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24226"/>
  <mc:AlternateContent xmlns:mc="http://schemas.openxmlformats.org/markup-compatibility/2006">
    <mc:Choice Requires="x15">
      <x15ac:absPath xmlns:x15ac="http://schemas.microsoft.com/office/spreadsheetml/2010/11/ac" url="H:\General Administration\Website admin &amp; Dev\Website 2015\Content\LoB 07-13\"/>
    </mc:Choice>
  </mc:AlternateContent>
  <bookViews>
    <workbookView xWindow="720" yWindow="675" windowWidth="22755" windowHeight="9000" firstSheet="1" activeTab="1"/>
  </bookViews>
  <sheets>
    <sheet name="MASTER" sheetId="1" state="hidden" r:id="rId1"/>
    <sheet name="WebSheet" sheetId="9" r:id="rId2"/>
    <sheet name="Sheet1" sheetId="14" state="hidden" r:id="rId3"/>
    <sheet name="Not on Web" sheetId="10" state="hidden" r:id="rId4"/>
    <sheet name="OM Check" sheetId="8" state="hidden" r:id="rId5"/>
    <sheet name="NUTS IV" sheetId="13" state="hidden" r:id="rId6"/>
    <sheet name="Group by theme etc" sheetId="12" state="hidden" r:id="rId7"/>
    <sheet name="By Fund" sheetId="5" state="hidden" r:id="rId8"/>
    <sheet name="No's Projects" sheetId="6" state="hidden" r:id="rId9"/>
    <sheet name="PieChart" sheetId="11" state="hidden" r:id="rId10"/>
  </sheets>
  <externalReferences>
    <externalReference r:id="rId11"/>
  </externalReferences>
  <definedNames>
    <definedName name="_xlchart.v2.0" hidden="1">'Group by theme etc'!$E$1:$L$1</definedName>
    <definedName name="_xlchart.v2.1" hidden="1">'Group by theme etc'!$E$2:$L$2</definedName>
    <definedName name="_xlchart.v3.0" hidden="1">'Group by theme etc'!$E$1:$L$1</definedName>
    <definedName name="_xlchart.v3.1" hidden="1">'Group by theme etc'!$E$2:$L$2</definedName>
    <definedName name="_xlnm.Print_Titles" localSheetId="1">WebSheet!$1:$1</definedName>
  </definedNames>
  <calcPr calcId="171027"/>
</workbook>
</file>

<file path=xl/calcChain.xml><?xml version="1.0" encoding="utf-8"?>
<calcChain xmlns="http://schemas.openxmlformats.org/spreadsheetml/2006/main">
  <c r="M5983" i="9" l="1"/>
  <c r="M5978" i="9"/>
  <c r="M5981" i="9"/>
  <c r="M5980" i="9"/>
  <c r="M5979" i="9"/>
  <c r="M5977" i="9"/>
  <c r="M5976" i="9"/>
  <c r="M5742" i="9"/>
  <c r="M5460" i="9"/>
  <c r="M5272" i="9"/>
  <c r="M4949" i="9"/>
  <c r="M4753" i="9"/>
  <c r="M4514" i="9"/>
  <c r="M4323" i="9"/>
  <c r="M4102" i="9"/>
  <c r="M3744" i="9"/>
  <c r="M3539" i="9"/>
  <c r="M2994" i="9"/>
  <c r="M2791" i="9"/>
  <c r="M2589" i="9"/>
  <c r="M2425" i="9"/>
  <c r="M2182" i="9"/>
  <c r="M1539" i="9"/>
  <c r="M1149" i="9"/>
  <c r="M405" i="9"/>
  <c r="M167" i="9"/>
  <c r="L5742" i="9" l="1"/>
  <c r="L5460" i="9"/>
  <c r="L5272" i="9"/>
  <c r="L4949" i="9"/>
  <c r="L4753" i="9"/>
  <c r="L4514" i="9"/>
  <c r="L4323" i="9"/>
  <c r="L4102" i="9"/>
  <c r="L3744" i="9"/>
  <c r="L3539" i="9"/>
  <c r="L2994" i="9"/>
  <c r="L2791" i="9"/>
  <c r="L2589" i="9"/>
  <c r="L2425" i="9"/>
  <c r="J2182" i="9"/>
  <c r="L2182" i="9"/>
  <c r="L1539" i="9"/>
  <c r="L1149" i="9"/>
  <c r="J405" i="9"/>
  <c r="L405" i="9" s="1"/>
  <c r="L167" i="9"/>
  <c r="AS18" i="8" l="1"/>
  <c r="C17" i="8"/>
  <c r="D17"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S4" i="8"/>
  <c r="AS5" i="8"/>
  <c r="AS6" i="8"/>
  <c r="AS7" i="8"/>
  <c r="AS8" i="8"/>
  <c r="AS9" i="8"/>
  <c r="AS10" i="8"/>
  <c r="AS11" i="8"/>
  <c r="AS12" i="8"/>
  <c r="AS13" i="8"/>
  <c r="AS14" i="8"/>
  <c r="AS15" i="8"/>
  <c r="AS16" i="8"/>
  <c r="AS17" i="8"/>
  <c r="AR17" i="8"/>
  <c r="AR4" i="8"/>
  <c r="AR5" i="8"/>
  <c r="AR6" i="8"/>
  <c r="AR7" i="8"/>
  <c r="AR8" i="8"/>
  <c r="AR9" i="8"/>
  <c r="AR10" i="8"/>
  <c r="AR11" i="8"/>
  <c r="AR12" i="8"/>
  <c r="AR13" i="8"/>
  <c r="AR14" i="8"/>
  <c r="AR15" i="8"/>
  <c r="AR16" i="8"/>
  <c r="AS3" i="8"/>
  <c r="AR3" i="8"/>
  <c r="M8" i="8"/>
  <c r="M10" i="8"/>
  <c r="M11" i="8"/>
  <c r="M12" i="8"/>
  <c r="AA8" i="8"/>
  <c r="AA10" i="8"/>
  <c r="AA11" i="8"/>
  <c r="Y8" i="8"/>
  <c r="Y10" i="8"/>
  <c r="W8" i="8"/>
  <c r="W10" i="8"/>
  <c r="W11" i="8"/>
  <c r="W12" i="8"/>
  <c r="U3" i="8"/>
  <c r="U4" i="8"/>
  <c r="U5" i="8"/>
  <c r="U6" i="8"/>
  <c r="U7" i="8"/>
  <c r="U8" i="8"/>
  <c r="U9" i="8"/>
  <c r="U11" i="8"/>
  <c r="U14" i="8"/>
  <c r="U15" i="8"/>
  <c r="S8" i="8"/>
  <c r="S10" i="8"/>
  <c r="S11" i="8"/>
  <c r="Q8" i="8"/>
  <c r="Q10" i="8"/>
  <c r="Q11" i="8"/>
  <c r="O8" i="8"/>
  <c r="O10" i="8"/>
  <c r="O11" i="8"/>
  <c r="AC8" i="8"/>
  <c r="AC10" i="8"/>
  <c r="AC11" i="8"/>
  <c r="AE8" i="8"/>
  <c r="AE10" i="8"/>
  <c r="AE11" i="8"/>
  <c r="AE12" i="8"/>
  <c r="AG3" i="8"/>
  <c r="AG4" i="8"/>
  <c r="AG7" i="8"/>
  <c r="AG8" i="8"/>
  <c r="AG9" i="8"/>
  <c r="AG10" i="8"/>
  <c r="AG15" i="8"/>
  <c r="AI8" i="8"/>
  <c r="AI10" i="8"/>
  <c r="AI11" i="8"/>
  <c r="AK8" i="8"/>
  <c r="AK10" i="8"/>
  <c r="AK11" i="8"/>
  <c r="AK12" i="8"/>
  <c r="AM3" i="8"/>
  <c r="AM4" i="8"/>
  <c r="AM6" i="8"/>
  <c r="AM7" i="8"/>
  <c r="AM8" i="8"/>
  <c r="AM9" i="8"/>
  <c r="AM10" i="8"/>
  <c r="AM11" i="8"/>
  <c r="AM12" i="8"/>
  <c r="AM15" i="8"/>
  <c r="AO3" i="8"/>
  <c r="AO8" i="8"/>
  <c r="AO9" i="8"/>
  <c r="AO10" i="8"/>
  <c r="AO11" i="8"/>
  <c r="AQ10" i="8"/>
  <c r="AQ11" i="8"/>
  <c r="AQ13" i="8"/>
  <c r="AQ16" i="8"/>
  <c r="R8" i="8"/>
  <c r="R10" i="8"/>
  <c r="R11" i="8"/>
  <c r="K4" i="8"/>
  <c r="K5" i="8"/>
  <c r="K6" i="8"/>
  <c r="K7" i="8"/>
  <c r="K8" i="8"/>
  <c r="K10" i="8"/>
  <c r="K11" i="8"/>
  <c r="I4" i="8"/>
  <c r="I8" i="8"/>
  <c r="I10" i="8"/>
  <c r="I11" i="8"/>
  <c r="I12" i="8"/>
  <c r="G6" i="8"/>
  <c r="G7" i="8"/>
  <c r="G8" i="8"/>
  <c r="G9" i="8"/>
  <c r="G10" i="8"/>
  <c r="G12" i="8"/>
  <c r="E3" i="8"/>
  <c r="E4" i="8"/>
  <c r="E6" i="8"/>
  <c r="E8" i="8"/>
  <c r="E9" i="8"/>
  <c r="E10" i="8"/>
  <c r="E11" i="8"/>
  <c r="E12" i="8"/>
  <c r="C5" i="8"/>
  <c r="C6" i="8"/>
  <c r="C7" i="8"/>
  <c r="C8" i="8"/>
  <c r="C9" i="8"/>
  <c r="C10" i="8"/>
  <c r="C11" i="8"/>
  <c r="C12" i="8"/>
  <c r="C15" i="8"/>
  <c r="C4" i="8"/>
  <c r="I2419" i="9"/>
  <c r="I2178" i="9"/>
  <c r="I2180" i="9"/>
  <c r="I2181" i="9"/>
  <c r="I2174" i="9"/>
  <c r="I2172" i="9"/>
  <c r="I1538" i="9"/>
  <c r="I1537" i="9"/>
  <c r="I1535" i="9"/>
  <c r="I1533" i="9"/>
  <c r="I1532" i="9"/>
  <c r="I1530" i="9"/>
  <c r="I1529" i="9"/>
  <c r="I1148" i="9"/>
  <c r="I1146" i="9"/>
  <c r="I403" i="9"/>
  <c r="I402" i="9"/>
  <c r="I166" i="9"/>
  <c r="I165" i="9"/>
  <c r="I167" i="9" s="1"/>
  <c r="I51" i="10"/>
  <c r="J5974" i="9"/>
  <c r="J5976" i="9" s="1"/>
  <c r="L5976" i="9" s="1"/>
  <c r="L5982" i="9" s="1"/>
  <c r="I5974" i="9"/>
  <c r="J5973" i="9"/>
  <c r="I5973" i="9"/>
  <c r="J5942" i="9"/>
  <c r="J5941" i="9"/>
  <c r="J5940" i="9"/>
  <c r="J5938" i="9"/>
  <c r="J5937" i="9"/>
  <c r="J5936" i="9"/>
  <c r="J5933" i="9"/>
  <c r="J5931" i="9"/>
  <c r="J5930" i="9"/>
  <c r="J5929" i="9"/>
  <c r="I5929" i="9"/>
  <c r="J5927" i="9"/>
  <c r="J5925" i="9"/>
  <c r="I5925" i="9"/>
  <c r="J5902" i="9"/>
  <c r="I5902" i="9"/>
  <c r="J5900" i="9"/>
  <c r="I5900" i="9"/>
  <c r="J5899" i="9"/>
  <c r="I5899" i="9"/>
  <c r="J5872" i="9"/>
  <c r="I5849" i="9"/>
  <c r="J5845" i="9"/>
  <c r="I5845" i="9"/>
  <c r="J5842" i="9"/>
  <c r="I5842" i="9"/>
  <c r="I5838" i="9"/>
  <c r="J5833" i="9"/>
  <c r="I5833" i="9"/>
  <c r="J5829" i="9"/>
  <c r="J5826" i="9"/>
  <c r="I5826" i="9"/>
  <c r="J5823" i="9"/>
  <c r="J5821" i="9"/>
  <c r="I5821" i="9"/>
  <c r="J5819" i="9"/>
  <c r="I5819" i="9"/>
  <c r="J5811" i="9"/>
  <c r="J5810" i="9"/>
  <c r="I5810" i="9"/>
  <c r="J5809" i="9"/>
  <c r="J5808" i="9"/>
  <c r="I5808" i="9"/>
  <c r="J5803" i="9"/>
  <c r="I5803" i="9"/>
  <c r="J5799" i="9"/>
  <c r="I5799" i="9"/>
  <c r="J5787" i="9"/>
  <c r="I5787" i="9"/>
  <c r="I5786" i="9"/>
  <c r="J5782" i="9"/>
  <c r="I5782" i="9"/>
  <c r="J5781" i="9"/>
  <c r="I5781" i="9"/>
  <c r="J5780" i="9"/>
  <c r="I5780" i="9"/>
  <c r="J5740" i="9"/>
  <c r="I5740" i="9"/>
  <c r="J5739" i="9"/>
  <c r="I5739" i="9"/>
  <c r="I5715" i="9"/>
  <c r="J5705" i="9"/>
  <c r="J5685" i="9"/>
  <c r="J5682" i="9"/>
  <c r="J5681" i="9"/>
  <c r="J5677" i="9"/>
  <c r="J5676" i="9"/>
  <c r="J5674" i="9"/>
  <c r="J5670" i="9"/>
  <c r="J5669" i="9"/>
  <c r="J5665" i="9"/>
  <c r="J5664" i="9"/>
  <c r="J5660" i="9"/>
  <c r="J5656" i="9"/>
  <c r="J5652" i="9"/>
  <c r="J5634" i="9"/>
  <c r="J5600" i="9"/>
  <c r="J5595" i="9"/>
  <c r="J5563" i="9"/>
  <c r="J5559" i="9"/>
  <c r="I5559" i="9"/>
  <c r="J5557" i="9"/>
  <c r="I5557" i="9"/>
  <c r="J5554" i="9"/>
  <c r="J5552" i="9"/>
  <c r="J5549" i="9"/>
  <c r="J5546" i="9"/>
  <c r="J5545" i="9"/>
  <c r="I5545" i="9"/>
  <c r="J5539" i="9"/>
  <c r="J5496" i="9"/>
  <c r="I5496" i="9"/>
  <c r="J5459" i="9"/>
  <c r="I5459" i="9"/>
  <c r="J5457" i="9"/>
  <c r="I5457" i="9"/>
  <c r="J5456" i="9"/>
  <c r="I5456" i="9"/>
  <c r="I5446" i="9"/>
  <c r="J5426" i="9"/>
  <c r="J5425" i="9"/>
  <c r="J5421" i="9"/>
  <c r="J5420" i="9"/>
  <c r="J5415" i="9"/>
  <c r="J5414" i="9"/>
  <c r="J5408" i="9"/>
  <c r="J5407" i="9"/>
  <c r="J5405" i="9"/>
  <c r="J5401" i="9"/>
  <c r="J5392" i="9"/>
  <c r="I5392" i="9"/>
  <c r="I5382" i="9"/>
  <c r="J5379" i="9"/>
  <c r="I5379" i="9"/>
  <c r="J5377" i="9"/>
  <c r="J5342" i="9"/>
  <c r="I5342" i="9"/>
  <c r="J5338" i="9"/>
  <c r="I5338" i="9"/>
  <c r="J5337" i="9"/>
  <c r="I5337" i="9"/>
  <c r="J5318" i="9"/>
  <c r="J5317" i="9"/>
  <c r="I5317" i="9"/>
  <c r="I5312" i="9"/>
  <c r="J5311" i="9"/>
  <c r="I5311" i="9"/>
  <c r="J5309" i="9"/>
  <c r="I5309" i="9"/>
  <c r="I5307" i="9"/>
  <c r="J5271" i="9"/>
  <c r="I5271" i="9"/>
  <c r="J5270" i="9"/>
  <c r="I5270" i="9"/>
  <c r="J5268" i="9"/>
  <c r="J5266" i="9"/>
  <c r="I5266" i="9"/>
  <c r="J5265" i="9"/>
  <c r="I5265" i="9"/>
  <c r="J5262" i="9"/>
  <c r="J5269" i="9" s="1"/>
  <c r="I5262" i="9"/>
  <c r="I5269" i="9" s="1"/>
  <c r="I5257" i="9"/>
  <c r="I5092" i="9"/>
  <c r="J4982" i="9"/>
  <c r="J5267" i="9" s="1"/>
  <c r="I4982" i="9"/>
  <c r="I4971" i="9"/>
  <c r="J4947" i="9"/>
  <c r="I4947" i="9"/>
  <c r="J4946" i="9"/>
  <c r="I4946" i="9"/>
  <c r="J4931" i="9"/>
  <c r="J4928" i="9"/>
  <c r="J4927" i="9"/>
  <c r="J4926" i="9"/>
  <c r="J4924" i="9"/>
  <c r="J4920" i="9"/>
  <c r="J4919" i="9"/>
  <c r="J4918" i="9"/>
  <c r="J4910" i="9"/>
  <c r="J4882" i="9"/>
  <c r="J4881" i="9"/>
  <c r="I4881" i="9"/>
  <c r="J4850" i="9"/>
  <c r="J4844" i="9"/>
  <c r="J4809" i="9"/>
  <c r="I4809" i="9"/>
  <c r="J4808" i="9"/>
  <c r="I4808" i="9"/>
  <c r="J4806" i="9"/>
  <c r="I4806" i="9"/>
  <c r="J4802" i="9"/>
  <c r="I4802" i="9"/>
  <c r="J4799" i="9"/>
  <c r="I4799" i="9"/>
  <c r="J4798" i="9"/>
  <c r="I4798" i="9"/>
  <c r="J4797" i="9"/>
  <c r="I4797" i="9"/>
  <c r="J4793" i="9"/>
  <c r="I4793" i="9"/>
  <c r="J4792" i="9"/>
  <c r="I4792" i="9"/>
  <c r="J4778" i="9"/>
  <c r="I4778" i="9"/>
  <c r="J4777" i="9"/>
  <c r="I4777" i="9"/>
  <c r="J4770" i="9"/>
  <c r="I4770" i="9"/>
  <c r="J4767" i="9"/>
  <c r="I4767" i="9"/>
  <c r="J4766" i="9"/>
  <c r="I4766" i="9"/>
  <c r="J4765" i="9"/>
  <c r="I4765" i="9"/>
  <c r="J4763" i="9"/>
  <c r="I4763" i="9"/>
  <c r="J4752" i="9"/>
  <c r="I4752" i="9"/>
  <c r="J4751" i="9"/>
  <c r="I4751" i="9"/>
  <c r="J4750" i="9"/>
  <c r="I4750" i="9"/>
  <c r="J4749" i="9"/>
  <c r="I4749" i="9"/>
  <c r="J4748" i="9"/>
  <c r="I4748" i="9"/>
  <c r="J4746" i="9"/>
  <c r="I4746" i="9"/>
  <c r="J4530" i="9"/>
  <c r="J4747" i="9" s="1"/>
  <c r="I4530" i="9"/>
  <c r="I4747" i="9" s="1"/>
  <c r="J4516" i="9"/>
  <c r="J4745" i="9" s="1"/>
  <c r="J4753" i="9" s="1"/>
  <c r="I4516" i="9"/>
  <c r="I4745" i="9" s="1"/>
  <c r="J4513" i="9"/>
  <c r="I4513" i="9"/>
  <c r="J4511" i="9"/>
  <c r="I4511" i="9"/>
  <c r="J4510" i="9"/>
  <c r="I4510" i="9"/>
  <c r="J4488" i="9"/>
  <c r="J4487" i="9"/>
  <c r="J4486" i="9"/>
  <c r="I4486" i="9"/>
  <c r="J4485" i="9"/>
  <c r="J4483" i="9"/>
  <c r="I4483" i="9"/>
  <c r="J4481" i="9"/>
  <c r="J4480" i="9"/>
  <c r="J4477" i="9"/>
  <c r="J4463" i="9"/>
  <c r="I4463" i="9"/>
  <c r="J4462" i="9"/>
  <c r="I4462" i="9"/>
  <c r="J4433" i="9"/>
  <c r="J4398" i="9"/>
  <c r="I4398" i="9"/>
  <c r="J4397" i="9"/>
  <c r="I4397" i="9"/>
  <c r="J4393" i="9"/>
  <c r="I4393" i="9"/>
  <c r="J4389" i="9"/>
  <c r="I4389" i="9"/>
  <c r="J4383" i="9"/>
  <c r="J4382" i="9"/>
  <c r="I4382" i="9"/>
  <c r="J4381" i="9"/>
  <c r="I4381" i="9"/>
  <c r="I4376" i="9"/>
  <c r="J4374" i="9"/>
  <c r="I4374" i="9"/>
  <c r="J4322" i="9"/>
  <c r="I4322" i="9"/>
  <c r="J4320" i="9"/>
  <c r="I4320" i="9"/>
  <c r="J4319" i="9"/>
  <c r="I4319" i="9"/>
  <c r="J4288" i="9"/>
  <c r="J4287" i="9"/>
  <c r="J4277" i="9"/>
  <c r="J4276" i="9"/>
  <c r="I4276" i="9"/>
  <c r="J4273" i="9"/>
  <c r="J4269" i="9"/>
  <c r="I4269" i="9"/>
  <c r="J4265" i="9"/>
  <c r="J4222" i="9"/>
  <c r="J4190" i="9"/>
  <c r="J4180" i="9"/>
  <c r="J4179" i="9"/>
  <c r="J4178" i="9"/>
  <c r="J4166" i="9"/>
  <c r="I4163" i="9"/>
  <c r="J4160" i="9"/>
  <c r="J4158" i="9"/>
  <c r="J4157" i="9"/>
  <c r="J4152" i="9"/>
  <c r="I4152" i="9"/>
  <c r="J4151" i="9"/>
  <c r="I4151" i="9"/>
  <c r="J4146" i="9"/>
  <c r="I4146" i="9"/>
  <c r="J4133" i="9"/>
  <c r="J4100" i="9"/>
  <c r="I4100" i="9"/>
  <c r="J4099" i="9"/>
  <c r="I4099" i="9"/>
  <c r="I4097" i="9"/>
  <c r="J4038" i="9"/>
  <c r="J4033" i="9"/>
  <c r="J4028" i="9"/>
  <c r="J4025" i="9"/>
  <c r="J4020" i="9"/>
  <c r="J4001" i="9"/>
  <c r="I3966" i="9"/>
  <c r="J3959" i="9"/>
  <c r="J3958" i="9"/>
  <c r="J3955" i="9"/>
  <c r="J3743" i="9"/>
  <c r="I3743" i="9"/>
  <c r="J3742" i="9"/>
  <c r="I3742" i="9"/>
  <c r="J3740" i="9"/>
  <c r="I3740" i="9"/>
  <c r="J3738" i="9"/>
  <c r="I3738" i="9"/>
  <c r="J3737" i="9"/>
  <c r="I3737" i="9"/>
  <c r="J3736" i="9"/>
  <c r="I3736" i="9"/>
  <c r="J3734" i="9"/>
  <c r="I3734" i="9"/>
  <c r="J3729" i="9"/>
  <c r="I3729" i="9"/>
  <c r="J3728" i="9"/>
  <c r="I3728" i="9"/>
  <c r="J3727" i="9"/>
  <c r="J3741" i="9" s="1"/>
  <c r="I3727" i="9"/>
  <c r="I3741" i="9" s="1"/>
  <c r="J3707" i="9"/>
  <c r="I3707" i="9"/>
  <c r="J3706" i="9"/>
  <c r="I3706" i="9"/>
  <c r="J3704" i="9"/>
  <c r="I3704" i="9"/>
  <c r="J3701" i="9"/>
  <c r="I3701" i="9"/>
  <c r="I3700" i="9"/>
  <c r="J3695" i="9"/>
  <c r="I3695" i="9"/>
  <c r="J3637" i="9"/>
  <c r="J3630" i="9"/>
  <c r="J3629" i="9"/>
  <c r="J3625" i="9"/>
  <c r="J3624" i="9"/>
  <c r="J3623" i="9"/>
  <c r="I3623" i="9"/>
  <c r="I3619" i="9"/>
  <c r="J3618" i="9"/>
  <c r="J3617" i="9"/>
  <c r="I3617" i="9"/>
  <c r="J3615" i="9"/>
  <c r="J3610" i="9"/>
  <c r="I3610" i="9"/>
  <c r="J3608" i="9"/>
  <c r="I3608" i="9"/>
  <c r="J3607" i="9"/>
  <c r="J3571" i="9"/>
  <c r="I3571" i="9"/>
  <c r="J3563" i="9"/>
  <c r="J3562" i="9"/>
  <c r="I3562" i="9"/>
  <c r="J3561" i="9"/>
  <c r="J3537" i="9"/>
  <c r="I3537" i="9"/>
  <c r="J3536" i="9"/>
  <c r="I3536" i="9"/>
  <c r="J3389" i="9"/>
  <c r="J3388" i="9"/>
  <c r="J3386" i="9"/>
  <c r="I3386" i="9"/>
  <c r="J3383" i="9"/>
  <c r="I3064" i="9"/>
  <c r="I3538" i="9" s="1"/>
  <c r="J2992" i="9"/>
  <c r="I2992" i="9"/>
  <c r="J2990" i="9"/>
  <c r="I2990" i="9"/>
  <c r="J2989" i="9"/>
  <c r="I2989" i="9"/>
  <c r="J2987" i="9"/>
  <c r="I2987" i="9"/>
  <c r="J2986" i="9"/>
  <c r="I2986" i="9"/>
  <c r="J2985" i="9"/>
  <c r="I2985" i="9"/>
  <c r="J2984" i="9"/>
  <c r="I2984" i="9"/>
  <c r="J2983" i="9"/>
  <c r="J2993" i="9" s="1"/>
  <c r="I2983" i="9"/>
  <c r="I2993" i="9" s="1"/>
  <c r="J2953" i="9"/>
  <c r="J2949" i="9"/>
  <c r="J2930" i="9"/>
  <c r="J2929" i="9"/>
  <c r="J2900" i="9"/>
  <c r="J2876" i="9"/>
  <c r="J2874" i="9"/>
  <c r="J2870" i="9"/>
  <c r="J2868" i="9"/>
  <c r="I2868" i="9"/>
  <c r="I2991" i="9" s="1"/>
  <c r="J2865" i="9"/>
  <c r="J2864" i="9"/>
  <c r="J2863" i="9"/>
  <c r="J2862" i="9"/>
  <c r="J2860" i="9"/>
  <c r="J2859" i="9"/>
  <c r="J2842" i="9"/>
  <c r="J2841" i="9"/>
  <c r="J2840" i="9"/>
  <c r="J2831" i="9"/>
  <c r="I2831" i="9"/>
  <c r="I2830" i="9"/>
  <c r="I2829" i="9"/>
  <c r="J2827" i="9"/>
  <c r="I2827" i="9"/>
  <c r="J2825" i="9"/>
  <c r="I2825" i="9"/>
  <c r="J2824" i="9"/>
  <c r="I2824" i="9"/>
  <c r="J2822" i="9"/>
  <c r="I2822" i="9"/>
  <c r="J2819" i="9"/>
  <c r="I2819" i="9"/>
  <c r="J2817" i="9"/>
  <c r="I2817" i="9"/>
  <c r="J2813" i="9"/>
  <c r="I2813" i="9"/>
  <c r="J2812" i="9"/>
  <c r="I2812" i="9"/>
  <c r="J2790" i="9"/>
  <c r="I2790" i="9"/>
  <c r="J2788" i="9"/>
  <c r="I2788" i="9"/>
  <c r="J2787" i="9"/>
  <c r="I2787" i="9"/>
  <c r="J2786" i="9"/>
  <c r="I2786" i="9"/>
  <c r="J2766" i="9"/>
  <c r="J2763" i="9"/>
  <c r="J2762" i="9"/>
  <c r="J2758" i="9"/>
  <c r="J2756" i="9"/>
  <c r="J2751" i="9"/>
  <c r="J2746" i="9"/>
  <c r="J2743" i="9"/>
  <c r="J2739" i="9"/>
  <c r="J2737" i="9"/>
  <c r="J2689" i="9"/>
  <c r="I2689" i="9"/>
  <c r="J2667" i="9"/>
  <c r="I2667" i="9"/>
  <c r="J2663" i="9"/>
  <c r="J2662" i="9"/>
  <c r="J2660" i="9"/>
  <c r="I2660" i="9"/>
  <c r="J2657" i="9"/>
  <c r="I2657" i="9"/>
  <c r="J2656" i="9"/>
  <c r="J2655" i="9"/>
  <c r="J2653" i="9"/>
  <c r="I2653" i="9"/>
  <c r="J2652" i="9"/>
  <c r="J2651" i="9"/>
  <c r="I2651" i="9"/>
  <c r="J2588" i="9"/>
  <c r="I2588" i="9"/>
  <c r="J2586" i="9"/>
  <c r="I2586" i="9"/>
  <c r="J2585" i="9"/>
  <c r="I2585" i="9"/>
  <c r="J2584" i="9"/>
  <c r="I2584" i="9"/>
  <c r="I2560" i="9"/>
  <c r="J2544" i="9"/>
  <c r="J2543" i="9"/>
  <c r="I2543" i="9"/>
  <c r="J2457" i="9"/>
  <c r="J2456" i="9"/>
  <c r="J2455" i="9"/>
  <c r="I2455" i="9"/>
  <c r="J2454" i="9"/>
  <c r="J2453" i="9"/>
  <c r="I2453" i="9"/>
  <c r="J2452" i="9"/>
  <c r="J2451" i="9"/>
  <c r="J2450" i="9"/>
  <c r="I2450" i="9"/>
  <c r="J2447" i="9"/>
  <c r="J2445" i="9"/>
  <c r="J2444" i="9"/>
  <c r="J2441" i="9"/>
  <c r="J2424" i="9"/>
  <c r="I2424" i="9"/>
  <c r="J2423" i="9"/>
  <c r="I2423" i="9"/>
  <c r="J2421" i="9"/>
  <c r="I2421" i="9"/>
  <c r="J2419" i="9"/>
  <c r="J2416" i="9"/>
  <c r="I2416" i="9"/>
  <c r="J2415" i="9"/>
  <c r="I2415" i="9"/>
  <c r="J2414" i="9"/>
  <c r="I2414" i="9"/>
  <c r="J2413" i="9"/>
  <c r="I2413" i="9"/>
  <c r="J2412" i="9"/>
  <c r="I2412" i="9"/>
  <c r="J2411" i="9"/>
  <c r="I2411" i="9"/>
  <c r="J2410" i="9"/>
  <c r="I2410" i="9"/>
  <c r="J2409" i="9"/>
  <c r="I2409" i="9"/>
  <c r="J2408" i="9"/>
  <c r="I2408" i="9"/>
  <c r="J2407" i="9"/>
  <c r="I2407" i="9"/>
  <c r="J2406" i="9"/>
  <c r="J2422" i="9" s="1"/>
  <c r="I2406" i="9"/>
  <c r="I2422" i="9" s="1"/>
  <c r="J2363" i="9"/>
  <c r="J2361" i="9"/>
  <c r="J2360" i="9"/>
  <c r="J2340" i="9"/>
  <c r="J2270" i="9"/>
  <c r="J2269" i="9"/>
  <c r="J2251" i="9"/>
  <c r="I2251" i="9"/>
  <c r="J2248" i="9"/>
  <c r="I2248" i="9"/>
  <c r="J2247" i="9"/>
  <c r="I2247" i="9"/>
  <c r="J2246" i="9"/>
  <c r="I2246" i="9"/>
  <c r="J2244" i="9"/>
  <c r="I2244" i="9"/>
  <c r="J2241" i="9"/>
  <c r="I2241" i="9"/>
  <c r="J2240" i="9"/>
  <c r="I2240" i="9"/>
  <c r="I2239" i="9"/>
  <c r="J2238" i="9"/>
  <c r="I2238" i="9"/>
  <c r="J2237" i="9"/>
  <c r="I2237" i="9"/>
  <c r="J2236" i="9"/>
  <c r="I2236" i="9"/>
  <c r="J2235" i="9"/>
  <c r="I2235" i="9"/>
  <c r="J2234" i="9"/>
  <c r="I2234" i="9"/>
  <c r="J2233" i="9"/>
  <c r="I2233" i="9"/>
  <c r="J2232" i="9"/>
  <c r="I2232" i="9"/>
  <c r="J2231" i="9"/>
  <c r="I2231" i="9"/>
  <c r="J2230" i="9"/>
  <c r="I2230" i="9"/>
  <c r="I2420" i="9" s="1"/>
  <c r="J2181" i="9"/>
  <c r="J2180" i="9"/>
  <c r="J2176" i="9"/>
  <c r="I2176" i="9"/>
  <c r="J2175" i="9"/>
  <c r="I2175" i="9"/>
  <c r="J2174" i="9"/>
  <c r="J2172" i="9"/>
  <c r="J2164" i="9"/>
  <c r="I2164" i="9"/>
  <c r="J2162" i="9"/>
  <c r="I2162" i="9"/>
  <c r="J2161" i="9"/>
  <c r="I2161" i="9"/>
  <c r="J2160" i="9"/>
  <c r="I2160" i="9"/>
  <c r="J2159" i="9"/>
  <c r="I2159" i="9"/>
  <c r="J2157" i="9"/>
  <c r="I2157" i="9"/>
  <c r="J2156" i="9"/>
  <c r="I2156" i="9"/>
  <c r="J2155" i="9"/>
  <c r="I2155" i="9"/>
  <c r="J2154" i="9"/>
  <c r="I2154" i="9"/>
  <c r="J2152" i="9"/>
  <c r="I2152" i="9"/>
  <c r="J2151" i="9"/>
  <c r="I2151" i="9"/>
  <c r="J2150" i="9"/>
  <c r="I2150" i="9"/>
  <c r="J2149" i="9"/>
  <c r="I2149" i="9"/>
  <c r="J2148" i="9"/>
  <c r="I2148" i="9"/>
  <c r="J2147" i="9"/>
  <c r="J2146" i="9"/>
  <c r="J2132" i="9"/>
  <c r="J2178" i="9" s="1"/>
  <c r="I2132" i="9"/>
  <c r="J2097" i="9"/>
  <c r="J2095" i="9"/>
  <c r="J2094" i="9"/>
  <c r="J2087" i="9"/>
  <c r="J2086" i="9"/>
  <c r="J2084" i="9"/>
  <c r="J2080" i="9"/>
  <c r="J2079" i="9"/>
  <c r="J2064" i="9"/>
  <c r="J2059" i="9"/>
  <c r="J1999" i="9"/>
  <c r="J1986" i="9"/>
  <c r="J1985" i="9"/>
  <c r="J1984" i="9"/>
  <c r="J1983" i="9"/>
  <c r="J1979" i="9"/>
  <c r="I1979" i="9"/>
  <c r="J1978" i="9"/>
  <c r="J1976" i="9"/>
  <c r="J1973" i="9"/>
  <c r="J1972" i="9"/>
  <c r="J1971" i="9"/>
  <c r="J1963" i="9"/>
  <c r="J1960" i="9"/>
  <c r="I1960" i="9"/>
  <c r="J1952" i="9"/>
  <c r="J1951" i="9"/>
  <c r="J1948" i="9"/>
  <c r="I1948" i="9"/>
  <c r="J1945" i="9"/>
  <c r="I1945" i="9"/>
  <c r="J1944" i="9"/>
  <c r="I1944" i="9"/>
  <c r="J1942" i="9"/>
  <c r="I1942" i="9"/>
  <c r="J1941" i="9"/>
  <c r="I1941" i="9"/>
  <c r="I1939" i="9"/>
  <c r="J1818" i="9"/>
  <c r="I1818" i="9"/>
  <c r="J1816" i="9"/>
  <c r="I1816" i="9"/>
  <c r="J1815" i="9"/>
  <c r="I1815" i="9"/>
  <c r="J1814" i="9"/>
  <c r="I1814" i="9"/>
  <c r="J1812" i="9"/>
  <c r="I1812" i="9"/>
  <c r="J1809" i="9"/>
  <c r="I1809" i="9"/>
  <c r="J1803" i="9"/>
  <c r="I1803" i="9"/>
  <c r="J1802" i="9"/>
  <c r="I1802" i="9"/>
  <c r="J1801" i="9"/>
  <c r="I1801" i="9"/>
  <c r="J1800" i="9"/>
  <c r="I1800" i="9"/>
  <c r="J1799" i="9"/>
  <c r="I1799" i="9"/>
  <c r="J1797" i="9"/>
  <c r="I1797" i="9"/>
  <c r="J1796" i="9"/>
  <c r="I1796" i="9"/>
  <c r="J1795" i="9"/>
  <c r="I1795" i="9"/>
  <c r="J1794" i="9"/>
  <c r="I1794" i="9"/>
  <c r="J1793" i="9"/>
  <c r="I1793" i="9"/>
  <c r="J1791" i="9"/>
  <c r="I1791" i="9"/>
  <c r="J1789" i="9"/>
  <c r="I1789" i="9"/>
  <c r="J1786" i="9"/>
  <c r="I1786" i="9"/>
  <c r="J1783" i="9"/>
  <c r="I1783" i="9"/>
  <c r="J1782" i="9"/>
  <c r="I1782" i="9"/>
  <c r="J1781" i="9"/>
  <c r="I1781" i="9"/>
  <c r="J1780" i="9"/>
  <c r="I1780" i="9"/>
  <c r="J1779" i="9"/>
  <c r="I1779" i="9"/>
  <c r="J1778" i="9"/>
  <c r="I1778" i="9"/>
  <c r="J1777" i="9"/>
  <c r="I1777" i="9"/>
  <c r="J1776" i="9"/>
  <c r="I1776" i="9"/>
  <c r="J1775" i="9"/>
  <c r="I1775" i="9"/>
  <c r="J1774" i="9"/>
  <c r="I1774" i="9"/>
  <c r="J1772" i="9"/>
  <c r="I1772" i="9"/>
  <c r="J1771" i="9"/>
  <c r="I1771" i="9"/>
  <c r="J1770" i="9"/>
  <c r="I1770" i="9"/>
  <c r="J1768" i="9"/>
  <c r="I1768" i="9"/>
  <c r="J1767" i="9"/>
  <c r="I1767" i="9"/>
  <c r="J1766" i="9"/>
  <c r="I1766" i="9"/>
  <c r="J1765" i="9"/>
  <c r="I1765" i="9"/>
  <c r="J1764" i="9"/>
  <c r="I1764" i="9"/>
  <c r="J1763" i="9"/>
  <c r="I1763" i="9"/>
  <c r="J1762" i="9"/>
  <c r="I1762" i="9"/>
  <c r="J1761" i="9"/>
  <c r="I1761" i="9"/>
  <c r="J1760" i="9"/>
  <c r="I1760" i="9"/>
  <c r="J1758" i="9"/>
  <c r="I1758" i="9"/>
  <c r="J1757" i="9"/>
  <c r="I1757" i="9"/>
  <c r="J1754" i="9"/>
  <c r="I1754" i="9"/>
  <c r="J1752" i="9"/>
  <c r="I1752" i="9"/>
  <c r="J1751" i="9"/>
  <c r="I1751" i="9"/>
  <c r="J1750" i="9"/>
  <c r="I1750" i="9"/>
  <c r="J1749" i="9"/>
  <c r="I1749" i="9"/>
  <c r="J1747" i="9"/>
  <c r="I1747" i="9"/>
  <c r="J1746" i="9"/>
  <c r="I1746" i="9"/>
  <c r="J1745" i="9"/>
  <c r="I1745" i="9"/>
  <c r="J1744" i="9"/>
  <c r="I1744" i="9"/>
  <c r="J1742" i="9"/>
  <c r="I1742" i="9"/>
  <c r="J1741" i="9"/>
  <c r="I1741" i="9"/>
  <c r="J1740" i="9"/>
  <c r="I1740" i="9"/>
  <c r="J1739" i="9"/>
  <c r="I1739" i="9"/>
  <c r="J1737" i="9"/>
  <c r="I1737" i="9"/>
  <c r="J1735" i="9"/>
  <c r="I1735" i="9"/>
  <c r="J1734" i="9"/>
  <c r="I1734" i="9"/>
  <c r="J1729" i="9"/>
  <c r="I1729" i="9"/>
  <c r="J1728" i="9"/>
  <c r="I1728" i="9"/>
  <c r="J1685" i="9"/>
  <c r="I1685" i="9"/>
  <c r="I1684" i="9"/>
  <c r="J1668" i="9"/>
  <c r="I1668" i="9"/>
  <c r="J1665" i="9"/>
  <c r="I1665" i="9"/>
  <c r="J1664" i="9"/>
  <c r="I1664" i="9"/>
  <c r="J1648" i="9"/>
  <c r="I1648" i="9"/>
  <c r="J1604" i="9"/>
  <c r="I1604" i="9"/>
  <c r="J1599" i="9"/>
  <c r="I1599" i="9"/>
  <c r="J1598" i="9"/>
  <c r="I1598" i="9"/>
  <c r="J1587" i="9"/>
  <c r="I1587" i="9"/>
  <c r="J1584" i="9"/>
  <c r="I1584" i="9"/>
  <c r="J1583" i="9"/>
  <c r="I1583" i="9"/>
  <c r="J1566" i="9"/>
  <c r="I1566" i="9"/>
  <c r="J1562" i="9"/>
  <c r="I1562" i="9"/>
  <c r="I2173" i="9" s="1"/>
  <c r="J1538" i="9"/>
  <c r="J1537" i="9"/>
  <c r="J1535" i="9"/>
  <c r="J1533" i="9"/>
  <c r="J1532" i="9"/>
  <c r="J1530" i="9"/>
  <c r="J1529" i="9"/>
  <c r="J1524" i="9"/>
  <c r="I1524" i="9"/>
  <c r="J1523" i="9"/>
  <c r="I1523" i="9"/>
  <c r="J1522" i="9"/>
  <c r="I1522" i="9"/>
  <c r="J1521" i="9"/>
  <c r="I1521" i="9"/>
  <c r="J1520" i="9"/>
  <c r="I1520" i="9"/>
  <c r="J1519" i="9"/>
  <c r="I1519" i="9"/>
  <c r="J1518" i="9"/>
  <c r="I1518" i="9"/>
  <c r="J1517" i="9"/>
  <c r="I1517" i="9"/>
  <c r="J1516" i="9"/>
  <c r="I1516" i="9"/>
  <c r="J1515" i="9"/>
  <c r="I1515" i="9"/>
  <c r="J1514" i="9"/>
  <c r="I1514" i="9"/>
  <c r="J1513" i="9"/>
  <c r="J1536" i="9" s="1"/>
  <c r="I1513" i="9"/>
  <c r="I1536" i="9" s="1"/>
  <c r="I1487" i="9"/>
  <c r="J1466" i="9"/>
  <c r="I1466" i="9"/>
  <c r="J1463" i="9"/>
  <c r="J1461" i="9"/>
  <c r="I1461" i="9"/>
  <c r="J1459" i="9"/>
  <c r="J1457" i="9"/>
  <c r="I1456" i="9"/>
  <c r="J1455" i="9"/>
  <c r="I1455" i="9"/>
  <c r="J1449" i="9"/>
  <c r="J1448" i="9"/>
  <c r="I1448" i="9"/>
  <c r="J1437" i="9"/>
  <c r="J1430" i="9"/>
  <c r="J1423" i="9"/>
  <c r="I1423" i="9"/>
  <c r="J1413" i="9"/>
  <c r="I1413" i="9"/>
  <c r="J1411" i="9"/>
  <c r="J1409" i="9"/>
  <c r="I1409" i="9"/>
  <c r="J1406" i="9"/>
  <c r="I1406" i="9"/>
  <c r="J1405" i="9"/>
  <c r="J1390" i="9"/>
  <c r="I1390" i="9"/>
  <c r="J1382" i="9"/>
  <c r="J1379" i="9"/>
  <c r="J1378" i="9"/>
  <c r="J1376" i="9"/>
  <c r="J1374" i="9"/>
  <c r="I1374" i="9"/>
  <c r="J1357" i="9"/>
  <c r="I1357" i="9"/>
  <c r="J1350" i="9"/>
  <c r="I1350" i="9"/>
  <c r="J1344" i="9"/>
  <c r="I1344" i="9"/>
  <c r="J1337" i="9"/>
  <c r="J1329" i="9"/>
  <c r="I1329" i="9"/>
  <c r="J1322" i="9"/>
  <c r="J1317" i="9"/>
  <c r="I1317" i="9"/>
  <c r="J1307" i="9"/>
  <c r="J1299" i="9"/>
  <c r="J1284" i="9"/>
  <c r="I1284" i="9"/>
  <c r="I1534" i="9" s="1"/>
  <c r="J1248" i="9"/>
  <c r="I1248" i="9"/>
  <c r="J1246" i="9"/>
  <c r="I1246" i="9"/>
  <c r="J1245" i="9"/>
  <c r="I1245" i="9"/>
  <c r="J1240" i="9"/>
  <c r="I1240" i="9"/>
  <c r="J1239" i="9"/>
  <c r="I1239" i="9"/>
  <c r="J1238" i="9"/>
  <c r="I1238" i="9"/>
  <c r="J1237" i="9"/>
  <c r="I1237" i="9"/>
  <c r="J1236" i="9"/>
  <c r="I1236" i="9"/>
  <c r="J1235" i="9"/>
  <c r="I1235" i="9"/>
  <c r="J1234" i="9"/>
  <c r="I1234" i="9"/>
  <c r="J1233" i="9"/>
  <c r="I1233" i="9"/>
  <c r="J1231" i="9"/>
  <c r="I1231" i="9"/>
  <c r="J1229" i="9"/>
  <c r="I1229" i="9"/>
  <c r="J1225" i="9"/>
  <c r="J1219" i="9"/>
  <c r="J1218" i="9"/>
  <c r="I1218" i="9"/>
  <c r="J1217" i="9"/>
  <c r="I1213" i="9"/>
  <c r="I1211" i="9"/>
  <c r="I1210" i="9"/>
  <c r="J1206" i="9"/>
  <c r="J1202" i="9"/>
  <c r="I1202" i="9"/>
  <c r="I1200" i="9"/>
  <c r="J1199" i="9"/>
  <c r="I1199" i="9"/>
  <c r="J1198" i="9"/>
  <c r="I1198" i="9"/>
  <c r="I1195" i="9"/>
  <c r="I1191" i="9"/>
  <c r="I1190" i="9"/>
  <c r="J1178" i="9"/>
  <c r="I1178" i="9"/>
  <c r="I1531" i="9" s="1"/>
  <c r="I1176" i="9"/>
  <c r="J1159" i="9"/>
  <c r="I1159" i="9"/>
  <c r="J1156" i="9"/>
  <c r="I1156" i="9"/>
  <c r="J1148" i="9"/>
  <c r="J1146" i="9"/>
  <c r="J1145" i="9"/>
  <c r="J1134" i="9"/>
  <c r="I1134" i="9"/>
  <c r="J1123" i="9"/>
  <c r="I1123" i="9"/>
  <c r="I1115" i="9"/>
  <c r="J1048" i="9"/>
  <c r="I1048" i="9"/>
  <c r="J1046" i="9"/>
  <c r="I1046" i="9"/>
  <c r="J1042" i="9"/>
  <c r="I1042" i="9"/>
  <c r="I1037" i="9"/>
  <c r="J1036" i="9"/>
  <c r="I1028" i="9"/>
  <c r="J1005" i="9"/>
  <c r="J992" i="9"/>
  <c r="J987" i="9"/>
  <c r="J981" i="9"/>
  <c r="J977" i="9"/>
  <c r="J969" i="9"/>
  <c r="J968" i="9"/>
  <c r="J967" i="9"/>
  <c r="J965" i="9"/>
  <c r="I965" i="9"/>
  <c r="J964" i="9"/>
  <c r="J963" i="9"/>
  <c r="I960" i="9"/>
  <c r="J917" i="9"/>
  <c r="I917" i="9"/>
  <c r="J905" i="9"/>
  <c r="I905" i="9"/>
  <c r="J903" i="9"/>
  <c r="I903" i="9"/>
  <c r="J895" i="9"/>
  <c r="I895" i="9"/>
  <c r="J893" i="9"/>
  <c r="I893" i="9"/>
  <c r="J887" i="9"/>
  <c r="I887" i="9"/>
  <c r="J844" i="9"/>
  <c r="J837" i="9"/>
  <c r="J836" i="9"/>
  <c r="J835" i="9"/>
  <c r="J834" i="9"/>
  <c r="J766" i="9"/>
  <c r="I766" i="9"/>
  <c r="J759" i="9"/>
  <c r="I759" i="9"/>
  <c r="J749" i="9"/>
  <c r="I749" i="9"/>
  <c r="J748" i="9"/>
  <c r="J746" i="9"/>
  <c r="I746" i="9"/>
  <c r="J743" i="9"/>
  <c r="J741" i="9"/>
  <c r="I741" i="9"/>
  <c r="J740" i="9"/>
  <c r="I740" i="9"/>
  <c r="J739" i="9"/>
  <c r="J737" i="9"/>
  <c r="I712" i="9"/>
  <c r="J651" i="9"/>
  <c r="I651" i="9"/>
  <c r="J640" i="9"/>
  <c r="J631" i="9"/>
  <c r="J630" i="9"/>
  <c r="J629" i="9"/>
  <c r="J628" i="9"/>
  <c r="J627" i="9"/>
  <c r="J624" i="9"/>
  <c r="I624" i="9"/>
  <c r="J526" i="9"/>
  <c r="I526" i="9"/>
  <c r="I1147" i="9" s="1"/>
  <c r="I470" i="9"/>
  <c r="I1145" i="9" s="1"/>
  <c r="J403" i="9"/>
  <c r="J402" i="9"/>
  <c r="I374" i="9"/>
  <c r="J373" i="9"/>
  <c r="J370" i="9"/>
  <c r="J369" i="9"/>
  <c r="J357" i="9"/>
  <c r="J351" i="9"/>
  <c r="J319" i="9"/>
  <c r="J318" i="9"/>
  <c r="J316" i="9"/>
  <c r="J223" i="9"/>
  <c r="I223" i="9"/>
  <c r="J218" i="9"/>
  <c r="I218" i="9"/>
  <c r="J213" i="9"/>
  <c r="I213" i="9"/>
  <c r="J212" i="9"/>
  <c r="I212" i="9"/>
  <c r="J209" i="9"/>
  <c r="I209" i="9"/>
  <c r="J203" i="9"/>
  <c r="I203" i="9"/>
  <c r="J201" i="9"/>
  <c r="I201" i="9"/>
  <c r="J199" i="9"/>
  <c r="I199" i="9"/>
  <c r="J195" i="9"/>
  <c r="I195" i="9"/>
  <c r="J194" i="9"/>
  <c r="I194" i="9"/>
  <c r="J193" i="9"/>
  <c r="I193" i="9"/>
  <c r="J192" i="9"/>
  <c r="I192" i="9"/>
  <c r="J189" i="9"/>
  <c r="I189" i="9"/>
  <c r="I404" i="9" s="1"/>
  <c r="I405" i="9" s="1"/>
  <c r="J166" i="9"/>
  <c r="J165" i="9"/>
  <c r="I32" i="10"/>
  <c r="I29" i="10"/>
  <c r="B20" i="8"/>
  <c r="J5988" i="1"/>
  <c r="J5987" i="1"/>
  <c r="J5986" i="1"/>
  <c r="J5984" i="1"/>
  <c r="J5983" i="1"/>
  <c r="J5982" i="1"/>
  <c r="J5979" i="1"/>
  <c r="J5977" i="1"/>
  <c r="J5976" i="1"/>
  <c r="J5975" i="1"/>
  <c r="I5975" i="1"/>
  <c r="J5973" i="1"/>
  <c r="J5971" i="1"/>
  <c r="I5971" i="1"/>
  <c r="J5948" i="1"/>
  <c r="I5948" i="1"/>
  <c r="J5946" i="1"/>
  <c r="I5946" i="1"/>
  <c r="J5945" i="1"/>
  <c r="I5945" i="1"/>
  <c r="J5914" i="1"/>
  <c r="I5891" i="1"/>
  <c r="J5887" i="1"/>
  <c r="I5887" i="1"/>
  <c r="J5884" i="1"/>
  <c r="I5884" i="1"/>
  <c r="I5880" i="1"/>
  <c r="J5875" i="1"/>
  <c r="I5875" i="1"/>
  <c r="J5871" i="1"/>
  <c r="J5868" i="1"/>
  <c r="I5868" i="1"/>
  <c r="J5865" i="1"/>
  <c r="J5863" i="1"/>
  <c r="I5863" i="1"/>
  <c r="J5861" i="1"/>
  <c r="I5861" i="1"/>
  <c r="J5853" i="1"/>
  <c r="J5852" i="1"/>
  <c r="I5852" i="1"/>
  <c r="J5851" i="1"/>
  <c r="J5850" i="1"/>
  <c r="I5850" i="1"/>
  <c r="J5845" i="1"/>
  <c r="I5845" i="1"/>
  <c r="J5841" i="1"/>
  <c r="I5841" i="1"/>
  <c r="J5829" i="1"/>
  <c r="I5829" i="1"/>
  <c r="I5828" i="1"/>
  <c r="J5824" i="1"/>
  <c r="I5824" i="1"/>
  <c r="J5823" i="1"/>
  <c r="I5823" i="1"/>
  <c r="J5822" i="1"/>
  <c r="I5822" i="1"/>
  <c r="I5757" i="1"/>
  <c r="J5747" i="1"/>
  <c r="J5727" i="1"/>
  <c r="J5724" i="1"/>
  <c r="J5723" i="1"/>
  <c r="J5719" i="1"/>
  <c r="J5718" i="1"/>
  <c r="J5716" i="1"/>
  <c r="J5712" i="1"/>
  <c r="J5711" i="1"/>
  <c r="J5707" i="1"/>
  <c r="J5706" i="1"/>
  <c r="J5702" i="1"/>
  <c r="J5698" i="1"/>
  <c r="J5694" i="1"/>
  <c r="J5676" i="1"/>
  <c r="J5642" i="1"/>
  <c r="J5637" i="1"/>
  <c r="J5605" i="1"/>
  <c r="J5601" i="1"/>
  <c r="I5601" i="1"/>
  <c r="J5599" i="1"/>
  <c r="I5599" i="1"/>
  <c r="J5596" i="1"/>
  <c r="J5594" i="1"/>
  <c r="J5591" i="1"/>
  <c r="J5588" i="1"/>
  <c r="J5587" i="1"/>
  <c r="I5587" i="1"/>
  <c r="J5580" i="1"/>
  <c r="J5537" i="1"/>
  <c r="I5537" i="1"/>
  <c r="I5487" i="1"/>
  <c r="J5467" i="1"/>
  <c r="J5466" i="1"/>
  <c r="J5462" i="1"/>
  <c r="J5461" i="1"/>
  <c r="J5456" i="1"/>
  <c r="J5455" i="1"/>
  <c r="J5449" i="1"/>
  <c r="J5448" i="1"/>
  <c r="J5446" i="1"/>
  <c r="J5442" i="1"/>
  <c r="J5433" i="1"/>
  <c r="I5433" i="1"/>
  <c r="I5423" i="1"/>
  <c r="J5420" i="1"/>
  <c r="I5420" i="1"/>
  <c r="J5418" i="1"/>
  <c r="J5382" i="1"/>
  <c r="I5382" i="1"/>
  <c r="J5378" i="1"/>
  <c r="I5378" i="1"/>
  <c r="J5377" i="1"/>
  <c r="I5377" i="1"/>
  <c r="J5358" i="1"/>
  <c r="J5357" i="1"/>
  <c r="I5357" i="1"/>
  <c r="I5352" i="1"/>
  <c r="J5351" i="1"/>
  <c r="I5351" i="1"/>
  <c r="J5349" i="1"/>
  <c r="I5349" i="1"/>
  <c r="I5347" i="1"/>
  <c r="I5296" i="1"/>
  <c r="I5131" i="1"/>
  <c r="J4969" i="1"/>
  <c r="J4966" i="1"/>
  <c r="J4965" i="1"/>
  <c r="J4964" i="1"/>
  <c r="J4962" i="1"/>
  <c r="J4958" i="1"/>
  <c r="J4957" i="1"/>
  <c r="J4956" i="1"/>
  <c r="J4948" i="1"/>
  <c r="J4920" i="1"/>
  <c r="J4919" i="1"/>
  <c r="I4919" i="1"/>
  <c r="J4888" i="1"/>
  <c r="J4882" i="1"/>
  <c r="J4846" i="1"/>
  <c r="I4846" i="1"/>
  <c r="J4844" i="1"/>
  <c r="I4844" i="1"/>
  <c r="J4842" i="1"/>
  <c r="I4842" i="1"/>
  <c r="J4838" i="1"/>
  <c r="I4838" i="1"/>
  <c r="J4835" i="1"/>
  <c r="I4835" i="1"/>
  <c r="J4834" i="1"/>
  <c r="I4834" i="1"/>
  <c r="J4833" i="1"/>
  <c r="I4833" i="1"/>
  <c r="J4829" i="1"/>
  <c r="I4829" i="1"/>
  <c r="J4828" i="1"/>
  <c r="I4828" i="1"/>
  <c r="J4814" i="1"/>
  <c r="I4814" i="1"/>
  <c r="J4813" i="1"/>
  <c r="I4813" i="1"/>
  <c r="J4806" i="1"/>
  <c r="I4806" i="1"/>
  <c r="J4803" i="1"/>
  <c r="I4803" i="1"/>
  <c r="J4802" i="1"/>
  <c r="I4802" i="1"/>
  <c r="J4801" i="1"/>
  <c r="I4801" i="1"/>
  <c r="J4799" i="1"/>
  <c r="I4799" i="1"/>
  <c r="I4986" i="1" s="1"/>
  <c r="J4516" i="1"/>
  <c r="J4515" i="1"/>
  <c r="J4514" i="1"/>
  <c r="I4514" i="1"/>
  <c r="J4513" i="1"/>
  <c r="J4511" i="1"/>
  <c r="I4511" i="1"/>
  <c r="J4509" i="1"/>
  <c r="J4508" i="1"/>
  <c r="J4505" i="1"/>
  <c r="J4491" i="1"/>
  <c r="I4491" i="1"/>
  <c r="J4490" i="1"/>
  <c r="I4490" i="1"/>
  <c r="J4461" i="1"/>
  <c r="J4426" i="1"/>
  <c r="I4426" i="1"/>
  <c r="J4425" i="1"/>
  <c r="I4425" i="1"/>
  <c r="J4421" i="1"/>
  <c r="I4421" i="1"/>
  <c r="J4417" i="1"/>
  <c r="I4417" i="1"/>
  <c r="J4411" i="1"/>
  <c r="J4410" i="1"/>
  <c r="I4410" i="1"/>
  <c r="J4409" i="1"/>
  <c r="I4409" i="1"/>
  <c r="I4404" i="1"/>
  <c r="J4402" i="1"/>
  <c r="I4402" i="1"/>
  <c r="I4394" i="1"/>
  <c r="J4315" i="1"/>
  <c r="J4314" i="1"/>
  <c r="J4304" i="1"/>
  <c r="J4303" i="1"/>
  <c r="I4303" i="1"/>
  <c r="J4300" i="1"/>
  <c r="J4296" i="1"/>
  <c r="I4296" i="1"/>
  <c r="J4292" i="1"/>
  <c r="J4249" i="1"/>
  <c r="J4217" i="1"/>
  <c r="J4207" i="1"/>
  <c r="J4206" i="1"/>
  <c r="J4205" i="1"/>
  <c r="J4193" i="1"/>
  <c r="I4190" i="1"/>
  <c r="J4187" i="1"/>
  <c r="J4185" i="1"/>
  <c r="J4184" i="1"/>
  <c r="J4179" i="1"/>
  <c r="I4179" i="1"/>
  <c r="J4178" i="1"/>
  <c r="I4178" i="1"/>
  <c r="J4173" i="1"/>
  <c r="I4173" i="1"/>
  <c r="J4160" i="1"/>
  <c r="I4124" i="1"/>
  <c r="J4065" i="1"/>
  <c r="J4060" i="1"/>
  <c r="J4055" i="1"/>
  <c r="J4052" i="1"/>
  <c r="J4047" i="1"/>
  <c r="J4028" i="1"/>
  <c r="I3993" i="1"/>
  <c r="J3986" i="1"/>
  <c r="J3985" i="1"/>
  <c r="J3982" i="1"/>
  <c r="I3831" i="1"/>
  <c r="J3731" i="1"/>
  <c r="I3731" i="1"/>
  <c r="J3730" i="1"/>
  <c r="I3730" i="1"/>
  <c r="J3728" i="1"/>
  <c r="I3728" i="1"/>
  <c r="J3725" i="1"/>
  <c r="I3725" i="1"/>
  <c r="I3724" i="1"/>
  <c r="J3719" i="1"/>
  <c r="I3719" i="1"/>
  <c r="J3660" i="1"/>
  <c r="J3653" i="1"/>
  <c r="J3652" i="1"/>
  <c r="J3648" i="1"/>
  <c r="J3647" i="1"/>
  <c r="J3646" i="1"/>
  <c r="I3646" i="1"/>
  <c r="I3642" i="1"/>
  <c r="J3641" i="1"/>
  <c r="J3640" i="1"/>
  <c r="I3640" i="1"/>
  <c r="J3638" i="1"/>
  <c r="J3633" i="1"/>
  <c r="I3633" i="1"/>
  <c r="J3631" i="1"/>
  <c r="I3631" i="1"/>
  <c r="J3630" i="1"/>
  <c r="J3409" i="1"/>
  <c r="J3408" i="1"/>
  <c r="J3406" i="1"/>
  <c r="I3406" i="1"/>
  <c r="J3403" i="1"/>
  <c r="I3077" i="1"/>
  <c r="J2966" i="1"/>
  <c r="J2962" i="1"/>
  <c r="J2943" i="1"/>
  <c r="J2942" i="1"/>
  <c r="J2913" i="1"/>
  <c r="J2889" i="1"/>
  <c r="J2887" i="1"/>
  <c r="J2883" i="1"/>
  <c r="J2881" i="1"/>
  <c r="I2881" i="1"/>
  <c r="J2878" i="1"/>
  <c r="J2877" i="1"/>
  <c r="J2876" i="1"/>
  <c r="J2875" i="1"/>
  <c r="J2873" i="1"/>
  <c r="J2872" i="1"/>
  <c r="J2779" i="1"/>
  <c r="J2776" i="1"/>
  <c r="J2775" i="1"/>
  <c r="J2771" i="1"/>
  <c r="J2769" i="1"/>
  <c r="J2764" i="1"/>
  <c r="J2759" i="1"/>
  <c r="J2756" i="1"/>
  <c r="J2752" i="1"/>
  <c r="J2750" i="1"/>
  <c r="J2702" i="1"/>
  <c r="I2702" i="1"/>
  <c r="J2680" i="1"/>
  <c r="I2680" i="1"/>
  <c r="J2676" i="1"/>
  <c r="J2675" i="1"/>
  <c r="J2673" i="1"/>
  <c r="I2673" i="1"/>
  <c r="J2670" i="1"/>
  <c r="I2670" i="1"/>
  <c r="J2669" i="1"/>
  <c r="J2668" i="1"/>
  <c r="J2666" i="1"/>
  <c r="I2666" i="1"/>
  <c r="J2665" i="1"/>
  <c r="J2664" i="1"/>
  <c r="I2664" i="1"/>
  <c r="I2573" i="1"/>
  <c r="J2557" i="1"/>
  <c r="J2556" i="1"/>
  <c r="I2556" i="1"/>
  <c r="J2468" i="1"/>
  <c r="J2467" i="1"/>
  <c r="J2466" i="1"/>
  <c r="I2466" i="1"/>
  <c r="J2465" i="1"/>
  <c r="J2464" i="1"/>
  <c r="I2464" i="1"/>
  <c r="J2463" i="1"/>
  <c r="J2462" i="1"/>
  <c r="J2461" i="1"/>
  <c r="I2461" i="1"/>
  <c r="J2458" i="1"/>
  <c r="J2456" i="1"/>
  <c r="J2455" i="1"/>
  <c r="J2452" i="1"/>
  <c r="J2374" i="1"/>
  <c r="J2372" i="1"/>
  <c r="J2371" i="1"/>
  <c r="J2351" i="1"/>
  <c r="J2281" i="1"/>
  <c r="J2280" i="1"/>
  <c r="J2262" i="1"/>
  <c r="I2262" i="1"/>
  <c r="J2259" i="1"/>
  <c r="I2259" i="1"/>
  <c r="J2258" i="1"/>
  <c r="I2258" i="1"/>
  <c r="J2257" i="1"/>
  <c r="I2257" i="1"/>
  <c r="J2255" i="1"/>
  <c r="I2255" i="1"/>
  <c r="J2252" i="1"/>
  <c r="I2252" i="1"/>
  <c r="J2251" i="1"/>
  <c r="I2251" i="1"/>
  <c r="I2250" i="1"/>
  <c r="J2249" i="1"/>
  <c r="I2249" i="1"/>
  <c r="J2248" i="1"/>
  <c r="I2248" i="1"/>
  <c r="J2247" i="1"/>
  <c r="I2247" i="1"/>
  <c r="J2246" i="1"/>
  <c r="I2246" i="1"/>
  <c r="J2245" i="1"/>
  <c r="I2245" i="1"/>
  <c r="J2244" i="1"/>
  <c r="I2244" i="1"/>
  <c r="J2243" i="1"/>
  <c r="I2243" i="1"/>
  <c r="J2242" i="1"/>
  <c r="I2242" i="1"/>
  <c r="J2241" i="1"/>
  <c r="I2241" i="1"/>
  <c r="J2107" i="1"/>
  <c r="J2105" i="1"/>
  <c r="J2104" i="1"/>
  <c r="J2097" i="1"/>
  <c r="J2096" i="1"/>
  <c r="J2094" i="1"/>
  <c r="J2090" i="1"/>
  <c r="J2089" i="1"/>
  <c r="J2074" i="1"/>
  <c r="J2069" i="1"/>
  <c r="J2009" i="1"/>
  <c r="J1996" i="1"/>
  <c r="J1995" i="1"/>
  <c r="J1994" i="1"/>
  <c r="J1993" i="1"/>
  <c r="J1989" i="1"/>
  <c r="I1989" i="1"/>
  <c r="J1988" i="1"/>
  <c r="J1986" i="1"/>
  <c r="J1983" i="1"/>
  <c r="J1982" i="1"/>
  <c r="J1981" i="1"/>
  <c r="J1973" i="1"/>
  <c r="J1969" i="1"/>
  <c r="I1969" i="1"/>
  <c r="J1961" i="1"/>
  <c r="J1960" i="1"/>
  <c r="J1957" i="1"/>
  <c r="I1957" i="1"/>
  <c r="J1954" i="1"/>
  <c r="I1954" i="1"/>
  <c r="J1953" i="1"/>
  <c r="I1953" i="1"/>
  <c r="J1951" i="1"/>
  <c r="I1951" i="1"/>
  <c r="J1950" i="1"/>
  <c r="I1950" i="1"/>
  <c r="I1948" i="1"/>
  <c r="I1492" i="1"/>
  <c r="J1471" i="1"/>
  <c r="I1471" i="1"/>
  <c r="J1468" i="1"/>
  <c r="J1466" i="1"/>
  <c r="I1466" i="1"/>
  <c r="J1464" i="1"/>
  <c r="J1462" i="1"/>
  <c r="I1461" i="1"/>
  <c r="J1460" i="1"/>
  <c r="I1460" i="1"/>
  <c r="J1454" i="1"/>
  <c r="J1453" i="1"/>
  <c r="I1453" i="1"/>
  <c r="J1442" i="1"/>
  <c r="J1435" i="1"/>
  <c r="J1428" i="1"/>
  <c r="I1428" i="1"/>
  <c r="J1418" i="1"/>
  <c r="I1418" i="1"/>
  <c r="J1416" i="1"/>
  <c r="J1414" i="1"/>
  <c r="I1414" i="1"/>
  <c r="J1411" i="1"/>
  <c r="I1411" i="1"/>
  <c r="J1410" i="1"/>
  <c r="J1395" i="1"/>
  <c r="I1395" i="1"/>
  <c r="J1387" i="1"/>
  <c r="J1384" i="1"/>
  <c r="J1383" i="1"/>
  <c r="J1381" i="1"/>
  <c r="J1379" i="1"/>
  <c r="I1379" i="1"/>
  <c r="J1362" i="1"/>
  <c r="I1362" i="1"/>
  <c r="J1355" i="1"/>
  <c r="I1355" i="1"/>
  <c r="J1349" i="1"/>
  <c r="I1349" i="1"/>
  <c r="J1342" i="1"/>
  <c r="J1334" i="1"/>
  <c r="I1334" i="1"/>
  <c r="J1327" i="1"/>
  <c r="J1322" i="1"/>
  <c r="I1322" i="1"/>
  <c r="J1312" i="1"/>
  <c r="J1304" i="1"/>
  <c r="J1288" i="1"/>
  <c r="I1288" i="1"/>
  <c r="J1137" i="1"/>
  <c r="I1137" i="1"/>
  <c r="J1126" i="1"/>
  <c r="I1126" i="1"/>
  <c r="I1118" i="1"/>
  <c r="J1051" i="1"/>
  <c r="I1051" i="1"/>
  <c r="J1049" i="1"/>
  <c r="I1049" i="1"/>
  <c r="J1045" i="1"/>
  <c r="I1045" i="1"/>
  <c r="I1040" i="1"/>
  <c r="J1039" i="1"/>
  <c r="I1031" i="1"/>
  <c r="J1008" i="1"/>
  <c r="J995" i="1"/>
  <c r="J990" i="1"/>
  <c r="J984" i="1"/>
  <c r="J980" i="1"/>
  <c r="J972" i="1"/>
  <c r="J971" i="1"/>
  <c r="J970" i="1"/>
  <c r="J968" i="1"/>
  <c r="I968" i="1"/>
  <c r="J967" i="1"/>
  <c r="J966" i="1"/>
  <c r="I963" i="1"/>
  <c r="J920" i="1"/>
  <c r="I920" i="1"/>
  <c r="J908" i="1"/>
  <c r="I908" i="1"/>
  <c r="J906" i="1"/>
  <c r="I906" i="1"/>
  <c r="J898" i="1"/>
  <c r="I898" i="1"/>
  <c r="J896" i="1"/>
  <c r="I896" i="1"/>
  <c r="J890" i="1"/>
  <c r="I890" i="1"/>
  <c r="J847" i="1"/>
  <c r="J840" i="1"/>
  <c r="J839" i="1"/>
  <c r="J838" i="1"/>
  <c r="J837" i="1"/>
  <c r="J768" i="1"/>
  <c r="I768" i="1"/>
  <c r="J761" i="1"/>
  <c r="I761" i="1"/>
  <c r="J751" i="1"/>
  <c r="I751" i="1"/>
  <c r="J750" i="1"/>
  <c r="J748" i="1"/>
  <c r="I748" i="1"/>
  <c r="J745" i="1"/>
  <c r="J743" i="1"/>
  <c r="I743" i="1"/>
  <c r="J742" i="1"/>
  <c r="I742" i="1"/>
  <c r="J741" i="1"/>
  <c r="J739" i="1"/>
  <c r="I714" i="1"/>
  <c r="J653" i="1"/>
  <c r="I653" i="1"/>
  <c r="J642" i="1"/>
  <c r="J633" i="1"/>
  <c r="J632" i="1"/>
  <c r="J631" i="1"/>
  <c r="J630" i="1"/>
  <c r="J629" i="1"/>
  <c r="J626" i="1"/>
  <c r="I626" i="1"/>
  <c r="J527" i="1"/>
  <c r="I527" i="1"/>
  <c r="I375" i="1"/>
  <c r="J374" i="1"/>
  <c r="J371" i="1"/>
  <c r="J370" i="1"/>
  <c r="J358" i="1"/>
  <c r="J352" i="1"/>
  <c r="J320" i="1"/>
  <c r="J319" i="1"/>
  <c r="J317" i="1"/>
  <c r="J224" i="1"/>
  <c r="I224" i="1"/>
  <c r="J219" i="1"/>
  <c r="I219" i="1"/>
  <c r="J214" i="1"/>
  <c r="I214" i="1"/>
  <c r="J213" i="1"/>
  <c r="I213" i="1"/>
  <c r="J210" i="1"/>
  <c r="I210" i="1"/>
  <c r="J204" i="1"/>
  <c r="I204" i="1"/>
  <c r="J202" i="1"/>
  <c r="I202" i="1"/>
  <c r="J200" i="1"/>
  <c r="I200" i="1"/>
  <c r="J196" i="1"/>
  <c r="I196" i="1"/>
  <c r="J195" i="1"/>
  <c r="I195" i="1"/>
  <c r="J194" i="1"/>
  <c r="I194" i="1"/>
  <c r="J193" i="1"/>
  <c r="I193" i="1"/>
  <c r="J190" i="1"/>
  <c r="I190" i="1"/>
  <c r="I1149" i="9" l="1"/>
  <c r="I1539" i="9"/>
  <c r="I4948" i="9"/>
  <c r="I4753" i="9"/>
  <c r="I2179" i="9"/>
  <c r="J167" i="9"/>
  <c r="J404" i="9"/>
  <c r="J2177" i="9"/>
  <c r="J2179" i="9"/>
  <c r="J2420" i="9"/>
  <c r="J2425" i="9" s="1"/>
  <c r="I2425" i="9"/>
  <c r="J2587" i="9"/>
  <c r="I2587" i="9"/>
  <c r="I2589" i="9" s="1"/>
  <c r="J1147" i="9"/>
  <c r="J1149" i="9"/>
  <c r="J1531" i="9"/>
  <c r="J1534" i="9"/>
  <c r="J2173" i="9"/>
  <c r="I4101" i="9"/>
  <c r="I4102" i="9" s="1"/>
  <c r="I4512" i="9"/>
  <c r="I4514" i="9" s="1"/>
  <c r="I5458" i="9"/>
  <c r="I5460" i="9" s="1"/>
  <c r="J5458" i="9"/>
  <c r="J5460" i="9" s="1"/>
  <c r="I5741" i="9"/>
  <c r="I5742" i="9" s="1"/>
  <c r="I5975" i="9"/>
  <c r="I5976" i="9" s="1"/>
  <c r="J2589" i="9"/>
  <c r="I2177" i="9"/>
  <c r="I2182" i="9" s="1"/>
  <c r="J2789" i="9"/>
  <c r="J2791" i="9" s="1"/>
  <c r="I2789" i="9"/>
  <c r="I2791" i="9" s="1"/>
  <c r="I2988" i="9"/>
  <c r="I2994" i="9" s="1"/>
  <c r="J2988" i="9"/>
  <c r="J2991" i="9"/>
  <c r="J3538" i="9"/>
  <c r="J3539" i="9" s="1"/>
  <c r="I3735" i="9"/>
  <c r="J3735" i="9"/>
  <c r="I3739" i="9"/>
  <c r="J3739" i="9"/>
  <c r="J4101" i="9"/>
  <c r="J4102" i="9" s="1"/>
  <c r="I4321" i="9"/>
  <c r="I4323" i="9" s="1"/>
  <c r="J4321" i="9"/>
  <c r="J4323" i="9" s="1"/>
  <c r="J4512" i="9"/>
  <c r="J4514" i="9" s="1"/>
  <c r="J4948" i="9"/>
  <c r="J4949" i="9" s="1"/>
  <c r="I5267" i="9"/>
  <c r="I5268" i="9"/>
  <c r="J5741" i="9"/>
  <c r="J5742" i="9" s="1"/>
  <c r="J5975" i="9"/>
  <c r="I3539" i="9"/>
  <c r="I4949" i="9"/>
  <c r="J5272" i="9"/>
  <c r="C150" i="12"/>
  <c r="L2" i="12"/>
  <c r="K2" i="12"/>
  <c r="J2" i="12"/>
  <c r="J157" i="13"/>
  <c r="J160" i="13" s="1"/>
  <c r="I157" i="13"/>
  <c r="I160" i="13" s="1"/>
  <c r="G2" i="12"/>
  <c r="F2" i="12"/>
  <c r="E2" i="12"/>
  <c r="H2" i="12"/>
  <c r="J1539" i="9" l="1"/>
  <c r="I5272" i="9"/>
  <c r="J3744" i="9"/>
  <c r="I3744" i="9"/>
  <c r="J2994" i="9"/>
  <c r="J51" i="10"/>
  <c r="B23" i="8"/>
  <c r="J1181" i="1"/>
  <c r="I1181" i="1"/>
  <c r="J1792" i="1"/>
  <c r="I1792" i="1"/>
  <c r="J1242" i="1"/>
  <c r="I1242" i="1"/>
  <c r="B24" i="8" l="1"/>
  <c r="B25" i="8" s="1"/>
  <c r="B27" i="8" s="1"/>
  <c r="J1803" i="1" l="1"/>
  <c r="I1803" i="1"/>
  <c r="I5009" i="1"/>
  <c r="I1193" i="1"/>
  <c r="I1243" i="1"/>
  <c r="AR18" i="8" l="1"/>
  <c r="I2598" i="1" l="1"/>
  <c r="H4" i="8" s="1"/>
  <c r="J4782" i="1" l="1"/>
  <c r="J4784" i="1"/>
  <c r="J4785" i="1"/>
  <c r="J4786" i="1"/>
  <c r="J4787" i="1"/>
  <c r="J4788" i="1"/>
  <c r="I4549" i="1"/>
  <c r="J4538" i="1"/>
  <c r="J4539" i="1"/>
  <c r="J4541" i="1"/>
  <c r="J4346" i="1"/>
  <c r="J4347" i="1"/>
  <c r="J4349" i="1"/>
  <c r="J4126" i="1"/>
  <c r="J4127" i="1"/>
  <c r="J3758" i="1"/>
  <c r="J3760" i="1"/>
  <c r="J3761" i="1"/>
  <c r="J3762" i="1"/>
  <c r="J3764" i="1"/>
  <c r="J3766" i="1"/>
  <c r="J3767" i="1"/>
  <c r="J3556" i="1"/>
  <c r="J3557" i="1"/>
  <c r="J3000" i="1"/>
  <c r="J3002" i="1"/>
  <c r="J3003" i="1"/>
  <c r="J3005" i="1"/>
  <c r="J2799" i="1"/>
  <c r="J2800" i="1"/>
  <c r="J2801" i="1"/>
  <c r="J2803" i="1"/>
  <c r="J2597" i="1"/>
  <c r="J2598" i="1"/>
  <c r="J2599" i="1"/>
  <c r="J2601" i="1"/>
  <c r="J1542" i="1"/>
  <c r="J1543" i="1"/>
  <c r="J1540" i="1"/>
  <c r="J1538" i="1"/>
  <c r="J1537" i="1"/>
  <c r="J1535" i="1"/>
  <c r="J1534" i="1"/>
  <c r="J3591" i="1"/>
  <c r="I3591" i="1"/>
  <c r="J3582" i="1"/>
  <c r="I3582" i="1"/>
  <c r="I3759" i="1" s="1"/>
  <c r="T4" i="8" s="1"/>
  <c r="I4785" i="1" l="1"/>
  <c r="D8" i="8" s="1"/>
  <c r="I5308" i="1" l="1"/>
  <c r="AF8" i="8" s="1"/>
  <c r="I167" i="1"/>
  <c r="I3558" i="1" l="1"/>
  <c r="I471" i="1"/>
  <c r="I1148" i="1" s="1"/>
  <c r="I1739" i="1"/>
  <c r="I1203" i="1"/>
  <c r="I1748" i="1"/>
  <c r="I1771" i="1"/>
  <c r="I1690" i="1"/>
  <c r="I1689" i="1"/>
  <c r="I1764" i="1"/>
  <c r="I1216" i="1"/>
  <c r="I1179" i="1"/>
  <c r="I1162" i="1"/>
  <c r="I1159" i="1"/>
  <c r="I1222" i="1"/>
  <c r="I1214" i="1"/>
  <c r="I1213" i="1"/>
  <c r="I2844" i="1"/>
  <c r="I2843" i="1"/>
  <c r="I2842" i="1"/>
  <c r="I1201" i="1"/>
  <c r="I1198" i="1"/>
  <c r="I1194" i="1"/>
  <c r="J5302" i="1"/>
  <c r="I5302" i="1"/>
  <c r="I2160" i="1"/>
  <c r="I2159" i="1"/>
  <c r="I6020" i="1"/>
  <c r="I4787" i="1"/>
  <c r="I2188" i="1" l="1"/>
  <c r="I5499" i="1"/>
  <c r="I2431" i="1"/>
  <c r="I4128" i="1"/>
  <c r="I6021" i="1"/>
  <c r="I4786" i="1" l="1"/>
  <c r="I2191" i="1"/>
  <c r="I5500" i="1"/>
  <c r="I1543" i="1"/>
  <c r="I4127" i="1"/>
  <c r="I5782" i="1"/>
  <c r="I5498" i="1"/>
  <c r="I4985" i="1"/>
  <c r="I4784" i="1"/>
  <c r="I4539" i="1"/>
  <c r="I4347" i="1"/>
  <c r="L11" i="8" s="1"/>
  <c r="I3760" i="1"/>
  <c r="I3557" i="1"/>
  <c r="I3002" i="1"/>
  <c r="J11" i="8" s="1"/>
  <c r="I2801" i="1"/>
  <c r="I2599" i="1"/>
  <c r="H11" i="8" s="1"/>
  <c r="I2185" i="1"/>
  <c r="B11" i="8" s="1"/>
  <c r="I1537" i="1"/>
  <c r="AL11" i="8" s="1"/>
  <c r="I1149" i="1"/>
  <c r="I404" i="1"/>
  <c r="P11" i="8" s="1"/>
  <c r="AN11" i="8"/>
  <c r="AP11" i="8"/>
  <c r="D11" i="8"/>
  <c r="N11" i="8" l="1"/>
  <c r="I3000" i="1"/>
  <c r="I2800" i="1"/>
  <c r="I2597" i="1"/>
  <c r="I2430" i="1"/>
  <c r="I2183" i="1"/>
  <c r="I1535" i="1"/>
  <c r="J2183" i="1"/>
  <c r="I1534" i="1"/>
  <c r="J1148" i="1"/>
  <c r="I403" i="1"/>
  <c r="I166" i="1"/>
  <c r="I2799" i="1" l="1"/>
  <c r="AP10" i="8" l="1"/>
  <c r="AP16" i="8"/>
  <c r="AP13" i="8"/>
  <c r="J6019" i="1" l="1"/>
  <c r="J6020" i="1"/>
  <c r="I6019" i="1"/>
  <c r="J5781" i="1"/>
  <c r="J5782" i="1"/>
  <c r="AH11" i="8"/>
  <c r="I5781" i="1"/>
  <c r="AH10" i="8" s="1"/>
  <c r="J5497" i="1"/>
  <c r="J5498" i="1"/>
  <c r="J5500" i="1"/>
  <c r="AD11" i="8"/>
  <c r="I5497" i="1"/>
  <c r="J5305" i="1"/>
  <c r="J5306" i="1"/>
  <c r="J5308" i="1"/>
  <c r="J5310" i="1"/>
  <c r="J5311" i="1"/>
  <c r="I5311" i="1"/>
  <c r="AF15" i="8" s="1"/>
  <c r="I5310" i="1"/>
  <c r="AF9" i="8" s="1"/>
  <c r="I5306" i="1"/>
  <c r="AF10" i="8" s="1"/>
  <c r="I5305" i="1"/>
  <c r="AF3" i="8" s="1"/>
  <c r="J4984" i="1"/>
  <c r="J4985" i="1"/>
  <c r="AB11" i="8"/>
  <c r="I4984" i="1"/>
  <c r="AB10" i="8" s="1"/>
  <c r="I4788" i="1"/>
  <c r="D9" i="8" s="1"/>
  <c r="D6" i="8"/>
  <c r="D12" i="8"/>
  <c r="I4782" i="1"/>
  <c r="D10" i="8" s="1"/>
  <c r="J4549" i="1"/>
  <c r="I4541" i="1"/>
  <c r="V12" i="8" s="1"/>
  <c r="V11" i="8"/>
  <c r="I4538" i="1"/>
  <c r="V10" i="8" s="1"/>
  <c r="I4349" i="1"/>
  <c r="L12" i="8" s="1"/>
  <c r="I4346" i="1"/>
  <c r="L10" i="8" s="1"/>
  <c r="I4126" i="1"/>
  <c r="I3767" i="1"/>
  <c r="T14" i="8" s="1"/>
  <c r="I3766" i="1"/>
  <c r="T9" i="8" s="1"/>
  <c r="I3762" i="1"/>
  <c r="T5" i="8" s="1"/>
  <c r="I3761" i="1"/>
  <c r="T15" i="8" s="1"/>
  <c r="T11" i="8"/>
  <c r="I3758" i="1"/>
  <c r="T3" i="8" s="1"/>
  <c r="Z11" i="8"/>
  <c r="I3556" i="1"/>
  <c r="I3005" i="1"/>
  <c r="J6" i="8" s="1"/>
  <c r="I3003" i="1"/>
  <c r="J5" i="8" s="1"/>
  <c r="J10" i="8"/>
  <c r="I2803" i="1"/>
  <c r="AN9" i="8" s="1"/>
  <c r="AN10" i="8"/>
  <c r="AN3" i="8"/>
  <c r="I2601" i="1"/>
  <c r="H12" i="8" s="1"/>
  <c r="H10" i="8"/>
  <c r="Z10" i="8" l="1"/>
  <c r="N10" i="8"/>
  <c r="AD10" i="8"/>
  <c r="AD12" i="8"/>
  <c r="J2430" i="1"/>
  <c r="J2434" i="1"/>
  <c r="J2435" i="1"/>
  <c r="I2435" i="1"/>
  <c r="F9" i="8" s="1"/>
  <c r="I2434" i="1"/>
  <c r="F12" i="8" s="1"/>
  <c r="F10" i="8"/>
  <c r="J2185" i="1"/>
  <c r="J2186" i="1"/>
  <c r="J2187" i="1"/>
  <c r="J2191" i="1"/>
  <c r="J2192" i="1"/>
  <c r="I2192" i="1"/>
  <c r="B9" i="8" s="1"/>
  <c r="B12" i="8"/>
  <c r="I2187" i="1"/>
  <c r="B5" i="8" s="1"/>
  <c r="I2186" i="1"/>
  <c r="B15" i="8" s="1"/>
  <c r="B10" i="8"/>
  <c r="AL9" i="8"/>
  <c r="I1542" i="1"/>
  <c r="AL12" i="8" s="1"/>
  <c r="I1538" i="1"/>
  <c r="AL15" i="8" s="1"/>
  <c r="AL10" i="8"/>
  <c r="AL3" i="8"/>
  <c r="J1149" i="1"/>
  <c r="AJ11" i="8"/>
  <c r="AJ10" i="8"/>
  <c r="J1151" i="1"/>
  <c r="I1151" i="1"/>
  <c r="AJ12" i="8" s="1"/>
  <c r="J403" i="1"/>
  <c r="J404" i="1"/>
  <c r="P10" i="8"/>
  <c r="J166" i="1"/>
  <c r="X10" i="8"/>
  <c r="J1746" i="1" l="1"/>
  <c r="I1746" i="1"/>
  <c r="J5309" i="1" l="1"/>
  <c r="I5309" i="1"/>
  <c r="AF7" i="8" s="1"/>
  <c r="J3753" i="1"/>
  <c r="I3753" i="1"/>
  <c r="J3752" i="1"/>
  <c r="I3752" i="1"/>
  <c r="I3764" i="1"/>
  <c r="T6" i="8" s="1"/>
  <c r="J3751" i="1"/>
  <c r="I3751" i="1"/>
  <c r="J2427" i="1"/>
  <c r="I2427" i="1"/>
  <c r="I2417" i="1"/>
  <c r="J2417" i="1"/>
  <c r="J2423" i="1"/>
  <c r="I2423" i="1"/>
  <c r="J2422" i="1"/>
  <c r="I2422" i="1"/>
  <c r="J2426" i="1"/>
  <c r="I2426" i="1"/>
  <c r="J2421" i="1"/>
  <c r="I2421" i="1"/>
  <c r="J2425" i="1"/>
  <c r="I2425" i="1"/>
  <c r="J2424" i="1"/>
  <c r="I2424" i="1"/>
  <c r="J2420" i="1"/>
  <c r="I2420" i="1"/>
  <c r="J2419" i="1"/>
  <c r="I2419" i="1"/>
  <c r="J2418" i="1"/>
  <c r="I2418" i="1"/>
  <c r="J1529" i="1"/>
  <c r="I1529" i="1"/>
  <c r="J1528" i="1"/>
  <c r="I1528" i="1"/>
  <c r="J1526" i="1"/>
  <c r="I1526" i="1"/>
  <c r="J1527" i="1"/>
  <c r="I1527" i="1"/>
  <c r="J1525" i="1"/>
  <c r="I1525" i="1"/>
  <c r="J1524" i="1"/>
  <c r="I1524" i="1"/>
  <c r="J1523" i="1"/>
  <c r="I1523" i="1"/>
  <c r="J1522" i="1"/>
  <c r="I1522" i="1"/>
  <c r="J1521" i="1"/>
  <c r="I1521" i="1"/>
  <c r="J1520" i="1"/>
  <c r="I1520" i="1"/>
  <c r="J2168" i="1"/>
  <c r="I2168" i="1"/>
  <c r="J2172" i="1"/>
  <c r="I2172" i="1"/>
  <c r="J2167" i="1"/>
  <c r="I2167" i="1"/>
  <c r="J2159" i="1"/>
  <c r="J2170" i="1"/>
  <c r="I2170" i="1"/>
  <c r="J2173" i="1"/>
  <c r="I2173" i="1"/>
  <c r="J2175" i="1"/>
  <c r="I2175" i="1"/>
  <c r="J2157" i="1"/>
  <c r="J2166" i="1"/>
  <c r="I2166" i="1"/>
  <c r="J2171" i="1"/>
  <c r="I2171" i="1"/>
  <c r="J2160" i="1"/>
  <c r="J2165" i="1"/>
  <c r="I2165" i="1"/>
  <c r="J2998" i="1"/>
  <c r="I2998" i="1"/>
  <c r="J2999" i="1"/>
  <c r="I2999" i="1"/>
  <c r="J2997" i="1"/>
  <c r="I2997" i="1"/>
  <c r="J2996" i="1"/>
  <c r="J3006" i="1" s="1"/>
  <c r="I2996" i="1"/>
  <c r="I3006" i="1" s="1"/>
  <c r="J7" i="8" s="1"/>
  <c r="J2163" i="1"/>
  <c r="I2163" i="1"/>
  <c r="J2162" i="1"/>
  <c r="I2162" i="1"/>
  <c r="J2161" i="1"/>
  <c r="I2161" i="1"/>
  <c r="J1518" i="1"/>
  <c r="I1518" i="1"/>
  <c r="J1519" i="1"/>
  <c r="I1519" i="1"/>
  <c r="J1820" i="1"/>
  <c r="I1820" i="1"/>
  <c r="J1789" i="1"/>
  <c r="I1789" i="1"/>
  <c r="J1807" i="1"/>
  <c r="I1807" i="1"/>
  <c r="J1818" i="1"/>
  <c r="I1818" i="1"/>
  <c r="J1808" i="1"/>
  <c r="I1808" i="1"/>
  <c r="J1809" i="1"/>
  <c r="I1809" i="1"/>
  <c r="J1785" i="1"/>
  <c r="I1785" i="1"/>
  <c r="J1787" i="1"/>
  <c r="I1787" i="1"/>
  <c r="J1786" i="1"/>
  <c r="I1786" i="1"/>
  <c r="J1822" i="1"/>
  <c r="I1822" i="1"/>
  <c r="J1801" i="1"/>
  <c r="I1801" i="1"/>
  <c r="J1802" i="1"/>
  <c r="I1802" i="1"/>
  <c r="J1782" i="1"/>
  <c r="I1782" i="1"/>
  <c r="J1783" i="1"/>
  <c r="I1783" i="1"/>
  <c r="J1824" i="1"/>
  <c r="I1824" i="1"/>
  <c r="J1821" i="1"/>
  <c r="I1821" i="1"/>
  <c r="J1806" i="1"/>
  <c r="I1806" i="1"/>
  <c r="J1815" i="1"/>
  <c r="I1815" i="1"/>
  <c r="J1784" i="1"/>
  <c r="I1784" i="1"/>
  <c r="J1805" i="1"/>
  <c r="I1805" i="1"/>
  <c r="J1788" i="1"/>
  <c r="I1788" i="1"/>
  <c r="J1799" i="1"/>
  <c r="I1799" i="1"/>
  <c r="J1800" i="1"/>
  <c r="I1800" i="1"/>
  <c r="J1797" i="1"/>
  <c r="I1797" i="1"/>
  <c r="J1758" i="1"/>
  <c r="I1758" i="1"/>
  <c r="J1781" i="1"/>
  <c r="I1781" i="1"/>
  <c r="J1780" i="1"/>
  <c r="I1780" i="1"/>
  <c r="J1778" i="1"/>
  <c r="I1778" i="1"/>
  <c r="J1795" i="1"/>
  <c r="I1795" i="1"/>
  <c r="J1756" i="1"/>
  <c r="I1756" i="1"/>
  <c r="J1760" i="1"/>
  <c r="I1760" i="1"/>
  <c r="J1757" i="1"/>
  <c r="I1757" i="1"/>
  <c r="J1755" i="1"/>
  <c r="I1755" i="1"/>
  <c r="J1773" i="1"/>
  <c r="I1773" i="1"/>
  <c r="J1777" i="1"/>
  <c r="I1777" i="1"/>
  <c r="J1766" i="1"/>
  <c r="I1766" i="1"/>
  <c r="J1774" i="1"/>
  <c r="I1774" i="1"/>
  <c r="J1776" i="1"/>
  <c r="I1776" i="1"/>
  <c r="J1250" i="1"/>
  <c r="I1250" i="1"/>
  <c r="J1249" i="1"/>
  <c r="I1249" i="1"/>
  <c r="J1252" i="1"/>
  <c r="I1252" i="1"/>
  <c r="J1243" i="1"/>
  <c r="J1241" i="1"/>
  <c r="I1241" i="1"/>
  <c r="J3765" i="1" l="1"/>
  <c r="J1541" i="1"/>
  <c r="I3765" i="1"/>
  <c r="T7" i="8" s="1"/>
  <c r="I2433" i="1"/>
  <c r="J2433" i="1"/>
  <c r="I1541" i="1"/>
  <c r="AL7" i="8" s="1"/>
  <c r="B11" i="6" l="1"/>
  <c r="B10" i="6"/>
  <c r="B9" i="6"/>
  <c r="B8" i="6"/>
  <c r="B7" i="6"/>
  <c r="B6" i="6"/>
  <c r="B5" i="6"/>
  <c r="B4" i="6"/>
  <c r="B3" i="6"/>
  <c r="B2" i="6"/>
  <c r="B1" i="6"/>
  <c r="B12" i="6" s="1"/>
  <c r="L1997" i="5"/>
  <c r="J2355" i="5"/>
  <c r="I2355" i="5"/>
  <c r="J2354" i="5"/>
  <c r="I2354" i="5"/>
  <c r="J3629" i="5"/>
  <c r="I3629" i="5"/>
  <c r="J2353" i="5"/>
  <c r="I2353" i="5"/>
  <c r="J2352" i="5"/>
  <c r="I2352" i="5"/>
  <c r="J3628" i="5"/>
  <c r="I3628" i="5"/>
  <c r="J3627" i="5"/>
  <c r="I3627" i="5"/>
  <c r="J2351" i="5"/>
  <c r="I2351" i="5"/>
  <c r="J3624" i="5"/>
  <c r="I3624" i="5"/>
  <c r="J2349" i="5"/>
  <c r="I2349" i="5"/>
  <c r="J2348" i="5"/>
  <c r="I2348" i="5"/>
  <c r="J3622" i="5"/>
  <c r="I3622" i="5"/>
  <c r="J3620" i="5"/>
  <c r="I3620" i="5"/>
  <c r="J6114" i="5"/>
  <c r="I6114" i="5"/>
  <c r="J6108" i="5"/>
  <c r="I6108" i="5"/>
  <c r="J6106" i="5"/>
  <c r="I6106" i="5"/>
  <c r="J6105" i="5"/>
  <c r="I6105" i="5"/>
  <c r="J6102" i="5"/>
  <c r="I6102" i="5"/>
  <c r="J6093" i="5"/>
  <c r="I6093" i="5"/>
  <c r="J6090" i="5"/>
  <c r="I6090" i="5"/>
  <c r="J6081" i="5"/>
  <c r="I6081" i="5"/>
  <c r="J6077" i="5"/>
  <c r="I6077" i="5"/>
  <c r="J6074" i="5"/>
  <c r="I6074" i="5"/>
  <c r="J6071" i="5"/>
  <c r="I6071" i="5"/>
  <c r="J6069" i="5"/>
  <c r="I6069" i="5"/>
  <c r="J6067" i="5"/>
  <c r="I6067" i="5"/>
  <c r="J6059" i="5"/>
  <c r="I6059" i="5"/>
  <c r="I6058" i="5"/>
  <c r="J6057" i="5"/>
  <c r="I6057" i="5"/>
  <c r="J6056" i="5"/>
  <c r="I6056" i="5"/>
  <c r="J6051" i="5"/>
  <c r="I6051" i="5"/>
  <c r="J6047" i="5"/>
  <c r="I6047" i="5"/>
  <c r="J6035" i="5"/>
  <c r="I6035" i="5"/>
  <c r="J6030" i="5"/>
  <c r="I6030" i="5"/>
  <c r="J6029" i="5"/>
  <c r="I6029" i="5"/>
  <c r="J6028" i="5"/>
  <c r="I6028" i="5"/>
  <c r="J6018" i="5"/>
  <c r="L6168" i="5" s="1"/>
  <c r="I6018" i="5"/>
  <c r="J6015" i="5"/>
  <c r="I6015" i="5"/>
  <c r="J6012" i="5"/>
  <c r="I6012" i="5"/>
  <c r="J6011" i="5"/>
  <c r="I6011" i="5"/>
  <c r="J6007" i="5"/>
  <c r="I6007" i="5"/>
  <c r="J6006" i="5"/>
  <c r="L6166" i="5" s="1"/>
  <c r="I6006" i="5"/>
  <c r="J6004" i="5"/>
  <c r="L6258" i="5" s="1"/>
  <c r="I6004" i="5"/>
  <c r="J6000" i="5"/>
  <c r="I6000" i="5"/>
  <c r="J5999" i="5"/>
  <c r="L6212" i="5" s="1"/>
  <c r="I5999" i="5"/>
  <c r="J5995" i="5"/>
  <c r="I5995" i="5"/>
  <c r="J5994" i="5"/>
  <c r="I5994" i="5"/>
  <c r="J5990" i="5"/>
  <c r="L6255" i="5" s="1"/>
  <c r="I5990" i="5"/>
  <c r="J5986" i="5"/>
  <c r="L6254" i="5" s="1"/>
  <c r="I5986" i="5"/>
  <c r="J2323" i="5"/>
  <c r="I2323" i="5"/>
  <c r="J5985" i="5"/>
  <c r="L6174" i="5" s="1"/>
  <c r="I5985" i="5"/>
  <c r="J5977" i="5"/>
  <c r="I5977" i="5"/>
  <c r="J5972" i="5"/>
  <c r="I5972" i="5"/>
  <c r="J5961" i="5"/>
  <c r="I5961" i="5"/>
  <c r="J5957" i="5"/>
  <c r="I5957" i="5"/>
  <c r="J5955" i="5"/>
  <c r="L6253" i="5" s="1"/>
  <c r="L6256" i="5" s="1"/>
  <c r="I5955" i="5"/>
  <c r="J5952" i="5"/>
  <c r="I5952" i="5"/>
  <c r="J5950" i="5"/>
  <c r="I5950" i="5"/>
  <c r="J5947" i="5"/>
  <c r="I5947" i="5"/>
  <c r="J5944" i="5"/>
  <c r="I5944" i="5"/>
  <c r="J5943" i="5"/>
  <c r="I5943" i="5"/>
  <c r="J5937" i="5"/>
  <c r="L6241" i="5" s="1"/>
  <c r="I5937" i="5"/>
  <c r="J5925" i="5"/>
  <c r="L6208" i="5" s="1"/>
  <c r="I5925" i="5"/>
  <c r="L6250" i="5"/>
  <c r="L6248" i="5"/>
  <c r="L6247" i="5"/>
  <c r="J5914" i="5"/>
  <c r="I5914" i="5"/>
  <c r="J5913" i="5"/>
  <c r="I5913" i="5"/>
  <c r="J3516" i="5"/>
  <c r="I3516" i="5"/>
  <c r="J2304" i="5"/>
  <c r="I2304" i="5"/>
  <c r="J3513" i="5"/>
  <c r="I3513" i="5"/>
  <c r="J2300" i="5"/>
  <c r="I2300" i="5"/>
  <c r="J3512" i="5"/>
  <c r="I3512" i="5"/>
  <c r="J5909" i="5"/>
  <c r="I5909" i="5"/>
  <c r="J5907" i="5"/>
  <c r="I5907" i="5"/>
  <c r="J3508" i="5"/>
  <c r="I3508" i="5"/>
  <c r="J3505" i="5"/>
  <c r="I3505" i="5"/>
  <c r="J897" i="5"/>
  <c r="I897" i="5"/>
  <c r="J3492" i="5"/>
  <c r="I3492" i="5"/>
  <c r="J2295" i="5"/>
  <c r="I2295" i="5"/>
  <c r="J5888" i="5"/>
  <c r="I5888" i="5"/>
  <c r="J5869" i="5"/>
  <c r="I5869" i="5"/>
  <c r="J5868" i="5"/>
  <c r="I5868" i="5"/>
  <c r="I5863" i="5"/>
  <c r="J5862" i="5"/>
  <c r="I5862" i="5"/>
  <c r="J5860" i="5"/>
  <c r="L6249" i="5" s="1"/>
  <c r="I5860" i="5"/>
  <c r="L6244" i="5"/>
  <c r="L6243" i="5"/>
  <c r="L6242" i="5"/>
  <c r="L6240" i="5"/>
  <c r="L6239" i="5"/>
  <c r="L6238" i="5"/>
  <c r="J1916" i="5"/>
  <c r="I1916" i="5"/>
  <c r="J1885" i="5"/>
  <c r="I1885" i="5"/>
  <c r="L6234" i="5"/>
  <c r="L6233" i="5"/>
  <c r="J5673" i="5"/>
  <c r="I5673" i="5"/>
  <c r="J5670" i="5"/>
  <c r="I5670" i="5"/>
  <c r="J5669" i="5"/>
  <c r="I5669" i="5"/>
  <c r="J1884" i="5"/>
  <c r="I1884" i="5"/>
  <c r="J5667" i="5"/>
  <c r="I5667" i="5"/>
  <c r="I3437" i="5"/>
  <c r="I3436" i="5"/>
  <c r="J3435" i="5"/>
  <c r="I3435" i="5"/>
  <c r="J2281" i="5"/>
  <c r="I2281" i="5"/>
  <c r="J2280" i="5"/>
  <c r="I2280" i="5"/>
  <c r="I2275" i="5"/>
  <c r="J3432" i="5"/>
  <c r="I3432" i="5"/>
  <c r="J5659" i="5"/>
  <c r="I5659" i="5"/>
  <c r="J5658" i="5"/>
  <c r="I5658" i="5"/>
  <c r="J5648" i="5"/>
  <c r="I5648" i="5"/>
  <c r="J5642" i="5"/>
  <c r="I5642" i="5"/>
  <c r="J5634" i="5"/>
  <c r="I5634" i="5"/>
  <c r="J5633" i="5"/>
  <c r="I5633" i="5"/>
  <c r="J5632" i="5"/>
  <c r="I5632" i="5"/>
  <c r="J5628" i="5"/>
  <c r="I5628" i="5"/>
  <c r="J5625" i="5"/>
  <c r="I5625" i="5"/>
  <c r="J5624" i="5"/>
  <c r="I5624" i="5"/>
  <c r="J5623" i="5"/>
  <c r="I5623" i="5"/>
  <c r="I5621" i="5"/>
  <c r="J5619" i="5"/>
  <c r="I5619" i="5"/>
  <c r="J5618" i="5"/>
  <c r="I5618" i="5"/>
  <c r="J5604" i="5"/>
  <c r="I5604" i="5"/>
  <c r="J5603" i="5"/>
  <c r="I5603" i="5"/>
  <c r="J5596" i="5"/>
  <c r="I5596" i="5"/>
  <c r="I1883" i="5"/>
  <c r="J5594" i="5"/>
  <c r="I5594" i="5"/>
  <c r="J5593" i="5"/>
  <c r="I5593" i="5"/>
  <c r="J5592" i="5"/>
  <c r="I5592" i="5"/>
  <c r="J5590" i="5"/>
  <c r="L6235" i="5" s="1"/>
  <c r="I5590" i="5"/>
  <c r="L6230" i="5"/>
  <c r="L6229" i="5"/>
  <c r="L6228" i="5"/>
  <c r="L6226" i="5"/>
  <c r="L6225" i="5"/>
  <c r="L6224" i="5"/>
  <c r="L6223" i="5"/>
  <c r="J1855" i="5"/>
  <c r="I1855" i="5"/>
  <c r="J1841" i="5"/>
  <c r="I1841" i="5"/>
  <c r="L6220" i="5"/>
  <c r="L6218" i="5"/>
  <c r="L6217" i="5"/>
  <c r="J1837" i="5"/>
  <c r="I1837" i="5"/>
  <c r="J5487" i="5"/>
  <c r="I5487" i="5"/>
  <c r="J5486" i="5"/>
  <c r="I5486" i="5"/>
  <c r="J1836" i="5"/>
  <c r="I1836" i="5"/>
  <c r="J5484" i="5"/>
  <c r="I5484" i="5"/>
  <c r="J5482" i="5"/>
  <c r="I5482" i="5"/>
  <c r="J3355" i="5"/>
  <c r="I3355" i="5"/>
  <c r="J3353" i="5"/>
  <c r="I3353" i="5"/>
  <c r="J5479" i="5"/>
  <c r="I5479" i="5"/>
  <c r="J5478" i="5"/>
  <c r="I5478" i="5"/>
  <c r="J5476" i="5"/>
  <c r="I5476" i="5"/>
  <c r="J5472" i="5"/>
  <c r="I5472" i="5"/>
  <c r="J5468" i="5"/>
  <c r="I5468" i="5"/>
  <c r="J5464" i="5"/>
  <c r="I5464" i="5"/>
  <c r="J5458" i="5"/>
  <c r="I5458" i="5"/>
  <c r="J5457" i="5"/>
  <c r="I5457" i="5"/>
  <c r="J5456" i="5"/>
  <c r="I5456" i="5"/>
  <c r="J5449" i="5"/>
  <c r="I5449" i="5"/>
  <c r="L6214" i="5"/>
  <c r="L6213" i="5"/>
  <c r="L6211" i="5"/>
  <c r="J5417" i="5"/>
  <c r="I5417" i="5"/>
  <c r="J5416" i="5"/>
  <c r="I5416" i="5"/>
  <c r="J3319" i="5"/>
  <c r="I3319" i="5"/>
  <c r="J5415" i="5"/>
  <c r="I5415" i="5"/>
  <c r="J5413" i="5"/>
  <c r="I5413" i="5"/>
  <c r="J3314" i="5"/>
  <c r="I3314" i="5"/>
  <c r="J2228" i="5"/>
  <c r="I2228" i="5"/>
  <c r="J5396" i="5"/>
  <c r="I5396" i="5"/>
  <c r="J5386" i="5"/>
  <c r="I5386" i="5"/>
  <c r="J5385" i="5"/>
  <c r="I5385" i="5"/>
  <c r="J5384" i="5"/>
  <c r="I5384" i="5"/>
  <c r="J5373" i="5"/>
  <c r="I5373" i="5"/>
  <c r="J5367" i="5"/>
  <c r="I5367" i="5"/>
  <c r="J5365" i="5"/>
  <c r="I5365" i="5"/>
  <c r="J5364" i="5"/>
  <c r="I5364" i="5"/>
  <c r="J5359" i="5"/>
  <c r="I5359" i="5"/>
  <c r="J5358" i="5"/>
  <c r="I5358" i="5"/>
  <c r="J5356" i="5"/>
  <c r="I5356" i="5"/>
  <c r="J5355" i="5"/>
  <c r="I5355" i="5"/>
  <c r="L6207" i="5"/>
  <c r="J3295" i="5"/>
  <c r="I3295" i="5"/>
  <c r="J3290" i="5"/>
  <c r="I3290" i="5"/>
  <c r="J3289" i="5"/>
  <c r="I3289" i="5"/>
  <c r="J761" i="5"/>
  <c r="I761" i="5"/>
  <c r="J5311" i="5"/>
  <c r="I5311" i="5"/>
  <c r="J5306" i="5"/>
  <c r="I5306" i="5"/>
  <c r="J5287" i="5"/>
  <c r="I5287" i="5"/>
  <c r="J2215" i="5"/>
  <c r="I2215" i="5"/>
  <c r="J3280" i="5"/>
  <c r="I3280" i="5"/>
  <c r="J2213" i="5"/>
  <c r="I2213" i="5"/>
  <c r="L6203" i="5"/>
  <c r="L6202" i="5"/>
  <c r="L6201" i="5"/>
  <c r="L6198" i="5"/>
  <c r="L6197" i="5"/>
  <c r="L6196" i="5"/>
  <c r="L6194" i="5"/>
  <c r="J1777" i="5"/>
  <c r="L6200" i="5" s="1"/>
  <c r="I1777" i="5"/>
  <c r="J5118" i="5"/>
  <c r="I5118" i="5"/>
  <c r="J2207" i="5"/>
  <c r="I2207" i="5"/>
  <c r="J2205" i="5"/>
  <c r="I2205" i="5"/>
  <c r="J3265" i="5"/>
  <c r="I3265" i="5"/>
  <c r="I3263" i="5"/>
  <c r="J5117" i="5"/>
  <c r="I5117" i="5"/>
  <c r="J5104" i="5"/>
  <c r="I5104" i="5"/>
  <c r="J5098" i="5"/>
  <c r="I5098" i="5"/>
  <c r="J5097" i="5"/>
  <c r="I5097" i="5"/>
  <c r="J5093" i="5"/>
  <c r="I5093" i="5"/>
  <c r="J5092" i="5"/>
  <c r="I5092" i="5"/>
  <c r="J5091" i="5"/>
  <c r="I5091" i="5"/>
  <c r="I5088" i="5"/>
  <c r="J5087" i="5"/>
  <c r="I5087" i="5"/>
  <c r="J5086" i="5"/>
  <c r="I5086" i="5"/>
  <c r="J5084" i="5"/>
  <c r="I5084" i="5"/>
  <c r="J5079" i="5"/>
  <c r="I5079" i="5"/>
  <c r="J5077" i="5"/>
  <c r="I5077" i="5"/>
  <c r="J5076" i="5"/>
  <c r="I5076" i="5"/>
  <c r="J1749" i="5"/>
  <c r="I1749" i="5"/>
  <c r="J1747" i="5"/>
  <c r="I1747" i="5"/>
  <c r="L6189" i="5"/>
  <c r="L6188" i="5"/>
  <c r="J2194" i="5"/>
  <c r="I2194" i="5"/>
  <c r="J2193" i="5"/>
  <c r="I2193" i="5"/>
  <c r="J3242" i="5"/>
  <c r="I3242" i="5"/>
  <c r="J2191" i="5"/>
  <c r="I2191" i="5"/>
  <c r="L6185" i="5"/>
  <c r="L6184" i="5"/>
  <c r="L6182" i="5"/>
  <c r="L6180" i="5"/>
  <c r="J2181" i="5"/>
  <c r="I2181" i="5"/>
  <c r="J3225" i="5"/>
  <c r="I3225" i="5"/>
  <c r="J2177" i="5"/>
  <c r="I2177" i="5"/>
  <c r="J4667" i="5"/>
  <c r="I4667" i="5"/>
  <c r="J4666" i="5"/>
  <c r="I4666" i="5"/>
  <c r="J4659" i="5"/>
  <c r="I4659" i="5"/>
  <c r="J4655" i="5"/>
  <c r="I4655" i="5"/>
  <c r="J4653" i="5"/>
  <c r="I4653" i="5"/>
  <c r="J4649" i="5"/>
  <c r="I4649" i="5"/>
  <c r="J4647" i="5"/>
  <c r="I4647" i="5"/>
  <c r="J4644" i="5"/>
  <c r="I4644" i="5"/>
  <c r="J4643" i="5"/>
  <c r="I4643" i="5"/>
  <c r="J4642" i="5"/>
  <c r="I4642" i="5"/>
  <c r="J4641" i="5"/>
  <c r="I4641" i="5"/>
  <c r="J4639" i="5"/>
  <c r="I4639" i="5"/>
  <c r="J4638" i="5"/>
  <c r="I4638" i="5"/>
  <c r="J1675" i="5"/>
  <c r="I1675" i="5"/>
  <c r="J1674" i="5"/>
  <c r="I1674" i="5"/>
  <c r="J1673" i="5"/>
  <c r="I1673" i="5"/>
  <c r="J1664" i="5"/>
  <c r="I1664" i="5"/>
  <c r="J1660" i="5"/>
  <c r="I1660" i="5"/>
  <c r="J1658" i="5"/>
  <c r="I1658" i="5"/>
  <c r="J1657" i="5"/>
  <c r="I1657" i="5"/>
  <c r="J1655" i="5"/>
  <c r="I1655" i="5"/>
  <c r="J1652" i="5"/>
  <c r="I1652" i="5"/>
  <c r="J1650" i="5"/>
  <c r="I1650" i="5"/>
  <c r="J1646" i="5"/>
  <c r="I1646" i="5"/>
  <c r="J1645" i="5"/>
  <c r="I1645" i="5"/>
  <c r="L6177" i="5"/>
  <c r="L6175" i="5"/>
  <c r="L6173" i="5"/>
  <c r="J4633" i="5"/>
  <c r="I4633" i="5"/>
  <c r="J2160" i="5"/>
  <c r="I2160" i="5"/>
  <c r="J3211" i="5"/>
  <c r="I3211" i="5"/>
  <c r="J3209" i="5"/>
  <c r="I3209" i="5"/>
  <c r="J3208" i="5"/>
  <c r="I3208" i="5"/>
  <c r="J3205" i="5"/>
  <c r="I3205" i="5"/>
  <c r="I2156" i="5"/>
  <c r="J3203" i="5"/>
  <c r="I3203" i="5"/>
  <c r="J3201" i="5"/>
  <c r="I3201" i="5"/>
  <c r="J4630" i="5"/>
  <c r="I4630" i="5"/>
  <c r="J4628" i="5"/>
  <c r="I4628" i="5"/>
  <c r="J4622" i="5"/>
  <c r="I4622" i="5"/>
  <c r="J2537" i="5"/>
  <c r="I2537" i="5"/>
  <c r="J4619" i="5"/>
  <c r="I4619" i="5"/>
  <c r="J4618" i="5"/>
  <c r="I4618" i="5"/>
  <c r="J4616" i="5"/>
  <c r="I4616" i="5"/>
  <c r="J4613" i="5"/>
  <c r="I4613" i="5"/>
  <c r="J4612" i="5"/>
  <c r="I4612" i="5"/>
  <c r="J4611" i="5"/>
  <c r="I4611" i="5"/>
  <c r="J4609" i="5"/>
  <c r="I4609" i="5"/>
  <c r="J4608" i="5"/>
  <c r="I4608" i="5"/>
  <c r="J4607" i="5"/>
  <c r="L6176" i="5" s="1"/>
  <c r="I4607" i="5"/>
  <c r="L6170" i="5"/>
  <c r="L6167" i="5"/>
  <c r="I2147" i="5"/>
  <c r="J4603" i="5"/>
  <c r="I4603" i="5"/>
  <c r="J4602" i="5"/>
  <c r="I4602" i="5"/>
  <c r="I4601" i="5"/>
  <c r="J4595" i="5"/>
  <c r="I4595" i="5"/>
  <c r="J4594" i="5"/>
  <c r="I4594" i="5"/>
  <c r="J4593" i="5"/>
  <c r="I4593" i="5"/>
  <c r="J1594" i="5"/>
  <c r="I1594" i="5"/>
  <c r="J4592" i="5"/>
  <c r="I4592" i="5"/>
  <c r="J4591" i="5"/>
  <c r="I4591" i="5"/>
  <c r="J4590" i="5"/>
  <c r="I4590" i="5"/>
  <c r="J4589" i="5"/>
  <c r="I4589" i="5"/>
  <c r="J1593" i="5"/>
  <c r="I1593" i="5"/>
  <c r="J1592" i="5"/>
  <c r="I1592" i="5"/>
  <c r="J4585" i="5"/>
  <c r="I4585" i="5"/>
  <c r="J4582" i="5"/>
  <c r="L6169" i="5" s="1"/>
  <c r="I4582" i="5"/>
  <c r="L6163" i="5"/>
  <c r="L6162" i="5"/>
  <c r="L6160" i="5"/>
  <c r="L6158" i="5"/>
  <c r="J1565" i="5"/>
  <c r="I1565" i="5"/>
  <c r="J1564" i="5"/>
  <c r="L6161" i="5" s="1"/>
  <c r="I1564" i="5"/>
  <c r="J1563" i="5"/>
  <c r="I1563" i="5"/>
  <c r="J1561" i="5"/>
  <c r="I1561" i="5"/>
  <c r="J3116" i="5"/>
  <c r="I3116" i="5"/>
  <c r="J3114" i="5"/>
  <c r="I3114" i="5"/>
  <c r="J3113" i="5"/>
  <c r="I3113" i="5"/>
  <c r="J2125" i="5"/>
  <c r="I2125" i="5"/>
  <c r="J4580" i="5"/>
  <c r="I4580" i="5"/>
  <c r="J4579" i="5"/>
  <c r="I4579" i="5"/>
  <c r="J4578" i="5"/>
  <c r="I4578" i="5"/>
  <c r="J4575" i="5"/>
  <c r="I4575" i="5"/>
  <c r="J4574" i="5"/>
  <c r="I4574" i="5"/>
  <c r="J4573" i="5"/>
  <c r="I4573" i="5"/>
  <c r="J4572" i="5"/>
  <c r="I4572" i="5"/>
  <c r="J4571" i="5"/>
  <c r="I4571" i="5"/>
  <c r="J4570" i="5"/>
  <c r="I4570" i="5"/>
  <c r="J4568" i="5"/>
  <c r="I4568" i="5"/>
  <c r="J4567" i="5"/>
  <c r="I4567" i="5"/>
  <c r="J4566" i="5"/>
  <c r="I4566" i="5"/>
  <c r="J4565" i="5"/>
  <c r="I4565" i="5"/>
  <c r="J4564" i="5"/>
  <c r="I4564" i="5"/>
  <c r="J4563" i="5"/>
  <c r="I4563" i="5"/>
  <c r="J4562" i="5"/>
  <c r="I4562" i="5"/>
  <c r="J4561" i="5"/>
  <c r="I4561" i="5"/>
  <c r="J4560" i="5"/>
  <c r="L6159" i="5" s="1"/>
  <c r="I4560" i="5"/>
  <c r="L6155" i="5"/>
  <c r="L6154" i="5"/>
  <c r="L6153" i="5"/>
  <c r="L6150" i="5"/>
  <c r="L6149" i="5"/>
  <c r="L6147" i="5"/>
  <c r="J1522" i="5"/>
  <c r="I1522" i="5"/>
  <c r="J1521" i="5"/>
  <c r="I1521" i="5"/>
  <c r="J1520" i="5"/>
  <c r="I1520" i="5"/>
  <c r="J1519" i="5"/>
  <c r="I1519" i="5"/>
  <c r="I1517" i="5"/>
  <c r="J1516" i="5"/>
  <c r="I1516" i="5"/>
  <c r="J1515" i="5"/>
  <c r="I1515" i="5"/>
  <c r="J1505" i="5"/>
  <c r="I1505" i="5"/>
  <c r="J4559" i="5"/>
  <c r="I4559" i="5"/>
  <c r="J3071" i="5"/>
  <c r="I3071" i="5"/>
  <c r="J3070" i="5"/>
  <c r="I3070" i="5"/>
  <c r="J2113" i="5"/>
  <c r="I2113" i="5"/>
  <c r="J3067" i="5"/>
  <c r="I3067" i="5"/>
  <c r="J3066" i="5"/>
  <c r="I3066" i="5"/>
  <c r="J3063" i="5"/>
  <c r="I3063" i="5"/>
  <c r="J3061" i="5"/>
  <c r="I3061" i="5"/>
  <c r="J2111" i="5"/>
  <c r="I2111" i="5"/>
  <c r="J3054" i="5"/>
  <c r="I3054" i="5"/>
  <c r="J3050" i="5"/>
  <c r="I3050" i="5"/>
  <c r="J3009" i="5"/>
  <c r="I3009" i="5"/>
  <c r="J4557" i="5"/>
  <c r="I4557" i="5"/>
  <c r="J4556" i="5"/>
  <c r="I4556" i="5"/>
  <c r="J4555" i="5"/>
  <c r="I4555" i="5"/>
  <c r="J4554" i="5"/>
  <c r="I4554" i="5"/>
  <c r="J4550" i="5"/>
  <c r="I4550" i="5"/>
  <c r="J4549" i="5"/>
  <c r="I4549" i="5"/>
  <c r="J4547" i="5"/>
  <c r="I4547" i="5"/>
  <c r="J4544" i="5"/>
  <c r="I4544" i="5"/>
  <c r="J4543" i="5"/>
  <c r="I4543" i="5"/>
  <c r="J4542" i="5"/>
  <c r="I4542" i="5"/>
  <c r="J4541" i="5"/>
  <c r="I4541" i="5"/>
  <c r="J4538" i="5"/>
  <c r="I4538" i="5"/>
  <c r="J4530" i="5"/>
  <c r="I4530" i="5"/>
  <c r="J4529" i="5"/>
  <c r="I4529" i="5"/>
  <c r="J4526" i="5"/>
  <c r="I4526" i="5"/>
  <c r="J4523" i="5"/>
  <c r="I4523" i="5"/>
  <c r="J4522" i="5"/>
  <c r="I4522" i="5"/>
  <c r="J4520" i="5"/>
  <c r="I4520" i="5"/>
  <c r="J4519" i="5"/>
  <c r="I4519" i="5"/>
  <c r="J1432" i="5"/>
  <c r="I1432" i="5"/>
  <c r="J1431" i="5"/>
  <c r="I1431" i="5"/>
  <c r="J1430" i="5"/>
  <c r="I1430" i="5"/>
  <c r="J1429" i="5"/>
  <c r="I1429" i="5"/>
  <c r="J1428" i="5"/>
  <c r="I1428" i="5"/>
  <c r="J1427" i="5"/>
  <c r="I1427" i="5"/>
  <c r="J1426" i="5"/>
  <c r="I1426" i="5"/>
  <c r="J1425" i="5"/>
  <c r="I1425" i="5"/>
  <c r="J1424" i="5"/>
  <c r="I1424" i="5"/>
  <c r="J1422" i="5"/>
  <c r="I1422" i="5"/>
  <c r="J1421" i="5"/>
  <c r="I1421" i="5"/>
  <c r="J1413" i="5"/>
  <c r="I1413" i="5"/>
  <c r="J1412" i="5"/>
  <c r="I1412" i="5"/>
  <c r="J1411" i="5"/>
  <c r="I1411" i="5"/>
  <c r="J1410" i="5"/>
  <c r="I1410" i="5"/>
  <c r="J1408" i="5"/>
  <c r="I1408" i="5"/>
  <c r="J1407" i="5"/>
  <c r="I1407" i="5"/>
  <c r="J1406" i="5"/>
  <c r="I1406" i="5"/>
  <c r="J1405" i="5"/>
  <c r="I1405" i="5"/>
  <c r="J1403" i="5"/>
  <c r="I1403" i="5"/>
  <c r="J1401" i="5"/>
  <c r="I1401" i="5"/>
  <c r="J1400" i="5"/>
  <c r="I1400" i="5"/>
  <c r="J1395" i="5"/>
  <c r="I1395" i="5"/>
  <c r="J1394" i="5"/>
  <c r="I1394" i="5"/>
  <c r="J1351" i="5"/>
  <c r="I1351" i="5"/>
  <c r="J1334" i="5"/>
  <c r="I1334" i="5"/>
  <c r="J1331" i="5"/>
  <c r="I1331" i="5"/>
  <c r="J1330" i="5"/>
  <c r="I1330" i="5"/>
  <c r="J1314" i="5"/>
  <c r="I1314" i="5"/>
  <c r="J1270" i="5"/>
  <c r="I1270" i="5"/>
  <c r="J1265" i="5"/>
  <c r="I1265" i="5"/>
  <c r="J1264" i="5"/>
  <c r="I1264" i="5"/>
  <c r="J1253" i="5"/>
  <c r="I1253" i="5"/>
  <c r="J1250" i="5"/>
  <c r="I1250" i="5"/>
  <c r="J1249" i="5"/>
  <c r="I1249" i="5"/>
  <c r="J1232" i="5"/>
  <c r="I1232" i="5"/>
  <c r="J1228" i="5"/>
  <c r="I1228" i="5"/>
  <c r="L6144" i="5"/>
  <c r="L6143" i="5"/>
  <c r="L6142" i="5"/>
  <c r="L6141" i="5"/>
  <c r="L6139" i="5"/>
  <c r="L6138" i="5"/>
  <c r="L6136" i="5"/>
  <c r="L6135" i="5"/>
  <c r="J1190" i="5"/>
  <c r="I1190" i="5"/>
  <c r="J1188" i="5"/>
  <c r="I1188" i="5"/>
  <c r="J1187" i="5"/>
  <c r="I1187" i="5"/>
  <c r="J2086" i="5"/>
  <c r="I2086" i="5"/>
  <c r="J4508" i="5"/>
  <c r="I4508" i="5"/>
  <c r="J4506" i="5"/>
  <c r="I4506" i="5"/>
  <c r="J4504" i="5"/>
  <c r="I4504" i="5"/>
  <c r="J4502" i="5"/>
  <c r="I4502" i="5"/>
  <c r="I2996" i="5"/>
  <c r="J2995" i="5"/>
  <c r="I2995" i="5"/>
  <c r="J2990" i="5"/>
  <c r="I2990" i="5"/>
  <c r="J2989" i="5"/>
  <c r="I2989" i="5"/>
  <c r="J4493" i="5"/>
  <c r="I4493" i="5"/>
  <c r="J4486" i="5"/>
  <c r="I4486" i="5"/>
  <c r="J2985" i="5"/>
  <c r="I2985" i="5"/>
  <c r="J4484" i="5"/>
  <c r="I4484" i="5"/>
  <c r="J4482" i="5"/>
  <c r="I4482" i="5"/>
  <c r="I4481" i="5"/>
  <c r="J4480" i="5"/>
  <c r="I4480" i="5"/>
  <c r="J4477" i="5"/>
  <c r="I4477" i="5"/>
  <c r="J4476" i="5"/>
  <c r="I4476" i="5"/>
  <c r="J2973" i="5"/>
  <c r="I2973" i="5"/>
  <c r="J4467" i="5"/>
  <c r="I4467" i="5"/>
  <c r="J4464" i="5"/>
  <c r="I4464" i="5"/>
  <c r="J4463" i="5"/>
  <c r="I4463" i="5"/>
  <c r="J4461" i="5"/>
  <c r="I4461" i="5"/>
  <c r="J2080" i="5"/>
  <c r="I2080" i="5"/>
  <c r="J4455" i="5"/>
  <c r="I4455" i="5"/>
  <c r="J4448" i="5"/>
  <c r="I4448" i="5"/>
  <c r="J4443" i="5"/>
  <c r="I4443" i="5"/>
  <c r="J4437" i="5"/>
  <c r="I4437" i="5"/>
  <c r="J4429" i="5"/>
  <c r="I4429" i="5"/>
  <c r="J4422" i="5"/>
  <c r="I4422" i="5"/>
  <c r="J4417" i="5"/>
  <c r="I4417" i="5"/>
  <c r="J4407" i="5"/>
  <c r="I4407" i="5"/>
  <c r="J4399" i="5"/>
  <c r="I4399" i="5"/>
  <c r="J4384" i="5"/>
  <c r="I4384" i="5"/>
  <c r="J1148" i="5"/>
  <c r="I1148" i="5"/>
  <c r="J1147" i="5"/>
  <c r="I1147" i="5"/>
  <c r="J1146" i="5"/>
  <c r="I1146" i="5"/>
  <c r="J1145" i="5"/>
  <c r="I1145" i="5"/>
  <c r="J1144" i="5"/>
  <c r="I1144" i="5"/>
  <c r="J1143" i="5"/>
  <c r="I1143" i="5"/>
  <c r="J1142" i="5"/>
  <c r="I1142" i="5"/>
  <c r="J1141" i="5"/>
  <c r="I1141" i="5"/>
  <c r="J1139" i="5"/>
  <c r="I1139" i="5"/>
  <c r="J1137" i="5"/>
  <c r="I1137" i="5"/>
  <c r="J1133" i="5"/>
  <c r="I1133" i="5"/>
  <c r="J1127" i="5"/>
  <c r="I1127" i="5"/>
  <c r="J1126" i="5"/>
  <c r="I1126" i="5"/>
  <c r="J1125" i="5"/>
  <c r="I1125" i="5"/>
  <c r="J1114" i="5"/>
  <c r="J1110" i="5"/>
  <c r="L6137" i="5" s="1"/>
  <c r="I1110" i="5"/>
  <c r="I1108" i="5"/>
  <c r="J1107" i="5"/>
  <c r="I1107" i="5"/>
  <c r="J1106" i="5"/>
  <c r="I1106" i="5"/>
  <c r="J1086" i="5"/>
  <c r="I1086" i="5"/>
  <c r="J1067" i="5"/>
  <c r="I1067" i="5"/>
  <c r="J1064" i="5"/>
  <c r="I1064" i="5"/>
  <c r="L6132" i="5"/>
  <c r="L6130" i="5"/>
  <c r="L6129" i="5"/>
  <c r="J4332" i="5"/>
  <c r="I4332" i="5"/>
  <c r="J2972" i="5"/>
  <c r="I2972" i="5"/>
  <c r="J2971" i="5"/>
  <c r="I2971" i="5"/>
  <c r="J2079" i="5"/>
  <c r="I2079" i="5"/>
  <c r="I2076" i="5"/>
  <c r="J2075" i="5"/>
  <c r="I2075" i="5"/>
  <c r="I2962" i="5"/>
  <c r="J4312" i="5"/>
  <c r="I4312" i="5"/>
  <c r="J4301" i="5"/>
  <c r="I4301" i="5"/>
  <c r="J4296" i="5"/>
  <c r="I4296" i="5"/>
  <c r="J4290" i="5"/>
  <c r="I4290" i="5"/>
  <c r="I4289" i="5"/>
  <c r="J4286" i="5"/>
  <c r="I4286" i="5"/>
  <c r="J2070" i="5"/>
  <c r="I2070" i="5"/>
  <c r="J2952" i="5"/>
  <c r="I2952" i="5"/>
  <c r="J2069" i="5"/>
  <c r="I2069" i="5"/>
  <c r="J2067" i="5"/>
  <c r="I2067" i="5"/>
  <c r="J2066" i="5"/>
  <c r="I2066" i="5"/>
  <c r="J2951" i="5"/>
  <c r="I2951" i="5"/>
  <c r="J4242" i="5"/>
  <c r="I4242" i="5"/>
  <c r="J2937" i="5"/>
  <c r="I2937" i="5"/>
  <c r="J2061" i="5"/>
  <c r="I2061" i="5"/>
  <c r="J2930" i="5"/>
  <c r="I2930" i="5"/>
  <c r="J2929" i="5"/>
  <c r="I2929" i="5"/>
  <c r="J2923" i="5"/>
  <c r="I2923" i="5"/>
  <c r="J4202" i="5"/>
  <c r="I4202" i="5"/>
  <c r="J4195" i="5"/>
  <c r="I4195" i="5"/>
  <c r="J4194" i="5"/>
  <c r="I4194" i="5"/>
  <c r="J4193" i="5"/>
  <c r="I4193" i="5"/>
  <c r="J4192" i="5"/>
  <c r="I4192" i="5"/>
  <c r="J2049" i="5"/>
  <c r="I2049" i="5"/>
  <c r="J2397" i="5"/>
  <c r="I2397" i="5"/>
  <c r="J4146" i="5"/>
  <c r="I4146" i="5"/>
  <c r="J4145" i="5"/>
  <c r="I4145" i="5"/>
  <c r="J4143" i="5"/>
  <c r="I4143" i="5"/>
  <c r="J4140" i="5"/>
  <c r="I4140" i="5"/>
  <c r="J4138" i="5"/>
  <c r="I4138" i="5"/>
  <c r="J4137" i="5"/>
  <c r="I4137" i="5"/>
  <c r="J4136" i="5"/>
  <c r="I4136" i="5"/>
  <c r="J4134" i="5"/>
  <c r="I4134" i="5"/>
  <c r="J4063" i="5"/>
  <c r="I4063" i="5"/>
  <c r="J4058" i="5"/>
  <c r="I4058" i="5"/>
  <c r="J4053" i="5"/>
  <c r="I4053" i="5"/>
  <c r="J4052" i="5"/>
  <c r="I4052" i="5"/>
  <c r="J4051" i="5"/>
  <c r="I4051" i="5"/>
  <c r="J4050" i="5"/>
  <c r="I4050" i="5"/>
  <c r="J4049" i="5"/>
  <c r="I4049" i="5"/>
  <c r="J4046" i="5"/>
  <c r="I4046" i="5"/>
  <c r="J175" i="5"/>
  <c r="I175" i="5"/>
  <c r="L6125" i="5"/>
  <c r="L6124" i="5"/>
  <c r="J3969" i="5"/>
  <c r="I3969" i="5"/>
  <c r="J3966" i="5"/>
  <c r="I3966" i="5"/>
  <c r="J3965" i="5"/>
  <c r="I3965" i="5"/>
  <c r="J2899" i="5"/>
  <c r="I2899" i="5"/>
  <c r="J2891" i="5"/>
  <c r="I2891" i="5"/>
  <c r="J3964" i="5"/>
  <c r="I3964" i="5"/>
  <c r="J3959" i="5"/>
  <c r="I3959" i="5"/>
  <c r="J3958" i="5"/>
  <c r="I3958" i="5"/>
  <c r="J3956" i="5"/>
  <c r="I3956" i="5"/>
  <c r="J3944" i="5"/>
  <c r="I3944" i="5"/>
  <c r="J3939" i="5"/>
  <c r="I3939" i="5"/>
  <c r="J3934" i="5"/>
  <c r="I3934" i="5"/>
  <c r="J3933" i="5"/>
  <c r="I3933" i="5"/>
  <c r="J3930" i="5"/>
  <c r="I3930" i="5"/>
  <c r="J3924" i="5"/>
  <c r="I3924" i="5"/>
  <c r="J3922" i="5"/>
  <c r="I3922" i="5"/>
  <c r="J3920" i="5"/>
  <c r="I3920" i="5"/>
  <c r="J3916" i="5"/>
  <c r="I3916" i="5"/>
  <c r="J3915" i="5"/>
  <c r="I3915" i="5"/>
  <c r="J3914" i="5"/>
  <c r="I3914" i="5"/>
  <c r="J3913" i="5"/>
  <c r="I3913" i="5"/>
  <c r="J3910" i="5"/>
  <c r="I3910" i="5"/>
  <c r="L6119" i="5"/>
  <c r="J3906" i="5"/>
  <c r="I3906" i="5"/>
  <c r="J3904" i="5"/>
  <c r="I3904" i="5"/>
  <c r="J2845" i="5"/>
  <c r="I2845" i="5"/>
  <c r="J3901" i="5"/>
  <c r="I3901" i="5"/>
  <c r="J3900" i="5"/>
  <c r="I3900" i="5"/>
  <c r="J3893" i="5"/>
  <c r="I3893" i="5"/>
  <c r="J3892" i="5"/>
  <c r="I3892" i="5"/>
  <c r="J3891" i="5"/>
  <c r="I3891" i="5"/>
  <c r="J3889" i="5"/>
  <c r="I3889" i="5"/>
  <c r="J3885" i="5"/>
  <c r="I3885" i="5"/>
  <c r="J3884" i="5"/>
  <c r="I3884" i="5"/>
  <c r="J3874" i="5"/>
  <c r="I3874" i="5"/>
  <c r="J3871" i="5"/>
  <c r="I3871" i="5"/>
  <c r="L6259" i="5" l="1"/>
  <c r="L6120" i="5"/>
  <c r="L6121" i="5" s="1"/>
  <c r="L6126" i="5"/>
  <c r="L6131" i="5"/>
  <c r="L6140" i="5"/>
  <c r="L6148" i="5"/>
  <c r="L6151" i="5"/>
  <c r="L6152" i="5"/>
  <c r="L6164" i="5"/>
  <c r="L6181" i="5"/>
  <c r="L6186" i="5" s="1"/>
  <c r="L6183" i="5"/>
  <c r="L6190" i="5"/>
  <c r="L6191" i="5" s="1"/>
  <c r="L6195" i="5"/>
  <c r="L6199" i="5"/>
  <c r="L6206" i="5"/>
  <c r="L6209" i="5" s="1"/>
  <c r="L6219" i="5"/>
  <c r="L6221" i="5" s="1"/>
  <c r="L6227" i="5"/>
  <c r="L6231" i="5" s="1"/>
  <c r="L6260" i="5"/>
  <c r="L6215" i="5"/>
  <c r="L6245" i="5"/>
  <c r="L6127" i="5"/>
  <c r="L6133" i="5"/>
  <c r="L6145" i="5"/>
  <c r="L6171" i="5"/>
  <c r="L6178" i="5"/>
  <c r="L6204" i="5"/>
  <c r="L6236" i="5"/>
  <c r="L6251" i="5"/>
  <c r="L6261" i="5"/>
  <c r="L6156" i="5"/>
  <c r="L6263" i="5" l="1"/>
  <c r="J1159" i="1" l="1"/>
  <c r="J1223" i="1"/>
  <c r="J1209" i="1"/>
  <c r="J1244" i="1" l="1"/>
  <c r="I1244" i="1"/>
  <c r="J1240" i="1"/>
  <c r="I1240" i="1"/>
  <c r="J1239" i="1"/>
  <c r="I1239" i="1"/>
  <c r="J1238" i="1"/>
  <c r="I1238" i="1"/>
  <c r="J1162" i="1"/>
  <c r="J2432" i="1"/>
  <c r="I2432" i="1"/>
  <c r="F7" i="8"/>
  <c r="J2158" i="1"/>
  <c r="J2190" i="1" s="1"/>
  <c r="I2190" i="1"/>
  <c r="B7" i="8" s="1"/>
  <c r="J2142" i="1"/>
  <c r="I2142" i="1"/>
  <c r="I1540" i="1"/>
  <c r="AL6" i="8" s="1"/>
  <c r="J5020" i="1"/>
  <c r="J5307" i="1" s="1"/>
  <c r="J5312" i="1" s="1"/>
  <c r="I5020" i="1"/>
  <c r="I5307" i="1" s="1"/>
  <c r="J4565" i="1"/>
  <c r="J4783" i="1" s="1"/>
  <c r="I4565" i="1"/>
  <c r="I4783" i="1" s="1"/>
  <c r="D4" i="8" s="1"/>
  <c r="J1745" i="1"/>
  <c r="I1745" i="1"/>
  <c r="J1743" i="1"/>
  <c r="I1743" i="1"/>
  <c r="J1690" i="1"/>
  <c r="J4551" i="1"/>
  <c r="J4781" i="1" s="1"/>
  <c r="I4551" i="1"/>
  <c r="I4781" i="1" s="1"/>
  <c r="J3583" i="1"/>
  <c r="J3581" i="1"/>
  <c r="J1772" i="1"/>
  <c r="I1772" i="1"/>
  <c r="J1771" i="1"/>
  <c r="J1770" i="1"/>
  <c r="I1770" i="1"/>
  <c r="J1769" i="1"/>
  <c r="I1769" i="1"/>
  <c r="J1768" i="1"/>
  <c r="I1768" i="1"/>
  <c r="J1767" i="1"/>
  <c r="I1767" i="1"/>
  <c r="J1764" i="1"/>
  <c r="J1763" i="1"/>
  <c r="I1763" i="1"/>
  <c r="J1753" i="1"/>
  <c r="I1753" i="1"/>
  <c r="J1752" i="1"/>
  <c r="I1752" i="1"/>
  <c r="J1751" i="1"/>
  <c r="I1751" i="1"/>
  <c r="J1750" i="1"/>
  <c r="I1750" i="1"/>
  <c r="J1748" i="1"/>
  <c r="J1747" i="1"/>
  <c r="I1747" i="1"/>
  <c r="J1740" i="1"/>
  <c r="I1740" i="1"/>
  <c r="J1739" i="1"/>
  <c r="J1734" i="1"/>
  <c r="I1734" i="1"/>
  <c r="J1733" i="1"/>
  <c r="I1733" i="1"/>
  <c r="J1673" i="1"/>
  <c r="I1673" i="1"/>
  <c r="J1670" i="1"/>
  <c r="I1670" i="1"/>
  <c r="J1669" i="1"/>
  <c r="I1669" i="1"/>
  <c r="J1653" i="1"/>
  <c r="I1653" i="1"/>
  <c r="J1609" i="1"/>
  <c r="I1609" i="1"/>
  <c r="J1604" i="1"/>
  <c r="I1604" i="1"/>
  <c r="J1603" i="1"/>
  <c r="I1603" i="1"/>
  <c r="J1592" i="1"/>
  <c r="I1592" i="1"/>
  <c r="J1589" i="1"/>
  <c r="I1589" i="1"/>
  <c r="J1588" i="1"/>
  <c r="I1588" i="1"/>
  <c r="J1571" i="1"/>
  <c r="I1571" i="1"/>
  <c r="J1567" i="1"/>
  <c r="I1567" i="1"/>
  <c r="J1237" i="1"/>
  <c r="I1237" i="1"/>
  <c r="J1235" i="1"/>
  <c r="I1235" i="1"/>
  <c r="J1229" i="1"/>
  <c r="J1222" i="1"/>
  <c r="J1221" i="1"/>
  <c r="J1205" i="1"/>
  <c r="I1205" i="1"/>
  <c r="J1202" i="1"/>
  <c r="I1202" i="1"/>
  <c r="J1201" i="1"/>
  <c r="J1233" i="1"/>
  <c r="I1233" i="1"/>
  <c r="J2830" i="1"/>
  <c r="I2830" i="1"/>
  <c r="J2825" i="1"/>
  <c r="I2825" i="1"/>
  <c r="J2855" i="1"/>
  <c r="J2854" i="1"/>
  <c r="J2853" i="1"/>
  <c r="J2844" i="1"/>
  <c r="J2840" i="1"/>
  <c r="I2840" i="1"/>
  <c r="J2838" i="1"/>
  <c r="I2838" i="1"/>
  <c r="J2837" i="1"/>
  <c r="I2837" i="1"/>
  <c r="J2835" i="1"/>
  <c r="I2835" i="1"/>
  <c r="J2832" i="1"/>
  <c r="I2832" i="1"/>
  <c r="J2826" i="1"/>
  <c r="I2826" i="1"/>
  <c r="J1536" i="1" l="1"/>
  <c r="I2184" i="1"/>
  <c r="B4" i="8" s="1"/>
  <c r="J3759" i="1"/>
  <c r="J3001" i="1"/>
  <c r="I1536" i="1"/>
  <c r="AL4" i="8" s="1"/>
  <c r="AF4" i="8"/>
  <c r="J2184" i="1"/>
  <c r="I4789" i="1"/>
  <c r="J4789" i="1"/>
  <c r="I2189" i="1"/>
  <c r="B6" i="8" s="1"/>
  <c r="D3" i="8"/>
  <c r="I5312" i="1"/>
  <c r="I3001" i="1"/>
  <c r="J4" i="8" s="1"/>
  <c r="J2189" i="1"/>
  <c r="I5783" i="1"/>
  <c r="I4540" i="1"/>
  <c r="J4540" i="1" l="1"/>
  <c r="J5783" i="1"/>
  <c r="J5784" i="1" s="1"/>
  <c r="J4542" i="1"/>
  <c r="V8" i="8"/>
  <c r="AH8" i="8"/>
  <c r="J4986" i="1"/>
  <c r="J4987" i="1" s="1"/>
  <c r="J6021" i="1"/>
  <c r="J6022" i="1" s="1"/>
  <c r="J5499" i="1"/>
  <c r="J5501" i="1" s="1"/>
  <c r="I4542" i="1"/>
  <c r="I4348" i="1"/>
  <c r="I3004" i="1"/>
  <c r="J1150" i="1"/>
  <c r="I405" i="1"/>
  <c r="I1539" i="1" l="1"/>
  <c r="J2188" i="1"/>
  <c r="J2193" i="1" s="1"/>
  <c r="J2600" i="1"/>
  <c r="J3004" i="1"/>
  <c r="J3007" i="1" s="1"/>
  <c r="I3763" i="1"/>
  <c r="J1539" i="1"/>
  <c r="J1544" i="1" s="1"/>
  <c r="I1150" i="1"/>
  <c r="J2802" i="1"/>
  <c r="J2804" i="1" s="1"/>
  <c r="J3558" i="1"/>
  <c r="J3559" i="1" s="1"/>
  <c r="J3763" i="1"/>
  <c r="J3768" i="1" s="1"/>
  <c r="J4348" i="1"/>
  <c r="J4350" i="1" s="1"/>
  <c r="J4128" i="1"/>
  <c r="J4129" i="1" s="1"/>
  <c r="J167" i="1"/>
  <c r="J168" i="1" s="1"/>
  <c r="J2431" i="1"/>
  <c r="J2436" i="1" s="1"/>
  <c r="I2600" i="1"/>
  <c r="I2602" i="1" s="1"/>
  <c r="J8" i="8"/>
  <c r="AB8" i="8"/>
  <c r="I6022" i="1"/>
  <c r="Z8" i="8"/>
  <c r="I3559" i="1"/>
  <c r="AD8" i="8"/>
  <c r="I5501" i="1"/>
  <c r="N8" i="8"/>
  <c r="I2802" i="1"/>
  <c r="I4987" i="1"/>
  <c r="I2193" i="1"/>
  <c r="B8" i="8"/>
  <c r="J1152" i="1"/>
  <c r="L8" i="8"/>
  <c r="I4350" i="1"/>
  <c r="I406" i="1"/>
  <c r="P8" i="8"/>
  <c r="J2602" i="1"/>
  <c r="J405" i="1"/>
  <c r="J406" i="1" s="1"/>
  <c r="F8" i="8"/>
  <c r="J6024" i="1" l="1"/>
  <c r="AL8" i="8"/>
  <c r="AN8" i="8"/>
  <c r="AJ8" i="8"/>
  <c r="H8" i="8"/>
  <c r="T8" i="8"/>
  <c r="I3768" i="1"/>
  <c r="B17" i="8"/>
  <c r="I168" i="1"/>
  <c r="X8" i="8"/>
  <c r="I3007" i="1"/>
  <c r="I1544" i="1"/>
  <c r="I2436" i="1" l="1"/>
  <c r="F6" i="8"/>
  <c r="I1152" i="1"/>
  <c r="I4129" i="1"/>
  <c r="I2804" i="1"/>
  <c r="I5784" i="1"/>
  <c r="I6024" i="1" l="1"/>
  <c r="B21" i="8"/>
</calcChain>
</file>

<file path=xl/sharedStrings.xml><?xml version="1.0" encoding="utf-8"?>
<sst xmlns="http://schemas.openxmlformats.org/spreadsheetml/2006/main" count="108570" uniqueCount="11782">
  <si>
    <t>Project Name (Beneficiary)</t>
  </si>
  <si>
    <t>Type of Grant</t>
  </si>
  <si>
    <t>Project Location</t>
  </si>
  <si>
    <t>Unique code number of the operation</t>
  </si>
  <si>
    <t>Project Summary</t>
  </si>
  <si>
    <t>Project Start Date</t>
  </si>
  <si>
    <t>Project End Date</t>
  </si>
  <si>
    <t>Theme/   subtheme</t>
  </si>
  <si>
    <t>Total Eligible Expenditure</t>
  </si>
  <si>
    <t>Total Public Eligible Expenditure</t>
  </si>
  <si>
    <t>Code of region or area where operation is located</t>
  </si>
  <si>
    <t xml:space="preserve">Total public eligible expenditure per County </t>
  </si>
  <si>
    <t>Michael O Toole &amp; John O Toole</t>
  </si>
  <si>
    <t>ERDF</t>
  </si>
  <si>
    <t>S&amp;E</t>
  </si>
  <si>
    <t>installation of a solar water heating system to provide hot water for dairy cleaning_x000D_</t>
  </si>
  <si>
    <t>CHP &amp; BioHeat</t>
  </si>
  <si>
    <t>Carlow</t>
  </si>
  <si>
    <t>Bagenalstown Swimming Club</t>
  </si>
  <si>
    <t>This project is to install an 18kw water to water heatpump to heat a 6,000 gallon childrens pool. The heatpump will replace a 15 year old LPG boiler. The installation of this heatpump will result in the entire pool centre being heated by heatpumps</t>
  </si>
  <si>
    <t>Flynns Garage Limited</t>
  </si>
  <si>
    <t>Installation of a 100 kW woodchip boiler in a pre-packaged plant room / fuel storage container to heat a new build car showroom, offices and service area. The heated area will use an energy efficient ventilation system utilising heat recovery and heat</t>
  </si>
  <si>
    <t>Lismard Properties Ltd</t>
  </si>
  <si>
    <t>The grantee will install a 720kW wood chip boiler</t>
  </si>
  <si>
    <t>Carlow Precast Tanks Ltd</t>
  </si>
  <si>
    <t>This project proposes to install a 100 KW woodchip boiler and to heat process water during winter months from an ambient temperature of 5 - 6 degrees Celsius to an average of 25 degrees before being added to the concrete mix.</t>
  </si>
  <si>
    <t>Tullow Mushroom Growers Ltd</t>
  </si>
  <si>
    <t>Installation of a 928 kW wood pellet boiler.</t>
  </si>
  <si>
    <t>Borris House</t>
  </si>
  <si>
    <t>"The project involves the installation of a 200kw woodchip boiler and automated fuel feed system at Borris House for the provision of heat to the Main House, conference centre and office facilities.</t>
  </si>
  <si>
    <t>Tullow Slaney Commercials Ltd</t>
  </si>
  <si>
    <t>"The project involves the installation of a 26.4kw woodpellet boiler and bulk fuel storage and feed system  for the provision of heat to the office facilities and staff utility areas</t>
  </si>
  <si>
    <t>St. Laserian's Cathedral</t>
  </si>
  <si>
    <t>Installation of 13.7 m2 evacuated tubes solar panels.</t>
  </si>
  <si>
    <t>Installation of 10.5 kW heat pump.</t>
  </si>
  <si>
    <t>Arboretum Garden Centre Ltd</t>
  </si>
  <si>
    <t>The grantee will install 5.06m2 evacuated solar panels</t>
  </si>
  <si>
    <t>Mentoring / M2</t>
  </si>
  <si>
    <t>Training, Mentoring &amp; Soft Supports</t>
  </si>
  <si>
    <t>One to one mentoring Services. Clients have an opportunity to be mentored on a specific business topic/goal and an action plan is suggested.</t>
  </si>
  <si>
    <t>Microenterprise</t>
  </si>
  <si>
    <t>M2 - Enterprise Education 2007-2008</t>
  </si>
  <si>
    <t>Enterprise Education _x000D_
- Promotion of Entrepreneurship in the County. In school seminars and student entrepreneurship.</t>
  </si>
  <si>
    <t>M2 - Enterprise Promotion 2007 &amp; 2008</t>
  </si>
  <si>
    <t xml:space="preserve">Promotion of Services of Carlow County Enterprise Board and its client projects. </t>
  </si>
  <si>
    <t>Management Development / M2</t>
  </si>
  <si>
    <t>Seminar &amp; Mentoring for clients to develop the participants management skills.</t>
  </si>
  <si>
    <t>E-Commerce &amp; Trade Grants</t>
  </si>
  <si>
    <t>The CEB gives small grants in areas of Marketing Development , Trade Shows or E-Commerce , this is a common practice among many Boards. This funding was used towards CEB clients websites , trade fairs etc. This amount is made up of 50 transactions i.e. 50 companies were supported but it was all under this banner hence we entered them as one programme . 50% eligible expenditure.</t>
  </si>
  <si>
    <t>OMF Engineering Limited / Cap</t>
  </si>
  <si>
    <t>Capital</t>
  </si>
  <si>
    <t>Grant Assistance - Start up business Automotive, Engineering and design. OMF</t>
  </si>
  <si>
    <t>Mount Leinster Stone Limited / Cap</t>
  </si>
  <si>
    <t xml:space="preserve">Mount Leinster Stone design, manufacture and Fit bespoke Granite and marble worktops. _x000D_Grant assistance for an edge polisher to improve finished product. </t>
  </si>
  <si>
    <t xml:space="preserve">T&amp;O Pipe Bending Limited/ Cap </t>
  </si>
  <si>
    <t xml:space="preserve">Engineering Company - T&amp;O Pipe Bending. Manufacture of Pipes from raw materials to welding fittings onto those pipes. </t>
  </si>
  <si>
    <t xml:space="preserve">PIPE Eng Limited / Cap </t>
  </si>
  <si>
    <t>Engineering Company P.I.P.E Engineering Limited, Capital grant to assist in the purchase of a profile bending machine and tooling for press necessary to grow business.</t>
  </si>
  <si>
    <t>Creativa / Emp</t>
  </si>
  <si>
    <t>Employment</t>
  </si>
  <si>
    <t>Creativa EBusiness Software Solutions initially focusing on eEstateAgent Software, a product suite of 5 distinctive products that are delivered individually or seamlessly integrated.</t>
  </si>
  <si>
    <t>P Tully &amp; Sons Limited / Cap</t>
  </si>
  <si>
    <t>Manufacture of laminated vaneers for use on uPVC and MDF components._x000D_ Assistance to purchsase machinery to maintain competitiveness and employment in the business.</t>
  </si>
  <si>
    <t>Danelle Recycling Limited / Emp</t>
  </si>
  <si>
    <t>Danelle Recycling Limited, specialist in commercial and industrial recycling; offering recycling solutions to its customers. - Balers for cardboard and plastics. - Compaction equipment for tins/cans and general waste. - Shredders for wood and paper - Ton bags for segregating recycables before uplift. - Skips for large volumes of recycable material.</t>
  </si>
  <si>
    <t>Danelle Recycling Limited/Cap</t>
  </si>
  <si>
    <t>Danelle Recycling Limited, specialist in commercial and industrial recycling; _x000D_offering recycling solutions to its customers. _x000D_- Balers for cardboard and plastics. _x000D_- Compaction equipment for tins/cans and general waste. _x000D_- Shredders for wood and paper _x000D_- Ton bags for segregating recycables before uplift. _x000D_- Skips for large volumes of recycable material. _x000D_</t>
  </si>
  <si>
    <t>ADT Software Limited / Emp</t>
  </si>
  <si>
    <t>2 new positions - one a software developer engineer for specification, programme writing and testing software and a sales manager to sell Academy to the Irish and UK market</t>
  </si>
  <si>
    <t>T2 Software Ltd / Emp</t>
  </si>
  <si>
    <t>software development for schools space and time management</t>
  </si>
  <si>
    <t xml:space="preserve">Twinfield Employment Grant </t>
  </si>
  <si>
    <t>Recruitment of a support analyst.</t>
  </si>
  <si>
    <t>Proact Solutions Ltd  / Emp</t>
  </si>
  <si>
    <t>Employment Grant to recruit market analyst</t>
  </si>
  <si>
    <t>Aga Polish Kitchen / Cap</t>
  </si>
  <si>
    <t>capital grant for kitchen machinery for manufacturing polish cusine and distributing in the south east region.</t>
  </si>
  <si>
    <t>Easy Stone Limited - Emp</t>
  </si>
  <si>
    <t>Start up business which manufactures synthetic stonework for gardens and interiors.</t>
  </si>
  <si>
    <t xml:space="preserve">Jaggo Limited / Emp </t>
  </si>
  <si>
    <t xml:space="preserve">Employment Grant re: expand business - Office Admin._x000D_
Company Manuafacture/Distribution of Educational toys. </t>
  </si>
  <si>
    <t>Edible Icons / Emp</t>
  </si>
  <si>
    <t>The manufacture of gourmet cornish pasties</t>
  </si>
  <si>
    <t>Newburn Partnership / Emp</t>
  </si>
  <si>
    <t>Employment Grants x 2 Service center for JIT Supply for overseas suppliers into Carlow and beyond</t>
  </si>
  <si>
    <t>Scallywags / Emp</t>
  </si>
  <si>
    <t>Start up creche in Carlow</t>
  </si>
  <si>
    <t>Kelly Car Salvage</t>
  </si>
  <si>
    <t>To aid in the purchase of a telescopic loader to assist in his business of recycling of end of life vehicles</t>
  </si>
  <si>
    <t xml:space="preserve">John Hyland / Feas </t>
  </si>
  <si>
    <t>Feasability</t>
  </si>
  <si>
    <t>training and development in collaboration. Internationally Traded Service on Collaboration.</t>
  </si>
  <si>
    <t>4th Promise Limited / Emp</t>
  </si>
  <si>
    <t>Recruitment of an administrator</t>
  </si>
  <si>
    <t>Glenn Lucas Crafts / Cap</t>
  </si>
  <si>
    <t>Capital Grant to assist in the development of his workshop and production systems.</t>
  </si>
  <si>
    <t>Technical Stonework Ltd / Cap</t>
  </si>
  <si>
    <t>Purchase of CNC machine to remain competitive against Chinese and Indian importers.</t>
  </si>
  <si>
    <t xml:space="preserve">Gael Energy Ltd / Feas </t>
  </si>
  <si>
    <t>Feasibility study to look into the manufacturing of solar panels with a view to the costs and time frame involved in the manufacturing of the solar panels.</t>
  </si>
  <si>
    <t>Ballyglisheen Stud / Cap</t>
  </si>
  <si>
    <t>To assist in the procurement of materials for the development of an artifical insemination business for stallions.</t>
  </si>
  <si>
    <t>Aptus Limited / Emp</t>
  </si>
  <si>
    <t>Broad band distribution to rural Carlow and the promotion of Carlow WiFi</t>
  </si>
  <si>
    <t>Business Advisor Costs</t>
  </si>
  <si>
    <t>Business Advisor costs such as salary, Training and and Travel &amp; Subsistence</t>
  </si>
  <si>
    <t xml:space="preserve">Technology Courses </t>
  </si>
  <si>
    <t>Technology Training for Clients usage of  New Technologies</t>
  </si>
  <si>
    <t>Start Your Own Business Courses</t>
  </si>
  <si>
    <t>Networking</t>
  </si>
  <si>
    <t>Lightning Print &amp; Design Limited / Cap</t>
  </si>
  <si>
    <t>Lightning Print and Design Limited providing primarily a graphic design service and print service generally for business clients. Standard serives would include design and print of the following: _x000D_Stationery (Business cards, letterheads, compliment slips, invoice slips etc), Brochures, Leaflets, Menus, Banner Stands, Posters, Booklets etc.  Funding to support the purchase of a DI Press to open new opportunities to attract a whole level of new business.</t>
  </si>
  <si>
    <t xml:space="preserve">Bookkeeping &amp; Taxation Courses </t>
  </si>
  <si>
    <t xml:space="preserve">Bookkeeping &amp; Taxation Courses all of 5 nights in duration for CEB Clients </t>
  </si>
  <si>
    <t>Computerised Accounting Training</t>
  </si>
  <si>
    <t>Computerised Accounting Training for CEB Clients</t>
  </si>
  <si>
    <t xml:space="preserve">Conference (WIB) </t>
  </si>
  <si>
    <t xml:space="preserve">WIB Regional Conference </t>
  </si>
  <si>
    <t>First Aid &amp; Manual Handling</t>
  </si>
  <si>
    <t>Health &amp; Safety Training for CEB Client Companies.</t>
  </si>
  <si>
    <t xml:space="preserve">Half Day Soft Skills Seminars </t>
  </si>
  <si>
    <t xml:space="preserve">CEB Soft Skills Half Day Seminars </t>
  </si>
  <si>
    <t>Edwards Engineering/Cap</t>
  </si>
  <si>
    <t>Edwards Engineering,offer a range of engineering and related services to a wide variety of clients from both the commercial and domestic sectors. Specialists in: Project Management, Structural Steelwork and Planning, Bridge Fabrication and Refurbishment,Conveying and productions systems, Process Engineering and Mechanical Handling, Stainless Steel Fabrications and Security Gates. Edwards Engineering designed a 4 hr fire proof door. Only one of two authorised ESB substn door manufactures</t>
  </si>
  <si>
    <t>Hillview Early Learning Preschool / Emp</t>
  </si>
  <si>
    <t>Eileen Hogan is operating a pre-school and after school care in Wells, Bagenalstown, Co. Carlow. Hillview early Learning Preschool provide the following services: Full Time /Part Time Childcare, Sessional Preschool/Montessori School, Afterschool Club, Summer Easter Camps. Assistance provided 2 X 3k employment grants for a start up pre school in Bagenalstown.</t>
  </si>
  <si>
    <t>James Patrick Flood T/a Ballyglisheen Stud/Cap</t>
  </si>
  <si>
    <t>Horse Breeding by way of artificial insemination. Grant Assistance to assist in the procurement of materials for the development of an artifical insemination business for stallions.</t>
  </si>
  <si>
    <t>Paul and Olivia McNally T/a Eastern Dental Laboratories / Emp</t>
  </si>
  <si>
    <t>Dental Technician specialising in the manufacture f removable dental appliances. The objective of the application for the expansion of the business was employment grants to assist with recruitment of two new employees 1) Laboratory Manager to manage the day to day operations and 2) Dental Technician required for the manufacture of all removable prosthetics. Company involved in R&amp;D to create their own gum shield.</t>
  </si>
  <si>
    <t>Automated Network Solutions Limited / Emp</t>
  </si>
  <si>
    <t>AV Networking Solutions Limited aims to provide a total networking solution to the customer, through three distinct channels. _x000D_1) Structured Cabling Network _x000D_2) Virtual Networking Solutions _x000D_3) Eco Friendly Computing</t>
  </si>
  <si>
    <t>Denis Kavanagh T/A Kavanagh Engineering / Cap</t>
  </si>
  <si>
    <t>Kavanagh Engineering is involved in general engineering and metal fabrication including the manufacture of log holders._x000D_Objective of this application is the upgrade of plant and equipment to maintain a competitive advantage over his competitors in the market place.</t>
  </si>
  <si>
    <t>Carlow Brewing Company/Cap</t>
  </si>
  <si>
    <t>Carlow Brewing Company is an independent Irish Brewery founded by the O'hara's in 1996. The company provides quality Irish Beers, under the O'Hara's flagship brand.  for the consumer to enjoy. Expansion of the company to a new premises. Capital grant provided for new equipment to allow expansion.</t>
  </si>
  <si>
    <t>The Piano Gallery / Cap</t>
  </si>
  <si>
    <t>The Piano Gallery - Piano selling and restoration. Introduced Schimmel Pianos to Ireland. Piano Gallery is unique in Ireland as the only piano company that insists all tuners and technicians used are accredited by the "pianoforte Tuners Assosciation" _x000D_Capital grant application for a Klavier Roller system to help with the mobility of pianos</t>
  </si>
  <si>
    <t>Brendan Kavanagh Furniture / Emp</t>
  </si>
  <si>
    <t>Manufacture of Kitchen Furniture. Employment grant for a furniture assembler</t>
  </si>
  <si>
    <t>Inferneco/Feas</t>
  </si>
  <si>
    <t>Inferneco - Replace the traditional method of fire lighting with innovative new products that offer the consumer savings in both time and money while being kind to the environment. Manufacturing fire logs, feasibility to establish what is needed for production process.</t>
  </si>
  <si>
    <t>Thel Computing Services / Emp</t>
  </si>
  <si>
    <t>Thel Computing - Information Technology Business. Provides hosted applications to companies. Expansion of Business: Assitance of two employment Grants _x000D_1) Software Developer to undertake development work unsing EMToolkit product, to eventually lead a team of developers. _x000D_2)Software develeoper to undertake development work on webset product and provide technical support on our range of hosted applications and talent toolbox.</t>
  </si>
  <si>
    <t>OMF Engineering Limited / Emp</t>
  </si>
  <si>
    <t>OMF is an internationally traded business. Engineering and design company for the automotive industry. _x000D_Employment Grant for the hiring of a design checker, quality assurance.</t>
  </si>
  <si>
    <t>Burning Ship Studios Limited / Emp</t>
  </si>
  <si>
    <t>Burning Ship Studios - Computer Gaming, manufacturers of computer games. Self employment grant for David Hill for seed capital for start up computer gaming business.</t>
  </si>
  <si>
    <t>Byrne Livestock Feeds / Cap</t>
  </si>
  <si>
    <t>Byrne Livestock Feed manufacturing animal feedstuff with minerals and vitamins added. Manufacuring tow main product ranges under the BLF label; Powder mineral supplement for ading to livestock Feeds and a block mineral supplement for leaving out on grass. Capital grant assistance to purchase injection moulding machine to make plastic buckets in which his animal feed will be distributed.</t>
  </si>
  <si>
    <t>Killerig Engineering / Ref T/a Keel Agri / Employment</t>
  </si>
  <si>
    <t>Killerig Engineering Limited Equipment Manufactuers, Service to Industry, Specialist Consultant. _x000D_The company combined its electrical mechanical and automation skills to become the only Irish manufacturer of a combination feeding/bedding and a shredding machine aimed initially at the agricultual sector. Assistance for The development of machinery for re-sale in agriculture waste and energy sectors. Ist year salary - employment grant</t>
  </si>
  <si>
    <t>Jap Engineering Limited / Cap</t>
  </si>
  <si>
    <t>Jap Engineering is a private limited company providing the following products/services _x000D_- Specialists in the repairing and re-building of heavy duty hydraulic Rams. _x000D_- Stockists of Hydraulic Seals, Chains and sprokets. _x000D_Assistance with the purchase of 3 machine for the extension of his new premises allowing more heavier work to be carried out.</t>
  </si>
  <si>
    <t>Irish Coffins Direct Limited / Emp</t>
  </si>
  <si>
    <t>Irish coffins Direct -supply of coffins to undertakers.  The coffins are manufactured in Ireland and Irish Coffins Direct fit out the interiors and external finishes. _x000D_
Objective of application - 1 Employment Grant. _x000D_</t>
  </si>
  <si>
    <t>Teresa Keogh T/a Smart Sewing School / Emp</t>
  </si>
  <si>
    <t>Smart Sewing School Start up - Assist budding designers and sewing job aspirants. The school aspires to be the largest independent sewing school in Ireland. The school of sewing offers many courses and workshops to cater for all needs, interests and levels. The courses, divided into four sections - Basics, Bags &amp; Crafts, Dressmaking &amp; Tailoring with Fetac and City &amp; Guilds qualification.</t>
  </si>
  <si>
    <t>Red Oak Financial Services Ltd T/a Red Oak Tax Refunds/ Emp</t>
  </si>
  <si>
    <t>Red Oak Tax Refunds is an on-line Tax Return Service for individuals. Delivered via website and phone support. The company also offer a PAYE employee tax assessment service.  Grant Assistance - Employment Grant for a customer services and sales supprot role.</t>
  </si>
  <si>
    <t>Start Your Own Business / M2</t>
  </si>
  <si>
    <t>Start Your Own Business Courses - Courses aimed at starting a business for clients. _x000D_The start Your own Business covers topics such as business law, Finance, Source of Finance, Accounts, writing a business plan, risk assessment and looking at the client themselves, do they have what it takes to start a business.</t>
  </si>
  <si>
    <t>Enterprise Education / M2</t>
  </si>
  <si>
    <t>Enterprise Education - Education of school students on self employment as a way of life. Workshops were the method in which this was done.ERDF related activity.</t>
  </si>
  <si>
    <t>Owner Manager Network / M2</t>
  </si>
  <si>
    <t>Owner Manager Network - A lunch seminar for owner managers on a quarterly basis. _x000D_Talks such as Express to success. Allows networking opportunity also for owner managers</t>
  </si>
  <si>
    <t>Fresh Start/New Start / M2</t>
  </si>
  <si>
    <t>Fresh Start / New Start _x000D_Two half day seminars aimed at people who were looking for a new direction if they were unemployed, recently made redundant or in employment wishing to start their own business. Aimed at business start up, Education and training. _x000D_Seminar covered areas such as Enterprise, Personal Finance, Effective Networking, Understanding lenders, self marketing through networking.</t>
  </si>
  <si>
    <t>Web Development  / M2</t>
  </si>
  <si>
    <t xml:space="preserve">Web Development is where by the Board provided assistance to the promoter to update their websites and E-Commerce. </t>
  </si>
  <si>
    <t>Women In Business / M2</t>
  </si>
  <si>
    <t>Women In Business - Female Enterprise Development Training Programme and establishment of WIB network. The programme allowed women an opportunity to upskill in running their premises.</t>
  </si>
  <si>
    <t>Health and Safety / M2</t>
  </si>
  <si>
    <t>Health and Safety Training_x000D_ Objective: To assist the owner-manager with the effective and practical implementation of health and safety in the workplace.</t>
  </si>
  <si>
    <t>Accounts and Book-Keeping / M2</t>
  </si>
  <si>
    <t>Accounts and Book-Keeping training for owner managers in order to run their accounts efficiently.</t>
  </si>
  <si>
    <t>Sales and Marketing / M2</t>
  </si>
  <si>
    <t>Training in respect of sales and marketing programmes for board clients to upskill them in terms of sales leads and how to do it properly and more effectively in a sales target approach.</t>
  </si>
  <si>
    <t>IT Training / M2</t>
  </si>
  <si>
    <t>IT Training - is eligible for Co-funding and is exclusively related to erdf activity. It Training. upskilling of IT skills for ceb clients in respect of IT Courses. Blogging- Blogging for business. How to use the blog system. Alarm installation and Computer skills- Training course on the use of IT Skills.</t>
  </si>
  <si>
    <t>Spirit of Enterprise / M2</t>
  </si>
  <si>
    <t>The South-East Spirit of Enterprise Forum (SoEF) is an integrated, interactive grouping of public and private interested parties involved in the promotion and encouragement of enterprise development and entrepreneurship in the South-East Region. Carlow County Enterprise Board contribution to Enterprise week being organised.</t>
  </si>
  <si>
    <t>Aine Candy / Priming</t>
  </si>
  <si>
    <t>Priming</t>
  </si>
  <si>
    <t>Salary costs for Childcare Montessori Facility. 3 salary costs.</t>
  </si>
  <si>
    <t>Alpine Doors / CAP</t>
  </si>
  <si>
    <t>Manufacture of steel doors. _x000D_Grant was for equipment required to enable the company to maximise output from their workshop.  Equipment Cold Roll Forming machine, machine for angle and air gus for fencing.</t>
  </si>
  <si>
    <t>Byrne Hurls / Priming</t>
  </si>
  <si>
    <t>Manufacture of Hurls grant assistance for employment Costs</t>
  </si>
  <si>
    <t>Carlow Toolmaking Services Ltd / BEG</t>
  </si>
  <si>
    <t>Expansion</t>
  </si>
  <si>
    <t>Carlow Toolmaking manufactures tools. Grant aid was for the Recruiment of a production operative. In addition - Grant for the training on Fanuc Robocut Training - Tool Technologies.</t>
  </si>
  <si>
    <t>Codd Mushrooms Ltd / BEG</t>
  </si>
  <si>
    <t>Codd Mushrooms cultivate Mushrooms. Grant assisted the company by way of 2 employment grants for a specific area of Vitamin D enhancement activities.</t>
  </si>
  <si>
    <t>Construction SBS / Feas</t>
  </si>
  <si>
    <t>Grant aid for Innovation Costs only.  Grant to assist the promoter with the development of an online information platform to facilitate information sharing in large corporations.</t>
  </si>
  <si>
    <t>Dalite Moulds / Capital</t>
  </si>
  <si>
    <t>Manufactures of Fibreglass Machine Guards &amp; Moulds for Architectural Plasterwork.</t>
  </si>
  <si>
    <t>Debcon Ltd / BEG</t>
  </si>
  <si>
    <t>Manufacture of quality machinery attachments for agricultural and construction sectors. _x000D_Grant for 2 employees salary costs. sales and an operations person.</t>
  </si>
  <si>
    <t>Dolmen Precison and Fabrication / BEG</t>
  </si>
  <si>
    <t>Precision and Fabrication Engineering. Grant assistance for Machinery Purchase of Iturio Umio Machine.</t>
  </si>
  <si>
    <t>Dry Clean IT / BEG</t>
  </si>
  <si>
    <t>Dryclean it specialist dry cleaning business servicing the fire and flood damage sector. The Grant, capital costs used to purchase a steam and dry cabinet to ensure a better finished goods with no creases, shrinkage. Allows a perfect pleat system suitable for contract work and hospital laundries - a market the promoter will focus more on.</t>
  </si>
  <si>
    <t>Hedgehog Limited / Priming</t>
  </si>
  <si>
    <t>Grant was to assist with employment costs for 2 personell to assist with the development of a media promotions business specializing in online video media content.</t>
  </si>
  <si>
    <t>Independent Analytical Supplies Ltd / BEG</t>
  </si>
  <si>
    <t>Employment Costs x 2 for Lab technican._x000D_ Capital Expenditure for an oxitop Vessels equipment.</t>
  </si>
  <si>
    <t>Killerig Engineering /  BEG</t>
  </si>
  <si>
    <t>Killerig Engineering an company who manufactures agricultural machinery.Grant Assistance for the recruitment of an employee for sales to sell agricultural machinery for their business.</t>
  </si>
  <si>
    <t>Lisnavagh Timber Project / Cap</t>
  </si>
  <si>
    <t>The grant was for the purpose of developing the workshop and equipment.</t>
  </si>
  <si>
    <t>Precious Minds Montessori / Priming</t>
  </si>
  <si>
    <t>Employment Costs for 2 Childcare Personnel, Director (Suzanne o Brien ) and one other childcare worker.</t>
  </si>
  <si>
    <t>Rainfall Enterprises / Priming Grant</t>
  </si>
  <si>
    <t>Renewable Resource Enterprise - Grant Assistance for one employment grant for Damian Dawson</t>
  </si>
  <si>
    <t>Red Oak Tax Refunds / BEG</t>
  </si>
  <si>
    <t>Red Oak Tax Refunds grant assistance was for Employment and consultancy costs.</t>
  </si>
  <si>
    <t>Relinquish Clothing Limited / Priming</t>
  </si>
  <si>
    <t>Grant was towards salary costs for the director to enable the start up of a clothing label - selling its own design brand of clothing on its online store.</t>
  </si>
  <si>
    <t>Self Build QS / Priming Grant</t>
  </si>
  <si>
    <t>Grant was salary costs for the promoter to assist with the development of the promoter's relationship management website, concentrating on the self building sector.</t>
  </si>
  <si>
    <t>Wake Up / Priming</t>
  </si>
  <si>
    <t>Grant was for the creation of 1 full time position. Stephen Dargan works in the area of self development for adults and teenagers in promoting self awareness and a zest for life. Development of programme for transition teenagers and transition year students
Board approval was based on the decision of this service being a unique in the County.</t>
  </si>
  <si>
    <t>Whippersnappers Creche and Montessori / Priming</t>
  </si>
  <si>
    <t>Priming Grant in the form of Salary Costs for 2 Childcare Workers. Childcare Montessori and Creche facility.</t>
  </si>
  <si>
    <t>Whitelite Gael Renewables / Inn Grant</t>
  </si>
  <si>
    <t xml:space="preserve">Grant for the development costs for solar thermal prototype. </t>
  </si>
  <si>
    <t>Industrial Design / M2</t>
  </si>
  <si>
    <t>Industrial Design - Carlow County Enterprise Board work in partnership with the final year students of the IT Carlow Industrial Design Programme to work on live projects through the elements of product design from initial design research to professional standard as part of their final year assessment. Such live projects provide students with an excellent insight into real life work practices and in turn provides the business community with an opportunity for product research and development.</t>
  </si>
  <si>
    <t>National Ploughing Championships / M2</t>
  </si>
  <si>
    <t>National Ploughing Championships - Enterprise Carlow tent enabled some of the board clients to take a stand at the biggest agricultural event of the year.</t>
  </si>
  <si>
    <t>SE WIB Carlow /  M2</t>
  </si>
  <si>
    <t>Organised with other boards in the south east for WIB Conference in the South East.</t>
  </si>
  <si>
    <t>Dolmen Precision and Fabrication / BEG</t>
  </si>
  <si>
    <t>Purchase of and Agri Classic Machine -Wire EDM HSM Works, Wire EWM. _x000D_It is noted that due to the promoter going through a significant period of growth, the promoter was not in a position to purchase two machines due to working capital and business commmitments therefore required a second application to the board within 10 months of original application.</t>
  </si>
  <si>
    <t>Independent Analytical Supplies Limited / BEG</t>
  </si>
  <si>
    <t>Grant for Employment costs for lab technicans. Capital Costs for iCP-MS Testing Machine to allow more detailed analysis of testings for customers and reduce contracting out testings.</t>
  </si>
  <si>
    <t>Christmas Fair 2010</t>
  </si>
  <si>
    <t>A fair co-ordinated by Carlow CEB whereby manufacturing clients could sell their wares to the gift market at christmas.</t>
  </si>
  <si>
    <t>National Enterprise Awards / M2</t>
  </si>
  <si>
    <t>National Enterprise Awards _x000D_Expenditure in relation to the participation of carlow Company in County Enterprise Awards for NEA Event.</t>
  </si>
  <si>
    <t>Eamonn Collins/ Innovation</t>
  </si>
  <si>
    <t>Feasibility Study of a Sugar Bio-Refinery This result of the study was that it was viable subject to significant capital investment and allocation of sugar beet quota for Ireland.</t>
  </si>
  <si>
    <t>Ariane Tobin T/a Ariane Tobin Jewellery/ Priming</t>
  </si>
  <si>
    <t>Manufacture of Jewellery, bespoke pieces and designs. _x000D_
Assistance in the form of salary and capital costs</t>
  </si>
  <si>
    <t>Carlow Precision Grinding / BEG</t>
  </si>
  <si>
    <t>Purchase of a machine to enable more efficient tool manufacturing. Tool manufacutring is the core service this business provides. Need to keep abreast of developments.</t>
  </si>
  <si>
    <t>Deycom Computer Services Limited / BEG</t>
  </si>
  <si>
    <t>The Application for a Business Expansion Grant was to assist the development of the promoters ICT Solutions Business with particular emphasis on the development of Cloud computing services for its customers. Approval was on the basis of having particular reqard to the cloud computing aspect of the project.</t>
  </si>
  <si>
    <t>Lisnavagh Timber Project / BEG</t>
  </si>
  <si>
    <t>Expansion Grant to assist promoters wooden chopping boards manufacturing business. Assistance in the form of priming grant towards Salary costs.</t>
  </si>
  <si>
    <t>Colin Price Photography / Priming</t>
  </si>
  <si>
    <t>Employment Grant to assist with the development of the promoters Fashion Photography Business</t>
  </si>
  <si>
    <t>Encription Ireland / Priming</t>
  </si>
  <si>
    <t>Start up Company providing encryption pen testing services for all companies. Assistance provided in the form of 2 employment grant for pentester and admin.</t>
  </si>
  <si>
    <t>Expansion Grant to assist the development of the promoters engineering and fabrication workshop. Precision and Fabrication Engineering. Manufacturing components and parts.</t>
  </si>
  <si>
    <t>Dry me Total Body Dryer Limited / Priming</t>
  </si>
  <si>
    <t>Unique Shower Bodydryer, manufacture and distribute this product, throughout Europe and Asia. Our plan is to create local employment and exporting. Assistance with Salary Costs for Employee and Capital Costs for Equipment.</t>
  </si>
  <si>
    <t>Energy MCS Limited / BEG</t>
  </si>
  <si>
    <t>Assistance  with the promotion of the promoters Energy Audit &amp; Solution Enterprise.</t>
  </si>
  <si>
    <t>Eurothreads / Priming</t>
  </si>
  <si>
    <t>Development of Recycling Centre for Tyres - Equipment assistance required.</t>
  </si>
  <si>
    <t>Immanuel Darkwa T/a Homestil / Innovation</t>
  </si>
  <si>
    <t>Feasibility study to develop an innovative shelter solution that is tockpile-able and easily deplored to difference climatic regions in the world, that provides a healthy and habitable living environment for those affected by natural disasters, conflicts or poverty.  It incorporates a structural framework for sustainable long term living.</t>
  </si>
  <si>
    <t>Immanuel Darkwa T/a Homestil / Priming</t>
  </si>
  <si>
    <t>Development of an innovative shelter solution that is tockpile-able and easily deplored to difference climatic regions in the world, that provides a healthy and habitable living environment for those affected by natural disasters, conflicts or poverty. It incorporates a structural framework for sustainable long term living. Board provided self employment salary costs to this project.</t>
  </si>
  <si>
    <t>Hillview Early Learning Pre-school / BE</t>
  </si>
  <si>
    <t>Salary costs for childcare facility</t>
  </si>
  <si>
    <t>Capital cost to assist the promoters testing laboratory business. This service is used by companies and individuals in the agricultural service for testing for more minerals and components.</t>
  </si>
  <si>
    <t>David O Connor T/a Mowpal / Innovation</t>
  </si>
  <si>
    <t>Assistane in the form of an Innovation Grant with the development of the promoters flower lifting device called the "Mowpal" to allow lawn to be mowed without moving flowers and plants.</t>
  </si>
  <si>
    <t>Pacific Foods Limited / BEG</t>
  </si>
  <si>
    <t>Pacific foods is unique in the Food Service Sector as it is a food brokerage company and sales/distribution company.  Pacific Foods seeks to employ two sales representatives with responsibility for enlarging the Company's customer base on a nationwide basis.  The company also requires funding to assist with the development of a functional website.</t>
  </si>
  <si>
    <t>Arthur Magan T/a Pelias Limited / Innovation</t>
  </si>
  <si>
    <t>Financial Assistance with the development of the promoters Ski Clip Device.</t>
  </si>
  <si>
    <t>Pet Sitters Ireland Limited / Priming</t>
  </si>
  <si>
    <t>Priming Grant in the form of salary costs to assist with the development of the promoters unique local service in the area of County Carlow and the region. i.e. a Pet Sitting Enterprise.  The bases for approval was that it was a unique local service in the area.</t>
  </si>
  <si>
    <t>Pro-Align T/a Clonagoose Holdings Limited / Innovation</t>
  </si>
  <si>
    <t>Development of Pro Align 1000 Golf Product for Mass Market</t>
  </si>
  <si>
    <t>Rebecca's Nutritious Nibbles / Priming</t>
  </si>
  <si>
    <t>Assistance of capital items and consultancy cost of the promoters Cookie production business</t>
  </si>
  <si>
    <t>Assistance for the creating of 2 full time positions. The Company specialise in online tax refunds.</t>
  </si>
  <si>
    <t>Rukkle Limited / Priming</t>
  </si>
  <si>
    <t>Application for a priming grant ito assist with the development of promoters on-line media production company. Employment Costs.</t>
  </si>
  <si>
    <t>Steel &amp; Spares Limited / Priming</t>
  </si>
  <si>
    <t>Capital cost to assist with the development of the promoters lighting engineering &amp; fabrication company.</t>
  </si>
  <si>
    <t>Tech Lead Gen / Priming</t>
  </si>
  <si>
    <t>Priming Grant to assist with the development of the promoters Technical Lead Generation Service. The company provide lead generation to other it companies for example they act as sales agents to sell a specific product/service on behalf of companies. They create leads and orders for companies.</t>
  </si>
  <si>
    <t>The Zone / Priming</t>
  </si>
  <si>
    <t>Family Entertainment establishment, Kids and teenage entertainment with food.  Kids climbing area had to be built to standard with health and safety requirements. Salary Costs for employees to work in entertainment facility only.</t>
  </si>
  <si>
    <t>Childproofhome.ie / Priming</t>
  </si>
  <si>
    <t>Salary Costs for Childproofhome.ie _x000D_
Professional supply and installation of quality child safety equipment in the home. Product porfolio include: Window restrictor latches, cupboard drawer safety latches, hob guards, stairway safety gates etc.  The Board approval was on the basis of it being a unique local service.</t>
  </si>
  <si>
    <t>Adams Glass Art / Priming</t>
  </si>
  <si>
    <t>Manufacuturing of art with glass pieces based in Chapelstown gate, Tullow Road, Carlow.   Salary Costs for Adam who was starting the business.</t>
  </si>
  <si>
    <t>John McDonnell / Priming</t>
  </si>
  <si>
    <t>Priming Grant to assist promoters printed clothing business. The promoters business is in relation to slogan printing on t-shirts. The basis for board approval is that it was a unique local service.</t>
  </si>
  <si>
    <t>Showcase/ M2</t>
  </si>
  <si>
    <t>Assistance with Clients attending Showcase. Carlow CEB paid 100% Expenditure but asked clients to contribute at 50% of costs. for clients to attend 50% of costs  3 Clients attended showcase on behalf of the Board.</t>
  </si>
  <si>
    <t>Year of the Craft 2011/ M2</t>
  </si>
  <si>
    <t>In Consultation with the Craft council of Ireland.  Year of the Craft - Establishment of Creative Carlow and craft brochure launch under the banner creative carlow.</t>
  </si>
  <si>
    <t>E Commerce &amp; Trade Grants / M2</t>
  </si>
  <si>
    <t>Clients are grant aided at 50%. _x000D_
Client is required to demonstrate that he spent 100% of expenditure towards a project and the board recoup them 50% net of VAT. _x000D_
Assistance is towards either the development of website or trade fair assistance.</t>
  </si>
  <si>
    <t>2EVA / BEG</t>
  </si>
  <si>
    <t>2eva.ie is an independent energy consultancy that provides a range of advice to clients providing them information on the best mix of services &amp; products that suit their needs and wants. The business has been in existence for sone 4 and a half years and is ready to expand its ability by taking on an employee</t>
  </si>
  <si>
    <t>Axilla Deodrants / Innovation Grant</t>
  </si>
  <si>
    <t>Feasibility into the Production of a naturally and environmentally friendly deodrant _x000D_</t>
  </si>
  <si>
    <t>Bronze Couture Supplies Limited / BEG</t>
  </si>
  <si>
    <t>Bronze Couture assisted witgh marketing costs for aa  cosmetic tanning product  that it has developed and sells to other beauty salons and pharmacy's. Assistance in the form of  product development costs, branding,promotional literature, PR campaign and trade shows.</t>
  </si>
  <si>
    <t>College Bound USA / Priming</t>
  </si>
  <si>
    <t>Application for the development of the promoter's international scholarship placement business._x000D_</t>
  </si>
  <si>
    <t>Creative 1 Management / Priming</t>
  </si>
  <si>
    <t>The primary service offered by Creative 1 Management is artist representation. In this segment of the Company's operations, the business will obtain, negotiate, and counsel clients in regards to obtaining contractual employment for the development of artist projects. On a fee bases The Company's secondary revenue center will come from entertainment consulting/promotional services that are provided on behalf of clients. _x000D_</t>
  </si>
  <si>
    <t>Eurothreads / BEG</t>
  </si>
  <si>
    <t>Salary Costs x 2 to assist with the Development of the tyre recycling Business.</t>
  </si>
  <si>
    <t>Hedgehog Productions Limited / Priming</t>
  </si>
  <si>
    <t>Applicaiton to assist with the development of promoters media Production Company. Purchase of equipment</t>
  </si>
  <si>
    <t>ICF Limited / Priming</t>
  </si>
  <si>
    <t>Assistance in the form of Salary Costs to Internationally Traded Construction Company _x000D_</t>
  </si>
  <si>
    <t>I-Con Windows Limited / Priming</t>
  </si>
  <si>
    <t xml:space="preserve">The manufacture of Irish Timber Windows, for the export market. </t>
  </si>
  <si>
    <t>Ladies Loot Limited / Priming</t>
  </si>
  <si>
    <t>Online Classified Advertising targeted at Females only. Classified website to sell used and pre-loved items. Also hosting online shops. Online action to be the first of its kind in Ireland. Assistance towards taking on additional staff</t>
  </si>
  <si>
    <t>JEM Textiles / BEG</t>
  </si>
  <si>
    <t>Designs &amp; Produces exclusive fabrics and fashion accessories. BEG Marketing Costs assistance to attend a show to display a new product faublight that the company are working on.</t>
  </si>
  <si>
    <t>Online Classified Advertising targeted at Females only. Classified website to sell used and pre-loved items. Also hosting online shops. Online action to be the first of its kind in Ireland. Assistance with Salary Costs</t>
  </si>
  <si>
    <t>Natural Bio Solutions / Priming</t>
  </si>
  <si>
    <t>Natural Bio-Solutions provides tailor-made solutions for the resolution and management of wastewater treatment plants. Our solutions are based on the use of live, natural bacteria which work with the wastewater treatment plant's own biological flora to biodegrade troublesome materials including fats, oils, greases, blood and other congealed solids into compounds that are either safe to discharge or are more easily broken down in subsequent stages of the treatment process. _x000D_</t>
  </si>
  <si>
    <t>SEG (Waste Solutions Ltd / Priming</t>
  </si>
  <si>
    <t xml:space="preserve">Grant to establish a waste brokerage business </t>
  </si>
  <si>
    <t>Siobhan Jordan / Priming</t>
  </si>
  <si>
    <t>The Business has developed from a successful hobby arts practice to selling + produce reproductions of original paintings in the form of matted prints, canvas prints, art jewellery (necklaces + earrings), embroidered brooches and soft sculptures to the retail and wholesale markets. The product is inspiring and uplifting, a joy both to give and to receive. Assistance provided in the form of salary costs to the company to enable the establishment of full time business.</t>
  </si>
  <si>
    <t>Superfunplay Limited / Priming</t>
  </si>
  <si>
    <t>Assistance with equipment and salary costs for the company. _x000D_
The company design fun computer games and apps for businesses and indpenedent customers.</t>
  </si>
  <si>
    <t>Tech Lead Gen / Maven / Priming</t>
  </si>
  <si>
    <t>Maven TM is a provider of cold calling telemarketing, lead generation and telesales services to SME technology companies targeting Ireland, UK, Continental European and US markets. The company specializes in selling complex technology solutions on behalf of its clients, particularly to new markets. The core purpose of the company's is to generate new sales opportunities for its customers, wiht te end result of increased new sales for its customers.</t>
  </si>
  <si>
    <t>The Purple Door / Priming</t>
  </si>
  <si>
    <t>The business is manufacturing natural, artisan soap and cosmetics with as few chemicals (if any) as possible. Soap and cosmetics are manufactured in a traditional method wherever possible.  Assistance by way of Capital Assistance towards purchasing equipment for the business to manufacture soaps.</t>
  </si>
  <si>
    <t>The Wedding Site Limited / Priming</t>
  </si>
  <si>
    <t>Development of the promoter's web based business. An online business model which connects irish brides to wedding industry professionals. The site generates revenue options through various advertising options such as banner, button, supplier directory ads, advertorials, sponsorshis etc. Assistance provided in the form of salary costs for employee to enable starting and marketing costs for marketing of business.</t>
  </si>
  <si>
    <t>Capital Assistance towards the purchase of a climbing play area and dance studio to family entertainment facility. _x000D_</t>
  </si>
  <si>
    <t>Trees Montessori / Priming</t>
  </si>
  <si>
    <t>The Montessori school uses the Montessori Method of education and will also introduce the children to German and Irish. Depending on growth and interest in the first year. She will start an afternoon Montessori session &amp; after schools. The grant will be used for the starting of this business</t>
  </si>
  <si>
    <t>Pop Up Shop Scheme / M2</t>
  </si>
  <si>
    <t>Carlow Town Pop-Up Shop initiative makes use of empty commercial property in the Town Centre to offer temporary low-cost space for community benefit, social enterprise and local business entrepreneurs. The initiative is an opportunity try out new retail or exhibition space that offers economic and social benefits to the area. _x000D_</t>
  </si>
  <si>
    <t>Innovate Carlow Awards / M2</t>
  </si>
  <si>
    <t>Innovate Carlow Start Up &amp; Business Awards 2012_x000D_
provide on important opportunity for the local business community to come together and celebrate their successes and to promote themselves by entering _x000D_
The Innovate Carlow Start Up &amp; Business Awards aims to recognise examples of business excellence in the county and pay tribute to the talent, dynamism and innovation to be found across the county.</t>
  </si>
  <si>
    <t>Taste of Carlow Festival and Culinary Challenge / M2</t>
  </si>
  <si>
    <t>Taste of Carlow Festival and Culinary Challenge was an event organised to promote food manufacturing and showcase carlow's finest foods</t>
  </si>
  <si>
    <t>Exhibitions for Craft Enterprises / M2</t>
  </si>
  <si>
    <t>Assistance Provided to craft enterprises to attend shows and costs associated with same such as Top Drawer, National Design Fair and local fairs.</t>
  </si>
  <si>
    <t>CHP TOTAL</t>
  </si>
  <si>
    <t>MICROENTERPRISE TOTAL</t>
  </si>
  <si>
    <t>CARLOW TOTAL</t>
  </si>
  <si>
    <t>Olympus Life and Material Science GMBH</t>
  </si>
  <si>
    <t>Installation of a 220 kW Kob Pyrot biomass boiler, burning woodchip, to heat the Olympus factory. The woodchip will be stored in a 140 m3 woodchip silo, which will be automatically fed into the boiler via a fuel transfer auger</t>
  </si>
  <si>
    <t>Clare</t>
  </si>
  <si>
    <t>Dromoland Castle</t>
  </si>
  <si>
    <t>Installation of a 850 kW Heizomat boiler.</t>
  </si>
  <si>
    <t>Torpey Wood Products</t>
  </si>
  <si>
    <t>TWP produce hardwood flooring &amp; hurleys. The primary purpose of the wood chip boiler installation is to provide heat to areas of sawmill finishing, storage areas require heating.</t>
  </si>
  <si>
    <t>Aragorn Services</t>
  </si>
  <si>
    <t>Installation of a 13.4 kW heat pump</t>
  </si>
  <si>
    <t>Lisdoonvarna Failte Ltd</t>
  </si>
  <si>
    <t>Installation of a 22 kW heat pump.</t>
  </si>
  <si>
    <t>Solar Heating in conjunction with Heat Pump (Air to Water) providing renewable source of heat and hot water. _x000D_</t>
  </si>
  <si>
    <t>Denis and John Vaughan T/A Anchor Bar</t>
  </si>
  <si>
    <t>Water heating by solar panels, consisting of 2 independent systems. System 1: consits of 5 solar panels (10sq.m) and 500L Cylinder twin coil solar to heat domestic water for restaurant, pub and kitchen. System 2: 10sq.m solar panels and 500l cylinder to heat space._x000D_</t>
  </si>
  <si>
    <t>Cratloe GAA</t>
  </si>
  <si>
    <t>5 Solar Panels (10m2) on roof of clubhouse with 500 litre cylinder to provide hot water for showers and baths to the players after matches._x000D_</t>
  </si>
  <si>
    <t>Cahercalla Nursing Home</t>
  </si>
  <si>
    <t>It is proposed to install a 300kW Kob Pyrot biomass boiler, burning woodchip, to heat Cahercalla Nursing Home.</t>
  </si>
  <si>
    <t>Drumcreehy Guest House</t>
  </si>
  <si>
    <t>Drumcreehy Guest House is a family operated enterprise comprising of 17 guest bedrooms with additional family accommodation and staff quarters. Its market is almost exclusively tourist based and operates from spring through autumn, peaking in the summer months._x000D_</t>
  </si>
  <si>
    <t>Martin &amp; Patricia McMahon</t>
  </si>
  <si>
    <t>Changing existing fossil driven heating systems with a renewable heating system_x000D_</t>
  </si>
  <si>
    <t>Prime Energy Solutions Power</t>
  </si>
  <si>
    <t>The grantee will carry out a feasibility study</t>
  </si>
  <si>
    <t>Clare's Rock Hostel</t>
  </si>
  <si>
    <t>The grantee will install 17.08 sq m of evacuated tube solare collectors</t>
  </si>
  <si>
    <t>Aragorn Services Ltd</t>
  </si>
  <si>
    <t>The grantee will install 85kW wood chip boiler</t>
  </si>
  <si>
    <t>Mary Kennedy</t>
  </si>
  <si>
    <t>Installation of a 15.4 kW heat pump.</t>
  </si>
  <si>
    <t>Sixmilebridge GAA Club</t>
  </si>
  <si>
    <t>Installation of 10m2 flat plate solar panels.</t>
  </si>
  <si>
    <t>The grantee will install 9.6m2 of evacuated tube solar panels.</t>
  </si>
  <si>
    <t>Roche Ireland Ltd</t>
  </si>
  <si>
    <t>The grantee will investigate using a new centralised system using Ammonia exclusively as the refrigerant.</t>
  </si>
  <si>
    <t>Energy For Business</t>
  </si>
  <si>
    <t>Element Six</t>
  </si>
  <si>
    <t>Integration of CHP installation, Heat recovery, Lower pressure/Dual pressure on new compressed air systems. Optimisation of chillers of polishing process, recommissioning of TREND monitoring systems, Operational control of DX units</t>
  </si>
  <si>
    <t>Energy for Business</t>
  </si>
  <si>
    <t>Smithstown Light Engineering Ltd</t>
  </si>
  <si>
    <t>Upgrade of two existing chillers and two dryers with more efficient type.</t>
  </si>
  <si>
    <t>Schools Enterprise Awards/M2</t>
  </si>
  <si>
    <t>Enterprise competition for second level students to develop mini companies</t>
  </si>
  <si>
    <t>Plato Programme/ M2</t>
  </si>
  <si>
    <t>Business support network for owner/ managers to ptomote development of indigenous SME's</t>
  </si>
  <si>
    <t>Manual Handling/ M2</t>
  </si>
  <si>
    <t>Manual Handling Programme for Board clients to provide safety in the workplace</t>
  </si>
  <si>
    <t>Dip in Project Management/ M2</t>
  </si>
  <si>
    <t>12 Week single subject Diploma training programme on project management delivered to Board clients to include project planning, scheduling, budget/ cost estimation etc</t>
  </si>
  <si>
    <t>Womens Network/ M2</t>
  </si>
  <si>
    <t>Women's Networking group for Co. Clare. The network provides a forum for women in business to meet on a regular basis and learn about best practice in running a small business.</t>
  </si>
  <si>
    <t>Marketing Development Programme/ M2</t>
  </si>
  <si>
    <t>Marketing Development Programme for Board clients to apply marketing concepts andsales opportunities and help prepare a marketing plan to increase sales</t>
  </si>
  <si>
    <t>Computerised Accounts/ M2</t>
  </si>
  <si>
    <t>Computerised Accounts training programme. Delivered to Board clients to mantain manual accounting records.</t>
  </si>
  <si>
    <t>Advanced Computerised Accounts/ M2</t>
  </si>
  <si>
    <t>Advanced Computerised Accounts training programme delivered to Board clients to maintain accurate accounting records - quickbooks package</t>
  </si>
  <si>
    <t>Graphic Design/ M2</t>
  </si>
  <si>
    <t>Graphic Design training programme for Board clients to help create and implement their own design materials using Adobe Photoshop and Adobe In-Design</t>
  </si>
  <si>
    <t>Desktop Publishing/ M2</t>
  </si>
  <si>
    <t>Desktop Publishing Training Programme delivered to Board clients using Microsft Publisher and Adobe Photoshop to produce letterheads, brochures, posters and business forms.</t>
  </si>
  <si>
    <t>ECDL / M2</t>
  </si>
  <si>
    <t>ECDL - European Computer Driving Licence Programme delivered to Board clients to equip them with necessary computer skills</t>
  </si>
  <si>
    <t>SYOB Seminars/ M2</t>
  </si>
  <si>
    <t>Seminars on Starting Your Own Business held over 2 evenings for people thinking/ planning on start up a business</t>
  </si>
  <si>
    <t>Management Development Programme/ M2</t>
  </si>
  <si>
    <t>Training programme for Board clients to learn management skills, techniques and strategies and develop a business plan for their business.</t>
  </si>
  <si>
    <t>AutoCAD Programme/ M2</t>
  </si>
  <si>
    <t>AutoCAD Computer aided design training programme delivered to Board clients to produce 2D and 3D autocad drawings</t>
  </si>
  <si>
    <t>Mentor Programme/ M2</t>
  </si>
  <si>
    <t>Mentor Programme for Board clients to avail of experienced advisors during the development stages of business</t>
  </si>
  <si>
    <t>Dip in Operations Management/ M2</t>
  </si>
  <si>
    <t>12 week single subject Diploma training programme in Operations Management delivered to Board clients to include operations strategy and competitiveness, product design and quality management.</t>
  </si>
  <si>
    <t>Promotions/ M2</t>
  </si>
  <si>
    <t>Promotion of entrepreneurship, innovation and business start up for Measure 2 activities.This relates exclusively to M2 activities and is eligible for co-funding. eg Attendance at Trade Fairs, etc.</t>
  </si>
  <si>
    <t>Web Design/ M2</t>
  </si>
  <si>
    <t>Web Design &amp; E-Commerce Training Programme for Board clients to develop and maintain a website. Full 8 week Programme</t>
  </si>
  <si>
    <t>Basic Computing Programme/ M2</t>
  </si>
  <si>
    <t>Basic Computing training programme delivered to Board clients to learn skills in file management, word processing, email, web etc</t>
  </si>
  <si>
    <t>Advertising/M2</t>
  </si>
  <si>
    <t>Advertising of Measure 2 training programmes to stimulate innovation and entrepreneurship.  This advertising is exclusive to M2 activities and is eligible for co-funding.</t>
  </si>
  <si>
    <t>SYOB 6 Week Programme/M2</t>
  </si>
  <si>
    <t>6 Week Start Your Own Business Programme aimed at clients at initial start up stage of business.</t>
  </si>
  <si>
    <t>Post</t>
  </si>
  <si>
    <t>Dissemination of information on M2 activities to Board clients as eligible under section 5.5.1 of Circular 12/2009</t>
  </si>
  <si>
    <t>Irish Export/M2</t>
  </si>
  <si>
    <t>Exporting Programme for Clare CEB Clients in association with Irish Exporters Association, providing export links for client companies.</t>
  </si>
  <si>
    <t>Book keeping Prog/ M2</t>
  </si>
  <si>
    <t>Manual book-keeping training programme for small business, delivered to Board clients to maintain manual accounting records</t>
  </si>
  <si>
    <t>Diploma in HR/ M2</t>
  </si>
  <si>
    <t>12 week single subject diploma training programe in Human Resource Management delivered to Board clients to include performance appraisal, job analysis, counselling and industrial relations.</t>
  </si>
  <si>
    <t>Skillnets/M2</t>
  </si>
  <si>
    <t>Contribution to prepare a Skillnet funding application resulting in receiving Skillnet funding of €395,545 for the Mid West Engineering Skillnet Network</t>
  </si>
  <si>
    <t>Health &amp; Safety Seminars/ M2</t>
  </si>
  <si>
    <t>Seminars in Health &amp; Safety training under the Safety, Health and WElfare at Work Act 2005 for Board clients</t>
  </si>
  <si>
    <t>Safety Statements/M2</t>
  </si>
  <si>
    <t>Provide risk assessment and safety statements for Board clients</t>
  </si>
  <si>
    <t>E-Commerce/Marketing Initiative/ M2</t>
  </si>
  <si>
    <t>E-Commerce/ Marketing Scheme run by Clare CEB assisting clients in web-site development and marketing initiatives. Grant aid is 50%</t>
  </si>
  <si>
    <t>Women in Business/ M2</t>
  </si>
  <si>
    <t>Women in Business Management Development Programme. This ia a 10 week programme aimed at women in business who wish to develop their management skills and expertise</t>
  </si>
  <si>
    <t>IOSH Managing Safely Prog/M2</t>
  </si>
  <si>
    <t>The Institution of Occupational Safety and Health training programme for Board clients to help maintai and provide guidance on health and safety issues</t>
  </si>
  <si>
    <t>National Enterprise Awards/ M2</t>
  </si>
  <si>
    <t>National Enterprise Awards supporting companies assisted by CEB's</t>
  </si>
  <si>
    <t>Employment Contracts/ Law Seminar/ M2</t>
  </si>
  <si>
    <t>Seminar on Employment/ Law contracts delivered to Board clients to help put water-tight contracts in place for staff</t>
  </si>
  <si>
    <t>Public Procurement/ Tenders/ M2</t>
  </si>
  <si>
    <t>Public Procurement/ Tenders Seminars for Board clients to provide assistance in tendering for contracts</t>
  </si>
  <si>
    <t>HACCP/M2</t>
  </si>
  <si>
    <t>HACCP Food Hygiene training programme for Board clients on food hygiene, contamination, food delvery and storage, personla hygiene etc</t>
  </si>
  <si>
    <t>Web Optimisation/ M2</t>
  </si>
  <si>
    <t>Web Optimisation Seminar for Board clients to learn skills in search engines and search engine optimisation</t>
  </si>
  <si>
    <t>HR Seminar/ M2</t>
  </si>
  <si>
    <t>Human Resources Seminar to train Board clients on staff recruitment, performance appraisal, industrial relations, team building, leave etc</t>
  </si>
  <si>
    <t>Irish Tax System/Polish/ M2</t>
  </si>
  <si>
    <t>A SYOB/Irish Taxation System programme, delivered in the Polish language for Polish Citizens living in Ireland wishing to set up a business in Ireland.</t>
  </si>
  <si>
    <t>Clare Tourism</t>
  </si>
  <si>
    <t>Clare Tourism - This comes under the E-Commerce Initiative run by the Clare CEB</t>
  </si>
  <si>
    <t>O'Flanagan Marketing Employment Grant</t>
  </si>
  <si>
    <t>O'Flanagan Marketing_x000D_-EmploymentGrant_x000D_-This business involves the provision of co-ordinated integrated and cost effective marketing plan for clients using promotional activities and products</t>
  </si>
  <si>
    <t>Ard Saoilse/ Capital</t>
  </si>
  <si>
    <t>Ard Saoilse_x000D_-Sound &amp; Lighting Project</t>
  </si>
  <si>
    <t>Barry Wrafter/ Capital</t>
  </si>
  <si>
    <t>Barry Wrafter Sculptor_x000D_-Stone Sculptor</t>
  </si>
  <si>
    <t>St. Tola's Cheese/Employment</t>
  </si>
  <si>
    <t>St. Tola's Cheese_x000D_-Employment_x000D_-Goats Cheese Making</t>
  </si>
  <si>
    <t>Woodhaven Montessori/Employment</t>
  </si>
  <si>
    <t>Woodhaven Montessori_x000D_-Employment_x000D_-Creche/Montessori in Ennis</t>
  </si>
  <si>
    <t>Atlantic Air Venture/Feasibility</t>
  </si>
  <si>
    <t>Atlantic Air Venture_x000D_-Aircraft Simulator Project</t>
  </si>
  <si>
    <t>John Maloney/Capital</t>
  </si>
  <si>
    <t>John Maloney_x000D_-Desktop Publishing Co.</t>
  </si>
  <si>
    <t>Aaron Value/Capital</t>
  </si>
  <si>
    <t>Aaron Value_x000D_-Capital_x000D_-This company offers a service to debug, rework, repair and manufacture electronic and electrical assemblies and prototypes. It also provides training and advice to companies in setting up and managing their electronic and electrical businesses.</t>
  </si>
  <si>
    <t>Vanderlust Ltd./Employment</t>
  </si>
  <si>
    <t>Vanderlust Ltd._x000D_-Employment_x000D_-This business offers motor home hire and travel packages for music events and sporting activities.</t>
  </si>
  <si>
    <t>Tuamgraney Roofing/Capital</t>
  </si>
  <si>
    <t>Tuamgraney Roofing_x000D_-This project involves the cutting to size, assembly and fit of pre-finished timber windows. The timber is painted or coated on arrival to the workshop and is designed to be maintenance free. The product is an import substitution</t>
  </si>
  <si>
    <t>Thornud Trading Ltd./Capital</t>
  </si>
  <si>
    <t>Thornud Trading_x000D_-Capital_x000D_-This business provides premier landscape and architectural outdoor lighting</t>
  </si>
  <si>
    <t>Holywell Language/Capital</t>
  </si>
  <si>
    <t>Holywell Language_x000D_-This project refers to the language school which is situated in Ballyvaughan and attracts its clients from Europe and Asia.</t>
  </si>
  <si>
    <t>Sportsworld Netting/Capital</t>
  </si>
  <si>
    <t>Sportsworld Netting_x000D_-Capital_x000D_-The promoter of this product is involved in high netting systems for use at ball game pitches to contain balls from play. It is safety netting for construction sites and industry and is a containment netting for landfill sites</t>
  </si>
  <si>
    <t>Christian Vigurs/Capital</t>
  </si>
  <si>
    <t>Christian Vigurs_x000D_-Capital_x000D_-The promoter of this project is involved in the design, manufacture, delivery and installation of custom made furniture.</t>
  </si>
  <si>
    <t>Cakes by Desire/ Capital grant</t>
  </si>
  <si>
    <t>Cakes by Desire_x000D_-Capital_x000D_-Production of bespoke cakes for weddings, birthdays and special events targeting a market comprising of weddinfs, christenings, grown ups events and childrens birthday parties</t>
  </si>
  <si>
    <t>Olga O'Malley/Employment</t>
  </si>
  <si>
    <t>Olga O'Malley_x000D_-Employment_x000D_-Montessori/Creche Facilities</t>
  </si>
  <si>
    <t>WowWee.ie/ Capital grant</t>
  </si>
  <si>
    <t>WowWee.ie_x000D_-capital grant_x000D_-This business in involved in developing the online service of purchasing gifts and cards and targeting the corporate market.</t>
  </si>
  <si>
    <t>De Barra Publication/Employment</t>
  </si>
  <si>
    <t>De Barra Publication_x000D_-Employment_x000D_-This project refers to production, distribution and sale of Project Bubbles, a pre school curricular score programme. It includes teachers manual, activity books, music CD's and posters.</t>
  </si>
  <si>
    <t>Gutter Clean/ Capital Grant</t>
  </si>
  <si>
    <t>Gutter Clean_x000D_-Latest technology available on the market for cleaning gutters and all debris and sediment with a telescopic rod connected to a vacuum system.</t>
  </si>
  <si>
    <t>De Barra Publication 2/Employment</t>
  </si>
  <si>
    <t>De Barra Publication 2_x000D_-Employment_x000D_-This project refers to production, distribution and sale of Project Bubbles, a pre school curricular score programme. It includes teachers manual, activity books, music CD's and posters.</t>
  </si>
  <si>
    <t>Stone Innovations/Capital</t>
  </si>
  <si>
    <t>Stone Innovations_x000D_-Capital_x000D_-This project involves the processing of grey/ blue flagstones into various cut stone products such as window sills, lentils, plinths, archways, fireplaces, steps etc.</t>
  </si>
  <si>
    <t>John Flynn/ Employment Grant</t>
  </si>
  <si>
    <t>John Flynn_x000D_-employment Grant, Underwater Photographer</t>
  </si>
  <si>
    <t>Authentic Irl. Travel/Capital</t>
  </si>
  <si>
    <t>Authentic Irl Travel_x000D_-Capital_x000D_-This company offers a range of customised self drive tours of Ireland to US visitors. The company actively promotes the Shannon and Clare region with 75% of their clients travelling to the Shannon region under their advice.</t>
  </si>
  <si>
    <t>Siobhan Tierney/ Capital Grant</t>
  </si>
  <si>
    <t>Siobhan Tierney_x000D_-Art and Craft classes specialising in pottery parties, based on Quin Road, Ennis</t>
  </si>
  <si>
    <t>Burren Perfumery/Capital</t>
  </si>
  <si>
    <t>Burren Perfumery_x000D_-Capital_x000D_-This company manufactures high end fragrances and cosmetics. The products are natural and organic cosmetics.</t>
  </si>
  <si>
    <t>Patrick McHugh/Capital</t>
  </si>
  <si>
    <t>Patrick McHugh_x000D_-Capital-This enterprise is a commercial photography business with a focus on digital image management and digital art sales._x000D_</t>
  </si>
  <si>
    <t>Karol Lynch/Capital</t>
  </si>
  <si>
    <t>Karol Lynch_x000D_-Capital_x000D_-This project refers to the operation of a studio to provide recording services to a vast number of musicians. The services offered at recording , mixings, editing, mastering and sound dubs for television which can be done individually or as a package.</t>
  </si>
  <si>
    <t>Kieran O'Brien/Employment</t>
  </si>
  <si>
    <t>Kieran O'Brien_x000D_-Irish School of Excellence_x000D_-Employment_x000D_-This business provides a unique driver education programme to secondary schools throughout Ireland</t>
  </si>
  <si>
    <t>Atlantic Airventure (2)/Capital</t>
  </si>
  <si>
    <t>Atlantic Airventure_x000D_-Capital_x000D_-This project involves the setting up a pioneer hanger project which will be the centre for learning, information and recreation. The project will deal with aviation and visitors will be able to take the guided tour of an aviation education programme.</t>
  </si>
  <si>
    <t>Brian Connolly/Feasibility</t>
  </si>
  <si>
    <t>Brian Connolly_x000D_-Feasibility-This project refers to the preparation of a feasibility study for the provision of a web camera service for childcare and other industries_x000D_</t>
  </si>
  <si>
    <t>Alec Good/Capital</t>
  </si>
  <si>
    <t>Alec Good_x000D_-Capital_x000D_-This company manufactures specialist ceramic pottery for giftware and tableware.</t>
  </si>
  <si>
    <t>Little Bubbles/ Capital Grant</t>
  </si>
  <si>
    <t>Little Bubbles_x000D_-Creche in Shannon, Co. Clare._x000D_-Provision of montessori and childcare facility for the shannon area and environs</t>
  </si>
  <si>
    <t>D2 Print/ Capital Grant</t>
  </si>
  <si>
    <t>D2 Print_x000D_-This business provides commercial printing, spot and full colour print specialising in foiling and embossing.</t>
  </si>
  <si>
    <t>GMS Ltd./Feasibility</t>
  </si>
  <si>
    <t>This company provides a modern, effective and efficient system for inshore, harbour dredging projects around the coast of Ireland.</t>
  </si>
  <si>
    <t>K Mac Fac. Man./Feasibility Grant</t>
  </si>
  <si>
    <t>K-Mac was established  to address the growing requirements of service and manufacturing companies to focus on their core business and outsource non core activities. From its base in Shannon, K-Mac provides services to clients on facilities and property matters in the South of Ireland. The feasibility study plans to extend K-Mac Facilities Management Services Ltd to the UK market where a foothold has already been established by the firm</t>
  </si>
  <si>
    <t>De Barra Publications/ Capital Grant</t>
  </si>
  <si>
    <t>De Barra_x000D_-This project refers to production, distribution and sale of Project Bubbles, a pre school curricular score programme. It includes teachers manual, activity books, music CD's and posters.</t>
  </si>
  <si>
    <t>Barneys Kids Club/ Capital Grant</t>
  </si>
  <si>
    <t>Barneys Kids Club_x000D_-This project relates to a family orientated up market play space with an educational undertone. The centre will involve the three tier climbing frame incorporating fun and challenging activities. It will include a bespoke soft play and interactive area exclusive for toddlers.   The educational theme will run throughout the kids club</t>
  </si>
  <si>
    <t>Aerowind/ Capital Grants</t>
  </si>
  <si>
    <t>Aerowind_x000D_-This company winds, tests and assembles electric motors. It relates to the aviation industry.</t>
  </si>
  <si>
    <t>Orchid Communications/Employment Grants</t>
  </si>
  <si>
    <t>Orchid Communications Ltd is a service business which provides teaching resources for curriculum areas to primary and post primary teachers. It also provides learning resources for students which can be accessed at home.</t>
  </si>
  <si>
    <t>Tom Foley ISRA/ Employment Grant</t>
  </si>
  <si>
    <t>Tom Foley T/A ISRA_x000D_-Employment_x000D_-This business is  known as Independent Sports Retailers Alliance (ISRA). The aim of the project is to bring small independent sports retailers together to help them compete and continue to exist in the face of increasing competition from international chains</t>
  </si>
  <si>
    <t>Kennedy Print/ Capital</t>
  </si>
  <si>
    <t>Kennedy Print_x000D_-This project involves English language correction for non native English speaking authors and editors publishing in the scientific, technical and medical publishing market. The facility will also offer individuals or organisations the facility to publish their own work consisting of a fully integrated service from acceptance to manuscript and graphics to the delivery of the finished product.</t>
  </si>
  <si>
    <t>Geon Engineering/ Capital Grant</t>
  </si>
  <si>
    <t xml:space="preserve">Geon Engineering_x000D_-This business manufactures, refurbishes and maintains production machinery. The market would be the machine tool industry, aviation industry, generation production industry and control and automation. </t>
  </si>
  <si>
    <t>Paul Barrett/ Capital Grant</t>
  </si>
  <si>
    <t xml:space="preserve">Paul Barrett_x000D_-This business manufactures religious plaques and ornaments specifically for grave yards. </t>
  </si>
  <si>
    <t>Munster Precision/ Capital</t>
  </si>
  <si>
    <t xml:space="preserve">Munster Precision_x000D_-This company manufactures and fabricates light engineering and powder coating for the home market and export. </t>
  </si>
  <si>
    <t>Toddle Inn Creche/ Employment</t>
  </si>
  <si>
    <t>Toddle Inn Creche_x000D_-Creche based at Bru na Sionna, Shannon.  This project will create 6 jobs in the Shannon region.</t>
  </si>
  <si>
    <t>Bunratty Cookery School - Capital</t>
  </si>
  <si>
    <t>Cookery School - Capital Grant_x000D_-This project refers to the creation of a cookery school. The school will be in the local, national and international markets utilising the proximity to Shannon Airport</t>
  </si>
  <si>
    <t>Burren Falconry - Capital</t>
  </si>
  <si>
    <t>Burren Falconry - Capital_x000D_-This business relates to falconry business. It also encompasses hawk walks, falconry lessons, falconry courses, hunting days and corporate days along with education on all levels on the Burren habitat, avian biology, environmental awareness and disease control</t>
  </si>
  <si>
    <t>Brenda Heuston - Capital</t>
  </si>
  <si>
    <t>Brenda Heuston - Capital_x000D_-This business consists of a mobile chiropody clinic for those who find it difficult or impossible to travel for this treatment. The service being proved is unique in the sense that it offers a service to people who are house bound and who cannot travel to avail of the service.</t>
  </si>
  <si>
    <t>Obego Lifeslim</t>
  </si>
  <si>
    <t>Obego Lifeslim - Capital_x000D_-This business refers to a formula diet which is in powder form. At present all similar products are imported.</t>
  </si>
  <si>
    <t>Surepath - Feasibility</t>
  </si>
  <si>
    <t>Surepath Solutions is a company providing legally compliant packaging kits for the transport of blood specimens. The promoter is examining the prospect of entering the UK market. _x000D_</t>
  </si>
  <si>
    <t>Yum - Employment</t>
  </si>
  <si>
    <t>Yum - Employment_x000D_-Manufacturer of bulk pre-packed salads for the retail and food service market._x000D_</t>
  </si>
  <si>
    <t>Shannon Cryotherapy - Capital</t>
  </si>
  <si>
    <t>Shannon Cryotherapy - Capital_x000D_-The promoters have set up a clinic in Ennis targeting the treatment of sports injuries and also persons suffering from arthritis and other physical complaints. Cryotherapy is the use of cold applications for therapeutic purposes.</t>
  </si>
  <si>
    <t>New Horizons Networking Event/ M2</t>
  </si>
  <si>
    <t>New Horizons Networking Event organised by Boards in the region for businesses in the Clare/ Tipp/ Limerick region, with Bill Cullen as guest speaker.</t>
  </si>
  <si>
    <t>Live Maths - Sean Murphy - Capital</t>
  </si>
  <si>
    <t>Live Maths - Capital_x000D_-This business is involved in live online teaching, giving grinds in maths, applied maths and physics to secondary school students in Ireland to all levels up to Leaving Cert honours. Core service will be an online virtual classroom based on state of the art conferencing software</t>
  </si>
  <si>
    <t>Business Week/ M2</t>
  </si>
  <si>
    <t>Regional Business Week organised by Boards in the region with various business events and networking events being organised throughout the week</t>
  </si>
  <si>
    <t>Kieran Clancy - Feasibility</t>
  </si>
  <si>
    <t>Kieran Clancy Following this feasibility study, the promoter plans to manufacture a prototype of an eco-friendly mobile home_x000D_</t>
  </si>
  <si>
    <t>Authentic Ireland</t>
  </si>
  <si>
    <t>Authentic Ireland - Employment_x000D_-This company offers a range of customised self drive tours of Ireland to US visitors. The company actively promotes the Shannon and Clare region with 75% of their clients travelling to the Shannon region under their advice.</t>
  </si>
  <si>
    <t>Tus Nua/ M2</t>
  </si>
  <si>
    <t>Clare CEB  and Enterprise Ireland under the Túsnua banner have agreed a joined up approach to helping those facing the challenge of redundancy in starting new enterprises._x000D_</t>
  </si>
  <si>
    <t>St. Tola's Cheese - Employment</t>
  </si>
  <si>
    <t>St. Tola's Cheese - EMployment _x000D_This company produces a  range of organic goat cheese products from a herd of dairy goats. _x000D_</t>
  </si>
  <si>
    <t>Eoghan O'Loughlin - Capital</t>
  </si>
  <si>
    <t>Eoghan O'Loughlin - Capital_x000D_-This business involves an embroidery service on all types of leisre wear and clothing in Miltown Malbay area.</t>
  </si>
  <si>
    <t>Cup Print - Capital</t>
  </si>
  <si>
    <t>Cup Print - Capital_x000D_-Manufacturer of printed paper cups for the catering disposable market especially the Coffee to Go outlets.</t>
  </si>
  <si>
    <t>Ard Saoilse - Capital</t>
  </si>
  <si>
    <t>Ard Saoilse - Capital_x000D_-This business is involved in the sound, lighting and stage equipment hire to the entertainment industry nationwide. This includes theatre, film production, concerts and corporate entertainment._x000D_</t>
  </si>
  <si>
    <t>K-Mac Facilities - Employment</t>
  </si>
  <si>
    <t>K-Mac Facilities Management Services Ltd is a company based in Shannon offering a wide range of high quality engineering and management services based on their extensive knowledge and experience of working in the manufacturing and services industry.</t>
  </si>
  <si>
    <t>Enterprise Bus/ M2</t>
  </si>
  <si>
    <t>Enterprise Bus organised by the Board for clinics in various locations throughout the county offering advice and information for people thinking of starting businesses.</t>
  </si>
  <si>
    <t>Golf Arena - Capital</t>
  </si>
  <si>
    <t>Golf Arena - Capital_x000D_-This venture is the provision of an indoor gelf arena supplying golf simulation to various sectors of the public.</t>
  </si>
  <si>
    <t>Irish School of Excellence - Employment</t>
  </si>
  <si>
    <t>Irish School of Excellence - Employment _x000D_-This business provides a unique driver education programme to secondary schools throughout Ireland._x000D_</t>
  </si>
  <si>
    <t>Tensile Testing - Capital</t>
  </si>
  <si>
    <t>Tensile Testing - Capita l_x000D_This business is involved in the carrying out of destructive tensile testing on PE pipe work for use in the utility, infrastructure and pharmaceutical industrie</t>
  </si>
  <si>
    <t>Mary K's - Employment</t>
  </si>
  <si>
    <t>Mary K's - Employment_x000D_-Childcare facility in Doora, Ennis.</t>
  </si>
  <si>
    <t>Raymond Conway - Capital</t>
  </si>
  <si>
    <t>Raymond Conway - Capital_x000D_-Business providing specialist service of grave cleaning, general grave maintenance, sandblasting and repainting of names</t>
  </si>
  <si>
    <t>Market Link Programme/ M2</t>
  </si>
  <si>
    <t>Market Link programme between Clare CEB and LIT to help graduates develop marketing links</t>
  </si>
  <si>
    <t>Advanced Management Food Prog.</t>
  </si>
  <si>
    <t>Advanced Food Management Development Programme for clients of the Board under Measure 2. Included 10 workshops and 4 private mentor visits plus 2 visits to trade fairs. Help clients with getting sales, branding, etc.</t>
  </si>
  <si>
    <t>National Women's Conference</t>
  </si>
  <si>
    <t>Women's Business Conference organised nationally by Co. &amp; City Enterprise Boards for business clients of all CEB's providing mentoring and business speakers. Contribution by Clare CEB</t>
  </si>
  <si>
    <t>ABC Sports Nutrition Ltd./Capital Grant</t>
  </si>
  <si>
    <t xml:space="preserve">Manufacture and export of  nutritional drinks for the sports and health care sector </t>
  </si>
  <si>
    <t>Advanced Diamond Engineering/Priming Grant</t>
  </si>
  <si>
    <t>Manufacture cutting tools for the diamond industry.</t>
  </si>
  <si>
    <t>Aerowind Ireland Ltd. BE</t>
  </si>
  <si>
    <t>Manufacture of electric motors, generators and transformers for the aeronautical industry</t>
  </si>
  <si>
    <t>Electron Microscopy Ireland T/a Emir Ltd  FIG</t>
  </si>
  <si>
    <t>EMIR Ltd is an environmental testing lab that operates with the major instrumentation gas chromatography/ mass spectrometry, scanning electron microscopy and energy dispersive x-ray spectroscopy</t>
  </si>
  <si>
    <t>Ennis National Pre-School  Priming Grant</t>
  </si>
  <si>
    <t>The business idea is the establishment and development of pre-school and after-school service on school grounds of Ennis National School on the Kilrush Road, Ennis. The premises has been approved by the HSE.</t>
  </si>
  <si>
    <t>Giblin Truck Bodies Feasibility</t>
  </si>
  <si>
    <t>Grant towards the building of a prototype of a Foreign Driver Safety Simulation Kit.</t>
  </si>
  <si>
    <t>Graywolf Sensing Solutions</t>
  </si>
  <si>
    <t>GrayWolf is developing 2 embedded WINCE computer based instruments. These products will operate with existing probes for toxic gas and other applications. One unit is also being designed to interface with OEM/business partners and other producers of sensors for expanded applications</t>
  </si>
  <si>
    <t>Lifford Childcare &amp; Afterschool Bus Exp Grant</t>
  </si>
  <si>
    <t>Provide a Childcare &amp; afterschool service for the vicinity of ennis and environs</t>
  </si>
  <si>
    <t>LInda O'Sullivan  FIG</t>
  </si>
  <si>
    <t>The project involves the carrying out of in-depth market research in Ireland and the UK, the negotiation with potential joint venture partners in Dublin, Kilkenny and Galway, consultation with dyslexic support associations and educational psychologists, the assessment of technical possibilities of projects with flash animators and games designers. Result to design software suitable for chidren with dyslexia</t>
  </si>
  <si>
    <t>Ralf FickertT/a Q2 Foods - Capital Grant</t>
  </si>
  <si>
    <t>Proposes to provide a fresh high quality and health food service into Irelands markets and events as a good quality and affordable alternative to the fast food or overcooked food currently being provided. The unique biological cooking system ensures vitamins; nutrients and minerals are not overcooked</t>
  </si>
  <si>
    <t>Smart Energy Systems Ltd. - Priming Grant</t>
  </si>
  <si>
    <t>The promoters want to have existing premises reduce their over usage of water and energy. They will do this by carrying out water and energy audits on clients premises. Taking the results of the audits into account, the company will then produce a report detailing information about water and energy savings that can be made.</t>
  </si>
  <si>
    <t>Sports Academy International - Priming Grant</t>
  </si>
  <si>
    <t>customise and distribute SportLeader Sports Management Software to the GAA market in Ireland and internationally and also create a sports event consultancy service designed to demonstrate to local authorities, city councils and governments on how they can use sports events to generate revenue, increase sports participation and increase tourism spend.</t>
  </si>
  <si>
    <t>Teach Spraoi - Priming Grant</t>
  </si>
  <si>
    <t>Provide a pre and post school facility in an intimate rural setting with a very strong emphasis on outdoor activities such as play and gardening and caring for animals.</t>
  </si>
  <si>
    <t>Online Academy of Irish Music - Priming Grant</t>
  </si>
  <si>
    <t>Provide online tutoring to students in learning to play Irish Musical instruments</t>
  </si>
  <si>
    <t>Thomas Buckley- FIG</t>
  </si>
  <si>
    <t>Proposes to develop a prototype of a mounting clip for compact digital cameras which will sit inside any standard camera case. The camera is mounted to a clip inside the case and allows the user to take pictures without removing the camera from the case.</t>
  </si>
  <si>
    <t>Vanderlust Ltd. - Bus Exp Grant</t>
  </si>
  <si>
    <t>Renovation of commercial vans into camping vans</t>
  </si>
  <si>
    <t>WCS Engineering Ltd. - FIG</t>
  </si>
  <si>
    <t>Develope a prototype piece of equipment for use by tradesmen which will allow pieces of tile or wood to be cut into a desired shape</t>
  </si>
  <si>
    <t>MicroEnterprise</t>
  </si>
  <si>
    <t>Woodstock Montessori - Employment</t>
  </si>
  <si>
    <t>Provide Montessori and Childcare facility in the Woodstock/Shanaway area</t>
  </si>
  <si>
    <t>WowWee.ie - Bus. Exp Grant</t>
  </si>
  <si>
    <t>Make and sell on the web a range of personalised gift items. The company specialises in making Christening gifts, personalised baby gifts, rag dolls and bears, wedding gifts, pamper gifts and gifts for the Christmas market.</t>
  </si>
  <si>
    <t>NHCS Ltd.  Employment</t>
  </si>
  <si>
    <t>Supply of wireless equipment to internet service providers and integrated security companies.</t>
  </si>
  <si>
    <t>Certificate in Business Management Programme /M2</t>
  </si>
  <si>
    <t>Certificate course in business management on how businesses need to adapt to a dynamic and changing management environment and develop their understanding and knowledge of the management process</t>
  </si>
  <si>
    <t>Selling at Markets/Fairs Seminar/ M2</t>
  </si>
  <si>
    <t>Seminar on selling goods at marketings and fairs</t>
  </si>
  <si>
    <t>Supervisory Management/ M2</t>
  </si>
  <si>
    <t>Certificate in supervisory management course which covers supervisory management, operational planning, team leadership and organisational skills. 4 full days</t>
  </si>
  <si>
    <t>GIBO Web Workshop/ M2</t>
  </si>
  <si>
    <t>Getting Irish Business online website workshop is aimed at businesses who do not already have a web presence. the Workshop consists of 3 hours training.</t>
  </si>
  <si>
    <t>Web Conversion Workshop/ M2</t>
  </si>
  <si>
    <t>Workshop on how to convert web hits into sales. 3 hour workshop</t>
  </si>
  <si>
    <t>Video Web Workshop/ M2</t>
  </si>
  <si>
    <t>Workshop on how to upload videos onto your website. 3 hour workshop</t>
  </si>
  <si>
    <t>Resilience Workshop/ M2</t>
  </si>
  <si>
    <t>Workshop on how to be resilient in business in todays tough economic times. 3 hour workshop in Bunratty, Co. Clare.</t>
  </si>
  <si>
    <t>Craft Programme/ M2</t>
  </si>
  <si>
    <t>full Management Programme aimed towards craft workers in Co.Clare. 4 week Programme.</t>
  </si>
  <si>
    <t>ABC Sports Nutrition 2/ Business Expanion Grant</t>
  </si>
  <si>
    <t>Business Expansion Grant for ABC Sports Nutrition Ltd towards additional equipment.</t>
  </si>
  <si>
    <t>MAS Advanced Measurement Solutions/ Priming Grant</t>
  </si>
  <si>
    <t>MAS Advanced Measurement Solutions , Priming grant towards additional equipment</t>
  </si>
  <si>
    <t>Barry O'Flanagan - Feasibility Grant - M1</t>
  </si>
  <si>
    <t>Barry O'Flanagan Feasibilty Grant towards prototype development of specialist surf board.</t>
  </si>
  <si>
    <t>Berco Ltd Creche 3/ Business Expansion Grant/ M1</t>
  </si>
  <si>
    <t>Berco Ltd Creche/ Business Expansion Grant/ M1/ Grant towards employment of additional staff members</t>
  </si>
  <si>
    <t>Cahir Environment Ltd/ Priming grant/ M1</t>
  </si>
  <si>
    <t>Priming grant/ M1/ Grant towards equipment</t>
  </si>
  <si>
    <t>Caireann Browne/Priming Grant/ M1</t>
  </si>
  <si>
    <t>Priming grant/ Caireann Browne Pottery towards additional equipment for the business.</t>
  </si>
  <si>
    <t>Clever Closets/ Priming grant/M1</t>
  </si>
  <si>
    <t>Priming grant for Clever Closets towards employment and equipment costs.Manufacture of bespoke fitted furniture.</t>
  </si>
  <si>
    <t>Pitchside Products/ Priming grant</t>
  </si>
  <si>
    <t>priming grant/ Pitchside products. development of new gear bag for sports.</t>
  </si>
  <si>
    <t>Doggy Day Care/ Priming Grant</t>
  </si>
  <si>
    <t>Priming grant to Doggy Day Care Ltd. Dedicated day care unit for dogs.no other such facility in Co. Clare where you can leave your dog just for the day. Full days activities also planned for the dog. Dog can run freely around the facility and is not locked up in cage.</t>
  </si>
  <si>
    <t>Fun Affordable / Priming grant</t>
  </si>
  <si>
    <t>Fun Affordable Gifts Ltd/ priming grant towards employment of additional staff. clothing products that are compressed into small packages and when submerged in water return to original size. no other product like it in Co. Clare. Creation of employment.</t>
  </si>
  <si>
    <t>Harbour Flights/ Priming grant</t>
  </si>
  <si>
    <t>Priming grant to Harbour FLights Ltd- local flights to Aran Islands from Mountshannon, Co. Clare. grant towards renovation/ office.</t>
  </si>
  <si>
    <t>Intelligence Market ta Jovian Ltd/ Priming Grant</t>
  </si>
  <si>
    <t>Priming grant to Intelligence Market ta Jovian Ltd. Web based company. grant aid towards marketing and salary costs.</t>
  </si>
  <si>
    <t>K-Mac Facilities Man/ Business Expansion</t>
  </si>
  <si>
    <t>Business Expanion Grant to K-Mac Facilities Management for the employment of additional staff members</t>
  </si>
  <si>
    <t>Lisrant Ltd T/A Newtec Services / Priming Grant</t>
  </si>
  <si>
    <t>Priming grant to Newtec Services Ltd (Lisrant), cloud computing company towards training, marketing, capital and salary costs</t>
  </si>
  <si>
    <t>Marshall Tools Ltd/ Priming Grant</t>
  </si>
  <si>
    <t>priming grant for Marshall Tools Ltd. marketing and capital towards the bricky tool.</t>
  </si>
  <si>
    <t>Meere's Pork Products/ Business Expansion Grant</t>
  </si>
  <si>
    <t>Business Expanion grant to Meere'e pork products towards additional sausage making equipment</t>
  </si>
  <si>
    <t>Michael Keehan Upholstery and Furniture - Priming Grant</t>
  </si>
  <si>
    <t>Michael Keehan Upholstery/ priming grant towards purchase of additional equipment and rent for bespoke furniture business</t>
  </si>
  <si>
    <t>Michael Queally/ Feasibility/Innovation grant</t>
  </si>
  <si>
    <t>Michael Queally feasibility grant for protoype development</t>
  </si>
  <si>
    <t>Munster Falconry Services/ Priming grant</t>
  </si>
  <si>
    <t>Priming grant to Munster Falconry Services which is a falconry business. Falcons are used in dumps etc to clear vermin. Falconry shows are also available.Grant aid is towards salary and marketing costs.</t>
  </si>
  <si>
    <t>North Clare Sea Kayaking / priming grant</t>
  </si>
  <si>
    <t>priming grant towards additional equipment and salary costs for North Clare Sea Kayaking Ltd., which is a sea kayaking business in NOrth Clare</t>
  </si>
  <si>
    <t>Offshore Handling/ priming grant</t>
  </si>
  <si>
    <t>Priming grant to Offshore Handling towards capital, salary and consultancy costs. offshore equipment for oil rigs.</t>
  </si>
  <si>
    <t>Patrick Talty/ Feasibility</t>
  </si>
  <si>
    <t>Feasibility grant to Patrick Talty towards development of protoype for milk vending machine.</t>
  </si>
  <si>
    <t>Precision Timing Ltd/ priming grant</t>
  </si>
  <si>
    <t>Priming grant to Precision Timing Ltd. Manufacture of timing equipment for races, marathons etc.</t>
  </si>
  <si>
    <t>Shannon Cryo Clinic/ Business Expansion</t>
  </si>
  <si>
    <t>business expansion grant for Shannon Cryotherapy Clinic, Westgate Business Park, Ennis towards rent and marketing costs. Cryotherapy chambers for sports injuries.</t>
  </si>
  <si>
    <t>Sports Academy International/ Priming</t>
  </si>
  <si>
    <t>Sports Academy International/ Sports events company. priming grant towards additional employee</t>
  </si>
  <si>
    <t>Tammdek Tooling Ltd./ priming</t>
  </si>
  <si>
    <t>Tamdek Tooling Ltd. M1 Priming grant. Engineering company. purchase additional machinery for the business</t>
  </si>
  <si>
    <t>Thomas Bonfield/ Feasibility</t>
  </si>
  <si>
    <t>Thomas Bonfield, Kilrush. Feasibility grant. protoype development of farm machinery</t>
  </si>
  <si>
    <t>Tomasz Pilinski/ Andys Bakery/priming grant</t>
  </si>
  <si>
    <t>Tomasz Pilinski T/A Andys Bakery. Speciality Polish breads and cakes business. priming grant towards equipment costs</t>
  </si>
  <si>
    <t>Wolkeen Ltd. T/a Lahinch Surf School/ Business expansion</t>
  </si>
  <si>
    <t>Wolkeen Ltd. T/a Lahinch Surf School- surf school in Lahinch, Co. Clare. priming grant towards additional staff costs</t>
  </si>
  <si>
    <t>Measure 2 Web Assistance</t>
  </si>
  <si>
    <t>Measure 2 assistance towards websites and marketing costs for clients of the Board.</t>
  </si>
  <si>
    <t>Aaron Value Adding Services-Business Expansion Grant</t>
  </si>
  <si>
    <t>Business Expansion grant to this project who provides automated assembly of electronic circuits for use in a diverse range of sectors including recycling, heating applicanes etc.Grant aid is towards the purchase of additional machinery.</t>
  </si>
  <si>
    <t>Aerowind Ireland Ltd BE Grant</t>
  </si>
  <si>
    <t>Aerowind Ireland Ltd specialises in niche repairs/ rewinds and reconditions for aircraft electrical rotating equipment which is installed in most standard passenger aircraft. Grant aid towards employment and equipment.</t>
  </si>
  <si>
    <t>Aine Knitwear BE</t>
  </si>
  <si>
    <t>Manufacture of knitwear products for the national and international markets. Grant aid towards new knitting machine for the business.</t>
  </si>
  <si>
    <t>Brakken Engineering Priming</t>
  </si>
  <si>
    <t>Brakken Engineering is a specialist engineering company based in Shannon Co CLare. Grant aid is towards purchase of new machinery for the business.</t>
  </si>
  <si>
    <t>Carton Print Priming</t>
  </si>
  <si>
    <t>Priming grant towards the purchase of machinery for this business which prints paper cups for the hospitality sector.</t>
  </si>
  <si>
    <t>Harbour Flights Priming</t>
  </si>
  <si>
    <t>Passenger flights from Mountshannon to the Aran Islands for tourists</t>
  </si>
  <si>
    <t>Host Paintball Priming</t>
  </si>
  <si>
    <t>Paintballing facility in Quin, Co. CLare. Grant aid is towards equipment and employment of promoters in the business</t>
  </si>
  <si>
    <t>Irish Interactive-Feasibility</t>
  </si>
  <si>
    <t>Development of an interactive website themed on natural environment for children. Feasibiity study</t>
  </si>
  <si>
    <t>John Cassidy Unist Europe - priming</t>
  </si>
  <si>
    <t>This business installs and services canning line equipment for the manufacturing sector. This business is based in Killaloe, Co Clare</t>
  </si>
  <si>
    <t>LR Precision Optics BE</t>
  </si>
  <si>
    <t>Manufacture of reading glasses for distribution to local shops. Grant aid is towards machinery</t>
  </si>
  <si>
    <t>McKernan Weavers BE</t>
  </si>
  <si>
    <t>Manufacture of 100% wool scarves for the national and international markets, grant aid towards purchase of new machine for the business.</t>
  </si>
  <si>
    <t>Metal Design &amp; Manufacturing Ltd - BE</t>
  </si>
  <si>
    <t>business expanion grant towards the employment of one person, which manufactures eco-storge units</t>
  </si>
  <si>
    <t>New Age Memorials Feasibility</t>
  </si>
  <si>
    <t>Manufacture of fibreglass headstones based in Killaloe Co Clare</t>
  </si>
  <si>
    <t>Norocolor Ltd priming</t>
  </si>
  <si>
    <t>Website which providers up to date information to national and international travellers. Grant aid towards employment and capital items.</t>
  </si>
  <si>
    <t>Padraig Sheahan Priming</t>
  </si>
  <si>
    <t>Manufacture of candle units for Churches with specialist safety features</t>
  </si>
  <si>
    <t>Patrick Corley Priming</t>
  </si>
  <si>
    <t>Development of a financial terms translater in 20 languages named 'Linguafin'.  Grant aid is towards development of this translator.</t>
  </si>
  <si>
    <t>Picassos Priming</t>
  </si>
  <si>
    <t>The business involves a bus which was converted for children's parties and art classes. The bus is driven to the clients house. Grant aid is towards employment of promoter and conversion of bus</t>
  </si>
  <si>
    <t>Smart Procurement Ltd/ Priming</t>
  </si>
  <si>
    <t>This company sources new and existing products and services for SMEs and multinationals. Grant aid is towards employment in the business along with rental costs</t>
  </si>
  <si>
    <t>The Celtic Connexion/ Priming grant</t>
  </si>
  <si>
    <t>The business involves organising tourists to visit Ireland but mostly the east Clare  area.</t>
  </si>
  <si>
    <t>Urlar Publications Priming grant</t>
  </si>
  <si>
    <t>Urlar Publications which is owned by Lorraine McMorrow is a book publishing business</t>
  </si>
  <si>
    <t>Internet Marketing Programme M2</t>
  </si>
  <si>
    <t>This 6 week internet marketing programme covers all aspects of marketing over the internet including Facebook, Twitter, Pinterest etc. Its aimed at businesses in Co. CLare.</t>
  </si>
  <si>
    <t>SYOB 50+ Training Programme</t>
  </si>
  <si>
    <t>M2 Training Programme. Start Your Own Business Programme aimed at over 50's in business.</t>
  </si>
  <si>
    <t>Getting Irish Business Online Web Workshop</t>
  </si>
  <si>
    <t xml:space="preserve">Getting Irish Business Online (GIBO) - An Post, Blacknight and the County &amp; City Enterprise Boards have teamed up with Google to target the 40% of Irish SMEs and sole traders that do not have a website or an online presence.Businesses signing up can benefit from the following:_x000D_ Free domain name of their choice (.com/ .eu/ .co.uk) _x000D_Free web hosting &amp; DIY website builder _x000D_ Free cloud based email accounts </t>
  </si>
  <si>
    <t>PR Workshop</t>
  </si>
  <si>
    <t>M2 activity. One day PR workshop on how best to utilise the media for your business.</t>
  </si>
  <si>
    <t>Accelerate Programme</t>
  </si>
  <si>
    <t>Specialist management development programme designed by EI and CEBs nationally. The programme is aimed at grant clients in CO. Clare.</t>
  </si>
  <si>
    <t>SHOP Exhibition M2</t>
  </si>
  <si>
    <t>Clare CEB clients attended the SHOP Exhibition in the RDS. This exhibition is for food businesses.</t>
  </si>
  <si>
    <t>ENERGY FOR BUSINESS TOTAL</t>
  </si>
  <si>
    <t>CLARE TOTAL</t>
  </si>
  <si>
    <t>Eirebloc Ltd.</t>
  </si>
  <si>
    <t>"Eirebloc will produce 100,000 m3 per year of pallet blocks using recycled timber as the main raw material._x000D_Process heat will be required and this will be supplied from a wood fired boiler system. The fuel for this system will be biomass from sawmill resid"_x000D_</t>
  </si>
  <si>
    <t>Cork County</t>
  </si>
  <si>
    <t>O' Donovan's Hotel</t>
  </si>
  <si>
    <t>To utilise the proposed reconstruction of the South facing roof of this hotel by installing 36 sq meters of solar. The proposed installation of solar to assist central heating and hot water will reduce the present annual consumption of oil currently at 22k_x000D_</t>
  </si>
  <si>
    <t>Eugene Hickey T/A Skeaghanore Farm fresh Duck</t>
  </si>
  <si>
    <t>We propose to install geothermal heating as the main heating system of our proposed new office</t>
  </si>
  <si>
    <t>O'Neill and Co. Chartered Accountants and Majella O'Neill</t>
  </si>
  <si>
    <t>The grantee will install an 18.5 kW heat pump</t>
  </si>
  <si>
    <t>Bill O'Keefe</t>
  </si>
  <si>
    <t>Instalation of 9 solar panels  fixed to a galvanised steel frame. These will be angled to favour the peak demand for hot water. 23.31 sq m of flat plate solar collectors.</t>
  </si>
  <si>
    <t>CoAction West Cork Ltd</t>
  </si>
  <si>
    <t>30sq.m Solvis Fera flat panel collectors, 1 SUS 40 solar energy  transfers stations, 1 x Solvis Strato 1456</t>
  </si>
  <si>
    <t>Clonakility GAA club</t>
  </si>
  <si>
    <t>Installation of 40 sq m of flat plate solar collectors.</t>
  </si>
  <si>
    <t>Friars Lodge</t>
  </si>
  <si>
    <t>Installation of 30 sq m of flat plate solar collectors.</t>
  </si>
  <si>
    <t>Claycastle Recording Studio Ltd</t>
  </si>
  <si>
    <t>Installation of Air to water heat pump for space heating only_x000D_; Installation of buffer tank_x000D_; Installation of heat pump to save up to 50% off heating cost than oil or gas</t>
  </si>
  <si>
    <t>Mr. Joe Carroll</t>
  </si>
  <si>
    <t>to reduce hot water costs by 70% over a 12mth period by installing 6m2 solar flateplate system with 300 ltr 316l marin grade dual coil stainless steel cylinder_x000D_</t>
  </si>
  <si>
    <t>Kevin Barry</t>
  </si>
  <si>
    <t>Install a 12.53 m2 flat plate solar collector</t>
  </si>
  <si>
    <t>Ian Kingston</t>
  </si>
  <si>
    <t>Installation of 6 sq m of flat plate solar collector.</t>
  </si>
  <si>
    <t>James Horgan</t>
  </si>
  <si>
    <t>Installation of 4.651 sq m evacuated tube solar collector.</t>
  </si>
  <si>
    <t>O'Donnell Furniture Ltd</t>
  </si>
  <si>
    <t>It is intended to provide heating and hot water to the existing office block in addition to the new office block, show room and spray booth in an adjacent building to the present building.  The current office block is being serviced with an oil fire boiler_x000D_</t>
  </si>
  <si>
    <t>Cluid Housing Association</t>
  </si>
  <si>
    <t>"Cluid housing project is an association which builds private housing for the elderly. Heating for the entire scheme will be provided by a 400KW Heizomat boiler running on wood chips._x000D_</t>
  </si>
  <si>
    <t>To install 8m2 solar with 400L stainless steel cyclinder to reduce the hot water costs to the proposed new offices.</t>
  </si>
  <si>
    <t>Kilworth Sports Complex</t>
  </si>
  <si>
    <t>Installation of solar panels. Reduce our electricity heating costs and carbon footprint</t>
  </si>
  <si>
    <t>William Kingston</t>
  </si>
  <si>
    <t>Installation of 19.6 sq m of evacuated tube solar collctors.</t>
  </si>
  <si>
    <t>The Castle</t>
  </si>
  <si>
    <t>To reduce the need of present oil consumption of 14000 litres per annum by installating a solar central heating and hot water system. The proposed solar system should reduce this by contributing 30% towards central heating and 70% towards hot water.</t>
  </si>
  <si>
    <t>Casey's of Baltimore Hotel</t>
  </si>
  <si>
    <t>To reduce energy costs for the hotel &amp; to reduce dependance on Oil thereby reducing Carbon Emissions._x000D_</t>
  </si>
  <si>
    <t>Deerpark Nursing Home</t>
  </si>
  <si>
    <t>Installation of a 100kW wood pellet boiler.</t>
  </si>
  <si>
    <t>GlaxoSmithKline</t>
  </si>
  <si>
    <t xml:space="preserve">Feasibility study into using solar heated / gas fired hot water for Canteen Dishwasher </t>
  </si>
  <si>
    <t>Ronan Farms</t>
  </si>
  <si>
    <t>Installation of a 397 kW wood chip/wood pellet boiler.</t>
  </si>
  <si>
    <t>Sisters of the Sacred Heart of Jesus and Mary</t>
  </si>
  <si>
    <t>SHJM are in the process of constructing a new 2,420 msq office building at the bessboro site. as part of this project it is proposed to install a solar thermal evacuated tube collector for hot water heating.</t>
  </si>
  <si>
    <t>John O'Donovan</t>
  </si>
  <si>
    <t>installing a 6m2 solar flat plate system with a 300ltr 316L Marine grade dual coil stainless steel cylinder _x000D_</t>
  </si>
  <si>
    <t>Install a 25kW wood pellet boiler</t>
  </si>
  <si>
    <t>Cope Foundation</t>
  </si>
  <si>
    <t>the project consists of a new installation of 4no. flat plate solar panels providing heating for the generation of 300ltrs of pre heated domestic hot water contained in pre heat cylinder. the water will be brought up to the required temperature by a boost _x000D_</t>
  </si>
  <si>
    <t>Sean Griffin</t>
  </si>
  <si>
    <t>Heating water in a cylinder (volume 400ltr) for cleaning the milking machines by a PARADIGMA Aqua solar system with 2x CPC Star azzurro panles (gross surface: 6.58 square meters)_x000D_</t>
  </si>
  <si>
    <t>St. Columbas Hall Sports &amp; Social Club</t>
  </si>
  <si>
    <t>One number 11.5kW air to water heat pump to replaceone old oil boiler. by replacing oil to air to water heat pump will save 50% on the heating bill</t>
  </si>
  <si>
    <t>Michael Hodder Sawmills</t>
  </si>
  <si>
    <t>Insallation of a 120 kW woodchip boiler.</t>
  </si>
  <si>
    <t>Giles Deacy</t>
  </si>
  <si>
    <t>Installation of 8 sq m of flat plate solar collectors to reduce hot water costs by 70% over 12 month period and assist in the production of milk. Replacer for new stock calves by installing an 8m2 solar flatplate system with 400ltr 316 ltr marine grade dual coil stainless steel cylinder_x000D_</t>
  </si>
  <si>
    <t>Kanturk Sheltered Housing Development</t>
  </si>
  <si>
    <t>12No. single bedroom sheltered houses and 1 No community centre.  A NIBE Exhaust air heat pump is to be installed in each one of 12 No houses.  These exhaust air heat pumps will provide heating, hot water and ventilation in each of these houses.</t>
  </si>
  <si>
    <t>Mr David &amp; Ms Patsy O'Sullivan &amp; Partners</t>
  </si>
  <si>
    <t>The grantee will install a 80kW wood pellet boiler at Bishops Court Nursing Home</t>
  </si>
  <si>
    <t>Noel O' Donovan</t>
  </si>
  <si>
    <t>To reduce hot water costs by up to 70% over a 12 month period by installing a 6sq.m solar system - free standing with a 300l 316 marine grade dual coil stainless steel cylinder_x000D_</t>
  </si>
  <si>
    <t>Macroom Environmental Business Park Ltd</t>
  </si>
  <si>
    <t>To supply install and connect to existing system a 60kW wood chip boiler with fuel store. The boiler will be the lead boiler on site and may also be used to supply heat to a future building on an adjacent site_x000D_</t>
  </si>
  <si>
    <t>Ellen Sextons Ltd</t>
  </si>
  <si>
    <t>the grantee will install 4.5 sq m of evacuated tube solar collectors</t>
  </si>
  <si>
    <t>Comhaltas Cosanta Gaeltachts Chuil Aodha</t>
  </si>
  <si>
    <t>To install a Heat Pump with vertical well to heat water for underfloor heating in a childcare facility. We will also install solar panels to heat domestic hot water. We saw that running costs could be more than halved by installing these systems._x000D_</t>
  </si>
  <si>
    <t>Rory and Monica O' Brien</t>
  </si>
  <si>
    <t>The project consists of the installation of a 500kW biomass boiler, 75m3 fuel store, buffer storage and associated equipment to provide space heating to a large pig rearing unit in Mitchelstown, Co. Cork.</t>
  </si>
  <si>
    <t>Michael Prendergast</t>
  </si>
  <si>
    <t>To reduce hot water costs by 70% over a 12 mth period by installing a 6m2 solar flatplate system with 300ltr 316l marine grade dual coil stainless steel cylinder</t>
  </si>
  <si>
    <t>Newtownshandrum GAA Club</t>
  </si>
  <si>
    <t>Installation of 15 sq m of flat plate solar collectors.</t>
  </si>
  <si>
    <t>Kathleen O' Mahony T/A Garryhankard Stud</t>
  </si>
  <si>
    <t>"Supply &amp; Install Solar thermal system for the provision of Domestic Hot Water and heating assist for swimming pool._x000D_</t>
  </si>
  <si>
    <t>The project consists of a new installation of 4 no. flat plate solar panels providing heating for the generation of 300 litres of preheated domestic hot water contained in a preheat cylinder.</t>
  </si>
  <si>
    <t>Adambridge Manufacturers</t>
  </si>
  <si>
    <t>It is proposed to install a biomass (sawdust and woodchip) fuelled Combined Heat and Power (CHP) facility including hydraulic reciprocating grate furnace, 12MW steam boiler and 3MWe steam turbine and generator set and ancillary systems and equipment.</t>
  </si>
  <si>
    <t>Charleville Park Hotel</t>
  </si>
  <si>
    <t>Installation of 1 no. ENER.G 125 CHP Unit and peripheral equipment.  CHP will be installed to reduce energy costs &amp; requirements on site._x000D_</t>
  </si>
  <si>
    <t>Garryvoe Hotel</t>
  </si>
  <si>
    <t>Installation of 1 no. ener.g 150 CHP unit and peripheral equipment. CHP will be installed to reduce energy costs on site with new pool and existing bedrooms and hotel fed from CHP. _x000D_</t>
  </si>
  <si>
    <t>Bridewood Pallets Ltd</t>
  </si>
  <si>
    <t>Feasibility study on proposed construction of a Biogas CHP Generating Plant</t>
  </si>
  <si>
    <t>Geoffrey Wycherley</t>
  </si>
  <si>
    <t>installation of 3 flat plate solar panels</t>
  </si>
  <si>
    <t>Prof Dr Werner G Seifert</t>
  </si>
  <si>
    <t>Installation of 46 kW geothermal heat pumps into the existing system. Delivery will be further im- provided with addition of a buffer tank/new circulation pumps._x000D_</t>
  </si>
  <si>
    <t>Perksfun Fair</t>
  </si>
  <si>
    <t>Installation of an air to water heat pump.   Heat Output (kWth)32.8</t>
  </si>
  <si>
    <t>Fernhill House Hotel</t>
  </si>
  <si>
    <t>Installation of 40sq.m of solar. The proposed solar at this facility will assist central heating requirements as well as hot water.</t>
  </si>
  <si>
    <t>Ned Rice Nursing Home</t>
  </si>
  <si>
    <t>It is proposed to install a 85kW Kob biomass boiler to supply heat for the entire facility.  The proposed fuel is virgin wood chip.  The wood chip will be stored in a 40m3 purpose built wood chip silo, which will be automatically fed into the boiler.</t>
  </si>
  <si>
    <t>Installation of 24 sq m of solar panels</t>
  </si>
  <si>
    <t>Novartis Ringaskiddy Ltd</t>
  </si>
  <si>
    <t>Installation of solar preheat (consisting of 6 solar panels), with top up heat provided by an existing LPHW skid 341-376 (heating radiators in the building) to reach desired water temperature._x000D_</t>
  </si>
  <si>
    <t>Installation of a 33kwh heat pump and a large buffer tank</t>
  </si>
  <si>
    <t>Glebe Gardens Cafe</t>
  </si>
  <si>
    <t>Heating the domestic water for a cafe in Baltimore (esp. for toilets and Kitchen) by a solar system (Solarthermal system)_x000D_</t>
  </si>
  <si>
    <t>Prime Time Clothing Ltd</t>
  </si>
  <si>
    <t>Installation of a 60kW wood chip boiler to heat the offices.</t>
  </si>
  <si>
    <t>Installation of a 3.18 sq m of evacuated tube solar collectors.</t>
  </si>
  <si>
    <t>Cormac O'Donoghue</t>
  </si>
  <si>
    <t>A solar heating system was considered to be very suitable and cost efficient means of heating water for milking parlour. Consisting of 3 solar panels on roof heating a 300lt hot water tank. Installation of 6sq m of flate plate solar collectors.</t>
  </si>
  <si>
    <t>James Eltin Griffin</t>
  </si>
  <si>
    <t>Installation of 10 sq. m of flat plate solar collectors.</t>
  </si>
  <si>
    <t>Muntir Skibbereen Credit Union Ltd</t>
  </si>
  <si>
    <t>installation of 1 no. geo-thermal heat pump providing hot water for space heating of the ground floor via an under floor heating system. The heat pump will also assist with the generation of domestic hot water.</t>
  </si>
  <si>
    <t>Michael Healy</t>
  </si>
  <si>
    <t>Installation of 6m2 flat flat solar thermal panels for hot water use in milking parlour.</t>
  </si>
  <si>
    <t>Installation of  Westect SP-S 58 1800A - 20 4 no Vacuumn turb solar collectors x 3.52m2 absorber surface area.</t>
  </si>
  <si>
    <t>Gaelachas Teo</t>
  </si>
  <si>
    <t>The grantee will install 12 kW heap pump</t>
  </si>
  <si>
    <t>Golden Nursing Homes Ltd</t>
  </si>
  <si>
    <t>Installation of 22 sq m of evacuated tube solar collectors.</t>
  </si>
  <si>
    <t>Glenilen Farm</t>
  </si>
  <si>
    <t>Installation of 112 m2 evacuated tube solar collectors.</t>
  </si>
  <si>
    <t>Beaumont Residential care</t>
  </si>
  <si>
    <t>Installation of 21.8 m2 of flat plate solar panels.</t>
  </si>
  <si>
    <t>Glendine B&amp;B</t>
  </si>
  <si>
    <t>Installation of 6.88 m2 evacuated tube solar collectors.</t>
  </si>
  <si>
    <t>Curraheen Hospital Ltd</t>
  </si>
  <si>
    <t>Installation of a 228 kWe CHP unit.</t>
  </si>
  <si>
    <t>Eli Lilly</t>
  </si>
  <si>
    <t>Installation of 11.63m2 evacuate tube solar panels.</t>
  </si>
  <si>
    <t>Eddie Dorney</t>
  </si>
  <si>
    <t>Installation of 5.6 sq m of evacuated tube solar collectors.</t>
  </si>
  <si>
    <t>Cornelius Cronin</t>
  </si>
  <si>
    <t>Installation of 3.84 m2 evacuated tube solar panels.</t>
  </si>
  <si>
    <t>Patrick Galvin</t>
  </si>
  <si>
    <t>Con Barrett</t>
  </si>
  <si>
    <t>Installation of 14.4m2 flate plate panels.</t>
  </si>
  <si>
    <t>Sean Mulcahy</t>
  </si>
  <si>
    <t>Installation of 6m2 flat plate solar panels.</t>
  </si>
  <si>
    <t>Mid Cork Pallets and Packaging Ltd</t>
  </si>
  <si>
    <t>Feasibility study on adding a steam boiler and generating system using the heat to provide hot water for the kilns. Electricity generated could be used in house during production and exported to the grid at the weekend.</t>
  </si>
  <si>
    <t>Richard Patterson</t>
  </si>
  <si>
    <t>Installation of 3.72 m2 evacuated tube</t>
  </si>
  <si>
    <t>Ray Hurley</t>
  </si>
  <si>
    <t>Installation of a 12m2 of flat plate solar panels.</t>
  </si>
  <si>
    <t>Pfizer Ireland Pharmaceutical</t>
  </si>
  <si>
    <t>Installation of 27.91m2 evacuated tube solar panels.</t>
  </si>
  <si>
    <t>Brookfield Care Centre</t>
  </si>
  <si>
    <t>Installation of 4 no 12 kw heat pumps totalling 48 kW</t>
  </si>
  <si>
    <t>Capriwood Limited</t>
  </si>
  <si>
    <t>Feasibility study to determine whether a natural gas fired CHP unit is suitable for reducing energy costs and carbon footprint of the facility</t>
  </si>
  <si>
    <t>Eirebloc Ltd</t>
  </si>
  <si>
    <t>The objectives of the feasibility study are to identify the most flexible system to balance fluctuating heat and electricity requirements, carry out in depth analysis of the economics of a complete integrated system, identify requirements for exporting surplus electricity and importing shortfall electricity, investigate all regulatory and licensing issues and calculate wood fuel requirements and check availability</t>
  </si>
  <si>
    <t>Eli Lilly SA</t>
  </si>
  <si>
    <t>The grantee will demonstrate an EED methodology in the design of a new manufacturing facility which will cover:_x000D_ Identification of focus area_x000D_Cost/benefit assesment of recommendations_x000D_ QA and follow up</t>
  </si>
  <si>
    <t>Pfizer Ireland Pharmaceuticals Loughbeg API</t>
  </si>
  <si>
    <t>The grantee will systematically analyse the deisgn, operation and optimisation of relevant refrigeration plants on site.</t>
  </si>
  <si>
    <t>Kerry Ingredients Ireland Ltd</t>
  </si>
  <si>
    <t>The grantee will install and commission an ice bank system replacement at Charleville, Co Cork</t>
  </si>
  <si>
    <t>The grantee will upgrade windows, insulation &amp; heating system</t>
  </si>
  <si>
    <t>Grangefield Developments</t>
  </si>
  <si>
    <t>The grantee will develop a mixed use development with key energy features such as natural ventilation, thremal performance, solar hot water &amp; lighting</t>
  </si>
  <si>
    <t>Kepak</t>
  </si>
  <si>
    <t>The grantee will install energy efficient lighting &amp; PIR controls</t>
  </si>
  <si>
    <t>EMC Information Systems International</t>
  </si>
  <si>
    <t>The grantee will retrofit modern energy efficient electronic expansion valves</t>
  </si>
  <si>
    <t>Free Cooling project at EMC's Laboratories and Data Centres through installation of VSD fans and high efficiency motor upgrades.</t>
  </si>
  <si>
    <t>DePuy Johnson &amp; Johnson</t>
  </si>
  <si>
    <t>Optimisation of Thermal and HVAC system.</t>
  </si>
  <si>
    <t>Nutricia Infant Nutrition Ltd</t>
  </si>
  <si>
    <t>Retrofit of chilled water plant and implement regrigerant gas heat recovery system.</t>
  </si>
  <si>
    <t>Depuy Ireland</t>
  </si>
  <si>
    <t>Reconfiguration of the main utilities including the Hot Water System, Compressed Air System, Chilled Water System, Deionised Water System, Building Mgmt System and Energy Monitoring System</t>
  </si>
  <si>
    <t>Stryker Orthopaedics</t>
  </si>
  <si>
    <t>Stryker orthopaedics manufactures artificial hips &amp; knees. The Project involved a lighting upgrade in the factory &amp; replacing existing 400W high bay metal halide light fittingd with 230W Patina ASDN Long life T5 Fittings in the 2002 extension &amp; in parts of the older factory section</t>
  </si>
  <si>
    <t>Hot Aisle Containment Project to prevent the mixing of hot &amp; cool air, hanging PVC Curtains, with energy savings of 1,298,895 KWH per year</t>
  </si>
  <si>
    <t>Installation of a de-humidifier and flue gas econimiser.</t>
  </si>
  <si>
    <t>Carbery Milk Products Ltd</t>
  </si>
  <si>
    <t>The Project involved the grantee installing Nano-filtration into the Ultra-filtration Room, the Micro-filtration Room &amp; the hydrolysis Plant</t>
  </si>
  <si>
    <t>Ingredient Solutions Ltd</t>
  </si>
  <si>
    <t>The Project Aimed to Insulate the factory &amp; incldes insulation of the cold store, chilled store and factory processing area by externally cladding the buildings. The objective was to reduce energy use by 97,000KWh per year.</t>
  </si>
  <si>
    <t>Moog Ireland Ltd</t>
  </si>
  <si>
    <t>Insulate East Wall, Install new efficient AC system, Install energy monitoring and control equipment and energy efficient lighting and controls</t>
  </si>
  <si>
    <t>Maano Foods Cork Ltd</t>
  </si>
  <si>
    <t>INSTALL Energy monitoring equipment, Automatic controls, AC units with intelligent energy controllers, Energy efficient gas oven. Replace lighting with energy efficient lighting.</t>
  </si>
  <si>
    <t>Pfizer Ireland Pharmaceuticals</t>
  </si>
  <si>
    <t>Replace one of the existing site air compressors with a variable speed drive air compressor.</t>
  </si>
  <si>
    <t>SmithKline Beecham (Cork) Ltd</t>
  </si>
  <si>
    <t>Re-use waste heat from dump stream from Waste Heat Boiler to preheat comnustion air for the incinerator. Install VSD controlled Air Compressor and combination of the plant and breathing air systems. Upgrade of the site steam metering system.</t>
  </si>
  <si>
    <t>Hayfield Leisure Ltd</t>
  </si>
  <si>
    <t>Installation of 70kWe CHP system, solar panels for hot water heating, VSDs on pool hall AHU and pump, swimming pool cover, upgrade of existing BMS system</t>
  </si>
  <si>
    <t>Clona Dairy Products Society Ltd</t>
  </si>
  <si>
    <t>Installation of a new pasteuriser, Upgrade of the chilled water plant, Replace existing boiler, Insulation works to all process pipe work, Installation of new boiler feed water tank with heat recovery from condensate and cold room compressors.Replacement of refrigerated units in cold store areas with more efficient chillers. Air curtains in cold rooms to reduce ventilation heat loss. Lighting upgrades on production floor and cold rooms.</t>
  </si>
  <si>
    <t>Inchydoney Island Lodge &amp; Spa Ltd</t>
  </si>
  <si>
    <t>Upgrade lighting and lighting controls, Optimise operation of extraction plant, Use existing renewable heat source for Spa Heating</t>
  </si>
  <si>
    <t>GE Healthcare Ireland</t>
  </si>
  <si>
    <t>Reconfiguration of cooling towers and improved control strategy, HVAC; reduction in air change rates of classified AHU's, Copmressed Air; Relocation of pressure transmitters to facilitate lower system pressure, Steam System; automation of boiler blow down, Low energy lighting retrofit, WFI and PURE system insulation upgrades, Motors, Drives and Power Factor: VSD control on 8 No pump motors.</t>
  </si>
  <si>
    <t>Cybercolloids/Cap</t>
  </si>
  <si>
    <t>Innovative Food Ingredients</t>
  </si>
  <si>
    <t>Finda Conference Venue/Pref.Sh</t>
  </si>
  <si>
    <t>Preferencias Shares</t>
  </si>
  <si>
    <t>Conference Venue Finder Website (6006743)</t>
  </si>
  <si>
    <t>Michael Twomey Butchers/Cap</t>
  </si>
  <si>
    <t>New Meat Processing Plant</t>
  </si>
  <si>
    <t>Yewcrafts/Cap</t>
  </si>
  <si>
    <t>Innovative Craft Crystals</t>
  </si>
  <si>
    <t>Mary Neeson Ceramics/Cap</t>
  </si>
  <si>
    <t>Ceramic Crafts</t>
  </si>
  <si>
    <t>Neville SAAS/ Pref.Sh</t>
  </si>
  <si>
    <t>Innovative Grain Industry Web Software</t>
  </si>
  <si>
    <t>EMOH / Emp</t>
  </si>
  <si>
    <t>Mobile Advertising Media Software</t>
  </si>
  <si>
    <t>Ikit Systems / Emp</t>
  </si>
  <si>
    <t>Multimedia Animation Software</t>
  </si>
  <si>
    <t xml:space="preserve">Tapasol / Pref.Sh </t>
  </si>
  <si>
    <t>Server Installation Application Software</t>
  </si>
  <si>
    <t>Ferfics /Pref. Sh</t>
  </si>
  <si>
    <t>Innovative Mobile Phone Technology</t>
  </si>
  <si>
    <t>Rate Tech /Emp</t>
  </si>
  <si>
    <t>Innovative Mortgage Interest Calculation Software Application, supported 2 salary costs jobs</t>
  </si>
  <si>
    <t>Genesis Circuits /BE</t>
  </si>
  <si>
    <t>Printed Circuit Board Design &amp; Layout Service and small production runs of specified devices made to order</t>
  </si>
  <si>
    <t>Nomoseire /Pref. Sh</t>
  </si>
  <si>
    <t>Software Systems Tools Integration Services</t>
  </si>
  <si>
    <t>Veg-e-Que /Cap</t>
  </si>
  <si>
    <t>Manufacture of Organic vegetarian burgers,Supported Capital costs to purchase food production equipment including blast freezers and Gas Cooker</t>
  </si>
  <si>
    <t>Taste A Memory /Cap</t>
  </si>
  <si>
    <t>Handmade pies and pasties</t>
  </si>
  <si>
    <t>Aoife O'Mahony Design/Cap</t>
  </si>
  <si>
    <t>Making quality contemporary jewellery using precious metals wuch as gold, silver and platinum as well as precious stones</t>
  </si>
  <si>
    <t>Applied Thermal Imagery Ltd/Emp</t>
  </si>
  <si>
    <t>Thermal imagery technology, a way of detecting and locating heat loss, cold spots, draughts in all types of buildings</t>
  </si>
  <si>
    <t>Solar Communications Ltd/Emp</t>
  </si>
  <si>
    <t>Telecoms Brokering business</t>
  </si>
  <si>
    <t>The Golf Voucher Shop/Emp</t>
  </si>
  <si>
    <t>An online service where people can purcahse voucher that can be exchanged for green fees in participating golf club or in Pro Shops / Sport Shops for golf clothing or equipment</t>
  </si>
  <si>
    <t>Thornfields Montessori/Emp</t>
  </si>
  <si>
    <t>Montessori /Pre-school and full day care centre open to children aged between 2 and 6 years old</t>
  </si>
  <si>
    <t>La Pasta Fresco/Emp</t>
  </si>
  <si>
    <t>Freshly ready mand Italian pasta and sauces</t>
  </si>
  <si>
    <t>Exclusively Yours/Emp</t>
  </si>
  <si>
    <t>Design, print and manuacturing handmande wedding stationary and handmade greeting cards</t>
  </si>
  <si>
    <t>West Cork Marine Cluster c/o Bere Island Boatyard Ltd /Feas</t>
  </si>
  <si>
    <t>Feasibility Study involving the building of an Irish mussel dredger for the mussel dredger market in Ireland</t>
  </si>
  <si>
    <t>Callatrim Foods/Cap</t>
  </si>
  <si>
    <t>Producing a range of "Callatrim" branded traditional home baking products</t>
  </si>
  <si>
    <t>Custom Quilting Ltd/Cap</t>
  </si>
  <si>
    <t xml:space="preserve">Manufacturing high quality quiled products </t>
  </si>
  <si>
    <t>Delicious Dishes/Emp</t>
  </si>
  <si>
    <t xml:space="preserve">Producting a range of ready made convenience meals </t>
  </si>
  <si>
    <t>Dunmanway Enterprise Network/Feas</t>
  </si>
  <si>
    <t>Conduct a feasibility study on the development of a Community Enterprise Centre in Dunmanway</t>
  </si>
  <si>
    <t>Durrus Farmhouse Cheese/Cap</t>
  </si>
  <si>
    <t xml:space="preserve">Manufacturing a range of traditional farmhouse cheeses </t>
  </si>
  <si>
    <t>Michelle &amp; Moz Playschool &amp; Creche/Emp</t>
  </si>
  <si>
    <t xml:space="preserve">Providing full day creche and playschool services for children aged between 6 months to 4 years </t>
  </si>
  <si>
    <t>MoJo Metal Designs/Emp</t>
  </si>
  <si>
    <t>Design and manufacturing a range of metal and wrought iron products</t>
  </si>
  <si>
    <t>RG-L Patisserie/Cap</t>
  </si>
  <si>
    <t>Manufacturing a range of specialty high end hand made classical french patisserie</t>
  </si>
  <si>
    <t>Rossbrin Boatyard Ltd/Cap</t>
  </si>
  <si>
    <t>Expansion of a boatyard/marine services by investment in a hoist (40% aid)</t>
  </si>
  <si>
    <t>Schull Food Centre/Feas</t>
  </si>
  <si>
    <t>Conduct a feasibility study on developing a community owned food centre in Schull</t>
  </si>
  <si>
    <t>Seymours Fine Foods Ltd/Cap</t>
  </si>
  <si>
    <t>Manufacturing a range of biscuits for the retail trade and food service markets in Ireland</t>
  </si>
  <si>
    <t>Tilleard Goya Ltd/Feas</t>
  </si>
  <si>
    <t>Conduct a feasibility study on the development of a web application for an on-line software application for SME's to develop their own safety statements on-line</t>
  </si>
  <si>
    <t>West Cork Craft &amp; Design Guild/Feas</t>
  </si>
  <si>
    <t>conducting a feasibility study on the viability study relating to the proposed Craft Retail Visitor Centre in Skibbereen</t>
  </si>
  <si>
    <t>Yellow House Montessori School/Emp</t>
  </si>
  <si>
    <t xml:space="preserve">Providing full time montessori school for children between the ages of 2 and 5 years </t>
  </si>
  <si>
    <t>ADOBE Photoshop Training Prog 2007</t>
  </si>
  <si>
    <t xml:space="preserve">Training - Training in the ADOBE Photoshop software </t>
  </si>
  <si>
    <t>Advanced Food SME Development Prog 2008/M2</t>
  </si>
  <si>
    <t>Training - Business Development for SME Food Companies</t>
  </si>
  <si>
    <t>Basic Finance Training Prog 2007 &amp; 2008</t>
  </si>
  <si>
    <t>Training - Learning the skills to understand the bases of basic finances and to be able to set up basic systems to record this info.</t>
  </si>
  <si>
    <t>Big Red Book Training Prog 2007 &amp; 2008</t>
  </si>
  <si>
    <t>Training - Training on the Big Red Book Accounting Software system</t>
  </si>
  <si>
    <t>Book-Keeping &amp; Financial Mgt Training Prog 2007</t>
  </si>
  <si>
    <t>Magement Development Programme - Course involves Records, Books and Accounts: Pricing, Costs and Sales Projections:Cash Flow Management:&amp; VAT and Tax:</t>
  </si>
  <si>
    <t>Business is Good but am I Making Money 07&amp;08</t>
  </si>
  <si>
    <t>Management Development Programme - Topics covered: Creating and interpreting accounts: Making financial projections: Dealing with tax and VAT</t>
  </si>
  <si>
    <t>CIT Innovation Day 2008/M2</t>
  </si>
  <si>
    <t>Enterprise Promotion - Promotion Entreprenuership to third level students in CIT, Cork</t>
  </si>
  <si>
    <t>Cork Schools Enterprise Programme 2007/2008/M2</t>
  </si>
  <si>
    <t>Enterprise Eduction - Bring secondary school students aware of Entreprenuership.  Set up and running of Mini Companies, Trade Fairs, etc</t>
  </si>
  <si>
    <t>Cork Schools Enterprise Programme 2008/2009/M2</t>
  </si>
  <si>
    <t>Enterprise Eduction - Bring secondary school students aware of Entreprenuership.  Set up and running ofMini Companies, Trade Fairs, etc</t>
  </si>
  <si>
    <t>Customer Relationship Managment (CRM) 2008/M2</t>
  </si>
  <si>
    <t>Training - Training on who is use the CRM Software system</t>
  </si>
  <si>
    <t>Desk Top Publishing Training Prog 2007 &amp; 2008</t>
  </si>
  <si>
    <t xml:space="preserve">Management Develpment Training - Training on how to use the DTP software systems </t>
  </si>
  <si>
    <t>Do you understand Income Tax Vat Costing Final Accounts 2008</t>
  </si>
  <si>
    <t xml:space="preserve">Training - Training give to owner/manager to understand Income Tax, VAT, costing and there final accounts </t>
  </si>
  <si>
    <t>Dunmanway Enterprise Network 2008</t>
  </si>
  <si>
    <t>Enterprise Promotion - Dunmanway Integrated Development Strategy 2008 &amp; Dunmanway Interagency Initative 2008</t>
  </si>
  <si>
    <t>Effective Personal Productivity Prog 2008/M2</t>
  </si>
  <si>
    <t>Management Development Training - Learning to become more productive</t>
  </si>
  <si>
    <t>Enterprise Bus Event May 2008</t>
  </si>
  <si>
    <t xml:space="preserve">Enterprise Promotion - An enterprise bus traveling around West Cork giving enterprise advice </t>
  </si>
  <si>
    <t>Enterprise Bus Event 24-28 Aug 2009/M2</t>
  </si>
  <si>
    <t>Enterprise Promotion - An enterprise bus traveling around West Cork giving enterprise advice</t>
  </si>
  <si>
    <t>Enterprise Promotion Committee 2007 &amp; 2008</t>
  </si>
  <si>
    <t>Enterprise Promotion - National Enterprise Promotions Committee</t>
  </si>
  <si>
    <t>Estonian Trade Mission  2007</t>
  </si>
  <si>
    <t>Enterprise Promotion - Trade Mission to Estonian in 2007</t>
  </si>
  <si>
    <t>Find, Managing &amp; Succeeding with Agents &amp; Distributors 2007</t>
  </si>
  <si>
    <t xml:space="preserve">Training - learning how to find, manage and succeed with agents and distributors </t>
  </si>
  <si>
    <t>Franchising - All you need to know seminar 2007</t>
  </si>
  <si>
    <t>Training - Seminar on Franchising and all you need to know about franchising</t>
  </si>
  <si>
    <t>FUTURALLIA 2007 - Poitiers, France</t>
  </si>
  <si>
    <t xml:space="preserve">Enterprise Promotion - Trade Mission to France to promotion Irish (Cork) enterprises </t>
  </si>
  <si>
    <t>FUTURALLIA 2008 - Quebec, Canada</t>
  </si>
  <si>
    <t>Enterprise Promotion - Trade Mission to Canada to promotion Irish (Cork) enterprises</t>
  </si>
  <si>
    <t>Genesis Enterprise Programme 2008</t>
  </si>
  <si>
    <t>Enterprise Promotion - Promotion through a the Genesis Programme Network (Cork)</t>
  </si>
  <si>
    <t>Gift Business Development Prog 2007</t>
  </si>
  <si>
    <t xml:space="preserve">Management Development Programme - Business Development in all areas for the gift sector </t>
  </si>
  <si>
    <t>Gift Business Development Programme 2008/M2</t>
  </si>
  <si>
    <t>Management Development Programme - Business Development in all areas for the gift sector</t>
  </si>
  <si>
    <t>Green Business Workshop 2008</t>
  </si>
  <si>
    <t xml:space="preserve">Training - Workshop on who businesses can be more environmental GREEN friendly </t>
  </si>
  <si>
    <t>Grow Your Own Business (Mentoring) 2008/M2</t>
  </si>
  <si>
    <t>Mentoring - 1-1 client mentoring on who to grow your business</t>
  </si>
  <si>
    <t>Health &amp; Safety Information &amp; Training Day 2007</t>
  </si>
  <si>
    <t>Training - Information and training day on Health &amp; Safety issues in the work place for SME's</t>
  </si>
  <si>
    <t>How to get paid on time Seminar 2008</t>
  </si>
  <si>
    <t xml:space="preserve">Training on how to make sure you get paid on time </t>
  </si>
  <si>
    <t>Marketing Seminars 2007 &amp; 2008</t>
  </si>
  <si>
    <t>Training - All you need to know about markeing and markeing your business</t>
  </si>
  <si>
    <t>Mentoring Programme 2007</t>
  </si>
  <si>
    <t xml:space="preserve">Mentoring - 1-1 client mentoring </t>
  </si>
  <si>
    <t>Mentoring Programme 2008/M2</t>
  </si>
  <si>
    <t>Mentoring Programme for grant assisted clients to enable one to one assistance on pertinent business issues</t>
  </si>
  <si>
    <t>Personal &amp; Business Development Programme 2007</t>
  </si>
  <si>
    <t>Management Development Programme - Programme designed to develop the persona and there business</t>
  </si>
  <si>
    <t>PLATO Cork - West Cork Family Business Networking Group 2007</t>
  </si>
  <si>
    <t xml:space="preserve">Enterprise Promotion - Networking </t>
  </si>
  <si>
    <t>PLATO Cork - Business Tranference / Family Succession Programme  2007</t>
  </si>
  <si>
    <t xml:space="preserve">Management Development Programme - Business Tranference / family members taking over the family business  </t>
  </si>
  <si>
    <t>PLATO Cork (Marine Sector) West Cork Economical Development Cluster 2007/2008/2009/M2</t>
  </si>
  <si>
    <t>Enterprise Promotion - Marine Sector Cluster Networking Group 2007-2009</t>
  </si>
  <si>
    <t>Promotion of a Enterprise Culture 2007</t>
  </si>
  <si>
    <t xml:space="preserve">Enterprise Promotion - Promoting enterprise throughout West Cork area </t>
  </si>
  <si>
    <t>Promotion of an Enterprise Culture 2008</t>
  </si>
  <si>
    <t>Promotion of a Enterprise Culture 2008</t>
  </si>
  <si>
    <t>Public Relations Seminars 2007 &amp; 2008</t>
  </si>
  <si>
    <t>Training - Seminar on PR</t>
  </si>
  <si>
    <t>Search Engine Optimisation Seminars 2007 &amp; 2008</t>
  </si>
  <si>
    <t xml:space="preserve">Training - Seminar to learn more about how best to optimise search engines </t>
  </si>
  <si>
    <t>Selling Skills Seminars 2007 &amp; 2008/M2</t>
  </si>
  <si>
    <t>Training - Learning the skills to sell your product or service</t>
  </si>
  <si>
    <t>Selling your Product/Service on the Internet 2007 &amp; 2008</t>
  </si>
  <si>
    <t>Training - Learn more about how to sell a product or service on the internet</t>
  </si>
  <si>
    <t>Shop Exhibition 2007 - Dublin</t>
  </si>
  <si>
    <t>Enterprise Promotion - West Cork Clients having a stand at the Shop Exhibition Event 2007</t>
  </si>
  <si>
    <t>Shop Exhibition Event 2008 - Dublin</t>
  </si>
  <si>
    <t xml:space="preserve">Enterprise Promotion - West Cork companies having a stand at the Shop Exhibition Event </t>
  </si>
  <si>
    <t>Small Exporters Support Scheme 2007</t>
  </si>
  <si>
    <t>Enterprise Promotion - Support Scheme to assist clients to find out if there is a market for there product/service abroad (export)</t>
  </si>
  <si>
    <t>Small Exporters Support Scheme 2008</t>
  </si>
  <si>
    <t>SOHO SOLO Programme 2007&amp;2008/M2</t>
  </si>
  <si>
    <t>SOHO SOLO Programme 2007&amp;2008 This is a network of migrants into the South West of Ireland who make their living from technology or knowledge industries. It is assisted by the County and City Enterprise Boards as a means of providing practical mentoring, advice and peer support to these new businesses.</t>
  </si>
  <si>
    <t>Student Enterprise Awards 2007/2008</t>
  </si>
  <si>
    <t xml:space="preserve">Enterprise Eduction - Enterprise Awards event </t>
  </si>
  <si>
    <t>SYOB Programmes 2007/M2</t>
  </si>
  <si>
    <t>Managment Development Training - Start your own business programmes</t>
  </si>
  <si>
    <t>SYOB Programmes 2008</t>
  </si>
  <si>
    <t>Management Development Programme - Start your own business programmes</t>
  </si>
  <si>
    <t>Taxation Matters for a Small Business Seminars 2007 &amp; 2008</t>
  </si>
  <si>
    <t xml:space="preserve">Training - learning more about taxation matters relating to SME's in Ireland </t>
  </si>
  <si>
    <t>Stuart Nets (Feasibility Research Prog) 2007</t>
  </si>
  <si>
    <t xml:space="preserve">Enterprise Promotion - Assistance with the feasibility research - pilot programme </t>
  </si>
  <si>
    <t>The Do's &amp; Don't of Employment Law Seminars 2008</t>
  </si>
  <si>
    <t>Training - Informational Seminar on Employment Law for the SME's</t>
  </si>
  <si>
    <t>Thesaurus Payroll Training Programme 2007</t>
  </si>
  <si>
    <t xml:space="preserve">Training - Training in Thesaurus Payroll Software </t>
  </si>
  <si>
    <t>Trade Mission to Wroclaw, Poland 2008</t>
  </si>
  <si>
    <t>Enterprise Promotion - Trade Mission to Poland to develop enterprise links</t>
  </si>
  <si>
    <t>US Market Research Project by Orla Castanien - 2008</t>
  </si>
  <si>
    <t>Enterprise Promotion - Market Research conducted by Orla Castanien</t>
  </si>
  <si>
    <t>WCEB &amp; CCC Provision of Work Space Unit Project 2008</t>
  </si>
  <si>
    <t xml:space="preserve">Enterprise Promotion - carry out research on the provision of work space unit project </t>
  </si>
  <si>
    <t>WCEB &amp; Cork BIC Practical Innovation Programme 2007/2008</t>
  </si>
  <si>
    <t>Management Development Programme - Innovation Prog</t>
  </si>
  <si>
    <t>WCEB EQ Traceability Follow Up Programme 2007</t>
  </si>
  <si>
    <t>EQ Trace - Food Traceability software system enables food processing smes to manage stock, production, HACCP, sales and traceability for food legislation compliance.This programme enabled system to be put in place in a number of West Cork food businesses. www.verifytraceability.com</t>
  </si>
  <si>
    <t>Web Design &amp; Maintenance Training Programme 2007</t>
  </si>
  <si>
    <t xml:space="preserve">Training - learning skills to design and maintenance your own business web site </t>
  </si>
  <si>
    <t>Web Site Optimisation Seminars 2007 &amp; 2008</t>
  </si>
  <si>
    <t xml:space="preserve">Training - Learning Skills to how web site can be best optimised </t>
  </si>
  <si>
    <t>WCEB &amp; PLATO Cork Family Business Seminar 2007</t>
  </si>
  <si>
    <t xml:space="preserve">Training - Family Business Seminar </t>
  </si>
  <si>
    <t>West Cork Business Advise Clinics 2008</t>
  </si>
  <si>
    <t>Enterprise Promotion - Holding business advice Clinics in the main towns in West Cork</t>
  </si>
  <si>
    <t>West Cork Community Partnership &amp; Dept of Family &amp; Socal Affairs - Artist's Seminar 2008</t>
  </si>
  <si>
    <t xml:space="preserve">Enterprise Promotion - Artist's Seminar </t>
  </si>
  <si>
    <t>West Cork Craft &amp; Design Guild 2007 Technology Assistance</t>
  </si>
  <si>
    <t xml:space="preserve">Enterprise Promotion - West Cork Craft &amp; Design Guild Technology Assistance </t>
  </si>
  <si>
    <t>West Cork Networks 2007 (SBN &amp; WIB)</t>
  </si>
  <si>
    <t xml:space="preserve">Enterprise Promotions - Networking </t>
  </si>
  <si>
    <t>West Cork Networks 2008 (SBN &amp; WIB) / M2</t>
  </si>
  <si>
    <t>SBN - Small Business Network &amp; WIB - Women in Business Network forum for SMEs to meet on a regular basis, to network, share info and contacts and generate business. Monthly Network Events held for SMEs in West Cork. Events usually had a guest speaker and networking activity. Members charged a nominal fee to join.</t>
  </si>
  <si>
    <t>Wroclaw, Poland Trade Mission Trading Link Cork Business Link Business Event 2007</t>
  </si>
  <si>
    <t xml:space="preserve">Enterprise Promotion - Trade Mission to Wroclaw Poland developing trading links with cork businesses </t>
  </si>
  <si>
    <t>You &amp; Your Money Event 2007</t>
  </si>
  <si>
    <t xml:space="preserve">Enterprise Promotion - Money Matters Event </t>
  </si>
  <si>
    <t>ECOCEL Ltd /Cap</t>
  </si>
  <si>
    <t>Natural Cellulose Insulation</t>
  </si>
  <si>
    <t xml:space="preserve">Wavebreak Media Ltd / Emp </t>
  </si>
  <si>
    <t>Video Stock Footage</t>
  </si>
  <si>
    <t>The Just Food Company /Cap</t>
  </si>
  <si>
    <t>Organic Soups, Pestos</t>
  </si>
  <si>
    <t>Eurpoean Irish /Pref Sh</t>
  </si>
  <si>
    <t>Internet Information Resource</t>
  </si>
  <si>
    <t>Business Development /M2</t>
  </si>
  <si>
    <t>Business Development &amp; Planning Training Programmes - Development of clients businesses to adapt to changing market needs.</t>
  </si>
  <si>
    <t>Neville SAAS Ltd/Emp</t>
  </si>
  <si>
    <t>Business Advisor Costs /M2</t>
  </si>
  <si>
    <t>CEB Staff costs</t>
  </si>
  <si>
    <t>Sort My Books 6025/M2</t>
  </si>
  <si>
    <t>This is basic accounting good practice training by using a well recognised financial accounting package 'Sort My Books' to help train our clients to keep good financial records that is essential for a good business startup.</t>
  </si>
  <si>
    <t>Getting Started  /M2</t>
  </si>
  <si>
    <t>Start Your Own Business (SYOB)Training Programme - for clients who are thinking of starting their own business.</t>
  </si>
  <si>
    <t>Personal Development &amp; Leadership Management /M2</t>
  </si>
  <si>
    <t>Personal Development Training on Personal effectiveness and leadership management for advanced businesses.</t>
  </si>
  <si>
    <t>Selling Skills /M2</t>
  </si>
  <si>
    <t>Sales and Marketing Training on the skills and techniques required for selling.</t>
  </si>
  <si>
    <t>Newscribe DNA Ltd/Emp</t>
  </si>
  <si>
    <t>Innovative Mobile eLearning Software-supported with Employment grant</t>
  </si>
  <si>
    <t>Mentoring /M2</t>
  </si>
  <si>
    <t>Mentoring of clients on Market Research, Product Development, Sales &amp; Marketing, Financial Planning and Business Planning.</t>
  </si>
  <si>
    <t>Food Programme6070/M2</t>
  </si>
  <si>
    <t>Food Development Programme for clients in the food sector who need support on Distribution, Pricing, Financial Management, HR Labelling, branding, Market Analysis and Strategic Marketing, this course is done in conjunction with the West Cork board.</t>
  </si>
  <si>
    <t>Craft Programme/M2</t>
  </si>
  <si>
    <t>Craft Business Development Programme - for local craft producers who need support with Marketing, Finance, and Promotion.</t>
  </si>
  <si>
    <t>Grow Your Business /M2</t>
  </si>
  <si>
    <t>Management and Development Programme for existing clients helping them with growing the business to the next level.</t>
  </si>
  <si>
    <t>IT Programme /M2</t>
  </si>
  <si>
    <t>IT Management Development Training for existing clients in the Information Technology sector, training on Sales, Strategic Marketing, International Selling, Project Management and HR.</t>
  </si>
  <si>
    <t>Enterprise Promotion 6100 /M2</t>
  </si>
  <si>
    <t>To support Measure 2 activities - promotion of training programmes and Enterprise Month.</t>
  </si>
  <si>
    <t>Newscribe DNA Ltd/Pref Sh</t>
  </si>
  <si>
    <t>Innovative Mobile eLearning Software Applications</t>
  </si>
  <si>
    <t>Community Development  /M2</t>
  </si>
  <si>
    <t>Promotion of Enterprise in the local Community to increase awareness of Enterprise Culture.</t>
  </si>
  <si>
    <t>Events /M2</t>
  </si>
  <si>
    <t>Soft Support Provision for Enterprise Promotion, Tradeshows/Exhibitions</t>
  </si>
  <si>
    <t>Networks 6120 /M2</t>
  </si>
  <si>
    <t>To support Measure 2 network activities - PLATO Network which supports existing businesses through difficult challenges by using the experience of the local management of multinational companies based in the region.</t>
  </si>
  <si>
    <t>Virginia Health Food Ltd/Pref Sh</t>
  </si>
  <si>
    <t>Manufacture of Nutritional Health Foods</t>
  </si>
  <si>
    <t>Virginia Health Food Ltd/Emp</t>
  </si>
  <si>
    <t>Manufacture of Nutritional Health Foods -supported salary costs.</t>
  </si>
  <si>
    <t>La Charcuterie /Cap</t>
  </si>
  <si>
    <t>Manufacture of Speciality Artisan Foods</t>
  </si>
  <si>
    <t>Secondary School Programme /M2</t>
  </si>
  <si>
    <t>Enterprise Education secondary schools programme.</t>
  </si>
  <si>
    <t>CIT Innovation Awards/M2</t>
  </si>
  <si>
    <t>CIT Innovation programme to encourage innovation amongst undergratuates which culminates in a competition with different categories of business.</t>
  </si>
  <si>
    <t>Finders Food Ltd / Cap</t>
  </si>
  <si>
    <t>Manufacture of Speciality Artisan Foods - supported Capital Equipment costs</t>
  </si>
  <si>
    <t>Farmhouse Fare Ltd/Emp</t>
  </si>
  <si>
    <t>Tapasol Ltd / Emp</t>
  </si>
  <si>
    <t>Server Installation Software</t>
  </si>
  <si>
    <t>Finda Conference Venue/Emp</t>
  </si>
  <si>
    <t>Confernce Venue Finder Website</t>
  </si>
  <si>
    <t>Nomoseire/Emp</t>
  </si>
  <si>
    <t>Software Systems Tools Integration Service</t>
  </si>
  <si>
    <t>Ferfics Ltd / Emp</t>
  </si>
  <si>
    <t>European Irish / Emp</t>
  </si>
  <si>
    <t>Showcase Ireland RDS 21-24 Jan 2007</t>
  </si>
  <si>
    <t>Showcase in the RDS for Craft sector 21 - 24 Jan 2007</t>
  </si>
  <si>
    <t>Family Business Programme 2008</t>
  </si>
  <si>
    <t>This programme is for owner-managers of family run and family owned small to medium sized enterprises. Its main objective is for participants to realize the make up of their family business, develop their management skills, create a network of support for the business and to look at family succession.</t>
  </si>
  <si>
    <t>iPass Certified Payroll Technician Course 2008</t>
  </si>
  <si>
    <t xml:space="preserve">Training - Payroll Technician Programme </t>
  </si>
  <si>
    <t>M2 Business Advisor Costs</t>
  </si>
  <si>
    <t>M2 Business Advisors Costs for Year 2007 &amp; 2008 &amp; 2009 &amp; 2010 &amp; 2011 &amp; 2012 &amp; 2013</t>
  </si>
  <si>
    <t>Callatrim Foods/Emp</t>
  </si>
  <si>
    <t>Callatrim Foods-Expansion of an artisan bakery wholesaling home baked products into South West Ireland.</t>
  </si>
  <si>
    <t>Mojo Metal Designs/Cap</t>
  </si>
  <si>
    <t>Expansion of a Metal engineering business supplying specialised railings and gates as well as a range of metal consumer products.</t>
  </si>
  <si>
    <t>Harvest Pictorial/Feas</t>
  </si>
  <si>
    <t>Feasibility to determine suitable online trading systems.</t>
  </si>
  <si>
    <t>DNG Ireland/Emp</t>
  </si>
  <si>
    <t>Establishment of a business manufacturing automatic jigging reel fishing systems</t>
  </si>
  <si>
    <t>Granite Media Group/Emp</t>
  </si>
  <si>
    <t>Est.of a business developing internet marketing/retail intelligence. Five positions created in Web, Marketing and Management.</t>
  </si>
  <si>
    <t>The Golf Voucher Shop/Feas</t>
  </si>
  <si>
    <t>Feasibility study assessing the viability of establishing a golf voucher online shop serving the Irish &amp; UK markets</t>
  </si>
  <si>
    <t>Slumbers Limited/Feas</t>
  </si>
  <si>
    <t>Feasibility Study conducting a study reseraching an anti-baterial/hygienic blanket for dogs</t>
  </si>
  <si>
    <t>Bachelor of Business Studies Degree 2009/M2 Training</t>
  </si>
  <si>
    <t>Bachelor Of Business Stiudies Degree Programme 2009. Undergraduate Students and early school leavers. To facilitate the IPA to run this programme in North Cork.</t>
  </si>
  <si>
    <t>Business Leadership Training Programme/M2 Training</t>
  </si>
  <si>
    <t>Training in Personal Development and Business Skills and Business development</t>
  </si>
  <si>
    <t>La Rochelle Boat Show 10-15 Sept 2008/M2</t>
  </si>
  <si>
    <t>Trade Visit with CCC to showcase a number of Cork businesses at the La Rochelle Boat Show, France.</t>
  </si>
  <si>
    <t>Cork Schools Enterprise Programme 2009/2010/M2</t>
  </si>
  <si>
    <t>M2/Enterprise Education Programme to promoter self employment and entrepreneurship in Secondary Schools</t>
  </si>
  <si>
    <t>Advanced Food Programme 2009/M2</t>
  </si>
  <si>
    <t>Advanced Business Marketing &amp; Product Development Programme for Food Businesses to develop skills and grow business</t>
  </si>
  <si>
    <t>CAD Cork Art &amp; Design Study 2009/M2</t>
  </si>
  <si>
    <t>Study undertaken on the feasibility of establishing a promotional/support organisation for the Craft sector in Cork including examining a programme of activity and the employment of personnel</t>
  </si>
  <si>
    <t>CIT Innovation Day 2009/M2</t>
  </si>
  <si>
    <t>Contribution made by each of the Cork CEBs to the running of the CIT Innovation Programme. The programme is a comprehensive approach to encouraging innovation amongst undergraduates and culminates in a competition with different categories of business. The Innovation Programme has produced a number of high quality business proposals that have gone on to succeed in other business competitions and have resulted in a number of innovative start ups.</t>
  </si>
  <si>
    <t>Commerical Website Grants 2009/M2</t>
  </si>
  <si>
    <t>Technical Assistance to enable businesses to develop online trading facilities</t>
  </si>
  <si>
    <t>Cork Design Week 14-24 May 2009/M2</t>
  </si>
  <si>
    <t>Craft &amp; Design Exhibition week hosted with Retailer Brown thomas to showcase a number of Cork Craft Products and develop sales and listings in BT.</t>
  </si>
  <si>
    <t>Developing a Communication Campaign/PR/2009/M2</t>
  </si>
  <si>
    <t>Seminar on Developing a Communications Campaige to Drive your Business</t>
  </si>
  <si>
    <t>Developing Customer Care Training Programme 2009/M2</t>
  </si>
  <si>
    <t>Developing Customer Care Training Programme 2009 aimed at owner / managers to develope better skills to look after there customers and incurrage customer to do repeat business with them in the future.</t>
  </si>
  <si>
    <t>Dos &amp; Donts Employment Law 2009/M2</t>
  </si>
  <si>
    <t>Seminar on the Dos and Donts of Irish Employment law</t>
  </si>
  <si>
    <t>Enterprise Promotions PR Budget/Committee 2009/M2</t>
  </si>
  <si>
    <t>Enterprise Promotions PR Budget/Committee to promote national events such as National Womens Day/National Enterprise Awards and the general promotion of CEBs services. There are no admin costs included in this measure.</t>
  </si>
  <si>
    <t>Environmental Sustainabiltiy Seminar 7 May 2009/M2</t>
  </si>
  <si>
    <t>this is a business seminar for Businesses to adress how to be environmentally sustainable.</t>
  </si>
  <si>
    <t>Essential Selling Skills 2009/M2 Training</t>
  </si>
  <si>
    <t>Seminar for Businesses on developing their essential selling skills</t>
  </si>
  <si>
    <t>Cork Food Forum 2009/M2</t>
  </si>
  <si>
    <t>Networking Event - Jointly Hosted by Cork CEBs showcasing a number of successful Cork based Food businesses and addressed by key food Industry Speakers</t>
  </si>
  <si>
    <t>Grow your Profit Seminar/2009/M2 Training</t>
  </si>
  <si>
    <t>Seminar on Growing your profits and Increase your Cashflow for micro-enterprises</t>
  </si>
  <si>
    <t>Haccp Training Programme/2009/M2 Training</t>
  </si>
  <si>
    <t>Training Programme on HACCP implementation for food / catering micro-enterprises</t>
  </si>
  <si>
    <t>How to Get Paid on Time Training Programme 2009/ M2 Training</t>
  </si>
  <si>
    <t>How to Get Paid on Time Training Programme is for micro-enterprise on developing systems to impriove their chances of getting paid on time</t>
  </si>
  <si>
    <t>Idea Generation Workshops/2009/M2 Training</t>
  </si>
  <si>
    <t>A series of Idea Generation Workshops to stimulate and encourage people to develop and pursue their business ideas</t>
  </si>
  <si>
    <t>Marketing your way out of recession/2009/M2 Training</t>
  </si>
  <si>
    <t>Seminar for micro enterprises on developing marketing skills to allow them to adapt to the current recession</t>
  </si>
  <si>
    <t>Mentoring Programme 2009/M2</t>
  </si>
  <si>
    <t>West Cork Networks 2009 (SBN &amp; WIB) / M2</t>
  </si>
  <si>
    <t>Opportunities in China Seminar 2009/M2 Training</t>
  </si>
  <si>
    <t>Seminar examining opportunities in China for Irish West Cork based businesses</t>
  </si>
  <si>
    <t>PLATO West Cork Networking Group/2009/M2</t>
  </si>
  <si>
    <t>PLATO Programme Networking Group for West Cork Based Businesses</t>
  </si>
  <si>
    <t>Pricing Your Product/Service Seminar/2009/M2 Training</t>
  </si>
  <si>
    <t>Seminar for businesses examining the correct methods for the pricing of products &amp; services</t>
  </si>
  <si>
    <t>Promotional Material WCEB Services/2009/M2</t>
  </si>
  <si>
    <t>Promotion of a enterprise culture through the the publication and distribution of materials including newsletters, flyers and training schedules for businesses. This is related to ERDF activites and no admin costs are included.</t>
  </si>
  <si>
    <t>Public Relations Seminars 2009/M2 Training</t>
  </si>
  <si>
    <t>Seminars for Businesses on how to develop appropriate public relations plans for their businesses</t>
  </si>
  <si>
    <t>Recession Busting Sales &amp; Marketing Programme/2009/M2 Training</t>
  </si>
  <si>
    <t>Recession Busting Sales &amp; Marketing Business Development Programme for owner managers of micro enterprises</t>
  </si>
  <si>
    <t>Seafood Business Development Programme/2009-10/M2 Training</t>
  </si>
  <si>
    <t>Seafood Development Programme for businesses looking to add value to seafood products, develop sales and markets.</t>
  </si>
  <si>
    <t>Search Engine Optimisation Seminars/2009/M2 Training</t>
  </si>
  <si>
    <t>Series of Seminars assisting owner managers to develop skills in web usage and Searhc Engine optimisation</t>
  </si>
  <si>
    <t>Selling on the Internet 2009/M2 Training</t>
  </si>
  <si>
    <t>Series of Seminars giving owner managers skills in selling online</t>
  </si>
  <si>
    <t>Setting up an Online Shop/2009/M2 Training</t>
  </si>
  <si>
    <t>Seminar on Setting up an on line shop for owner managers of micro enterprises</t>
  </si>
  <si>
    <t>SHOP Exhibition &amp; Trade Event 2009/M2</t>
  </si>
  <si>
    <t>Sponsorship of Food Businesse to attend the SHOP National Food &amp; Drinks trade Event in RDS September 2009</t>
  </si>
  <si>
    <t>SIF ACE Project /2009/M2</t>
  </si>
  <si>
    <t>The SIF ACE project has worked to develop a range of educational programmes aimed at creating entrepreneurial graduates. A student Intern is supported and her role is to promoter entrepreneurship amongst CIT Students.</t>
  </si>
  <si>
    <t>Smart Selling Skills/2009/M2 Training</t>
  </si>
  <si>
    <t>Seminar assisting owner managers to develop and improve their selling skills</t>
  </si>
  <si>
    <t>Social Media Made Easy Seminar/2009/M2 Training</t>
  </si>
  <si>
    <t>Seminar assisting owner managers to develop and improve on methos of social networking such as Twitter, Blogging etc</t>
  </si>
  <si>
    <t>Sort My Books Accounts/2009/M2 Training</t>
  </si>
  <si>
    <t>Accounts Programmes in the package Sort My Books designed to make accounting easy for owner managers of micro enterprises</t>
  </si>
  <si>
    <t>Strategic Innovation Fund 2009/M2</t>
  </si>
  <si>
    <t>The SIF/ACE (Accelerating Campus Entrepreneurship) Programme is a third level enterprise education support to promote entrepreneurship mainly in the non-business disciplines within CIT (eg in the engineering and medical device schools etc)</t>
  </si>
  <si>
    <t>SYOB Programmes 2009/M2 Training</t>
  </si>
  <si>
    <t>Start Your Own Business Programmes aimed at anyone with a business idea or those running their own business</t>
  </si>
  <si>
    <t>Web Site Optimisation Seminars/2009/M2 Training</t>
  </si>
  <si>
    <t>Series of Seminars for owner managers of micro enterprises to develop skills in enhancing web site usage amongst cutomer base.</t>
  </si>
  <si>
    <t>Technical Marketing Assistance/WCCDG/2009</t>
  </si>
  <si>
    <t>Technical Marketign Assistance for a collective west Cork based Craft group to enable them to promote their pieces to potnential customers.</t>
  </si>
  <si>
    <t>Cork Meet Event 2009 /M2</t>
  </si>
  <si>
    <t>3-Day Joint Cork CEBs, Cork County Council and Cork Chamber International Networking Event, held Nov.11-13th, 2009 for SMEs. Over 350 businesses attended the event. www.corkmeet.ie</t>
  </si>
  <si>
    <t>Enterprise Education Programme to promoter self employment and entrepreneurship in Secondary Schools</t>
  </si>
  <si>
    <t>Enterprise Promotions PR Budget/Committee to promote national events such as National Womens Day/National Enterprise Awards and the general promotion of CEBs services. No admin costs included. Enterprise promotion relates exclusively to ERDF activity and is eligible for co-funding</t>
  </si>
  <si>
    <t>Mallow Development Partnership Forum 2009</t>
  </si>
  <si>
    <t>Mallow Development Partnership Forum phase 2 of the Marketing Mallow as a hub town for entrepreneurship and innovation going forward</t>
  </si>
  <si>
    <t>Maximising Your Business in Current Times 2009/M2 Training</t>
  </si>
  <si>
    <t>Training on Maximising your Business in the Current Downturn looking at all areas such as, finance,marketing, sales, staff,HR etc</t>
  </si>
  <si>
    <t>Mentoring Programme for grant assisted clients to enable one to alone assistance on pertinent business issues</t>
  </si>
  <si>
    <t>North Cork Networks 2009/M2</t>
  </si>
  <si>
    <t>Business Network for the North Cork area to allow networking opportunities to be developed and contacts to be made through a series of events.</t>
  </si>
  <si>
    <t>Promotational Material / Advertising for the promotation of an Enterprise Culture 2009/M2</t>
  </si>
  <si>
    <t>Promotional Material and Advertsing to promote training programmes, business seminars and other events to promote an enterprise culture and awarness and driving entrepreneurship and innovation. promotional material/advertising relates exclusively to ERDF activity and that no admin costs are included in this project all costs are eligible for co-funding.</t>
  </si>
  <si>
    <t>SYOB Programme 2009/M2 Training</t>
  </si>
  <si>
    <t>M2 Business Advisor Cost/M2</t>
  </si>
  <si>
    <t>M2 Business Advisors Costs for Year 2009/2010/2011</t>
  </si>
  <si>
    <t>Networking Event - Jointly Hosted by Cork CEBs showcasing a number of successful Cork based Food businesses and addressed by key food Industry Speakers_x000D_</t>
  </si>
  <si>
    <t>PLATO &amp; Cork North (Mitchelstown/Fermoy) Networking Group 2009/2010/M2</t>
  </si>
  <si>
    <t>Mitchelstown/Fermoy Networking group was set up to allow networking opportunities to be developed and contacts to be made through the networking groups.</t>
  </si>
  <si>
    <t>PLATO &amp; Cork North (Mallow/Charleville) Networking Group 2009/2010/M2</t>
  </si>
  <si>
    <t>Mallow &amp; Charleville Networking Group was set up to allow networking opportunities to be developed and contacts to be made through the networking groups.</t>
  </si>
  <si>
    <t>Mitchelstown Enterprise Awareness Forum 2009/M2</t>
  </si>
  <si>
    <t>The forum was set up to promote and develope enterprise awareness and drive entrepreneurship and innovation in the Mitchelstown and surrounding areas</t>
  </si>
  <si>
    <t>Driving Entrepreneurship &amp; Innovation Mentoring 2009/M2</t>
  </si>
  <si>
    <t>One-2-one mentoring with start up clients to develope their entrepreneurship and innovation skills to develope their businesses</t>
  </si>
  <si>
    <t>OneLook Systems Ltd/ Pref. Sh</t>
  </si>
  <si>
    <t>Innovative Software Solutions for use in Facilities Management of large Multi-national Industrial sites</t>
  </si>
  <si>
    <t>Macroom Oatmeal Mills/Cap</t>
  </si>
  <si>
    <t>Manufacture of Oatmeal Products - supported with Capital Equipment costs</t>
  </si>
  <si>
    <t>EMOH/ Pref. Sh</t>
  </si>
  <si>
    <t>OneLook Systems Ltd/BE</t>
  </si>
  <si>
    <t>Innovative Software Solutions for use in Facilities Management of large Multi-national Industrial sites. Capital &amp; Salary Cost grants</t>
  </si>
  <si>
    <t>MyTown Web Ltd/BP</t>
  </si>
  <si>
    <t>Innovative Internet Directory/Portal Website Software Development business._x000D_Eligible Costs Priming: Salary Costs €10,000</t>
  </si>
  <si>
    <t>Delicious Gourmet Foods /BE</t>
  </si>
  <si>
    <t>Manufacture of Gluten &amp; Wheat free Cakes &amp; Breads._x000D_ Eligible Expansion Cost: _x000D_- Salary for 1st year of employment_x000D_- Capital Costs _x000D_- Marketing Costs _x000D_- Consultancy Costs</t>
  </si>
  <si>
    <t>Cork Council /BE</t>
  </si>
  <si>
    <t>SCEB Contribution towards the Refurbishment/Upgrading of Council owned units in Carrigaline to Food Grade standard for use by SCEB Food clients in the area of South Cork._x000D_Eligible Expansion Costs: Capital € 75,000</t>
  </si>
  <si>
    <t>Sinisa Vukicevic /BP</t>
  </si>
  <si>
    <t>Services for Integrated and coordinated Regional planning mapping for local Authorities._x000D_Eligible Priming Costs:_x000D_- Salary costs for 1st year of Employment €15,000_x000D_- Capital Costs €1,975_x000D_</t>
  </si>
  <si>
    <t>Sport-Text.com/BP</t>
  </si>
  <si>
    <t>Innovative Text Communication Services via the Mobile Phone and Internet for the Pleasure/Leisure and Sports Team market. _x000D_Eligible Priming Costs:_x000D_- Salary Cost for 1st Year of Employment €10,000_x000D_- Capital Costs €1,500_x000D_- Marketing Costs €7,500_x000D_</t>
  </si>
  <si>
    <t>Web Optimisation /M2</t>
  </si>
  <si>
    <t>Computers and Information Technology Training on Website Optimisation for clients who have an online website and who want to get more from their site which can lead to more sales and profits.</t>
  </si>
  <si>
    <t>Mentoring 6021 Q2/M2</t>
  </si>
  <si>
    <t>Mentoring of Clients - Initial start-up mentoring. Quarter 2</t>
  </si>
  <si>
    <t>Basics of Selling on eBay /M2</t>
  </si>
  <si>
    <t>Computers and Information Technology Training on Basics of Selling on eBay on the internet, the clients were from the Information Technology, Food, Craft, Engineering and Industrial sectors.</t>
  </si>
  <si>
    <t>Insufficient Funds - You or Your Bank /M2</t>
  </si>
  <si>
    <t>Financial Training for businesses who are facing working capaital funding shortages</t>
  </si>
  <si>
    <t>Finance for non Financial Managers /M2</t>
  </si>
  <si>
    <t>Financial Training for  non Financial Managers</t>
  </si>
  <si>
    <t>Pricing it 'Right' /M2</t>
  </si>
  <si>
    <t>Financial Training for businesses around pricing their product or service.</t>
  </si>
  <si>
    <t>Possibility 2009 /M2</t>
  </si>
  <si>
    <t>Personal Development Training for start businesses to explore new opportunities in the marketplace.</t>
  </si>
  <si>
    <t>Franchising/M2</t>
  </si>
  <si>
    <t>Specialised Training on how businesses could Franchise their product or service. Clients who had products and services who wanted to get them franchised and who were interested in taking out new franchises.</t>
  </si>
  <si>
    <t>Macroom E Business Bus. Dev. /M2</t>
  </si>
  <si>
    <t>Management Development Training Programme for clients based in Macroom E enterprise centre, the training covers HR, Strategic Planning, Financial Mangement,Strategic Marketing and Selling.</t>
  </si>
  <si>
    <t>Doing Business in China /M2</t>
  </si>
  <si>
    <t>Information event which covered businesses who are interested in looking at sourcing raw materials to decrease their costs and also looking at export opportunities to China.</t>
  </si>
  <si>
    <t>Network of Enterprising Women /M2</t>
  </si>
  <si>
    <t>The Board host regular networking events to facilitate women in business introductions and have invited guest speakers to address the network to share their experiences of running a successful business.</t>
  </si>
  <si>
    <t>Sage 50 Accounts /M2</t>
  </si>
  <si>
    <t>Financial Training on Sage 50 accounting package for clients.</t>
  </si>
  <si>
    <t>GreenShoots /M2</t>
  </si>
  <si>
    <t>Management Development Training programme for businesses who have setup new businesses in the Macroom area, training on Business Plans, Marketing, Selling skills and HR.</t>
  </si>
  <si>
    <t>National Enterprise Awards /M2</t>
  </si>
  <si>
    <t>The National Enterprise Awards that are hosted in Dublin Castle every year to promote enterprise culture for micro-enterprises</t>
  </si>
  <si>
    <t>Cork Meet Website /M2</t>
  </si>
  <si>
    <t>Website development of the Cork Meet networking event which brought together local, national and international business people to exchange contact details and setup business meeting during the event.</t>
  </si>
  <si>
    <t>Local Networks /M2</t>
  </si>
  <si>
    <t>Promotion and the development of the Food, Craft, Iinformation Technology  networks.</t>
  </si>
  <si>
    <t>Soho Solo Network /M2</t>
  </si>
  <si>
    <t>Soho Solo is the businesses who operate from home called the small office home office (soho), it's the bring together of these businesses to share ideas and contact details.</t>
  </si>
  <si>
    <t>SMILE Network 6126 /M2</t>
  </si>
  <si>
    <t>The smile network is based on the principle one business's waste or unused resource could become another business's raw material.</t>
  </si>
  <si>
    <t>Organisation Membership /M2</t>
  </si>
  <si>
    <t>Membership of key organisation that support the boards in the further development of clients needs.The clients require support from very specific organisations such as the IEA (IEA stands for the Irish exporter association, which provides local training seminars and events to give our client a greater focus on exporting their products and services) and other important organisations.</t>
  </si>
  <si>
    <t>Futurallia Network /M2</t>
  </si>
  <si>
    <t>Network for clients of the boards to attend international networking business events in Europe.The cost included travel and subsistance of the clients costs.</t>
  </si>
  <si>
    <t>Bus. Advisor 6020 /M2</t>
  </si>
  <si>
    <t>Acumenx Ltd/BP</t>
  </si>
  <si>
    <t>Telecommunications Services Business which provides software development services to Telecommunications providers, Supported with Capital and Marketing grants</t>
  </si>
  <si>
    <t>Apple n Eve Ltd/BP</t>
  </si>
  <si>
    <t>Craft Manufacturer, developed a new range of Philip Gray's(renowned Irish artist/designer) designs for the domestic market - Female promoter returning to the workplace</t>
  </si>
  <si>
    <t>Asterion Software Ltd/BE</t>
  </si>
  <si>
    <t>Software development business for the retail services sector which provides loyalty card systems/solutions for retailers,supported salary cost for the promoter</t>
  </si>
  <si>
    <t>Atlantic Flight Training Ltd/BE</t>
  </si>
  <si>
    <t>Flight Training School for training pilots,Supported the purchase of a new flight simulator for the school</t>
  </si>
  <si>
    <t>Business Software Solutions/FIG</t>
  </si>
  <si>
    <t>The promoter developed a new software application to support food product distribution.</t>
  </si>
  <si>
    <t>Cork Distribution Company/BE</t>
  </si>
  <si>
    <t>Food Distributor/Producer of a new breakfast serial range, supported 1 salary costs job.</t>
  </si>
  <si>
    <t>DirecteBooks Ltd/BE</t>
  </si>
  <si>
    <t>Digital book publishing company that enables book publisher get their books sold online, Salary cost grant</t>
  </si>
  <si>
    <t>Airdryer Systems FIG</t>
  </si>
  <si>
    <t>Innovative new domestic clothes drying device using electrical airfans, supported with Feasibility Study</t>
  </si>
  <si>
    <t>Fortewave Technologies/BP</t>
  </si>
  <si>
    <t>Software applications development business targeting the aivation and travel sector - International traded services, supported on salary,Marketing and Consultancy costs</t>
  </si>
  <si>
    <t>GTI Ltd/FIG</t>
  </si>
  <si>
    <t>Investigating the feasibility of alternative sources of enargy using solar technology as a means to producing electricity - Supported with Feasibility grant</t>
  </si>
  <si>
    <t>Health E Scan/FIG</t>
  </si>
  <si>
    <t>Investigating alternative means of remotely monitoring health related illnesses using the latest technology - Supported with Feaibility grant</t>
  </si>
  <si>
    <t>Hello France Ltd/BE</t>
  </si>
  <si>
    <t>A Travel business with European destination accommodation sites that targeted the online travel market in the UK - International Services, supported with a Marketing grant to develop the UK website</t>
  </si>
  <si>
    <t>In For Lunch Ltd/BE</t>
  </si>
  <si>
    <t>A Sandwich producer expanding the business with investment automating production to increase capacity</t>
  </si>
  <si>
    <t>Irish Telecoms/BP</t>
  </si>
  <si>
    <t>A Telecommunication business providing corporate data connection and high speed Broadband to it's customers. Capital &amp; Salary Grants</t>
  </si>
  <si>
    <t>KEMCO Innovations/BP</t>
  </si>
  <si>
    <t>Social media website for hobbies,International Traded Services business</t>
  </si>
  <si>
    <t>Lumos Solution Ltd/BE</t>
  </si>
  <si>
    <t>Electronic devices solution provider- International Traded Services provides Medical device businesses industrial engineering solutions, supported with Capital and Marketing costs</t>
  </si>
  <si>
    <t>Milestone Automation/BE</t>
  </si>
  <si>
    <t>International Traded srevices business, supply engineering expertise to Life Science &amp; FMCG sector</t>
  </si>
  <si>
    <t>ODG Technologies/BE</t>
  </si>
  <si>
    <t>Manufacture innovative electronic devices for health &amp; safety sector- Supported Salary/Marketing Costs</t>
  </si>
  <si>
    <t>R&amp;D Slua Ltd/BP</t>
  </si>
  <si>
    <t>Online auction website,matching buyers &amp; sellers-supported Capiatal &amp; Marketing costs</t>
  </si>
  <si>
    <t>Sean Hyde/FIG</t>
  </si>
  <si>
    <t>Investigating the feasibility of development of a marina in Cork's lower harbour to support tourism</t>
  </si>
  <si>
    <t>Innovative contact management systems for sports clubs based on SMS texting using Mobile phone &amp; PC</t>
  </si>
  <si>
    <t>Stylite Design/BE</t>
  </si>
  <si>
    <t>Wheelchair manufactoring ,Expanding the business into Northern Ireland-Supported Salary Cost.</t>
  </si>
  <si>
    <t>Tender Flow/BP</t>
  </si>
  <si>
    <t>Online tendering website for the ICT sector, International Traded Services Business -supported salary costs</t>
  </si>
  <si>
    <t>The CanvasWorks/BE</t>
  </si>
  <si>
    <t>eBusiness website for printing photographic images on canvas, International Traded services -supported Capital costs.</t>
  </si>
  <si>
    <t>Expanding the full time monessori school for children between the ages of 2 and 5 years - creation of an additional full time job</t>
  </si>
  <si>
    <t>TankLok Ltd /Emp</t>
  </si>
  <si>
    <t>TankkLock is a business installing commercial and domestic oil tank security device</t>
  </si>
  <si>
    <t>Bere Island Commercial Divers/Cap</t>
  </si>
  <si>
    <t>Bere Island Commercial Divers concentrates on inshore diving projects which support civil engineering or commercial marine-related projects, fish farming maintenance work and salvage operations.</t>
  </si>
  <si>
    <t>Glanmara Ltd/FIG</t>
  </si>
  <si>
    <t>carrying out a feasibility study on the manufacturing and distilling an alcohol product called Drombeg Premium Irish Spirit in Union Hall, West Cork</t>
  </si>
  <si>
    <t>Granite Media Group/BP</t>
  </si>
  <si>
    <t>Expansion of the business developing internet marketing/retailing intelligence. Positions created in web, marketing and management</t>
  </si>
  <si>
    <t>Harvest Films/BE</t>
  </si>
  <si>
    <t>Expansion of Harvest Films business which is involved in a range of film making activities, specifically documentaries. Purchase of various camera _x000D_
equipment &amp; associated items &amp; editing equipment</t>
  </si>
  <si>
    <t>Irish Atlantic Salt Ltd/FIG</t>
  </si>
  <si>
    <t>carrying out a feasibility study on the production and marketing and achieving significant sales for a Beara produced sea sea product. Expenditure was for Consultancy/Marketing Packaging and prototype/Inn.</t>
  </si>
  <si>
    <t>Lilly's Eco Clean Ltd/BE</t>
  </si>
  <si>
    <t>Expansion of the Lilly's Eco Clean business which manufacturers a wide range of toxic free eco friendly household cleaning products.</t>
  </si>
  <si>
    <t>Nosey Rosie and Friends/BP</t>
  </si>
  <si>
    <t>specialising in the production of a range of a branded collection of children books, gift sets, associated clothing under the one brand of a new childrens character Nosey Rosie &amp; Friends</t>
  </si>
  <si>
    <t>Robert Lee Ceramics/BE</t>
  </si>
  <si>
    <t>Robert Lee Ceramics makes a range of hand made ceramic products using porcelain clay including bowls, vases, dinner sets, milk &amp; cream sets and mugs. In addition he does once off products for clients on an individual basis.</t>
  </si>
  <si>
    <t>Tailten Games &amp; Puzzles Ltd/CAP</t>
  </si>
  <si>
    <t>Capital assistance for the purchase of design equipment to assist with new product development to allow for sales growth and business expansion in UK and US markets.</t>
  </si>
  <si>
    <t>Tailten Games and Puzzles Ltd/BE</t>
  </si>
  <si>
    <t>Expansion of the business in design, manufacture, wholesale and retail of traditional and electronic board games, jigsaw puzzles brain teasers and gifts.</t>
  </si>
  <si>
    <t>Cork Meet Event 2009 / M2</t>
  </si>
  <si>
    <t>Small Exporters Support Scheme 2009 / M2</t>
  </si>
  <si>
    <t>Cork Schools Enterprise Programme 2010/2011/M2</t>
  </si>
  <si>
    <t>Advanced Food Programme 2010/M2 Training</t>
  </si>
  <si>
    <t>Big Red Book Training Programme 2010/M2 Training</t>
  </si>
  <si>
    <t>Training - WCEB provided training for owners/Manager who wanted to use the Big Red Book Accounting Software system within there business and move away from the manual big red books system.</t>
  </si>
  <si>
    <t>CAD Cork Craft Month August 2010/M2</t>
  </si>
  <si>
    <t>Enterprise Promotion: Cork Craft Month involving over 200 craft makers from across the County It is the first major programme of applied arts and craft events for the County, bringing together ceramicists, jewellers, textile-workers, furniture-makers, wood turners, paper and felt makers, sculptors and many more. The month comprises of a huge range of exhibitions, fairs and open studios, and a plethora of "hands on" events and workshops.</t>
  </si>
  <si>
    <t>CIT Innovation Programme 2010/M2</t>
  </si>
  <si>
    <t>Cork Food Forum 2010/M2</t>
  </si>
  <si>
    <t>Cork Meet Event 2010 / M2</t>
  </si>
  <si>
    <t>3-Day Joint Cork CEBs, Cork County Council and Cork Chamber International Networking Event, took place from 6th to 8th October 2010 for SMEs. Over 413 businesses attended the event. www.corkmeet.ie</t>
  </si>
  <si>
    <t>Enterprise Month - March 2010/M2</t>
  </si>
  <si>
    <t>Enterprise Promotion: Cork Enterprise Month is a concept that was developed in order to highlight the wide and comprehensive range of Enterprise related initiatives that are being promoted by the County and City Enterprise Boards in Cork during the month of March</t>
  </si>
  <si>
    <t>FUTURALLIA 2010 - Poitiers, France / M2</t>
  </si>
  <si>
    <t>Mentoring Programme 2010/M2</t>
  </si>
  <si>
    <t>National Women's Enterprise Day 18 Nov 2010 / M2</t>
  </si>
  <si>
    <t>Enterprise Promotion: A National Women's Enterprise Event held in Limerick on 18 Nov 2010 to promote women enterpreurers and discuss issue women have running there own businesses</t>
  </si>
  <si>
    <t>West Cork Networks 2010 / M2</t>
  </si>
  <si>
    <t>West Cork Network is a forum for SMEs to meet on a regular basis, to network, share info and contacts and generate business. A number of Network Events are held for SMEs in West Cork throughout the year and one event is specially aimed at women in business.  Events usually had a guest speaker and networking activity.</t>
  </si>
  <si>
    <t>On Line Marketing Training Programme 2010 / M2 Training</t>
  </si>
  <si>
    <t>On Line Marketing Training Programme provides participants with an excellent insight into the latest innovations of online marketing including: search engines &amp; your website, blogging, search advertising, LinkedIn, Facebook, Twitter and YouTube. Learning how to integrate these tools into their marketing plan as new and inexpensive ways to market their business and increase sales.</t>
  </si>
  <si>
    <t>Promotional Enterprise Culture /WCEB Services/2010/M2</t>
  </si>
  <si>
    <t>Promotion of an enterprise culture through the publication and distribution of materials including newsletters, flyers and training schedules for businesses. This is related to ERDF activates and no admin costs are included.</t>
  </si>
  <si>
    <t>SHOP Exhibition &amp; Trade Event 2010/M2</t>
  </si>
  <si>
    <t>Sponsorship of Food Businesse to attend the SHOP National Food &amp; Drinks trade Event in RDS September 2010</t>
  </si>
  <si>
    <t>Showcase Ireland RDS 24-27 Jan 2010/M2</t>
  </si>
  <si>
    <t>Showcase is an event held in the RDS, Dublin from 24-27 Jan 2010 for Ireland's finest up-and-coming craftspeople.  Showcasing ceramics, fashion, jewellery, woodturning, glassware, textiles, sculpture and fine art.</t>
  </si>
  <si>
    <t>Sourcing Funding and Dealing with the Banks2010/M2 Training</t>
  </si>
  <si>
    <t>Providing participants with sound understanding of what is required from banks in order to maximise the potential of a successful funding application to a bank AND an up-to-date position of the various banks in the Irish banking market as to their lending norms, fees and margins and documentation requirements.</t>
  </si>
  <si>
    <t>Steps to Setting Up Your Own Business 2010/M2 Training</t>
  </si>
  <si>
    <t>Thinking about starting your own business. If you don't have a business idea in mind yet or are not sure what running your own business fully entails, then this is an ideal seminar for you. This seminar covers the basics of what's involved when starting your own business including: idea generation, market research, business planning and steps to starting a business.</t>
  </si>
  <si>
    <t>SYOB Programmes 2010/M2 Training</t>
  </si>
  <si>
    <t>Adaptive Lighting /BP</t>
  </si>
  <si>
    <t>Adaptive Lighting market and manufacture products that combine light emitting diodes (LEDS) with PCBs to build high-tech devices for specific applications such as inspection systems for automated production lines.</t>
  </si>
  <si>
    <t>Claddagh Lane Ltd/BP</t>
  </si>
  <si>
    <t>The Business Sells Quality Goods such as Waterford Crystal, Belleek, Wedgewood, Genesis, Mullingar Pewter etc. All Products are sold online. this is an internationally traded service( 3 Employment Grants)</t>
  </si>
  <si>
    <t>D2D Gateway/BP</t>
  </si>
  <si>
    <t>D2D Gateway. Com is an online system for buying and selling current, slow moving and obsolete vehicle parts. The product allows motor dealers to automatically upload their parts stock to a central database to be viewed by all other registered and nonregistered dealers and the general public. The upload is run by software developed by the promoters that takes a list of a dealers parts. Employment Grants</t>
  </si>
  <si>
    <t>GreenValet/BP</t>
  </si>
  <si>
    <t>Green Valet Ireland Ltd provides an organic, waterless car wash, wax &amp; seal using such a product. It is thought throughout the world that water is neccesary to clean your cars, boats and planes.Capital</t>
  </si>
  <si>
    <t>Seek Internet Solutions/BP</t>
  </si>
  <si>
    <t>Website Designers based in Fermoy. Domain Name Registered for Businesses.2 Employment Grants.</t>
  </si>
  <si>
    <t>Slidofloor/FIG</t>
  </si>
  <si>
    <t>Sliding Floors for Motor Vehicles. The processes in manufacture of Slido Floor are cutting, welding, assembly and fitting.</t>
  </si>
  <si>
    <t>Thermosafe Brands Europe/BP</t>
  </si>
  <si>
    <t>Thermosafe are a US Company providing Temperature Assurance Packaging to the Pharmaceutical and Biotech industries. They are now bases in Quartertown Industrail Estate Mallow. Employment Grants</t>
  </si>
  <si>
    <t>12 Steps Seminar/M2 Training</t>
  </si>
  <si>
    <t>2010/ 12 Steps to Becoming Self Employed Pre Start Your Own Business Course</t>
  </si>
  <si>
    <t>Advanced Food Programme 2010/ M2 Training</t>
  </si>
  <si>
    <t>2010/ Advanced Food Programme for established Food Companies with Workshops, Mentoring on Sales &amp; marketing, Branding.</t>
  </si>
  <si>
    <t>CIT Innovation Day 2010/ M2</t>
  </si>
  <si>
    <t>Computerised Bookkeeping 2010/M2 Training</t>
  </si>
  <si>
    <t>2010/ Computerised Bookkeeping for small to medium business. Uploaded software on business computers.</t>
  </si>
  <si>
    <t>2010/ Cork Food Forum, A network and information forum for the food industry</t>
  </si>
  <si>
    <t>2010/ Cork Schools Enterprise Programme for transition year students</t>
  </si>
  <si>
    <t>Cork Meet Event 2010/M2</t>
  </si>
  <si>
    <t>2010/ Corkmeet 2010 international networking event</t>
  </si>
  <si>
    <t>Employment Law Seminar 2010/M2 training</t>
  </si>
  <si>
    <t>2010/ Employment Law 2010  Human Resource training for Business Owners/ Managers. one day training</t>
  </si>
  <si>
    <t>Enterprise Month 2010/M2</t>
  </si>
  <si>
    <t>2010/ Enterprise Month 2010. All boards joined together to promote enterprise in Cork</t>
  </si>
  <si>
    <t>Five Steps to Becoming self employed Seminar 2010/ M2 training</t>
  </si>
  <si>
    <t>2010/ Five Steps to becoming self employed Seminar 2010. Pre Start Your Own Business Course</t>
  </si>
  <si>
    <t>How to get paid on tuime Seminar 2010/M2 training</t>
  </si>
  <si>
    <t>2010/ How to get paid on time Training Course. provided participants tip on how to get paid quicker from their customers. For Small to Medium Businesses</t>
  </si>
  <si>
    <t>Management Development Programme 2010/M2 Training</t>
  </si>
  <si>
    <t>2010/ Management Development Programme 2010. For business 2 years plus a traing programme to helf their business grow and to get a better understanding of their business</t>
  </si>
  <si>
    <t>Marketing seminar 2010/M2 training</t>
  </si>
  <si>
    <t>2010/ Marketing Training Programme 2010._x000D__x000D_ One day Taining Course given to business people on how to market their products</t>
  </si>
  <si>
    <t>2010/ Mentoring 2010. Mentoring new and existing Businesses</t>
  </si>
  <si>
    <t>National Womens Enterprise Day 2010/M2</t>
  </si>
  <si>
    <t>2010/National Womens Enterprise Day 2010. National Womens Networking day in limerick.Paid Clients Participation Fees</t>
  </si>
  <si>
    <t>North Cork Networking Event March 2010/M2</t>
  </si>
  <si>
    <t>2010/ Speednetworking events held in North Cork for businesses in North Cork that helped them make new contacts</t>
  </si>
  <si>
    <t>Sales Master-Class Millstreet 2010/M2 Training</t>
  </si>
  <si>
    <t>2010/ Sales Master Class 2010 in Millstreet. A training programme to advise business owners and managers to sell more.</t>
  </si>
  <si>
    <t>Search Engine Optimisation 2010/M2 Training</t>
  </si>
  <si>
    <t>2010/ Search Engine Optimisation 2010 was a course we ran to help business people to get their Website on page one of Google.</t>
  </si>
  <si>
    <t>Social Media &amp; Online Marketing Training 2010/M2 Training</t>
  </si>
  <si>
    <t>2010/ Social Media &amp; Online Marketing Training 2010. How to trade on line and how to promote your business online.</t>
  </si>
  <si>
    <t>Sort My Books Programme 2010/M2 Training</t>
  </si>
  <si>
    <t>2010/ Sort My Books Programme 2010. A computerised Bookkeeping Package for small to medium Bisinesses.</t>
  </si>
  <si>
    <t>SYOB Programme 2010/M2 Training</t>
  </si>
  <si>
    <t>2010/ Start Your Own Business Programme 2010. An 8 Week Training Programme for people setting up their own Business in North Cork. They compile a Business Plan on the Programme for their Business</t>
  </si>
  <si>
    <t>Website Optimisation Training 2010/M2 Training</t>
  </si>
  <si>
    <t>2010/ Website Optimisation Training 2010. A course to show how to get the most out out your website and how to optimise in order to get an early page on Google</t>
  </si>
  <si>
    <t>AirDryer Systems PG</t>
  </si>
  <si>
    <t>Manufactures cloths drying devices for sale to the Domestic Market - Supported with Salary cost and Capital funding</t>
  </si>
  <si>
    <t>Business &amp; Law 6010/M2</t>
  </si>
  <si>
    <t>Business &amp; Law Human resources training course to help participants understand business laws and compliance for their business.</t>
  </si>
  <si>
    <t>Employer Obligations /M2</t>
  </si>
  <si>
    <t>Training course for clients who want to learn more about an employers obligations to it's staff.</t>
  </si>
  <si>
    <t>Social Media 6019 /M2</t>
  </si>
  <si>
    <t>Training course for clients that want to learn more about how to use the internet to market and promote their business using facebook/twitter and blogs</t>
  </si>
  <si>
    <t>Website Training 6023/M2</t>
  </si>
  <si>
    <t>Training course on online website publishing, giving the participants a greater understanding of their websites and the questions to ask their web publishers.</t>
  </si>
  <si>
    <t>Creative Marketing 6037/M2</t>
  </si>
  <si>
    <t>Training course for clients who want to learn more about how to run effective marketing campaigns on a shoestring budget</t>
  </si>
  <si>
    <t>Tender Successfully</t>
  </si>
  <si>
    <t>Training course to enable clients to successfully win tenders that they apply for</t>
  </si>
  <si>
    <t>Taxation &amp; Vat /M2</t>
  </si>
  <si>
    <t>Training course for clients to learn more about how to manage their tax and vat affairs</t>
  </si>
  <si>
    <t>Managing Cashflow/M2</t>
  </si>
  <si>
    <t>Training course for clients who want to learn more about managing their cashflow to run their business</t>
  </si>
  <si>
    <t>Pricing Your Product/M2</t>
  </si>
  <si>
    <t>Training course for clients who want to better understand the process of setting the correct price for their product and service. 6043</t>
  </si>
  <si>
    <t>Ideas Generation /M2</t>
  </si>
  <si>
    <t>Training course for clients who are unsure as yet what type of business they want to setup, the course gives them new ideas and helps them research the ideas to see if they are feasible.</t>
  </si>
  <si>
    <t>Increase Your Sales /M2</t>
  </si>
  <si>
    <t>Training course for clients who want to increase their sales revenue, the course looks at new ways of selling products and services</t>
  </si>
  <si>
    <t>Branding Programme 6047/M2</t>
  </si>
  <si>
    <t>Training course clients who want to improve their product/service brand to help increase brand recognition and awareness</t>
  </si>
  <si>
    <t>PR Programme 6048/M2</t>
  </si>
  <si>
    <t>Training course for clients on Public Relations for their business, exploring best ways of getting free/paid publicity for their business</t>
  </si>
  <si>
    <t>Mentoring Q1 6181/M2</t>
  </si>
  <si>
    <t>Mentoring of clients, the initial training for clients on setup of their own business (Quarter 1)</t>
  </si>
  <si>
    <t>DPOD Engineering Ltd/BP</t>
  </si>
  <si>
    <t>Expansion of an engineering business providing specialised engineering services to the agri/local government sector.</t>
  </si>
  <si>
    <t>Durrrus Farmhouse Cheese/BE</t>
  </si>
  <si>
    <t>Expansion of a farmhouse cheese manufactuer with the introduction of a new pasteurised product</t>
  </si>
  <si>
    <t>Glanmara Limited/PG</t>
  </si>
  <si>
    <t>Establishment of a business manufacturing a range of Irish blended spirit &amp; whiskey products aimed at the export market</t>
  </si>
  <si>
    <t>J H Wind Turbines Ltd/PG</t>
  </si>
  <si>
    <t>Estbalishment of a business importing &amp; reconditioning large wind turbines for resale to the domestic and export market</t>
  </si>
  <si>
    <t>Twelve Cows Arts Limited/BE</t>
  </si>
  <si>
    <t>Establishment of a business manufacturing fine bronze cast pieces from the Rynhart collection for the deomestic &amp; export market</t>
  </si>
  <si>
    <t>Cork Schools Enterprise Programme 2011/2012/M2</t>
  </si>
  <si>
    <t>Enterprise Education Programme aimed at Transitional Year pupils seeking to expolore entrepreneurship</t>
  </si>
  <si>
    <t>Advanced Food Programme 2011/M2 Training</t>
  </si>
  <si>
    <t>Big Red Book Training Programme 2011/M2 Training</t>
  </si>
  <si>
    <t>Training - WCEB provided training for owners/Manager who wanted to use the Big Red Book Accounting Software system within there business and move away from the manual big red books system</t>
  </si>
  <si>
    <t>Business Start Programme 2011/M2 Training</t>
  </si>
  <si>
    <t>Advanced business development programme for start ups involving training mentoring technical assistance and hot desk facility.</t>
  </si>
  <si>
    <t>CIT Innovation Programme 2011/M2</t>
  </si>
  <si>
    <t>CIT ACE Project 2011/M2</t>
  </si>
  <si>
    <t>Student Entrepreneurship promotion</t>
  </si>
  <si>
    <t>CCC Public Procurement Networking 2011/M2</t>
  </si>
  <si>
    <t>Joint Information &amp; Networking Event with Cork County Council aimed at CEB clients to make aware and provide information to SMEs considering tendering to the Local Auhtority Public Procurement system.</t>
  </si>
  <si>
    <t>Commercial Website Grants 2011/M2</t>
  </si>
  <si>
    <t>Cork Food Forum 2011/M2</t>
  </si>
  <si>
    <t>Joint CEB Initiative for the Cork Food Sector bringing together relevant speakers, a small food producers showcase and networking opportunities for those involved in the food indsutry.</t>
  </si>
  <si>
    <t>Cork Food Strategy 2011/M2</t>
  </si>
  <si>
    <t>Joint CEB &amp; CCC Initiative to develop a joint Food Strategy for Cork County to coordinate services to all food producers in the region.</t>
  </si>
  <si>
    <t>Cork Meet Event 2011/M2</t>
  </si>
  <si>
    <t>3-Day Joint Cork CEBs, Cork County Council and Cork Chamber International Networking Event, took place in October 2011 for SMEs. Over 500 businesses attended the event. www.corkmeet.ie</t>
  </si>
  <si>
    <t>Enterprise Month - March 2011/M2</t>
  </si>
  <si>
    <t>Find Your Start Up Business Focus Training Programme 2011/M2 Training</t>
  </si>
  <si>
    <t>This training programme is designed for anyone struggling to come up with a business idea and similarly beneficial for people who have too many ideas and are unsure how to assess their value. If you already have an idea, it will guide you in how to view it from different angles and take the first steps to assess market conditions. Also to help you find your focus and get a fresh perspective on your direction.</t>
  </si>
  <si>
    <t>Genesis Enterprise Programme 2011/M2</t>
  </si>
  <si>
    <t>Genesis: Contribution towards the operation of the Genesis Programme which is an accelerated Business Development Programme run by CIT on behalf of Enterprise Ireland and CEBs</t>
  </si>
  <si>
    <t>GOOGLE INITIATIVE- Getting Your Business OnlineTraining2011/M2/Training</t>
  </si>
  <si>
    <t>The County &amp; City Enterprise Boards, An Post and Blacknight have teamed up with Google to target the 40% of Irish SMEs and sole traders that do not have a website or an online presence. West Cork CEB will roll out a series of training programmes that will help you to create your FREE website and learn how to attract new business leads online.www.gettingbusinessonline.ie</t>
  </si>
  <si>
    <t>Grow your Profit  Training Prog 2011/M2 Training</t>
  </si>
  <si>
    <t>Training Programme on Growing your profits and Increase your Cashflow for micro-enterprises</t>
  </si>
  <si>
    <t>Search Engine Optimisation Training Programme/2011/M2 Training</t>
  </si>
  <si>
    <t>This training programme assists owner managers to develop skills and upskill themselves in web usage and Search Engine optimisation</t>
  </si>
  <si>
    <t>Human Resource Management for Small Business 2011/M2 Training</t>
  </si>
  <si>
    <t>This up skilling training  programme is ideal for small business owner/managers who employ staff or who are thinking about taking on staff. It will cover employment law and compliance, as well as performance management and disciplinary skills.  By the end of the programme your business should have all of the required HR documentation to you via sample policies and templates and you will be better equipped to manage your team.</t>
  </si>
  <si>
    <t>Mentoring Programme 2011/M2</t>
  </si>
  <si>
    <t>On Line Marketing Training Programme 2011 / M2 Training</t>
  </si>
  <si>
    <t>Web Site Optimisation  Training Programme/2011/M2 Training</t>
  </si>
  <si>
    <t>Training Programme for owner managers of micro enterprises to up skill in enhancing web site usage amongst cutomer base.</t>
  </si>
  <si>
    <t>Promotional Enterprise Culture /WCEB Services/2011/M2</t>
  </si>
  <si>
    <t>Raising &amp; managing funds for your small business Training Programmes /M2 Training</t>
  </si>
  <si>
    <t>Training Programme provides participants with the sources and tools to best manage existing funding, raise external finance,Skills in writeing a business plan, crucial to raising finance from any source</t>
  </si>
  <si>
    <t>Setting up an Online Shop/2011/M2 Training</t>
  </si>
  <si>
    <t>Training Programme on Setting up and managing an on line shop for owner managers of micro enterprises</t>
  </si>
  <si>
    <t>SHOP Exhibition &amp; Trade Event 2011/M2</t>
  </si>
  <si>
    <t>Sponsorship of Food Businesses to attend the SHOP National Food &amp; Drinks trade Event in RDS September 2011</t>
  </si>
  <si>
    <t>Showcase Ireland RDS Jan 2011/M2</t>
  </si>
  <si>
    <t>Showcase is an event held in the RDS, Dublin, Jan 2011 for Ireland's finest up-and-coming craftspeople. Showcasing ceramics, fashion, jewellery, woodturning, glassware, textiles, sculpture and fine art.</t>
  </si>
  <si>
    <t>Showcase Ireland RDS Jan 2012/M2</t>
  </si>
  <si>
    <t>Showcase is an event held in the RDS, Dublin from 24-27 Jan 2012 for Ireland's finest up-and-coming craftspeople. Showcasing ceramics, fashion, jewellery, woodturning, glassware, textiles, sculpture and fine art</t>
  </si>
  <si>
    <t>Small Exporters Support Scheme 2011 / M2</t>
  </si>
  <si>
    <t>Smart Marketing For Small Businesses Training Programmes 2011/M2 Training</t>
  </si>
  <si>
    <t>This training Programme is for owner/manager of small businesses or for key personnel within the small business to upskill themselves in looking after marketing, you will learn all you need to know to make sure you have a marketing plan in place for your business for the year ahead. Marketing does'nt have to be expensive and this will guide you through the various tools available for your small business.</t>
  </si>
  <si>
    <t>SMILE Resource Exchange Project 2011/M2</t>
  </si>
  <si>
    <t>Smile Exchange: development of a waste exchange programme; contribution towards project director costs, marketing and engagement with clients</t>
  </si>
  <si>
    <t>Strategic Selling Skills for Small Businesses Training Programmes 2011/ M2 Training</t>
  </si>
  <si>
    <t>This training programme is for owner/manager of small businesses or key personnel who are responsible for the sales of a small business. to upskill themselves in all the necessary selling techniques for the business, also be given the tools to create a sales plan for the business for the year ahead. Make sure your selling skills are up to date in the current climate and that you have a sales plan for your business.</t>
  </si>
  <si>
    <t>SYOB Programmes 2011/M2 Training</t>
  </si>
  <si>
    <t>UCC IGNITE PROGRAMME Dec 2010 - Sept 2011/M2 Training</t>
  </si>
  <si>
    <t>UCC IGNITE PROGRAMME is aimed at higher education graduates of any discipline to, create jobs by nurturing entrepreneurship, accelerate business start-ups, turn innovative ideas into innovative products and services, participate in a structured programme on all aspects of bringing a product or service to market_x000D_</t>
  </si>
  <si>
    <t>Venture Academy Programme 2011/M2</t>
  </si>
  <si>
    <t>The Venture Academy programme is designed for new businesses to up skill and seeking new investors and additional finance.  The companies selected for participation in the programme will be almost at the stage where they are ready to seek investment. The fundamental objective is to make the company attractive to an investor</t>
  </si>
  <si>
    <t>West Cork Islands Networking Event &amp; Ideas Workshop on developing the West Cork Islands Economy 2011</t>
  </si>
  <si>
    <t>West Cork Islands Networking Event &amp; Ideas Workshop on developing the West Cork Islands Economy seminar is designed for the islanders struggling to come up with a business idea and similarly beneficial for people who have too many ideas and are unsure how to assess their value. If you already have an idea, it will guide you in how to view it from different angles and take the first steps to assess market conditions.</t>
  </si>
  <si>
    <t>CAD Cork Craft Month August 2011/M2</t>
  </si>
  <si>
    <t>Alfresco Heaters  Ltd BP</t>
  </si>
  <si>
    <t>Design and Manufacturers of Outdoor Heaters for the outdoor entertainment industry such as Pubs,Clubs and Restaurants. Marketing cost Grant</t>
  </si>
  <si>
    <t>Bermingham Grey Solutions BP</t>
  </si>
  <si>
    <t>Design and Manufacture industrial fuel cleaning and maintenance systems to support  all energy backup systems that require oil fuel i.e Generators. Salary cost Grant</t>
  </si>
  <si>
    <t>Blind Makers Ltd / BE</t>
  </si>
  <si>
    <t>Designers,Manufacturers and sellers online of Window Blinds for domestic and commercial markets. Capital and Salary cost grants</t>
  </si>
  <si>
    <t>Collegedinners.ie /BP</t>
  </si>
  <si>
    <t>College Dinners provides fresh ingredients to University students with accompanying recipes via online/social media thus encouraging students to eat healthy. Marketing cost grant</t>
  </si>
  <si>
    <t>Compass Software Technology /BP</t>
  </si>
  <si>
    <t>The business specialises in software development applications to support the facilities management and maintenance functions that operate in most businesses. Salary &amp; Marketing Grants</t>
  </si>
  <si>
    <t>Custom Works /BP</t>
  </si>
  <si>
    <t>Production of small scale Wind turbine blades for the domestic energy market. Capital, Consultancy, Rent and Salary cost Grants</t>
  </si>
  <si>
    <t>Egan Medical /BP</t>
  </si>
  <si>
    <t>Medical Equipment Suppliers, Looking at export to increase awareness of business in European (particularly UK)markets and investment in Poland. Capital, Marketing &amp; Salary Grants.</t>
  </si>
  <si>
    <t>Evolusion Innovation Ltd /BP</t>
  </si>
  <si>
    <t>Construction services business providing Third party certification and research and development to it's clients. Capital &amp; Salary Cost Grant</t>
  </si>
  <si>
    <t>Eclipse Feeds Ltd / BE</t>
  </si>
  <si>
    <t>Producer (Production, Packaging &amp; distribution) of premium health animal feed for horses called Haylage for the equine markets. Supported Consultancy, salary and Marketing costs grants</t>
  </si>
  <si>
    <t>Exemplar Energy Solutions Ltd/BP</t>
  </si>
  <si>
    <t>The business offers businesses energy audits to help their customers achieve the best available energy prices on the open energy market.Salary Cost Grant.</t>
  </si>
  <si>
    <t>Extreme Sports /BP</t>
  </si>
  <si>
    <t>Ecommerce website for extreme sports which allows local and national extreme sports activities to be promoted and marketed online.Marketing &amp; Salary cost grant</t>
  </si>
  <si>
    <t>Food For Living /FIG</t>
  </si>
  <si>
    <t>Feasibility study for manufacture of specialised food product. Feasibility Grant</t>
  </si>
  <si>
    <t>Glen Watkins /FIG</t>
  </si>
  <si>
    <t>Feasibility study on Entry level ski boat manufacturing. Feasibility Grant</t>
  </si>
  <si>
    <t>Group Buying Org /BP</t>
  </si>
  <si>
    <t>Online ecommerce deal finder website- connecting large scale retailers with buyers. Capital, Marketing and Salary Grants</t>
  </si>
  <si>
    <t>Instidia /BP</t>
  </si>
  <si>
    <t>Tweekaboo is a mobile application that allows parents to capture photos and videos of their children and store them privately on the cloud where they can share the content securely on a provate social network and print the content in the format of photos and personalized products. Salary, Marketing &amp; Consultancy Grant</t>
  </si>
  <si>
    <t>Ksox Branding Ltd /BP</t>
  </si>
  <si>
    <t>Designs, sources and delivers high quality stretch material branding products. Consultancy,Salary &amp; Marketing Grants</t>
  </si>
  <si>
    <t>Mary Enright /BP</t>
  </si>
  <si>
    <t>Start up costs associated with goldsmith business and self employment. Salary &amp; Capital Grant</t>
  </si>
  <si>
    <t>Munster Tool &amp; Die Ltd /BE</t>
  </si>
  <si>
    <t>Machine shop operation (CNC Machine's) providing precision engineering services to the Pharma sector. Capital &amp; Salary Grants</t>
  </si>
  <si>
    <t>Petconnect.ie /BP</t>
  </si>
  <si>
    <t>website aimed at pet owners, providing pet related information, disscussion forums and services. Marketing Grant.</t>
  </si>
  <si>
    <t>PMD Device Solutions Ltd/BP</t>
  </si>
  <si>
    <t>Early stage medical device manufacture and research. Salary &amp; Capital Grants</t>
  </si>
  <si>
    <t>Reflex Pillow Ltd /BP</t>
  </si>
  <si>
    <t>Ergonomic pillow design and manufacture for the Health Care Market. Salary &amp; Capital Grants</t>
  </si>
  <si>
    <t>Shanagore Racing Ltd /BP</t>
  </si>
  <si>
    <t>Development of a horse and greyhoung trainging and racing facility. Salary &amp; Capital Grants</t>
  </si>
  <si>
    <t>Target Safety Ltd /BP</t>
  </si>
  <si>
    <t>Development of a Smartphone app for Emergency Response for industry. Salary, Capaital &amp; Marketing Grants</t>
  </si>
  <si>
    <t>The Sausage Man /BP</t>
  </si>
  <si>
    <t>Production of wide range of processed meats based on traditional Polish recipes. Salary Grant</t>
  </si>
  <si>
    <t>Total Wall Ireland /BP</t>
  </si>
  <si>
    <t>Distribution of a new lifestock bolos device called Bellaag for the temperature monitoring. Salary Cost Grant</t>
  </si>
  <si>
    <t>TSHR Ltd /BP</t>
  </si>
  <si>
    <t>Software tools to enable HR functions in small businesses. Consultancy Costs Grant</t>
  </si>
  <si>
    <t>Wedding Dates Ireland Ltd /BE</t>
  </si>
  <si>
    <t>Wedding venue finder plus software applications to support the wedding/hotel industry. Marketing, Capital and Consultancy Grants</t>
  </si>
  <si>
    <t>Winner Kayaks Ltd /BP</t>
  </si>
  <si>
    <t>Design of Kayak moulds and marketing and distribution worldwide. Marketing &amp; Salary Cost grants</t>
  </si>
  <si>
    <t>Yawl Bay Seafoods  /BE</t>
  </si>
  <si>
    <t>Manufacture of fish and shellfish products including salmon and crab. Salary &amp; Capital Grants</t>
  </si>
  <si>
    <t>Investor Ready Prog 6077 /M2</t>
  </si>
  <si>
    <t>Investor training course to help participants prepare for investment pitches and presentations to potential investors to support their business.</t>
  </si>
  <si>
    <t>Management Development  6042/M2</t>
  </si>
  <si>
    <t>Provides training programmes in Management, Sales and Personal Development to businesses.</t>
  </si>
  <si>
    <t>Internet Clinic 6076/M2</t>
  </si>
  <si>
    <t>Training course to help clients setup an online ecommerce business using case studies and one to one evalauation of their existing websites.</t>
  </si>
  <si>
    <t>Mentoring 6051 Q3/M2</t>
  </si>
  <si>
    <t>Mentoring of Clients - to suppor the setup of the clients business. Quarter 3</t>
  </si>
  <si>
    <t>Mentoring 6052 Q4/M2</t>
  </si>
  <si>
    <t>Mentoring clients on the startup of the business. Quarter 4</t>
  </si>
  <si>
    <t>Online Business 6078 /M2</t>
  </si>
  <si>
    <t>Training for businesses to get online with a website for the first time, part of the initiative by google.</t>
  </si>
  <si>
    <t>12 Steps To becoming self-employed 2011/M2/Training</t>
  </si>
  <si>
    <t>2011/12 Steps to Becoming Self Employed Pre Start Your Own Business Course</t>
  </si>
  <si>
    <t>Genesis Mentoring6127/M2</t>
  </si>
  <si>
    <t>Genesis Enterprise Development Program for start-ups, Mentoring for all those who participated from South Cork Board. Local Ref 6127</t>
  </si>
  <si>
    <t>Metrology Systems P/G</t>
  </si>
  <si>
    <t>External Weight Calabration consultancy Services-Employment Grants</t>
  </si>
  <si>
    <t>Newborn Photography/PG</t>
  </si>
  <si>
    <t>Provides A Service in Maternity Hospitals whereby new born babies are photographed.Approval of one employment was granted and Justin received from the CUMH to conduct the Business. They see it as a benefit to hospital and would be conducted on the same basis as companies delivering flowers ie permissinion received from nurses station before handing card to new mothers.</t>
  </si>
  <si>
    <t>Blackwater Valley Meats /PG</t>
  </si>
  <si>
    <t>Production of Back bacon /Pork Joints Green and Smoked. Blackwater Valley Meats are buliding a market based on their quality and local provenance . Employing 2 people.</t>
  </si>
  <si>
    <t>Perch Dynamic Solutions Limited/ FS</t>
  </si>
  <si>
    <t>Research on Prototypes Perch created a chair which prevents students from sittimg still, it has a patented flexible seat design which is higher that the conventional seats and moves constantly as if the students were rinding a horse. He expects that chilldren to be sitting in the revoluntarily new chairs by late 2011 and in the long term he would like to start a manufacturing operation in Cork targeting the british market</t>
  </si>
  <si>
    <t>Munster Driving Campus /PG</t>
  </si>
  <si>
    <t>Development of an off road driving CertreLaying tarring and lining roadways. Construction of entrance gates car parks and traffic lights, Office Equipment and an office porta cabin_x000D_</t>
  </si>
  <si>
    <t>Office Assist/ PG</t>
  </si>
  <si>
    <t>Establishment of a support service for office administration requirements_x000D_.Capital Grant. Giving you what youir office beeds. Payroll, Phone answering, Bookkeeping , Filing, administrration, Day to Day accounts, Web Design , holiday and illness cover</t>
  </si>
  <si>
    <t>Green Valley Dairy/PG</t>
  </si>
  <si>
    <t>Development of Business producing non Homogenised Milk Soft Spreadable Cheese buttermilk and Cream. Capital costs Pasteuriser, Cold Room Facility, Bottling System, Conveyor Belt, Milk Tanks, Office Equipment</t>
  </si>
  <si>
    <t>SYOB Programmes 2011/M2/Training</t>
  </si>
  <si>
    <t>Start Your own Business Programmes aimed at anyone with a Business idea or those running their own Business</t>
  </si>
  <si>
    <t>Web Site Optimisation Training Programme 2011/ M2 Training</t>
  </si>
  <si>
    <t>Training Programme for owner Managers of Micro enterprises to up skill in enchancing web site usage amongst customer base</t>
  </si>
  <si>
    <t>North Cork Network 2011/ M2</t>
  </si>
  <si>
    <t>North Cork Network is a forum for SME's to meet on a regular basis, to network, share info and contacts and generate business. A number Network. A number of Network Events are held for SME's in North Cork throughout the year and one event is specifically aimed at women in Business. Events usually had a guest speaker and networking acrivity</t>
  </si>
  <si>
    <t>North Cork Food Networking 2011/M2</t>
  </si>
  <si>
    <t>A food Network Event for the Food Sector bringing together relevant speakers, a small food producers showcase and networking opportunities for those involved in the food industry.</t>
  </si>
  <si>
    <t>Joint CEB initiative for the Cork Food Sector bringing together relevant speakers, a small food producers showcase and networking opportunities for those involved on the food industry</t>
  </si>
  <si>
    <t>Commercial Website Development Grant 2011/ M2</t>
  </si>
  <si>
    <t>Technical Assistance to enable businesses to develop trading facilities</t>
  </si>
  <si>
    <t>Enterprise Education Programme aimed at transitional year pupils seeking to explore entrepreneurship</t>
  </si>
  <si>
    <t>Enterprise Promotion : cork Enterprise Month is a conceptthat was developed in order to highlight the wide and comprehensive range of Enterprise related initiatives that are being promoted by the County and City Enterprise Boards in Cork during the month of March</t>
  </si>
  <si>
    <t>GOOGLE INITIATIVE-Getting Irish Business Online Tr</t>
  </si>
  <si>
    <t>The County &amp; city Enterprise Boards, An Post and Blacknight have teamed up with Google to target the 40% of Irish SME's and sole traders that do not have a website or an online presence, North Cork CEB will roll out a series of training programmes that will help you to create your FREE website and learn how to attract new business leads online.www.gettingbusinessonline.ie</t>
  </si>
  <si>
    <t>2011Genesis Enterprise Programme/M2 Training</t>
  </si>
  <si>
    <t>Genesis: Contribution towards the operation of the Genesis Programme which is an accelerated Business Development Programme run by CIT on behalf of Enterprise Ireland and CEB's</t>
  </si>
  <si>
    <t>2011 Smart Marketing for Small Businesstraining M2</t>
  </si>
  <si>
    <t>The Training Programme is for owner/manager of small businesses or for key personnel within the small business to upskill themselves in looking after marketing, you will learn all you need to need to make sure you have a marketing plan in place for your business for the year ahead. Marketing does'nt have to be expensive and this will guide you through the various tools available for your small business.</t>
  </si>
  <si>
    <t>2011 Smile Resource Exchange Project 2011/M2</t>
  </si>
  <si>
    <t>Smile Exchange: development of a waste exchange programme , contribution towards project director costs, marketing and engagement with clients</t>
  </si>
  <si>
    <t>2011 Showcase Ireland RDS Jan 2011/M2</t>
  </si>
  <si>
    <t>Showcase is an event held in the RDS Dublin Jan 2011 for Irelands finest up and coming craftspeople. Showcasing ceramics, fashion jewellery woodturning glassware textiles Sculpture and fine art</t>
  </si>
  <si>
    <t>2011 Sort My Books 2011/M2/Training</t>
  </si>
  <si>
    <t>2011/ Sort My Books Programme 2011. A computerised Bookkeeping Package for small to medium Bisinesses</t>
  </si>
  <si>
    <t>CIT Innovation Programme M2</t>
  </si>
  <si>
    <t>2011 employment law training programme 2011/M2 Tra</t>
  </si>
  <si>
    <t>2011/ Employment Law 2011 Human Resource training for Business Owners/ Managers. one and three day training</t>
  </si>
  <si>
    <t>2011 How to Improve your Cashflow 2011 M2 Training</t>
  </si>
  <si>
    <t>2011/ How to get paid on time Training Course. provided participants tip on how to get paid quicker from their customers. For Small to Medium Businesses</t>
  </si>
  <si>
    <t>Management Development Programme / M2/Tra</t>
  </si>
  <si>
    <t>Management Development Programme . For business 2 years plus a traing programme to helf their business grow and to get a better understanding of their business</t>
  </si>
  <si>
    <t>2011 National Womens Enterprise Day 2011/M2</t>
  </si>
  <si>
    <t>2011/National Womens Enterprise Day 2010. National Womens Networking day in limerick.Paid Clients Participation Fees</t>
  </si>
  <si>
    <t>2011 Sales Master Class 2011/M2 Training</t>
  </si>
  <si>
    <t>2011/ Sales Master Class 2011 in Millstreet. A training programme to advise business owners and managers to sell more.</t>
  </si>
  <si>
    <t>2011 Search Engine Optimisation Training Prog M2</t>
  </si>
  <si>
    <t>2011/ Search Engine Optimisation 2011 was a course we ran to help business people to get their Website on page one of Google</t>
  </si>
  <si>
    <t>2011 Promotional Enterprise culture /NCEBServices</t>
  </si>
  <si>
    <t>2011 Small Exporters Support Scheme 2011/M2</t>
  </si>
  <si>
    <t>Enterprise Promotion- Support Scheme to assist clients to find out if there is a market for there product/service abroad (export)</t>
  </si>
  <si>
    <t>2011 CIT Ace Programme 2011/M2</t>
  </si>
  <si>
    <t>The ACE project has worked to develop a range of educational programmes aimed at creating entrepreneurial graduates. A student Intern is supported and her role is to promoter entrepreneurship amongst CIT Students.</t>
  </si>
  <si>
    <t>Mentoring Programme /M2</t>
  </si>
  <si>
    <t>Mentoring new and existing Businesses</t>
  </si>
  <si>
    <t>2011 CAD Cork Craft Month August 2011 M2</t>
  </si>
  <si>
    <t>2011 Cork Craft Month a promotion of Crafts in the North Cork NCEB catchment area</t>
  </si>
  <si>
    <t>2011 UCC Ignite Programme Dec 2010-Sep 2011/M2 tra</t>
  </si>
  <si>
    <t>The ignite Programme is a Graduate Programme run in UCC and Supported jointly by the Cork CEB's</t>
  </si>
  <si>
    <t>2011 Selling On the Internet Training Programme M2</t>
  </si>
  <si>
    <t>A training Programme on how to sell your products online</t>
  </si>
  <si>
    <t>2011 Social Media Programme 2011/M2/Training</t>
  </si>
  <si>
    <t>Social Media for Business a training programme on Facebook, Twitter and Linked for Business Owners and Managers in the North Cork area</t>
  </si>
  <si>
    <t>2011 Venture Academy Programme 2011/M2</t>
  </si>
  <si>
    <t>This is the Venture Academy Programme 2011</t>
  </si>
  <si>
    <t>Development Programmes 6095/M2</t>
  </si>
  <si>
    <t>Key business development programmes that are provided by specialised institutions for owner managers.</t>
  </si>
  <si>
    <t>Plato 2011</t>
  </si>
  <si>
    <t>Networking Opportunities between different areas in North Cork</t>
  </si>
  <si>
    <t>2011/ Advanced Food Programme M2 Training</t>
  </si>
  <si>
    <t>2011/ Advanced Food Programme for establishe Food companies with workshops mentoring on sales and marketing branding.</t>
  </si>
  <si>
    <t>West Cork Distillers Ltd (Glanmara Ltd )/BE</t>
  </si>
  <si>
    <t>Expansion of Glanmara Ltd now T/A as West Cork Distillers Ltd manufacturing a range of Irish blended spirit &amp; whiskey products aimed at the export market. Costs related to additional equipment to improve production.</t>
  </si>
  <si>
    <t>Union Hall Smoked Fish/BE</t>
  </si>
  <si>
    <t>Expanding Union Hall Smoked Fish business, through provision of new equipment, producting a wide range of smoked fish products including farmed smoked salmon, kippers, smoked mackeral, smoked trout, wild smoked salmon, barbeque salmon, salmon pate and mackerel pate.</t>
  </si>
  <si>
    <t>Shamrock Vacations Limited/BP</t>
  </si>
  <si>
    <t>Establishment of a online travel company offering North American visitors customised luxury vacations in Ireland and providing unique knowledge to ensure the best possible vacation for their customer. Costs related to capital and marketing</t>
  </si>
  <si>
    <t>Shamrock Vacations Limited/BE</t>
  </si>
  <si>
    <t>Expansion to Shamrock Vacations Limited online travel company offering North American visitors customised luxury vacations in Ireland and providing unique knowledge to ensure the best possible vacation for their customer. Costs related to salary towards new employment due to increase turnover.</t>
  </si>
  <si>
    <t>Regale Biscuit Company Limited/BE</t>
  </si>
  <si>
    <t>Artisan Biscuit manufacturing business making a selection of hand-made cookies, biscuits and crackers selling to retail and food-service outlets, both directly and via wholesalers. This related to salary grants for new employment due to increased turnover.</t>
  </si>
  <si>
    <t>Irish Atlantic Sea Salt Limited /BE</t>
  </si>
  <si>
    <t>Expansion of Irish Atlantic Sea Salt Limited which manufactures a range of sea salt products from the Irish Sea off the South West Cork Coast. Costs related to unit fit out &amp; equipment.</t>
  </si>
  <si>
    <t>Heavens Cakes/BE</t>
  </si>
  <si>
    <t>Expansion of Heavens Cakes business which is a French style Patisserie business making a range of very high quality pastry items,includes sweet &amp; savoury pastries &amp; cakes, croissants, meringues, savoury tarts, cheese cakes, Forest Fruit cakes, bread &amp; rolls (French style) &amp; mousse cakes (French Chocolate), rustic cake range (bread and butter pudding) ice creams and handmade chocolates as well as a new line of expanded savoury tartlets. This related to capital &amp; fit out of a new unit.</t>
  </si>
  <si>
    <t>Fastnet Catch Limited/BP</t>
  </si>
  <si>
    <t>Establishment of a seafood processing business, manufacturing a range of premium quality gluten free battered and breaded Irish caught fish products to the multiples. The uniqueness of this product is that it is 100% gluten free, has good quality ingredients, a high fish content, (70%) and uses only locally caught fish from Irish waters. Costs related to equipment and fit out of food grade unit.</t>
  </si>
  <si>
    <t>Exclusively Yours /BE</t>
  </si>
  <si>
    <t>Expansion of Exclusively Yours into a new areas, online sports greeting cards business. Costs included development of an online website www.idesigncards.ie offering a range of personalised sports greetings cards.</t>
  </si>
  <si>
    <t>EIM Emerald Ltd TA Lyfeworld.ie/BP</t>
  </si>
  <si>
    <t>Establishment of a business offering an online website www.lyfeworld.ie where people can view recent death notices online, read acknowledgement and In Memoriam messages recently posted, and create an online memorial for a deceased loved one. Costs related to salary &amp; web site development.</t>
  </si>
  <si>
    <t>Atticus Education Ltd/BP</t>
  </si>
  <si>
    <t>Establishment of a remote stuido in West Cork deliverying Masterclasses in Film and Film related topics by David Puttnam to Masters students in universities all over the world. Costs related to hi-tech equipment provision.</t>
  </si>
  <si>
    <t>Advanced Food Programme 2012/M2 Training</t>
  </si>
  <si>
    <t>Branding Development Programme for the Craft Sector 2012/M2/Training</t>
  </si>
  <si>
    <t>Online Sales &amp; branding Business Development Programme for the Craft Sector to improve product presentation and online sales strategy.</t>
  </si>
  <si>
    <t>CIT Innovation Programme 2012/M2</t>
  </si>
  <si>
    <t>Commercial Website Grants 2012/M2</t>
  </si>
  <si>
    <t>Cork Food Forum 2012/M2</t>
  </si>
  <si>
    <t>Joint CEB Initiative for the Cork Food Sector bringing together relevant speakers, a small food producers showcase and networking opportunities for those involved in the food industry.</t>
  </si>
  <si>
    <t>Cork Schools Enterprise Programme 2012/2013/M2</t>
  </si>
  <si>
    <t>Enterprise Education Programme aimed at Transitional Year pupils seeking to explore entrepreneurship</t>
  </si>
  <si>
    <t>Human Resource Management for Small Business/2012/ M2 Training</t>
  </si>
  <si>
    <t>This up skilling training programme is ideal for small business owner/managers who employ staff or who are thinking about taking on staff. It will cover employment law and compliance, as well as performance management and disciplinary skills. By the end of the programme your business should have all of the required HR documentation to you via sample policies and templates and you will be better equipped to manage your team.</t>
  </si>
  <si>
    <t>Introduction to SAGE accounts Programme/2012/M2 Training</t>
  </si>
  <si>
    <t>This programme aimed to show participants how to use all aspects of Sage Instant Accounts. This is an introduction to Sage Accounts and was aimed at owner managers of micro-enterprises.</t>
  </si>
  <si>
    <t>Mentoring Programme 2012/M2</t>
  </si>
  <si>
    <t>Retail Business Development Programme /2012/M2 Training</t>
  </si>
  <si>
    <t>A Business Development Programme aimed at owner managers in the micro- enterprise retail sector that aimed to upskill them in areas such as customer care, sales promotion, social media, market trends, pricing and finance. Mentoring and a merchandising audit was also provided as part of the course.</t>
  </si>
  <si>
    <t>Search Engine Optimisation Training Programme/2012/M2 Training</t>
  </si>
  <si>
    <t>Setting up an Online Shop/2012/M2 Training</t>
  </si>
  <si>
    <t>SHOP Exhibition &amp; Trade Event 2012/M2</t>
  </si>
  <si>
    <t>Sponsorship of Food Businesses to attend the SHOP National Food &amp; Drinks trade Event in RDS September 2012.</t>
  </si>
  <si>
    <t>Social Media Training Programmes/2012/M2 Training</t>
  </si>
  <si>
    <t>Training Programme to assist owner managers to develop skills and improve their social media strategy in areas such as linkedin,Facebook,Twitter, Blogging etc</t>
  </si>
  <si>
    <t>Start Your Own Food Business Programme/2012/M2 Training</t>
  </si>
  <si>
    <t>This Start Your own Food Business Programme was aimed at those who wished to further develop their food business idea into a commerical business.It aimed to provide participants with the practical business skills to start their own food business.</t>
  </si>
  <si>
    <t>SYOB Programmes 2012/M2 Training</t>
  </si>
  <si>
    <t>The Business Ideas Training Programme/M2/Training</t>
  </si>
  <si>
    <t>Web Site Optimisation Training Programme/2012/M2 Training</t>
  </si>
  <si>
    <t>Training Programme for owner managers of micro enterprises to up skill in enhancing web site usage amongst customer base.</t>
  </si>
  <si>
    <t>West Cork Networks 2012/M2</t>
  </si>
  <si>
    <t>West Cork Network is a forum for SMEs to meet on a regular basis, to network, share info and contacts and generate business. A number of Network Events are held for SMEs in West Cork throughout the year and one event is specially aimed at women in business. Events usually had a guest speaker and networking activity.</t>
  </si>
  <si>
    <t>Writing Winning Tenders Training Programme 2012/M2/Training</t>
  </si>
  <si>
    <t xml:space="preserve">Writing Winning Tenders Training Programme is amied at owner mangers to improve their skills and competence in tender writing; Have a full understanding of the tendering process;Know how they can utilise the tendering process to develop their client base &amp; increase revenue;Have an increased understanding of the motivations, requirements &amp; methodologies of a tendering company;Know how to increase their chances of being shortlisted and what to do at a short listing interview </t>
  </si>
  <si>
    <t>Showcase Ireland RDS Jan 2013/M2</t>
  </si>
  <si>
    <t>Showcase is an event held in the RDS, Dublin from 20-23 Jan 2013 for Ireland's finest up-and-coming craftspeople. Showcasing ceramics, fashion, jewellery, woodturning, glassware, textiles, sculpture and fine art</t>
  </si>
  <si>
    <t>Allied Profile Limited/PG</t>
  </si>
  <si>
    <t>The Operation provides a lamination of profiles to customer specification. Lamination specialists to Window and door fabrication</t>
  </si>
  <si>
    <t>Cen Foods/PG</t>
  </si>
  <si>
    <t>Production of a range of food products including fish pies, beef and Irish Stout pies, seafood chowder and a range of Ciabatta based ready to toast sandwiches</t>
  </si>
  <si>
    <t>Pixy/PG</t>
  </si>
  <si>
    <t>Product of natural skin care products using pure natural ingredient for sale on the irish and international market</t>
  </si>
  <si>
    <t>accelerate for Growth 2012/M2/Training</t>
  </si>
  <si>
    <t>The Accelerate Programme is to provide Owner/Managers of Small Business Management &amp; Business knowledge to achieve sustainability and growth in their Business</t>
  </si>
  <si>
    <t>Big Red Book 2012/M2/Training</t>
  </si>
  <si>
    <t>The Big Red Book accounting programme is user-friendly, flexible and jargon-free. It is guaranteed Irish, designed in Ireland for the Irish market by practicing accountants. It will ensure that you keep accurate records of your Purchases, Sales, Cheques and Bank Payments, Cash receipts and payments. It is designed with first time computer users and novice book-keepers in mind, with an on-screen prompt to guide you through every step of the process.</t>
  </si>
  <si>
    <t>Advice Clinics /2012/M2/Training</t>
  </si>
  <si>
    <t>At the business mentoring meeting, you will be provided with up to  1.5 hours mentoring with a business expert.  Please note that for specific Legal, Tax or Accounts queries you should contact your Accountant or Solicitor_x000D_</t>
  </si>
  <si>
    <t>Cork Schools Enterprise Programme 2012/2013</t>
  </si>
  <si>
    <t>Setting up of Mini Companies in Secondary Schools in the North Cork area</t>
  </si>
  <si>
    <t>have joined forces this year to run the highly successful Food Forum event. This successful event has been running since 2009. The Forum will bring together Cork and Kerry food producers, retailers, buyers, restaurateurs and a wide range of food industry experts. It will provide all of those involved in the food sector in Cork and Kerry to network, develop new business and find new routes to market for their products.</t>
  </si>
  <si>
    <t>Family Business Management 2012/M2/Training</t>
  </si>
  <si>
    <t>Business retention is a strategy from which Ireland will recover and rebuild its prosperity. Family Businesses are a core pillar and strength of all local economic fabrics and have a unique ability to survive difficult times. It is important that those with the responsibility for the family business are informed as to best practice</t>
  </si>
  <si>
    <t>2012 Genesis Enterprise Programme</t>
  </si>
  <si>
    <t>Genesis: Contribution towards the operation of the Genesis Ireland and this amount was for a mentoring session through Genesis for Unified Computing Ltd</t>
  </si>
  <si>
    <t>Google Initiative - Getting Your Business Onl</t>
  </si>
  <si>
    <t>This initiative allows participants to develop a website with domain name registration and hosting for one year.</t>
  </si>
  <si>
    <t>How to Grow Your Food Business 2012/M2?Traini</t>
  </si>
  <si>
    <t>How to grow Your Food Brand through Effective PR and Social Training</t>
  </si>
  <si>
    <t>How to improve your Cashflow 2012/M2/Training</t>
  </si>
  <si>
    <t>How to improve a Business with Cashflow</t>
  </si>
  <si>
    <t>How to Write a Winning Tender 2012/M2/Trainin</t>
  </si>
  <si>
    <t>Traing on how to write a winning Tender</t>
  </si>
  <si>
    <t>HR Compliance Training 2012/M2 Training</t>
  </si>
  <si>
    <t>By the end of the Training programme your business should have all of the required HR documentation to you via samples policies and templates and you will be better equipped to manage people.</t>
  </si>
  <si>
    <t>Ideas Generation 2012/M2 Training</t>
  </si>
  <si>
    <t>This one day workshop is for anyone struggling to come up with a business idea and similarly beneficial for people who have too many ideas and are unsure how to assess their value. The workshop is designed to help you think creatively, find focus and get a fresh perspective on your direction.</t>
  </si>
  <si>
    <t>2012/ Mentoring 2011. Mentoring new and existing Businesses</t>
  </si>
  <si>
    <t>National Womens Enterprise Day 2012 M2</t>
  </si>
  <si>
    <t>National Womens Enterprise day 2012 held in the Heritage Hotel Portlaoise.Creating Connections and Building Business with Guest Speakers and Networking.</t>
  </si>
  <si>
    <t>Networking 2012/M2</t>
  </si>
  <si>
    <t>Networking Events for North Cork Business People</t>
  </si>
  <si>
    <t>Search Engine Optimisation Training 2012/M2 T</t>
  </si>
  <si>
    <t>It is essential that you get your website optimised to compete for high rankings. This seminar is designed to bring you up to speed with all the major aspects of optimising websites for search engine rankings.</t>
  </si>
  <si>
    <t>Selling On the Internet 2012/M2/ Training</t>
  </si>
  <si>
    <t>This course will cover aspects of building an e-Commerce site and selling online. Featuring a combination of lecture, discussion and demonstration, this course provides an overview of web site e-Commerce concerns from pricing, hosting etc.</t>
  </si>
  <si>
    <t>Selling to Succeed 2012/M2/Training</t>
  </si>
  <si>
    <t>A 1 day, active participation workshop, for owner-managers and key frontline staff of businesses in the North Cork area</t>
  </si>
  <si>
    <t>Shop 2012 M2</t>
  </si>
  <si>
    <t>Ireland Retail, Food Drink &amp; Hospitality Event. Hundreds of New Products, produce and services on show at the exhibition.</t>
  </si>
  <si>
    <t>small exporters support scheme 2012/M2</t>
  </si>
  <si>
    <t>Smart Phone Photography for Business 2012/M2/</t>
  </si>
  <si>
    <t>Learn how to take appealing photographs of your food and use them effectively online to grow your customer base.</t>
  </si>
  <si>
    <t>Social Media Programme 2012/M2/Training</t>
  </si>
  <si>
    <t>Social media is a new form of communications, used by businesses to connect with people on social networks like Facebook and Twitter and use those connections to do business. Many businesses are turning to social media as it is cheap and can be very effective if used right.</t>
  </si>
  <si>
    <t>Successful Tenders 2012/M2/Training</t>
  </si>
  <si>
    <t>This training programme explores the ways that a business can increase its chances of success and highlights the important elements that must be considered throughout the tendering process</t>
  </si>
  <si>
    <t>SYOB Programme 2012/M2/Training</t>
  </si>
  <si>
    <t>This Programme focuses on those with a business idea in mind who are unsure of how to develop the idea into a business plan. It will guide</t>
  </si>
  <si>
    <t>Website Maintenance 2012/M2/Training</t>
  </si>
  <si>
    <t>After completing the optimisation modules and Identifying the internet and website development as a valuable marketing tool, this module will enable participants to understand</t>
  </si>
  <si>
    <t>Small Exporters Support Scheme 2012 / M2</t>
  </si>
  <si>
    <t>Enterprise Promotion - Support Scheme to assist clients to find out if there is a market for there product/service abroad (export</t>
  </si>
  <si>
    <t>TRansition Years set up and run a Mini Company  and learn all that is involved in being an entrepreneur</t>
  </si>
  <si>
    <t>Ardsallagh Goats Products BE</t>
  </si>
  <si>
    <t>Goat Cheese manufacting in Midleton co cork. Supported for capital equipment grant.Supported with Capital Grant</t>
  </si>
  <si>
    <t>Belcor Online Ltd / BP</t>
  </si>
  <si>
    <t>Belcor is an Information Technology Company based Rubicon Business Campus in CIT Cork. It provides an information tracking software and devices for the retail_x000D_
sector to capture store traffic. Supported with Salary &amp; Marketing Grants</t>
  </si>
  <si>
    <t>Bia Beauty /BP</t>
  </si>
  <si>
    <t>Bia Beauty is cosmetics manufacturing business based in the Rubicon Business Campus in CIT.It provides a range of health and beauty products for the skin care market.Supported with Salary, Marketing and Capital grants</t>
  </si>
  <si>
    <t>Boat Warden /BP</t>
  </si>
  <si>
    <t>Boat Warden has developed new technology that will alert boat owners onland of security risks. Supported with Salary, Capital and Marketing grants</t>
  </si>
  <si>
    <t>Car Gas Systems /BP</t>
  </si>
  <si>
    <t>Car Gas Systems developed a new system to convert petrol cars to gas. Supported with salary cost grant</t>
  </si>
  <si>
    <t>Cognito HRM /BP</t>
  </si>
  <si>
    <t>Cognito HRM developed a new human resources software to allow for the automation of employee's annual reviews. Supported with Salary, Marketing and capital grant</t>
  </si>
  <si>
    <t>Dermot Twomey /BP</t>
  </si>
  <si>
    <t>Dermot Twomey t/a Healthy You is a food producer who specialises in artisan seaweed salads and ready made meals. Supported with salary cost grant</t>
  </si>
  <si>
    <t>Eclipse Feeds Ltd /BE</t>
  </si>
  <si>
    <t>Equine &amp; Bovine Food Receipe Producer with original concentrated food receipe approved by the Dept. Argriculture. Supported with Capital Grant</t>
  </si>
  <si>
    <t>Green Saffron Spices /BE</t>
  </si>
  <si>
    <t>Green Saffron Spices is a food producer who specialise in artisan Indian food receipes and spices. Supported with Capiatal and Marketing Grants</t>
  </si>
  <si>
    <t>Grain Water Ltd /Feas</t>
  </si>
  <si>
    <t>The promoter was granted feasibility study to develop a new sailing device</t>
  </si>
  <si>
    <t>Heartaid /BE</t>
  </si>
  <si>
    <t>Heartaid has developed a new heart monitoring device to help identify sudden death symptoms at very early stage for sport people. Supported with Salary, Capital and Marketing Grants</t>
  </si>
  <si>
    <t>I3PT Certification /BP</t>
  </si>
  <si>
    <t>I3PT Certification is a new service for the construction sector which controls the way building are built. supported with Consultancy and Marketing Grants</t>
  </si>
  <si>
    <t>Ideal Outdoors Ltd /BP</t>
  </si>
  <si>
    <t>Ideal Outdoors Ltd is a tourism software platform to all tourists to plan their walking tours. Supported with Consultancy Grant</t>
  </si>
  <si>
    <t>Irish Waste Water Ltd /BE</t>
  </si>
  <si>
    <t>Irish Waste Water Ltd (Irish Sewage Treatement) has developed a treatment tank for domestic households. Supported with Marketing &amp; Salary Grants</t>
  </si>
  <si>
    <t>Keelvar Systems Ltd /BE</t>
  </si>
  <si>
    <t>Keelvar Systems Ltd has developed a software application to help state agencies to get more accurate and value for money tenders. Supported consultancy, Salary, Marketing</t>
  </si>
  <si>
    <t>Loco Software Ltd /BE</t>
  </si>
  <si>
    <t>Loco Software Ltd has developed a new software platform which gives state agencies the opportunity to evaluate foreign direct investment projects. Supported with Training, Capital, Salary &amp; Marketing grant</t>
  </si>
  <si>
    <t>Mamukko /BP</t>
  </si>
  <si>
    <t>Mamukko has manufactured a new range of Hand Bags made from upcycling old sailing sails. Supported with Salary and Marketing grants</t>
  </si>
  <si>
    <t>Mary Daly /BE</t>
  </si>
  <si>
    <t>Mary Daly has developed a new service for the hopitality sector which controls food hygine. Supported with Capital &amp; Salary Grants</t>
  </si>
  <si>
    <t>MB Coremaster Ltd /BP</t>
  </si>
  <si>
    <t>MB Coremaster Ltd has developed a new way for construction piling. Supported with Salary grants</t>
  </si>
  <si>
    <t>Medco Ltd  /BE</t>
  </si>
  <si>
    <t>Medco Ltd manufacture medical uniforms to hospitals. Supported with Marketing and Salary grants</t>
  </si>
  <si>
    <t>Mianra Artisan Soaps /BP</t>
  </si>
  <si>
    <t>Mianra Artisan Soaps manufactures artisan soaps. supported with Salary Grant</t>
  </si>
  <si>
    <t>Mobilite Tech /BP</t>
  </si>
  <si>
    <t>Mobilite Technologies have developed a new software platform sports training activity. Supported with Marketing and Salary Grants</t>
  </si>
  <si>
    <t>Silkway Tours /BP</t>
  </si>
  <si>
    <t>Silkway Tours is inbound travel company setup to offer Irish golfing tours to the Russian Market. Supported with Marketing, Consultancy and Salary grants</t>
  </si>
  <si>
    <t>Una Martin /BP</t>
  </si>
  <si>
    <t>VConnecta /BP</t>
  </si>
  <si>
    <t>VConnecta is a new software platform for Political parties. Supported with Salary and Capital Grants</t>
  </si>
  <si>
    <t>computerised accounts /M2</t>
  </si>
  <si>
    <t>computerised accounts is new cousre to help the Board client understand their accounting records.</t>
  </si>
  <si>
    <t>Ignite Prog /M2</t>
  </si>
  <si>
    <t>Ignite is business development programme to support business start-up's from 3rd Level College.Funding towards the Mentoring cost of South Cork client on the course.</t>
  </si>
  <si>
    <t>Ecocute Innovation and Design Ltd</t>
  </si>
  <si>
    <t>Operational Demonstration of 2 Itomic Industrial-use Ecucute Air to Water Heat Pumps in O Donovan's Hotel, Clonakilty, Co. Cork &amp; Cuil Didin Residential &amp; Nursing Care in Tralee, Co. Kerry. The project involved data monitoring of the heat pumps operating performance, energy efficiency and environmental improvements over a 12 month period</t>
  </si>
  <si>
    <t>Renewable Energy Research</t>
  </si>
  <si>
    <t>RENEWABLE ENERGY TOTAL</t>
  </si>
  <si>
    <t>CORK COUNTY TOTAL</t>
  </si>
  <si>
    <t>Centre for Advanced Photonics &amp; Process Analysis</t>
  </si>
  <si>
    <t>The project aims to establish a CAPPA centre at CIT as a focal point for industry-led applied research in Optics &amp; Photonics in the Cork Region</t>
  </si>
  <si>
    <t>Applied Research Enhancement</t>
  </si>
  <si>
    <t>Cork City</t>
  </si>
  <si>
    <t>Dunnes Stores</t>
  </si>
  <si>
    <t>Installation of a 150kWe CHP Unit.</t>
  </si>
  <si>
    <t>Installion 24m2 of solar collectors with 2 x 500 lt dual coil cylinders -reduction of 70% hot water cost annually._x000D_</t>
  </si>
  <si>
    <t>Development of Therapeutic Molecules for Retinal Degenerative Disease</t>
  </si>
  <si>
    <t>This project looks at determining the principle mechanism through which lead compounds block retinal cell death, the most effective delivery route for the compounds to the eye, their efficacy in relevant models of certain eye diseases such as Retinitis Pigmentosa, age-related macular degeneration and glaucoma, and it also looks to develop chemistry of benzopyran derivatives.</t>
  </si>
  <si>
    <t>Commercialisation Fund</t>
  </si>
  <si>
    <t>Assessment of the Potential Applications of Bioengineered Derivatives of the Lantibiotic Nisin</t>
  </si>
  <si>
    <t>Nisin is a commercially available antimicrobial peptide. Our identification of four derivatives of nisin with enhanced antimicrobial activity could greatly extend the range of ways in which antimicrobial can be applied. The goal of this project was to generate stable producers of the four enhanced nisins, carry out minimum inhibitory concentration determinations and investigate the stability/bioactivity of these peptides.</t>
  </si>
  <si>
    <t>STOPP/START: Minimising inappropriate prescribing in geriatric patients</t>
  </si>
  <si>
    <t>The main objective was to develop a commercially viable intelligent decision support system (IDSS) to aid physicians in selecting appropriately indicated &amp; safe medicines for use in their elderly patients. This research was based on the STOPP/START prescribing rules developed by UCC/CUH. The software system employed a constraint programming approach.</t>
  </si>
  <si>
    <t>Broadband Acoustic Resonance Dissolut</t>
  </si>
  <si>
    <t>The key objective of the project is to bring forward a new prototype spectrometer which is based on a new platform technology developed in UCC namely Broadband Acoustic Resonance Dissolution Spectroscopy (BARDS). The technique has multiple applications across the science spectrum including polymorph analysis, particle density measurements, analysis of powder blends of compounds, moisture determinations in solvents &amp; differentiation of isomeric compounds.</t>
  </si>
  <si>
    <t>Listeriolysin S: a means of distinguishing between L.monocytogenes with high &amp; low virulence potenti</t>
  </si>
  <si>
    <t>LLS-Screen - The object is to develop diagnostic tools (culture and molecular based) that can differentiate between Listeria Monocytogenes Isolates with high and low virulence potential on the basis of the presence/absence of genes encoding the newly identified Cytolytic Virulence Factor Listeriolysin S (LLS)</t>
  </si>
  <si>
    <t>Gas Storage Tool for Optimising Economic Efficiency</t>
  </si>
  <si>
    <t>This project investigates the development of novel economic mechanisms for improving the economic efficiency of operating a natural gas storage reservoir shared among leaseholders.</t>
  </si>
  <si>
    <t>Cyclodextrin-derived vectors for RNAi (Cyclovector)</t>
  </si>
  <si>
    <t>Gene silencing via small interfering RNA (siRNA) holds enormous potential for the development of a new generation of therapeutics capable of treating a wide variety of diseases including cancer. The major barrier to realisation of these medicines is the design and formulation of safe and effective delivery systems. In this project novel non-viral vectors based on modified cyclodextrins will be disigned and formulated with siRNA for targeted cell-specific delivery to diseased sites in vivo.</t>
  </si>
  <si>
    <t>Development of a New Optical transducer for refractive index sensing</t>
  </si>
  <si>
    <t>This project aims to develop a new optical transducer for high resolution and label-free surface sensing called Plasmonic Opto-chip. The transduction mechanism is based on the interaction between an optical waveguide and metal nonostructures formed on the gold film surface. A substance deposited on the sensor changes the waveguide interface refractive index. The transduction signal is generated in the polarization resolved optical reflectivity.</t>
  </si>
  <si>
    <t>App Integrated rule&amp;constraint tech to diagnose&amp;resolve capacity deficiency prob for large data cent</t>
  </si>
  <si>
    <t>The CDDC project applies integrated business rules and constraint programming techniques to diagnose &amp; resolve capacity deficiency problems for the modern data centers with a large number of hardware resources including disks, CPU, memory and networking devices. Our software solution will help data centers to better utilize their existing resources and proactively add new resources while minimizing the total maintenance cost.</t>
  </si>
  <si>
    <t>Obtaining Commercial Metastable Forms by Crystal Engineering</t>
  </si>
  <si>
    <t>The manufacturing of a high-value pigment:alpha form copper phthalocyamine,or Pigment Blue15:0.This pigment is used in app such as laser jet printer ink.Manufactured in 2 steps:1st step gives copper phthalocyanine material&amp; 2nd produces the alpha crystal form. We produce the alpha form directly in 1 step using an additive designed to control the crystallization of product.The alpha form produced this way is stabilized against degradation.A licence opt has been agreed with a pigment manufacturer</t>
  </si>
  <si>
    <t>Grid Integration &amp; Connection models for Ocean Energy Systems - SEAGRID</t>
  </si>
  <si>
    <t>The concept is the provision of a software toolkit that fulfils three unique functions: 1.Generates a parametric tuneable dynamic model for grid connection of ocean wave and tidal systems. This model is generic and device independent &amp; is customisable in conjuction with end customer. 2.Provides a diagnostic element that tests for grid code compliance. 3.Provides a design element that recommends design changes to enable grid code compliance in the event of non-compliance.</t>
  </si>
  <si>
    <t>Metal Recovery from Printed Circuit Board (PCB) waste (METREC)</t>
  </si>
  <si>
    <t>Application Multi-wavelength fibre Raman Laser for remote &amp; local sensing of fibre Bragg grating</t>
  </si>
  <si>
    <t>Development of  remote and local sensing systems based on integration of fibre Bragg grating array and a wide bandwidth fibre Raman amplifier with tailored polarization properties into a multi-wavelength/tunable fibre Raman laser with increased wavelength range. This includes developing a periodic (comb) filter based on pair of long-period gratings (LPFGs) to increase the signal scan frequency and wavelength resolution.</t>
  </si>
  <si>
    <t>All or Nothing Transforms as a Differential Power Analysis Countermeasure</t>
  </si>
  <si>
    <t>AONT countermeasure for protecting against Differential Power Analysis was studied in detail.Example protocols for using the countermeasure to protect encryption/decryption operations were devised.2 AONT constructions(OAEP&amp;OFBT)were analysed,implemented &amp; profiled on a smart card platform&amp; a 32bit microprocessor.In addition, a patent application was filed,an academic paper published(online), a market survey conducted and an industry targeted factsheet was disseminated to interested companies.</t>
  </si>
  <si>
    <t>Constraint based Personalized TV Schedules (CPTV)</t>
  </si>
  <si>
    <t>CPTV is a Web application to produce personalized TV schedules for end users from generic programme data feeds, their preferences and a description of their environment, and calendar data which indicate when and where the user wants to watch TV and which other events may overlap these times. It uses a combination of contraint programming, rule based selection and a content based recommender system to automatically build the recording and viewing schedules.</t>
  </si>
  <si>
    <t>Think Smart Technologies</t>
  </si>
  <si>
    <t>This project is to create a new Irish HPSU that will deliver an advanced highly intelligent and automated decision making/suport platform, based on 4C's CP-Inside Technology</t>
  </si>
  <si>
    <t>Engineered Mesoporous Silica Spheres for Optimised Drug Delivery</t>
  </si>
  <si>
    <t>A manufacturing technique to cotrol silica morphology, porosity and surface chemistry has been developed and patented by UCC. The focus of this project is to investigate the potential of this mesoporous silica technology to control the dissolution characteristics of a range of therapeutic molecules. Our Novel approach will involve supercritical fluid loading technology to achieve loading of drug deep into the interior of the particles.</t>
  </si>
  <si>
    <t>Development of a Transdermal Vaccine Delivery System</t>
  </si>
  <si>
    <t>Transdermal drug delivery has revolutionized the pharmaceutical market. Vaccination is the primary public health measure to combat infectious diseases but suffers from logistic obstacles. This study combines cutting-edge developments in vaccine and microneedle design to create ImmuPatch, a delivery system which induces enhanced efficancy. ImmuPatch will be stable, cost effective, pain-free, easy to use and broadly adaptable to multiple vaccines and immunotherapeutic approaches.</t>
  </si>
  <si>
    <t>VixEx: A Software Tool for visualisation and co-ordination of Research Data</t>
  </si>
  <si>
    <t>This project involves the development of user-friendly software for life-science &amp; medical researchers to visualize experimental date in pictorial and animation forms that will permit simultaneous viewing of findings from distinct experiments in context.</t>
  </si>
  <si>
    <t>Jerky Protein in Alzheimers Disease</t>
  </si>
  <si>
    <t>Analysis of JRK protein expression in Tg-AD mouse model of Alzheimer's disease. We tested the hypothesis that alteration of Jerky expression contributes to AD pathogenesis in a mouse model. We were unable to provide supportive data for the hypothesis.</t>
  </si>
  <si>
    <t>Development of E.Sakazakki Antimicrobial Casein-peptides for infact Formula Protection</t>
  </si>
  <si>
    <t>Design and generation of a tailored dairy-based biopreservative ingredient (called SAFEFORMULA) which specifically protects infant formula from the emerging pathogen E. sakazakii.</t>
  </si>
  <si>
    <t>User Friendly Software for design of a Modified Atmosphere packaging for fresh fruit &amp; vegetables</t>
  </si>
  <si>
    <t>CON-PV Modular concentrator photovoltaic solar cells</t>
  </si>
  <si>
    <t>We are: (i)developing a novel tunnel junction technology to enhance the device yield in processing and comparing this new technology with the performance of existing tunnel diodes.(ii)designing and developing multijunction solar cells based on GaInP/(In)GaAs/Ge taking both a monolichic approach and a mechanical stack approach to integrating the multiple solar cell junctions.</t>
  </si>
  <si>
    <t>Plagiarism Detection Systems (PDS)</t>
  </si>
  <si>
    <t>Magnetics on silicon for power supply on chip MAGIC</t>
  </si>
  <si>
    <t>The objective of this project is to validate the Tyndall mirco-inductor technology_x000D_in selected power supply on chip products and to identity and engage with_x000D_ potential customers._x000D_</t>
  </si>
  <si>
    <t>Silicon based overvoltage/overcurrent protection device for lowvoltage, high speed applications</t>
  </si>
  <si>
    <t>To validate a novel semiconductor device technology concept for applications in the area of high speed electronic circuit overvoltage and overcurrent protection.To explore a commercial path to exploit this novel technology in Ireland._x000D_</t>
  </si>
  <si>
    <t>Combined use of perfluorocarbons and magnetic nanparticles for gene therapy</t>
  </si>
  <si>
    <t>By combining the use of perflurocarbons with DNA coated magnetic nanoparticles_x000D_ in an oscillating magnetic field we aim to demonstate a novel mechanism for gene_x000D_ therapy delivery for sufferers of cystic fibrosis and lung cancer</t>
  </si>
  <si>
    <t>Intelligent reliability circuitry for RF MEMS capacitive systems</t>
  </si>
  <si>
    <t>The project tackles a problem that affects MEM's switches. The goal of the project is to validate a novel circuit which will offset this parameter drift and thereby reliably guarantee the correct performance of the switch_x000D_</t>
  </si>
  <si>
    <t>High Speed Resonant LEDs</t>
  </si>
  <si>
    <t>Non evasive approach to diagnose intestinal diseases</t>
  </si>
  <si>
    <t>The NIADID project investigated and developed novel diagnosis methods for the detection of inflammatory bowel disease and colorectal cancer.</t>
  </si>
  <si>
    <t>Graphene Interconnects Through catalytic coating of copper</t>
  </si>
  <si>
    <t>The GraphInt project aim is to improve and extend the usage of copper as an interconnect material in ICT circuits by coating it with graphene. _x000D_
Graphene is a carbon based material with exceptional conductive properties at the nanoscale which is where the copper conductive abilities become limited</t>
  </si>
  <si>
    <t>Dual-contact multilength lasers for THz and ICT Applications</t>
  </si>
  <si>
    <t>To develop multi-wavelength semiconductor lasers that have the potential to address a range of important commercial and industrial_x000D_applications including imaging,security,medicine ,spectroscopy, metrology, telecommunications data networking and supercomputing</t>
  </si>
  <si>
    <t>Integrated dilute-nitride electro-absorption modulators and lasers</t>
  </si>
  <si>
    <t>The objective of the project is to demonstrate that dilute-nitride materials quantum wells combined with InAs quantum dots grown on gallium-arsenide substrates have enormouss as high-speed short-haul transmission lasers and to generate and protect relevant intellectual property._x000D_</t>
  </si>
  <si>
    <t>An energy saving reconfigurable antenna matching system for ISM band wireless devices</t>
  </si>
  <si>
    <t>This project is concerned with the development of an adaptive antenna tuning system for wireless sensor devices.This research is focused on the development of an adaptive antenna matching system that automatically corrects for antenna detuning effects and allows increased radio performance as well as increased battery life for wireless devices._x000D_</t>
  </si>
  <si>
    <t>Low cost magnetic sensor integrated in standard CMOS</t>
  </si>
  <si>
    <t>The aim of this project is to improve the sensitivity of CMOS silicon magnetic field _x000D_sensors using design techniques which should allow development of single chip, and hence more cost effective, systems that employ magnetic sensing.</t>
  </si>
  <si>
    <t>An ecomonical mini atomic layer deposition system for research and development</t>
  </si>
  <si>
    <t>The Mini-ALD project aims to design, build and demonstrate a low cost system for atomic layer deposition (ALD), that will be attractive to researchers working in the field of ALD process and precursor development.The system will be able to run a wide variety of ALD processes including high-k dielectric materials and metals, while it is designed to deal with small amounts of precursor chemicals efficiently.</t>
  </si>
  <si>
    <t>Development of a micro-optical oxygen sensor for personal health monitoring</t>
  </si>
  <si>
    <t>The Oxysense project seeks to miniaturise an oxygen sensor for breath analysis.To accomplish the miniaturisation, special micro-LEDs with integrated lenses are to be developed.The optical module is to be developed at Tyndall,while the oxygen sensor module is to be assembled and tested at DCU.</t>
  </si>
  <si>
    <t>Ultra high density integrated capacitor</t>
  </si>
  <si>
    <t>The aim of this project is to investigate and develop a novel concept of realising ultra high density capicitors using very high aspect ration nanowires.</t>
  </si>
  <si>
    <t>Wide Spectrum LED (WiSeLED)</t>
  </si>
  <si>
    <t>This project will demonstrate the concept of a broadband LED light source to replace those high value light sources used in applications such as bio diagnostics, medical devices, chemical analyis and general spectroscopy applications.</t>
  </si>
  <si>
    <t>A novel process for printed electronics</t>
  </si>
  <si>
    <t xml:space="preserve">We propose a fully self-aligned process to fabricate thin film transistors (TFT) by combining three dimensional 3D) micro-embossing with ink-jet printing.This 3D embossed pattern can be converted device to define dimensions of all layers of transistors without mask alignment process. </t>
  </si>
  <si>
    <t>Development of Stacked RADFETs for application in personal dosimetry</t>
  </si>
  <si>
    <t>The project has involved fabrication and characterisation of the stacked Radiation Sensing Field Effect Transistors (RADFETs)Standard RADFETs are not sensitive enough for applications in personal dosimetry, but Tyndall has designed a concept where several standard RADFETs are electrically stacked on a single chip, thereby increasing the sensitivity of the chip_x000D_</t>
  </si>
  <si>
    <t>Development of a transdermal vaccine delivery system</t>
  </si>
  <si>
    <t>Immupatch is a revolutionary vaccine delivery device that merges semiconductor-based microneedle technology and novel vaccine formulations to create a low-cost,self-administrable transdermal patch that eliminates the pain and trauma associated with immunization._x000D_</t>
  </si>
  <si>
    <t>Silicon integrated micro direct methanol fuel cell as a portable low power source</t>
  </si>
  <si>
    <t>The project targets the development of a protptype micro direct fuel cell (DMFC) as a portable power source that may be manufactured on a large scale in a cost effective manner._x000D_</t>
  </si>
  <si>
    <t>Quantum cryptography for passive optical networks</t>
  </si>
  <si>
    <t>This project will develop a new type of ultrasense communication system for fibre access networks, which employs physical layer encryption based on quantum physics (quantum cryptrography)_x000D_</t>
  </si>
  <si>
    <t>Nanowire/ Nanotube Infused Thermal Interface Material Integrated to Thermal Management systems</t>
  </si>
  <si>
    <t>The project aims to develop the next generation Thermal Interface Material integrated directly on thermal management system (the heat sink)as a complete system level solution for efficient thermal management system.The outcome of the project will be a range a IP covering the development and implentation of these new materials and their optimisation in the physical design for thermal management system capable of removing heat more efficiently</t>
  </si>
  <si>
    <t>Ultra Thin Inductor for Miniaturised 10 amp convertors.</t>
  </si>
  <si>
    <t>The objective of this project is to design, fabricate and test an isolation transformer integrated onto silicon.The target micro-transformer is designed to provide efficient power transformation as well as a high level of isolation.The process to realize such a micro transformer is fully compatible with standard CMOS process.</t>
  </si>
  <si>
    <t>Full-field electronic dispersion compensation for extension of transmission in opticalcommunication</t>
  </si>
  <si>
    <t>Hybrid full field technique combining a cost effective dispersive transmission line and a fast adaptive full field MLSE is demonstrated for CD compensation with transmission distance dynamically changing from 500km to 900km at Ber of 10</t>
  </si>
  <si>
    <t>Single Frequency Surface Emitting Lasers</t>
  </si>
  <si>
    <t>We propose a compact mass manufacture 10mW single frequency laser based on a novel polymeric extended cavity VCSEL</t>
  </si>
  <si>
    <t>Integrated Measurement Platform for Optical Oxygen Respiromety</t>
  </si>
  <si>
    <t>Development of a integrated measurement plaform for monitoring biological oxygen consumption.</t>
  </si>
  <si>
    <t>Yield enchancement of silicon overvoltage/overcurrent technology for ultra-</t>
  </si>
  <si>
    <t>The new Tyndall device will have a wider applicability for USB2.0 applications and will have lower cost than competing technologies</t>
  </si>
  <si>
    <t>Deucalex Nerve Grafts</t>
  </si>
  <si>
    <t>To Produce synthetic nerve grafts based on biodegradable polymer-glass composites which will benefit 200,000 patients per year in the US and an additional 700,000 patients worldwide.</t>
  </si>
  <si>
    <t>Therapeutic Bone Allografts 2</t>
  </si>
  <si>
    <t>Therapeutic bone allografts capable of regenerating healthy bone in place of damaged or diseased tissue will be developed as commercial products.</t>
  </si>
  <si>
    <t>Commercial Validation of the Redibind TM System</t>
  </si>
  <si>
    <t>Ubi One The Multi Model WiFi Positioning System</t>
  </si>
  <si>
    <t>To provide a multi model WiFi positioning system providing accurate location data in a wide range of environments.</t>
  </si>
  <si>
    <t>IQ Veneers</t>
  </si>
  <si>
    <t>To develop a technology to implement intelligent veneers.</t>
  </si>
  <si>
    <t>Flexible Fixation Tibia Nail</t>
  </si>
  <si>
    <t>To develop a flexible fixation intra-medullary nail which facilitates micro-motion between bone fragments, analogous to the external Ilizarov cage.</t>
  </si>
  <si>
    <t>UWB Medical Image Distribution</t>
  </si>
  <si>
    <t>The project addresses medical image distribution using UWB technology in collaboration with Vistapex ltd.</t>
  </si>
  <si>
    <t>A Novel Therapeutic Stent for Cardiac Repair following acute Myocardial Infraction</t>
  </si>
  <si>
    <t>Clinical development of IGF1 eluting stents (a new type of drug eluting stent) for the therapy of myocardial infarction.</t>
  </si>
  <si>
    <t>Devel of novel Lipid based solid dispersion (LBSD) formulations for enhancing oral bioavailability</t>
  </si>
  <si>
    <t>Development of a novel oral drug delivery technology which has been filed under an Invention Disclosure Form at UCC, is referred to as 'Lipid Based Solid Dispersions (LBSD). This LBSD technology was used to enhance the oral bioavailability of the model lipophilic compound, lycopene. The current proposal is designed to evaluate the potential of the LBSD technology to enhance bioavailability of a range of commerical 'blockbuster' drugs with a view to establishing apatented drug delivery technology</t>
  </si>
  <si>
    <t>Intelligent Municipal Platfor for Lighting Control</t>
  </si>
  <si>
    <t>Intelligent Municipal Platform for Lighting Control</t>
  </si>
  <si>
    <t>PC2008030 Hydrogel 3D</t>
  </si>
  <si>
    <t>Hydrogel 3D Binding Platform for Genetic Analysis</t>
  </si>
  <si>
    <t>Commercialisation fund</t>
  </si>
  <si>
    <t>Deucalex Nerve Grant</t>
  </si>
  <si>
    <t>Mapume</t>
  </si>
  <si>
    <t>MapUme - Location Service Provider</t>
  </si>
  <si>
    <t>BioMapper</t>
  </si>
  <si>
    <t>A software Application for Biotech Discovery</t>
  </si>
  <si>
    <t>Tynpanostomy Tube Applicator</t>
  </si>
  <si>
    <t>Chest Drain Removal Accessory</t>
  </si>
  <si>
    <t>Novel Method for Single Lung Ventiliation</t>
  </si>
  <si>
    <t>Stroke Rehabilitation Home Users Technology</t>
  </si>
  <si>
    <t>Revision Knee with Flexible Stem</t>
  </si>
  <si>
    <t>Otitis Externa</t>
  </si>
  <si>
    <t>Steroid Cream Applicator Device for Otitis Externa</t>
  </si>
  <si>
    <t>Aquamonitor</t>
  </si>
  <si>
    <t>Wireless Aquatic Marine and Freshwater Monitoring and Control</t>
  </si>
  <si>
    <t>Quantum Cryptography for Passive Optical Networks</t>
  </si>
  <si>
    <t>Visible Light Communications Modules</t>
  </si>
  <si>
    <t>Alternate Bath Chemical Deposition</t>
  </si>
  <si>
    <t>Diverse Dev of Scalable, Stable and Linear High-K Capacitors</t>
  </si>
  <si>
    <t>Intelligent Photodetector System</t>
  </si>
  <si>
    <t>Commercial case feasibility support grant Intelligent Photodetector System</t>
  </si>
  <si>
    <t>LBMRx;Linear Burst mode receiver for advanced optical networks</t>
  </si>
  <si>
    <t>Commodity Portfolio Solutions with Diversified Managed Future Trading Systems</t>
  </si>
  <si>
    <t>Developing a diversified managed futures trading system using software code and trading algorithms which delivers abnormal risk adjusted returns.</t>
  </si>
  <si>
    <t>Development of a Thorascopic Electroporation System for the Treatment of Lung Cancer: MICA</t>
  </si>
  <si>
    <t>The project developed a novel medical device suitable for use in keyhold treatment of lung cancers in a minimally invasive way by electroportation</t>
  </si>
  <si>
    <t>ScrutaniseIT: Online EEG Seizure Detection</t>
  </si>
  <si>
    <t>The development of an online platform for seizure detection in EEGs from newborn babies using novel search based algorithms.</t>
  </si>
  <si>
    <t>iBAN-Med: Intelligent Body Area Networks for Medical Applications</t>
  </si>
  <si>
    <t>Turning physiological data into medical information via a Wireless Body Area Network solution for respiration rate, heart rate and blood oxygen levels. Developing algorithsm for in-network processing of vital signs.</t>
  </si>
  <si>
    <t>SEAGRID: Dynamic Models for Grid Integration of Ocean Renwable Energy</t>
  </si>
  <si>
    <t>Development of a generic dynamic power system software model for the electricity grid integration of ocean energy power generation technologies, and a GUI software package for model parameter extraction.</t>
  </si>
  <si>
    <t>2D Stationary Phases for Analytical Chromatography Enhancement (2D-SPACE)</t>
  </si>
  <si>
    <t>To develop an engineered surface with structural properties commensurate with chromatographic performance and generate a substrate platform allowing patterned columnar structures be tested for chromatographic activity.</t>
  </si>
  <si>
    <t>Cognis Ireland Ltd</t>
  </si>
  <si>
    <t>The grantee will carry out a study on boiler 5 air supply (preheat).</t>
  </si>
  <si>
    <t>Boston Scientific Cork Ltd</t>
  </si>
  <si>
    <t>Installation of 7 New Humidifiers to the 4 main Controlled Environments in the Plants</t>
  </si>
  <si>
    <t>Christchurch &amp; St Luke's Church</t>
  </si>
  <si>
    <t>The complete refurbishment Christchurch, an important listed building located in the city centre, as an arts centre that will be operated by the Triskel Arts Centre._x000D_
The complete refurbishment of St Luke's Church, which is a landmark building in Cork City, as a community and cultural resource centre.</t>
  </si>
  <si>
    <t>Gateways Fund</t>
  </si>
  <si>
    <t>Mediterranean Flavours Ltd./Cap</t>
  </si>
  <si>
    <t>Production and branding of fresh pasta products for wholesale market</t>
  </si>
  <si>
    <t>Garry McCarthy Trophies/Cap</t>
  </si>
  <si>
    <t>Specialised Engraving for braille products</t>
  </si>
  <si>
    <t>Transnational Interconnections/Cap</t>
  </si>
  <si>
    <t>Business exchange facilitation and translations_x000D_ 11 jobs created</t>
  </si>
  <si>
    <t>Tuula Harrington Goldsmiths/Emp</t>
  </si>
  <si>
    <t>Goldsmith_x000D_</t>
  </si>
  <si>
    <t>City Clothing Factory Ltd./Cap</t>
  </si>
  <si>
    <t>Clothing Factory</t>
  </si>
  <si>
    <t>Watertipper/Feas</t>
  </si>
  <si>
    <t>Patent for gardening product_x000D_</t>
  </si>
  <si>
    <t>Seeing Red Records/Emp</t>
  </si>
  <si>
    <t>Online music production_x000D_</t>
  </si>
  <si>
    <t>Nova Translations Ltd./Emp</t>
  </si>
  <si>
    <t>Translations Company</t>
  </si>
  <si>
    <t>Kenneth Cooke/Emp</t>
  </si>
  <si>
    <t>Imperial Designs for small business_x000D_</t>
  </si>
  <si>
    <t>Flair Confectionery/Cap</t>
  </si>
  <si>
    <t>Chocolate Maker_x000D_</t>
  </si>
  <si>
    <t>Cork Marketing Partnership/Emp</t>
  </si>
  <si>
    <t>Tourism Marketing Partnership_x000D_</t>
  </si>
  <si>
    <t>Sowans Organic Bread Mix/Cap</t>
  </si>
  <si>
    <t>Mediterranean Flavours Ltd./Emp</t>
  </si>
  <si>
    <t>Fresh Pasta Products</t>
  </si>
  <si>
    <t>Aviatech Broadband Ltd./Emp</t>
  </si>
  <si>
    <t>Broadband packages to rural areas in Spain &amp; Italy_x000D_</t>
  </si>
  <si>
    <t>Shared Visions Ltd./Emp</t>
  </si>
  <si>
    <t>Video Conferencing aimed at small business_x000D_</t>
  </si>
  <si>
    <t>Club Wireless Ltd./Emp</t>
  </si>
  <si>
    <t>Online marketing site for sporting activites</t>
  </si>
  <si>
    <t>T &amp; T Precision Ltd./Cap</t>
  </si>
  <si>
    <t>Tool Makers_x000D_</t>
  </si>
  <si>
    <t>Love Your Shoes/Feas</t>
  </si>
  <si>
    <t>Manufacture of designer shoes_x000D_</t>
  </si>
  <si>
    <t>Aquaeye/Feas</t>
  </si>
  <si>
    <t>Laser aid for visually impaired_x000D_</t>
  </si>
  <si>
    <t>Kemtron Ltd./Cap</t>
  </si>
  <si>
    <t>Manufacture of gaskets for heavy industrial and pharachem sector_x000D_</t>
  </si>
  <si>
    <t>Environmental Laboratory Services/Cap</t>
  </si>
  <si>
    <t>Purchase of Laboratory testing equipment for water testing company_x000D_</t>
  </si>
  <si>
    <t>Zoe Neff/Emp</t>
  </si>
  <si>
    <t>Production of religious artefacts_x000D_</t>
  </si>
  <si>
    <t>Ciara Crossan/Emp</t>
  </si>
  <si>
    <t>Web based booking engine for wedding and conference venues_x000D_</t>
  </si>
  <si>
    <t>Acclaro Business Writing/M2</t>
  </si>
  <si>
    <t>Content for SYOB Course Material and website.  Mentoring for Gifts like these (5 mentor visits).  €200 Pswt</t>
  </si>
  <si>
    <t>Promotion of variety of courses.  Adverts for training programmes in general.  Information Brochure covers for promotional inserts for clients. Advert in Cork City Sports and Cork News &amp; Media Training, Cork Independent and Irish Examiner.  No administration charges are included.  Advert for tendering for soft support programmes. Adverts for 2 courses.3 adverts for general courses Cork Indo, Cork News &amp; Media and Cork City Sports</t>
  </si>
  <si>
    <t>Highscope/M2</t>
  </si>
  <si>
    <t>Management Development Programme for private childcare providers - 12 workshops, one - one mentoring sessions and certification for 20 participating companies over 12 months.  Also incorporates support for networking froups after certification and course completion.</t>
  </si>
  <si>
    <t>Enterprise Ireland Mentoring/M2</t>
  </si>
  <si>
    <t>Appointment of Enterprise Ireland mentors to:  Ireland Spa &amp; Leisure (2), Shared Visions (5), Girish Paul (5), Energy Resource Group (1), David Conway (1), Cascade Training (1), T &amp; T Precision (2), Anu Green (2), Rob Finucane (1), Mary Brady (3), Zoe Neff (3), Micard (4), Colin Hayes (3) Lisa Murphy (1), Chris Percival (3), Donluco (1), MusicAlive (1), John Ketch (1).</t>
  </si>
  <si>
    <t>Personal Effectiveness Programme/M2</t>
  </si>
  <si>
    <t>8 courses of 12 participants each to develop organisational skills and time management techniques.  7 workshops and 3 one - one visits per company per course.</t>
  </si>
  <si>
    <t>Plato/M2</t>
  </si>
  <si>
    <t>2 year Network Forum - 24 facilitated sessions for 7 groups of 12 owner/managers - Network event - Seminars for group learning - access to one to one support from Programme Manager throughout 2 year programme.</t>
  </si>
  <si>
    <t>Ineligible ExpenditureEtelligence</t>
  </si>
  <si>
    <t>Tech Check</t>
  </si>
  <si>
    <t>Motivaction/M2</t>
  </si>
  <si>
    <t>Mentoring various clients from 2007 to 2010.  2011 - 5 visits - Orla Azocar, Riverview, A Browne, Mowbray Bates(2), 6 visits to promoters</t>
  </si>
  <si>
    <t>Cork CEB Mentor Panel/M2</t>
  </si>
  <si>
    <t>Independent Mentors appointed to: Success Partners, Grainne McHale/Pat Humphreys (3), Intersluice/Pat McCarthy (5), Yellow House/Quantum (3), Gift Guru/Anne Moore (5), COH Sales/Discovery (5), Wendy Moore/Motivaction (1).</t>
  </si>
  <si>
    <t>Genesis Enterprise Programme/M2</t>
  </si>
  <si>
    <t>Sponsorship of GEP Awards for companies who have completed the 12 month incubation programme</t>
  </si>
  <si>
    <t>Emerge/M2</t>
  </si>
  <si>
    <t>Ethnic Minorities SYOB Programme</t>
  </si>
  <si>
    <t>Professional Training/M2</t>
  </si>
  <si>
    <t>IT &amp; Accountancy Training Programmes including SAGE computerised accounts package and 3full day training and implementation support. 6 participant companies.</t>
  </si>
  <si>
    <t>B2B Signs/M2</t>
  </si>
  <si>
    <t>Items relate to m2 promotional activies, signage, brochures re new finanical instruments. Production of Labels for measure 1 clients to display in their premises.</t>
  </si>
  <si>
    <t>Tradinglinks/M2</t>
  </si>
  <si>
    <t>Tradinglink Cork is a joint initiative between 4 Cork Enterprise Boards, Cork Co. Council and Cork Chamber of Commerce.  The partnership assists sme's in identifying external markets and arranges visits to potential target markets.  Sme's from the cork region have travelled to UK, Scandanavia, Poland, lithuania and Franc   Contribution towards international trade show visits for smes</t>
  </si>
  <si>
    <t>Advertising Progressive News &amp; Media/M2</t>
  </si>
  <si>
    <t>Advertising for variety of courses and promotion of the board.</t>
  </si>
  <si>
    <t>Sort My Books/M2</t>
  </si>
  <si>
    <t>Courses for 36 participatns on Sort My Books Accounts Package - fee incorporates software full days training and web support for 12 months.</t>
  </si>
  <si>
    <t>Web Marketing/M2</t>
  </si>
  <si>
    <t>2 Web Marketing Training Programmes for 16 participants to educate them in web marketing</t>
  </si>
  <si>
    <t>Network of Enterprising Women/M2</t>
  </si>
  <si>
    <t>Development and maintenance of womens networking group.  Joint initiative between South Cork &amp; Cork City. 4 meetings per year with average attendance of 70 members per night.  120 registered members altogether.  Meetings cover financial management, sales &amp; marketing, speednetworking and general business development skills. Ideas Generation training course for 10 people also.</t>
  </si>
  <si>
    <t>Student Enterprise Awards/M2</t>
  </si>
  <si>
    <t>National 2nd level competition between 35 enterprise boards. Production of promotional DVD 2007. Students from all over the country present their business plans and ideas.</t>
  </si>
  <si>
    <t>Website Development/M2</t>
  </si>
  <si>
    <t>Design and development costs of new website to reflect changes etc.  No charges in relation to domain registration are included here.</t>
  </si>
  <si>
    <t>Finance Workshops/M2</t>
  </si>
  <si>
    <t>3 workshops for 6 participating companies covering Taxation, VAT and Credit Control for small business.</t>
  </si>
  <si>
    <t>Start Your Own Business Course/M2</t>
  </si>
  <si>
    <t>Start your own business course for individuals considering setting up their own business.</t>
  </si>
  <si>
    <t>Mentoring/M2</t>
  </si>
  <si>
    <t>Mentoring</t>
  </si>
  <si>
    <t>Entrepreneurial Society/M2</t>
  </si>
  <si>
    <t>Sponsorship of Business Conference.  Joint initiative with South Cork &amp; Cork City Also to support the entrepreneurial activites of this group.  Compeitions and speaker events throughout college year.</t>
  </si>
  <si>
    <t>BIS Entrepreneurial Bursary/M2</t>
  </si>
  <si>
    <t>Bursary for enterprise project</t>
  </si>
  <si>
    <t>Cork Schools Enterprise Programme/M2</t>
  </si>
  <si>
    <t>Comprehensive 2nd level enterprise programme incorporating trade fairs, awards events, mentoring which culminates in participation and delivery of the National Student Enterprise Programme in May each year. Also the deliver of IGNITE a 3rd level incubation programme for 10 graduates for a period of 1 year.  Joint initiative between 4 Cork Boards, UCC, Cork City &amp; County Council and Industry Partners in the region. Also balance of funding allocated to terminate and wind up Cork PLATO Programme</t>
  </si>
  <si>
    <t>Bullseye Consultancy/M2</t>
  </si>
  <si>
    <t>Marketing Improvement Programme and mentoring</t>
  </si>
  <si>
    <t>You &amp; Your Money Expo/M2</t>
  </si>
  <si>
    <t>You &amp; Your Money Expo</t>
  </si>
  <si>
    <t>Discovery Partnership/M2</t>
  </si>
  <si>
    <t>Personal &amp; Business Coaching programme for 8 participants incorporating 6 workshops and 1-1 mentoring sessions for each participant. 5 Mentor visits for Geostar Ltd. 3 visits for stopcock cosy. 3 visits corporate care</t>
  </si>
  <si>
    <t>Sales &amp; Marketing Mentoring for client  -  5 visits</t>
  </si>
  <si>
    <t>Futurallia/M2</t>
  </si>
  <si>
    <t>Joint initiative between Cork Co. Co., Cork City Co., South, West and City Enterprise Boards and Cork Chamber of Commerce.  European wide networking event which takes place annually for SME sector.  Businesses from all over europe have arranged meetings (min 12) along with seminars and networking events in the various hosted countries.  Costs are contribution towards project co-ordinator fees.</t>
  </si>
  <si>
    <t>Gael Taca/M2</t>
  </si>
  <si>
    <t>Radio advertising on local Irish campus radio to promote activities of the board in irish</t>
  </si>
  <si>
    <t>Edwin Tutty/M2</t>
  </si>
  <si>
    <t>Cork City Sports/M2</t>
  </si>
  <si>
    <t>Advertising forms part of the Board Promotional Activities and this item was for an advert in a high profile Cork Sporting Event which demonstrated the services and supports available from Cork City Enterprise Board .  Cork City Enterprise Board wishes to confirm that this relates exclusively to measure 2 activites of the board.</t>
  </si>
  <si>
    <t>Marketing Mentor Programme/Mentoring/M2</t>
  </si>
  <si>
    <t>Marketing Mentor Programme &amp; mentoring</t>
  </si>
  <si>
    <t>Discovery Science/M2</t>
  </si>
  <si>
    <t>Science week expo.  Open to primary &amp; secondary schools and general public for a week promoting science companies, technologies etc.</t>
  </si>
  <si>
    <t>Marketing Mentor Programme/M2</t>
  </si>
  <si>
    <t>Marketing Mentor Programme</t>
  </si>
  <si>
    <t>Tradelinks/M2</t>
  </si>
  <si>
    <t>Tradinglink cork is a joint venture between the 4 cork boards, cork co. council and cork chamber of commerce to assist smes trade with international companies.</t>
  </si>
  <si>
    <t>Enterprise Promotions Committee/M2</t>
  </si>
  <si>
    <t>National Enterprise promotions committee for expo and shop - any national events for all 35 enterprise boards. There are no administration costs claimed under the enterprise promotions activity.</t>
  </si>
  <si>
    <t>Mentoring FUSE</t>
  </si>
  <si>
    <t>Financial Workshops/M2</t>
  </si>
  <si>
    <t>Book-keeping, Cashflow &amp; Financial Planning workshop - 6 individuals/ Big Red Book Training 6 people.  Big Red Book for 18 promoters.  2 adverts for courses.  2 courses in 2012 for 12 promoters</t>
  </si>
  <si>
    <t>Neptune Programme/M2</t>
  </si>
  <si>
    <t>Advert in programme for national compeition final to promote activites of board</t>
  </si>
  <si>
    <t>Mentoring Tuula Harrington</t>
  </si>
  <si>
    <t>Advertising /M2</t>
  </si>
  <si>
    <t>Publication for syob</t>
  </si>
  <si>
    <t>These costs were for promoting the activities of the board through advert for training programmes, articles on micro enterprises supported by the board by way of financial assistance training or mentoring.ACEO of Cork City CEB wishes to confirm that t</t>
  </si>
  <si>
    <t>Mentoring John Gowan &amp; Sowans</t>
  </si>
  <si>
    <t>Professional Arts Programme Colaiste Stiofain Naofa/M2</t>
  </si>
  <si>
    <t>Crafts Management &amp; Professional Arts programme to develop business ethos in the crafts sector.  8 trainees pariticpate in programme which is delivered by Colaiste Stiofain Naofa Trainers.</t>
  </si>
  <si>
    <t>Business Advisor/M2</t>
  </si>
  <si>
    <t>Salary, Travel and training costs association with full time employed Business Advisor</t>
  </si>
  <si>
    <t>Gift Programme/M2</t>
  </si>
  <si>
    <t>Gift Programme and promotion of same.   Joint initiative with West, South and City Enterprise Board. 10 companies participate in a programme which includes workshops, seminars, mentoring and final participation at SHOP over a 12 month period.  In addition this year the Brown Thomas Design Week was organised with buyers from BT's to come and choose 12 companies to display their goods in BT's Cork.</t>
  </si>
  <si>
    <t>mentoring</t>
  </si>
  <si>
    <t>Soho Solo/M2</t>
  </si>
  <si>
    <t>Network for single owner/home owner businesses where entrepreneurs with IT focus operate from home and this programme support them by monthly meetings, organised webinars, etc.</t>
  </si>
  <si>
    <t>Ineligible Expenditure Tech Check</t>
  </si>
  <si>
    <t>Tech Check Audits</t>
  </si>
  <si>
    <t>WMB Publishing/M2</t>
  </si>
  <si>
    <t>Womens Networking Publication</t>
  </si>
  <si>
    <t>SEO Programme/M2</t>
  </si>
  <si>
    <t>Internet Marketing and SEO optimisation training course</t>
  </si>
  <si>
    <t>CSR Visit/M2</t>
  </si>
  <si>
    <t>3 cork companies visited 3 companies in uk to look at best practice for business under corporate and social responsibility issues for implementation in their own businesses</t>
  </si>
  <si>
    <t>HR Compliance Programme/M2</t>
  </si>
  <si>
    <t>HR course (4) for 24 participants at the end of which they will have an Employee Procedures Manual for use in their business in order that they comply with HR legislation.</t>
  </si>
  <si>
    <t>Women In Business Mentor Programme/M2</t>
  </si>
  <si>
    <t>Mentoring Programme aimed specifically at issues for female owned/managed businesses.  12- One to one mentoring sessions over 12 months for: Julia Lynes (1), O'Riordan Interiors (5), Job Options (5), Sinead Healy (4), Donnas Dance Studio (5), Job Options (5), Corporate Care (3).</t>
  </si>
  <si>
    <t>SYOB/M2</t>
  </si>
  <si>
    <t>Room hire to deliver syob course in college of commerce</t>
  </si>
  <si>
    <t>Adverts for syob, sort my books and big red book training</t>
  </si>
  <si>
    <t>Gem Sushi/Riverview/M2</t>
  </si>
  <si>
    <t>Mentoring Nova Language Solutions &amp; Kathy O'Dwyer</t>
  </si>
  <si>
    <t>Womens Network Photograher/M2</t>
  </si>
  <si>
    <t>Photographs for WIB Network Event</t>
  </si>
  <si>
    <t>Start Your Own Business/M2</t>
  </si>
  <si>
    <t>Start Your Own Business Course for participants who have a fully form business plan and idea with an emphasis on sales &amp; marketing.  2 courses for 24 participants in 2012 including room hire for 6 days and course materials</t>
  </si>
  <si>
    <t>Mentoring Cork City Leaving Cert College</t>
  </si>
  <si>
    <t>Franchise Workshop/M2</t>
  </si>
  <si>
    <t>Hire of room for franchise workshop</t>
  </si>
  <si>
    <t>Trade Visit to La Rochelle Trade Fair/M2</t>
  </si>
  <si>
    <t>Visit to Crafts &amp; Tourism Trade Fair in La Rochelle, France.  Group of Companies brought between Cork South, City, County Council.</t>
  </si>
  <si>
    <t>Workshop for WIB/M2</t>
  </si>
  <si>
    <t>Trainer fees to facilitate a workshop on sales and marketing for women in business.</t>
  </si>
  <si>
    <t>Domain Name Hosting/M2</t>
  </si>
  <si>
    <t>Hosting of domain name</t>
  </si>
  <si>
    <t>NWED/M2</t>
  </si>
  <si>
    <t>3 of 7 participants supported to attend national womens enterprise day.  registration fee covered by board. In 2012 3 participants were supported to attend this event</t>
  </si>
  <si>
    <t>NWED 2008/M2</t>
  </si>
  <si>
    <t>1 of 7 companies selected to go to the National Womens Enterprise Day.  Cost of registration covered for company.</t>
  </si>
  <si>
    <t>Joint initiative between 4 cork boards, cork co. council and chamber of commerce cork to assist smes trade internationally through trade visits in europe</t>
  </si>
  <si>
    <t>1 of 7 participants supported to attend national womens enterprise day.  registration fee covered by board.</t>
  </si>
  <si>
    <t>Enterprise Bus/M2</t>
  </si>
  <si>
    <t>Enterprise Bus</t>
  </si>
  <si>
    <t>CIT Innovation Day/M2</t>
  </si>
  <si>
    <t>Awards event and prize giving for 2nd &amp; 3rd Level students who submit the most innovative business idea for adjudication.  Joint initiative with South Cork and CIT.  Award for best company for new frontiers participants.</t>
  </si>
  <si>
    <t>Bus Advert , Banner &amp; B Quinlan/M2</t>
  </si>
  <si>
    <t>Advert campaign between 4 boards with bus eireann and new banner stand reflecting new ndp etc.</t>
  </si>
  <si>
    <t>Meabh Ring -Mentoring - Love Your Shoes and 2 x cora murphy</t>
  </si>
  <si>
    <t>Trade Visit to La Rochelle/M2</t>
  </si>
  <si>
    <t>Trade Visit to La Rochelle Crafts &amp; Gifts Fair with companies from Cork, South Cork, City and County</t>
  </si>
  <si>
    <t>WIB Networking/M2</t>
  </si>
  <si>
    <t>Joint programme between South Cork &amp; Cork City</t>
  </si>
  <si>
    <t>Tagney &amp; O'Mahony/Feasibility</t>
  </si>
  <si>
    <t>Feasibility Study to assist promoters test viability of science kits for second level schools.</t>
  </si>
  <si>
    <t>Jonathan Fitzpatrick/Feasibility</t>
  </si>
  <si>
    <t>Development of web based one stop shop for coeliac sufferers.</t>
  </si>
  <si>
    <t>D. B. Alliance Ltd/Capital</t>
  </si>
  <si>
    <t>Capital grant to purchase servers for development of I.T. Support company</t>
  </si>
  <si>
    <t>Frameworks Films Ltd/Employment</t>
  </si>
  <si>
    <t>Employment grant to assist community film production company hire a third person for their operation. 1 job created.</t>
  </si>
  <si>
    <t>Kevin Dwane/Employment</t>
  </si>
  <si>
    <t>Employment grant to assist promoter establish movie animation company</t>
  </si>
  <si>
    <t>Whitefrost Ltd/Capital</t>
  </si>
  <si>
    <t>Capital grant for brewing equipment for independent brewing company</t>
  </si>
  <si>
    <t>Radisens Diagnostics Ltd./Equity</t>
  </si>
  <si>
    <t>Equity</t>
  </si>
  <si>
    <t>Equity investment for medical device company to assist them develop their blood testing technology for US markets.</t>
  </si>
  <si>
    <t>Semantic Search Co. Ltd/Equity</t>
  </si>
  <si>
    <t>Equity investment for development of a web based search engine tool aimed at large logistic product based companies to provide for more efficient sales and user interface process.</t>
  </si>
  <si>
    <t>Wig Clinic Ltd/Emp</t>
  </si>
  <si>
    <t>2 Employment grants for two additional part time employees. 2 permanent part time jobs</t>
  </si>
  <si>
    <t>Leemar Seafoods Ltd./Employment</t>
  </si>
  <si>
    <t>Processing and export of all types of fish with particular emphasis on shell fish. 6 jobs will be created.</t>
  </si>
  <si>
    <t>Tiomanai Services Ltd./Feasibility</t>
  </si>
  <si>
    <t>Global Taxi Booking Engine aimed at corporate and multi-national firms at home and abroad.</t>
  </si>
  <si>
    <t>O'Riordan Interiors/Feasibility</t>
  </si>
  <si>
    <t>Production of own branded curtains and wall coverings for sale to wholesalers and through online shop.</t>
  </si>
  <si>
    <t>Corporate Care Relocations/Bus Exp</t>
  </si>
  <si>
    <t>Relocations service for families of Multinational Companies.  The company is contracted to assist the easy movement of senior executives and their families who are being relocated in various countries.</t>
  </si>
  <si>
    <t>Mi-Card Ltd./Employment</t>
  </si>
  <si>
    <t>An online Student discount card aimed at third level colleges.  The promoters are building a marketing database from registered users.</t>
  </si>
  <si>
    <t>National Womens Enterprise Day/M2</t>
  </si>
  <si>
    <t>Contribution towards cost of event accommodation and travel for Ag Eisteacht &amp; Corporate Care to attend the Nataional Womens Enterprise Day.Lucy Hyland, Mairead McWhinney, Ita Murphy + 1 other, Deirdre Roberts</t>
  </si>
  <si>
    <t>Internet Marketing/M2</t>
  </si>
  <si>
    <t>Internet Marketing course for 30 owner/managers incorporating all aspects of web functionallity and marketing applications to increase traffic to websites.</t>
  </si>
  <si>
    <t>Shop Expo/M2</t>
  </si>
  <si>
    <t>Support to attend Shop expo for Meditteranean Flavours to promote and display their fresh pasta products to buyers attending the national event. Support in 2012 for Veronicas Crisps to attend shop event</t>
  </si>
  <si>
    <t>UCC Projects/M2</t>
  </si>
  <si>
    <t>Students from the Tyndall Institute for research and development produce projects based on nanotechnology and present their projects to a judging panel.  The best project is awarded a prize  of €500 for Innovation sponsored by CCEB.  Support towards Entrepreneurial Society and BIS Busary for 3 students.  4 events held in WGB Building around entrepreneurship for incubation companies. UCC Ignite programme for recent graduates starting up.</t>
  </si>
  <si>
    <t>Personal Productivity using Mircrosoft Outlook/M2</t>
  </si>
  <si>
    <t>Training course for owner managers on how to use mircrosoft outlook effectively as a time mangement tool x 6. and Training course on presentation skills x 2</t>
  </si>
  <si>
    <t>Credit Crunch Cashflow Management/M2</t>
  </si>
  <si>
    <t>One day training course for 6 participants on how to manage your cashflow in an economic downturn.</t>
  </si>
  <si>
    <t>Environmental Sustainability Conference/M2</t>
  </si>
  <si>
    <t>Joint initiative between Cork City and South Cork.  Conference to advise small businesses how to become more environmentally friendly.</t>
  </si>
  <si>
    <t>Start Your Own Business Course for 48 people who have a fully formed business idea and now want to produce a business plan. Room Hire for courses at River Lee Hotel and the Imperial Hotel</t>
  </si>
  <si>
    <t>Frankfurt Bookfair/M2</t>
  </si>
  <si>
    <t>Support towards cost for Mercier Press to attedn international book fair at which Irish Titles would be presented to international book publishers for translation and sales to a larger market for irish based authors.</t>
  </si>
  <si>
    <t>Presentation Skills/M2</t>
  </si>
  <si>
    <t>One day course on how to present yourself and your business professional and foom rental in Citygate.</t>
  </si>
  <si>
    <t>CorkMeet/M2</t>
  </si>
  <si>
    <t>International networking event - comapnies from all over europe attended the first international business forum of its kind in Cork.  200 companies had on average 8 meetings each (a total of 1600) with interested internation partners.  Meetings were organised online prior to event and eetings took place over 3 days.</t>
  </si>
  <si>
    <t>Sales &amp; Marketing Programme/M2</t>
  </si>
  <si>
    <t>Sales &amp; Marketing programme for owner managers facing difficulties in growing sales in a tough economic climate.</t>
  </si>
  <si>
    <t>One Day Retail/Feas</t>
  </si>
  <si>
    <t>Feasibility Study Grant to develop coeliac web based platform aimed at providing coeliacs with a reference point for shops etc.</t>
  </si>
  <si>
    <t>Alanya Ltd./Equity</t>
  </si>
  <si>
    <t>Development of heat detection collar for use in US Agricultural farms</t>
  </si>
  <si>
    <t>Antiquus.Com/Feas</t>
  </si>
  <si>
    <t>Feasibility Study Grant to establish online auction engine</t>
  </si>
  <si>
    <t>Bellisima Ltd./Priming</t>
  </si>
  <si>
    <t>Employment Grants x 2 promoters to deliver a fitting service for prosthesis patients post cancer treatment.  2 jobs</t>
  </si>
  <si>
    <t>Blue Bus Experience/Emp</t>
  </si>
  <si>
    <t>Live in bus tours across europe for 18yrs to 35yrs. 1 job created.</t>
  </si>
  <si>
    <t>Stelco Manufacturing Ltd./Priming</t>
  </si>
  <si>
    <t>Manufacture of pod units for health care industry mainly in the UK. 5 jobs created.</t>
  </si>
  <si>
    <t>Tuula Harrington Goldsmith/Bus. Expansion</t>
  </si>
  <si>
    <t>Goldsmith designer and craft maker. 1 job created</t>
  </si>
  <si>
    <t>Dowdall McCann Ltd./Priming</t>
  </si>
  <si>
    <t>Online platform for promotion and sale of local market producers and artisan foods. 2 jobs.</t>
  </si>
  <si>
    <t>Glantreo Ltd./Feas</t>
  </si>
  <si>
    <t>Research &amp; development company in the area of nano technology.  Commercialisation of university research aimed at US markets</t>
  </si>
  <si>
    <t>H2 Compliance Ltd/Bus. Expansion</t>
  </si>
  <si>
    <t>Development of regulatory software platform aimed at multi nationals who must meet regulatory standards in the traceability of chemicals in all products.</t>
  </si>
  <si>
    <t>H2 Compliance Ltd/Cap</t>
  </si>
  <si>
    <t>A software platform aimed at multi nationals to assist them meet their regulatory obligations in the traceability of chemicals</t>
  </si>
  <si>
    <t>Fergal O'Leary/Cap</t>
  </si>
  <si>
    <t>Furniture design and manufacuturer. Puchase of equipment.</t>
  </si>
  <si>
    <t>M. F. Business Skills/Feas</t>
  </si>
  <si>
    <t>Development of an EzyShirt with elasticated neckline for small children and special needs groups.</t>
  </si>
  <si>
    <t>Motor Dealer Software Ltd./Priming</t>
  </si>
  <si>
    <t>Software platform aimed at independent auto dealers to incorporate sales and management systems in the one area. 1 job created</t>
  </si>
  <si>
    <t>Orthocall Technologies Ltd./Equity</t>
  </si>
  <si>
    <t>Commercialisation of bioscience products to aid healing properties for people undergoing surgery.  Technologies were licenced from Royal College of Surgeons. 4 jobs immediately potential within 18 months of 10</t>
  </si>
  <si>
    <t>Slattery Validation Systems Ltd./Priming</t>
  </si>
  <si>
    <t>Development of a thermostat platform for the monitor of temperature online of instruments in hospitals and pharmachem industries. 1 job created</t>
  </si>
  <si>
    <t>Tiomani Services Ltd./Priming</t>
  </si>
  <si>
    <t>Software Platform - Booking System for Taxis aimed at corporate firms. 2 jobs created</t>
  </si>
  <si>
    <t>VerdeLed Ltd./PG</t>
  </si>
  <si>
    <t>Production of LED Lighting products aimed at supermarkets, car parks and any large commercial outlets to reduce energy bills.  1 job_x000D_
inst. and 2nd inst. x €3750) and Trade Fair Grant for German Expo - Stand and publicity materials and travel costs.  Total cost €15,073.24</t>
  </si>
  <si>
    <t>Applied Business - 5 mentor visits to H2 Compliance to assist with business development plan for raising investment.</t>
  </si>
  <si>
    <t>3 Mentor visits for Tony O'Brien, stopcock cosy to assist him with product development and patent filing. 5 Heatek for new plumbing product. 5 J O'Sullivan new it platform. 5 Alfresco Heaters.</t>
  </si>
  <si>
    <t>Open4Funding/M2</t>
  </si>
  <si>
    <t>Webbased platform promoting all funding agencies on a city and regional basis to provide easy access for businesses to identify the correct funding source for thier companies.  Joint initiative with Cork City &amp; County Council and Chamber of Commerce.</t>
  </si>
  <si>
    <t>Mentoring Sean Costelloe/M2</t>
  </si>
  <si>
    <t>3 Mentor visits for green beans Ltd.</t>
  </si>
  <si>
    <t>Social Media/M2</t>
  </si>
  <si>
    <t>8 workshops for 60 people on use of social media as a marketing tool for businesses and room hire</t>
  </si>
  <si>
    <t>Dermot Carberry -4 Mentor visits (S Furlong &amp; V Eke). Meabh Ring 3 visits (Cora Murphy). Anne Moore (pswt for 1 mentor visit). Pat Humphreys 5 visits (Churchfield)- 1 visit (Jerry Ross) - 1 visit (Darren Foley). Quantum Solutions 5 visits.(S. Trillaud,) Tony O'Riordan 1 visit (Riverside).88 1-1 mentor sessions for 32 clients and 3 x 1-1 sessions for social media clients</t>
  </si>
  <si>
    <t>Business In Action/M2</t>
  </si>
  <si>
    <t>Course aimed at 12 long term unemployed individuals identified by Cork City Parntership to educate them in business skills such as taxation, book keeping, basic marketing and budgeting. 4 Courses for 12 promoters each in 2012. Mentor visits 3 for VSL.</t>
  </si>
  <si>
    <t>Enterprise Month/M2</t>
  </si>
  <si>
    <t>A month schedule of all enterprise related activities including training courses, networking events, craft events etc. across cork city and county.  Joint initiative between 4 cork boards.</t>
  </si>
  <si>
    <t>Cork Meet/M2</t>
  </si>
  <si>
    <t>3 day networking event to attract businesses and organisation from abroad to match business with companies here in cork.  Incorporates a web based matching site with 8 meetings per company.  120 companies attended and participated in workshops and seminars.</t>
  </si>
  <si>
    <t>Cork Craft Month/M2</t>
  </si>
  <si>
    <t>Monthly series of event around the crafts industry - incorporate workshops, exhibitions, seminars across cork city and county. Annual Event</t>
  </si>
  <si>
    <t>Cork Food Forum/M2</t>
  </si>
  <si>
    <t>Development of a network for food producers to formulate a stragegy for food producers in the region.  Seminars, Workshops and buyers event along with attendance at SHOP for three participants</t>
  </si>
  <si>
    <t>Trade Fairs/M2</t>
  </si>
  <si>
    <t>Funding for promoters to attend trade fairs relevant to their industry.  Tony O'Brien, Stopcock Cosy - Homes and Design Shows. Fergal O'Leary Horizon furniture. Anu Green US Conf. Joe Gill IPPN Conference. T Blackshields - wedding fare.</t>
  </si>
  <si>
    <t>Showcase/M2</t>
  </si>
  <si>
    <t>Attendance at Showcase for craft company to take a stand as part of the gift programme</t>
  </si>
  <si>
    <t>Marketing Programme/M2</t>
  </si>
  <si>
    <t>Sales &amp; Marketing Course for 6 owner managers followed by 2 1-1 meetings to assist them complete a marketing strategy plan</t>
  </si>
  <si>
    <t>Transnational Interconnections/Emp</t>
  </si>
  <si>
    <t>Exchange company facilitating students and businesses to visit ireland for education/training or commercial purposes. Employment grants for 4 new jobs.</t>
  </si>
  <si>
    <t>Wig Clinic Ltd./Priming</t>
  </si>
  <si>
    <t>2nd instalment x 1 no. employment grant which was decommitted due to delays in drawdown and subsequently re-instated under Priming Grant scheme</t>
  </si>
  <si>
    <t>Cora Murphy/Prim</t>
  </si>
  <si>
    <t>1st inst. emp grant for promoter who is a Commercial Artist.  Applies artwork to cards, commissions etc.  2nd Inst for promoter.</t>
  </si>
  <si>
    <t>ATMS/Prim/Emp</t>
  </si>
  <si>
    <t>Software platform for medical services</t>
  </si>
  <si>
    <t>Eyebuild/Feas</t>
  </si>
  <si>
    <t>Development of balance aid for water sports/activities. Development of tooling for market research</t>
  </si>
  <si>
    <t>Green Your Goods Ltd/PG</t>
  </si>
  <si>
    <t>Trade platform for recycling mobile/technology devices.  Employment grant €15,000, Emp Grant 1st inst. €3750 and marketing grant €2500.  2nd instalment of emp grant €3750</t>
  </si>
  <si>
    <t>Joan Walsh/Prim</t>
  </si>
  <si>
    <t>Student exchange and placement company for european and asian market.  1st inst one employment grant.  Internationally Traded</t>
  </si>
  <si>
    <t>Johanne King/Prim</t>
  </si>
  <si>
    <t>Dress designer under brand label "Jo King".  1 job 1st inst. €3,750.  2nd inst of €3,750 for promoter</t>
  </si>
  <si>
    <t>Nixatel Ltd t/a Pick A Cab/Prim/Emp</t>
  </si>
  <si>
    <t>Taxi management platform for international taxi agencies in UK and Paris</t>
  </si>
  <si>
    <t>ATS Ltd/PG</t>
  </si>
  <si>
    <t>Manufacturing Execution Systems software for mult nationals and large irish firms. 2 employment grants of €10K and €7.5k each</t>
  </si>
  <si>
    <t>Angelina Ballerina/Bus Exp</t>
  </si>
  <si>
    <t>Franchise development for dance classes expanding to UK Market. 1st inst of emp grant €3,750 and marketing grant to visit uk trade show €5,000.  2nd inst. of emp grant and 1st inst. of second emp grant</t>
  </si>
  <si>
    <t>Patricia Segrillo/Prim</t>
  </si>
  <si>
    <t>1st inst. &amp; 2nd inst. of  employment grant for Craft artist who makes craft items for sale to public and under commissions</t>
  </si>
  <si>
    <t>Sile O'Leary t/a PebblesBoot /Prim</t>
  </si>
  <si>
    <t>Production of organic washing powders/cleaning agents under brand name "pebblesboot"</t>
  </si>
  <si>
    <t>Social Talent/Prim/Emp</t>
  </si>
  <si>
    <t>Software platform to facilitate recruitment through use of social media</t>
  </si>
  <si>
    <t>Games for Good/Prim</t>
  </si>
  <si>
    <t>Games platform to be used by multinationals as a promotional/marketing tool.  Salary Costs €35,000</t>
  </si>
  <si>
    <t>Haven Technologies/Bus.Exp</t>
  </si>
  <si>
    <t>Software managment tool for smes. 1 employment grant €10,000</t>
  </si>
  <si>
    <t>Online Video Workshop/M2</t>
  </si>
  <si>
    <t>Ciara Hyland - 1 day workshop for 26 promoters to learn how to produce a video of good quality for use as social media promotional tool on websites, youtube etc.  2 courses for 16 promoters in 2012</t>
  </si>
  <si>
    <t>Internal Solutions Mentoring for Pebble Boots x 2 sessions</t>
  </si>
  <si>
    <t>Frances McDonald 5 mentoring visits to Fergal O'Leary</t>
  </si>
  <si>
    <t>Hillshore/Mentoring/M2</t>
  </si>
  <si>
    <t>2 mentor visits</t>
  </si>
  <si>
    <t>Par Solutions Ltd. 3 mentor visits Bernard McNamee</t>
  </si>
  <si>
    <t>Pat Humphreys -1 mentor visit to Nicola Meacle</t>
  </si>
  <si>
    <t>Think Tank -2 mentor visits - bob gee</t>
  </si>
  <si>
    <t>Cost Effective Marketing/Mentoring/M2</t>
  </si>
  <si>
    <t>2 full day workshops for 40 companies with one to one follow up support and mentoring for 2 visits</t>
  </si>
  <si>
    <t>GYBO/M2</t>
  </si>
  <si>
    <t>7 workshop days for "get your business online" initiative for 84 companies</t>
  </si>
  <si>
    <t>Ebay Workshop/M2</t>
  </si>
  <si>
    <t>Room Hire for Ebay workshop for 12 participants</t>
  </si>
  <si>
    <t>Conor Kenny - 1 mentoring visit for pub tours project</t>
  </si>
  <si>
    <t>Michael Brennock - 3 mentor visits - Cork Leaving Cert College.</t>
  </si>
  <si>
    <t>Nubie/M2</t>
  </si>
  <si>
    <t>Licences for Nubie</t>
  </si>
  <si>
    <t>Profile Communication -3 mentor visits for Tuula Harrington</t>
  </si>
  <si>
    <t>Venture Academy/M2</t>
  </si>
  <si>
    <t>12 workshops delivered by Cork BIC for 16 companies to become investor ready. 2 Cork City Companies participated Pick a Cab and Product World in 2011 and further 2 companies in 2012.</t>
  </si>
  <si>
    <t>Smile/M2</t>
  </si>
  <si>
    <t>Contribution towards SMILE recycling initiative for the county of Cork.  Partners with Cork Co. Council and South, West &amp; North Cork Enterprise Board.  Expenditure ties to project co-ordinator and details of activities associated with the development of the project.</t>
  </si>
  <si>
    <t>Eyebuild Ltd./Prim/Emp</t>
  </si>
  <si>
    <t>Employment grant for promoter of water balance aid product for use in water sports training at both amateur and professional level.</t>
  </si>
  <si>
    <t>Glantreo Ltd./BE</t>
  </si>
  <si>
    <t>Innovation &amp; Research facility for nano technologies licenced from UCC for commercialisation.  Employment Grant for PhD Grad.  Salary costs €32k commencing</t>
  </si>
  <si>
    <t>Half Light Studio/PG</t>
  </si>
  <si>
    <t>Audio recording studio for tv commercials and movie clips etc.   Sound booth and recording decks.</t>
  </si>
  <si>
    <t>Birds Eye View/Feas/Prim</t>
  </si>
  <si>
    <t>Manufacture of an aerial photography device for commercial use by Army, Navy, Local Authorities etc. Priming grant for purchase of capital equipment</t>
  </si>
  <si>
    <t>Celtic Internships Ltd./PG</t>
  </si>
  <si>
    <t>English language college targeting overseas students from colleges or companies wishing to develop their English language skills.  Primarily focused on Spanish and Italian markets.  2 jobs for promoters - salary €35k each.</t>
  </si>
  <si>
    <t>Cork English Training World/PG</t>
  </si>
  <si>
    <t>2 No. Emp Grants for promoters of €15k each.  Salaries €32k each. Establishment of English training college aimed at foreign students or businesses.  Target markets spain/japan/china</t>
  </si>
  <si>
    <t>Fertility Check/PG</t>
  </si>
  <si>
    <t>Emp grant for promoter to establish testing laboratory and clinic for infertility issues. Promoters salary 30K.</t>
  </si>
  <si>
    <t>Ryans Arbutus Breads Ltd./BE</t>
  </si>
  <si>
    <t>Purchase of Commercial Ovens for par baking breads, Mixer and conveyor belt system, fit out of unit i.e. walls, flooring, electrics.  Total investment €250k by owner</t>
  </si>
  <si>
    <t>Joanne Power/Feas</t>
  </si>
  <si>
    <t>Feas. Study Grant to establish fashion design house under brand name "Jo Power".  Support towards first trial of production of design portfolio.</t>
  </si>
  <si>
    <t>Denis O'Leary/PG</t>
  </si>
  <si>
    <t>1st instalment of emp grant for promoter.  recycling rubber for export to china.</t>
  </si>
  <si>
    <t>Ask About Risk/Prim</t>
  </si>
  <si>
    <t>Developed a health &amp; saftety platform for corporates with integrated information system along with other aspects such as supplies and legislative information feeds.</t>
  </si>
  <si>
    <t>Business Advice Clinics/M2</t>
  </si>
  <si>
    <t>1-1, 1&amp;1/2 hour long mentor visits for promoters.  42 sessions for 42 promoters.</t>
  </si>
  <si>
    <t>Marketing Grant/M2</t>
  </si>
  <si>
    <t>Marketing grant to visit 2 trade events to present new technology platform for taxi companies - Nixatel</t>
  </si>
  <si>
    <t>Vifulcrum/M2</t>
  </si>
  <si>
    <t>Support for 25 design &amp; construction professionals for hub environment.  Costs for Proj. Co-Ordinator, Marketing, Website and Seminars, Workshops and 3 AEC Courses.</t>
  </si>
  <si>
    <t>Taxation Workshop/M2</t>
  </si>
  <si>
    <t>Taxation workshops for 6 promoters.</t>
  </si>
  <si>
    <t>Trade Fair Support/M2</t>
  </si>
  <si>
    <t>Trade Fair grant to support trade visit for design jewllery event. - Tuula Harrington</t>
  </si>
  <si>
    <t>Advanced Food Programme/M2</t>
  </si>
  <si>
    <t>Support towards joint initiative between 4 cork boards to assist food producers develop their product offering.  Attendance at shop and marketing along with workshops and seminars.  10 participants in total - 1 from cork city.</t>
  </si>
  <si>
    <t>Lindedin/M2</t>
  </si>
  <si>
    <t>one day workshop on use of Linkedin as a social media tool from micro buisnesses. 8 promoters.</t>
  </si>
  <si>
    <t>Dolliver Designs/Feas</t>
  </si>
  <si>
    <t>Feasibility grant for company to undertake feasibility of establishing and puppetry centre in cork cork.</t>
  </si>
  <si>
    <t>VerdeLed Ltd/BE</t>
  </si>
  <si>
    <t>2 instalments of employment grants of €3750 each and Marketing support for attendance at Expo in Germany of €7536.62</t>
  </si>
  <si>
    <t>CIT Cycle 4 Environment Graduate Programme</t>
  </si>
  <si>
    <t>Environment and Climate Change is of great importance both nationally and globally and researchers with cross-disciplinary knowledge in areas of marine, environment, computational mechanics and geoscience areas will be needed in the formulation of European-wide research efforts in Climate Change.  As a result, this project will develop a specific Graduate Research Education Programme in Environment and Marine research.</t>
  </si>
  <si>
    <t>PRTLI (Capital)</t>
  </si>
  <si>
    <t>CIT Cycle 4 NEMBES: Networked Embedded Systems</t>
  </si>
  <si>
    <t>The overall project aim is to bring together the key national experts in the field and make Ireland a recognised international centre of research, education and innovation in networked embedded systems research and applications. The research aim is to address Networked Embedded Systems R&amp;D from an application focused, whole system viewpoint.</t>
  </si>
  <si>
    <t>CIT Cycle 4 Nanoscience and Nano-scale Technologies for Ireland (NANOTEIRE)</t>
  </si>
  <si>
    <t>The creation of a shared national infrastructural capability that will fill the acknowledged gaps, and be serviced effectively by trained support staff, in order to enhance the national capacity for delivering innovative research in nanoscience and nanoscale technologies.</t>
  </si>
  <si>
    <t>UCC Cycle 3 Research Library</t>
  </si>
  <si>
    <t>Expanding research activity at UCC created the need for additional library facilities. The new facilites provides 755 reader places. The building houses research-oriented library services and has centralised access to and storage of all the special collections and archives.</t>
  </si>
  <si>
    <t>UCC Cycle 3 Informatics Research Centre</t>
  </si>
  <si>
    <t>Some of the most fundamental problems of the information society are to be found at the interface between computer science and mathematics. As part of UCC's overall research strategy, the School of Mathematics, Applied Mathematics and Statistics, and the Department of Computer Science have combined their expertise through the Boole Centre for Research in Informatics (BCRI) in order to carry out interdisciplinary research at this interface under the banner of Informatics in areas of mathematics</t>
  </si>
  <si>
    <t>UCC Cycle 3 Eco-electronics</t>
  </si>
  <si>
    <t>The central objective of the overall initiative was to apply an environmental focused iterative approach to the design, synthesis, processing, fabrication and end-of-life for organic and polymer-based materials and devices in order to develop novel environmentally optimised systems of materials. _x000D_The advanced research conducted in this initiative will be directed towards the environmentally-optimised development of all organic optoelectronics.</t>
  </si>
  <si>
    <t>UCC Cycle 3 Biosciences Research Institute incl Research in Cancer and Cell Signalling</t>
  </si>
  <si>
    <t>The Biosciences Institute integrates excellence in the fields of biomedical and health research. The institute occupies a five floor building on the UCC Campus and is a hub of collaborative research within UCC. Research Partnerships with seven other institutions cover three main themes. Biosciences, Food and Health and Integrative Reproductive Biology.</t>
  </si>
  <si>
    <t>UCC Cycle 3 Food &amp; Health</t>
  </si>
  <si>
    <t>Food and Health Safety, Toxicology and Consumer Analysis Research is conducted within the Biosciences Institute and is divided into five projects. _x000D_Molecular analysis of selected probiotic bacterial strains with demonstrated health benefits. _x000D_
Nutritional modulation of physiological functions related to chronic disease._x000D_
Food safety and toxicology._x000D_The molecular understanding of food structure and functionality._x000D_Consumer eating habits. attitudes and behavior studies.</t>
  </si>
  <si>
    <t>UCC Cycle 3 Nanoscale Science</t>
  </si>
  <si>
    <t>Capital Support for advanced technological facilities for nanoscience. The outputs of this are fundamental scientific research and the establishment of core research and technology platforms. The mission is to achieve international pre-eminence in the platform technologies that underpin design, fabrication and application of nanosystems and to enable researchers to conduct world-class nanotechnology research.</t>
  </si>
  <si>
    <t>UCC Cycle 3 Analytical &amp; Biological Chemistry Research Facility</t>
  </si>
  <si>
    <t>The ABCRF is a multi-dicsiplinary research initative. New laboratories and expertise facilitate development and industrial application of state-of-the-art analytical tests including measuring dioxin levels in the environment and testing cell viability with ultrasensitive bioassays. Compounds are synthesised for their potential in pharmaceutical applications. One current synthetic target has potential in the treatment of asthma and neurological disorders.</t>
  </si>
  <si>
    <t>UCC Cycle 4 Humanities Serving Irish Society (HSIS)</t>
  </si>
  <si>
    <t>UCC Cycle 4 HSIS Humanities Serving Irish Society</t>
  </si>
  <si>
    <t>UCC Cycle 4  Biopharmeuticals &amp; Pharmacological Sciences (National Programme)</t>
  </si>
  <si>
    <t>The provision of graduates with the necessary skills and training to enable an increase in (Bio)pharmaceutical R&amp;D. Incorporating all four Schools of Pharmacy in Ireland.</t>
  </si>
  <si>
    <t>UCC Cycle 4 Environment Graduate Programme</t>
  </si>
  <si>
    <t>UCC Cycle 4 Environment &amp; Climate Change</t>
  </si>
  <si>
    <t>UCC Cycle 4 Food Ireland - National Food and Health Collaborative Research Programme</t>
  </si>
  <si>
    <t>The objective of the programme is to establish a cohesive and integrated national framework for research and training in the area of food and health and associated agri-food related areas.</t>
  </si>
  <si>
    <t>UCC Cycle 4 National Biophotonics Imaging Platform</t>
  </si>
  <si>
    <t>The NBIP is a development programme aiming to build on existing institutional human and capital resources in imaging and bio photonics so as to create a structured national network of accessible research and training facilities and to sustain internationally competitive research programmes in Molecular, Cellular, Animal and Human Imaging.</t>
  </si>
  <si>
    <t>UCC Cycle 4 Biosciences Cell Biology &amp; Cell Signalling New Space</t>
  </si>
  <si>
    <t>To increase the capacity for research and PhD training in the general area of cell biology and cell signalling related to different normal and diseased states. A major emphasis is on cancer biology and neuroscience research, with more than 30 investigators engaged in different aspects of cell biology and cell signalling in these areas. UCC plan to further develop cancer research on three fronts: fundamental scientific research, translational research, and clinical research.</t>
  </si>
  <si>
    <t>UCC Cycle 4 Nanoscience and Nano-scale Technologies for Ireland (NANOTEIRE)</t>
  </si>
  <si>
    <t>CIT Centre for Research in Advanced Therapeutic Engineering</t>
  </si>
  <si>
    <t>CREATE Research Ctr addresses infrastructural deficits which inhibit the further development of  prioritised research areas in CIT. CREATE will be a multidisciplinary research facility which aligns with national priorities. The Centre will accommodate complementary research strands providing convergence on translational health research across the spectrum from patient care to product development. Strategic strands cover: bio-molecule discovery, biomedical engineering &amp; advanced optical imaging.</t>
  </si>
  <si>
    <t>UCC Tyndall FlexiFab for Applied Convergent Nanotechnologies</t>
  </si>
  <si>
    <t>A unique 'FlexiFab' research laboratory will be established within the new Laboratory Building at Tyndall National Institute. The project will play a key role in integrating Ireland's nanoscience and nanotechnology capabilities, providing a unique set of flexible fabrication facilities for graduate research and education in nanoelectronics, nanophotonics and nanobiotechnology.</t>
  </si>
  <si>
    <t>UCC e-INIS The Irish National e-Infrastructure Cycle 4</t>
  </si>
  <si>
    <t>e-INIS aims to enable the construction of a modern integrated national e-Infrastructure based around the three existing service collaborations (HEAnet, Grid-Ireland and ICHEC) together with key institutional partners (NUIM, NUIG, TCD, UCC) and incorporating the three key elements of high-performance computing, advanced network connectivity and sophisticated data management. The longer-term aim is to integrate this into the developing European and international shared e-Infrastructure.</t>
  </si>
  <si>
    <t>UCC Food &amp; Health Cycle 5</t>
  </si>
  <si>
    <t>Project will address key infrastructural deficits of regional &amp; national importance to field of Food and Health research that will allow UCC &amp; Ireland to compete internationally and to realise full economic potential of this sector. Two capital elements of the project are: 1. Implementation of Phase II (equipping and finishes) of the Good Manufacturing Practice (GMP) Bioprocessing Facility, the first such in Ireland, and 2. Phase II (equipping) of the Human Dietary Intervention Studies Facility.</t>
  </si>
  <si>
    <t>WED Cross Energy Limited</t>
  </si>
  <si>
    <t>The grantee will construct two 2MW Enercon E-82 wind turbines at Munster Joinery industrial site.</t>
  </si>
  <si>
    <t>CIT Research Equipment Renewal Grant</t>
  </si>
  <si>
    <t>Various equipment items for key research areas identified in the HEA/Forfas Research Infrastructure Review 'Research Infrastruture in Ireland - Building for Tomorrow.' Published in 2007. Areas: Chemistry &amp; Biology Research (Supercritical Fluid Extraction System); Biological Sciences Research Laboratories-Lightcycler realtime PCR, Bioanalyser, Gel Documentation system; Applied Physics &amp; Instrumentation Research Laboratories (Photonics Cluster)-Electron Multiplying CCD,Tunable laser,autocorrelator</t>
  </si>
  <si>
    <t>Research Equipment Renewal Grant</t>
  </si>
  <si>
    <t>UCC RERG 1</t>
  </si>
  <si>
    <t>Equipment items for key research areas identified in the HEA/Forfas Research Infrastructure Review 'Research Infrastructure in Ireland - Building for Tomorrow.' Published in 2007. Research Areas: RERG 1: Transmission Electron Microscope-research in nanotechnology and nanoelectronics, advanced electronic materials, photonics, biological and health sciences and the environment. Medium sized equipment includes Biofilm Imaging Equipment and an Aerosol Mass Spectrometer  (atmospheric chemistry)</t>
  </si>
  <si>
    <t>UCC RERG 2 - CAT 111 Lab</t>
  </si>
  <si>
    <t>Equipment item for key research area identified in the HEA/Forfas Research Infrastructure Review 'Research Infrastructure in Ireland - Building for Tomorrow.' Published in 2007. Research Areas: RERG 2: Category 3 (Biosafety Level 3) Equipment. Includes 2 x Class 1 Safety cabinets and an autoclave. Assembly, installation and connection of equipment. Ensuring best practice in Pathogen Handling in UCC.</t>
  </si>
  <si>
    <t>APPLIED RESEARCH TOTAL</t>
  </si>
  <si>
    <t>COMMERCIALISATION TOTAL</t>
  </si>
  <si>
    <t>GATEWAY FUND TOTAL</t>
  </si>
  <si>
    <t>PRTLI (CAPITAL) TOTAL</t>
  </si>
  <si>
    <t>RESEARCH EQUIPMENT TOTAL</t>
  </si>
  <si>
    <t>CORK CITY TOTAL</t>
  </si>
  <si>
    <t>Tesco Ireland Ltd</t>
  </si>
  <si>
    <t>Installation of a CHP unit with an output capacity of 334kW Electricity and 497 kW heat.</t>
  </si>
  <si>
    <t>Dublin City</t>
  </si>
  <si>
    <t>Congregation of the Passion</t>
  </si>
  <si>
    <t>Installation of a 68.6 kW heat pump.</t>
  </si>
  <si>
    <t>Installation of 25.36 sq m of evacuated tube solar collectors.</t>
  </si>
  <si>
    <t>Ikea Ireland Ltd</t>
  </si>
  <si>
    <t>Installation of a 650kW _x000D_wood chip boiler</t>
  </si>
  <si>
    <t>Clontarf Lawn Tennis Club</t>
  </si>
  <si>
    <t>Installation of 17.46m2 evacuated tube solar panels._x000D_</t>
  </si>
  <si>
    <t>Fairview Family Practice</t>
  </si>
  <si>
    <t>3.65m2 flat plate Solar panel on roof to provide hot water for surgery._x000D_</t>
  </si>
  <si>
    <t>Horan Properties</t>
  </si>
  <si>
    <t>Installation of solar water heating,</t>
  </si>
  <si>
    <t>Islamic Foundation of Ireland</t>
  </si>
  <si>
    <t>Installation of 3 x 15 kW heat pumps.</t>
  </si>
  <si>
    <t>Installation of 6.9m2 evacuated tuble solar panels</t>
  </si>
  <si>
    <t>Feasibility study re changing existing fossil driven heating systems with a renewable heating system_x000D_</t>
  </si>
  <si>
    <t>Sportslink- Public Services Telecom Sports Club Ltd</t>
  </si>
  <si>
    <t>Installation of 1 no. ENER.G 125 CHP unit and peripheral equipment. CHP unit to be installed to reduce energy costs and energy requirements on site_x000D_</t>
  </si>
  <si>
    <t>Willoway Nursing Home Ltd</t>
  </si>
  <si>
    <t>The grantee will install a 40kW heat pump</t>
  </si>
  <si>
    <t>Atec Engineering Ltd</t>
  </si>
  <si>
    <t>The grantee will install 13.8 sq m of flat plate solar collectors</t>
  </si>
  <si>
    <t>Eamonn O'Connell</t>
  </si>
  <si>
    <t>Installation of 14.16m2 flat plate solar.</t>
  </si>
  <si>
    <t>Stream Capital Renewables Ltd</t>
  </si>
  <si>
    <t>Feasibility study to assess the environmental and economic case for developing a sustainable waste processing plant for Dublin City and County</t>
  </si>
  <si>
    <t>Directive Ultra Wideband Antenna for Radar</t>
  </si>
  <si>
    <t>Directive Ultra Wideband Antenna for Radar in Wireless Sensor Networks</t>
  </si>
  <si>
    <t>Avalanche Photodiode</t>
  </si>
  <si>
    <t>P04273: Oxy Temp- Intrinsic Temperature Compensation for Optical Oxygen Sensors</t>
  </si>
  <si>
    <t>OxyTemp - Intrinsic Temperature Compensation for Optical Oxygen Sensors</t>
  </si>
  <si>
    <t>Development of Novel Anti-MRSA Agent</t>
  </si>
  <si>
    <t>Developemnt of novel anti mrsa agent as the level of anti biotic resistance increases.</t>
  </si>
  <si>
    <t>F01700 - Vision System for Ambient Monitoring Applications</t>
  </si>
  <si>
    <t>Vision System for Ambient Monitoring Applications</t>
  </si>
  <si>
    <t>F01670 - A web based tool for the creation of flash animations</t>
  </si>
  <si>
    <t>A web based tool for the creation of flash animations</t>
  </si>
  <si>
    <t>P02106 Personal sensor (P sensor)</t>
  </si>
  <si>
    <t>Personal sensor (P sensor)</t>
  </si>
  <si>
    <t>P02121: ZnO nanorod arrays for nano-photonics</t>
  </si>
  <si>
    <t>ZnO nanorod arrays for nano-photonics_x000D_</t>
  </si>
  <si>
    <t>P02122: Development of a micro-optical oxygen sensor for personal health monitoring (microOxySense)</t>
  </si>
  <si>
    <t>uOxySense_x000D_</t>
  </si>
  <si>
    <t>P02126: Wide-Coverage Accurate &amp; Robust Resources: Morphological Proces. of Unrestricted Arabic Text</t>
  </si>
  <si>
    <t>Morphological Proces.for Unrestricted Arabic Text_x000D_</t>
  </si>
  <si>
    <t>P02134: Passive mode-locked lasers for all-optical and radio-frequency applications</t>
  </si>
  <si>
    <t>Passive mode-locked lasers for all-optical frequen_x000D_cy</t>
  </si>
  <si>
    <t>P02144: Lab-On-A-Chip Foundry and Design Service</t>
  </si>
  <si>
    <t>Lab-On-A-Chip Foundry and Design Service_x000D_</t>
  </si>
  <si>
    <t>P02165: Devel. of Micro Molecular Index Card of Cardiovascular Health: Next Gen. Prog.&amp;Diag. BioChip</t>
  </si>
  <si>
    <t>Micro Molecular Index Card of Cardiovascular Healt_x000D_h</t>
  </si>
  <si>
    <t>P02175: Non-destructive Characterisation of Solar Cells Using Multi-channel Photo thermal Scanning</t>
  </si>
  <si>
    <t>SolaScan</t>
  </si>
  <si>
    <t>P03072: Electron Density Sensor as an advanced virtual metrology for plasma technologies</t>
  </si>
  <si>
    <t>Electron Density Sensor_x000D_</t>
  </si>
  <si>
    <t>P03077: Worm Oliigosaccharides as Therapeutic Molecules Against Inflammatory Disorders (WORM-AID)</t>
  </si>
  <si>
    <t>WORM-AID_x000D_</t>
  </si>
  <si>
    <t>P03516: Removal of Optical Aberrations in Digital Imaging Systems</t>
  </si>
  <si>
    <t>ROADIS_x000D_</t>
  </si>
  <si>
    <t>P03533: High-Performance Low-Power Hardware Accelerators for Deep Packet Inspection</t>
  </si>
  <si>
    <t>High-Performance Low-Power Hardware Accelerators_x000D_</t>
  </si>
  <si>
    <t>P03557:Design&amp;Dev. of Novel Multifunctional Nano-Platform for Application in AdaptiveSensing Techn.</t>
  </si>
  <si>
    <t>Development of a Novel Multifunctional Nano-Platfo_x000D_</t>
  </si>
  <si>
    <t>P03558:User-Centric Access Network Selection Strategy (UCANS)</t>
  </si>
  <si>
    <t>UCANS_x000D_</t>
  </si>
  <si>
    <t>P03560: Band-gap crystals designed for TeraHertz waveguides</t>
  </si>
  <si>
    <t>Band-gap crystals designed for TeraHertz waveguide_x000D_</t>
  </si>
  <si>
    <t>P03566: Photoacoustic Demonstrator for detecting edge bead irregularities in semiconductor wafers</t>
  </si>
  <si>
    <t>Irregularities in Semiconductor Wafers_x000D_</t>
  </si>
  <si>
    <t>P03567: Wireless Autonomous Nutrient Detector</t>
  </si>
  <si>
    <t>The Wireless Automomous nutrient detector project (WAND)_x000D_</t>
  </si>
  <si>
    <t>P03571: HandySense: Mobile Phone-based sensor platform</t>
  </si>
  <si>
    <t>HandySense_x000D_</t>
  </si>
  <si>
    <t>P03577: Photonic Integrated Circuit for Optical PULse SourcE</t>
  </si>
  <si>
    <t>The photonic integrated circuit for optical pulse source project (PICOPULSE)</t>
  </si>
  <si>
    <t>P03581:Superior Mon.&amp;Anal. RelayedThrough SensorsProviding Longitudinal Info.NocturnalToothgrinding</t>
  </si>
  <si>
    <t>SMART SPLINT</t>
  </si>
  <si>
    <t>P03582:Val.serum biomarkets: use in early det.&amp;mon. resp. to therapy squamous cell carcinoma of lung</t>
  </si>
  <si>
    <t>BIOLUNG_x000D_</t>
  </si>
  <si>
    <t>P03590: AmBeR- Development of a point of care device for monitoring breath ammonia</t>
  </si>
  <si>
    <t>The Development of a point-of-care device for monitoring breath ammonia (AmBeR)_x000D_</t>
  </si>
  <si>
    <t>P03593: Biomedical Applications of Size-Controlled Nanoparticle Clusters BANCs</t>
  </si>
  <si>
    <t>The biomedical applications of Size-controlled Nanoparticle Clusters project</t>
  </si>
  <si>
    <t>P03594: Open tubular capillary columns obtained by evanescent wave photopolymerisation (OTC-EP)</t>
  </si>
  <si>
    <t>OTC-EP; EI_x000D_</t>
  </si>
  <si>
    <t>P03597: The EcoDryer - Energy Efficient Clothes Dryer</t>
  </si>
  <si>
    <t>The EcoDryer - Energy Efficient Clothes Dryer_x000D_</t>
  </si>
  <si>
    <t>P04275:Next Gen,AtmosphericPressurePlasma Mon.: PassiveRadioFreq.Spectroscopy for NanoscaleProcesses</t>
  </si>
  <si>
    <t>Passive Radio Frequency Spectroscopy_x000D_</t>
  </si>
  <si>
    <t>P04278: A New Generation of Enzyme Biosensors: Novel Materials and Production Technologies</t>
  </si>
  <si>
    <t>NewGenZyme_x000D_</t>
  </si>
  <si>
    <t>P04584: Development of a cost-effective dipstick to test</t>
  </si>
  <si>
    <t>Development of a cost-effective dipstick to test</t>
  </si>
  <si>
    <t>P07218: Low Noise Figure Semiconductor optical amplifier</t>
  </si>
  <si>
    <t>Semiconductor optical amplifier_x000D_</t>
  </si>
  <si>
    <t>P07219: Self-pulsating Fabry-Perot laser for telecommunication applications</t>
  </si>
  <si>
    <t>Self-pulsating Fabry-Perot laser_x000D_</t>
  </si>
  <si>
    <t>P07238: Flexible Accelerator using Schema Twigs for XML</t>
  </si>
  <si>
    <t>Flexible Accelerator using Schema Twigs for XML_x000D_</t>
  </si>
  <si>
    <t>P07240: Distributed intrusion detection on wireless networks</t>
  </si>
  <si>
    <t>Distributed intrusion detection on wireless networks_x000D_</t>
  </si>
  <si>
    <t>P07244: REALLY SIMPLE SYNDICATION SENSOR ENVIRONMENT.</t>
  </si>
  <si>
    <t>REALLY SIMPLE SYNDICATION SENSOR ENVIRONMENT</t>
  </si>
  <si>
    <t>P07258: A Mechanical method of rupturing cell walls</t>
  </si>
  <si>
    <t>A Mechanical method of rupturing cell walls_x000D_</t>
  </si>
  <si>
    <t>P07589: Language oriented retrieval and generation - Language technology for next generation search</t>
  </si>
  <si>
    <t>Language oriented retrieval and generation - LORG_x000D_</t>
  </si>
  <si>
    <t>P07594: Gold Nano-Layers on Monolithic Scaffolds</t>
  </si>
  <si>
    <t>Gold Nano-Layers on Monolithic Scaffolds_x000D_</t>
  </si>
  <si>
    <t>P07641: Development of a Multianalyte Biosensor Platform</t>
  </si>
  <si>
    <t>Development of a Multianalyte Biosensor Platform_x000D_</t>
  </si>
  <si>
    <t>P07649: Novel targets for Monoclonal Antibody- Mediated Inhibition of Cancer Cell Invasion</t>
  </si>
  <si>
    <t>Novel targets for Monoclonal Antibody_x000D_</t>
  </si>
  <si>
    <t>P10345:Devel.of prototype devices for flexible white-light emitters based on copper halide technol.</t>
  </si>
  <si>
    <t>Development of prototype devices_x000D_</t>
  </si>
  <si>
    <t>P10351: Printable gas sensor arrays based on conducting polyaniline nanodispersions</t>
  </si>
  <si>
    <t>Printable gas sensor arrays based on conducting po_x000D_</t>
  </si>
  <si>
    <t>P10352: NILCT-New Ionic Liquid Chiral Technologies</t>
  </si>
  <si>
    <t>The New Ionic Liquid Chiral Technologies project (NILCT)</t>
  </si>
  <si>
    <t>P10424:DataGuard:DataQual. tool-SMEs using IntelligentUserInterface- Discov.&amp;Design. DataQual. Rules</t>
  </si>
  <si>
    <t>DataGuard: A Data Quality tool for SME's using an_x000D_</t>
  </si>
  <si>
    <t>P10434:Dev.antiXa assay device managing heparin dosage in point-of-care set.(Exogenous antiXaCoagul)</t>
  </si>
  <si>
    <t>EXaCT Development of an anti Xa assay device_x000D_</t>
  </si>
  <si>
    <t>F01650 - Soft Skills Training Simulations "Just For You"</t>
  </si>
  <si>
    <t>Soft Skills Training Simulations "Just For You"</t>
  </si>
  <si>
    <t>F01609 - High- Resolution optical photogrammetry</t>
  </si>
  <si>
    <t>High- Resolution optical photogrammetry</t>
  </si>
  <si>
    <t>F01625 - Ellipsometric Imaging System</t>
  </si>
  <si>
    <t>Ellipsometric Imaging System</t>
  </si>
  <si>
    <t>F01624 - Intelligent monitoring of microdrilling operations using acoustic emission</t>
  </si>
  <si>
    <t>Intelligent monitoring of microdrilling operations using acoustic emission</t>
  </si>
  <si>
    <t>F01614 - Power Generation</t>
  </si>
  <si>
    <t>Carbon Nanotube Membranes for Reliable Renewable Saline Power Generation_x000D_</t>
  </si>
  <si>
    <t>F01634 - Colorimetric naked-eye sensors for real-time monitoring of anions in biological &amp; environme</t>
  </si>
  <si>
    <t>Colorimetric naked-eye sensors for real-time monitoring of anions in biological and environmental samples</t>
  </si>
  <si>
    <t>F01633 - Design and development of a novel device to comtrol the fabrication, confined compression &amp;</t>
  </si>
  <si>
    <t>Design and development of a novel device to control the fabrication, confined compression and in situ delivery of cell-seeded colagen gel scaffolds</t>
  </si>
  <si>
    <t>F01710 - Inhibitors of AMPA receptors interacting proteins for use in multiple sclerosis</t>
  </si>
  <si>
    <t>Inhibitors of AMPA receptors interacting proteins for use in multiple sclerosis</t>
  </si>
  <si>
    <t>F01615 - Tungsten and Molybdenum Oxide Solar Cells</t>
  </si>
  <si>
    <t>Tungsten and Molybdenum Oxide Solar Cells</t>
  </si>
  <si>
    <t>F01671 - RNAi - mediated Blood-Brain barrier modulation for early intervention treatment of</t>
  </si>
  <si>
    <t>RNAi-mediated Blood-Brain barrier modulation for early intervention treatment of traumatic brain injury and stroke_x000D_</t>
  </si>
  <si>
    <t>F01643 - Aminoindanes as potential neuroprotective or neuroregeneration agents in</t>
  </si>
  <si>
    <t>Aminoindanes as potential neuroprotective or neuroregeneration agents in neurodegenerative disorders (AINR/P)_x000D_</t>
  </si>
  <si>
    <t>F01660 - Prediction of outcome in patients with sepsis fromcytokine gene expression</t>
  </si>
  <si>
    <t>Prediction of outcome in patients with sepsis fromcytokine gene expression</t>
  </si>
  <si>
    <t>F01691 - Magnetostrictive cobalt ferrite for measurement of high currents</t>
  </si>
  <si>
    <t>Magnetostrictive cobalt ferrite for measurement of high currents_x000D_</t>
  </si>
  <si>
    <t>F01687 - Movement disorder Objective Verification by EEG (MOVE) :  A tool for movement disorder diag</t>
  </si>
  <si>
    <t>Movement disorder Objective Verification by EEG (MOVE) :  A tool for movement disorder diag</t>
  </si>
  <si>
    <t>F01641 - Modification of the Helicobacter pylori vaccine candidate AhpC to enhance its therapeutic e</t>
  </si>
  <si>
    <t>Modification of the Helicobacter pylori vaccine candidate AhpC to enhance its therapeutic efficacy_x000D_</t>
  </si>
  <si>
    <t>F01701 - SMART SPLINT - Superior Monitoring &amp; Analysis Relayed Through Sensors Providing Longitudina</t>
  </si>
  <si>
    <t>Superior Monitoring &amp; Analysis Relayed Through Sensors Providing Longitudinal Information on Nocturnal Tooth-grinding_x000D_</t>
  </si>
  <si>
    <t>F01686 - The Eternal Candle (TEC)</t>
  </si>
  <si>
    <t>The Eternal Candle (TEC)</t>
  </si>
  <si>
    <t>F01697 - OSNR monitoring using optical interferometers with variable optical delay</t>
  </si>
  <si>
    <t>OSNR monitoring using optical interferometers with variable optical delay</t>
  </si>
  <si>
    <t>F01709 - Hit to lead optimisation of a novel PPAR gamma agonist toward utility in CNS indications</t>
  </si>
  <si>
    <t>Hit to lead optimisation of a novel PPAR gamma agonist toward utility in CNS indications._x000D_</t>
  </si>
  <si>
    <t>F01704 - Stabilised  well-shaped silver nanoparticles, a key component for simple bioassays</t>
  </si>
  <si>
    <t>Stabilised well-shaped silver nanoparticles, a key component for simple bio-assays_x000D_</t>
  </si>
  <si>
    <t>F01715 - S&amp;T Index - Stock Trust Index: Market Analysis and Predictions using Trust</t>
  </si>
  <si>
    <t>S&amp;T Index - Stock Trust Index: Market Analysis and Predictions using Trust_x000D_</t>
  </si>
  <si>
    <t>F01708 - Development of novel anti-obesity (serum triglyceride level-lovering) peptidomimetic compou</t>
  </si>
  <si>
    <t>Development of novel anti-obesity (serum triglyceride level-lowering) peptidomimetic compounds_x000D_</t>
  </si>
  <si>
    <t>F01729 - Aspiration Efficiency Reducer (AER)</t>
  </si>
  <si>
    <t>Aspiration Efficiency Reducer_x000D_</t>
  </si>
  <si>
    <t>F01726 - Electroactive Tuneable Biocidal polymer composites and the Bioelectric Effect (ETUBE)</t>
  </si>
  <si>
    <t>Electroactive Tuneable Biocidal polymer composites and the Bioelectric Effect_x000D_</t>
  </si>
  <si>
    <t>F01743 - LUNGMARK: Towards Diagnostic and Theranostic Blood-Based RNA Biomarkers for Lung Cancer</t>
  </si>
  <si>
    <t>Towards Diagnostic and Theranostic Blood-Based RNA Biomarkers for Lung Cancer</t>
  </si>
  <si>
    <t>F01744 - Low Profile Catheter Based Mitral Valve Repair</t>
  </si>
  <si>
    <t>Low Profile Catheter Based Mitral Valve Repair_x000D_</t>
  </si>
  <si>
    <t>F01521 - Mesh TV: High-Bandwidth Peer-to Peer Live Streaming for Internet Television</t>
  </si>
  <si>
    <t>Mesh TV: High-Bandwidth Peer-to Peer Live Streaming for Internet Television</t>
  </si>
  <si>
    <t>F01512 - Text Resources and Visualisation for Elearning languages (TRAVEL)</t>
  </si>
  <si>
    <t>Text Resources and Visualisation for Elearning languages (TRAVEL)</t>
  </si>
  <si>
    <t>F01514 - Quantum dot - liquid crystal conjugates</t>
  </si>
  <si>
    <t>Quantum dot - liquid crystal conjugates</t>
  </si>
  <si>
    <t>F01523 - Liposomal drug carrier systems for inhalation chemotherapy of lung cancer</t>
  </si>
  <si>
    <t>Liposomal drug carrier systems for inhalation chemotherapy of lung cancer</t>
  </si>
  <si>
    <t>F01603 - care services</t>
  </si>
  <si>
    <t>An integrated framework to support adolescent mental health care services_x000D_</t>
  </si>
  <si>
    <t>F01632 - Sophie: a Reasoning Engine for Implicit Web Ranking using Users Activity</t>
  </si>
  <si>
    <t>Sophie: a Reasoning Engine for Implicit Web Ranking using Users Activity</t>
  </si>
  <si>
    <t>F01630 - Peerhosting - A High-Availabiltiy Peer-to-Peer Webhosting service</t>
  </si>
  <si>
    <t>Peerhosting - A High Availability Peer-to-Peer Webhosting Service</t>
  </si>
  <si>
    <t>F01616 - Development of waveguide amplifiers from solution-processable materials</t>
  </si>
  <si>
    <t>Development of waveguide amplifiers from solution-processable materials</t>
  </si>
  <si>
    <t>F01548 - Pay-As-You-Go for Next Generation Mobile Networks</t>
  </si>
  <si>
    <t>Pay-As-You-Go for Next Generation Mobile Networks_x000D_</t>
  </si>
  <si>
    <t>F01529 - 3D Surface Merology for Cosmetics and Dermatolgoy Applications</t>
  </si>
  <si>
    <t>3D Surface Metrology for Cosmetics and Dermatology Applications_x000D_</t>
  </si>
  <si>
    <t>F01513 - Variable Conductance Heat Pipe for Controlled Space Heating (VCHPCSH)</t>
  </si>
  <si>
    <t>Variable Conductance Heat Pipe for Controlled Space Heating (VCHPCSH)</t>
  </si>
  <si>
    <t>Image-based Obstacle Detection and Collision-warning System for Aircraft Ground Handling</t>
  </si>
  <si>
    <t>Image Based Obstacle Detection and Collision Warning System for Aircraft Ground Handling_x000D_</t>
  </si>
  <si>
    <t>F01617 - Preclinical development of a new Aspirin Technology</t>
  </si>
  <si>
    <t>Preclinical Development of a New Aspirin Technology_x000D_</t>
  </si>
  <si>
    <t>F01644 - A novel stent system consisting of multiple, independent stents delivered from a single dev</t>
  </si>
  <si>
    <t>A novel stent system consisting of multiple, independent stents delivered from a single device_x000D_</t>
  </si>
  <si>
    <t>F01684 - Software Defined Flexible Radio Development Platform</t>
  </si>
  <si>
    <t>Software-Defined Flexible Radio Development Platform_x000D_</t>
  </si>
  <si>
    <t>Development of dual inhibitors of tumour angiogenesis/vasculature</t>
  </si>
  <si>
    <t>Development of dual inhibitors of tumour angiogenesis/vasculature_x000D_</t>
  </si>
  <si>
    <t>F01681 - A Scalable Programmable Architecture for Reay-Tracing Applications</t>
  </si>
  <si>
    <t>SPARTA - A Scalable Programmable Architecture for Ray-Tracing Applications_x000D_</t>
  </si>
  <si>
    <t>Endoscopy Screening: ENDO VIEW</t>
  </si>
  <si>
    <t>Computer Aided Decision Support to Improve the Quality of Endoscopy Screening_x000D_</t>
  </si>
  <si>
    <t>The optimisation of a new elution/infusion balloon technology that allows continuous blood</t>
  </si>
  <si>
    <t>The optimisation of a new elution/infusion balloon technology that allows continuous blood flow during drug delivery to a dysfunctional artery wall</t>
  </si>
  <si>
    <t>Commercialisation of RCSI's Drug Delivery Mechanisms - DDM</t>
  </si>
  <si>
    <t>The purpose of this Commercialisation Plus project is to create an investment-ready company (NewCo) to exploit three late-stage complimentary drug delivery technologies in the market.</t>
  </si>
  <si>
    <t>Validation of specific and sensitive autoantibody markers in lymphoma for non-invasive tests</t>
  </si>
  <si>
    <t>Disease-associated autoantibodies represent potentially highly specific, extremely sensitive markers for the early identification of lymphoma in patients (approx. 300,000 people are diagnosed p.a.) by means of a simple non-invasive blood test, thus contributing towards a quicker diagnosis (and an earlier start with the correct chemotherapy) and eliminating the need for otherwise unnecessary and painful biopsies.</t>
  </si>
  <si>
    <t>Polyphasic collagen-based composite scaffolds for osteochondral defect repair</t>
  </si>
  <si>
    <t>This application proposes a novel, bioactive osteochondral substitute material for use in the regeneration and repair of osteochondral defects.</t>
  </si>
  <si>
    <t>A hybrid protein to block IGF activity in cancer</t>
  </si>
  <si>
    <t>The purpose of engineering the hybrid protein</t>
  </si>
  <si>
    <t>Novel Osteoinductive Composite scaffolds for BMP delivery for bone tissue repair</t>
  </si>
  <si>
    <t>This proposal will elucidate the potential of using a novel composite collagen-hydroxyapatite scaffold.</t>
  </si>
  <si>
    <t>Alchol Intake: An Acoustic-based detection system Telephone-based Alcohol Detection System (TADS)</t>
  </si>
  <si>
    <t>Our innovative concept is to offer people a telephone service which will analyse their speech pattern and so tell them of their blood alcohol level which will allow them to make an informed decision as to whether they are fit to drive.</t>
  </si>
  <si>
    <t>Novel and enantioselective preparation of sulfonic acids for commercial exploitation</t>
  </si>
  <si>
    <t>Aim of this project is the development of a novel synthetic technology to prepare sulfonic acids starting from bisulfite and alkenes.</t>
  </si>
  <si>
    <t>New Urethral Catheter 1 (NUC1)</t>
  </si>
  <si>
    <t>We are proposing a NEW DESIGN OF URETHRAL CATHETER that target most of the complications associated with current catheters.</t>
  </si>
  <si>
    <t>Development of a minimally invasive serum test for the diagnosis of colorectal cancer and the priori</t>
  </si>
  <si>
    <t>This study aims to determine the ability of these autoantibody markers to accurately detect CRC in patient sera and is the first step in the development of a non-invasive, inexpensive CRC specific serum diagnostic test.</t>
  </si>
  <si>
    <t>A Self-Remediating (SELF-REM) beverage storage technology for use against microbial and chemical con</t>
  </si>
  <si>
    <t>This project proposes a viable solution to the problem of biological contamination (or recontamination) of bottled liquid beverages or drinking water.</t>
  </si>
  <si>
    <t>Development of a bi-layered cardiac scaffold to enhance the natural cardiac stem cell response in ca</t>
  </si>
  <si>
    <t>The project is aimed at developing a collagen-GAG scaffold to deliver the optimal concentration of IGF and HGF to elicit an efficacious Cardiac Stem Cell response in vivo</t>
  </si>
  <si>
    <t>Evaluation of the neuroprotective effect of angiogenin protein delivery in ALS mice</t>
  </si>
  <si>
    <t>We now propose to take this research further and to examine the potential neuroprotective effects of ANG treatment in a mouse model of ALS, a step which will be essential for the further commercialisation of these research findings</t>
  </si>
  <si>
    <t>Design and Manufacture of a Novel Bone-protecting Handheld Distractor</t>
  </si>
  <si>
    <t>Our aim is to construct a instrument which is surface conforming and evenly applies its contact stress This is intended as being protective of the pathologically fragile bone of osteoporosis which is specifically vulnerable to the kind of intra-operative damage existing instruments can inflict.</t>
  </si>
  <si>
    <t>Collagen-Hydroxyapatite Composite Scaffolds As Bone Graft Substitutes</t>
  </si>
  <si>
    <t>In this application, a biocompatible, osteoconductive, composite scaffold with mechanical properties suitable for bone grafting is proposed.</t>
  </si>
  <si>
    <t>The objective of the proposed project is to optimise a novel polyphasic gradient tissue engineering scaffold for osteochondral repair and to explore the commercial potential of such a product.</t>
  </si>
  <si>
    <t>A collagen scaffold-based system for gene and drug delivery to facilitate bone tissue repair (TheraC</t>
  </si>
  <si>
    <t>Objective: to develop products for tissue regeneration that have a dual functionality: (i) to act as scaffolds to promote tissue formation and (ii) act as carriers for pharmacological agents (i.e. drugs, growth factors and genes) aimed at achieving complete regeneration of damaged bone.</t>
  </si>
  <si>
    <t>Validation of RCSI's Novel Fast Dissolving/ Disintegrating Tablet Technology And Development of the</t>
  </si>
  <si>
    <t>This project aims to develop RCSI's novel fast dissolving/disintegrating tablet (FDDT) technology to pilot scale GMP manufacture and apply it to develop a number of potential product candidates one of which will be evaluated in a clinical pharmacokinetic against the originator product as the reference.</t>
  </si>
  <si>
    <t>The Development of Pathogen-Specific Tags for the Activation of Phagocytosis</t>
  </si>
  <si>
    <t>The proposed proof-of-concept is aimed at verifying that these tags are effective in staphylococci as we have experience with these bacteria and many different ways of characterizing them.</t>
  </si>
  <si>
    <t>Systemic delivery of angiogenin protein for the treatment of ALS: Therapeutic modulation of angiogen</t>
  </si>
  <si>
    <t>The overarching aim of this Technology Development Commercialisation proposal is to develop a technology for the systemic delivery of angiogenin protein that modulates angiogenin levels in the spinal cord and is beneficial for the treatment of motoneuron disorders.</t>
  </si>
  <si>
    <t>NanoVigil+</t>
  </si>
  <si>
    <t>Humidity Sensitive Hologram</t>
  </si>
  <si>
    <t>High Performance Antennas UWB Systems</t>
  </si>
  <si>
    <t>Low Cost, High performance antennas for UWB systems</t>
  </si>
  <si>
    <t>Aluminium Alloys</t>
  </si>
  <si>
    <t>Development of Hydrophobic "Green" Coatings for the Protection of Low-Cost Aluminium Alloys</t>
  </si>
  <si>
    <t>Disposable Fiber Temp Sensor</t>
  </si>
  <si>
    <t>A Disposable Wide Range All-Fiber  Temperature Sensor (DFOS)</t>
  </si>
  <si>
    <t>Dye Deposition Lithography</t>
  </si>
  <si>
    <t>Dye deposition lithography - a new low cost optical manufactuirng technology DYELITE</t>
  </si>
  <si>
    <t>Animation for Intelligent Media Applications</t>
  </si>
  <si>
    <t>ANIMATION FOR INTELLIGENT MEDIA APPLICATIONS</t>
  </si>
  <si>
    <t>Chinese for International Players</t>
  </si>
  <si>
    <t>Chineses for International Players</t>
  </si>
  <si>
    <t>Screening Cervical Smears</t>
  </si>
  <si>
    <t>VOIP Transmission Quality</t>
  </si>
  <si>
    <t>EQUAL - Development of a Real-time Tool for Predicting VoIP Transmission Quality</t>
  </si>
  <si>
    <t>Tetrazine in Corrosion Control</t>
  </si>
  <si>
    <t>Tetrazines in Corrosion Control</t>
  </si>
  <si>
    <t>Hybrid HoMe Network</t>
  </si>
  <si>
    <t>Hybrid Home Network</t>
  </si>
  <si>
    <t>Self Remediating Beverage Storage Tech</t>
  </si>
  <si>
    <t>A Self-Remediating (SELF-REM) beverage storage technology for use against microbial and chemical contamination</t>
  </si>
  <si>
    <t>Characterising Adv Properties of Rubber</t>
  </si>
  <si>
    <t>Characterising Advanced Properties of Rubber for Instantaneiously Changing Environments</t>
  </si>
  <si>
    <t>Foreign Language Utilities</t>
  </si>
  <si>
    <t>Foreign Language Utilities for Enhanced Learning and Teaching_x000D_</t>
  </si>
  <si>
    <t>Electrophoretic Deposition</t>
  </si>
  <si>
    <t>Application of Waterborne Sol-Gel Coatings by Electrophoretic Deposition_x000D_</t>
  </si>
  <si>
    <t>Cervical Cancer Screening</t>
  </si>
  <si>
    <t>A novel tool for cervical cancer screening based on low resolution Raman spectroscopy</t>
  </si>
  <si>
    <t>Microwave Plasma Sintering of superabrasive composites (Nanogrind) - R11313</t>
  </si>
  <si>
    <t>Microwave Plasma Sintering of superabrasive composites (Nanogrind)</t>
  </si>
  <si>
    <t>Setting up a new Enterprise for the Validation and Commercialisation of Biomarker Panels - R11687</t>
  </si>
  <si>
    <t>Setting up a new enterprise for the validation and commercialisation of biomarker panels</t>
  </si>
  <si>
    <t>Exergaming Solutions - R11628</t>
  </si>
  <si>
    <t>Exergamining solutions - creating a new spin-out company to commercialise the knowledge and IP from the IVREP project from UCD</t>
  </si>
  <si>
    <t>Kernel Classifiers for Image and Text - R10505</t>
  </si>
  <si>
    <t>Kernel Classifiers for Image and Text</t>
  </si>
  <si>
    <t>Pre-clinical development of novel breast cancer therapeutics derived from cow's  - R10649</t>
  </si>
  <si>
    <t>Pre-clinical development of novel breast cancer therapeutics derived from cows</t>
  </si>
  <si>
    <t>Increased Efficiency Extreme Ultraviolet Light Source Components for Next Genera - R10763</t>
  </si>
  <si>
    <t>Increased Efficiency Extreme Ultraviolet Light Source Components for Next Generation Lithography</t>
  </si>
  <si>
    <t>Validation of a Novel Sludge Based Constructed Wetland Reactor for Treating High - R10806</t>
  </si>
  <si>
    <t>Validation of a Novel Sludge Based Constructed Wetland Reactor for Treating High Strength Wastewaters</t>
  </si>
  <si>
    <t>Non-dispersive spectral-reflectometry for water monitoring - R10802</t>
  </si>
  <si>
    <t>Non-dispersive spectral-reflectometry for water monitoring</t>
  </si>
  <si>
    <t>Converting of Biomolecular &amp; Biomedical Sciences - R10865</t>
  </si>
  <si>
    <t>Converting of Biomolecular &amp; Biomedical Sciences</t>
  </si>
  <si>
    <t>Prototype low cost adaptable games platform for exercise science and rehabilitat - R10917</t>
  </si>
  <si>
    <t>Prototype low cost adaptable games platform for exercise science and rehabilitation professionals</t>
  </si>
  <si>
    <t>FastTRACT Driving DTI into Clinical Use - R10895</t>
  </si>
  <si>
    <t>FastTRACT Driving DTI into Clinical Use</t>
  </si>
  <si>
    <t>Novel Gamma Radiation Terapy Delivery System - R10807</t>
  </si>
  <si>
    <t>Novel Gamma Radiation Terapy Delivery System</t>
  </si>
  <si>
    <t>Tuneable Quasi-monochromatic X-Ray Source for Diagnostic, Industrial and Securit - R10936</t>
  </si>
  <si>
    <t>Tuneable Quasi-monochromatic X-Ray Source for Diagnostic, Industrial and Security Imaging</t>
  </si>
  <si>
    <t>Novel Optical Probe for Imaging and Diagnostic of the human eye (NOPIDE) - R11232</t>
  </si>
  <si>
    <t>Novel Optical Probe for Imaging and Diagnostic of the human eye (NOPIDE)</t>
  </si>
  <si>
    <t>An Engineered Enzyme for Asymmetric Synthesis of Pharmaceutical Drug Building Bl - R11121</t>
  </si>
  <si>
    <t>An Engineered Enzyme for Asymmetric Synthesis of Pharmaceutical Drug Building Blocks (Epoxides)</t>
  </si>
  <si>
    <t>A novel assay for the detection of developmental toxicants (DevTox) - R11144</t>
  </si>
  <si>
    <t>A novel assay for the detection of developmental toxicants (DevTox)</t>
  </si>
  <si>
    <t>Development of mepfarynol as an antipsychotic drug: validation in an animal mode - R11292</t>
  </si>
  <si>
    <t>Development of mepfarynol as an antipsychotic drug: validation in an animal model of schizophrenia and preliminary studies on mode of action</t>
  </si>
  <si>
    <t>Minimization of transport-induced vibration impacts on existing buildings - R11263</t>
  </si>
  <si>
    <t>Minimization of transport-induced vibration impacts on existing buildings</t>
  </si>
  <si>
    <t>Platform technology development; human foetal mesenchymal syem cells derived fro - R11474</t>
  </si>
  <si>
    <t>Platform technology development; human foetal mesenchymal syem cells derived from amniocentesis for use in restorative medicine</t>
  </si>
  <si>
    <t>The Synthesis and Biological Evaluation of a Novel Class of Lipoxin Analogues - R11510</t>
  </si>
  <si>
    <t>The Synthesis and Biological Evaluation of a Novel Class of Lipoxin Analogues - LIPOXIODINES</t>
  </si>
  <si>
    <t>Chemical Mapping on the nanoscale - R11481</t>
  </si>
  <si>
    <t>Chemical Mapping on the nanoscale</t>
  </si>
  <si>
    <t>Development of Prototype Diagnostic Assay in Alzeimer's Disease and MC1 - R11466</t>
  </si>
  <si>
    <t>Development of Prototype Diagnostic Assay in Alzheimer's Disease and MC1</t>
  </si>
  <si>
    <t>Nano and Pico technology for large scale protein microarrays and clinical diagno - R11716</t>
  </si>
  <si>
    <t>Nano and Pico technology for large scale protein microarrays and clinical diagnostics: POLY-PICO</t>
  </si>
  <si>
    <t>Mathpad: A Recognition System for Handwritten Mathematics - R11621</t>
  </si>
  <si>
    <t>Mathpad: A Recognition System for Handwritten Mathematics</t>
  </si>
  <si>
    <t>Digital Predistortion Test Platform for RF Power Amplifiers (DiPA) - R11596</t>
  </si>
  <si>
    <t>Digital Predistortion Test Platform for RF Power Amplifiers (DiPA)_x000D_</t>
  </si>
  <si>
    <t>Structure and evaluation of the anti-MRS antibiotic froma novel streptomycete - R11631</t>
  </si>
  <si>
    <t>Structure and evaluation of the anti-MRS antibiotic froma novel streptomycete_x000D_</t>
  </si>
  <si>
    <t>Electrochemical ELISA for Liver Fluke Detection in Veterinary Applications (E-FL) - R11725</t>
  </si>
  <si>
    <t>Electrochemical ELISA for Liver Fluke Detection in Veterinary Applications (E-FLUKE)</t>
  </si>
  <si>
    <t>DARE: high density hard disk Data Recovery using adaptive spinstand microscopy - R11635</t>
  </si>
  <si>
    <t>DARE: high density hard disk Data Recovery using adaptive spinstand microscopy</t>
  </si>
  <si>
    <t>High Protein High Fibre Cheese Snack to Enchance Satiety - R11695</t>
  </si>
  <si>
    <t>High Protein High Fibre Cheese Snack to Enchance Satiety</t>
  </si>
  <si>
    <t>Small Molecule Anti-Angiogenics for Retinal Therapy (SMART) - R11732</t>
  </si>
  <si>
    <t>Small Molecule Anti-Angiogenics for Retinal Therapy (SMART)</t>
  </si>
  <si>
    <t>Matrix Analysis of (very large) Social Networks (MASNets) - R10497</t>
  </si>
  <si>
    <t>Matrix Analysis of (very large) Social Networks(MASNets)</t>
  </si>
  <si>
    <t>Robust EUV Collector Mirror for Next Generation Lithography - R10502</t>
  </si>
  <si>
    <t>Robust EUV Collector Mirror for Next Generation Lithography</t>
  </si>
  <si>
    <t>Application of Multiplexed Antibody Assays for the Validation of Senescence-asso - R10665</t>
  </si>
  <si>
    <t>Application of Multiplexed Antibody Assays for the Validation of Senescence-associated Serum Biomarkers</t>
  </si>
  <si>
    <t>FORTRESS: Forensic Tool for Resilient Steganographic Signatures - R10775</t>
  </si>
  <si>
    <t>FORTRESS: Forensic Tool for Resilient Steganographic Signatures</t>
  </si>
  <si>
    <t>Enhanced Sensor Arrays using Complex Nanostructures - R10764</t>
  </si>
  <si>
    <t>Enhanced Sensor Arrays using Complex Nanostructures</t>
  </si>
  <si>
    <t>Synthesis and analysis of novel 5-Flourouracil carbonate derivatives - R10861</t>
  </si>
  <si>
    <t>Synthesis and analysis of novel 5-Flourouracil carbonate derivatives</t>
  </si>
  <si>
    <t>Scalable Unified Management and Control for Large Scale Sensor Networks (SUMAC) - R10933</t>
  </si>
  <si>
    <t>Scalable Unified Management and Control for Large Scale Sensor Networks (SUMAC)</t>
  </si>
  <si>
    <t>Network Level Power Management for Wireless Sensor Networks - R10644</t>
  </si>
  <si>
    <t>Network Level Power Management for Wireless Sensor Networks</t>
  </si>
  <si>
    <t>Injection Moulding of Micro Scale Features - R10948</t>
  </si>
  <si>
    <t>Injection Moulding of Micro Scale Features</t>
  </si>
  <si>
    <t>Development of Automated Image Analysis Approach for Deiscrimination of Biomarke - R11141</t>
  </si>
  <si>
    <t>Development of Automated Image Analysis Approach for Deiscrimination of Biomarker Protein Expression at the Subcellular Compartmental Level: Application in the Oncology Domain (IHC-MARK)_x000D_</t>
  </si>
  <si>
    <t>Development of a sigma-1 receptor agonist as an antidepressant with neurotrophin - R11233</t>
  </si>
  <si>
    <t>Development of a sigma-1 receptor agonist as an antidepressant with neurotrophin modulating actions (psychoScreen II)_x000D_</t>
  </si>
  <si>
    <t>Intelligent brace design as a clinical tool for the management and treatment of  - R11401</t>
  </si>
  <si>
    <t>Intelligent brace design as a clinical tool for the management and treatment of spinal deformities - IntelliB_x000D_</t>
  </si>
  <si>
    <t>Development of novel antagonists to selectively target the TPa - R11666</t>
  </si>
  <si>
    <t>Development of novel antagonists to selectively target the TPa and TP Beta isoforms of the human thromboxane A2 receptor_x000D_</t>
  </si>
  <si>
    <t>Robust Mirrors for Extreme Ultraviolet Light Sources for Semiconductor Metrology - R11565</t>
  </si>
  <si>
    <t>Robust Mirrors for Extreme Ultraviolet Light Sources for Semiconductor Metrology and Laboratory Applications_x000D_</t>
  </si>
  <si>
    <t>Alternative laser Doppler</t>
  </si>
  <si>
    <t>Alternative Laser Doppler Vibrometry Systems</t>
  </si>
  <si>
    <t>Biomolecule Detection</t>
  </si>
  <si>
    <t>Biomolecule detection using a novel low cost optical scanner (Bioscan)</t>
  </si>
  <si>
    <t>Surround Sound Technologies</t>
  </si>
  <si>
    <t>MobiSurround - Location Based Surround Sound Technologies for Constrained Devices</t>
  </si>
  <si>
    <t>Darius: Diagnosing Coronary Artery Disease Using Heart Sounds - R11796</t>
  </si>
  <si>
    <t>Darius: Diagnosing Coronary Artery Disease Using Heart Sounds</t>
  </si>
  <si>
    <t>InCUs: Automated Investigation of Computer Usage - R11868</t>
  </si>
  <si>
    <t>InCUs: Automated Investigation of Computer Usage</t>
  </si>
  <si>
    <t>Real-Time Adaptive Learning-based Traffic Control (REALT)</t>
  </si>
  <si>
    <t>Real-time Adaptive Learning-based Traffic Control</t>
  </si>
  <si>
    <t>Antimicrobial Paint</t>
  </si>
  <si>
    <t>Antimicrobial Paint_x000D_</t>
  </si>
  <si>
    <t>M3D-Music 3D</t>
  </si>
  <si>
    <t>M3D - Music 3D</t>
  </si>
  <si>
    <t>RAMAN</t>
  </si>
  <si>
    <t>Cell detection of algorithms combined with Raman spectroscopy for increased accuracy in cervical cancer screening</t>
  </si>
  <si>
    <t>Molecular PAP</t>
  </si>
  <si>
    <t>A molecular pap test for cervicl cancer screening detecting HPV infection and cellular abnormalities in exfoliated cervical cells</t>
  </si>
  <si>
    <t>Technical development and demonstration of an energy efficient bioreactor (OxyMem) for wastewater tr</t>
  </si>
  <si>
    <t>Application of antimicrobial natural product coatings on consumer products and medical packaging</t>
  </si>
  <si>
    <t>Racetams as Novel Myelin Organisation Repair treatments for Multiple Sclerosis (NoMoreMS)</t>
  </si>
  <si>
    <t>SociaLens: SociaLmedia Enterprise aNalyticS</t>
  </si>
  <si>
    <t>Egocentric Network Analysis and Visualization (EgoNav)</t>
  </si>
  <si>
    <t>ForkStream: Seamless 3G Mobile Data Traffic Offload</t>
  </si>
  <si>
    <t>High-performance hydrogen storage technology from Ammonia Borane - ABPower</t>
  </si>
  <si>
    <t>EQUILUME: INDIVIDUAL LIGHT THERAPY FOR HORSES</t>
  </si>
  <si>
    <t>Flow-Enhanced Nonlinear Magnetophoretic Biosensor for Sexually Transmitted Infections (F-NLM-STI)</t>
  </si>
  <si>
    <t>Pre-clinical evaluation of an RNAi-mediated therapeutic for cerebral edema</t>
  </si>
  <si>
    <t>A new chromatographic media for bioseparations</t>
  </si>
  <si>
    <t>THRIVE - Tracking Headphones Realise Immersive Virtual Environments</t>
  </si>
  <si>
    <t>THRIVE - Tracking Headphones Realise Immersive Virtual Environments.  Development of audio technology to deliver immersive environments for e-Learning and 3D video</t>
  </si>
  <si>
    <t>naNOpatterning of Hard Materials (NOHMa)</t>
  </si>
  <si>
    <t>CipherDocs - A Secure Cloud Document Storage Solution</t>
  </si>
  <si>
    <t>OSNR monitoring of phase modulated signals using optical interferometers with variable optical delay</t>
  </si>
  <si>
    <t>The in vivo evaluation of an easy to position transcatheter mitral valve repair/replacement device</t>
  </si>
  <si>
    <t>P10972  Validation of candidate biomarkers for the early detection of colorectal cancer</t>
  </si>
  <si>
    <t>Validation of candidate biomarkers for the early detection of colorectal cancer_x000D_</t>
  </si>
  <si>
    <t>P11016  Electroactive Monoliths for HPLC and Lab-on-a-chip</t>
  </si>
  <si>
    <t xml:space="preserve">Electroactive Monoliths for HPLC and Lab-on-a-chip _x000D_
</t>
  </si>
  <si>
    <t>P30000  Pre-clinical evaluation of promising proprietary therapeutics targeted to sensory nerves</t>
  </si>
  <si>
    <t xml:space="preserve">Pre-clinical evaluation of promising proprietary therapeutics targeted to sensory nerves _x000D_
</t>
  </si>
  <si>
    <t>P30009  Energy-optimal Adaptive Scheme for Wireless Devices</t>
  </si>
  <si>
    <t>Energy-optimal Adaptive Scheme for Wireless Devices _x000D_</t>
  </si>
  <si>
    <t>P30013  Transformative Catalysis: the Only Transiton/Heavy Metal Free Olefination Process</t>
  </si>
  <si>
    <t>Transformative Catalysis: the Only Transiton/Heavy Metal Free Olefination Process _x000D_</t>
  </si>
  <si>
    <t>Commercialisation of Green organocatalyses and procuts there of for the bulk production of API and t</t>
  </si>
  <si>
    <t>Commercialisation of Green organocatalyses and procuts there of for the bulk production of API and their Analogues</t>
  </si>
  <si>
    <t>Cadbury Ireland Ltd</t>
  </si>
  <si>
    <t>The grantee will insulate all hot water pipes feeding process equipment and insulate jacketed pipes for butter &amp; chocolate lines</t>
  </si>
  <si>
    <t>Roadstone Wood Group</t>
  </si>
  <si>
    <t>The grantee will optimise the quarry de-watering process in the Belgard quarry.</t>
  </si>
  <si>
    <t>Eircom Ltd</t>
  </si>
  <si>
    <t>The grantee will implement the SAFED programme to train drivers in fuel efficient driving techniques</t>
  </si>
  <si>
    <t>Merinda Developments Ltd</t>
  </si>
  <si>
    <t>The grantee will install energy efficient measures such as lighting, controls etc</t>
  </si>
  <si>
    <t>Independent Express Cargo Ltd</t>
  </si>
  <si>
    <t>The grantee will install new energy efficient lighting</t>
  </si>
  <si>
    <t>Smithfield Market Management Company</t>
  </si>
  <si>
    <t>The grantee will install more energy efficient lighting in the car park.</t>
  </si>
  <si>
    <t>Friends First</t>
  </si>
  <si>
    <t>The grantee will carryout energy efficient measures such as ighting &amp; PIR controls</t>
  </si>
  <si>
    <t>Citibank</t>
  </si>
  <si>
    <t>CITI New Energy Initiative. Recommission absorbtion chillers. Reduced/Decommission old expansion chillers.Install District Heating System, Install Energy Monitoring System</t>
  </si>
  <si>
    <t>PriceWaterHouseCooper</t>
  </si>
  <si>
    <t>Upgrade BMS Programming. Improvements to HVAC Controls &amp; Sesnsros Upgrade. Lighting &amp; Controls Upgrade. Retrofit of Condensor to one of the Main Boilers.</t>
  </si>
  <si>
    <t>Install Renewable District Heating System, Itelligent Boiler Load Optimization, LED Lighting Retrofit in in Chill &amp; Frozen Cabinets &amp; Lighting Upgrade in Multiple Sites. Install Cold-Stop Curtains in Cold rooms. Voltage Optimization &amp; Variable Speed Drive Retrofit</t>
  </si>
  <si>
    <t>Retrofit low energy technologies and control systems in stores nationwide.(Energy Display Boards, Eliminator Fridge Doors, Voltage optimisers, Integration of the energy control systems)</t>
  </si>
  <si>
    <t>Royal College of Surgeons Ireland</t>
  </si>
  <si>
    <t>Installation of a condensing gas boiler, Upgrade of existing BMS controls, Re-Commissioning existing HVAC plant, Upgrade of lighting and controls.</t>
  </si>
  <si>
    <t>Stafford Fuels Limited</t>
  </si>
  <si>
    <t>Installation of a Building Energy Management System and Energy Efficient Lighting in Lifestyle Sports, Retail store in Dublin</t>
  </si>
  <si>
    <t>Park Rite</t>
  </si>
  <si>
    <t>Installation of LED Lighting in 3 Multi-Story Car Parks in Dublin City Centre to acheive energy savings of 68% &amp; reduce Energy Consumption by 541506KWh per year</t>
  </si>
  <si>
    <t>Citbank NA</t>
  </si>
  <si>
    <t>The Project involved Installing 3 Weiss Units, Sealing the Comms Room &amp; INstalling an 18.5kW Weiss DX CRAC Unit &amp; Installing wireless energy monitoring system</t>
  </si>
  <si>
    <t>Retrofitting Dunnes Stores Retail Supermarkets with Low Energy Luminaire Lighting &amp; COntrol Gears, Retrofitting Variable Speed Drives to store Air Handling Units</t>
  </si>
  <si>
    <t>Interxion Ireland Ltd</t>
  </si>
  <si>
    <t>Install energy efficient light fittings, zoned control and PIRs. Replace existing air conditioning units with more effieient ones and Change control on each AC unit from return temperature control to supply temperature control</t>
  </si>
  <si>
    <t>Reconfiguration with zoning, rebalancing and upgraded controls of HVAC, Upgrade the BMS to control temperature and Replace existing lighting with energy efficient lighting and controls</t>
  </si>
  <si>
    <t>Irish Dairy Board</t>
  </si>
  <si>
    <t>Changing from Oil to gas boilers, Installation of BMS and control upgrades, Lighting upgrade to more energy efficient fittings, Monitoring and Targeting system.</t>
  </si>
  <si>
    <t>The grantee will install a bespoke free cooling ventilation system that will give cooling for 90% of the year.</t>
  </si>
  <si>
    <t>Superquinn Ltd</t>
  </si>
  <si>
    <t>Carry out measures: Comms Room evaporative cooler, Distribution centre, condenser misting system, Bray freezer and chill pack retrofit, Finglas heat recovery system, Distribution centre lighting and controls retrofit, Knocklyon VSDs &amp; refrigiration capacity control</t>
  </si>
  <si>
    <t>Smithfield Quarter Enhancement Scheme</t>
  </si>
  <si>
    <t>The project consists of the completion of the civic space upgrading the infrastructure; provision of facilities for Events and Markets; landscaping and provision of play equipment.</t>
  </si>
  <si>
    <t>Sean Mooney Employment Grant</t>
  </si>
  <si>
    <t>Employment Grant: Textile manufacturing</t>
  </si>
  <si>
    <t>Derek Murphy - Employment Grant</t>
  </si>
  <si>
    <t>Internet software company providing software solutions to the property, recruitment and mototing industries - Employment Grant</t>
  </si>
  <si>
    <t>Wayne &amp; Joseph Knowles</t>
  </si>
  <si>
    <t>Manufacturing of Jewellery</t>
  </si>
  <si>
    <t>Ed O'Neill - Employment Grant</t>
  </si>
  <si>
    <t>altered mobile conference untis Service</t>
  </si>
  <si>
    <t>John Kennedy Preference Shares</t>
  </si>
  <si>
    <t>Preference Shares</t>
  </si>
  <si>
    <t>Softare Dev</t>
  </si>
  <si>
    <t>David &amp; Sabrina Cosgrave - Capital Grant</t>
  </si>
  <si>
    <t>Food manufacturer</t>
  </si>
  <si>
    <t>Trevor Vaugh/Feas - Feasibility Study Grant</t>
  </si>
  <si>
    <t xml:space="preserve">I.T. </t>
  </si>
  <si>
    <t>Stephen Stenson - Capital Grant</t>
  </si>
  <si>
    <t>Chemicals Manufacturing company - Refundable Capital Grant</t>
  </si>
  <si>
    <t>P. O'Connor &amp; S. Clinch &amp; T. Prior - Feasibility Study</t>
  </si>
  <si>
    <t>eCommerce business</t>
  </si>
  <si>
    <t>J. McAuley &amp; J. Phelan Feasibility Study</t>
  </si>
  <si>
    <t>ebusiness Service</t>
  </si>
  <si>
    <t>Yvonne Ryan - Employment Grant</t>
  </si>
  <si>
    <t>Fashion</t>
  </si>
  <si>
    <t>Kate Nolan &amp; Jane Geraghty - Employment</t>
  </si>
  <si>
    <t>Nicky Morrogh Preference Shares</t>
  </si>
  <si>
    <t>Software platform for hotels</t>
  </si>
  <si>
    <t>Andrew Harkness Feasibility</t>
  </si>
  <si>
    <t>eBusiness service</t>
  </si>
  <si>
    <t>Keith Hazely - Feasibility Study</t>
  </si>
  <si>
    <t>Service</t>
  </si>
  <si>
    <t>K. Reilly &amp; A. Cassidy - employment Grant</t>
  </si>
  <si>
    <t>Julie McMahon - Employment Grant</t>
  </si>
  <si>
    <t>International Recruitment</t>
  </si>
  <si>
    <t>P. Cassidy &amp; D. Donohue employment Grant</t>
  </si>
  <si>
    <t>Research service</t>
  </si>
  <si>
    <t>Mark Durkin - Employment Grant</t>
  </si>
  <si>
    <t>Software development</t>
  </si>
  <si>
    <t>T. Fitzpatrick &amp; P. Flannigan Capital Grant</t>
  </si>
  <si>
    <t>Mobile Medicare</t>
  </si>
  <si>
    <t>Charlie Ardagh - Feasibility Study</t>
  </si>
  <si>
    <t>Denise Woods - Employment Grant</t>
  </si>
  <si>
    <t>Luke Verling - Capital Grant</t>
  </si>
  <si>
    <t>Multi Media</t>
  </si>
  <si>
    <t>Keith McDonnell - Employment Grant</t>
  </si>
  <si>
    <t>Tourism Adventure holidays</t>
  </si>
  <si>
    <t>Natash Czopor - Employment Grant</t>
  </si>
  <si>
    <t>organic food</t>
  </si>
  <si>
    <t>Peter O'Connell - Pref. Shares</t>
  </si>
  <si>
    <t>Digital Media / Publishing</t>
  </si>
  <si>
    <t>Alison Conneely - Feasibility study</t>
  </si>
  <si>
    <t>Arts &amp; Crafts</t>
  </si>
  <si>
    <t>Cormac Hargarden - Capital Grant</t>
  </si>
  <si>
    <t>Info. Technology</t>
  </si>
  <si>
    <t>Rosemay Delaney - Feasibility Study</t>
  </si>
  <si>
    <t xml:space="preserve">Fashion </t>
  </si>
  <si>
    <t>Fergal Purcell  - Employment Grant</t>
  </si>
  <si>
    <t>Energy Solutions is an independent, professional energy services company Employment grant x 2 2008 &amp; Bus. expansion grant of salary costs towards new employee_x000D_</t>
  </si>
  <si>
    <t>B. Paolozzi &amp; T. O'Connor - Employment</t>
  </si>
  <si>
    <t>International Networking</t>
  </si>
  <si>
    <t>M. Corcoran - Employment Grant</t>
  </si>
  <si>
    <t>D. Cunningham &amp; J. Redmond - Feasibility Study</t>
  </si>
  <si>
    <t>I.T. - Self service Web based recruitment platform link job seekers and employers</t>
  </si>
  <si>
    <t>Pat Hussey - Capital Grant</t>
  </si>
  <si>
    <t>Manufacturing</t>
  </si>
  <si>
    <t>Edward O'Neill - Feasibility Study Grant</t>
  </si>
  <si>
    <t>Helen Brown/Feas</t>
  </si>
  <si>
    <t>fashion</t>
  </si>
  <si>
    <t>Ken O'Reilly/Feas</t>
  </si>
  <si>
    <t>Product Development</t>
  </si>
  <si>
    <t>Philip Joly/Emp</t>
  </si>
  <si>
    <t>Telecommunications</t>
  </si>
  <si>
    <t>W. Wrona &amp; P. Chowanski/Emp</t>
  </si>
  <si>
    <t xml:space="preserve">Publishing </t>
  </si>
  <si>
    <t>B. Coughlan/Feas</t>
  </si>
  <si>
    <t>Financial Service</t>
  </si>
  <si>
    <t>Olive Sheehan &amp; Markus Helfert/Feas</t>
  </si>
  <si>
    <t>eBusiness</t>
  </si>
  <si>
    <t>Tara Cosgrove/Emp</t>
  </si>
  <si>
    <t>Tourism</t>
  </si>
  <si>
    <t>Paul Akshair/Emp</t>
  </si>
  <si>
    <t>Childcare</t>
  </si>
  <si>
    <t>Brendan Swan/Emp</t>
  </si>
  <si>
    <t>Manuafacturing of gates</t>
  </si>
  <si>
    <t>Niall O'Meara/Emp</t>
  </si>
  <si>
    <t>Carla Daly/Emp</t>
  </si>
  <si>
    <t>Chris Maher/Emp</t>
  </si>
  <si>
    <t>Entertainment &amp; Leisure</t>
  </si>
  <si>
    <t>Denver Thomas/Emp</t>
  </si>
  <si>
    <t>Music Software</t>
  </si>
  <si>
    <t>Johnny Cosgrove/Feas</t>
  </si>
  <si>
    <t>Feasibility</t>
  </si>
  <si>
    <t>Pamela &amp; Evelyn Coyle/Feas</t>
  </si>
  <si>
    <t xml:space="preserve">Food / Tourism </t>
  </si>
  <si>
    <t>M. Craven &amp; S. Kenny/Emp</t>
  </si>
  <si>
    <t>C. Traynor &amp; A. Kaufmann/Emp</t>
  </si>
  <si>
    <t>Software Development</t>
  </si>
  <si>
    <t>G. Foskin &amp; D. Treanor/Emp</t>
  </si>
  <si>
    <t>Tom Shields/Feas</t>
  </si>
  <si>
    <t>Feasibility service</t>
  </si>
  <si>
    <t>Mattie Doody/Emp</t>
  </si>
  <si>
    <t>manufacturing</t>
  </si>
  <si>
    <t>Lisa Shagwi/Emp</t>
  </si>
  <si>
    <t>Fashion Design</t>
  </si>
  <si>
    <t>Isam Khalaf/Emp</t>
  </si>
  <si>
    <t>Food manufacture</t>
  </si>
  <si>
    <t>Val Cassidy/Emp</t>
  </si>
  <si>
    <t>Cormac Walsh/Emp</t>
  </si>
  <si>
    <t>Food - _x000D_Employment Grant for the promoter.  New sugar free swetner for drinks</t>
  </si>
  <si>
    <t>Damhan Nagle/Emp</t>
  </si>
  <si>
    <t>Affordable Music Recording service for popstar enthusiasts  -  Employment Grant for promoter</t>
  </si>
  <si>
    <t>Emmanuelle Marion/Emp</t>
  </si>
  <si>
    <t>Eco friendly Confectionary -9005994 Employment grant fo rthe promoter</t>
  </si>
  <si>
    <t>SYOB Training</t>
  </si>
  <si>
    <t>Business related training courses assisting Pre start-ups</t>
  </si>
  <si>
    <t>Training Administration</t>
  </si>
  <si>
    <t>Measure 2 Marketing &amp; Admin  Trainig.  Venue, catering and management costs for running training courses</t>
  </si>
  <si>
    <t>for future update</t>
  </si>
  <si>
    <t>Merchant Bank expenses for taking online payments for courses and mentoring</t>
  </si>
  <si>
    <t>Larkin Centre - M2</t>
  </si>
  <si>
    <t>Management Development programmes for business start-ups in disadvantaged areas</t>
  </si>
  <si>
    <t>Pre enterprise Support - M2</t>
  </si>
  <si>
    <t>Pre Ent Support.  One to One mentoring for individuals setting up a business. An expert from the Mentor Panel provides advice and direction.</t>
  </si>
  <si>
    <t>Enterprise Awards/M2</t>
  </si>
  <si>
    <t>Enterprise Awards / Competions -DCEB Etrepreneurial Awards for clients</t>
  </si>
  <si>
    <t>Student Enterprise Awards - M2</t>
  </si>
  <si>
    <t>Student Enterprise Awards.  Educational Initiative Schools in Dublin City Area particpate in a Dublin City competition whereby they set up a mini-company and enter it into the Dublin City Final.  The winner goes forward to the National Final</t>
  </si>
  <si>
    <t>Dublin Fashion Week - M2</t>
  </si>
  <si>
    <t>Dublin Fashion Week.  Event for up &amp; coming fashion desinges to show case their range and do business.  This intervention is support for up and coming designers in the Dublin Area</t>
  </si>
  <si>
    <t>Exhibitions - M2</t>
  </si>
  <si>
    <t>participation at buyer events such as SHOW CASE and the SHOP expo.</t>
  </si>
  <si>
    <t>Export Initiatives - M2</t>
  </si>
  <si>
    <t>Export Initiatives _x000D_funding for attending a trade event abroad.  Aimed at etablished DCEB companies with the potential to export.</t>
  </si>
  <si>
    <t>3rd Level Initiatives - M2</t>
  </si>
  <si>
    <t>3rd Level Initiatives.  Entrpreneurial lectures in colleges 'Be Inspired'aimed at Business students.  lectures facilitated by well known entrpreneurs</t>
  </si>
  <si>
    <t>Enterprise Support Directory / Audio book of 'Making Bread', SYOB workbooks.  Case studies for the website</t>
  </si>
  <si>
    <t>Mentor Prog./M2</t>
  </si>
  <si>
    <t>Mentor Programme for established business.</t>
  </si>
  <si>
    <t>Promotion &amp; Awareness</t>
  </si>
  <si>
    <t>Promotion &amp; Awareness.  Promting and highlighting the services of DCEB through i.e. (1) taking a stand at an event (2) writing of blogs/articles for the website (3) CEB Enterprise Promotions Comittee who promote CEB activity on a national level. It is funded exclusively through ERDF funding</t>
  </si>
  <si>
    <t>Research - M2</t>
  </si>
  <si>
    <t>Research undertaken on the Craft Secot in Ireland (2) DCU interns working in DCEB office assigned to research new CRM systems and a review of Mentor Programme with regards to fees / customer satisfaction etc.</t>
  </si>
  <si>
    <t>Library Talks - M2</t>
  </si>
  <si>
    <t>Series of free 'Look before you leap' lectures in the DCC Public Library - Ilac Centre Covers the essential aspects of setting up in business.</t>
  </si>
  <si>
    <t>Plato - M2</t>
  </si>
  <si>
    <t>Plato.  Management Development Programe for established businesses in Dublin. Supported by 4 Dublin CEB's</t>
  </si>
  <si>
    <t>Enterprise Week</t>
  </si>
  <si>
    <t>A week long initiative creating awareness of enterprise supports in Dublin City culminating in a 2 day event in City Hall involving expo's. guest speakers and debate.</t>
  </si>
  <si>
    <t>Advertising</t>
  </si>
  <si>
    <t>Advertising of DCEB services in several publications like Herald Am, Metro and Totally Dublin</t>
  </si>
  <si>
    <t>Printing</t>
  </si>
  <si>
    <t>Printing &amp; design of 'Enterprise in Dublin City' guide book 2007/2008_x000D__x000D_
Printing &amp; Design of the 'Enterprise Space' report carried out in 2007</t>
  </si>
  <si>
    <t>Link Network - M2</t>
  </si>
  <si>
    <t>Link Network for new stat-up companies lees than 2 years in business.</t>
  </si>
  <si>
    <t>One Stop Shop - M2</t>
  </si>
  <si>
    <t>One Stop Shop.  On site advisory service to visitors into the office.  The aims of this measure is to provide an environment where the public can call in and meet a member of staff to discuss DCEB serivces.</t>
  </si>
  <si>
    <t>Publications</t>
  </si>
  <si>
    <t>Publications. Ent. Support Directory for Dublin / Translation of Brodie Sweeney publivataion 'Making -Bread' into Audio format. writing of case studies in buisness magazines and DCEB website. DCEB e-zines and newsletters.  All exclusively funded by ERDF funding_x000D_</t>
  </si>
  <si>
    <t>Networking.  Participation at Dublin Chamber and Irish Export Association networking events</t>
  </si>
  <si>
    <t>Enterprise Network for Women/M2</t>
  </si>
  <si>
    <t>Enterprise Network for Women.  Monthly meetings for women in Business covering business issues and guest speakers.</t>
  </si>
  <si>
    <t>Website Initiatives - M2</t>
  </si>
  <si>
    <t>Funding for small business to develop or upgrade commercial website.</t>
  </si>
  <si>
    <t>New Product development - M2</t>
  </si>
  <si>
    <t>New Product Development and Ideas Generation workshops for pre start-ups which help individuals develop their business ideas</t>
  </si>
  <si>
    <t>Kidz First - Priming</t>
  </si>
  <si>
    <t>A much needed childcare facility in an area where there is none.  Employment grant for promoter and one employee</t>
  </si>
  <si>
    <t>Mora Foods - PG</t>
  </si>
  <si>
    <t>Production of Spanish style tapas sold through convenience stores &amp; other events.  Priming grant towards salary costs for 2 promoters and one new employee</t>
  </si>
  <si>
    <t>Movement - PG</t>
  </si>
  <si>
    <t>Ethnographic research, Product design and engineering company. Priming grant towards salary costs of promoter</t>
  </si>
  <si>
    <t>My Zanadoo - EG</t>
  </si>
  <si>
    <t>Online booking and reminder text service for salons.  Busienss Expansion grant towards marketing and salary costs for an employee</t>
  </si>
  <si>
    <t>Reichold Originals - BEG</t>
  </si>
  <si>
    <t>Creation of bespoke Jewellery and lamp shades.  Business expansion grant of salary costs for the promoter</t>
  </si>
  <si>
    <t>The Stork Exchange - PG</t>
  </si>
  <si>
    <t>A website where baby products can be exchanged and bought.Priming Grant of salary costs for the promoter</t>
  </si>
  <si>
    <t>Vector Ireland - PG</t>
  </si>
  <si>
    <t>Vector Ireland offers export marketing to Irish educators looking for new students from abroad.  Priming grant of salary costs for promoter and one new full-time employee</t>
  </si>
  <si>
    <t>Taxation for beginners/M2</t>
  </si>
  <si>
    <t>One day Taxation training programme for start-ups.</t>
  </si>
  <si>
    <t>Sales &amp; Selling - M2</t>
  </si>
  <si>
    <t>Half day training programme for small business on how to generate sales for your business using sales techniques.</t>
  </si>
  <si>
    <t>Get Your Irish Buisness Online - M2</t>
  </si>
  <si>
    <t>Initiative that provides businesses with a free website and realted trainign to help maintain the website and promote it.</t>
  </si>
  <si>
    <t>Introduction to Accountancy</t>
  </si>
  <si>
    <t>A training course on basic book-keeping  skills to help start-ups manage their accounts</t>
  </si>
  <si>
    <t>Marketing on a shoe string &amp; maximising your sales - M2</t>
  </si>
  <si>
    <t>Training course on how to make the most of a limited marketing budget and maximise your sales</t>
  </si>
  <si>
    <t>Negotiation Skills</t>
  </si>
  <si>
    <t>A training course that gives entrepreneurs tips on negotiation techniques when pitching for business</t>
  </si>
  <si>
    <t>Small Business Website - M2</t>
  </si>
  <si>
    <t>Trainign course for small businesses with a website.  The content includes digital marketing strategy and Search Engine Optimization</t>
  </si>
  <si>
    <t>Time Management - M2</t>
  </si>
  <si>
    <t>A Trainign course to assist entrepreneurs with managing their time effectively while operating a business</t>
  </si>
  <si>
    <t>Dublin Food Chain Network/M2</t>
  </si>
  <si>
    <t>A network supportnig Dublin based artisan food companies.  Supports include networking among food companies, workshops and training</t>
  </si>
  <si>
    <t>Unemployed Round Table Sessions</t>
  </si>
  <si>
    <t>Round table sessions for individuals who are unemployed and thinking of setting up a business.  Format includes that characteristics needed to be an entrepreneur</t>
  </si>
  <si>
    <t>Designer Dublin</t>
  </si>
  <si>
    <t>A month long event which celebtrated Dublin hosting the Year of Craft which involved networking, training and workshops</t>
  </si>
  <si>
    <t>Pre start-up mentoring/M2</t>
  </si>
  <si>
    <t>Mentoring support for individuals, groups or partnerships that in the process of starting up a new business or wish to get advice on starting up a new business.</t>
  </si>
  <si>
    <t>Pre. start-up mentoring support/M2</t>
  </si>
  <si>
    <t>Pre start-up mentoring support - M2</t>
  </si>
  <si>
    <t>Pre start-up mentoring support/M2</t>
  </si>
  <si>
    <t>Aengus Benson Feasibility / Innovation</t>
  </si>
  <si>
    <t>Feasibility study to establish a recycling plant to turn green waste in mulch</t>
  </si>
  <si>
    <t>Alphamaleundies - Priming Grant</t>
  </si>
  <si>
    <t>The Priming grant was for salary costs for the promoter to of the company which designs and produces alternative male underwear</t>
  </si>
  <si>
    <t>AR Feminine Products - Feasibility/Innovation</t>
  </si>
  <si>
    <t>Feasibility study funding towards research for the production of convenient travel female sanitary products</t>
  </si>
  <si>
    <t>B-Smark - Feasibility/Innovation</t>
  </si>
  <si>
    <t>Feasibility study grant to help develop a business that assists other busienss to increase sales through innovative semantic technology</t>
  </si>
  <si>
    <t>B2B Eco Cartridge - Priming</t>
  </si>
  <si>
    <t>Priming grant to support salary costs for 3 jobs in a business that recycles printer and toner cartridges for re-distribution around Ireland</t>
  </si>
  <si>
    <t>Band Pages - Feasibility/Innovation</t>
  </si>
  <si>
    <t>Feasibility funding towards the production of a website that is a one stop shop of bands, DJ's and musicians for weddings and other events</t>
  </si>
  <si>
    <t>Bang Wallop - Feasibility/Innovation</t>
  </si>
  <si>
    <t>Feasibility study funding towards the development of a new undegarment that offers athletes and other sports persons protection around the groin area</t>
  </si>
  <si>
    <t>Beat The Meter - Priming grant</t>
  </si>
  <si>
    <t>Priming grant funding of salary costs for the promoter of a business that installs rain harvesting tanks in order to save water for residents</t>
  </si>
  <si>
    <t>Boxever - Feasibility/Innovation</t>
  </si>
  <si>
    <t>Feasibility funding towards research and development of a cloud based IT company that assists airlines and travel agents gather and analyse customer data which helps them market personalised merchandise</t>
  </si>
  <si>
    <t>Brook Business Solutions - Business Expansion</t>
  </si>
  <si>
    <t>Bus. expansion funding towards the creation of one full-time job for a company that offers customised supply chain management software solutions to companies in Ireland and UK</t>
  </si>
  <si>
    <t>Cairdeas Coffee - Priming grant</t>
  </si>
  <si>
    <t>Priming grant for a company that manufactures it's own coffee. The grant is for the purchase of a coffee roasting machine.</t>
  </si>
  <si>
    <t>California wine Imports - Business Expansion</t>
  </si>
  <si>
    <t>Business expansion funding towards the creation of a full-time job and capital items for a buisness that imports and distributes wine from small producers based in Canada</t>
  </si>
  <si>
    <t>Cinnamon -Priming grant</t>
  </si>
  <si>
    <t>Priming grant funding towards the creation of jobs for a company that produces artisan cakes and breads.  7 full-time jobs created</t>
  </si>
  <si>
    <t>Circulator - Business Expansion</t>
  </si>
  <si>
    <t>Buisness expansion funding towards marketing and salary costs for the creation of 2 new jobs for a company that runs international marketing campaigns for international customers</t>
  </si>
  <si>
    <t>City Occupancy - Priming</t>
  </si>
  <si>
    <t>Priming grant towards salary costs of promoter for a business that has created a bench marking software tool for hotels</t>
  </si>
  <si>
    <t>Clever Box Club - Priming</t>
  </si>
  <si>
    <t>Priming grant assistance towards salary costs and capital items for the production of childrens toys using a kit made from recycled cardboard</t>
  </si>
  <si>
    <t>Coolnagour - Priming</t>
  </si>
  <si>
    <t>Priming grant assistance for salary costs and capital items towards an application that is used to monitor taxi drivers location, details and fare management</t>
  </si>
  <si>
    <t>Creeper Crawlers - Feasibility/Innovation</t>
  </si>
  <si>
    <t>Feasibility funding towards the development of a custom made garment for a baby that helps them learn to crawl by using special grips</t>
  </si>
  <si>
    <t>Crunch International - Priming Grant</t>
  </si>
  <si>
    <t>Priming grant application towards capital and consultancy costs for a business providing an online tool that manages customers weekly meal plans and pre-orders them before arriving at the café</t>
  </si>
  <si>
    <t>Datalytics - Priming</t>
  </si>
  <si>
    <t>Priming grant towards capital items for a company that specialises in combining consultancy, analytics and technology to unearth customer insights</t>
  </si>
  <si>
    <t>DB Tours - Priming grant</t>
  </si>
  <si>
    <t>Priming grant towards salary costs of promoter for business that provides overseas soccer trips for underage teams involving coaching at English Premier League clubs.  The comapny also attracts inbound tourism by hosting tournaments for foreign clubs</t>
  </si>
  <si>
    <t>Declan Alcock - Business Expansion</t>
  </si>
  <si>
    <t>Business Expansion grant towards salary costs for one full-time job for company that designs and manufactures vending machines</t>
  </si>
  <si>
    <t>Dine Easy - Priming grant</t>
  </si>
  <si>
    <t>Priming grant towards salary costs of promoter to assist with busines that provides the ingredients and exact calories, fat etc to healthy meals online</t>
  </si>
  <si>
    <t>D-Light studios - Busniess Expansion</t>
  </si>
  <si>
    <t>Business expansion funding towards salary costs of one new job and capital items towards a business that provides a multi-media workspace for the creative industry</t>
  </si>
  <si>
    <t>Eco Cabs - Business Expansion</t>
  </si>
  <si>
    <t>Business expansion funding towards capital items for an eco friednly business that provides a free taxi service using rickshaw's within the City centre</t>
  </si>
  <si>
    <t>Eco Marketing Agency - Priming grant</t>
  </si>
  <si>
    <t>Priming grant assitance of salary costs for one new full-time job, consulatancy and marketing costs to a business that provides environmentally friendly products from stationery to clothing</t>
  </si>
  <si>
    <t>Emergent Events - Business Expansion</t>
  </si>
  <si>
    <t>Business expansion funding towards the salary costs of one new employee for a company that organises the world Street performance champion ships bringing inbound tourism all over Ireland.</t>
  </si>
  <si>
    <t>Energy Solutions - Business Expansion</t>
  </si>
  <si>
    <t>Business expansion funding towards salary and capital items for a company that specialises in providing energy saving solutions to residential and commercial clients</t>
  </si>
  <si>
    <t>Event Junkies - Priming grant</t>
  </si>
  <si>
    <t>Priming grant assistance towards marketing and salary costs for one full-time job towards a company that films, edits and shares video content within 24 hrs</t>
  </si>
  <si>
    <t>Priming grant assistance towards capital items for a company that films, edits and shares video content within 24 hours</t>
  </si>
  <si>
    <t>Extreme Event Ireland - Business Expansion</t>
  </si>
  <si>
    <t>Business expansion grant assistance towards salary costs for two new full-time jobs for a tourism buisness that provides extreme activities for inbound visitors</t>
  </si>
  <si>
    <t>Fishbowl Software - Feasibility/Innovation</t>
  </si>
  <si>
    <t>Feasibility funding for research to become a provider of online marketing software and services to the restaurant industry.</t>
  </si>
  <si>
    <t>Fresh Today catering - PG</t>
  </si>
  <si>
    <t>Priming grant assistance towards capital costs and salary costs for 5 full-time jobs for a company that produces lunches for schools in the Leinster area</t>
  </si>
  <si>
    <t>Froberry - Priming grant</t>
  </si>
  <si>
    <t>Priming grant assistance towards salary costs for one full-time job the production of frozen yoghurt</t>
  </si>
  <si>
    <t>Front Row Centre - Feasibility/Innovation</t>
  </si>
  <si>
    <t>Feasibility funding towards researching the idea of having personalised live commentary of sporting events using radio signals from within the stadium</t>
  </si>
  <si>
    <t>Gambit Pictures Ltd - Priming grant</t>
  </si>
  <si>
    <t>Priming grant of salary costs for the promoter who runs a film and tv production company</t>
  </si>
  <si>
    <t>Georgia Scott - Priming grant</t>
  </si>
  <si>
    <t>Priming grant assistance of salary costs for two full-time jobs and marketing costs for company that designs and produces bespoke outwear for cyclists</t>
  </si>
  <si>
    <t>Green Tiger Technologies - Business Expansion</t>
  </si>
  <si>
    <t>Business Expansion grant towards salary costs of new employee of a company that designs and produces bespoke male underwear</t>
  </si>
  <si>
    <t>Hand on Heart Enterprises - Priming Grant</t>
  </si>
  <si>
    <t>Priming grant assistance towards salary costs for the creation of full-time jobs for this Social Enterprise that is involved with creating jobs for people with disabilities</t>
  </si>
  <si>
    <t>Healthreach - Priming grant</t>
  </si>
  <si>
    <t>Priming gratn assistance towards the salary costs of the promoter for a company that is a leader in the field of health promotion courses and services providing personal healthcare solutions.</t>
  </si>
  <si>
    <t>Inclusive Enterprises - Priming grant</t>
  </si>
  <si>
    <t>Priming grant assistance towards salary costs of promoter who runs an enterprise hub that supports people with disabilities and agencies working within the disability sector</t>
  </si>
  <si>
    <t>iPing - Business Expansion</t>
  </si>
  <si>
    <t>Business Expansion funding towards salary and marketing costs for a company that provides a suite of hardware and software support for businesses</t>
  </si>
  <si>
    <t>John Deering - Feasibility/Innovation</t>
  </si>
  <si>
    <t>Feasibility study towards research iinto the viability of establishing an Ireland / Isreal technology consultancy</t>
  </si>
  <si>
    <t>Jool ERP - PG</t>
  </si>
  <si>
    <t>Priming grant assistance towards the salary costs for one full-time job for a company that does computer hardware and software maintenance</t>
  </si>
  <si>
    <t>Karen Connolly - Feasibility/Innovation</t>
  </si>
  <si>
    <t>Feasibility study towards producing an innovative baby product that acts as a pillow, ring and nest</t>
  </si>
  <si>
    <t>Kooky Dough - Priming</t>
  </si>
  <si>
    <t>Priming grant towards capital costs for purchase of new cutting equipment for a company that produces make it yourself cookie dough</t>
  </si>
  <si>
    <t>KRO IT solutions - Business expansion</t>
  </si>
  <si>
    <t>Funding towards salary costs for one full-time job and capital items for company that specialises in software development and healthcare management</t>
  </si>
  <si>
    <t>Lavalloch Software - Priming</t>
  </si>
  <si>
    <t>Priming grant funding towards salary costs for 2 full-time jobs and utility costs for a company that specialises in software development for the construction industry</t>
  </si>
  <si>
    <t>Lean Technology - Priming</t>
  </si>
  <si>
    <t>Priming grant funding towards salary costs for 3 full-time jobs for a company that develops templates to be used by advertising agencies across the world</t>
  </si>
  <si>
    <t>Le Levain - Priming</t>
  </si>
  <si>
    <t>Priming grant assistnace towards salary costs for one full-time job for a company that produces and sells artisan breads and cakes</t>
  </si>
  <si>
    <t>M&amp;M Products - Business Expansion</t>
  </si>
  <si>
    <t>Business expansion funding towards the purchase of new equipment and the creation of a new job.  The company manufactures it's own range of stuffing</t>
  </si>
  <si>
    <t>Maithu IT Solutions - Business Expansion</t>
  </si>
  <si>
    <t>Business Expansion funding towards the creation of one full-time job.  The comapny specialises in app development and content management systems</t>
  </si>
  <si>
    <t>Malone Digital Media - Business Expansion</t>
  </si>
  <si>
    <t>Business expansion funding towwards salary costs for one full-time job and capital items.  Teh company provides bespoke audio visual services</t>
  </si>
  <si>
    <t>Mary Ryan - Feasibility/Innovation</t>
  </si>
  <si>
    <t>Feasibility funding towards the establishment of a company that specialises in commercialising new product ideas</t>
  </si>
  <si>
    <t>Meehan Greene Technologies - Priming</t>
  </si>
  <si>
    <t>Priming grant funding towards salary costs for 3 full-time jobs.  The company specialises in developing solar power renewable energy products</t>
  </si>
  <si>
    <t>Melissa Curry Design - Feasibility/Innovation</t>
  </si>
  <si>
    <t>Feasibility funding towards the development of a website.  The copany specialises in producing bespoke jewellery</t>
  </si>
  <si>
    <t>Miss Mutelys - Priming</t>
  </si>
  <si>
    <t>Priming grant funding twoards salary costs for the promoter.  The company specialises in the production of dog products with sales in UK and Ireland</t>
  </si>
  <si>
    <t>Mole Screen Ireland -Priming</t>
  </si>
  <si>
    <t>Priming grant assistance towards two full-time jobs.  THe company provides a walk-in mole screening service</t>
  </si>
  <si>
    <t>Music Book - PG</t>
  </si>
  <si>
    <t>Priming grant assistance towards salary costs for one full-time job and marketing costs.  The buisness is a website that provides a one stop shop of classical musicians for hire</t>
  </si>
  <si>
    <t>News Whip - Priming</t>
  </si>
  <si>
    <t>Priming grant assistance towards Salary costs of one full-time job.  The company gathers news items from around the world and compiles them into newsletters specific to the regions you want</t>
  </si>
  <si>
    <t>Om Diva - Business Expansion</t>
  </si>
  <si>
    <t>Business Expansion grant assistance towards Salary costs for one full-time job and capital items. The company provides enterprise &amp; retail space for fashion designers</t>
  </si>
  <si>
    <t>Peter Love - Feasibility/Innovation</t>
  </si>
  <si>
    <t>Feasibility study funding towards researching the opportunity to establish a self sufficient enterprise space for the creative industry</t>
  </si>
  <si>
    <t>Pie Irish - Priming</t>
  </si>
  <si>
    <t>Priming grant funding towards salary costs for one full-time job and capital items.  The company produces homemade artisan pies</t>
  </si>
  <si>
    <t>Results Engineering - Feasibility/Innovation</t>
  </si>
  <si>
    <t>Feasibility study funding of consultancy and prototype development towards establishing a company that provides document imaging and workflow solutions</t>
  </si>
  <si>
    <t>Safetext - Priming</t>
  </si>
  <si>
    <t>Priming grant funding towards salary costs for 3 full-time jobs.   The company provides an SMS services for people who need reminders to take medication</t>
  </si>
  <si>
    <t>Sweet Things - Priming</t>
  </si>
  <si>
    <t>Priming grant assistance towards funding for one full-time job.  The company produces artisan cakes</t>
  </si>
  <si>
    <t>Smart Wall Paint - Priming</t>
  </si>
  <si>
    <t>Priming grant assistance towards salary costs for one full-time job.  The company manufactures a paint that can be used as a white board when applied to a flat surface</t>
  </si>
  <si>
    <t>Swoop - Priming</t>
  </si>
  <si>
    <t>Priming grant assistnace towards capital items.  The company provides a one stop shop for all things Irish handmade such as Women &amp; Mens fashion, craft and beuty products etc.</t>
  </si>
  <si>
    <t>Synergy Stocktaking - Business Expansion</t>
  </si>
  <si>
    <t>Business expansion funding towards salary costs for one full-time job and consultancy.  The company provides a remote and digital stocktaking service for the retail industry</t>
  </si>
  <si>
    <t>Tapadoo - Business expansion</t>
  </si>
  <si>
    <t>Busniess expansion funding towards the creation of two full-time jobs.  The company develops and markets apps</t>
  </si>
  <si>
    <t>Taza Bazaar - Feasibility/Innovation</t>
  </si>
  <si>
    <t>Feasibility funding towards researching the prospect of establishing a business that is involved in creating fashion from recycled material</t>
  </si>
  <si>
    <t>The Malthouse Design - Priming</t>
  </si>
  <si>
    <t>Priming grant funding towards salary costs for new jobs.  The company offers consultancy and advice collaboration opportunities for product developers</t>
  </si>
  <si>
    <t>The T-Shirt Company - Business expansion</t>
  </si>
  <si>
    <t>Business Exapnsion funding towards salary costs for full-time jobs and new equipment.  The company produces bespoke t-shirts</t>
  </si>
  <si>
    <t>Tinpot Productions - Business Expansion</t>
  </si>
  <si>
    <t>Business expansion funding towards one full-time job.  The company provides audio-visual recording and editing service along with onsite training</t>
  </si>
  <si>
    <t>Unique Creative enterprises - Priming grant</t>
  </si>
  <si>
    <t>Priming funding towards salary cost for a full-time job and capital equipment for the refurbishment of a premises.  The comapny is an enterprise space for the creative industry offering works and retail space for the craft and fashion indistry</t>
  </si>
  <si>
    <t>Vendorshop - Priming</t>
  </si>
  <si>
    <t>Priming grant funding towards salary costs for two full-time jobs.  The company creates platforms that allows business to sell through mobile phones and Facebook</t>
  </si>
  <si>
    <t>Wefoundit - Feasibility/Innovation</t>
  </si>
  <si>
    <t>Feasibility study funding towards consultancy costs to establish a business the helps companies manage their lost and found property as well as people find their lost property</t>
  </si>
  <si>
    <t>Zinc Software - Priming</t>
  </si>
  <si>
    <t>Priming grant towards salary costs and marketing.  The company is a software and app development company that has developed an electronic relaxation device using technology and algorythems</t>
  </si>
  <si>
    <t>Klickity - Priming</t>
  </si>
  <si>
    <t>Priming funding towards salary costs for the promoter.  The company designs and produces bespoke homeware such as lamp shades</t>
  </si>
  <si>
    <t>3rd Tap Solutions - PG</t>
  </si>
  <si>
    <t>Provision of pumps that dispense free carbonated water in pubs.  Priming grant of €15k for two full-time jobs</t>
  </si>
  <si>
    <t>Mulch - PG</t>
  </si>
  <si>
    <t>Recycling plant for green waster to be used as mulch and fertiliser.  Priming grant of €18.75k for 2.5 full-time jobs</t>
  </si>
  <si>
    <t>Akaz Export Private - FG</t>
  </si>
  <si>
    <t>Exporting Irish dairy products to South Africa.  FSG of €2446.65 towrds 3rd party costs for R&amp;D</t>
  </si>
  <si>
    <t>Aliquo - BDG</t>
  </si>
  <si>
    <t>Design of original costume jewelry.  Priming grant funding of €3.75k for promoter salary costs</t>
  </si>
  <si>
    <t>Arty Smarty - PG</t>
  </si>
  <si>
    <t>Jewelry and accessories design &amp; production shipped worldwide.  PG of €3.75k for one full-time job</t>
  </si>
  <si>
    <t>Astrobook - PG</t>
  </si>
  <si>
    <t>Platform that allows small recreational outfits (Yoga, Dancing etc)manage payments and bookings on the cloud - PG for 2 full-time jobs</t>
  </si>
  <si>
    <t>Barry O'Mahony - FSG</t>
  </si>
  <si>
    <t>App development for Golf Clubs to assist with tee time bookings and weather alerts and new alerts for club.  Funding used for completion of development</t>
  </si>
  <si>
    <t>Benoits Chocolate - PG</t>
  </si>
  <si>
    <t>Production of quality chocolate drinks and treats.  Funding used for recruitment and capital items</t>
  </si>
  <si>
    <t>BookXtra - FSG</t>
  </si>
  <si>
    <t>Feasibility study for development of an e-book application where a user can click on an item while online to find out more in-depth info. regarding the publication.</t>
  </si>
  <si>
    <t>Brandfire - PG</t>
  </si>
  <si>
    <t>Priming grant for salary costs for one full-time job.  Company designs, brands, develops and implements loyalty programmes</t>
  </si>
  <si>
    <t>CKM Advisory - PG</t>
  </si>
  <si>
    <t>CKM Advisors is a recognized leader in advancing the use of data science for performance improvement. The approach utilizes direct digital empirical measurements to assess employee productivity, resource utilization, process efficiency and the root causes of bottlenecks.</t>
  </si>
  <si>
    <t>Detox Retox - PG</t>
  </si>
  <si>
    <t>Salary costs for the promoter and 3rd party costs for food business aimed at the ceoliac market</t>
  </si>
  <si>
    <t>Event Junkies - BDG</t>
  </si>
  <si>
    <t>Business Development grant for 2 new full-time jobs</t>
  </si>
  <si>
    <t>Everworks - FSG</t>
  </si>
  <si>
    <t>Everworks t/a Zendoc is an easy to use web-based quality management platform system developed for small and medium sized ISO/FDA/GxP regulated Life &amp; Health Sciences companies. FSG to do R&amp;D to create the tool</t>
  </si>
  <si>
    <t>Foliocorp IT - FSG</t>
  </si>
  <si>
    <t>Feasibility study for prototype development &amp; consultancy.  To produce and sell customised iOS application for creatives.</t>
  </si>
  <si>
    <t>Front Row Centre - PG</t>
  </si>
  <si>
    <t>Priming grant of salary cost for promoter.  Company provides live commentary on head pieces sold at sporting events</t>
  </si>
  <si>
    <t>Gene File - FSG</t>
  </si>
  <si>
    <t>Company is a cloud based service that allows people to store all important personal documentation and memorabilia.  Feasibility funding was for R&amp;D and set up of website</t>
  </si>
  <si>
    <t>Gene File - PG</t>
  </si>
  <si>
    <t>Priming grant funding for Salary costs for 2 jobs and capital items.  The company is a cloud based service where people can store important personal info and photos etc</t>
  </si>
  <si>
    <t>Go Car Sharing - PG</t>
  </si>
  <si>
    <t>Priming grant of salary costs for one full-time job.  Company provide short-hop car rental service in Dublin City</t>
  </si>
  <si>
    <t>Huggy Bloom - FSG</t>
  </si>
  <si>
    <t>Feasibility study to assist with development of a range of product for the baby market.</t>
  </si>
  <si>
    <t>House Of Provence - FSG</t>
  </si>
  <si>
    <t>Feasibility study to develop a range of dog grooming products and other dog related products.</t>
  </si>
  <si>
    <t>Il Valentino - FSG</t>
  </si>
  <si>
    <t>Feasibility study to assist with production of fine breads and cakes</t>
  </si>
  <si>
    <t>Irish Business School - PG</t>
  </si>
  <si>
    <t>Priming grant for the creation of 3 full-time jobs and €10k towards capital items.  IBS is a business school attracting overseas students</t>
  </si>
  <si>
    <t>Japan Ireland Travel - BDG</t>
  </si>
  <si>
    <t>Business Development Grant for one new full-time employee.  The company organines Irish tours for Japanese tourist providing travel, transport and accommodation arragnements</t>
  </si>
  <si>
    <t>Kooky Dough FSG</t>
  </si>
  <si>
    <t>Feasibility Study to develop packaging and research export markets</t>
  </si>
  <si>
    <t>Liberties Press - BDG</t>
  </si>
  <si>
    <t>Bus. Dev Grant for 2 full-time members of staff.  The company is a digital publishing business</t>
  </si>
  <si>
    <t>Mangrove Green - PG</t>
  </si>
  <si>
    <t>Priming grant for salary costs for two promoters and funding towards product dev.  The company t/a Chilli Moo produces a healthy frozen yogurt snack</t>
  </si>
  <si>
    <t>Medical Audits FSG</t>
  </si>
  <si>
    <t>Feasibility Study to research development of software to  standardise medical audits for clinics/nursing homes.  The software will cover a series of checks and procedures that must be completed and can be easily reviewed by person carrying out the audit.</t>
  </si>
  <si>
    <t>Miriam Cox Monahan - FSG</t>
  </si>
  <si>
    <t>FSG to develop a range of healthy oat based snacks as an alternative to porridge.  The funding is to be used for product development</t>
  </si>
  <si>
    <t>Oishii Foods - BDG</t>
  </si>
  <si>
    <t>Production of Irish made Sushi supplying the food service industry.  Business Dev grant of €40k for 3 full-time jobs and €21.25k towards capital items</t>
  </si>
  <si>
    <t>Onn Platform - PG</t>
  </si>
  <si>
    <t>Priming grant for one full-time job and marketing costs.  The company is a new fashion label consisting of an online platform allowing customer interaction, fashion trends and style info</t>
  </si>
  <si>
    <t>Rocker Foods - PG</t>
  </si>
  <si>
    <t>Company produces his own range of chutney.  Priming grant towards marketing costs.</t>
  </si>
  <si>
    <t>Rocker Lane - PG</t>
  </si>
  <si>
    <t>Production of contemporary furniture that is 100% sustainable.  Priming grant for one full-time job</t>
  </si>
  <si>
    <t>Romel Software - PG</t>
  </si>
  <si>
    <t>Software development for the accounting sector.  PG for one full-time job.</t>
  </si>
  <si>
    <t>Ruby Jewels - PG</t>
  </si>
  <si>
    <t>Production of artisan jewelry.  Priming grant for one full-time job</t>
  </si>
  <si>
    <t>Schoolbag Ltd - FSG</t>
  </si>
  <si>
    <t>The project is to develop a cloud based homework journal type tool that can be accessed by pupils, teachers and parents.  FSG funding to develop the platform</t>
  </si>
  <si>
    <t>Silverback Staff - PG</t>
  </si>
  <si>
    <t>Priming Grant for 3 full-time staff.  Provision of specialist skilled labour at home and abroad for the engineering and construction sector</t>
  </si>
  <si>
    <t>Sinead Doyle Designs - PG</t>
  </si>
  <si>
    <t>Eponymous luxury day-wear.  Priming grant is for full-time job and marketing costs</t>
  </si>
  <si>
    <t>Sremium - BDG</t>
  </si>
  <si>
    <t>BDG towards capital items. An IT company providing media with interactive voice and messaging services.</t>
  </si>
  <si>
    <t>Storymap - PG</t>
  </si>
  <si>
    <t>Priming grant for marketing costs.  The company provides tourists with tours of Dublin using the unique characters of the City</t>
  </si>
  <si>
    <t>Smart Wall Paint - FSG</t>
  </si>
  <si>
    <t>Promoter now wants to develop a product that can be used on any colour surface and produce a range of different colour paints</t>
  </si>
  <si>
    <t>Business expansion funding towards salary costs for two full-time job and consultancy.  The company provides a remote and digital stocktaking service for the retail industry</t>
  </si>
  <si>
    <t>The Delicious Food Co - PG</t>
  </si>
  <si>
    <t>Production of healthy food for the corporate market.  Priming grant for one full-time job and marketing costs</t>
  </si>
  <si>
    <t>Whelan &amp; Lombard - FSG</t>
  </si>
  <si>
    <t>Feasibility Study to develop and test a range of homemade healthy stocks</t>
  </si>
  <si>
    <t>Whelan &amp; Lombard - PG</t>
  </si>
  <si>
    <t>Production of homemade healthy cooking stocks.  Priming grant for 2 full-time jobs, marketing and consultancy</t>
  </si>
  <si>
    <t>Sprint Start business network - M2</t>
  </si>
  <si>
    <t>Enterprise business network for early stage startups consisting of SYOB participants and other micro-business in Dublin City</t>
  </si>
  <si>
    <t>RCSI Cycle 3 Programme for Human Genomics - BSN (RCSI) component</t>
  </si>
  <si>
    <t>The Programme for Human Genomics involves a research programme using powerful technologies to unravel the mysteries of human disease. The structure of the programme allows for parallel development across partners institutions in scientific research and clinical facilities. The outcome of this integration will result in a valuable bio source with information on four areas- cancer, cardiovascular disease, inflammation and therapeutics.</t>
  </si>
  <si>
    <t>DIAS Cycle 3 Computational Grid</t>
  </si>
  <si>
    <t>A programme for research on Grid-enabled Computational Physics of Natural Phenomena.</t>
  </si>
  <si>
    <t>DIT Cycle 4 Nanoscience and Nano-scale Technologies for Ireland (NANOTEIRE)</t>
  </si>
  <si>
    <t>DCU Cycle 3 National Institute for Cellular Biotechnology</t>
  </si>
  <si>
    <t>Cell and molecular biotechnology research. Translating the output of this basic research into practical application relating to: The biotechnology and pharmaceutical industries._x000D_Improving treatment and diagnosis of cancer,diabetes and of infectious diseases.</t>
  </si>
  <si>
    <t>DCU Cycle 4 Nanoscience and Nano-scale Technologies for Ireland (NANOTEIRE)</t>
  </si>
  <si>
    <t>DCU C4 (Bio)Pharmaceuticals &amp; Pharmacological Sciences:Target-driven Therapeutics &amp; Theranostics(T3)</t>
  </si>
  <si>
    <t>TCD Cycle 3 Programme for Human Genomics-DMMC (TCD) component</t>
  </si>
  <si>
    <t>The Programme for Human Genomics involves a research programme using powerful technologies to unravel the mysteries of human disease. The structure of the programme allows for parallel development across partners institutions in scientific research and clinical facilities. The outcome of this integration will result in a valuable bio source with information on four areas- cancer, cardiovascular disease, inflammation and therapeutics</t>
  </si>
  <si>
    <t>TCD Cycle 3 Centre for Synthesis and Chemical Biology</t>
  </si>
  <si>
    <t>The ultimate objective of the researchers involved in the CSCB is to isolate and identify active compounds from nature and apply them in patient treatments. The research has the potential to form the basis of new drugs for a wide range of treatments, such as; cancer, HIV, Hepatitis B, multiple sclerosis and diabetes.</t>
  </si>
  <si>
    <t>TCD Cycle 4 Humanities Serving Irish Society (HSIS)</t>
  </si>
  <si>
    <t>This HSIS consortium represents a major change in the scope and capacity for humanities research, teaching and training in Ireland.</t>
  </si>
  <si>
    <t>TCD Cycle 4 Nanoscience and Nano-scale Technologies for Ireland (NANOTEIRE)</t>
  </si>
  <si>
    <t>TCD Cycle 4  e-INIS - The Irish National e-Infrastructure</t>
  </si>
  <si>
    <t>e-INIS aims to enable the construction of a modern integrated national e-Infrastructure based around the three existing service collaborations (HEAnet, Grid-Ireland and ICHEC) together with key institutional partners (NUIM, NUIG, TCD, UCC) and incorporating the three key elements of high-performance computing, advanced network connectivity and sophisticated data management.  The longer-term aim is to integrate this into the developing European and international shared e-Infrastructure.</t>
  </si>
  <si>
    <t>RCSI Cycle 3 Centre for Synthesis and Chemical Biology</t>
  </si>
  <si>
    <t>TCD Irish Transgenic Network</t>
  </si>
  <si>
    <t>Equipment to bring the full range of knockout and transgenic mouse technologies to Irish Researchers. The use of sophisticated animal models is a universal feature of high quality biomedical research internationally</t>
  </si>
  <si>
    <t>TCD Biomedical Sciences Development</t>
  </si>
  <si>
    <t>The Biomedical Sciences Development consolidates and co-locates pre-clinical bioscience research activities across five hitherto geographically dispersed TCD schools:  Chemistry, Engineering, Biochemistry &amp; Immunology, Medicine, Pharmacy &amp; Pharmaceutical Sciences.  The proposal is to integrate and scale interlinked proven quality research themes:  Immunology, Cancer and Medical Devices, in a single facility.</t>
  </si>
  <si>
    <t>DCU NRF-TRF</t>
  </si>
  <si>
    <t>Nano-Bio Analytical Research Facility-primary focus on Translational Nanomedicine. Leverage key areas of established research excellence &amp; consolidate advanced facilities and instrumentation. Create an enhanced environment that promotes convergent research and that is aligned with the European Strategic Research Agenda on Nanomedicine. Focus on development of novel nanomaterials and bioanalytical methodologies leading to breakthroughs in diagnostics, biomedical imaging and targeted drug delivery</t>
  </si>
  <si>
    <t>TCD Graduate Research Education Programme in Engineering (GREP-ENG)</t>
  </si>
  <si>
    <t>Engineering Structured PhD Programme for high quality engineering graduate education. Interaction with industrial partners in Ireland Europe and worldwide is an integral part of the programme. Aim is to enable the students creativity and research skills and enhance research through technology transfer and potential for 'start-ups'.</t>
  </si>
  <si>
    <t>PRTLI (Current)</t>
  </si>
  <si>
    <t>TCD Digital Arts and Humanities Structured PhD Education</t>
  </si>
  <si>
    <t>The Structured PhD in DAH is a 4 yr programme that provides world-class training in innovative models of arts practice and theory, and humanities research, archiving and pedagogy. The programme will promote advanced practical and academic research in the application of new media and computer technologies in the arts and humanities.</t>
  </si>
  <si>
    <t>TCD Molecular and Cellular Mechanisms Underlying Inflammatory Processes</t>
  </si>
  <si>
    <t>A Structured PhD Programme which has strong inter-institutional and interdisciplinary component and exploit existing strategic research strengths in cell and molecular biology of inflammation that transcends Immunology, Neuroscience and Cancer. Students will benefit from high quality training providing excellent preparation for varied and flexible careers in the pharmaceutical industry and beyond.</t>
  </si>
  <si>
    <t>TCD Dublin Graduate Physics Programme</t>
  </si>
  <si>
    <t>The DGPP will enable UCD and TCD to combine their resources and develop an exceptional joint Structured PhD programme that will be the flagship for graduate level physics education in Ireland.  The focus of DGPP will be primarily on cutting-edge and original research, with taught disciplinary and transferrable skills.</t>
  </si>
  <si>
    <t>Envirobuild &amp; Associates Ltd</t>
  </si>
  <si>
    <t>The grantee will install a 6kW wind turbine</t>
  </si>
  <si>
    <t>Carl Stuart Ltd</t>
  </si>
  <si>
    <t>The grantee will install 5.94 kWp of solar PV</t>
  </si>
  <si>
    <t>Cool Power Products Ltd</t>
  </si>
  <si>
    <t>Finalise testing and trialling of the EMMA GVS, research and design an (1) optimised remote monitoring option for EMMA,(2) a revised operating software and hardware platform, (3) develop the EMMA DSM version, Trial EMMA DSM in UK and Ireland and Develop EMMA WFM version to work with Smart Home Area Networks.</t>
  </si>
  <si>
    <t>RCSI RERG Equipment</t>
  </si>
  <si>
    <t>Various equipment items for key research areas identified in the HEA/Forfas Research Infrastructure Review 'Research Infrastructure in Ireland- Building for Tomorrow.' Published in 2007. Research Areas: Translational Medicine-Multiple Channel Laser Doppler and equipment to measure tissue oxygen levels (Oxylite 2000 E); Molecular Immunology Laboratory-Multitask Plate reader; Peptide Laboratory-HPLC System; Human Proteomics- anaysis of RNA &amp; DNA gels, FPLC System, chemiluminescent CCD detection.</t>
  </si>
  <si>
    <t>DIT Research Equipment Renewal Grant DIT</t>
  </si>
  <si>
    <t>Various equipment items for key research areas identified in the HEA/Forfas Research Infrastructure Review 'Research Infrastructure in Ireland - Building for Tomorrow.' Published in 2007. Research Areas: Faculty of Applied Arts- Audio-visual research equipment, Digital Media Centre; Faculty of Science-Mass Spectrometer, Thermal Cycler, UPLC Core system; Faculty of Engineering-Power Quality Test Bench, Biopotential acquisition system; Built Environment-Terrestrial laser scanner</t>
  </si>
  <si>
    <t>DCU Reseach Equipment Renewal Grant</t>
  </si>
  <si>
    <t>Various equipment items for key research areas identified in the HEA/Forfas Research Infrastructure Review 'Research Infrastructure in Ireland - Building for Tomorrow.' Published in 2007. Research Areas: Biotechnology; ICT; Health/Life Science; Equipment for compositional analysis at the nanoscale supporting DCUs strategic themes of Science, Discovery and Technological Innovation. Specific items include Scanning Electronic Microscopy, High Performace Computing Cluster, Optical Oscilloscop</t>
  </si>
  <si>
    <t>TCD Research Equipment Renewal Grant</t>
  </si>
  <si>
    <t>Various equipment items for key research areas identified in the HEA/Forfas Research Infrastructure Review 'Research Infrastructure in Ireland - Building for Tomorrow.' Published in 2007. Some Research Areas:  Library Mgt Server System as TCD library identified in the Review as a'strategic national resource centre'; Neuroscience equipment within school of psychology; Liquid chromotography/mass spectrometer for quantitative analysis of biopharmaceutical compounds; Biomedical Research Equipment</t>
  </si>
  <si>
    <t>GATEWAYS FUND TOTAL</t>
  </si>
  <si>
    <t>PRTLI (CAPTIAL)</t>
  </si>
  <si>
    <t>PRTLI (CURRENT)</t>
  </si>
  <si>
    <t>DUBLIN CITY TOTAL</t>
  </si>
  <si>
    <t>Blackrock Clinic</t>
  </si>
  <si>
    <t>The Blackrock Clinic is a 120 in-patient bed private care hospital.</t>
  </si>
  <si>
    <t>Dun Laoghaire-Rathdowne</t>
  </si>
  <si>
    <t>Installation of geothermal heat pump with vertical bore hole,  with solar panels and biomass backup boiler to heat office suite and open display area. Heat will be delivered by an under floor heating system to the warehouse/display area.</t>
  </si>
  <si>
    <t>Jesuit Community</t>
  </si>
  <si>
    <t>Installation of 1 no 60kW nibe ground source heat pumps c/w 6no 150m deep boreholes. installation of back up gas fired condensing boiler. installation of heat recovery ventilation system_x000D_</t>
  </si>
  <si>
    <t>Childrens Sunshine Home</t>
  </si>
  <si>
    <t>Feasibility study on using geo-thermal heat pump and solar panels to heat the building (58kw requirement)</t>
  </si>
  <si>
    <t>Clearpower Limited</t>
  </si>
  <si>
    <t>Installation of a 150kW_x000D_ wood pellet boiler</t>
  </si>
  <si>
    <t>Marist Fathers</t>
  </si>
  <si>
    <t>Installation of 12m2 evacuated tube solar panels</t>
  </si>
  <si>
    <t>Reputations Ltd</t>
  </si>
  <si>
    <t>Installation of 5.7 m2 evacuated tubes.</t>
  </si>
  <si>
    <t>Ashbury Nursing Home</t>
  </si>
  <si>
    <t>Installation of a 14 kW Heatpump.</t>
  </si>
  <si>
    <t>Children's Sunshine Home</t>
  </si>
  <si>
    <t>Installation of a a46.2 kW heat pump.</t>
  </si>
  <si>
    <t>Marina Hand</t>
  </si>
  <si>
    <t>The grantee will install 11.7m2 flat plate solar panels</t>
  </si>
  <si>
    <t>Feely Consulting Ltd Pref</t>
  </si>
  <si>
    <t xml:space="preserve">Online trade </t>
  </si>
  <si>
    <t>Software Asset Management Pref</t>
  </si>
  <si>
    <t>Software</t>
  </si>
  <si>
    <t>CVIZZ Ltd Pref</t>
  </si>
  <si>
    <t>The business is seeking to develop, patent and licence a software solution to facilitate the selection and recruitment of staff for the graduate placement market</t>
  </si>
  <si>
    <t>247 Meeting Cap</t>
  </si>
  <si>
    <t>Virtual meetings</t>
  </si>
  <si>
    <t>Greg McMurray Employ</t>
  </si>
  <si>
    <t>Chauffeur and car hire</t>
  </si>
  <si>
    <t>Counter Propaganda Pref</t>
  </si>
  <si>
    <t>Textile design and manufacture for Irish and overseas markets</t>
  </si>
  <si>
    <t>Media Centric Pref</t>
  </si>
  <si>
    <t>Media systems</t>
  </si>
  <si>
    <t>Locate Online Feas</t>
  </si>
  <si>
    <t>Online information about local services</t>
  </si>
  <si>
    <t>Dublin Cookery School Cap</t>
  </si>
  <si>
    <t>Cookery School</t>
  </si>
  <si>
    <t>Pure Haven Cap</t>
  </si>
  <si>
    <t>Furniture manufacture</t>
  </si>
  <si>
    <t>Biosystems Engineering Feas</t>
  </si>
  <si>
    <t>Food testing</t>
  </si>
  <si>
    <t>Oceandivers Cap</t>
  </si>
  <si>
    <t>Diving school</t>
  </si>
  <si>
    <t>Dalkey Castle Empl</t>
  </si>
  <si>
    <t>Tourism and heritage</t>
  </si>
  <si>
    <t>VooDoo Web Empl</t>
  </si>
  <si>
    <t>Web site development</t>
  </si>
  <si>
    <t>Sharavogue School Empl</t>
  </si>
  <si>
    <t>D&amp;A Enterprise-Powersaver Feas</t>
  </si>
  <si>
    <t>Power-saving technology</t>
  </si>
  <si>
    <t>Ardour Media Empl</t>
  </si>
  <si>
    <t>Property website</t>
  </si>
  <si>
    <t>Connect Publishing Pref</t>
  </si>
  <si>
    <t>Publishing</t>
  </si>
  <si>
    <t xml:space="preserve">Mobile Cultures Feas </t>
  </si>
  <si>
    <t>Mobile phone marketing</t>
  </si>
  <si>
    <t>Pekaar Technologies Pref</t>
  </si>
  <si>
    <t>Information technology</t>
  </si>
  <si>
    <t>Handle Hygiene Pref</t>
  </si>
  <si>
    <t>Hygiene systems</t>
  </si>
  <si>
    <t>Alison Lawless Feas</t>
  </si>
  <si>
    <t>Children's hygiene products</t>
  </si>
  <si>
    <t>Kids United Cap</t>
  </si>
  <si>
    <t>Tadhg Cashman Feas</t>
  </si>
  <si>
    <t>Marian Hearne Feas</t>
  </si>
  <si>
    <t>Food manufacturing</t>
  </si>
  <si>
    <t>Travel Exhibitions Feas</t>
  </si>
  <si>
    <t>Web-based rentals</t>
  </si>
  <si>
    <t>Agile Technologies Ltd Empl</t>
  </si>
  <si>
    <t>Information technology offering quality outsourcing solutions to the web and IT sectors</t>
  </si>
  <si>
    <t>OTIF Ltd Pref</t>
  </si>
  <si>
    <t>Preferences Shares</t>
  </si>
  <si>
    <t>Fashion design and manufacture</t>
  </si>
  <si>
    <t>EasyQ Networks Employ</t>
  </si>
  <si>
    <t>Web-based technology</t>
  </si>
  <si>
    <t>Budding Tastes Feas</t>
  </si>
  <si>
    <t>Food project</t>
  </si>
  <si>
    <t>Paula Mee Feas</t>
  </si>
  <si>
    <t xml:space="preserve">Nutrition </t>
  </si>
  <si>
    <t>Ciferion Ltd Pref</t>
  </si>
  <si>
    <t>Translation business</t>
  </si>
  <si>
    <t>Reddar Ltd Pref</t>
  </si>
  <si>
    <t>Mobile technology</t>
  </si>
  <si>
    <t>Interleado Ltd Pref</t>
  </si>
  <si>
    <t>Online marketing</t>
  </si>
  <si>
    <t>Bill Kennedy Empl</t>
  </si>
  <si>
    <t>Computer repair, sustainable self-employment</t>
  </si>
  <si>
    <t>Daisy Cakes Cap</t>
  </si>
  <si>
    <t>Food</t>
  </si>
  <si>
    <t>Furzee Digital Media Feas</t>
  </si>
  <si>
    <t>Online business</t>
  </si>
  <si>
    <t>Still Point Productions Feas</t>
  </si>
  <si>
    <t>Arts-related project</t>
  </si>
  <si>
    <t>Dragan Novak Feas</t>
  </si>
  <si>
    <t>Game products manufacture</t>
  </si>
  <si>
    <t>Clarke Warner Feas</t>
  </si>
  <si>
    <t>Maritime research</t>
  </si>
  <si>
    <t>Anthony Keane Feas</t>
  </si>
  <si>
    <t>Recyclable packaging</t>
  </si>
  <si>
    <t>Business Seminars M2</t>
  </si>
  <si>
    <t>Business Seminars - aimed at upskilling entrepreneurs and their staff</t>
  </si>
  <si>
    <t>Craft Initiatives M2</t>
  </si>
  <si>
    <t>Assistance to craft industry aiming to improve commercial acumen</t>
  </si>
  <si>
    <t>Enterprise Awards / M2</t>
  </si>
  <si>
    <t>Awards to recognise the achievements of small businesses.</t>
  </si>
  <si>
    <t>Internet Programme / M2</t>
  </si>
  <si>
    <t>Client internet enhancement aiming to optimise our clients' use of the web</t>
  </si>
  <si>
    <t>Mentoring Programme / M2</t>
  </si>
  <si>
    <t>PLATO Programme /M2</t>
  </si>
  <si>
    <t>Management development programme</t>
  </si>
  <si>
    <t>Project Support M2</t>
  </si>
  <si>
    <t>Enterprise support programmes aimed at encouraging existing and developing new local entrepreneurial activity</t>
  </si>
  <si>
    <t>Promotional Material / M2</t>
  </si>
  <si>
    <t>Enterprise Promotion to further entrepreneurial awareness and development in Dun Laoghaire-Rathdown. This is eligible for ERDF co-funding.</t>
  </si>
  <si>
    <t>Education Initiatives / M2</t>
  </si>
  <si>
    <t>Promotion of enterprise education in schools</t>
  </si>
  <si>
    <t>Third Level Linkage / M2</t>
  </si>
  <si>
    <t>Increasing entrepreneurial awareness in third level colleges in our area_x000D_</t>
  </si>
  <si>
    <t>Networks / M2</t>
  </si>
  <si>
    <t>Networking for small firms</t>
  </si>
  <si>
    <t>Export Programme M2</t>
  </si>
  <si>
    <t>Promotion of international trade</t>
  </si>
  <si>
    <t>247 Meeting Employ</t>
  </si>
  <si>
    <t>Virtual meeting facilitation with export potential</t>
  </si>
  <si>
    <t>Handle Hygiene Feas</t>
  </si>
  <si>
    <t>Handle cleaning system</t>
  </si>
  <si>
    <t>Business Advisor</t>
  </si>
  <si>
    <t>Provision of business advice &amp; information</t>
  </si>
  <si>
    <t>Pure Haven Employ</t>
  </si>
  <si>
    <t>SYOB-Start Your Own Business / M2 Training</t>
  </si>
  <si>
    <t>Training to enhance the skills-sets and knowledge of budding and existing entrepreneurs</t>
  </si>
  <si>
    <t>Sales &amp; Marketing Course / M2 Training</t>
  </si>
  <si>
    <t>Training in sales and marketing for small business owners and their advisers</t>
  </si>
  <si>
    <t>Hi Start M2 Training</t>
  </si>
  <si>
    <t>Training for companies with potential to progress to Enterprise Ireland</t>
  </si>
  <si>
    <t>Accounting using Excel</t>
  </si>
  <si>
    <t>Training small business owners and their advisers on the use of the Excel spreadsheet for bookkeeping and accounts_x000D_</t>
  </si>
  <si>
    <t>Business Growth Programme M2</t>
  </si>
  <si>
    <t>Training for firms who are established over 2 years with good growth prospects,with the aim of upskilling participants.</t>
  </si>
  <si>
    <t>Small Business Accounting M2 Training</t>
  </si>
  <si>
    <t>Training - bookkeeping and accounting for small businesses</t>
  </si>
  <si>
    <t>Pekaar Technologies Employ</t>
  </si>
  <si>
    <t>Information technology, promote tourism</t>
  </si>
  <si>
    <t>Andrew Nolan  Empl</t>
  </si>
  <si>
    <t>Handyman services, retain gainful employment</t>
  </si>
  <si>
    <t>Meetingsbroker Empl</t>
  </si>
  <si>
    <t>Tourism emarketing with export potential</t>
  </si>
  <si>
    <t>Helipad Design Feas</t>
  </si>
  <si>
    <t>Design of helicopter landing pads, tourism promotion</t>
  </si>
  <si>
    <t>Plexus Technologies / Employ</t>
  </si>
  <si>
    <t>IT solutions for businesses, including mobile phone marketing tools and  ecommerce applications.The project has export potential.</t>
  </si>
  <si>
    <t>Silver Spoon Media Ltd  Feas</t>
  </si>
  <si>
    <t>Developing software for internet marketing, with export potential</t>
  </si>
  <si>
    <t>Nina DiVito Feas</t>
  </si>
  <si>
    <t>Design and manufacture of footwear for sale to the home and export luxury markets</t>
  </si>
  <si>
    <t>Cairdeas International Empl</t>
  </si>
  <si>
    <t>International co-operative education placements aimed to promote inbound educational tourism</t>
  </si>
  <si>
    <t>Jennifer Tully Empl</t>
  </si>
  <si>
    <t>Collect Art - a service to people who would like to either purchase affordable art prints or to get their own digital photos printed in a range of sizes and media</t>
  </si>
  <si>
    <t>Host-IT Ltd Pref</t>
  </si>
  <si>
    <t>IT solutions embracing cloud technology, and providing an on-demand business continuity service. The promoters hope to graduate to Enterprise Ireland.</t>
  </si>
  <si>
    <t>Tamlaght Communications Feas</t>
  </si>
  <si>
    <t>Services for teleconference and calling card sectors of the calling market with potential to trade internationally.</t>
  </si>
  <si>
    <t>Top 5 Modern Technologies Ltd Pref</t>
  </si>
  <si>
    <t>The company develops its own technology for sale to the domestic and overseas hotel sectors.</t>
  </si>
  <si>
    <t>Heritage Island Feas</t>
  </si>
  <si>
    <t>Develop a mobile phone content for the inbound tourist market</t>
  </si>
  <si>
    <t>Dalkey Castle Feas</t>
  </si>
  <si>
    <t>Live research to explore whether or not the average visitor understands the concept of Living History in the heritage centre</t>
  </si>
  <si>
    <t>Vidatum Ltd Pref</t>
  </si>
  <si>
    <t>Provision of software services to the education sector aiming to serve the home and export markets with quality products</t>
  </si>
  <si>
    <t>Corporate Vitality Pref</t>
  </si>
  <si>
    <t>Our client provides training programmes that will promote employee health thus reducing the costs to businesses which result from lost productivity.The business aims to export.</t>
  </si>
  <si>
    <t>Michael McCarney Feas</t>
  </si>
  <si>
    <t>The project aims to check feasibility of creating a specialised storage product</t>
  </si>
  <si>
    <t>Thom Burke Kennedy Feas</t>
  </si>
  <si>
    <t>Investigate the feasibility of developing a Monitored Tablet Dispenser for use in private and clinical environments</t>
  </si>
  <si>
    <t>Seasonal Fairs / M2</t>
  </si>
  <si>
    <t>Trade fairs aiming to promote and market local firms and their produce</t>
  </si>
  <si>
    <t>eBusiness Course / M2 Training</t>
  </si>
  <si>
    <t>Training to enhance the web-based commercial skills of small business owners and their staff</t>
  </si>
  <si>
    <t>Financing Your Small Business Course</t>
  </si>
  <si>
    <t>Training to enhance the financial skills of Small Business owners and staff_x000D_</t>
  </si>
  <si>
    <t>KC Pretzels / Employ</t>
  </si>
  <si>
    <t>Food manufacture and sale; we funded one position</t>
  </si>
  <si>
    <t>Irish OMG Media Ltd Prim</t>
  </si>
  <si>
    <t>Online marketing and advertising services. One job supported.</t>
  </si>
  <si>
    <t>Yvonne Harrington Employ</t>
  </si>
  <si>
    <t>Clothing design and sale, specialising in dressmaking</t>
  </si>
  <si>
    <t>Babypotz Employ</t>
  </si>
  <si>
    <t>Supply of weaning pots for infants</t>
  </si>
  <si>
    <t>Discount Designer  Prim</t>
  </si>
  <si>
    <t>Discount clothing design</t>
  </si>
  <si>
    <t>DataVIM PRIM</t>
  </si>
  <si>
    <t>Software designed to help businesses streamline the processing of paper and electronic supplier invoices</t>
  </si>
  <si>
    <t>People Love Presents PRIM</t>
  </si>
  <si>
    <t>Gift referral web site and affiliate marketing. The business has export potential._x000D_
We supported one position.</t>
  </si>
  <si>
    <t>Sealux FEAS</t>
  </si>
  <si>
    <t>Manufacture of sealant products; project involved  review and development of export markets for a new product.</t>
  </si>
  <si>
    <t>Cloudware t/a Aladdin Schools / FIG</t>
  </si>
  <si>
    <t>School administration software with export potential</t>
  </si>
  <si>
    <t>Mindhive FEAS</t>
  </si>
  <si>
    <t>Upgrade of software and information technology specialising in hire of coaches</t>
  </si>
  <si>
    <t>Conor Twomey FEAS</t>
  </si>
  <si>
    <t>Computerised game development</t>
  </si>
  <si>
    <t>NxtGEN  FEAS</t>
  </si>
  <si>
    <t>Funding to assist in covering the costs of research and the development of a prototype to build a Sales Auditing and Sales Performance Improvement programme</t>
  </si>
  <si>
    <t>Squirrel Eng PRIM</t>
  </si>
  <si>
    <t>Waste and environmental  mangagement and recycling. Our funding included one job.</t>
  </si>
  <si>
    <t>bLife Nutrition FEAS</t>
  </si>
  <si>
    <t>Food and nutrition product range; website developed to promote the business</t>
  </si>
  <si>
    <t>Hamilton Corporate-Auction Exchange FEAS</t>
  </si>
  <si>
    <t>Web-based auctions; upgrade of website to enhance local and export potential</t>
  </si>
  <si>
    <t>Red Rufus FEAS</t>
  </si>
  <si>
    <t>Manufacture of personalised and collectable gifts for home and export markets. Innovation costs to design, integrate and manage.</t>
  </si>
  <si>
    <t>eDynamics Ltd BE</t>
  </si>
  <si>
    <t>Social web technologies with good potential to attract inbound tourism. In this  project we supported the client with their expansion plans with capital, consultancy, marketing &amp; salary costs.</t>
  </si>
  <si>
    <t>Declan Collins - Strive/Irish Student Athlete  FIG</t>
  </si>
  <si>
    <t>Sports magazine with potential to export</t>
  </si>
  <si>
    <t>The Safari People FIG</t>
  </si>
  <si>
    <t>A business which hopes to bring lots of tips on how to make an African safari more affordable and answer some of the most frequently asked questions. Export potential.</t>
  </si>
  <si>
    <t>Dublin South Broadcasting Co-Op FIG</t>
  </si>
  <si>
    <t>Broadcasting: innovation to the website to enhance the online presence of the business</t>
  </si>
  <si>
    <t>Dublin Cycle Tours FIG</t>
  </si>
  <si>
    <t>Guided bike tours of Dublin</t>
  </si>
  <si>
    <t>Dublin Crystal Glass FIG</t>
  </si>
  <si>
    <t>Glass and ornament manufacture for home and export markets</t>
  </si>
  <si>
    <t>Abrem Developments Ltd FIG</t>
  </si>
  <si>
    <t>Specialist providers of integrated tracking and monitoring solutions</t>
  </si>
  <si>
    <t>Cellar Master Wines Ltd FIG</t>
  </si>
  <si>
    <t>Event planning and beverage distribution,including online sales</t>
  </si>
  <si>
    <t>Susannagh Grogan Designs FIG</t>
  </si>
  <si>
    <t>Clothing manufacture and design for home and export markets; research and development of the website to expand the business.</t>
  </si>
  <si>
    <t>Pandollic Ltd FIG</t>
  </si>
  <si>
    <t>Global carbon management and sustainability services: upgrade of website to develop the business</t>
  </si>
  <si>
    <t>Wordfruit FIG</t>
  </si>
  <si>
    <t>Global copywriting business. Website developed to enhance viability and reach of business.</t>
  </si>
  <si>
    <t>Absolute Interiors FIG</t>
  </si>
  <si>
    <t>Custom made curtains, blinds &amp; soft furnishings with export potential</t>
  </si>
  <si>
    <t>Media for Buyers  Employ</t>
  </si>
  <si>
    <t>Purchase and monitor media space for buyers</t>
  </si>
  <si>
    <t>Elephant Hampers FIG</t>
  </si>
  <si>
    <t>Beautiful hampers for mum and baby to enjoy - web based with export potential</t>
  </si>
  <si>
    <t>Ballyhow.com FIG</t>
  </si>
  <si>
    <t>Market research to help customer businesses increase customer led innovation, satisfaction and retention while making critical decisions using feedback</t>
  </si>
  <si>
    <t>Bake My Cake FIG</t>
  </si>
  <si>
    <t>Cake and confectionery manufacture - aim to review scope to internationalise the business</t>
  </si>
  <si>
    <t>The Waterfront Group FIG</t>
  </si>
  <si>
    <t>Marine-based enterprise;networking forum, attracts in-bound tourism. The project sought to enhance the service offered to clients.</t>
  </si>
  <si>
    <t>Naomi's Kitchen FIG</t>
  </si>
  <si>
    <t>Food manufacture: updating the website to enhance and develop the business</t>
  </si>
  <si>
    <t>e-Tender Solutions FIG</t>
  </si>
  <si>
    <t>Online procurement and  tendering service. Website enhanced to develop the business.</t>
  </si>
  <si>
    <t>SnipMyTax FIG</t>
  </si>
  <si>
    <t>Tax planning application with export potential. The project looked into the feasibility of an app which would calculate a customer's tax.</t>
  </si>
  <si>
    <t>Skunk Worx Ltd BP</t>
  </si>
  <si>
    <t>Online Games development: the project has export potential. We funded consultancy &amp; marketing costs to assist this new venture.</t>
  </si>
  <si>
    <t>World Wide University FIG</t>
  </si>
  <si>
    <t>College for Irish and overseas students. Website developed with a view to growing the business.</t>
  </si>
  <si>
    <t>Arcdox BP</t>
  </si>
  <si>
    <t>Architectural software with export potential</t>
  </si>
  <si>
    <t>Michael McCarney -On Target- FIG</t>
  </si>
  <si>
    <t>Testing the feasibility of innovative storage design solutions</t>
  </si>
  <si>
    <t>MediaWave BE</t>
  </si>
  <si>
    <t>Audio visual and multimedia solutions, specialising in music and digital signage systems for Retail and Leisure industries</t>
  </si>
  <si>
    <t>Accommodation Booking Engine Ltd BP</t>
  </si>
  <si>
    <t>Accomodation Booking Engine offering a full e-commerce solution for its customers</t>
  </si>
  <si>
    <t>VideoJobs BP</t>
  </si>
  <si>
    <t>Web-based Recruitment, export potential. We directly supported 1 job.</t>
  </si>
  <si>
    <t>MyBuildPlanner.com FIG</t>
  </si>
  <si>
    <t>Upgrade of an online building planning and design system, export potential</t>
  </si>
  <si>
    <t>Purtell Consulting BP</t>
  </si>
  <si>
    <t>Internationally traded services - specialising in nearshoring of IT services</t>
  </si>
  <si>
    <t>EppCo Export  FIG</t>
  </si>
  <si>
    <t>Sale, including export, of puncture repair products</t>
  </si>
  <si>
    <t>Joan Millar &amp; Company FIG</t>
  </si>
  <si>
    <t>Clothing design, manufacture and distribution to home and export markets</t>
  </si>
  <si>
    <t>VideoWeb Training BP</t>
  </si>
  <si>
    <t>Production of high quality training DVDs. The business has export potential. One job was included in our funding support.</t>
  </si>
  <si>
    <t>Adam's Printing Press BP</t>
  </si>
  <si>
    <t>Writing and distributing childrens' books,for home and export markets</t>
  </si>
  <si>
    <t>Host-it Ltd BE</t>
  </si>
  <si>
    <t>Ardan Audio BP</t>
  </si>
  <si>
    <t>Sound enhancement systems for home and export marktes</t>
  </si>
  <si>
    <t>Camworx  BP</t>
  </si>
  <si>
    <t>Security systems development,with export potential</t>
  </si>
  <si>
    <t>Green Light Events Feas</t>
  </si>
  <si>
    <t xml:space="preserve">Event Management, with export potential.The market for corporate event management / conference services is a competitive one and Green Light Events is seeking to reduce its dependence on the domestic market by winning overseas business.	</t>
  </si>
  <si>
    <t>Wild Wicklow Tours BE</t>
  </si>
  <si>
    <t>Tourist business, specialising in bus tours, with excellent in-bound tourism potential. Hence, the procect qualifies for funding.</t>
  </si>
  <si>
    <t>TootZwear Feas</t>
  </si>
  <si>
    <t>The findings of the feasibility study will be used to support the project's approach to the sales process.</t>
  </si>
  <si>
    <t>Clip Gurus BP</t>
  </si>
  <si>
    <t>Online marketing,with good export potential. 'All our production work is to broadcast standard. This means you can expect clear professional productions that you and your company can stand over. We offer a range of formats including; product demonstrations, thought leader interviews, trailers and investment pitches. Most of our work is based in studio but we can also shoot on location</t>
  </si>
  <si>
    <t>CMAPS FEAS</t>
  </si>
  <si>
    <t>Event organisation, with export potential.This feasibility study explored the set-up options available to the business.</t>
  </si>
  <si>
    <t>Party Management OnLine BP</t>
  </si>
  <si>
    <t>Online party management business with export potential_x000D_
The goal is to make the booking process as easy as possible for both the customer and the staff member. Also to help manage and market one's party business more effectively.</t>
  </si>
  <si>
    <t>Dublin Cycle Tours BP</t>
  </si>
  <si>
    <t>Bicycle tour firm, with excellent inbound tourism potential</t>
  </si>
  <si>
    <t>Heritage Island BE</t>
  </si>
  <si>
    <t>Tourism business,excellent in-bound tourism potential. Heritage Island brings together the best visitor attractions and heritage towns on the island of Ireland.</t>
  </si>
  <si>
    <t>LTP Ltd t/a Makrai Consulting BP</t>
  </si>
  <si>
    <t>Education sector software, with good export potential. The aim is to deliver customers' business vision, by working with them to help  implement technical goals more cost effectively and to ensure achievement of the best return on investment.</t>
  </si>
  <si>
    <t>Logscreen Ltd FEAS</t>
  </si>
  <si>
    <t>Software storage systems, good export potential.LogScreen saves organisations time, energy and money by supplying best practice solutions which comply with legislation, enforce corporate policies, enhance the working environment, improve operational efficiency, protect against fraud, civil or criminal proceedings, financial and reputational loss, and brand damage.</t>
  </si>
  <si>
    <t>Bid Management Services Ltd BE</t>
  </si>
  <si>
    <t>Bid Management Service Provision with excellent export potential.Bid Management Services was selected as a winner with InterTradeIreland at the 2012 National Procurement Awards in the category of Best Cross-Organisational Project.</t>
  </si>
  <si>
    <t>Energy Maestro FEAS</t>
  </si>
  <si>
    <t>Energy-saving systems, with export potential.Developing a working prototype for use in the Irish market. The longer-term plan involves rolling out the service to European markets using a network of contractors.</t>
  </si>
  <si>
    <t>Declan Bullock FEAS</t>
  </si>
  <si>
    <t>Research into Fitness Mat. The project, which uses innovative design and materials, qualifies for funding on the basis that it has export potential.</t>
  </si>
  <si>
    <t>Salonaddict Ltd PRIM</t>
  </si>
  <si>
    <t>Online salon booking service, specialising in Hair and Beauty Booking.The project qualifies for funding on the basis that it has export potential._x000D_</t>
  </si>
  <si>
    <t>Web Team International BP</t>
  </si>
  <si>
    <t>All aspects of web development and hosting. This business has export potential. The project team has the ability to translate traditional business processes into technical solutions thereby saving clients money.The business is located in Dalkey.</t>
  </si>
  <si>
    <t>Ruhm Ltd BE</t>
  </si>
  <si>
    <t>Manufacture of contemporary glass rooms and development of new thermal insulation</t>
  </si>
  <si>
    <t>Cairde Slainte BP</t>
  </si>
  <si>
    <t>Online medical system for health professionals, the project has export potential.The online medical directory was built by GPs for Irish healthcare professionals.</t>
  </si>
  <si>
    <t>Roseland Music Ltd BE</t>
  </si>
  <si>
    <t>Music production and management company, the project has export potential. The company's productions are used to generate revenue. 4 jobs were supported.</t>
  </si>
  <si>
    <t>Wild Rover Tours BP</t>
  </si>
  <si>
    <t>Tourism project, including coach tours and inbound tourism. Hence, the procect qualifies for funding.</t>
  </si>
  <si>
    <t>Opticks SB Ltd BP</t>
  </si>
  <si>
    <t>Manufacturing and distribution of optical equipment and services</t>
  </si>
  <si>
    <t>Simply Elegant Cakes BE</t>
  </si>
  <si>
    <t>Confectionery and cake manufacture. The project qualified on the grounds that it is a manufacturing enterprise.</t>
  </si>
  <si>
    <t>Mat Dynamics BP</t>
  </si>
  <si>
    <t>Development of a specialized range of entrance matting products. The plan initially is to distribute products to the 2x separate markets; the domestic/retail sector and the stationery/industrial catalogue market sector.</t>
  </si>
  <si>
    <t>Ambient Foods BP</t>
  </si>
  <si>
    <t>Food product development; focus on innovation, export potential.</t>
  </si>
  <si>
    <t>247meeting BE</t>
  </si>
  <si>
    <t>EppCo Export BE</t>
  </si>
  <si>
    <t>Sale, including export, of puncture repair products.The promoters will export to the former USSR territories, selling primarily to distributors and wholesalers who will sell the products on to the end users. They have recently negotiated a franchise covering the Baltic States (Latvia, Lithuania and Estonia), and are currently at the final stage of agreement with 3 State and private transport companies in Moscow.</t>
  </si>
  <si>
    <t>My Materials BP</t>
  </si>
  <si>
    <t>Sales lead generation company targeting the construction materials sector;export potential.The business provides its clients with verified sales leads from construction contractors who are actively seeking prices for building materials they require.</t>
  </si>
  <si>
    <t>noshow  BP</t>
  </si>
  <si>
    <t>Online event-booking system;the project has export potential,and is eligible for CEB funding.NoShow will have daily offers allowing users to find deals and availability for local restaurants, hotels and b&amp;b's</t>
  </si>
  <si>
    <t>Pintail BE</t>
  </si>
  <si>
    <t>Business services company serving an international client base in the area of EU funding, they have extended the bus to promote clinical trial management software for projects.</t>
  </si>
  <si>
    <t>Silicon Cloud BE1</t>
  </si>
  <si>
    <t>The company offers outsourcing marketing solutions focusing especially on the use of digital media.It has potential to trade internationally.</t>
  </si>
  <si>
    <t>GreatNite  BP</t>
  </si>
  <si>
    <t>Greatnite provides advertising services through the use of IT to businesses within the nightclub industry.</t>
  </si>
  <si>
    <t>Automotive Team BE</t>
  </si>
  <si>
    <t>Automotive Team provides marketing support and fleet management services to car manufacturers.They help the promotion of inbound tourism.</t>
  </si>
  <si>
    <t>Kelly Fitzgerald FEAS</t>
  </si>
  <si>
    <t>Development of cultural and educational publications and displays based on the holdings of the National Folklore Collection.</t>
  </si>
  <si>
    <t>Yogandha Ltd BP</t>
  </si>
  <si>
    <t>Aromatherapeutic oils scientifically formulated for the yoga industry and other wellness sectors</t>
  </si>
  <si>
    <t>Tag Rugby Sports BE</t>
  </si>
  <si>
    <t>Commercial sports company who run adult tag rugby leagues. They attract inbound tourists.</t>
  </si>
  <si>
    <t>Katchkidz BP</t>
  </si>
  <si>
    <t>Design and manufacture of a range of childcare products for sale to Turkey and the UK</t>
  </si>
  <si>
    <t>Giddy Goat Tours BP</t>
  </si>
  <si>
    <t>Giddy Goat Tours will provide fully guided small group (max 16 people) tours of Ireland. Good inbound tourism potential.</t>
  </si>
  <si>
    <t>VooDoo Web BE</t>
  </si>
  <si>
    <t>Voodoo is an Online Marketing Services Company providing search engine optimisation(SEO) and pay per click(PPC) advertising.</t>
  </si>
  <si>
    <t>Upside Design Studio BP</t>
  </si>
  <si>
    <t>Upside Design offer customized reused furniture at affordable prices. They use innovative design methods.</t>
  </si>
  <si>
    <t>Slated BP</t>
  </si>
  <si>
    <t>Slated sells a range of hand-carved slate products to selected slate-based giftware and tableware to retail outlets, the catering, hotel and restaurant trade as well as to export customers.</t>
  </si>
  <si>
    <t>Achill Island Consulting BP</t>
  </si>
  <si>
    <t>Services for SAP training, administration, and consulting. They are providing training in the UK, Scandinavia, Hungary and support in the USA.</t>
  </si>
  <si>
    <t>Koraxis Ltd BP</t>
  </si>
  <si>
    <t>Koraxis offers a range of digital marketing services to brokers and a targeted marketing channel to the Financial Services Sector. 2 x jobs were supported.</t>
  </si>
  <si>
    <t>Irish Traditional Dance Theatre Ltd BP</t>
  </si>
  <si>
    <t>Irish Traditional Dance Theatre offers a traditional Irish dancing experience to our International visitors and Irish nationals. 3 jobs were supported.</t>
  </si>
  <si>
    <t>HR Online BP</t>
  </si>
  <si>
    <t>HROnline, Software product is a standalone HR Management System for use by SMEs and larger organisations.</t>
  </si>
  <si>
    <t>Energy Maestro BP</t>
  </si>
  <si>
    <t>GoCreate Marketing BP</t>
  </si>
  <si>
    <t>Provides Social media marketing services to SME market</t>
  </si>
  <si>
    <t>Bgate Technology BE</t>
  </si>
  <si>
    <t>Online order-capture and invoicing system that connects buyers and suppliers at a fraction of the cost of traditional methods.</t>
  </si>
  <si>
    <t>Enviroguide Consulting BP</t>
  </si>
  <si>
    <t>Enviroguide provides environmental consultancy services to client businesses in domestic and export markets</t>
  </si>
  <si>
    <t>Yoshana Wilkie BP</t>
  </si>
  <si>
    <t>Wilkie's Chocolate will become the only Irish manufacturer of quality chololate using single origin chocoa beans.</t>
  </si>
  <si>
    <t>Melita Deals Ltd BP</t>
  </si>
  <si>
    <t>This is an ecommerce business selling vouchers for various deals at home and overseas.</t>
  </si>
  <si>
    <t>The Craft Lounge BP</t>
  </si>
  <si>
    <t>Support for creation of own job. Returning to workforce. Craft project with inbound tourism potential,focusing on contemporary art and craft workshops in a social environment.</t>
  </si>
  <si>
    <t>Fairhazel Ltd BP</t>
  </si>
  <si>
    <t>Bagsitt is a free-standing, multifunctional bag stand which features optional advertising display space. It is designed for use by people who wish to leave their bag in a secure environment whilst in a public place.</t>
  </si>
  <si>
    <t>Voucher Pages BP</t>
  </si>
  <si>
    <t>Online Directory/Search Engine offering printable and SMS-based discount vouchers to site visitors</t>
  </si>
  <si>
    <t>Simply Natural BP</t>
  </si>
  <si>
    <t>Personal care beauty products, focusing on _x000D_
organics and sustainability.</t>
  </si>
  <si>
    <t>OSGO Solutions Ltd BP</t>
  </si>
  <si>
    <t>Software business whose aim is to add value to each one of our client's business by providing excellent, innovative software that is an effective &amp; efficient solution to the problem our client is facing, delivered in a timely, cost-effective and professional manner.We supported 3 jobs in the project.</t>
  </si>
  <si>
    <t>Telcom SipTrunks Ltd BE</t>
  </si>
  <si>
    <t>Installation and management of telecoms infastructure including telephone systems, voice and data cabling, audio and video conferencing and call recording.</t>
  </si>
  <si>
    <t>Pandollic Ltd  Pandollic Ltd t/a Clearstream Solutions BE</t>
  </si>
  <si>
    <t>The business is in the envirommental sector, delivering Global carbon management and sustainability services.</t>
  </si>
  <si>
    <t>Silicon Cloud BE2</t>
  </si>
  <si>
    <t>UCD Cycle 3 Centre for Synthesis and Chemical Biology (CSCB)</t>
  </si>
  <si>
    <t>UCD Cycle 4 Science Centre Support Areas</t>
  </si>
  <si>
    <t>The support areas element of the UCD Cycle 4 Science Centre refers to parts of the building such as common areas, hallways, breakout areas, toilets, plant rooms etc.</t>
  </si>
  <si>
    <t>UCD Cycle 4 Biopharmaceutical and Pharmacological Sciences</t>
  </si>
  <si>
    <t>UCD Cycle 4 Food Ireland</t>
  </si>
  <si>
    <t>To allow a contribution in an internationally competitive way to the National Food and Health Research Programme. National facilities for Good Manufacturing Practise (GMP) and Human Dietary Intervention Studies in the programme will enable research into functional foods and the role of foods in healthy aging and the impact of nutrient intake on diseases of aging, eg osteoporosis.</t>
  </si>
  <si>
    <t>UCD Cycle 4 Nanoscience and Nano-scale Technologies for Ireland (NANOTEIRE)</t>
  </si>
  <si>
    <t>UCD Cycle 3 Programme for Human Genomics - DMMC (UCD) component</t>
  </si>
  <si>
    <t>UCD Nanoremedies: Nanomechanical Approaches and Functional Materials for Regenerative Medicine</t>
  </si>
  <si>
    <t>Nanoremedies will create a new research centre in Ireland that concentrates expertise in the fields of biology, chemistry, physics and engineering to focus on the molecular mechanisms of mechanotransduction and materials and therapeutics that control the mechanobiology of cells.</t>
  </si>
  <si>
    <t>UCD Science Centre Earth Sciences Instutitute</t>
  </si>
  <si>
    <t>Science</t>
  </si>
  <si>
    <t>UCD Earth Systems Institute Structured PhD - Earth and Natural Sciences (ESI-PhD-ENS)</t>
  </si>
  <si>
    <t>Creation of graduates with a strong background in Energy and Environmental studies, imbued with the innovation and entrepreneurial skills to develop an emerging green technology sector.</t>
  </si>
  <si>
    <t>UCD  PhD programme in Simulation Science (SimSciPhD)</t>
  </si>
  <si>
    <t>Programme will deliver a structured graduate education where students will cohere around a core graduate experience focusing on collaborative teamwork to meet common challenges underpinned by transdisciplinary training in Foundations of Simulation, in-depth discipline-based training, together with industrial iternships and international Symposia. Substantial depth in computational techniques, mathematical modelling, and data intensive science. Programme will contribute to world-class research.</t>
  </si>
  <si>
    <t>SolaRate Ltd</t>
  </si>
  <si>
    <t>The grantee will demonstrate the following;_x000D_- AIRSlate - solar thermal energy passed to ventilation heat exchanger_x000D_; - PVAIRSlate - combination solar thermal and PV_x000D_; - AIRSlate Cooling - using night air to provide cooling effect in warm climates</t>
  </si>
  <si>
    <t>UCD Research Equipment Renewal Grant</t>
  </si>
  <si>
    <t>Various equipment items for key research areas identified in the HEA/Forfas Research Infrastructure Review 'Research Infrastruture in Ireland - Building for Tomorrow.' Published in 2007</t>
  </si>
  <si>
    <t>PRTLI (CAPTIAL) TOTAL</t>
  </si>
  <si>
    <t>PRTLI (CURRENT) TOTAL</t>
  </si>
  <si>
    <t>DUN LAOGHAIRE-RATHDOWN TOTAL</t>
  </si>
  <si>
    <t>Walls Leisure Ltd T/A Hilton Dublin Airport</t>
  </si>
  <si>
    <t>The Hilton Dublin Airport Hotel is a 166 bed hotel located at the Northern Cross in Dublin. The site heating demand is serviced by a single boiler house providing LPHW heating system (central heating &amp; domestic hot water) to the hotel building.</t>
  </si>
  <si>
    <t>Fingal</t>
  </si>
  <si>
    <t>Farmhand Ltd</t>
  </si>
  <si>
    <t>Installation of 200kW biomass boiler will cater for the building's central heating and domestic hot water requirements</t>
  </si>
  <si>
    <t>N-Zone</t>
  </si>
  <si>
    <t>Installation of evacuated tube solar panels, 40.95 sq meters for hot water and space heating.</t>
  </si>
  <si>
    <t>Viking Direct (Ireland) Limited</t>
  </si>
  <si>
    <t>Installation of a 550 kW wood pellet boiler.</t>
  </si>
  <si>
    <t>QES LTD</t>
  </si>
  <si>
    <t>Installation of a 29 kW wood pellet boiler.</t>
  </si>
  <si>
    <t>Leo Tracey Joinery Ltd</t>
  </si>
  <si>
    <t>install a biomass boiler that will replace the use of fossil fuels as the source of heat for the manufacturing section, offices and paint curing building. Also by hearnessing the non treated waste timber produced at the factory there is less wood waste.</t>
  </si>
  <si>
    <t>Noyeks Ltd</t>
  </si>
  <si>
    <t>Installation of a 90kW wood chip boiler_x000D_</t>
  </si>
  <si>
    <t>La Spa Therapie</t>
  </si>
  <si>
    <t>Installation of a 24 Kw heat pump.</t>
  </si>
  <si>
    <t>Installation of 11.8 sq m of evacuated tube solar collectors.</t>
  </si>
  <si>
    <t>Development of a solid state artificial horizon for aircraft</t>
  </si>
  <si>
    <t>The artificial horizon, or Attitude Indicator is an instrument used in an aircraft to display to the pilot, the orientation of the aircraft relative to earth.  Traditional artificial horizons have been mechanical devices utilising the rigidity characteristic of the gyroscope.Proposed is a solution using MEMS (micro electro mechanical system) devics_x000D_ using latest MEMS technology a low cost, light weight compact design to existing mechanical gyroscopes and expensive MEMS gyroscopes is offered</t>
  </si>
  <si>
    <t>Intelligent, Numerical, Finding of Road Markings (INFORM)</t>
  </si>
  <si>
    <t>The deliverable is intended to be an automated system which will detect and analyse road markings, road lines and road signs. Technical objectives: 1. To develop a retroreflectivity measurement including the hardware prototype for the detection, location and measurement of retroreflectivity of road lines. 2. To develop algorithms and software to detect, locate and map, and classify road signs according to type and to determine the co-efficient of night time retroreflectivity for road signs.</t>
  </si>
  <si>
    <t>Keelings Softfruits</t>
  </si>
  <si>
    <t>Installation of a 2MW CHP unit.</t>
  </si>
  <si>
    <t>Bewleys Ltd</t>
  </si>
  <si>
    <t>Installation of Energy Efficient Lighting and sensor controls, Energy Mgmt System, Two in-line gas meters in plant room and specialised insulation to gas fired coffee roasters. Insulation of air handling unit ducting and rebalance system.</t>
  </si>
  <si>
    <t>K Connolly Transport</t>
  </si>
  <si>
    <t>The Project Involved INstalling R:Com Tracher devises in 45 vehicles to acheive route optimisation for Fuel Efficiency</t>
  </si>
  <si>
    <t>Mentoring Programme. Provision of mentoring services (ie. one-to-one professional business advice) to clients on an hourly basis.</t>
  </si>
  <si>
    <t>General Advertising - advertising the Fingal CEB as a whole and all supports and services provided therein (incl. Training, networks, seminars, financial assistance etc. etc.) - relates exclusively to M2 activities and is co-funded by the Regional OP.</t>
  </si>
  <si>
    <t>Info. Mat. &amp; Brochures</t>
  </si>
  <si>
    <t>Information materials and brochures - relates exclusively to M2 activities and is co-funded by the Regional OP</t>
  </si>
  <si>
    <t>Schools</t>
  </si>
  <si>
    <t>Student Enterprise programme - relates exclusively to M2 activities and is co-funded by the Regional OP</t>
  </si>
  <si>
    <t>WIB</t>
  </si>
  <si>
    <t>Women in Business Networking Programme - relates exclusively to M2 activities and is co-funded by the Regional Op</t>
  </si>
  <si>
    <t>M2 Specific Website</t>
  </si>
  <si>
    <t>Website development and construction - relates exclusively to M2 activities (enables online booking of training programmes etc) and is co-funded by the Regional OP. Ineligible costs adjusted out in 2008.</t>
  </si>
  <si>
    <t>SYOB</t>
  </si>
  <si>
    <t>Start You Own Business Programme</t>
  </si>
  <si>
    <t>IT&amp;E-Comm</t>
  </si>
  <si>
    <t>IT Training &amp; E-commerce Programme. Training Programme to assist small to medium sized enterprises to develop and market a web presence.</t>
  </si>
  <si>
    <t>Empower</t>
  </si>
  <si>
    <t>Empower Technical Assistance. Financial assistance towards the costs of developing an Internet presence - available to participants who successfully qualify and complete the Empower training programme.</t>
  </si>
  <si>
    <t>Seminars</t>
  </si>
  <si>
    <t>Information Seminars for pre-startup businesses. Relates exclusively to M2 activities and is co-funded by the Regional OP</t>
  </si>
  <si>
    <t>Exhib</t>
  </si>
  <si>
    <t>Exhibitions including 'Shop' and 'Showcase'.</t>
  </si>
  <si>
    <t>Costs relating to salary and T&amp;S of full-time Business Advisor who's position is 100% project based.</t>
  </si>
  <si>
    <t>Plato M2 Business Development Programme</t>
  </si>
  <si>
    <t>Plato M2 Business Development Programme_x000D_ SME development organisation dealing exclusively with_x000D_ Owner Managed businesses based on a network principle where large companies known as parent companies help small companies in their area_x000D_</t>
  </si>
  <si>
    <t>Workshops (Management Development)</t>
  </si>
  <si>
    <t>Management Development Workshops</t>
  </si>
  <si>
    <t>Ent Awards</t>
  </si>
  <si>
    <t>Enterprise Awards &amp; Promotions - to promote and encourage entrepreneurship, this relates exclusively to M2 activities and is co-funded by the regional OP.</t>
  </si>
  <si>
    <t>Export TA</t>
  </si>
  <si>
    <t>Export Programme - First time exporter technical Assistance and course participation relating exclusively to M2 activities and is co-funded by the Regional OP</t>
  </si>
  <si>
    <t>Export 07-12</t>
  </si>
  <si>
    <t>Export 2007-2012. First time Exporter training programme</t>
  </si>
  <si>
    <t>M2 Networking Events 07-08</t>
  </si>
  <si>
    <t>M2 Networking Events 2007-2008_x000D_
Board members network meeting to discuss M1 and M2 issues including scheduled training programmes and grant details</t>
  </si>
  <si>
    <t>Brite</t>
  </si>
  <si>
    <t>Brite Training Programme. Business related initiative for technology-based enterprises. Programme provides training and mentoring services.</t>
  </si>
  <si>
    <t>FBN</t>
  </si>
  <si>
    <t>Fingal Business Network - relating exclusively to M2 activities and is co-funded by the Regional OP</t>
  </si>
  <si>
    <t>Emerge 07-08</t>
  </si>
  <si>
    <t xml:space="preserve">Emerge Programme 2007-2008. A pre-enterprise course and one-to-one support for ethnic minority entrepreneurs. </t>
  </si>
  <si>
    <t>Open Field - Employment</t>
  </si>
  <si>
    <t>Padraic Fogarty - Ecological service provider</t>
  </si>
  <si>
    <t>LittleMe.ie - Employment</t>
  </si>
  <si>
    <t>Jennifer Casey - Online store offering high quality branded babywear</t>
  </si>
  <si>
    <t>Buttonwood - Employment</t>
  </si>
  <si>
    <t xml:space="preserve">Robert Bastow - International Hotel &amp; Leisure Industry Consultancy Service </t>
  </si>
  <si>
    <t>Arobas Systems - Employment</t>
  </si>
  <si>
    <t>Martin Buckley - Intelligent Camera system</t>
  </si>
  <si>
    <t>Callidus Telecom - Employment</t>
  </si>
  <si>
    <t>John Whyte - Broad Band Provider</t>
  </si>
  <si>
    <t>Enhanced Audio - Employment</t>
  </si>
  <si>
    <t>David Browne - Manufactures M600 Microphone mount</t>
  </si>
  <si>
    <t>Monster Music - Capital</t>
  </si>
  <si>
    <t>10002940 - Michael Quinn - Rehearsal Studios and Music School</t>
  </si>
  <si>
    <t>Nimble.ie - Employment</t>
  </si>
  <si>
    <t>Per Jacobsson - Unique social networking website</t>
  </si>
  <si>
    <t>BM Stairlifts - Employment</t>
  </si>
  <si>
    <t>Brian Cooper - Installation of customised stairlifts</t>
  </si>
  <si>
    <t>Premium Power - Employment</t>
  </si>
  <si>
    <t>Paula O'Neill - Provision of premium power solutions</t>
  </si>
  <si>
    <t>U Track - P.Shares</t>
  </si>
  <si>
    <t>Eamonn Hughes - Web based solutions for the passenger transport industry</t>
  </si>
  <si>
    <t>Grove Cabin - Employment</t>
  </si>
  <si>
    <t>Siobhan Cosgrove - Manufacture and Refurbishment of Portacabins</t>
  </si>
  <si>
    <t>SOTA Orthopaedics - Feasibility</t>
  </si>
  <si>
    <t>1003080 - Brian Thornes - Orthopaedic medical device</t>
  </si>
  <si>
    <t>Lundstrom Arts Management - Employment</t>
  </si>
  <si>
    <t>Karina Lundstrom - Classical Music Agency</t>
  </si>
  <si>
    <t>F&amp;P Fogarty - Capital</t>
  </si>
  <si>
    <t>Darragh Fogarty - Conveyor Belting Manufacturer</t>
  </si>
  <si>
    <t>Glenmaroon Packaging - Capital</t>
  </si>
  <si>
    <t>Declan &amp; Brian Gregg - Manufacture of corrugated boxes</t>
  </si>
  <si>
    <t>Jai Kudo - Capital</t>
  </si>
  <si>
    <t>Anthony Lawless - Manufactures Optical Lenses</t>
  </si>
  <si>
    <t>Almacare - Employment</t>
  </si>
  <si>
    <t>Mary Downey - After Care Service for Breast Care Mastectomy Patients</t>
  </si>
  <si>
    <t>Baby Gifts 4U - Employment</t>
  </si>
  <si>
    <t>Margaret Fay - Presentation Gift Set (Nappy Cake) for parents of new born children</t>
  </si>
  <si>
    <t>Aerospace Assets - Feasibility</t>
  </si>
  <si>
    <t>Peter McGuinness - Provision of aircraft component management services</t>
  </si>
  <si>
    <t>Webstream - Employment</t>
  </si>
  <si>
    <t>Stuart Boyle - Internet Media Production and Webcasting</t>
  </si>
  <si>
    <t>GK Nets - Capital</t>
  </si>
  <si>
    <t>Kieran McLoughlin - Manufactures Fishing Nets, Sports Nets, Health &amp; Safety and Environmental Netting</t>
  </si>
  <si>
    <t>Tone at Home - Employment</t>
  </si>
  <si>
    <t>Suzanne Carroll - Fitness Equipment Hire and Home Delivery</t>
  </si>
  <si>
    <t>Hi-Start 07-11</t>
  </si>
  <si>
    <t>Hi-Start Programme 2007-2011. Management development programme for high potential start-up compamies.</t>
  </si>
  <si>
    <t>Goughs Howth - Capital</t>
  </si>
  <si>
    <t>Shirley Finnerty - Manufacturer of bespoke jewellery</t>
  </si>
  <si>
    <t>Wrights Howth - Employment x3</t>
  </si>
  <si>
    <t>Darren Wright - Food production supplying pubs, restaurants, convenience stores etc.</t>
  </si>
  <si>
    <t>Barrog - Employment x2</t>
  </si>
  <si>
    <t>Tom Hayes - Specialised international software testing and staging facilities</t>
  </si>
  <si>
    <t>Ann McGee - Employment</t>
  </si>
  <si>
    <t>Ann McGee - International pharmaceutical quality compliance &amp; training specialists</t>
  </si>
  <si>
    <t>Ann McGee - Pref Shares</t>
  </si>
  <si>
    <t>Tara Media - Employment x1</t>
  </si>
  <si>
    <t>Robert Hogan - Online international marketing, advertising and publishing</t>
  </si>
  <si>
    <t>Critical Data - Capital</t>
  </si>
  <si>
    <t>Ronan Kennedy - Forensic recovery &amp; destruction of computer hard drives</t>
  </si>
  <si>
    <t>Dog Training Irl - Employment x3</t>
  </si>
  <si>
    <t>Lisa Whelan - Dog training &amp; behavioural services. This is the 1st canine related premises of its kind in the country. There are currently no courses available in Ireland for a person to become a dog trainer; they have to travel to the UK and America.</t>
  </si>
  <si>
    <t>Star Stories - Employment x2</t>
  </si>
  <si>
    <t>Siobhan Rankin - Manufacture of personalised books</t>
  </si>
  <si>
    <t>Professional Phlebotomy - Employment</t>
  </si>
  <si>
    <t>Pauline Connell - Localised phlebotomy services. Provision of locum cover in hospitals, clinics and hospice facilities / home phlebotomy service in the community and delivery of blood sample to required facilities / service to GPs, Pharmacies, University research departments / Mobile Phlebotomy Clinic and Consultancy / Educational Management Services.</t>
  </si>
  <si>
    <t>Irish Diaries - Capital</t>
  </si>
  <si>
    <t>Robert Whelan - Manufacture and publish school books, workbooks and diaries</t>
  </si>
  <si>
    <t>Amphibia - Innovation</t>
  </si>
  <si>
    <t>Adrian McGreevy -  Innovation Grant towards developing a functional prototype and patent application for a specialist Tri-atheletes sportsbag</t>
  </si>
  <si>
    <t>Athletic Development - Innovation</t>
  </si>
  <si>
    <t>Edmund Smith - Athletic strength and development learning tool</t>
  </si>
  <si>
    <t>Condon &amp; Crawford - Innovation</t>
  </si>
  <si>
    <t>Neil Condon - IT support services. Provision of IT Support services to the consumer and small SME sector in Ireland focussing initially on 3rd Level University Students, farming Community and Hospitality, B&amp;B sector. The promoters intend to offer a unique set of tailored Support services into each of these segments that supports the business or consumer needs and not just react to IT failure issues or problems</t>
  </si>
  <si>
    <t>Evolve Mobile - Innovation</t>
  </si>
  <si>
    <t>Eric Daly - Mobile technology solutions. Prototype development of a customer engagement platform allowing Service Industry businesses (hotels, airlines, supermarkets etc) build and develop a stronger relationship with their customer by using the mobile as a delivery channel to the customer.</t>
  </si>
  <si>
    <t>Rigo Outsourcing - Feasibility</t>
  </si>
  <si>
    <t>Seamus Dore - online freight invoice auditing &amp; reporting system</t>
  </si>
  <si>
    <t>Safefood 360 - Feasibility</t>
  </si>
  <si>
    <t>George Howlett - online food safety compliance system</t>
  </si>
  <si>
    <t>Read Ruler - Feasibility</t>
  </si>
  <si>
    <t>Sheila Byrne - Reading aid for people with dyslexia</t>
  </si>
  <si>
    <t>ZUP - Innovation</t>
  </si>
  <si>
    <t>10008748-Innovative means by which motorcycle jackets can be joined to trousers. Increases comfort and visibility for motorcyclists. Integrates apparel from various manufacturers into a suit despite the uniqueness of the riders choice of gear, this is the products USP.</t>
  </si>
  <si>
    <t>OS3 - Priming</t>
  </si>
  <si>
    <t>OS3 - International iPhone apps developer. OS3 offers iPhone application development services to corporates in Ireland and internationally. They offer full service iPhone consultancy from analysis, specification, design, development, graphic design, testing, to publishing your application on the App Store.</t>
  </si>
  <si>
    <t>Deliciously Different - Expansion</t>
  </si>
  <si>
    <t>Deliciously Different - manufacture of high end speciality cakes. Grant towards purchase of specialist machinery which will greatly enhanced the production capacity of the business. The company is supplying products that are import replacement and longer term it has potential to grow into UK/other international markets.</t>
  </si>
  <si>
    <t>Golfgraffix - Priming</t>
  </si>
  <si>
    <t>Golfgraffix - 3D golf visualisation. 1 employment grant. The only visualisation company that offers its customers the ability to play their course or design as a PC based simulation. Golfgraffix use a custom designed 3D software that enables them import any terrain data and from this to create a 3D virtual golf course in very accurate detail</t>
  </si>
  <si>
    <t>Evolve Mobile - Priming</t>
  </si>
  <si>
    <t>Eric Daly - Mobile technology solutions. For businesses that require regular engagement with their customers, the product will allow them create and brand their own surveys/questionnaires/promotions/ notifications and send them directly to the customers mobile devise both pre and post visit.</t>
  </si>
  <si>
    <t>Homework Club - Priming</t>
  </si>
  <si>
    <t>Homework Club - Specialist educaion centre focussing on students with learning difficulties eg. dyslexia.</t>
  </si>
  <si>
    <t>Emeraz - Priming</t>
  </si>
  <si>
    <t>Emeraz - Embedded technology. Emeraz has designed a piece of software that can embed an audio signal (like a Morse code) into any audio file. The audio signal will contain a code that will relate to an encrypted file on their system which contains a small amount of information about the purchase. It will tell who bought the song (only Emeraz account information), when they bought it, and for how much. The code is embedded and hidden and is completely undetectable by the human ear.</t>
  </si>
  <si>
    <t>Naturamatics - Priming</t>
  </si>
  <si>
    <t>Naturamatics - 1 employment grant for promotor who manufactures certified organic cosmetics. Naturamatics is the only Irish company within the marketplace offering a complete product range that is 100% certified organic.</t>
  </si>
  <si>
    <t>K Shipping - Expansion</t>
  </si>
  <si>
    <t>K Shipping - Internationally traded freight forwarding business. Grant was to assist promoter to upgrade from manual paper-based to fully computerised system in order to comply with current legislation.</t>
  </si>
  <si>
    <t>ICP Gulf - Priming</t>
  </si>
  <si>
    <t>ICP Gulf - Internationally traded specialist recruitment agency</t>
  </si>
  <si>
    <t>Arrange My World - Priming</t>
  </si>
  <si>
    <t>Arrange My World - Life management system. Priming grant toward creation of 2 full time positions. ArrangeMyWorld is an easy to use Life Management System that enables secure storage of personal information on ones own computer.</t>
  </si>
  <si>
    <t>Anthony Mac Engineering - Priming</t>
  </si>
  <si>
    <t>Anthony Mac Engineering - Grant assistance towards creation of 1 full time job plus rent and capital equipment for Engineering services</t>
  </si>
  <si>
    <t>Ewareness - Priming</t>
  </si>
  <si>
    <t>Ewareness Training Limited - Online training for the healthcare sector</t>
  </si>
  <si>
    <t>Salt Therapy Spa - Priming</t>
  </si>
  <si>
    <t>Salt Therapy Spa - Salt therapy facility for asthma sufferers with a plan to franchise. This is a unique service in the healthcare sector with strong growth and emploment potential.</t>
  </si>
  <si>
    <t>Adcup - Innovation</t>
  </si>
  <si>
    <t>iPhone/android sports application</t>
  </si>
  <si>
    <t>Agile - Priming</t>
  </si>
  <si>
    <t>Network integrator. Provider of a full lifecycle of network integration services - design, build, operate, and support of customer networks</t>
  </si>
  <si>
    <t>Amphibia - Priming</t>
  </si>
  <si>
    <t>Grant assistance towards the creation of 1 full-time job + eligible costs in company Manufacturing evolutionary sports equipment</t>
  </si>
  <si>
    <t>Ann McGee - BE</t>
  </si>
  <si>
    <t>Employment grant assistance towards the creation of 2 new full time jobs in Pharma/Healthcare audit &amp; compliance services</t>
  </si>
  <si>
    <t>Athletic Development - BP</t>
  </si>
  <si>
    <t>Grant assistance towards creation of 1 full time position - Strength &amp; conditioning training manual</t>
  </si>
  <si>
    <t>BASE - BE</t>
  </si>
  <si>
    <t>Enterprise Centre. Assistance towards capital expenditure re. renovation costs</t>
  </si>
  <si>
    <t>BEDG - Innovation</t>
  </si>
  <si>
    <t>Community based enterprise support organisation - funding to support the investigative phase for feasibility to test the market conditions, sectors etc.</t>
  </si>
  <si>
    <t>Birdie.IE - Innovation</t>
  </si>
  <si>
    <t>CRM software application for golfing professionals - innovation / feasibility study grant assistance towards prototype / innovation costs and trade show research.</t>
  </si>
  <si>
    <t>Caulfield Glass - BE</t>
  </si>
  <si>
    <t>Manufacture &amp; design of crystal products - assistance towards costs associated with creation 1 new full time position - promoter needs to increase staff levels by 1 additional employee due to the increased volume of business and increasing amounts of orders</t>
  </si>
  <si>
    <t>Deliciously Different - BE</t>
  </si>
  <si>
    <t>Assistance towards the creation of 1 full time position in manufacture &amp; export of high quality cake company</t>
  </si>
  <si>
    <t>Drinan - BP</t>
  </si>
  <si>
    <t>Assistance towards capital expenditure on new Enterprise Centre in Swords</t>
  </si>
  <si>
    <t>E-cat - Innovation</t>
  </si>
  <si>
    <t>Electronic compliance audit tool.Aimed at multiple departments of any commercial sector, it is the promotors objective to automate monitoring and compliance management systems.</t>
  </si>
  <si>
    <t>Emergence - Innovation</t>
  </si>
  <si>
    <t>Corporate sustainable software - funding towards the design, testing and prototype development costs re. the development of a Technology platform</t>
  </si>
  <si>
    <t>Fleet Connect - BE</t>
  </si>
  <si>
    <t>Assistance towards the creation of 1 full time position - Public transport Wi-Fi, CCTV and IT Apps business.</t>
  </si>
  <si>
    <t>ASsistance towards the creation of 2 full time positions - Public transport WiFi, CCTV and IT apps business.</t>
  </si>
  <si>
    <t>Golfgraffix - BP</t>
  </si>
  <si>
    <t>Assistance towards creation of 1 full time position plus capital, marketing, rent and consultancy costs - 3D golf course design business.</t>
  </si>
  <si>
    <t>Greg Whelan - BP</t>
  </si>
  <si>
    <t>Assistance towards the creation of 1 full time position and capital equipment for design and manufacture of high end linen tableware business.</t>
  </si>
  <si>
    <t>Ground Zero - Innov</t>
  </si>
  <si>
    <t>9/11 - 360 exhibition &amp; events etc - funding is required to contribute towards the production costs for the installation and physical exhibit pieces, as well as other costs such as consultancy fees (fine art photo production, specialist book production, curator and arthouse solutions)</t>
  </si>
  <si>
    <t>Keoghs - BP</t>
  </si>
  <si>
    <t>Manufacture of luxury crisps</t>
  </si>
  <si>
    <t>Link By Link - Innovation</t>
  </si>
  <si>
    <t>cloud based e-billing platform, whereby both domestic and commercial users have one portal that allows them to receive documents directly from invoice systems - assistance towards prototype, innovation &amp; consultancy costs.</t>
  </si>
  <si>
    <t>McCul Publishing - Innovation</t>
  </si>
  <si>
    <t>Irish folklore / childrens books</t>
  </si>
  <si>
    <t>Motorcycle Rental - BP</t>
  </si>
  <si>
    <t>Grant assistance towards the creation of one full-time position and associated marketing costs of Motorcycle rental &amp; tour organisers business</t>
  </si>
  <si>
    <t>Park Ave - BP</t>
  </si>
  <si>
    <t>Manufacture of eco friendly chimney draft excluder. Grant assistance towards capital expenditure , marketing costs and one full-time position.</t>
  </si>
  <si>
    <t>Pin Tours - Innovation</t>
  </si>
  <si>
    <t>Online tour guide application template</t>
  </si>
  <si>
    <t>QRS - BE</t>
  </si>
  <si>
    <t>Renewable energy manufacturer. Assistance towards Web Site Design Costs_x000D_ Marketing /PR/consultancy costs _x000D_Salary Costs x 1 and_x000D_ Business Training_x000D_</t>
  </si>
  <si>
    <t>Tuniper Technology - BP</t>
  </si>
  <si>
    <t>E-learning multi lingual compliance solutions. Assistance towards Salaries and capital.</t>
  </si>
  <si>
    <t>Urbanfrog - BP</t>
  </si>
  <si>
    <t>Alternative range of outdoor clothing for cyclists. Assistance towards Salary Costs x 1, Utility_x000D_ Marketing Costs: POS displays, Trade Shows and_x000D_ Consultancy</t>
  </si>
  <si>
    <t>Craft</t>
  </si>
  <si>
    <t>Craft Programme - relates exclusively to M2 activities and is co-funded by the Regional Op - funding towards the costs associated with craft exhibitions and major craft conference for All-Dublin craftworkers in Farmleigh House.</t>
  </si>
  <si>
    <t>Dublin Food Chain</t>
  </si>
  <si>
    <t>Dublin Food Chain - Network Programme for Food Companies in Dublin - relates exclusively to M2 activities and is co-funded by the Regional Op</t>
  </si>
  <si>
    <t>E-Commerce Training Programme</t>
  </si>
  <si>
    <t>E-commerce training programme. Run over 6 weeks, 1 day per week. Course participants may apply for Fetac Level 6 accreditation following completion of the course.</t>
  </si>
  <si>
    <t>Alimay Sports - BP</t>
  </si>
  <si>
    <t>Creation of 4 full-time positions in Global on-line sports, Nutrition and Cycling Accessories business</t>
  </si>
  <si>
    <t>Anutech Systems - BP</t>
  </si>
  <si>
    <t>Grant assistance towards the creation of one full-time position in cloud based entry management system business</t>
  </si>
  <si>
    <t>BASE Enterprise Ltd - BE</t>
  </si>
  <si>
    <t>Grant assistance towards eligible costs in Enterprise Centre</t>
  </si>
  <si>
    <t>Cashflo Plan - BP</t>
  </si>
  <si>
    <t>Grant assistance towards the creation of one full-time position in On-Line Web-based cash-flow aid to SMEs business</t>
  </si>
  <si>
    <t>Critical Data Services - BE</t>
  </si>
  <si>
    <t>Grant assistance towards the creation of one full-time position in Forensic Data Recovery and Destruction company</t>
  </si>
  <si>
    <t>Della Cakes - BP</t>
  </si>
  <si>
    <t>Grant assistance towards the creation of one full-time position in business Manufacturing cake products</t>
  </si>
  <si>
    <t>eCat - BP</t>
  </si>
  <si>
    <t>Grant assistance towards three full-time positions + marketing and system development costs associated with Electronic Compliance Audit Tool</t>
  </si>
  <si>
    <t>Green Dragon - Innovation</t>
  </si>
  <si>
    <t>Grant assistance towards prototype, consultancy and trade show costs for International Web Platform</t>
  </si>
  <si>
    <t>Manufacturer of hi value handmade Linen: Table Runners, placemats, napkins</t>
  </si>
  <si>
    <t>Heraldic Gifts - BE</t>
  </si>
  <si>
    <t>Grant assistance towards marketing costs - Manufactures Heraldic Plaques</t>
  </si>
  <si>
    <t>LearnIT - BP</t>
  </si>
  <si>
    <t>Grant assistance towards creation of one full-time position in Educational Services business</t>
  </si>
  <si>
    <t>Little Loungers - BP</t>
  </si>
  <si>
    <t>Grant assistance towards the creation of one full-time position in company Manufacturing childrens chairs</t>
  </si>
  <si>
    <t>Media Productions - Innovation</t>
  </si>
  <si>
    <t>Innovation</t>
  </si>
  <si>
    <t>Grant assistance towards costs associated with the pilot of a new 3 Day Film Festival venture</t>
  </si>
  <si>
    <t>Motion Fox - BP</t>
  </si>
  <si>
    <t>Grant assistance towards the creation of one full-time position in Hi-viz clothing range company</t>
  </si>
  <si>
    <t>Motorcycle Rental - BE</t>
  </si>
  <si>
    <t>Grant assistance towards the v=creation of one full-time position in International Motor Cycle Rental business</t>
  </si>
  <si>
    <t>Grant assistance towards the creation of one full-time position and marketing costs associated with International Motor Cycle Rental business</t>
  </si>
  <si>
    <t>Sean O'Riordain - Innovation</t>
  </si>
  <si>
    <t>Grant assistance towards marketing and consultancy costs involved in Export focussed Environmental Service</t>
  </si>
  <si>
    <t>Silversands - BP</t>
  </si>
  <si>
    <t>Grant assistance towards the creation of one full-time position in International Wholesale supplier of confectionery products</t>
  </si>
  <si>
    <t>Vactravel - Innovation</t>
  </si>
  <si>
    <t>Grant assistance towards prototype development, consultancy and market research in Vac Packed Hand Luggage business</t>
  </si>
  <si>
    <t>Windowvision - Innovation</t>
  </si>
  <si>
    <t>Grant assistance towards consultancy, patent and miscellaneous costs associated with Road Safety Product</t>
  </si>
  <si>
    <t>E-Commerce Technical Assistance (Grants)</t>
  </si>
  <si>
    <t>Grant assistance towards the development of new online presence</t>
  </si>
  <si>
    <t>Geothermal Energy Ltd</t>
  </si>
  <si>
    <t>Review and processing of acquired geological information to refine the current geological model for Dublin basin and its potential to deliver geothermal energy.</t>
  </si>
  <si>
    <t>Distributed Energy Company Group Ltd</t>
  </si>
  <si>
    <t>This project aims to translate single electricity market data into a format useful for smart controls.  _x000D_- calculate the unpublished part of the spot price _x000D_- estimate the carbon content in real time for electricity based on fuel mix and current renewable usage_x000D_- publish the calculated price data from above some weather forecasting as an XML web service _x000D_- develop strategies for an industrial controller to reduce cost, energy consumption and/or carbon content and publish on a public website</t>
  </si>
  <si>
    <t>FINGAL TOTAL</t>
  </si>
  <si>
    <t>Medical Engineering Devices &amp; Innovation Centre</t>
  </si>
  <si>
    <t>The Medical Engineering Design and Innovation Centre (MEDIC) is an industry-led applied research centre that specialises in Medical Technologies from proof of concept through to commercialisation. (P08030)</t>
  </si>
  <si>
    <t>Kerry</t>
  </si>
  <si>
    <t>JP McElligott</t>
  </si>
  <si>
    <t>"The objective of the proposed study is to investigate the sustainability of an AD facility at Asdee, the study will provide plant economics, investigate possible heat uses and electricity capability as well as plant feedstock requirements._x000D_</t>
  </si>
  <si>
    <t>ProVENTO Ireland plc</t>
  </si>
  <si>
    <t>Feasibility study to investigate the use of locally derived bio-diesel fuel option for new eco-housing development.</t>
  </si>
  <si>
    <t>Edwin Stryker</t>
  </si>
  <si>
    <t>Install a 100 kw wood chip boiler</t>
  </si>
  <si>
    <t>Sean O Sullivan T/A Ring Lyne Hostel &amp; B&amp;B</t>
  </si>
  <si>
    <t>It is proposed that a 19.6m2 solar thermal system be installed to contribute to the heating and hot water requirements of a hostel with a maximum capacity for 30 persons per night. The solar system will greatly reduce LPG consumption during the summer period</t>
  </si>
  <si>
    <t>Hoztel Hospitality Limited</t>
  </si>
  <si>
    <t>Installation of 31.16 m2 evacuated tube solar collectors.</t>
  </si>
  <si>
    <t>Camphill Community Dingle</t>
  </si>
  <si>
    <t>Renovated/rebuild old traditional cottage without heating system. the objective of our community is to work our land and our houses in a way that is friendly for our environment. Which incl the energy friendly boiler and not using chemicals and growing fru_x000D_it</t>
  </si>
  <si>
    <t>Heather Lee Nursing Home</t>
  </si>
  <si>
    <t>it is intended to install a 300l dual coil calorifier with 3 Calpak vacuum tube panels of total area 6.45 msq (5.85 msq aperature area_x000D_</t>
  </si>
  <si>
    <t>Renard GAA Club</t>
  </si>
  <si>
    <t>Installation of 8x2.34 m2 of flat solar panels to rpovide water heating in community premises_x000D_</t>
  </si>
  <si>
    <t>Keel GAA Club</t>
  </si>
  <si>
    <t>it is intended to install a 1000l solar calorifier with 12 square meters of Tisun panels of total aperature area of 10.86msq_x000D_</t>
  </si>
  <si>
    <t>Causeway Community Economic Social Development Company Limited</t>
  </si>
  <si>
    <t>The project aims to provide heat and hot water from the geothermal heat pumps to the creche_x000D_</t>
  </si>
  <si>
    <t>St. Joseph's Nursing Home</t>
  </si>
  <si>
    <t>The project aims to meet a significant fraction of the hot water needs of the nursing home from solar energy. As such it is intended to install a 100l dual coil calorifier with 9 calpak vacuum tube panels of total area 19.35msq (17.55 msq aperture area)_x000D_</t>
  </si>
  <si>
    <t>Astellas Ireland Ltd</t>
  </si>
  <si>
    <t>Feasibility Study on installation of a low pressure steam boiler and integrating this into the existing site steam distribution system</t>
  </si>
  <si>
    <t>O'Donnabhain's Bar &amp; Guest House Ltd</t>
  </si>
  <si>
    <t>"It is proposed to install 32 square metres of solar vacuum panels to the roof of the guest house. The panels should achieve optimum performance as they are facing due south with close to 45 degree tilt to the horizontal</t>
  </si>
  <si>
    <t>MOD Construction Ltd</t>
  </si>
  <si>
    <t>The objective of the project is to install a wood fired Boiler system connected to a district heating system to provide Heating &amp; hot water requirements for new 18 Holiday homes &amp; Leisure Spa development.</t>
  </si>
  <si>
    <t>Rivermere is currently a 12 bedroom B&amp;B.  The applicant has obtained planning permission to extent the premises by a further 14 bedrooms, aswell as refurbish the existing premises.  The purpose of this Feasibility Study proposal is to investigate the possi_x000D_bility</t>
  </si>
  <si>
    <t>Paudie O'Mahoney &amp; Associates Ltd</t>
  </si>
  <si>
    <t>Installation of a 12.1 kW heat pump.</t>
  </si>
  <si>
    <t>Beaufort GAA Club</t>
  </si>
  <si>
    <t>Installation of 10.86 m2 flat plate solar panels.</t>
  </si>
  <si>
    <t>Mannix Point Camping and Caravan Park</t>
  </si>
  <si>
    <t>Installation of 10m2 of flat plate solar panels.</t>
  </si>
  <si>
    <t>Timothy Leahy</t>
  </si>
  <si>
    <t>Feasibility study on utilising agricultural waste and resudue to generate electricity and heat.</t>
  </si>
  <si>
    <t>Noctap Ltd</t>
  </si>
  <si>
    <t>Installation of a 20 kW air source heatpump.</t>
  </si>
  <si>
    <t>Kenmare and Dromod Union of Parishes</t>
  </si>
  <si>
    <t>Installation of a 15.136m2 flat plate solar collectors.</t>
  </si>
  <si>
    <t>Firies GAA</t>
  </si>
  <si>
    <t>Installation of  9.1m2 of flat plate solar</t>
  </si>
  <si>
    <t>Installation of 27.5 kW air source heat pump.</t>
  </si>
  <si>
    <t>Astellas Ireland Co Ltd</t>
  </si>
  <si>
    <t>The grantee will carry out a study on the sustainability of establishing a wind energy plant</t>
  </si>
  <si>
    <t>Kerry Ingredients (Ireland) Ltd</t>
  </si>
  <si>
    <t>Upgrade of compressed air generation systems and upgrade motors on eight SEU drives.</t>
  </si>
  <si>
    <t>Mango Crafts/Cap</t>
  </si>
  <si>
    <t>furniture manufacturer</t>
  </si>
  <si>
    <t>Samantha Kelly/Emp</t>
  </si>
  <si>
    <t>customer relations and training service</t>
  </si>
  <si>
    <t>Michael Brosnan/cap</t>
  </si>
  <si>
    <t>manufacture of dog kennels</t>
  </si>
  <si>
    <t>Timber Frame Central/Emp</t>
  </si>
  <si>
    <t>e-tendering service for timber frame manufacturers</t>
  </si>
  <si>
    <t>Alan Buckley/cap</t>
  </si>
  <si>
    <t>manufacture of precision engineered parts</t>
  </si>
  <si>
    <t>Kip Learning/cap</t>
  </si>
  <si>
    <t>education services</t>
  </si>
  <si>
    <t>O'Brien Recruitment/Emp</t>
  </si>
  <si>
    <t>specialist overseas recruitment</t>
  </si>
  <si>
    <t>Quarprim/emp</t>
  </si>
  <si>
    <t>manufacture of graded stone mulch</t>
  </si>
  <si>
    <t>Ciprian Birsan/fea</t>
  </si>
  <si>
    <t>feasibility study on audio travel guides</t>
  </si>
  <si>
    <t>Punkfaze/emp</t>
  </si>
  <si>
    <t>design and print of fashionwear</t>
  </si>
  <si>
    <t>Emma Tinkler/fea</t>
  </si>
  <si>
    <t>feasibility study on hand weaving and textile design</t>
  </si>
  <si>
    <t>Shirley Teskey/emp</t>
  </si>
  <si>
    <t xml:space="preserve"> manufacture of creams and lotions</t>
  </si>
  <si>
    <t>Aoife Hannon/emp</t>
  </si>
  <si>
    <t>employment grant for milliner's own employment for design and production of hats</t>
  </si>
  <si>
    <t>silveronion ltd/emp</t>
  </si>
  <si>
    <t>payroll software development- employment support for technical staff</t>
  </si>
  <si>
    <t>jeremiah harrington/emp</t>
  </si>
  <si>
    <t>baked products- capital support for new equipment for development of new products</t>
  </si>
  <si>
    <t>vincent daly/cap</t>
  </si>
  <si>
    <t>fish processing- capital support for new equipment and premises upgrade</t>
  </si>
  <si>
    <t>Joe Ryan/cap</t>
  </si>
  <si>
    <t>sign making business- capital grant for new equipment_x000D_</t>
  </si>
  <si>
    <t>Pierce Walsh/cap</t>
  </si>
  <si>
    <t>food production business- capital investment on new equipment and premises upgrade</t>
  </si>
  <si>
    <t>Simon O'Connor/fea</t>
  </si>
  <si>
    <t>feasibility study on reservoir cleaning technology involving the use of robotic equipment</t>
  </si>
  <si>
    <t>Tom Tansley/Fea</t>
  </si>
  <si>
    <t>feasibility study on multi-media website using new video streaming technologies</t>
  </si>
  <si>
    <t>McCarthy O'Sullivan Utility/cap</t>
  </si>
  <si>
    <t>high voltage equipment maintenance and installation- capital grant for new installation equipment</t>
  </si>
  <si>
    <t>Sean Casey/fea</t>
  </si>
  <si>
    <t>feasibility study on new software package to improve car design and manufacturing processes</t>
  </si>
  <si>
    <t>Kerry Footwear/emp</t>
  </si>
  <si>
    <t>specialist footwear manufacturing- employment support for 2 new staff in sales/admin</t>
  </si>
  <si>
    <t>Thomas Ashe/cap</t>
  </si>
  <si>
    <t>capital grant for purchase of specialist equipment related to black pudding manufacturing</t>
  </si>
  <si>
    <t>Jan Van Soest/Cap</t>
  </si>
  <si>
    <t>printing of panoramic photo products- grant for purchase of specialist printing equipment_x000D_</t>
  </si>
  <si>
    <t>Adanack/Cap</t>
  </si>
  <si>
    <t>manufacture of resin based mouldings and trims- installation of three phase electricity supply</t>
  </si>
  <si>
    <t>Water Control Services/Cap</t>
  </si>
  <si>
    <t>provision of robotic cleaning and monitoring systems for reservoirs- purchase of automatic cleaning system and related equipment</t>
  </si>
  <si>
    <t>Alison Boardman/emp</t>
  </si>
  <si>
    <t>translation and interpretative services- employment support for new employee in admin/translation services</t>
  </si>
  <si>
    <t>Mango Crafts/emp</t>
  </si>
  <si>
    <t>furniture manufacture and assembly- capital grant for upgrade of production and office space</t>
  </si>
  <si>
    <t>Paul O'Connell/cap</t>
  </si>
  <si>
    <t>fabrication and steelworks- capital grant for purchase of new metal working equipment</t>
  </si>
  <si>
    <t>Stephen O'Connell/cap</t>
  </si>
  <si>
    <t>steel fabrication. Capital grant for purchase of welding machine, tools and other equipment</t>
  </si>
  <si>
    <t>John Hanafin/emp</t>
  </si>
  <si>
    <t>energy efficiency assessment services- 1 employment grant for promoter</t>
  </si>
  <si>
    <t>Noel White/cap</t>
  </si>
  <si>
    <t>precision engineering business- capital grant for purchase of multi-spindle machine</t>
  </si>
  <si>
    <t>Enterprise Education/M2</t>
  </si>
  <si>
    <t>Enterprise Education/M2- includes 2nd level, 3rd level awards and motivator project. classroom based promotion of entrepreneurship including development of mini-companies</t>
  </si>
  <si>
    <t>Enterprise Promotion/M2</t>
  </si>
  <si>
    <t>Enterprise Promotion includes community awards, county promotion, enterprise bus. Project relates exclusively to erdf activity and costs are eligible for co-funding, no admin costs are included in project.</t>
  </si>
  <si>
    <t>Enterprise Promotion-M2/SHOP expo</t>
  </si>
  <si>
    <t>M2/SHOP and showcase exhibition, client support to exhibit at trade expo</t>
  </si>
  <si>
    <t>Management Development Programmes</t>
  </si>
  <si>
    <t>Management Development Programmes--main programme contribution to childcare business skills development programme, -programmes open to employees and business owners</t>
  </si>
  <si>
    <t>Management Development-M2/ Food Programme</t>
  </si>
  <si>
    <t>M2/Advanced Food Programme- training programme, workshops and site visits for food producers</t>
  </si>
  <si>
    <t>Management Development- M2/Networking</t>
  </si>
  <si>
    <t>M2/Networking (includes general business network and dedicated women in business network). Costs include network co-ordinator fee, speakers fees and room hire. Networking events open to all CEB clients and employees-networking evenings focused on sharing information and presentations on best practice from industry experts</t>
  </si>
  <si>
    <t>Mentoring- provision of expert advice on a one-to-one basis for CEB clients from industry experts</t>
  </si>
  <si>
    <t>Other-E Business Supports/M2</t>
  </si>
  <si>
    <t>E-Business supports. This included financial assistance in the form of grant aid to offset the development costs of e-business solutions for CEB client businesses</t>
  </si>
  <si>
    <t>Other-Marketing Supports/M2</t>
  </si>
  <si>
    <t>marketing supports- supports to client companies for promotional activities including promotional materials and trade exhibitions.Project relates exclusively to erdf activity and costs are eligible for co-funding, no admin costs are included in project.</t>
  </si>
  <si>
    <t>Training-book-keeping/M2</t>
  </si>
  <si>
    <t>computerised accounts training aimed directly at business owners or staff within micro-enterprises. Aim is to improve their financial information systems and reduce their external bookkeeping and accountancy costs</t>
  </si>
  <si>
    <t>Training-Other/M2</t>
  </si>
  <si>
    <t>includes technical training grants where we part fund external training and general business training not included in other categories</t>
  </si>
  <si>
    <t>Training-Seminars/Workshops</t>
  </si>
  <si>
    <t>one day or half day workshops on relevant business topics-examples of topics include  franchise, sources of finance, budget reviews, HR and employment law</t>
  </si>
  <si>
    <t>Training-SYOB/M2</t>
  </si>
  <si>
    <t>Maurice O' Carroll/Cap</t>
  </si>
  <si>
    <t>Multi-Media Studio specialising in Web Based and Standard Video Production)</t>
  </si>
  <si>
    <t>Tobin Leisure/Cap</t>
  </si>
  <si>
    <t>Family Entertainment Centre in Tralee- equipment and facility upgrade costs</t>
  </si>
  <si>
    <t>Richard O'Mahony/Feasibility</t>
  </si>
  <si>
    <t>Feasibility Study on  Veterinary Herbal Tonics</t>
  </si>
  <si>
    <t>Sean Loughran/Feasibility</t>
  </si>
  <si>
    <t>Feasibility study on fuel line pressure monitoring system</t>
  </si>
  <si>
    <t>Alison Boardman/Cap</t>
  </si>
  <si>
    <t>translation and interpretative services company</t>
  </si>
  <si>
    <t>Stephen Hall/Cap</t>
  </si>
  <si>
    <t>Development of market gardening and processing facilites</t>
  </si>
  <si>
    <t>Elizabeth Conway/cap</t>
  </si>
  <si>
    <t>firewood processing equipment</t>
  </si>
  <si>
    <t>Seefin Data Management/Emp</t>
  </si>
  <si>
    <t>Data Processing business in Listowel.  employment grants for support staff</t>
  </si>
  <si>
    <t>Colleen Bowler/Cap</t>
  </si>
  <si>
    <t>Pottery business based in Castlegregory- purchase of new equipment</t>
  </si>
  <si>
    <t>Billy Kissane Meats/Cap</t>
  </si>
  <si>
    <t>Value added pork and bacon products. Purchase of new equipment</t>
  </si>
  <si>
    <t>Spellmans Timber/Cap</t>
  </si>
  <si>
    <t>Timber production plant- support for new equipment</t>
  </si>
  <si>
    <t>Bowling Buddies/Cap</t>
  </si>
  <si>
    <t>Tralee based family entertainment centre- support for equipment and facility upgrade costs</t>
  </si>
  <si>
    <t>Michael Cullinane/Emp</t>
  </si>
  <si>
    <t>Creation of a national association of energy assessors.</t>
  </si>
  <si>
    <t>Independent Irish Health Foods/Emp</t>
  </si>
  <si>
    <t>Health food packaging and manufacturing- employment grants for 10 people</t>
  </si>
  <si>
    <t>Denis Allen/Fea</t>
  </si>
  <si>
    <t>Feasibility study on chimney closure device</t>
  </si>
  <si>
    <t>Christina Marriott/Cap</t>
  </si>
  <si>
    <t>Ceramics and pottery business- equipment and facility upgrade</t>
  </si>
  <si>
    <t>Timothy O'Sullivan Construction/Cap</t>
  </si>
  <si>
    <t>insulation services for new and existing dwellings/equipment and business start up costs</t>
  </si>
  <si>
    <t>Glasweld Ireland/Emp</t>
  </si>
  <si>
    <t>national glass and windscreen repair business- employment grant for one person</t>
  </si>
  <si>
    <t>Jamie Clifford/Emp</t>
  </si>
  <si>
    <t>internet based services directory for the construction sector- employment grant for one person</t>
  </si>
  <si>
    <t>Foam Flex/Cap</t>
  </si>
  <si>
    <t>manufacture of cushions and upholstery in Tralee- purchase of new equipment</t>
  </si>
  <si>
    <t>Amy Hanley/Emp</t>
  </si>
  <si>
    <t>internet based shoe business</t>
  </si>
  <si>
    <t>Maurice Hannon/Emp</t>
  </si>
  <si>
    <t>Production of gluten free products- 1 employment grant for the promoter</t>
  </si>
  <si>
    <t>John Loughrey/Emp</t>
  </si>
  <si>
    <t>Development of board game- employment grant for one person</t>
  </si>
  <si>
    <t>Management Development- M2/Seafood Programme</t>
  </si>
  <si>
    <t>workshops,mentoring and site visits for seafood producers aimed at adding value to produce</t>
  </si>
  <si>
    <t>Training-Farmers Markets/M2</t>
  </si>
  <si>
    <t>training, workshops and support targetted at producers and traders in farmers markets</t>
  </si>
  <si>
    <t>Training-Grow Your Own Business Course/M2</t>
  </si>
  <si>
    <t>Workshops and mentoring aimed at existing businesses</t>
  </si>
  <si>
    <t>Perfect Answer/BP</t>
  </si>
  <si>
    <t>Business offering range of virtual and remote office services- aimed at national and overseas markets. Support towards salary costs</t>
  </si>
  <si>
    <t>Carol Kennelly /BP</t>
  </si>
  <si>
    <t>milliner- support towards own salary costs and marketing for design and production of hats</t>
  </si>
  <si>
    <t>Anne O'Keeffe/BE</t>
  </si>
  <si>
    <t>salary supports for English language school targetting overseas students</t>
  </si>
  <si>
    <t>Simple Living Solutions/BP</t>
  </si>
  <si>
    <t>Production of a range of wheatgrass derived products. Grant towards purchase of production and packaging equipment</t>
  </si>
  <si>
    <t>David Slattery/BP</t>
  </si>
  <si>
    <t>internet based group buying initiative. Funding provided towards salary costs and capital items</t>
  </si>
  <si>
    <t>Ruptela Ireland/BP</t>
  </si>
  <si>
    <t>salary supports towards business providing and installing transport fleet tracking and monitoring services.</t>
  </si>
  <si>
    <t>Henry Lyons/FIG</t>
  </si>
  <si>
    <t>feasibility study on development of organic cosmetic products based on marine algae</t>
  </si>
  <si>
    <t>Kerry Mechanical Engineering/BE</t>
  </si>
  <si>
    <t>Business expansion grant for engineering firm designing and producing agricultural equipment such as pan-busters.</t>
  </si>
  <si>
    <t>MacWaste Management Services/BE</t>
  </si>
  <si>
    <t>Recycling business focused on paper, cardboard and plastic waste. Support towards salary costs and capital items</t>
  </si>
  <si>
    <t>Manuela Goeb/Cap</t>
  </si>
  <si>
    <t>specialist bakery supplying continental pastries and bread products- capital grant for premises upgrade</t>
  </si>
  <si>
    <t>Michael Corrigan/BP</t>
  </si>
  <si>
    <t>retrofit system for septic tank redemption works. Grant for salary and marketing costs</t>
  </si>
  <si>
    <t>Kerry Recharge/BE</t>
  </si>
  <si>
    <t>expansion of ink cartridge refill and production business. Support towards salary costs</t>
  </si>
  <si>
    <t>Niche Protein/BP</t>
  </si>
  <si>
    <t>manufacture of synthetic protein products for use in medical testing. Salary support provided</t>
  </si>
  <si>
    <t>Romi Buhles/BP</t>
  </si>
  <si>
    <t>patchwork and quilting business specialising in longarm quiliting. Grant for new equipment.</t>
  </si>
  <si>
    <t>Sabine Rosenhammer/ BP</t>
  </si>
  <si>
    <t>provision of customised Irish holidays targetting the German market. Salary and marketing support</t>
  </si>
  <si>
    <t>Seanie Murphy/BP</t>
  </si>
  <si>
    <t>Development of software product for hotel and commercial maintenance scheduling. Support towards salary costs</t>
  </si>
  <si>
    <t>Seefin Data Management/Cap</t>
  </si>
  <si>
    <t>data processing business involving transcriptions, data entry and medical claim processing. Capital grant support</t>
  </si>
  <si>
    <t>Six Nation Tours/BP</t>
  </si>
  <si>
    <t>organisation of international youth rugby events leading to inward tourism in the region. Grant towards marketing costs</t>
  </si>
  <si>
    <t>Caraghbridge Technologies/BP</t>
  </si>
  <si>
    <t>provision of energy usage and monitoring systems. Support provided towards salary costs, marketing and consultancy.</t>
  </si>
  <si>
    <t>Ring of Kerry Lamb/BP</t>
  </si>
  <si>
    <t>addition of value to locally produced lamb through branding, packaging and promotion- Support towards marketing costs</t>
  </si>
  <si>
    <t>Enterprise Education-1st level/M2</t>
  </si>
  <si>
    <t>Enterprise Education at primary level. Contribution to Junior Entrepreneur Programme ruh throughout region</t>
  </si>
  <si>
    <t>Enterprise Education-Other/M2</t>
  </si>
  <si>
    <t>Contribution to Richard Cantillon Summer School focused on entrepreneurship and economic regeneration</t>
  </si>
  <si>
    <t>Management Development-M2-Seafood-Other</t>
  </si>
  <si>
    <t>Initiative looking at increasing business expertise and adding value to shellfish product from the Valentia area</t>
  </si>
  <si>
    <t>Other-M2- Food Promotion</t>
  </si>
  <si>
    <t>compilation of a directory of food producers in County Kerry by third party on behalf of CEB. Directory allows assessment of size of sector and to be used for promotional purposes, networking and group branding initiatives.</t>
  </si>
  <si>
    <t>Training-M2-Innovation Programme</t>
  </si>
  <si>
    <t>Product Innovation Programme- specialist workshops and mentoring aimed at commercialisation of new product ideas</t>
  </si>
  <si>
    <t>Sneem Meats/BP</t>
  </si>
  <si>
    <t>production of artisan meat products- support towards new equipment and premises upgrade</t>
  </si>
  <si>
    <t>R Club Sportswear/BP</t>
  </si>
  <si>
    <t>salary supports for sportswear company that customised products through the addition of club crests</t>
  </si>
  <si>
    <t>ANM Physio/BP</t>
  </si>
  <si>
    <t>marketing supports in 2011 (salary ,marketing and capital supports in 2012)for the development of a web portal and video library for the treatment of sports injuries. Content sold overseas as an internationally traded service</t>
  </si>
  <si>
    <t>Leah's Gourmet Foods/BP</t>
  </si>
  <si>
    <t>salary and marketing supports for development of a range of artisan meat products fusing Irish and Oriental flavours</t>
  </si>
  <si>
    <t>Bluebird Care/BP</t>
  </si>
  <si>
    <t>development of home care services for the elderly and those with special needs. Support towards salary costs</t>
  </si>
  <si>
    <t>Text Republic/BP</t>
  </si>
  <si>
    <t>development of a text based mobile marketing and customer relationship management system- support via salaries, marketing, consultancy and rental</t>
  </si>
  <si>
    <t>Chris Drumm/BP</t>
  </si>
  <si>
    <t>manufacture and marketing of a sports coach log book and associated print products for salary costs</t>
  </si>
  <si>
    <t>Christopher Sheehan/BP</t>
  </si>
  <si>
    <t>mechanised firewood processing aimed at producting consumer ready product for regional distribution-support towards salary costs</t>
  </si>
  <si>
    <t>Donal Tobin/BP</t>
  </si>
  <si>
    <t>repair, design and manufacture of surfboards with salary costs</t>
  </si>
  <si>
    <t>Chase Resourcing/BE</t>
  </si>
  <si>
    <t>Salary costs and rental costs towards recruitment agency with programme to expand into Europe &amp; Australia. 2012 salary costs support</t>
  </si>
  <si>
    <t>Larkin's Bakery/BE</t>
  </si>
  <si>
    <t>Capital costs towards expansion of existing traditional family bakery concentrating on health focused breads and other ancillary health food types. 2012 supports towards consultancy costs</t>
  </si>
  <si>
    <t>Greenview Languages/BP</t>
  </si>
  <si>
    <t>Marketing costs and rental towards development of new company incorporating language training &amp; translation services</t>
  </si>
  <si>
    <t>Healthy Bedding/BP</t>
  </si>
  <si>
    <t>Salary, marketing and capital costs towards the manufacture &amp; marketing of a range of pillows and other bedding products such as quilts</t>
  </si>
  <si>
    <t>Thomas Maloney/BP</t>
  </si>
  <si>
    <t>development of an online portal for the printing sector providing news, information, technical support and business development tools- support towards salary costs</t>
  </si>
  <si>
    <t>James Hannafin/BP</t>
  </si>
  <si>
    <t>Salary &amp; rent support for processing of fruit and vegetables-2012 salary support</t>
  </si>
  <si>
    <t>Development of a web based facilities maintenance system for the hospitality sector. Support for consultancy and marketing costs</t>
  </si>
  <si>
    <t>Arca Coffin Makers/BP</t>
  </si>
  <si>
    <t>design and manufacture of coffins and related products. Support towards salary costs</t>
  </si>
  <si>
    <t>Randall Wharton/BP</t>
  </si>
  <si>
    <t>development of a portal site called rigbag.com targetting the extreme sports sector. Salary supports provided</t>
  </si>
  <si>
    <t>Paul Murphy/BP</t>
  </si>
  <si>
    <t>development of an equine safety device to assist with the breaking of horse. Support towards salary costs</t>
  </si>
  <si>
    <t>Frontline LED/BP</t>
  </si>
  <si>
    <t>Development, adaptation and retro fitting of high wattage energy saving LED light fittings- Support for salary and marketing costs</t>
  </si>
  <si>
    <t>Manuela Goeb/BP</t>
  </si>
  <si>
    <t>development of a production facility for organic pasta- support towards salary costs</t>
  </si>
  <si>
    <t>Velabri Ltd/BP</t>
  </si>
  <si>
    <t>development of a range of limited edition lifestyle products including iphone and ipad cases- support towards salary and marketing costs</t>
  </si>
  <si>
    <t>Training-Online Marketing Programme/M2</t>
  </si>
  <si>
    <t>training programme focused on online marketing, search engine optimisation and the effective use of social media in business</t>
  </si>
  <si>
    <t>Training-M2/PR Programme</t>
  </si>
  <si>
    <t>Programme focused on developing effective PR techniques for businesses that can generate positive publicity at low or no cost</t>
  </si>
  <si>
    <t>Training-Workshops in Social Media/M2</t>
  </si>
  <si>
    <t>series of workshops demonstrating to clients how to use Social Media particularly Facebook and Twitter to benefit their businesses</t>
  </si>
  <si>
    <t>Training-Workshops on Selling Skills-M2</t>
  </si>
  <si>
    <t>Series of workshops aimed at improving the selling skills of businesses particularly in the services sector</t>
  </si>
  <si>
    <t>Training-Workshops on exhibiting at trade shows-M2</t>
  </si>
  <si>
    <t>workshops that help businesses to maximize the impact they make at trade shows, through effective promotional materials and presentation</t>
  </si>
  <si>
    <t>Anthony Sheedy/BP</t>
  </si>
  <si>
    <t>Manufacture of timber products e.g. kids playhouses, tree houses, climbing frames and garden sheds. Support towards salary costs</t>
  </si>
  <si>
    <t>Pods Ireland/BP</t>
  </si>
  <si>
    <t>production of camping pods- 2012 support towards salary and marketing costs</t>
  </si>
  <si>
    <t>Doireann Barrett/BP</t>
  </si>
  <si>
    <t>production of a range of gluten free products- support for equipment, marketing and rental costs</t>
  </si>
  <si>
    <t>Fleury Engineering/BE</t>
  </si>
  <si>
    <t>design and installation of specialist fuel filtration systems- 2012 support towards rental costs</t>
  </si>
  <si>
    <t>Tony O'Shea Construction Ltd/BP</t>
  </si>
  <si>
    <t>Production of artisan chopping and serving boards._x000D_Support towards salary costs.</t>
  </si>
  <si>
    <t>GB Business Vat Ireland/BP</t>
  </si>
  <si>
    <t>vat reclaim service focused on the UK market- support towards salary costs</t>
  </si>
  <si>
    <t>Tommie Slattery/FIG</t>
  </si>
  <si>
    <t>Feasibility study on the development of mobile Apps targetted at the agricultural sector. Support towards consultancy costs</t>
  </si>
  <si>
    <t>Glor Foods/BE</t>
  </si>
  <si>
    <t>production of a range of peanut butter products-support for marketing,utility costs nad equipment</t>
  </si>
  <si>
    <t>Tadhg O'Connor/BE</t>
  </si>
  <si>
    <t>Production of fresh chilled food products and meals._x000D_
Support towards Capital costs</t>
  </si>
  <si>
    <t>Guerin Engineering &amp; Pumps/BP</t>
  </si>
  <si>
    <t>Design and installation of water treatment systems- support for salary costs</t>
  </si>
  <si>
    <t>Sabine Rosenhammer/BE</t>
  </si>
  <si>
    <t>Provision of bespoke holidays for German speaking visitors with special interests. _x000D_Supports for Salary costs.</t>
  </si>
  <si>
    <t>Ray James Marketing/BP</t>
  </si>
  <si>
    <t>Establish &amp; develop 500+ affiliate websites over the next 3 years._x000D_ Support towards salary costs</t>
  </si>
  <si>
    <t>Proven Engineering Solutions/FIG</t>
  </si>
  <si>
    <t>Feasibility Study on the development of a modified towbar and connection guide._x000D_ Support towards Consultancy costs</t>
  </si>
  <si>
    <t>McGriffin Scientific/BP</t>
  </si>
  <si>
    <t>Installation of laboratory, dental and medical cabinetry and associated equipment._x000D_
Support towards salaries, marketing, training and capital costs.</t>
  </si>
  <si>
    <t>Marco's Speciality Foods/BP</t>
  </si>
  <si>
    <t>Manufacture and distribution of a frozen gluten free pizza range._x000D_Support towards salary costs.</t>
  </si>
  <si>
    <t>Irish Truck &amp; Trailer/BE</t>
  </si>
  <si>
    <t>support towards capital items for trailer building and maintenance firm</t>
  </si>
  <si>
    <t>Isobel Barrett/BP</t>
  </si>
  <si>
    <t>salary support for production of hand made yarns</t>
  </si>
  <si>
    <t>Jim Beasley Engineering/BE</t>
  </si>
  <si>
    <t>purchase of equipment for light engineering and fabrication company targetting argicultural and SME clients</t>
  </si>
  <si>
    <t>John Paul O Connor/BP</t>
  </si>
  <si>
    <t>development of a range of gourmet artisan meat products- support towards salary costs</t>
  </si>
  <si>
    <t>Jon Hughes/FIG</t>
  </si>
  <si>
    <t>feasibility study on development of new range of non-alcoholic drinks. Support towards consultancy costs and own labour</t>
  </si>
  <si>
    <t>Jose Claro/BP</t>
  </si>
  <si>
    <t>production of musical instruments- support towards salary costs</t>
  </si>
  <si>
    <t>Killarney Seamless Gutters/BE</t>
  </si>
  <si>
    <t>production of a 'clothes line canopy' device- support towards salary, marketing and capital costs</t>
  </si>
  <si>
    <t>Liam McAuliffe/FIG</t>
  </si>
  <si>
    <t>prototype development of sports training product for field sports. Support for own labour and prototype</t>
  </si>
  <si>
    <t>Mairead Moriarty/BP</t>
  </si>
  <si>
    <t>production of visual learning aids- support towards salary costs</t>
  </si>
  <si>
    <t>Training-Getting Business Online/M2</t>
  </si>
  <si>
    <t>training and workshops for businesses engaged in the national intiative to get more businesses online www.gibo.ie</t>
  </si>
  <si>
    <t>IT Tralee RERG Purchase of HPLC System</t>
  </si>
  <si>
    <t>Various equipment items for key research areas identified in the HEA/Forfas Research Infrastructure Review 'Research Infrastruture in Ireland - Building for Tomorrow.' Published in 2007. Areas: HPLC System.</t>
  </si>
  <si>
    <t>KERRY TOTAL</t>
  </si>
  <si>
    <t>Green Isle Foods Ltd</t>
  </si>
  <si>
    <t>The grantee will install a 999kWe CHP unit</t>
  </si>
  <si>
    <t>Kildare</t>
  </si>
  <si>
    <t>Croi Anu Creative Centre</t>
  </si>
  <si>
    <t>To Install a 8kw heat pump at Athy, Co Kildare._x000D_</t>
  </si>
  <si>
    <t>Eamonn Brennan</t>
  </si>
  <si>
    <t xml:space="preserve">Solar panel tubes to heat water for the surgery for everyday use for a level fit for washing and general use. </t>
  </si>
  <si>
    <t>Raymond Kiernan</t>
  </si>
  <si>
    <t>Installing 3 solar thermal panels (6.42 sq m)on south facing roof to provide hot water supply to the creche_x000D_</t>
  </si>
  <si>
    <t>Josephine Anne Somers Hairsalon</t>
  </si>
  <si>
    <t>We propose to remove existing Oil fired water heating system that supplies the existing  hairdressing salon and replace same with solar thermal water heating system with night rate E.S.B. backup.</t>
  </si>
  <si>
    <t>Paul Newman</t>
  </si>
  <si>
    <t>Installation of a 220 kw wood pellet boiler.</t>
  </si>
  <si>
    <t>McCarthys Hardware</t>
  </si>
  <si>
    <t>It is proposed to install a 300kW biomass boiler to supply heat for the entire facility.  The proposed fuel is wood chip.  The wood chip will be stored in a 162m3 purpose built wood chip silo, which will be automatically fed into the boiler via a fuel tran_x000D_</t>
  </si>
  <si>
    <t>Goretti Quinn</t>
  </si>
  <si>
    <t>To install a geothermal heating ystem to supply the space heating and domestic hot water</t>
  </si>
  <si>
    <t>Fogarty's Quick Pick</t>
  </si>
  <si>
    <t>Installation of 9 sq m. of evacuated tube solar collectors.</t>
  </si>
  <si>
    <t>Installation of 22 sq m of flat plate solar collectors.</t>
  </si>
  <si>
    <t>Newbridge Golf Club</t>
  </si>
  <si>
    <t>40 kw pellet boiler with 1250 Buffer suppling underfloor heating and hot water._x000D_Pellet storage 5.5 ton._x000D_</t>
  </si>
  <si>
    <t>Coolcarrigan</t>
  </si>
  <si>
    <t>Coolgarrigan is a guest house. The house dates back to the 18th century It has previously been heated using a 120kW oil burner. It plans to install a new 100 kW wood chip burner and fuel store._x000D_ The objectives and rationale for considering biomass boiler</t>
  </si>
  <si>
    <t>Lesley Fennell</t>
  </si>
  <si>
    <t>Installation of a 150 kW biomass boiler.</t>
  </si>
  <si>
    <t>Irish Equine Centre</t>
  </si>
  <si>
    <t>Feasibility study on investigating the use of heat recovery systems together with biomass boilers and solar panels to replace existing oil fired boilers</t>
  </si>
  <si>
    <t>Jagrel Ltd</t>
  </si>
  <si>
    <t>Installation of 11.164m2 of evacuated tube solar panels.</t>
  </si>
  <si>
    <t>Ryeview B&amp;B</t>
  </si>
  <si>
    <t>Installation of 14.14m2 of flat plate solar panels</t>
  </si>
  <si>
    <t>Maynooth Town Football Club</t>
  </si>
  <si>
    <t>Installation of 37.6 sq m of flat plate solar collectors</t>
  </si>
  <si>
    <t>Remote Gesture recognition Device for Automotive Vehicles</t>
  </si>
  <si>
    <t>To develop a prototype handheld car key/entry device that has a sensor to detect the hand gestures of the user who is inside/outside the car, to activate/deactivate a range of functions of the car remotely</t>
  </si>
  <si>
    <t>Automated Detection of Environmental Effects on WiMAX Propagation (ADEEP)</t>
  </si>
  <si>
    <t>This project proposes to extract information laready present in the WiMAX network regarding the wireless propagation charcteristics for each user and endeavour to develop algorithims which will detect development of new blackspots.</t>
  </si>
  <si>
    <t>Long-term In-VIVO Elecrochemical (LIVE) Monitoring</t>
  </si>
  <si>
    <t>This project aims to bring prototype in-vitro sensors for NO and rCBF up to in-vivo standards</t>
  </si>
  <si>
    <t>A Novel Selection Maker for Transformation of Biotechnologyically Important Fungi.</t>
  </si>
  <si>
    <t>To prove that detected phenotypic effects in a gliT strain are a direct result of gliT gene deletion</t>
  </si>
  <si>
    <t>SUV Rollover / Tire Pressure Monitor</t>
  </si>
  <si>
    <t>To propose a real-time estimation algorithim that is based upon the observation that teh way a vehicle behaves is inherently linked with its centre of gravity</t>
  </si>
  <si>
    <t>Insecticidal toxins from the insect parasitic nemotode Steinernama carocapsae and their use in Agric</t>
  </si>
  <si>
    <t>Insecticidal toxins from the insect parasitic nemotode Steinernama carocapsae and their potentail use in Agriculture</t>
  </si>
  <si>
    <t>Proving the therapeutic potential of an insect virus protein</t>
  </si>
  <si>
    <t>Assessment of efficacy of oral admin of immune priming agents in honey bees.</t>
  </si>
  <si>
    <t>Assessment of efficacy of oral administration  of immune priming agents to prevent and eradicate infection in honey bees.</t>
  </si>
  <si>
    <t>Hit Optimisation for Insulin resistance and Type 2 Diabetes</t>
  </si>
  <si>
    <t>To optimise the hits to leads using crystallographic analysis of drug-RBP complexes, syntheses of derivatives based on these structures, and in vitro analyses to eatblish robust structure/activity realtionships.</t>
  </si>
  <si>
    <t>Tinnitus Rehabiliataion through Auditory Sensory Substitution</t>
  </si>
  <si>
    <t>Closed-Loop Ga,e State Replication Method for Peer-to-Peer Networked Multiplayer Games</t>
  </si>
  <si>
    <t>The project aims to develop to the level of licensable technology a method by which game stst replication can be achieved across multiplayer computer games in a dynamic and adaptive fashion.</t>
  </si>
  <si>
    <t>The Development of a Highly Selective &amp; Sensitive Dopamine Sensor for Biomedical Application</t>
  </si>
  <si>
    <t>The project proposes to form novel materials consisting of a conducting polymer doped with macrocyclic cages and to emply these materials to sense dopamine in a highly selective and sensitive manner.</t>
  </si>
  <si>
    <t>Commercialisation of Maynosin</t>
  </si>
  <si>
    <t>The project outlines a series of actions to determine teh precise suitibility of Maynosin for commercial exploitation (including in vivo efficacy), and details the pathway to licencing</t>
  </si>
  <si>
    <t>Development of a novel nanoscale materials for the sensing of nitrates</t>
  </si>
  <si>
    <t>In this project the researchers address the instability by developing a novel nitrate sensor that is robust, highly selective to nitrates, is capable of sensing nitrates at low concentrations and is highly stable.</t>
  </si>
  <si>
    <t>Chemical Hit Discovery for Insulin Resistance and Type 2 Diabetes</t>
  </si>
  <si>
    <t>This project will identify small chemical compounds (hits) which will reduce plasma RBP, abrogate its biological effects and in so doing, restore insulin sensitivity and prevent the development of type 2 diabetes.</t>
  </si>
  <si>
    <t>System &amp; Tech. for delivery of therapeutic molcules to the lungs based on an electrospray bombarment</t>
  </si>
  <si>
    <t>Develop a novel device, RespirEfector, which will enable DNA, siRNA and other therapeutic molecules to be delivered to cells in vivo for the purpose of research and therapy.</t>
  </si>
  <si>
    <t>Biosensor technologies for Neurochemical Applications (BTNA)</t>
  </si>
  <si>
    <t>To complete the technology development of a polystyrene-based biosensor prototype designed in the BioAnalytics Laboratory and to establish its commercial potential for real-time monitoring of trgeted neurochemicals in pre-clinical applications.</t>
  </si>
  <si>
    <t>Platforms for enabling the Next Generation of Software Defined Radios</t>
  </si>
  <si>
    <t>To develop a baseband controller unit that will allow one to combine existing SDR technologies into a cohesion technolgy platform. To develop a low-cost high-speed pc-standard communications interface to enable wideband SDR systems</t>
  </si>
  <si>
    <t>Novel biomarker application for the detection of infection with Aspergillus fumigatus</t>
  </si>
  <si>
    <t>To develop novel test systems for , and identify new antibody biomarkers of, infection, to enable detection of infection with, and exposure to, Aspergillus fumigatus.</t>
  </si>
  <si>
    <t>Electrochemical Biosensors for medical Applications (EBMA)</t>
  </si>
  <si>
    <t>To completely characterise the sensors for in-vivo application, to further increase sensitivity so that sensors can be used for in-vivo neuronal activity detection and to commercialise these sensors through licencing them to a NUIM start-up company.</t>
  </si>
  <si>
    <t>Control of an array of wave energy devices for electricity production</t>
  </si>
  <si>
    <t>The project aims to achieve a software being able to simulate an array of axisymmetric surface wave energy converters.</t>
  </si>
  <si>
    <t>Novel biomaker application for the detection of infection with Aspergillus fumigatus</t>
  </si>
  <si>
    <t>To develop novel test systems for, and identify new antibody biomakers of infection, to enable detection with, and exposure to, Aspergillus fumigatus.</t>
  </si>
  <si>
    <t>Platforms for enabling the Next Generation of Software Defined Radios.</t>
  </si>
  <si>
    <t>To develop a baseband controller unit that will allow one to combine existing SDR technologies into a cohesion technology platform. To develop a low-cost high-speed pc-standard communications interface to enable wideband SDR systems.</t>
  </si>
  <si>
    <t>System &amp; Technology for delivery of therapeutic molecules to teh lungs on an electrospray bombardmen</t>
  </si>
  <si>
    <t>Develop a novel device, RespirEfector, which will enable DNA, siRNA and other therapeutic molecules to be delivered to cells in-vivo for the purposes of research and therapy.</t>
  </si>
  <si>
    <t>Long-term In-Vivo Electrochemical (LIVE) Monitoring: Application in BAM relevant to Drug Discovery.</t>
  </si>
  <si>
    <t>LIVE-BAM this project proposes to address the question "why might pre-clinical behavioural neuroscience fail CNS drug discovery", by using LIVE sensors and techniques to detect in real-time signalling substances released from nerve cells onto the ECF.</t>
  </si>
  <si>
    <t>Tinnitus Rehabilitation through Auditory Sensory Substitution</t>
  </si>
  <si>
    <t>The project aims to form a start-up company to develop biomedical devices aimed initially at the rehabilitation of Tinnitus and later the at other illusory perceptua isorders including Phatom Limb Snydrom.The device - Tinnitus Rehabilitation Device will train the brain to discriminate between real sounds and the imaginary sounds arising from Tinnitus.</t>
  </si>
  <si>
    <t>Hit Optimisation for Insulin resistenance and Type 2 Diabetes.</t>
  </si>
  <si>
    <t>To optimise the hits to leads using crystallographic analysis of drug-RBP complexes, syntheses of derivatives based on these structures, and in-vivtro analyses to establish robust structure/activity relationships.</t>
  </si>
  <si>
    <t>Proving the therapeutic potentail of an insect virus protein.</t>
  </si>
  <si>
    <t>To identify new approaches to regulate exaggerated and /chronic incurable inflammatory based diseases. This project proposes viral Pellino as one strategy to regulate exaggerated/chronic inflammatory responses.</t>
  </si>
  <si>
    <t>SUV Rollover/ Tire pressure Monitor</t>
  </si>
  <si>
    <t>To propose a real-time estimation algorithim that is based upon the observation that the way vehicle behaves is inherently linked with its centre of gravity.</t>
  </si>
  <si>
    <t>Commercialisation of test for dectection of Aspergillosis in both human and veterinary species</t>
  </si>
  <si>
    <t>Identify and contact clinicians working directly with patient groups; Assess market potential for tests;conduct market research</t>
  </si>
  <si>
    <t>O2 and pH Sensor Design, Deveolpment and Characterisation</t>
  </si>
  <si>
    <t>Investigate the most suitable solid-state electrode for clinical O2 sensor; Development of a pH sensor which operates by monitoring the electrochemical redox activity of the p-quinone moiety of surface-bounnd Fast Blue RR as a function of pH; Pre-clinical in-vivo testing of O2 and pH sensors</t>
  </si>
  <si>
    <t>Digital Sound Mark DSM</t>
  </si>
  <si>
    <t>To develop prototypes that integrate seamlessly into stakeholders' systems in the music recordign industry and offer them benefits above and beyond what competitors offer.</t>
  </si>
  <si>
    <t>In Vivo Translation of a novel Platform Tech: electrospray-medicated Endoscopic Diagnosis of Lung Ca</t>
  </si>
  <si>
    <t>Product and Market Awareness study; Industry analysis of the end-users; Exploration of the commercialisation route to licencing.</t>
  </si>
  <si>
    <t>DSV Road Ltd</t>
  </si>
  <si>
    <t>upgrade lighting &amp; controls</t>
  </si>
  <si>
    <t>Wyeth Medica Ireland</t>
  </si>
  <si>
    <t>The grantee will carry out an energy efficient design review</t>
  </si>
  <si>
    <t>Green Isle produces a range of food &amp; has a 20104sqm plant in Naas &amp; a 2717sqm plant in Guteen,The aim of the project was to install Air Compressor Variable speed drives in Naas &amp; Gurteen, using exisiting thermal load to load to reduce boiler load for office heating in Naas, optimize aeration on effluent system. Improve refrigeration efficiency.</t>
  </si>
  <si>
    <t>Intel Ireland Ltd</t>
  </si>
  <si>
    <t>The project involved installing a heat exchanger, heating controls, valves &amp; a Prompary pump in the IR1 Data Centre to generate energy savings of 888523KWh per year.</t>
  </si>
  <si>
    <t>Gren Isle Foods Ltd</t>
  </si>
  <si>
    <t>Install "Vulganus Iceless" AC units to the blast freezers, Retrofit floating head pressure for free\er plants and optimise condenser in Naas refrigeration.</t>
  </si>
  <si>
    <t>Irish Dog Foods Ltd</t>
  </si>
  <si>
    <t>Install air handling unit in the drying rooms, Upgrade two gas cookers with energy efficient cookers, Install occupancy controls and lux level controlled switching</t>
  </si>
  <si>
    <t>Hewlet Packard (Manufacturing) Ltd</t>
  </si>
  <si>
    <t>External lighting upgrade, Chiller upgrade with sequence controller and Installation of a vacuum pupm control.</t>
  </si>
  <si>
    <t>Moyvalley Meats (Irl)</t>
  </si>
  <si>
    <t>The grantee will carry out hot water boiler optimization.</t>
  </si>
  <si>
    <t>QK Cold Stores Ltd</t>
  </si>
  <si>
    <t>The Grantee will carry out site steam generation efficiency upgrade, site heat recovery, addition of meters to energy monitoring system, upgrade the lighting,cladding and windows in QK Cold Stores offices, Site fork truck chargin efficiency improvement and Energy monitoring system.</t>
  </si>
  <si>
    <t>Simply Soups Ltd</t>
  </si>
  <si>
    <t>Dawn Farms heat recovery, falling film evaporator, scrape surface heat exchanger, VSD for high temperature refrigeration compressor, steam reduction project, blow-down recovery from TDS, Cooling water heat recovery, Transportation pilot scheme, M&amp;T installation, Lighting upgrade, PC desktop power maangement</t>
  </si>
  <si>
    <t>Website Development Grant/ Measure 2</t>
  </si>
  <si>
    <t>Grant to client towards cost of developing a website. No admin costs included.</t>
  </si>
  <si>
    <t>National Enterprise Awards/ Measure 2</t>
  </si>
  <si>
    <t>Contribution to National Enterprise Awards</t>
  </si>
  <si>
    <t>Student Enterprise Awards/ Measure 2</t>
  </si>
  <si>
    <t>Business training for Senior Cycle Students who participate in the CEB  Enterprise Awards</t>
  </si>
  <si>
    <t>Management Development Program/Measure 2</t>
  </si>
  <si>
    <t>26 Week program certified by Waterford Institure of Technology, sophisticated yet highly practical programme, which combines management theory, powerful peer learning, networking and action learning approaches.</t>
  </si>
  <si>
    <t>Business Development Program/Measure 2</t>
  </si>
  <si>
    <t>Follow on program to Management Development Program</t>
  </si>
  <si>
    <t>Women in Business/ Measure 2</t>
  </si>
  <si>
    <t>Women in business network costs. Monthly/Bi-Monthly meetings held, guest speaker on different topic at each meeting.  Meeting restriced to women in business only.  No admin expenses are attached to claim and vouched expenses are on file if required for checking.</t>
  </si>
  <si>
    <t>Advertising &amp; Promotion/ Measure 2</t>
  </si>
  <si>
    <t>Advertising and promotion costs relating to M2 activity In the Spring and Autumn of each year we advertise our training programs by means of a printed brochure, local papers and local radio.Correct logos included on all advertising. No admin costs included .</t>
  </si>
  <si>
    <t>Marketing &amp; Sales Training/ Measure 2</t>
  </si>
  <si>
    <t>Sucessful selling, Marketing for profit and Market research training courses for CEB clients.</t>
  </si>
  <si>
    <t>Start Your Own Business Program/ Measure 2</t>
  </si>
  <si>
    <t>business training program for those wishing to start a business in Kildare</t>
  </si>
  <si>
    <t>Business Skills Training/Measure 2</t>
  </si>
  <si>
    <t>Business skills and advanced business skills training programs</t>
  </si>
  <si>
    <t>HR Training/ Measure 2</t>
  </si>
  <si>
    <t>Employment Law and recruiting and managing staff training courses for small businesses in Kildare. No Admin costs included.</t>
  </si>
  <si>
    <t>Finance Training/Measure 2</t>
  </si>
  <si>
    <t>Cashflow Management Training for clients . (small businesses in Kildare whom are CEB Clients)</t>
  </si>
  <si>
    <t>Communications/Measure 2</t>
  </si>
  <si>
    <t>Communications and assertiveness course</t>
  </si>
  <si>
    <t>Mentoring/ Measure 2</t>
  </si>
  <si>
    <t>Mentoring provided to CEB clients ie Small businesses in Kildare</t>
  </si>
  <si>
    <t>PR</t>
  </si>
  <si>
    <t>Pr for small business</t>
  </si>
  <si>
    <t>IT</t>
  </si>
  <si>
    <t>Desktop publishing training course</t>
  </si>
  <si>
    <t>Soft Skills</t>
  </si>
  <si>
    <t>Various soft skills programs ie. time management,personal development, write your own business plan &amp; writing winning tenders.</t>
  </si>
  <si>
    <t>Workshop/Training/Measure 2</t>
  </si>
  <si>
    <t>One off training workshops for small business in Kildare for example office procedures, successful networking, motivating staff, managing your business throught the recession</t>
  </si>
  <si>
    <t>Owner Manager Network Program/ Measure 2</t>
  </si>
  <si>
    <t>Follow up program for management development program participants</t>
  </si>
  <si>
    <t>Health &amp; Safety Program/ Measure 2</t>
  </si>
  <si>
    <t>HACCP/Safety statement training for small businesses in Kildare . No Admin costs included</t>
  </si>
  <si>
    <t>Enterprise Encounter/Measure 2</t>
  </si>
  <si>
    <t>Primary School Enterprise Program</t>
  </si>
  <si>
    <t>Glassco Recycling Ltd/Cap</t>
  </si>
  <si>
    <t xml:space="preserve">Glass recycling </t>
  </si>
  <si>
    <t>Amvic Ireland/Cap</t>
  </si>
  <si>
    <t>Manufacture of Construction industry product</t>
  </si>
  <si>
    <t>Re- Imagine Ltd/Empl</t>
  </si>
  <si>
    <t>On-line signage design &amp; manufacture</t>
  </si>
  <si>
    <t>Valant Ltd/Cap</t>
  </si>
  <si>
    <t>Virtual office service</t>
  </si>
  <si>
    <t>Kelmel Ltd/Cap</t>
  </si>
  <si>
    <t>Manufacture of wood pellets</t>
  </si>
  <si>
    <t>Athy Payroll Bureau/Empl</t>
  </si>
  <si>
    <t>Payroll &amp; book-keeping service</t>
  </si>
  <si>
    <t>Fogarty Fencing Ltd/Cap</t>
  </si>
  <si>
    <t>Manufacture of PVC Fencing</t>
  </si>
  <si>
    <t>Pinball Alley Adventure Golf/Cap</t>
  </si>
  <si>
    <t>Childrens Recreation centre</t>
  </si>
  <si>
    <t>Classic Technology Ltd/Cap</t>
  </si>
  <si>
    <t>Specialised Calibration services</t>
  </si>
  <si>
    <t>Premier Aviation Services/Empl</t>
  </si>
  <si>
    <t>helicopter emergency medical service</t>
  </si>
  <si>
    <t>Martinstown Holistic centre/Cap</t>
  </si>
  <si>
    <t>Training centre for holistic therapists</t>
  </si>
  <si>
    <t>Clane Business School/Empl</t>
  </si>
  <si>
    <t>Business School/College that delivers accounting courses, computer courses</t>
  </si>
  <si>
    <t>Electric Studio/Empl</t>
  </si>
  <si>
    <t>Studio &amp; recording service</t>
  </si>
  <si>
    <t>National Broadband Ltd/Cap</t>
  </si>
  <si>
    <t>Telecommunication services</t>
  </si>
  <si>
    <t>Nth Degree Ltd/Cap</t>
  </si>
  <si>
    <t xml:space="preserve"> Specialised visualisation technology service</t>
  </si>
  <si>
    <t>Paradigm Plastics Ltd/Cap</t>
  </si>
  <si>
    <t>Manufacture of  range of moulded plastic components</t>
  </si>
  <si>
    <t>Joden Linings/Cap</t>
  </si>
  <si>
    <t>Spray -on polyurethane protective lining</t>
  </si>
  <si>
    <t>Primary School Enterprise Education Program.  Students are asked to setup a music production company, select a no. 1 selling CD single, find the performers and record and produce the single, sell the single to cover the costs and make a profit.</t>
  </si>
  <si>
    <t>Plus Point Solutions Ltd/Empl</t>
  </si>
  <si>
    <t>Purchasing solutions provider</t>
  </si>
  <si>
    <t>Irish Biotech Systems/Feas</t>
  </si>
  <si>
    <t>Assess feasibility of a support service provider to the landfill industry</t>
  </si>
  <si>
    <t>Vacuum Pressure Services Ltd/Empl</t>
  </si>
  <si>
    <t>Provision of Vacuum &amp; compressed air technology</t>
  </si>
  <si>
    <t>Imperative Energy Ltd/Empl</t>
  </si>
  <si>
    <t>renewable energy services &amp; products</t>
  </si>
  <si>
    <t>Outside the Box Ltd/Cap</t>
  </si>
  <si>
    <t>Production of a range of educational resources</t>
  </si>
  <si>
    <t>JT Engineering/Cap</t>
  </si>
  <si>
    <t>Restoration of Steam Engines &amp; vintage machinery</t>
  </si>
  <si>
    <t>Excel Gymnastics/Feas</t>
  </si>
  <si>
    <t>Assess viability of proposed gymnastics centre</t>
  </si>
  <si>
    <t>E-Business/ Measure 2</t>
  </si>
  <si>
    <t>E-Business for your Business training course and Search Engine Optimisation workshop. no admin costs are included</t>
  </si>
  <si>
    <t>General Management Training/measure 2</t>
  </si>
  <si>
    <t>General management training ie time management, trading in a recession, writing tenders, stress management, customer service, business writing skills. No Admin costs included in this project.</t>
  </si>
  <si>
    <t>Enterprise week - we have the Enterprise Bus in different locations in the county for the week with mentors and Enterpise Board sfaff on board.</t>
  </si>
  <si>
    <t>Marketing Assistance/ Measure 2</t>
  </si>
  <si>
    <t>Financial assistance for clients towards costs of marketing their company/product</t>
  </si>
  <si>
    <t>Newsletter/ Measure 2</t>
  </si>
  <si>
    <t>Newsletter featuring recent news ie student enterprise winners, profile of a client and any other relevant news at the time of issue including Measure 2 training. correct logos displayed . No admin costs included.  Design and printing of newletter only included in this cost.</t>
  </si>
  <si>
    <t>Castledermot Childcare Ltd/Empl</t>
  </si>
  <si>
    <t>Childcare /Creche Facility_x000D_ 3 Full time jobs</t>
  </si>
  <si>
    <t>Gargoyles Cafe Ltd/Empl</t>
  </si>
  <si>
    <t>Manufacture of homemade goods such as chutneys, jams, sauces, breads and cakes using locally sourced organic produce</t>
  </si>
  <si>
    <t>Kildare Nursery Growers Ltd/Empl</t>
  </si>
  <si>
    <t>Group of people who came together to create a platform that would assist Nursery Company's in Kildare to promote and sell their products nationwide.</t>
  </si>
  <si>
    <t>Express Curtain Making Services/Empl</t>
  </si>
  <si>
    <t>Once off hand made window cutrains and accessories</t>
  </si>
  <si>
    <t>Garvan de Bruir/Capt</t>
  </si>
  <si>
    <t>Design and manufacture of bespoke furniture to commission</t>
  </si>
  <si>
    <t>Re-Imagine/Capt</t>
  </si>
  <si>
    <t>complete sign solution to include survey , design and manufacture of signage for small business</t>
  </si>
  <si>
    <t>Gavan O'Donnell/Empl</t>
  </si>
  <si>
    <t>Web based IT helpdesk solution for IT service management. 4 jobs created</t>
  </si>
  <si>
    <t>Dunmurray Foods Ltd/ Emp</t>
  </si>
  <si>
    <t>Manufacture of a range of pizza products which included frozen pizza's , parbaked pizza bases and pizza kits employing 11 people.</t>
  </si>
  <si>
    <t>Dermot O'Shea t/a Artel/ Emp</t>
  </si>
  <si>
    <t>Manufacture of custom picture frames for the hospitality industry and corporate sector.</t>
  </si>
  <si>
    <t>Adrian McGibbon/Empl</t>
  </si>
  <si>
    <t>Provision of a range of sales &amp; marketing products.  Digital enhanced covers for satellite dishes.  (Digital photo taken of area dish is to be erected in)</t>
  </si>
  <si>
    <t>Athy Community Enterprise/BE</t>
  </si>
  <si>
    <t>Community Enterprise Centre to facilitate the start-up of small scale enterprises. The centre provides low cost office space and shared secretarial services for a number of enterprises.</t>
  </si>
  <si>
    <t>Blade Runner Ltd/BE</t>
  </si>
  <si>
    <t>Blade Runner Ltd sharpens and supplies guillotine blades used for cutting paper on an industrial scale for the print industry.</t>
  </si>
  <si>
    <t>Elizabeth &amp; Claire/Priming</t>
  </si>
  <si>
    <t>New Fashion Brand synonymous with quality and value.  Will bring a fresh outlook to contemporary Irish professional ladies fashion.  Design, manufacture and sale._x000D_</t>
  </si>
  <si>
    <t>Employee Health/BE</t>
  </si>
  <si>
    <t>Mobile Health clinic (workplace health screening specialists)New employee needed to service new contract from VHI.</t>
  </si>
  <si>
    <t>Hidbin Ltd/Priming</t>
  </si>
  <si>
    <t>Flat packed, portable, wind resistant screening frame to camouflage wheelie bins.</t>
  </si>
  <si>
    <t>Irish Medical Information/Empl</t>
  </si>
  <si>
    <t>Produce content that educates doctors and other healtcare professionals</t>
  </si>
  <si>
    <t>Irish Point to Point Services Ltd/BE</t>
  </si>
  <si>
    <t>Website and printing for Irish Point to Point racing.  They have recently started to print racecards and require extra employee to facilitate the growth in this area.</t>
  </si>
  <si>
    <t>John Delaney/Feasibility</t>
  </si>
  <si>
    <t>Internet learning platform accesible from web browsers and mobile devices such as iphones</t>
  </si>
  <si>
    <t>Karen Owens Design &amp; Display/Empl</t>
  </si>
  <si>
    <t>Design, manufacture and supply of product tickets, posters and all types of signage to retailers</t>
  </si>
  <si>
    <t>Kevin Hallahan/Feasibility</t>
  </si>
  <si>
    <t>Rain water collection, distribution and purification system</t>
  </si>
  <si>
    <t>Kildare Farm Foods/Expansion</t>
  </si>
  <si>
    <t>Production and distribution of turkey,chicken and other meat products,</t>
  </si>
  <si>
    <t>MF Cunningham &amp; Associates/FIG</t>
  </si>
  <si>
    <t>Manufacture of a range of linear low density polyethylene, prestretched, pallet wraps.</t>
  </si>
  <si>
    <t>Murray Imaging Studios/Expansion</t>
  </si>
  <si>
    <t>A museum quality giclee printing and archiving service to artists, photographers and galleries.</t>
  </si>
  <si>
    <t>Natures Oils Ltd/Expansion</t>
  </si>
  <si>
    <t>Food Manufacturing &amp; Processing.  Product range:- tomato ketchup and mayonnaise fro restaurant, fast food and hotel markets.  Permited uco collection service.  Supply of oils for the food manufactring industry.</t>
  </si>
  <si>
    <t>Precision Image/Empl</t>
  </si>
  <si>
    <t>Assembly and supply of portable display stands along with other personalised display and point of sale systems</t>
  </si>
  <si>
    <t>Prism Lighting/BE</t>
  </si>
  <si>
    <t>Manufacture high quality self-contained emergency lighting equipment, provide lamping services and supply maintenanceb and commissioning services to commercial businesses on their emergency lighting systems.</t>
  </si>
  <si>
    <t>Quest Events Ltd/Expansion</t>
  </si>
  <si>
    <t>Web based local tv station that promotes local business and events - 2 additional jobs supported_x000D_</t>
  </si>
  <si>
    <t>Sanalyse Technologies Ltd/Empl</t>
  </si>
  <si>
    <t>Installation of analytical software onto major data centre systems that will contantly monitor, alert and generate reports on performance and resource utilisation levels at each component within the overall data system infrastructure.</t>
  </si>
  <si>
    <t>Shield Health Ltd/Expansion</t>
  </si>
  <si>
    <t>Development and marketing of a Vitamin D Product for babies</t>
  </si>
  <si>
    <t>Business Game.ie/Measure 2</t>
  </si>
  <si>
    <t>The Small Business Game is an online interactive simulation that givesn students the experience of running their own sports shop._x000D_</t>
  </si>
  <si>
    <t>Business Advice Tool/Measure 2</t>
  </si>
  <si>
    <t>An Online business advice tool where users can avail of business advice on a secure site.  This service is provided by Nubie, the CEB purchases vouchers from Nubie and distributes them to relevant clients to allow them to use the tool.</t>
  </si>
  <si>
    <t>Business Network/Measure 2</t>
  </si>
  <si>
    <t>Business network (Linkedin Group) - venue costs for network events</t>
  </si>
  <si>
    <t>Conference/Measure 2</t>
  </si>
  <si>
    <t>Contribution toward a conference's organised in conjunction with North Kildare Chamber.  Conferences organised by ourselves for small business in Co Kildare</t>
  </si>
  <si>
    <t>Exhibition Expenses/Measure 2</t>
  </si>
  <si>
    <t>Expenses for various exhibitions - for a client to attend showcase &amp;   a client to attend a food &amp; wine christmas fair._x000D_</t>
  </si>
  <si>
    <t>Google Project/Measure 2</t>
  </si>
  <si>
    <t>Joint initative between Google, Enterprise Boards, An Post and Blacknight where small business could go on a create their own basic website_x000D_
Costs are training associated with this initative.</t>
  </si>
  <si>
    <t>Asgard Industrial Systems/BE</t>
  </si>
  <si>
    <t>Offers design and technical support to customers in the Pharamceutical, Dairy/Food, building services and process industries.</t>
  </si>
  <si>
    <t>CapCon Engineering Ltd/Priming</t>
  </si>
  <si>
    <t>Technologically driven solutions to the drainage challenges provided by modern architecture.  4 Full time Jobs.</t>
  </si>
  <si>
    <t>Classic Technology Ltd/BE</t>
  </si>
  <si>
    <t>Instrumentation calibration Laboratory for Pharmaceutical Industry</t>
  </si>
  <si>
    <t>Horsebedding Ltd/Priming</t>
  </si>
  <si>
    <t>Manufacture and distribution of animal bedding for the equine industry and poulty industry</t>
  </si>
  <si>
    <t>Hose &amp; Couplings Ireland Ltd/BE</t>
  </si>
  <si>
    <t>Specalist company designing hydraulic systems and manufaturing hose assemblies for the industrial and agricultural market sectors.</t>
  </si>
  <si>
    <t>Irish Books Direct/Priming</t>
  </si>
  <si>
    <t>State of the art online book site, which will focus on the promotion and sales of Irish books and authors geared almost exclusively at the export market.</t>
  </si>
  <si>
    <t>Medical Billing Ltd/Priming</t>
  </si>
  <si>
    <t>Web based unique database solution for medical consultants and private hospitals to process a claim form for an episode of private medical care, producing a completed claim form and invoice for the relevant medical insurance body. 3 full time jobs supported at a cost of €40,000 and €4,400 toward website devl. costs</t>
  </si>
  <si>
    <t>North Atlantic Lobster Co/Priming</t>
  </si>
  <si>
    <t>Import, process and distribute live American lobster to the EU.</t>
  </si>
  <si>
    <t>Glas Energy Techno/Priming</t>
  </si>
  <si>
    <t>Develop and  produce a hardware and software product for data logging/metering use in Smart Energy applications</t>
  </si>
  <si>
    <t>Retronix Semiconductor/Priming</t>
  </si>
  <si>
    <t>Provide engineering services to the semiconductor industry including the provision of highly skilled staff augmentation services, decommission and installation services to semiconductor device manfuacturing companies and equipment manufacturers in addition to part and equipment refurbishing services. 2 additional jobs supported - €7,500 paid for each position and 1 years rent @ 50% €9,000</t>
  </si>
  <si>
    <t>Sea Change Ltd/BE</t>
  </si>
  <si>
    <t>SeaChange is a unique communication system around best practice for improved perfromance and results.  It is world class, and is relevant to businessess across the range from SME's to large multimational coroporates.  It is applicable in the areas of operations management, housekeeping, security, food hygiene and health &amp; safety.  The SeaChange system promrises of products (bvisual display cards &amp; boards, user manuals, training (behaviours &amp; performance) and systems models (according to client).</t>
  </si>
  <si>
    <t>Taggmobile.com/Feasibility</t>
  </si>
  <si>
    <t>Set up a service which will enable mobile smartphone business users to track, manage and onward bill their phone time and usage.</t>
  </si>
  <si>
    <t>Voice Engineering Irl Ltd/Priming</t>
  </si>
  <si>
    <t>Enterprise telephone and communication services, dealing primarily with the large enterprise customers that have Siemens telephone systems.  3 jobs supported.</t>
  </si>
  <si>
    <t>B2B communications services business specialising in the support for business telephone systems, initially targeting the larger enterprise customers that have Siemens telephone systems. 2 additonal jobs supported.</t>
  </si>
  <si>
    <t>Website Development Grant/Measure 2</t>
  </si>
  <si>
    <t>Website Development grants paid at a rate of 50% of eleigible expenditure subject to a maximum amount.</t>
  </si>
  <si>
    <t>"I Do" Weddings by Laura Leigh/Expansion</t>
  </si>
  <si>
    <t>Design and manufacture of Laura Leigh bridal wear.</t>
  </si>
  <si>
    <t>Balm Productions Ltd/Priming</t>
  </si>
  <si>
    <t>Production and sale of a musical concept stage show called IAMO - The Italian Love Story</t>
  </si>
  <si>
    <t>Childcare Training/Measure 2</t>
  </si>
  <si>
    <t>Specific training provided to childcare clients through the childcare committee, eg Occupational First Aid for childcare providers, Business Skills for childcare providers, Health &amp; Safety in Childcare, Basic Food Hygiene, Manual Handling.</t>
  </si>
  <si>
    <t>Beauty Results Ltd/Expansion</t>
  </si>
  <si>
    <t>Manufacture and distributions of organic self tanning products</t>
  </si>
  <si>
    <t>CapCon Engineering Ltd/Expansion</t>
  </si>
  <si>
    <t>Rainwater drainage sytems - Siphonic &amp; Gravity, Rainwater harvesting systems, Rainwater attenuation, Pipe lining technology.</t>
  </si>
  <si>
    <t>Classic Technology Ltd/Expansion</t>
  </si>
  <si>
    <t>UKAS approved calibration facility - expand the current operation to include MASS calibration lab.</t>
  </si>
  <si>
    <t>Emerald Aquatic Wholesale Distribution/Priming</t>
  </si>
  <si>
    <t>Breeding of tropical, marine and coldwater fish for sale to pet shops</t>
  </si>
  <si>
    <t>GH Pittman Ltd/Expansion</t>
  </si>
  <si>
    <t>Two websites that offer a wide range of traffic &amp; safety equipment to the Irish and UK markets</t>
  </si>
  <si>
    <t>Kyron Innovative Technologies/Priming</t>
  </si>
  <si>
    <t>Portfolio of services that compliment each other provided to highend electronic and pharmaceutical clients that allow the transition between construction and manufacturing to be smooth, fast and reliable.</t>
  </si>
  <si>
    <t>Missy Moo's Limited/Expansion</t>
  </si>
  <si>
    <t>Ice cream manufacturing which supplies hotels, restaurants, cafes.</t>
  </si>
  <si>
    <t>Process &amp; Instrumentation Products/Expansion</t>
  </si>
  <si>
    <t>The design, building and testing of modular energy management systems used to monitor record and analyse gas, water and ESB usage.</t>
  </si>
  <si>
    <t>Ryevalley Fabricators Ltd/FSG</t>
  </si>
  <si>
    <t>Obtain CE certification of their specially designed range of equipment for the fast food industry.</t>
  </si>
  <si>
    <t>Sea Change Ltd/Expansion</t>
  </si>
  <si>
    <t>Secret Cellar Limited/Expansion</t>
  </si>
  <si>
    <t>Design &amp; manufacture of "Secret Cellar" wine by the glass cabinets and systems for the local and export markets.  The cabinet provides control over the amount of wine dispensed using a calibrate electronic measure.</t>
  </si>
  <si>
    <t>Sweet Spot Sourcing Ltd/Priming</t>
  </si>
  <si>
    <t>Provides clients with a complete design and sourcing service for promotional products that support the sales and marketing of their core products.</t>
  </si>
  <si>
    <t>Glas Energy/Measure 2</t>
  </si>
  <si>
    <t>Participation of client in SEAI Energy Show in the RDS</t>
  </si>
  <si>
    <t>NUIM Cycle 4 Humanities Serving Irish Society (HSIS)</t>
  </si>
  <si>
    <t>NUIM Cycle 4 National Programme of Research on Knowledge, Innovation, Society and Space (KISS)</t>
  </si>
  <si>
    <t>This national research programme will focus on three inter-related areas:  _x000D_Innovation and the building of the knowledge society/economy. Social inclusion and the creation of sustainable communities. Spatial strategies and promoting balanced development and competitivenes</t>
  </si>
  <si>
    <t>KILDARE TOTAL</t>
  </si>
  <si>
    <t>Select Vestry of St Lachtains Church</t>
  </si>
  <si>
    <t>This church is in use by a very small congregation but is now beginning to increase slowly. It was previously heated by electric infra-red and mobile gas fired heaters. Both forms of these heating systems were totally unsuitable and eventually removed.</t>
  </si>
  <si>
    <t>Kilkenny</t>
  </si>
  <si>
    <t>Ballaghtobin Country House and B&amp;B</t>
  </si>
  <si>
    <t>It is proposed to use a 60KW woodchip boiler to heat the B&amp;B. It will be fuelled by willow which is grown on Gabbetts Farm._x000D_</t>
  </si>
  <si>
    <t>Denis Treacy &amp; Sons Ltd</t>
  </si>
  <si>
    <t>Installation of three 32 kW ground source heat pumps.</t>
  </si>
  <si>
    <t>Kells Resource Centre</t>
  </si>
  <si>
    <t>Installation of a 65 kW wood pellet boiler.</t>
  </si>
  <si>
    <t>Camphill Communities of Ireland</t>
  </si>
  <si>
    <t>Cu Chulainn Hurleys Ltd</t>
  </si>
  <si>
    <t>Installation of a 150kWHDG Compact boiler</t>
  </si>
  <si>
    <t>Install a solar water heater to provide hot water for the centre. Applied seperately for funding for a wood pellet/chip boiler._x000D_</t>
  </si>
  <si>
    <t>Tony Mullins</t>
  </si>
  <si>
    <t>To install vacumn tube solar panel &amp; highly inslulated cylinder/tank &amp; radiator, insulate walls &amp; ceiling of room where tank &amp; rad are located so as to form drying room. Hot water for washing horses. To replace badly insulated tank.</t>
  </si>
  <si>
    <t>Installation of 12.84 sq m of flat plate solar collectors.</t>
  </si>
  <si>
    <t>CDCD Network Limited</t>
  </si>
  <si>
    <t>Callan Community Network Limited</t>
  </si>
  <si>
    <t>Installation of a 200 kW woodchip boiler.</t>
  </si>
  <si>
    <t>Urlingford on the move Limited</t>
  </si>
  <si>
    <t>The project involves the installation of a 50kW multi-fuel biomass boiler and fuel store. The building has a floor area of 599.76m2 and a total estimated annual heat demand of 74970kWh.</t>
  </si>
  <si>
    <t>Roto Spiral Limited</t>
  </si>
  <si>
    <t>To provide heat to a rotary drum dryer to dry chip for further processing to make wood pellet. We require 6MW heat to be able to maximise the capacity of the dryer. _x000D_</t>
  </si>
  <si>
    <t>Eoin Griffin Racing Stables</t>
  </si>
  <si>
    <t>Installation of a 110kW wood chip boiler.</t>
  </si>
  <si>
    <t>Tullaroan Parish Development Group</t>
  </si>
  <si>
    <t>Installation of 34.56 sq m of flate plate solar collectors</t>
  </si>
  <si>
    <t>Mastercad Limited</t>
  </si>
  <si>
    <t>Installation of 2.791 sq m of evacuated tube solar collectors</t>
  </si>
  <si>
    <t>Rosquil House</t>
  </si>
  <si>
    <t>9 square metre vacuum tube solar water heating system, heating a 1000 litre Hygeinic DHW tank with external heat exchanger for hot water supply.</t>
  </si>
  <si>
    <t>The project involves the installation of 10m2 roof mounted solar panels. The building has a floor area of 599.76m2 and a total estimated annual domestic hot water heat demand of 10,810kWh.</t>
  </si>
  <si>
    <t>Installation of 3 m2 evacuated tube solar panels.</t>
  </si>
  <si>
    <t>College Rd. Filling Station</t>
  </si>
  <si>
    <t>This installation includes the supply fit and commission of solar collectors, associated pipework and cylinder. Installation of 6sq m of evacuated tube solar collctors.</t>
  </si>
  <si>
    <t>8 collectors (20 sq m)on south facing roof, heating a 1250ltr buffer suppling a 300lt DHW cylinder and underfloor heating</t>
  </si>
  <si>
    <t>Youngs Motor Holdings (Kilkenny) Ltd</t>
  </si>
  <si>
    <t>The grantee will install a 100kW wood pellet boiler at Waterford Road, Kilkenny</t>
  </si>
  <si>
    <t>Walter Walsh</t>
  </si>
  <si>
    <t>Installation of 6.42 m2 of flat plate solar panels.</t>
  </si>
  <si>
    <t>D Pellet Ltd</t>
  </si>
  <si>
    <t>Feasibility study on use of Biomass CHP to avail of Refit power generation prices and increase the plant biomass drying capacity.</t>
  </si>
  <si>
    <t>Kingsriver Community Holdings Ltd</t>
  </si>
  <si>
    <t>Installation of a 200kW wood chip boiler.</t>
  </si>
  <si>
    <t>Moneenroe community Council</t>
  </si>
  <si>
    <t>Installation of 2.6 m2 evacuated tube solar panels.</t>
  </si>
  <si>
    <t>L'Arche Community</t>
  </si>
  <si>
    <t>Installation of 7.216m2 flat plate solar panels.</t>
  </si>
  <si>
    <t>Dr James Ryan</t>
  </si>
  <si>
    <t>Installation of a 24 kW wood pellet boiler.</t>
  </si>
  <si>
    <t>Diageo Ireland</t>
  </si>
  <si>
    <t>The Project involved replacing main isolation values, upgrading IMS Distribution Manifold, Upgrading Chilled water distribultion, replacing existing control valuve on blled line adding pressure &amp; temp controls in Kilkenny Brewery &amp; in Waterford Brewery, new refrigeration system, installing meters to monitor electrical load, segregation of plant &amp; electrical equipment &amp; upgrading plant room</t>
  </si>
  <si>
    <t>Julian Berwick/Emp</t>
  </si>
  <si>
    <t>Design and Manufacture of High Fashion Shoes</t>
  </si>
  <si>
    <t>Hybrid Energy Solutions Limited/Emp</t>
  </si>
  <si>
    <t>Manufacture small off-grid generators, operated via Renewable Energy sources.</t>
  </si>
  <si>
    <t>Caroline Dolan/Emp</t>
  </si>
  <si>
    <t>Handmade Pottery Products and Craft Gallery</t>
  </si>
  <si>
    <t>Karen Morgan Ceramics/Emp</t>
  </si>
  <si>
    <t>Manufacture Handmade Pottery and Craft Gallery</t>
  </si>
  <si>
    <t>In a Dark Place Limited/Feas</t>
  </si>
  <si>
    <t>Reserach potential of mobile as a medium for teaching a foreign language.</t>
  </si>
  <si>
    <t>Brane Design Limited/Cap</t>
  </si>
  <si>
    <t>Design and manufacture of handcrafted jewellery.</t>
  </si>
  <si>
    <t>Sandra Nichol/Emp</t>
  </si>
  <si>
    <t>Childcare service (creche).</t>
  </si>
  <si>
    <t>Lorimer Creative Limited/Cap</t>
  </si>
  <si>
    <t>Service reproducing original art, artisitic prints and photographs on canvas.</t>
  </si>
  <si>
    <t>Tom Byrnes/Emp</t>
  </si>
  <si>
    <t>Design and publishing of childrens educational / activity fun packs.</t>
  </si>
  <si>
    <t>Robert Sloan/Emp</t>
  </si>
  <si>
    <t>Manufacture of Uillean Pipes.</t>
  </si>
  <si>
    <t>Michael Power/Emp</t>
  </si>
  <si>
    <t>Service refilling print inkjet and laser cartridges.</t>
  </si>
  <si>
    <t>Helena Darcy/Emp</t>
  </si>
  <si>
    <t>Manufacture Porcelain Dolls.</t>
  </si>
  <si>
    <t>Signiatec Limited/Cap</t>
  </si>
  <si>
    <t>Manufacture display structures.</t>
  </si>
  <si>
    <t>JP Monahan/Feas</t>
  </si>
  <si>
    <t>Research feasibility and design prototype of automatic horse feeder.</t>
  </si>
  <si>
    <t>The Ad Factory Limited/Cap</t>
  </si>
  <si>
    <t>Service producing radio and telephone audio solutions for the Irish market.</t>
  </si>
  <si>
    <t>Hey Diddle Diddle Creche/Emp</t>
  </si>
  <si>
    <t>Childcare service (montessori &amp; Creche).</t>
  </si>
  <si>
    <t>Nicholas Murphy/Emp</t>
  </si>
  <si>
    <t>Manufacture car panels.</t>
  </si>
  <si>
    <t>Ken Foley/Emp</t>
  </si>
  <si>
    <t>Manufacture of ladies bags and back-packs.</t>
  </si>
  <si>
    <t>Procon Vehicles Limited/Cap</t>
  </si>
  <si>
    <t>Service converting vehicles from panel vans to quality passenger vehicles.</t>
  </si>
  <si>
    <t>League Leader Development Limited/Emp</t>
  </si>
  <si>
    <t>Manufacture sports board game as merchandising product.</t>
  </si>
  <si>
    <t>Deborah Brownrigg-Shields/Emp</t>
  </si>
  <si>
    <t>Service providing customised nametag labels for childrens books and clothing.</t>
  </si>
  <si>
    <t>Noel Heary/Emp</t>
  </si>
  <si>
    <t>Provision of instrumention products and services mainly to pharmaceutical industry.</t>
  </si>
  <si>
    <t>Amy McDonald/Emp</t>
  </si>
  <si>
    <t>Local Tour Guide Service of local towns and historical sites.</t>
  </si>
  <si>
    <t>Premier First Aid Training Limited/Emp</t>
  </si>
  <si>
    <t>Provision of specialist First Aid Training.</t>
  </si>
  <si>
    <t>Trudi's Catering Kitchen/Cap</t>
  </si>
  <si>
    <t>Manufacture of homemade salads for supply to supermarkets.</t>
  </si>
  <si>
    <t>Natasha Riley/Emp</t>
  </si>
  <si>
    <t>Childcare Service (Montessori and after school care.)</t>
  </si>
  <si>
    <t>Damien Lennon/Emp</t>
  </si>
  <si>
    <t>Development of a tractor mounted Spray Arm for control of noxious weeds.</t>
  </si>
  <si>
    <t>Linda McKay/Emp</t>
  </si>
  <si>
    <t>Manufacture Handmade headwear and provision of craft workshops.</t>
  </si>
  <si>
    <t>Nicholas Howard/Feas</t>
  </si>
  <si>
    <t>Reserach feasibility and develop prototype attachment for digger to screen building material.</t>
  </si>
  <si>
    <t>Kilkenny Co-operative Mart/Cap</t>
  </si>
  <si>
    <t>Event Centre at Cillin Hill.</t>
  </si>
  <si>
    <t>Soltec Fabrications Limited/Cap</t>
  </si>
  <si>
    <t>Manufacture solid surfacing worktops for high-end kitchens, health related services, etc.</t>
  </si>
  <si>
    <t>McBride Car Parts/Feas</t>
  </si>
  <si>
    <t>Reserach viability of establishing service to recycle metal from cars that have reached the End of their Vehicle Life (EVL).</t>
  </si>
  <si>
    <t>Mark Carr/Feas</t>
  </si>
  <si>
    <t>Research feasibility of installing GHT units on River Suir.</t>
  </si>
  <si>
    <t>Provision of customised instrumentation solutions mainly to the pharmaceutical sector.</t>
  </si>
  <si>
    <t>Artists by Night/Emp</t>
  </si>
  <si>
    <t>Design and manufacture jewellery products.</t>
  </si>
  <si>
    <t>Keith Mosse Bespoke Furniture Limited/Emp</t>
  </si>
  <si>
    <t>Manufacture of high end bespoke furniture.</t>
  </si>
  <si>
    <t>Nail 2 Nail Fine Art Services/Emp</t>
  </si>
  <si>
    <t>Specialist service, installing and removing art, wall-hangings, etc. in galleries.</t>
  </si>
  <si>
    <t>Natural Power Supply Limited/Emp</t>
  </si>
  <si>
    <t>Provision of power supply from natural/renewable resources.</t>
  </si>
  <si>
    <t>Heidi Donelon/Feas</t>
  </si>
  <si>
    <t>Research feasibility of setting-up 'Irish Whiskey Trail.'</t>
  </si>
  <si>
    <t>Bolton Meats/Cap</t>
  </si>
  <si>
    <t>Manufacture range of specialist meat and poultry products.</t>
  </si>
  <si>
    <t>GL Alternative Solutions Limited/Feas</t>
  </si>
  <si>
    <t>Reserach feasibility of establishing a centre/service providing information/training on wide range of alternative energy sources.</t>
  </si>
  <si>
    <t>Mini-Mentor Programme 2007</t>
  </si>
  <si>
    <t>CEB251 - Mentor Programme.</t>
  </si>
  <si>
    <t>Specialist Support  Assistance 2007</t>
  </si>
  <si>
    <t>Specialist Support to assist clients undertake range of activities related to the development and growth of their business.</t>
  </si>
  <si>
    <t>General Promotion &amp; Information Dissemination 2007</t>
  </si>
  <si>
    <t>General promotional initiatives to create awareness of the CEB and information dissemination on the support services available.</t>
  </si>
  <si>
    <t>Student Enterprise Awards 2007</t>
  </si>
  <si>
    <t>Student Enterprise Awards Competition</t>
  </si>
  <si>
    <t>Spirit of Enterprise Week 2007</t>
  </si>
  <si>
    <t>Spirit of Enterprise week 2007</t>
  </si>
  <si>
    <t>Attendance at SHOP 2007</t>
  </si>
  <si>
    <t>SHOP Exhibition and Trade Fair 2007</t>
  </si>
  <si>
    <t>Enterprise Seminars 2007</t>
  </si>
  <si>
    <t>Enterprise and Information Seminars 2007</t>
  </si>
  <si>
    <t>National Enterprise Awards 2007</t>
  </si>
  <si>
    <t>National Enterprise Awards Competition 2007</t>
  </si>
  <si>
    <t>Achieving Work Life Balance Autumn 2007</t>
  </si>
  <si>
    <t>This programme will provide participants with the skills necessary to achieve work/life balance.</t>
  </si>
  <si>
    <t>The Art of Negotiation Autumn 2007</t>
  </si>
  <si>
    <t>The Art of Negotations Skills Programme</t>
  </si>
  <si>
    <t>Financial Training for Enterprise Staff Autumn 2007</t>
  </si>
  <si>
    <t>Financial Training Programme for Business Advisors of CEBs in the South East</t>
  </si>
  <si>
    <t>Basic Book-keeping and Administration for the Small Business Autumn 2007</t>
  </si>
  <si>
    <t>Basic Bookkeeping and Administration Training Programme Self-employed and Small Business Owners is early stages of start-up.</t>
  </si>
  <si>
    <t>Practical Cash Collection for the Small Business Autumn 2007</t>
  </si>
  <si>
    <t>Cash Collection Programme for the Small Business</t>
  </si>
  <si>
    <t>Practical Cash Collection Spring 2007</t>
  </si>
  <si>
    <t>Business &amp; Management Training for Childcare Providers Autumn 2007</t>
  </si>
  <si>
    <t>Market Research for Childcare Providers Spring 2007</t>
  </si>
  <si>
    <t>Market Research Training Programme for Childcare Providers Spring 2007</t>
  </si>
  <si>
    <t>The Complete Computerised Payroll Package Spring 2007</t>
  </si>
  <si>
    <t>Computerised Payroll Programme</t>
  </si>
  <si>
    <t>Costing &amp; Pricing for the Service Industry Autumn 2007</t>
  </si>
  <si>
    <t>Costing &amp; Pricing for the Small Business Spring 2007</t>
  </si>
  <si>
    <t>Effective Customer Service Spring 2007</t>
  </si>
  <si>
    <t>Customer Services Programme for the Small Business.</t>
  </si>
  <si>
    <t>Essential Employment Law for the Small Business Autumn 2007</t>
  </si>
  <si>
    <t>Employment Law Legislation for the Small Business</t>
  </si>
  <si>
    <t>Employment Law Spring 2007</t>
  </si>
  <si>
    <t>Develop an Electronic Newsletter for Your Business Autumn 2007</t>
  </si>
  <si>
    <t>Electronic Newsletter Design Spring 2007</t>
  </si>
  <si>
    <t>Getting People to Your Website Autumn 2007</t>
  </si>
  <si>
    <t>This Programme is aimed at CEB clients who have recently developed a website and who now wish to maximise same as a marketing and promotional tool for their business by generating more visitors to the website and ultimately generate more sales from the visitors.  participants would: _x000D_- be better placed to understand the potential for online marketing to build targeted and relevant visitors to their website; _x000D_- have prepared an outline ebusiness</t>
  </si>
  <si>
    <t>Getting Your Product to Market Autumn 2007</t>
  </si>
  <si>
    <t>Getting your Product to Market Course for Crafts Businesses</t>
  </si>
  <si>
    <t>Simple Steps to HACCP  for the Small Scale Producer Autumn 2007</t>
  </si>
  <si>
    <t>Preparing a HACCP Plan Programme</t>
  </si>
  <si>
    <t>Managing Health &amp; Safety in Your Business Autumn 2007</t>
  </si>
  <si>
    <t>Preparing a Health and Safety Statement Programme for the Small Business</t>
  </si>
  <si>
    <t>Writing a Health &amp; Saftey Statement Spring 2007</t>
  </si>
  <si>
    <t>Making Website Work Autumn 2007</t>
  </si>
  <si>
    <t>Making Your Website Work for You Programme for the Small Business</t>
  </si>
  <si>
    <t>Management Development Programme 2007-2008</t>
  </si>
  <si>
    <t>Management Development Programme for the Small Business</t>
  </si>
  <si>
    <t>Marketing &amp; Digital Media Strategies Spring 2007</t>
  </si>
  <si>
    <t>Marketing and Digital Media Programme for the Small Business</t>
  </si>
  <si>
    <t>Mastering Presentations 2 Spring 2007</t>
  </si>
  <si>
    <t>Mastering Presentations Programme for the Small Business</t>
  </si>
  <si>
    <t>The Use of Online Returns in Your Business Autumn 2007</t>
  </si>
  <si>
    <t>The Use of Online Returns Programme</t>
  </si>
  <si>
    <t>Successful People Management Spring 2007</t>
  </si>
  <si>
    <t>People Management Programme</t>
  </si>
  <si>
    <t>Put Power in Your Presentations Autumn 2007</t>
  </si>
  <si>
    <t>Primary Food Handlers Autumn 2007</t>
  </si>
  <si>
    <t>Primary Food Handlers Certificate Programme</t>
  </si>
  <si>
    <t>Primary Food Handlers Certificate Spring 2007</t>
  </si>
  <si>
    <t>Quickbooks Update - VAT Autumn 2007</t>
  </si>
  <si>
    <t>Quickbooks omputerised Accounts Update Training Programme on VAT</t>
  </si>
  <si>
    <t>Sage Computerised Accounts Advanced Autumn 2007</t>
  </si>
  <si>
    <t>Sage Computerised Accounts Adviaced Programme</t>
  </si>
  <si>
    <t>Sage Computerised Accounts Advanced Spring 2007</t>
  </si>
  <si>
    <t>Sage Computerised Accounts Spring 2008</t>
  </si>
  <si>
    <t>Sage Computerised Accounts Basic No.1 Spring 2007</t>
  </si>
  <si>
    <t>Sage Computerised Accounts Programme</t>
  </si>
  <si>
    <t>Sage Computerised Accounts Basic No.1 Autumn 2007</t>
  </si>
  <si>
    <t>Sage Computerised Accounts Basic No.2 Autumn 2007</t>
  </si>
  <si>
    <t>Sage Computerised Accounts Basic No.2 Spring 2007</t>
  </si>
  <si>
    <t>Sage Computerised Accounts Basic No.3 Spring 2007</t>
  </si>
  <si>
    <t>Sales, Marketing &amp; Communications Spring 2007</t>
  </si>
  <si>
    <t>Sales, Marketing and Communications Programme</t>
  </si>
  <si>
    <t>Sales Strategies for the 21st Century Autumn 2007</t>
  </si>
  <si>
    <t>Sales Strategies Programme</t>
  </si>
  <si>
    <t>SYOBC1 Autumn 2007</t>
  </si>
  <si>
    <t>Start Your Own Business Programme</t>
  </si>
  <si>
    <t>SYOBC1 Spring 2007</t>
  </si>
  <si>
    <t>SYOBC2 Autumn 2007</t>
  </si>
  <si>
    <t>SYOBC2 Spring 2007</t>
  </si>
  <si>
    <t>SYOBCNo.1 Spring 2008</t>
  </si>
  <si>
    <t>SYOBCNo.2 Spring 2008</t>
  </si>
  <si>
    <t>CEB125-60</t>
  </si>
  <si>
    <t>SYOBCNo.3 Spring 2008</t>
  </si>
  <si>
    <t>Start Your Own Business Course</t>
  </si>
  <si>
    <t>Understanding Taxation Autumn 2007</t>
  </si>
  <si>
    <t>Understanding Taxation Programme</t>
  </si>
  <si>
    <t>Taxation for the Self-Employed No. 1 Spring 2007</t>
  </si>
  <si>
    <t>Taxation for the Self-Employed No. 2 Spring 2007</t>
  </si>
  <si>
    <t>Thinking of Starting a Business Spring 2007</t>
  </si>
  <si>
    <t>Thing of Starting a Business Programme</t>
  </si>
  <si>
    <t>Effective Time Management Autumn 2007</t>
  </si>
  <si>
    <t>Effective Time Management training for small business owners.</t>
  </si>
  <si>
    <t>Time Management Spring 2007</t>
  </si>
  <si>
    <t>Time Management Programme</t>
  </si>
  <si>
    <t>Building a Website for Your Business Autumn 2007</t>
  </si>
  <si>
    <t>Website Design for the Small Business.</t>
  </si>
  <si>
    <t>Web Design 2007</t>
  </si>
  <si>
    <t>Web Design Programme</t>
  </si>
  <si>
    <t>Website Design for the Small Business No.1 Spring 2007</t>
  </si>
  <si>
    <t>Website Design Programme</t>
  </si>
  <si>
    <t>Web Design No.2 Spring 2007</t>
  </si>
  <si>
    <t>Website Marketing &amp; Optimisation Spring 2007</t>
  </si>
  <si>
    <t>Website Marketing and Optimisation Programme</t>
  </si>
  <si>
    <t>Great Business Plans Spring 2007</t>
  </si>
  <si>
    <t>Preparing a Business Plan Programme for the Small Business Start-Up</t>
  </si>
  <si>
    <t>Women Mean Business Awards 2007</t>
  </si>
  <si>
    <t>Women Mean Business Awards</t>
  </si>
  <si>
    <t>Creativity Centre Research, Business Planning &amp; Workshops 2007</t>
  </si>
  <si>
    <t>Creativity Centre Workshops</t>
  </si>
  <si>
    <t>BDE - Project Manager - Callan 2007</t>
  </si>
  <si>
    <t>Business Development Executive - Project Manager Callan 2007. The Board supported the employment of a business development executive in Callan to work with local businesses, to establish a business network, help them identify opportunities for development, provide them with information and advice and assist them implement management systems to help them operate their businesses more efficiently and effectively.</t>
  </si>
  <si>
    <t>Creativity Centre Research, Promotion &amp; Projects 2008</t>
  </si>
  <si>
    <t>Enterprise Bus 2008</t>
  </si>
  <si>
    <t>Enterprise Education 2008</t>
  </si>
  <si>
    <t>Enterprise Week 2008</t>
  </si>
  <si>
    <t>External Opportunities 2008</t>
  </si>
  <si>
    <t>External Opportunities Committee - host a workshop and information seminar to identify potential enterprise initiatives and programmes within the EU and elsewhere that may be of benefit to small businesses</t>
  </si>
  <si>
    <t>Food Incubation Centre 2008</t>
  </si>
  <si>
    <t>Food Incubation Centre 2008. Funding provided to research the viability of an incubation centre providing affordable workspace for start-up food enterprises, and also incorporating business advisory and technical unit specifically for start-up and growing food enterprises.</t>
  </si>
  <si>
    <t>Kilkenny Craft Network 2008</t>
  </si>
  <si>
    <t>Kilkenny Craft Network</t>
  </si>
  <si>
    <t>General Promotion &amp; Information Dissemination 2008</t>
  </si>
  <si>
    <t>Mini Mentor Programme 2008</t>
  </si>
  <si>
    <t>National Enterprise Awards 2008</t>
  </si>
  <si>
    <t xml:space="preserve">National Ploughing Championships 2008 </t>
  </si>
  <si>
    <t>National Ploughing Championships 2008</t>
  </si>
  <si>
    <t>Enterprise Seminars 2008</t>
  </si>
  <si>
    <t>BDE - Project Manager Callan 2008</t>
  </si>
  <si>
    <t>Attendance at SHOP 2008</t>
  </si>
  <si>
    <t>SHOP 2008</t>
  </si>
  <si>
    <t>Student Enterprise Awards 2008</t>
  </si>
  <si>
    <t>Specialist Support  Assistance 2008</t>
  </si>
  <si>
    <t>Specialist Support Assistance 2008</t>
  </si>
  <si>
    <t>Basic Bookkeeping and Administration for the Small Business No. 1 Spring 2008</t>
  </si>
  <si>
    <t>Basic Bookkeeping and Administration for the Small Business No. 2 Autumn 2008</t>
  </si>
  <si>
    <t>Basic Bookkeeping and Administration for the Small Business No. 2 Spring 2008</t>
  </si>
  <si>
    <t>Basic Bookkeeping and Administration for the Small Business No. 1 Autumn 2008</t>
  </si>
  <si>
    <t>Business &amp; Management Development Training for Childcare Providers Spring 2008</t>
  </si>
  <si>
    <t>Develop an E-Mail Newsletter for Your Business Spring 2008</t>
  </si>
  <si>
    <t>Business Innovation Network MDP - Spring 2008</t>
  </si>
  <si>
    <t>Computerised Payroll Spring 2008</t>
  </si>
  <si>
    <t>SYOBC No.1 Spring 2008</t>
  </si>
  <si>
    <t>SYOBC No.2 Spring 2008</t>
  </si>
  <si>
    <t>SYOBCNo.1 Autumn 2008</t>
  </si>
  <si>
    <t>CEB125-62 SYOBCNo.1 Autumn 2008</t>
  </si>
  <si>
    <t>SYOBCNo.2 Autumn 2008</t>
  </si>
  <si>
    <t>CEB125-63 SYOBCNo.2 Autumn 2008</t>
  </si>
  <si>
    <t>Time Management Autumn 2008</t>
  </si>
  <si>
    <t>Sage Computerised Accounts No.1 Spring 2008</t>
  </si>
  <si>
    <t>Writing a Business Plan Autumn 2008</t>
  </si>
  <si>
    <t>Understanding Taxation Autumn 2008</t>
  </si>
  <si>
    <t>Customer Account Management Autumn 2008</t>
  </si>
  <si>
    <t>Writing a Health &amp; Safety Statement Spring 2008</t>
  </si>
  <si>
    <t>Simple Steps to HACCP for the small-scale food producer Autumn 2008</t>
  </si>
  <si>
    <t>Web Design No.1 Spring 2008</t>
  </si>
  <si>
    <t>Employment Law Autumn 2008</t>
  </si>
  <si>
    <t>Costing &amp; Pricing Your Product/Service Spring 2008</t>
  </si>
  <si>
    <t>Costing &amp; Pricing Your Product/Service Autumn 2008</t>
  </si>
  <si>
    <t>Customer Account Management Spring 2008</t>
  </si>
  <si>
    <t>Effective Time Management Spring 2008</t>
  </si>
  <si>
    <t>Time Management Programme for the Small Business.</t>
  </si>
  <si>
    <t>Local Tour Guide Training Programme 2008</t>
  </si>
  <si>
    <t>Management Development Programme 2008</t>
  </si>
  <si>
    <t>Primary Food Handlers Certificate Spring 2008</t>
  </si>
  <si>
    <t>Primary Food Handlers Certificate Autumn 2008</t>
  </si>
  <si>
    <t>Quickbooks Computerised Accounts Spring 2008</t>
  </si>
  <si>
    <t>Sage Computerised Accounts Advanced Autumn 2008</t>
  </si>
  <si>
    <t>Sage Computerised Accounts Advanced Spring 2008</t>
  </si>
  <si>
    <t>Sage Computerised Accounts Basic No.2 Spring 2008</t>
  </si>
  <si>
    <t>Sales, Marketing &amp; Communication Autumn 2008</t>
  </si>
  <si>
    <t>Sales, Marketing &amp; Communication Spring 2008</t>
  </si>
  <si>
    <t>Simple Steps to HACCP Spring 2008</t>
  </si>
  <si>
    <t>SYOBC No.3 Spring 2008</t>
  </si>
  <si>
    <t>Understanding Taxation No. 2 Spring 2008</t>
  </si>
  <si>
    <t>Writing a Health &amp; Safety Statement Autumn 2008</t>
  </si>
  <si>
    <t>The use of Microsoft Excel in Business Autumn 2007</t>
  </si>
  <si>
    <t>Business Advisor Costs 2007-2010</t>
  </si>
  <si>
    <t>KCLR Promotional Campaign 2008</t>
  </si>
  <si>
    <t>KCLR Promotional Campaign 2008. CEB co-sponsorship of the local radio station's weekly business programme profiling the work of the CEB, promoting the support services of the CEB and covering case studies of clients supported.</t>
  </si>
  <si>
    <t>KCLR Promotional Campaign 2007</t>
  </si>
  <si>
    <t>KCLR Promotional Campaign 2007. CEB co-sponsorship of the local radio station's weekly business programme profiling the work of the CEB, promoting the support services of the CEB and covering case studies of clients supported.</t>
  </si>
  <si>
    <t>Your Hair Studio/Emp</t>
  </si>
  <si>
    <t>Manufacture of bespoke hairpieces</t>
  </si>
  <si>
    <t>Knockdrinna Cheese/Emp</t>
  </si>
  <si>
    <t>Manufacture sheeps cheese. Employment Grant of €5,000 towards promoter.</t>
  </si>
  <si>
    <t>Derek Blanche/Emp</t>
  </si>
  <si>
    <t>Manufacture handcrafted jewellery.</t>
  </si>
  <si>
    <t>Jerpoint Glass Ltd/Cap</t>
  </si>
  <si>
    <t>Manufacture handmade glass products</t>
  </si>
  <si>
    <t>McBride Car Parts/Cap</t>
  </si>
  <si>
    <t>Baler/crushing and metal recycling service for End of Life Vehicles</t>
  </si>
  <si>
    <t>Nirvana Lighting Ltd/Emp</t>
  </si>
  <si>
    <t>Design and supply of energy efficient lighting products. Employment Grant of €5,000 towards new employee.</t>
  </si>
  <si>
    <t>Rothe House Trust/Emp</t>
  </si>
  <si>
    <t>Employment of Gardener for Rothe Family Garden project.</t>
  </si>
  <si>
    <t>Specialist service, installing and removing art, wall-hangings, etc. in galleries. Employment of €5,000 towards promoter.</t>
  </si>
  <si>
    <t>BDM Stone Ltd/Cap</t>
  </si>
  <si>
    <t>Manufacture specialist cut stone products.</t>
  </si>
  <si>
    <t>Gary Fitzpatrick/Feas</t>
  </si>
  <si>
    <t>Investigate Feasibility of installing hybrid wind and photovoltaic turbines on local rivers for renewable energy purposes</t>
  </si>
  <si>
    <t>Susan Boland/Emp</t>
  </si>
  <si>
    <t>Design and manufacture of pottery products. Employment Grant of €2,500 towards promoter.</t>
  </si>
  <si>
    <t>Jeff Howes/Feas</t>
  </si>
  <si>
    <t>Research feasibility of developing Digital Video of golf courses</t>
  </si>
  <si>
    <t>My Bio Limited/Emp</t>
  </si>
  <si>
    <t>Set-up molecular biology company.  Employment grant of €5,000 towards new employee.</t>
  </si>
  <si>
    <t>New Beginnings Montessori &amp; Creche/Emp</t>
  </si>
  <si>
    <t>Set-up Montessori School. Employment Grant of €2,500 towards new employee.</t>
  </si>
  <si>
    <t>Deirdre Freyne/Feas</t>
  </si>
  <si>
    <t>Carry out Feasibility of developing a Start Up package for parents of Special Needs Children</t>
  </si>
  <si>
    <t>Kelvin Daly/Feas</t>
  </si>
  <si>
    <t>Research Feasibility of producing 3D Integrated Jigsaw with educatinal component</t>
  </si>
  <si>
    <t>db Twang Ltd/Cap</t>
  </si>
  <si>
    <t>Set-up a Social Network and On-Line Portal for Guitar Collectors</t>
  </si>
  <si>
    <t>Wallslogh Studios Ltd/Cap</t>
  </si>
  <si>
    <t>Capital Grant to assist promoter expand his local film production business to provide wider range of services and also attract greater levels of international work to Kilkenny as a result</t>
  </si>
  <si>
    <t>Coole Pump Dairy/Emp</t>
  </si>
  <si>
    <t>Production of bio-live yoghurt</t>
  </si>
  <si>
    <t>Survey Guru/Emp</t>
  </si>
  <si>
    <t>Online survey business. Employment Grant of €5,000 towards promoter.</t>
  </si>
  <si>
    <t>Sharon Glendon, Jelly Tots/Emp</t>
  </si>
  <si>
    <t>Childrens Play Centre. Two employment grants of €5,000 each totalling €10,000 towards two new employees.</t>
  </si>
  <si>
    <t>Noel Heary/Cap</t>
  </si>
  <si>
    <t>Laboratory to calibrate conductivity sensors used in production of pharamaceuticals</t>
  </si>
  <si>
    <t>Oldtown Hill Bakehoues/Cap</t>
  </si>
  <si>
    <t>Production of speciality breads, doughnuts and other confectionary products</t>
  </si>
  <si>
    <t>General Promotion &amp; Information Dissemination 2009</t>
  </si>
  <si>
    <t>General Promotion &amp; Information Dissemination to Entrepreneurs and Small Businesses in County Kilkenny 2009 to raise the profile of the support programmes and services offered by the CEB.</t>
  </si>
  <si>
    <t>Enterprise Imagination Programme 2009</t>
  </si>
  <si>
    <t>Student Enterprise Awards 2009</t>
  </si>
  <si>
    <t>Student Enterprise Awards Competition 2009 SEA is one of the programmes sponsored by the national network of CEBs to help develop entrepreneurship in second level schools.</t>
  </si>
  <si>
    <t>National Enterprise Awards 2009</t>
  </si>
  <si>
    <t>National Enterprise Awards 2009. National Awards sponsored by the CEB Network to recognise the achievements of client companies</t>
  </si>
  <si>
    <t>Attendance at SHOP 2009</t>
  </si>
  <si>
    <t>Attendance at SHOP 2009. Aim of project to give small-scale food producers opportunity to exhibit and sell their wares to large-scale trade buyers.</t>
  </si>
  <si>
    <t>Showcase 2009</t>
  </si>
  <si>
    <t>Attendance at Showcase 2009. CEB part funded the costs of an area at the Showcase 2009 Trade Fair - specifically dedicated for CEB clients to exhibit their products.</t>
  </si>
  <si>
    <t>Spirit of Enterprise Week 2009</t>
  </si>
  <si>
    <t>Spirit of Enterprise Week 2009. A week of events, workshops, seminars, conferences, etc. held throughout the south east to raise the importance of entrepreneurship and to raise issues about and for small business.</t>
  </si>
  <si>
    <t>Mini-Mentor Programme 2009</t>
  </si>
  <si>
    <t>Mentor Programme aimed at small business owners who encounter issues within their business, e.g. financial, marketing, hr and health and safety.</t>
  </si>
  <si>
    <t>Advanced Management Development Programme 2009</t>
  </si>
  <si>
    <t>Advanced Management Development Programme 2009-2010</t>
  </si>
  <si>
    <t>CEB459 Create a Taste - Food Innovation Network Programme 2009</t>
  </si>
  <si>
    <t>Create a Taste - Food Innovation Network Programme 2009</t>
  </si>
  <si>
    <t>Management Development Programme 2009</t>
  </si>
  <si>
    <t>Creativity Centre</t>
  </si>
  <si>
    <t>Creativity Centre - Promotion of creativity techniques within small business to promote development of new ideas, products, services and ways of doing business</t>
  </si>
  <si>
    <t>External Opportunities Committee 2009</t>
  </si>
  <si>
    <t>Researching External Opportunities for the benefits of small business</t>
  </si>
  <si>
    <t>Food Incubation Centre</t>
  </si>
  <si>
    <t>reserach and develop a model for a potential Food Incubation Centre in County Kilkenny, to help stimulate the number of artisan food projects in the region, to include focus group sessions with potential tenants, best practice study visits elsewhere in Ireland and case studies.</t>
  </si>
  <si>
    <t>Small Business Loan Scheme Mentoring</t>
  </si>
  <si>
    <t>Mentoring Support to loan applicants under the Small Business Loan Scheme</t>
  </si>
  <si>
    <t>Specialist Support Assistance 2009</t>
  </si>
  <si>
    <t>Specialist Support Assistance towards Marketing &amp; Trade Fair Assistance 2009</t>
  </si>
  <si>
    <t>Craft Network Training</t>
  </si>
  <si>
    <t>Enterprise Seminars 2009</t>
  </si>
  <si>
    <t>Enterprise Seminars._x000D_Series of lunchtime and evening seminars held throughout the year to provide relevant and topical business information and advice to entrepreneurs.</t>
  </si>
  <si>
    <t>South East Women in Business Conference 2009</t>
  </si>
  <si>
    <t>South East Women in Business Conference. Co-promoted by 5 CEBs in the south east specifically for female clients already in business or thinking about starting one. A series of case studies, inspirational and motivational speakers, as well as speakers covering topical issues in business.</t>
  </si>
  <si>
    <t>Bookkeeping Programme No. 1 Autumn 2009</t>
  </si>
  <si>
    <t>CEB 127-167 Bookkeeping Programme No. 1 Autumn 2009</t>
  </si>
  <si>
    <t>Bookkeeping &amp; Administration for the Small Business No.1 Spring 2009</t>
  </si>
  <si>
    <t>Cash Collection - How to Get Paid on Time Autumn 2009</t>
  </si>
  <si>
    <t>Cash Collection - How to Get Paid on Time Spring 2009</t>
  </si>
  <si>
    <t>Managing a Childcare Enterprise Workshop Autumn 2009</t>
  </si>
  <si>
    <t>Computerised Payroll Spring 2009</t>
  </si>
  <si>
    <t>Costing Your Product or Service Spring 2009</t>
  </si>
  <si>
    <t>Writing a Health &amp; Safety Statement for the Small Business Programme Autumn 2009</t>
  </si>
  <si>
    <t>Writing a Health &amp; Safety Statement for the Small Business Programme Spring 2009</t>
  </si>
  <si>
    <t>Internet Marketing Programme Number 2 Autumn 2009</t>
  </si>
  <si>
    <t>Internet Marketing Programme Number 1 Autumn 2009</t>
  </si>
  <si>
    <t>CEB 270b-43 Internet Marketing Programme Number 1 Autumn 2009</t>
  </si>
  <si>
    <t>Primary Food Handlers Programme Autumn 2009</t>
  </si>
  <si>
    <t>Primary Food Handlers Certificate Spring 2009</t>
  </si>
  <si>
    <t>Quickbooks Advanced Computerised Accounts Spring 2009</t>
  </si>
  <si>
    <t>Sage Computerised Accounts Advanced Autumn 2009</t>
  </si>
  <si>
    <t>Sage Computerised Accounts Advanced Spring 2009</t>
  </si>
  <si>
    <t>Sage Computerised Accounts Advanced No.1 Spring 2009</t>
  </si>
  <si>
    <t>Sage Computerised Accounts Basic No.2 Spring 2009</t>
  </si>
  <si>
    <t>Sage Computerised Accounts Basic Autumn 2009</t>
  </si>
  <si>
    <t>Sage Computerised Accounts Basic No1 Spring 2009</t>
  </si>
  <si>
    <t>Sage Computerised Accounts Basic No.1 Spring 2009</t>
  </si>
  <si>
    <t>Sales Programme Autumn 2009</t>
  </si>
  <si>
    <t>SYOB Programme No.1 Autumn 2009</t>
  </si>
  <si>
    <t>CEB125-67 SYOB Programme No.1 Autumn 2009</t>
  </si>
  <si>
    <t>SYOB Course Autumn 2009</t>
  </si>
  <si>
    <t>CEB125-68 SYOB Course Autumn 2009</t>
  </si>
  <si>
    <t>SYOB Programme No.2 Spring 2009</t>
  </si>
  <si>
    <t>CEB125-64 SYOB Programme No.2 Spring 2009</t>
  </si>
  <si>
    <t>SYOB Programme No.3 Spring 2009</t>
  </si>
  <si>
    <t>CEB125-65 SYOB Programme No.3 Spring 2009</t>
  </si>
  <si>
    <t>CEB125-66 SYOB Programme No.3 Spring 2009</t>
  </si>
  <si>
    <t>Understanding Taxation No.2 Spring 2009</t>
  </si>
  <si>
    <t>Taxation Programme Autumn 2009</t>
  </si>
  <si>
    <t>Understanding Taxation No.1 Spring 2009</t>
  </si>
  <si>
    <t>CEB 127-159 Understanding Taxation No.1 Spring 2009</t>
  </si>
  <si>
    <t>Time Management Programme Autumn 2009</t>
  </si>
  <si>
    <t>Effective Time Management Spring 2009</t>
  </si>
  <si>
    <t>How to be a Great Salesperson Spring 2009</t>
  </si>
  <si>
    <t>Basic Bookkeeping and Administration for the Small Business No. 2 Spring 2009</t>
  </si>
  <si>
    <t>Enterprise Bus 2009</t>
  </si>
  <si>
    <t>Enterprise Bus. Enterprise Bus touring towns and villages in County Kilkenny providing ennterprise and business advice to entrepreneurs</t>
  </si>
  <si>
    <t>Eddie O'Dwyer and Eddie Hoban/Fig</t>
  </si>
  <si>
    <t>Feasibility/Innovation Grant towards developing a clothes dryer/radiator that provides heat in the same way as a standard household radiator but also encloses a facility to dry clothes at a minimal cost to the user. The device can be retro-fitted with existing radiators and uses the water pressure of the normal heating system to circulate heat.</t>
  </si>
  <si>
    <t>Fairy Folk Montessori/Emp</t>
  </si>
  <si>
    <t>Montessori and after school services. Two Employment Grants towards two new employees.</t>
  </si>
  <si>
    <t>CHI Environmental/Cap</t>
  </si>
  <si>
    <t>The allocation of a capital grant towards equipment for the landfill and recycling of construction and demolition waste</t>
  </si>
  <si>
    <t>Aimee and Brigid Whittle/Emp</t>
  </si>
  <si>
    <t>Montessori and after school childcare facility. Employment grant of €2,500 towards an additional employee.</t>
  </si>
  <si>
    <t>Brian Egan/BE</t>
  </si>
  <si>
    <t>Provision of a franchise from Bluebird Care Ireland (a leading provider of Home Care Services). Four employment grants towards promoter and three employees</t>
  </si>
  <si>
    <t>Cycle Trax/BP</t>
  </si>
  <si>
    <t>Provison of guided cycling tour of Kilkenny City and its environ;  cycle hire service; and  educational service to primary school children about cycle safety. Employment grant of €6,500 towards promoter.</t>
  </si>
  <si>
    <t>Hennessy Feeds Ltd/BE</t>
  </si>
  <si>
    <t>Manufacture of animal feed. Business Expansion Grant of towards the costs of a Packing Machine and Salary Costs towards new employee.</t>
  </si>
  <si>
    <t>Kilkenny Arts Festival/BE</t>
  </si>
  <si>
    <t>Capital Grant towards the costs involved in acquiring the Software and Hardware which will allow Kilkenny Arts Festival Ltd. to provide a new Box Office System.</t>
  </si>
  <si>
    <t>Mulex Ltd ta/Paragon Busines Systems/FIG</t>
  </si>
  <si>
    <t>The applicant is seeking a Feasibility Study Grant of €20,000 towards the costs involved in the development of to develop a prototype of an iPod touch order taking software.</t>
  </si>
  <si>
    <t>Rimach Engineering/BP</t>
  </si>
  <si>
    <t>Priming Grant towards cost of manufacturing block cutter designed to bolt on blades system and stay sharp feature along with hydraulic rams, tines and mounting brackets and salary costs towards two new employees.</t>
  </si>
  <si>
    <t>Noel Shore/Feas</t>
  </si>
  <si>
    <t>Manufactures two different models of the WexOman Slurry Pump/Agitator.</t>
  </si>
  <si>
    <t>SYOBC No. 1 Spring 2010</t>
  </si>
  <si>
    <t>SYOBC No. 2 Spring 2010</t>
  </si>
  <si>
    <t>SYOBC No. 3 Spring 2010</t>
  </si>
  <si>
    <t>SYOBC No. 1 Autumn 2010</t>
  </si>
  <si>
    <t>SYOBC No. 2 Autumn 2010</t>
  </si>
  <si>
    <t>Time Management Spring 2010</t>
  </si>
  <si>
    <t>Time Management</t>
  </si>
  <si>
    <t>Sales Presentation - Spring 2010</t>
  </si>
  <si>
    <t>Sales Presentation Programme</t>
  </si>
  <si>
    <t>Employment Law - Spring 2010</t>
  </si>
  <si>
    <t>Employment Law Programme</t>
  </si>
  <si>
    <t>Tendering for Success - Spring 2010</t>
  </si>
  <si>
    <t>Tendering for Success Programme</t>
  </si>
  <si>
    <t>Time Management - Autumn 2010</t>
  </si>
  <si>
    <t>Tendering for Success - Autumn 2010</t>
  </si>
  <si>
    <t>Bookkeeping - Spring 2010</t>
  </si>
  <si>
    <t>Basic Bookkeeping Programme</t>
  </si>
  <si>
    <t>Cash Collection - Spring 2010</t>
  </si>
  <si>
    <t>Cash Collection Programme</t>
  </si>
  <si>
    <t>Sage Basic - Spring 2010</t>
  </si>
  <si>
    <t>Sage Computerised Accounts - Basic</t>
  </si>
  <si>
    <t>Sage 50 - Spring 2010</t>
  </si>
  <si>
    <t>Sage 50 Computerised Accounts</t>
  </si>
  <si>
    <t>Computerised Payroll - Spring 2010</t>
  </si>
  <si>
    <t>Computerised Payroll</t>
  </si>
  <si>
    <t>Costing Your Product/Service - Spring 2010</t>
  </si>
  <si>
    <t>Costing Your Product or Service</t>
  </si>
  <si>
    <t>Writing a Business Plan - Spring 2010</t>
  </si>
  <si>
    <t>Writing a Business Plan</t>
  </si>
  <si>
    <t>Sage Basic - Autumn 2010</t>
  </si>
  <si>
    <t>Sage Basic Computerised Accounts</t>
  </si>
  <si>
    <t>Bookkeeping - Autumn 2010</t>
  </si>
  <si>
    <t>Bookkeeping for the Self-Employed</t>
  </si>
  <si>
    <t>Sage Advanced - Autumn 2010</t>
  </si>
  <si>
    <t>Sage Computerised Accounts - Advanced</t>
  </si>
  <si>
    <t>Quickbooks - Autumn 2010</t>
  </si>
  <si>
    <t>Quickbooks Computerised Accounts</t>
  </si>
  <si>
    <t>Management Development Programme 2010/2011</t>
  </si>
  <si>
    <t>Management Development Programme for WIB 2010</t>
  </si>
  <si>
    <t>Management Development Programme for Women in Business</t>
  </si>
  <si>
    <t>Primary Food Handlers - Spring 2010</t>
  </si>
  <si>
    <t>HACCP - Spring 2010</t>
  </si>
  <si>
    <t>HACCP for the Small Food Producer</t>
  </si>
  <si>
    <t>Make Website Work - Spring 2010</t>
  </si>
  <si>
    <t>Make Your Website Work for your Business Programme</t>
  </si>
  <si>
    <t>Develop a Website - Spring 2010</t>
  </si>
  <si>
    <t>Develop a Website for Your Business Programme</t>
  </si>
  <si>
    <t>Internet Marketing - Spring 2010</t>
  </si>
  <si>
    <t>Internet Marketing and Social Media for your Business Programme</t>
  </si>
  <si>
    <t>Enewsletters - Spring 2010</t>
  </si>
  <si>
    <t>Develop an Enewsletter for Your Business</t>
  </si>
  <si>
    <t>Develop a Website 2010</t>
  </si>
  <si>
    <t>Develop a Website for Your Business</t>
  </si>
  <si>
    <t>Develop a Website No. 1 - Autumn 2010</t>
  </si>
  <si>
    <t>Develop a Website No. 2 - Autumn 2010</t>
  </si>
  <si>
    <t>Internet Marketing - Autumn 2010</t>
  </si>
  <si>
    <t>Enewsletters - Autumn 2010</t>
  </si>
  <si>
    <t>Develop an Enewsletter for Your Business Programme</t>
  </si>
  <si>
    <t>SE Women in Business Conference 2010</t>
  </si>
  <si>
    <t>South East Women in Business Conference 2010</t>
  </si>
  <si>
    <t>Small business Loans Scheme</t>
  </si>
  <si>
    <t>Mentoring of Small Business clients applying for loans under St. Canice's Credit Union Small Business Loan Scheme.</t>
  </si>
  <si>
    <t>Student Enterprise Awards 2010-2011</t>
  </si>
  <si>
    <t>Student Enterprise Awards is targeted at Secondary School Students to give them practical, real life experience of setting up and running their own business.</t>
  </si>
  <si>
    <t>Showcase 2010</t>
  </si>
  <si>
    <t>Attendance at Showcase 2010</t>
  </si>
  <si>
    <t>Enterprise Bus 2010</t>
  </si>
  <si>
    <t>Provision of Enterprise Bus in 2010 at various locations in County Kilkenny to deal with public enquires regarding activities of Kilkenny CEB.</t>
  </si>
  <si>
    <t>National Enterprise Awards 2010</t>
  </si>
  <si>
    <t>National Enterprise Awards Scheme 2010 for CEB clients</t>
  </si>
  <si>
    <t>Enterprise Day 2010</t>
  </si>
  <si>
    <t>National Enterprise Day 2010</t>
  </si>
  <si>
    <t>General Promotion &amp; Diss 2010</t>
  </si>
  <si>
    <t>General Promotion &amp;  Information Dissemination to Entrepreneurs and Small Businesses in County Kilkenny 2010 to raise the profile of the support programmes and services offered by the CEB through various advertising mediums such as local newspapers and local radio.</t>
  </si>
  <si>
    <t>Mini-Mentor Programme 2010</t>
  </si>
  <si>
    <t>Seminars 2010</t>
  </si>
  <si>
    <t>Seminars held in 2010 covering such topics as Finance, Marketing and Social Media.</t>
  </si>
  <si>
    <t>Specialist Assistance Grants 2010</t>
  </si>
  <si>
    <t>Specialist Assistance Grant to small business owners towards attendance at Trade Fairs and overseas Market Visits.</t>
  </si>
  <si>
    <t>Animal Farmacy/BP</t>
  </si>
  <si>
    <t>Online animal health services and products to farming, equine and small arnimal market.</t>
  </si>
  <si>
    <t>Bespoke &amp; Co/BP</t>
  </si>
  <si>
    <t>Online framing customisation service for professional photography studios in the UK and Ireland.</t>
  </si>
  <si>
    <t>Envirotherm Insulation Systems Ltd/BP</t>
  </si>
  <si>
    <t>Capital grant for the manufacture of expanded polystyrene bead insulation.</t>
  </si>
  <si>
    <t>Fineline Furniture/Feas</t>
  </si>
  <si>
    <t>Attendance at Grand Design Live Show in April 2011 in London.</t>
  </si>
  <si>
    <t>Lavistown Gourmet Sausages/BE</t>
  </si>
  <si>
    <t>Produciton of gourmet sausages. Capital grant towards alterations to building, electrical work, cold storage and heating.</t>
  </si>
  <si>
    <t>Margaret Walsh/BP</t>
  </si>
  <si>
    <t>Montessori and after school care service.</t>
  </si>
  <si>
    <t>Hillwalk Ireland/BE</t>
  </si>
  <si>
    <t>Provision of Guided Walking Tours. Salary costs towards new employee and marketing costs.</t>
  </si>
  <si>
    <t>Denis Treacy/FEAS</t>
  </si>
  <si>
    <t>Manufacture of device called 'sit and slate'  to aid carpenters and general roofers in slating buildings safely.</t>
  </si>
  <si>
    <t>Des Doyle Goldsmith/BP</t>
  </si>
  <si>
    <t>Manufacture of handcrafted gold jewellery. Capital grant towards purchase of wax models and moulds and marketing grant towards photographic and jewellery shots.</t>
  </si>
  <si>
    <t>Blackthorn Plastic Lumber Ltd/BP</t>
  </si>
  <si>
    <t>Recycling of waste plastic to produce plastic lumber fencing.</t>
  </si>
  <si>
    <t>Pat Carrigan/Feas</t>
  </si>
  <si>
    <t>Feasibility Grant towards the development of 'torpedo' type machine which is a subsoiler and mole plough.</t>
  </si>
  <si>
    <t>Recoup Ltd/BE</t>
  </si>
  <si>
    <t>Debt collection and recovery service for large business. Capital costs towards phone system and Salary costs towards 5 employees.</t>
  </si>
  <si>
    <t>Rimach Engineering Ltd/BP</t>
  </si>
  <si>
    <t>Capital Gant towards the manufacture of blockcutter and slurry pump and salary costs towards two new employees.</t>
  </si>
  <si>
    <t>Sports Pic/Feas</t>
  </si>
  <si>
    <t>Delivery of new and unique games to the online and and mobile application market.</t>
  </si>
  <si>
    <t>Student Enterprise Awards 2011</t>
  </si>
  <si>
    <t>Student Enterprise Awards Programme 2011-2012</t>
  </si>
  <si>
    <t>General Promotion &amp; Advertising 2011</t>
  </si>
  <si>
    <t>General Promotion and Advertising 2011</t>
  </si>
  <si>
    <t>Mentor Programme 2011</t>
  </si>
  <si>
    <t>Accelerate MDP 2011</t>
  </si>
  <si>
    <t>Accelerate Management Development Programme 2011/2012</t>
  </si>
  <si>
    <t>Connections MDP 2011</t>
  </si>
  <si>
    <t>Connections Advanced Management Development Programme 2011-2012</t>
  </si>
  <si>
    <t>Specialist Assistance Grants 2011</t>
  </si>
  <si>
    <t>Specialist Assistance Grants Scheme 2011,</t>
  </si>
  <si>
    <t>SEWIB 2011</t>
  </si>
  <si>
    <t>South East Women in Business Conference 2011.</t>
  </si>
  <si>
    <t>Health &amp; Safety Autumn 2011</t>
  </si>
  <si>
    <t>Health and Safety Training Programme</t>
  </si>
  <si>
    <t>Write a Sales Plan Autumn 2011</t>
  </si>
  <si>
    <t>Write A Sales Business Plan Training Programme</t>
  </si>
  <si>
    <t>Taster 1 Spring 2011</t>
  </si>
  <si>
    <t>Taster Session 1 When the Customer Stops Buying its time to Start Selling Spring 2011</t>
  </si>
  <si>
    <t>Taster 2 Spring 2011</t>
  </si>
  <si>
    <t>Taster Session Two - Key Financial Tips Spring 2011</t>
  </si>
  <si>
    <t>Taster 3 Spring 2011</t>
  </si>
  <si>
    <t>Taster 3 - Food Safety - Safer Food-Better Business Spring 2011</t>
  </si>
  <si>
    <t>Taster 4 Spring 2011</t>
  </si>
  <si>
    <t>Taster 4 - Five Crucial Decisions every business needs to make about the Internet Spring 2011</t>
  </si>
  <si>
    <t>Taster 5 Spring 2011</t>
  </si>
  <si>
    <t>Taster 5 Developing a Cost Effective Advertising Campaign Spring 2011</t>
  </si>
  <si>
    <t>Taster 6 Spring 2011</t>
  </si>
  <si>
    <t>Taster 6 The Effects of a Downturn on Staffing Seminar Spring 2011</t>
  </si>
  <si>
    <t>National Womens Enterprise Day 2011</t>
  </si>
  <si>
    <t>Start Your Own Business Course 1 Sp 13</t>
  </si>
  <si>
    <t>Start Your Own Business Course 2 Sp 11</t>
  </si>
  <si>
    <t>CEB125-79 Start Your Own Business Course 3 Sp 11</t>
  </si>
  <si>
    <t>80 Start Your Own Business Course 1 At 2011</t>
  </si>
  <si>
    <t>Start Your Own Business Course 3 At 11</t>
  </si>
  <si>
    <t>Craft Programme Autumn 2011</t>
  </si>
  <si>
    <t>Financial Programme for Craft Enteprises.</t>
  </si>
  <si>
    <t>Market Research Autumn 2011</t>
  </si>
  <si>
    <t>Market Research for the Small Business Trainig Programme</t>
  </si>
  <si>
    <t>Sales Mod 3-4 Spring 2011</t>
  </si>
  <si>
    <t>Sales Training Programme Modules 3-4</t>
  </si>
  <si>
    <t>Sales Mod 1-2 Spring 2011</t>
  </si>
  <si>
    <t>Sales Training Programme Modules 1-2</t>
  </si>
  <si>
    <t>Sage Basic Spring 2011</t>
  </si>
  <si>
    <t>Sage Basic Computerised Accounts Programme</t>
  </si>
  <si>
    <t>Sage Advanced Spring 2011</t>
  </si>
  <si>
    <t>Sage Advanced Computerised Accounts Programme</t>
  </si>
  <si>
    <t>Payroll Spring 2011</t>
  </si>
  <si>
    <t>Financial Mod 1 Spring 2011</t>
  </si>
  <si>
    <t>Financial Training Programme Module 1</t>
  </si>
  <si>
    <t>Financial Training Mod 3 Spring 2011</t>
  </si>
  <si>
    <t>Financial Training Programme for the Small Business -Module 3</t>
  </si>
  <si>
    <t>Financial Programme Mod 4 Spring 2011</t>
  </si>
  <si>
    <t>Financial Training Programme for the Small Business - Module 4</t>
  </si>
  <si>
    <t>Financial Mod 2 Spring 2011</t>
  </si>
  <si>
    <t>Financial Training Programme Module 2</t>
  </si>
  <si>
    <t>Sage Basic Autumn 2011</t>
  </si>
  <si>
    <t>Sage Troubleshooting Aut 2011</t>
  </si>
  <si>
    <t>Sage Troubleshooting Programme</t>
  </si>
  <si>
    <t>Sage Advanced Aut 2011</t>
  </si>
  <si>
    <t>Tax Filing Autumn 2011</t>
  </si>
  <si>
    <t>Tax Filing Financial Training Programme</t>
  </si>
  <si>
    <t>Bookkeeping Autumn 2011</t>
  </si>
  <si>
    <t>Bookkeeping Financial Training Programme</t>
  </si>
  <si>
    <t>Primary Food Handlers Spring 2011</t>
  </si>
  <si>
    <t>Primary Food Handlers Certificate programme</t>
  </si>
  <si>
    <t>HACCP Programme Spring 2011</t>
  </si>
  <si>
    <t>Develop a HACCP Plan for your Small Food Business Training Programme</t>
  </si>
  <si>
    <t>Haccp Prequisites Spring 2011</t>
  </si>
  <si>
    <t>HACCP Prequisites Training Programme Spring 2011</t>
  </si>
  <si>
    <t>Primary Food Handlers Autumn 2011</t>
  </si>
  <si>
    <t>Primary Food Handlers Certificate Programme.</t>
  </si>
  <si>
    <t>Manual Handling Autumn 2011</t>
  </si>
  <si>
    <t>Manual Handling for the Small Business Programme</t>
  </si>
  <si>
    <t>Childcare Spring 2011</t>
  </si>
  <si>
    <t>Financial Training for Childcare Providers programme</t>
  </si>
  <si>
    <t>Website Design Spring 2011</t>
  </si>
  <si>
    <t>Enewsletters Programme Spring 2011</t>
  </si>
  <si>
    <t>Social Media Beg Autumn 2011</t>
  </si>
  <si>
    <t>Social Media for Beginners Programme</t>
  </si>
  <si>
    <t>Enewsletters Programme Autumn 2011</t>
  </si>
  <si>
    <t>CEB88 Business Advisor Costs 2011</t>
  </si>
  <si>
    <t>Business Advisor Costs 2011.</t>
  </si>
  <si>
    <t>Bid4lights/BP</t>
  </si>
  <si>
    <t>Specilised lighting system. Salary grant for one additional fulltime employee</t>
  </si>
  <si>
    <t>Castlesnackfood Distribution/BE</t>
  </si>
  <si>
    <t>Production and distribution of prepared snackfoods</t>
  </si>
  <si>
    <t>Celtic Commemorations Ltd/BP</t>
  </si>
  <si>
    <t>Production of wooden commemorative urns and plaques.</t>
  </si>
  <si>
    <t>CHI Environmental Ltd.</t>
  </si>
  <si>
    <t>Landfill and recycling of construction and demolition waste.</t>
  </si>
  <si>
    <t>Conveyor Technical Solutions/BE</t>
  </si>
  <si>
    <t>Design and manufacture of conveyor systems for food, pharmaceutical and drinks industries.</t>
  </si>
  <si>
    <t>Daniela Cardillo/BP</t>
  </si>
  <si>
    <t>Manufacture of high quality jewellery</t>
  </si>
  <si>
    <t>Goatsbridge Fish Processing/BP</t>
  </si>
  <si>
    <t>The processing of fish._x000D_Salary grant towards two emloyees.</t>
  </si>
  <si>
    <t>IPP Inprom/BE</t>
  </si>
  <si>
    <t>Mill House Design Studio Ltd/BP</t>
  </si>
  <si>
    <t>Design and manufacture of cotton shawls and wraps.</t>
  </si>
  <si>
    <t>Misty Mountain Odour Control/BP</t>
  </si>
  <si>
    <t>Manufacture and supply of odour control systems for businesses.</t>
  </si>
  <si>
    <t>MLQ Ltd/BE</t>
  </si>
  <si>
    <t>Chartered Quantity Survey and Project Management Services to public and private sectors.</t>
  </si>
  <si>
    <t>Tess's Homestyle Baking BE</t>
  </si>
  <si>
    <t>Production of baked breads, confectionery and seasonal range.</t>
  </si>
  <si>
    <t>Mullinavat Computers/BP</t>
  </si>
  <si>
    <t>Computer training business being promoted by a female returning to the workforce in a rural area of Kilkenny.</t>
  </si>
  <si>
    <t>Mentor Programme 2012</t>
  </si>
  <si>
    <t>Castlecomer Enterprise Centre</t>
  </si>
  <si>
    <t>Castlecomer Enterprise Centre-contribution to the employment of a Business Manager.</t>
  </si>
  <si>
    <t>National Enterprise Awards 2012</t>
  </si>
  <si>
    <t>Savour Kilkenny</t>
  </si>
  <si>
    <t>Sponsorship of small producers food market at Savour Kilkenny Food Festival</t>
  </si>
  <si>
    <t>Finding Customers Seminar</t>
  </si>
  <si>
    <t>Seminar on how to Find Customers for businesses.</t>
  </si>
  <si>
    <t>Top Ten Financial Tips Seminar</t>
  </si>
  <si>
    <t>Top Ten Financial Tips Seminar for businesses</t>
  </si>
  <si>
    <t>Start Your Own Business Course 1 Sp 12</t>
  </si>
  <si>
    <t>Start Your Own Business Course 2 Sp 12</t>
  </si>
  <si>
    <t>Start Your Own Business Course 3 Sp 12</t>
  </si>
  <si>
    <t>Senior Start Your Own Business Course Smr 2012</t>
  </si>
  <si>
    <t>Start Your Own Business Course for the Over 50's.</t>
  </si>
  <si>
    <t>Start Your Own Business Course No. 2 Autumn 2012</t>
  </si>
  <si>
    <t>Senior Start Your Own Business Course Autumn 2012</t>
  </si>
  <si>
    <t>Start Your Own Business Course  No 1 Autumn 2012</t>
  </si>
  <si>
    <t>Craft Programme</t>
  </si>
  <si>
    <t>Enterprise Development Course for Craft Businesses</t>
  </si>
  <si>
    <t>Customer Loyalty Spring 2012</t>
  </si>
  <si>
    <t>Startegies to develop customer loyalty in a business programme</t>
  </si>
  <si>
    <t>Time Management Spring 2012</t>
  </si>
  <si>
    <t>How to Management Your Time more Effectively Programme.</t>
  </si>
  <si>
    <t>Advertising and Branding  to Promote Your Business Spring 2012</t>
  </si>
  <si>
    <t>Advertising and Branding to Promote Your Business Programme.</t>
  </si>
  <si>
    <t>Branding and Packaging Spring 2012</t>
  </si>
  <si>
    <t>How to develop Branding and Packing for Your Business Programme.</t>
  </si>
  <si>
    <t>Changing Work Patterns Spring 2012</t>
  </si>
  <si>
    <t>How to Deal with Changing Work Patterns in your Business Programme</t>
  </si>
  <si>
    <t>People Management Spring 2012</t>
  </si>
  <si>
    <t>Best Practices in Managing Your Employees Programme</t>
  </si>
  <si>
    <t>Customer Care Spring 2012</t>
  </si>
  <si>
    <t>How to keep and increase your customer base programme.</t>
  </si>
  <si>
    <t>Branding and Packaging Autumn 2012</t>
  </si>
  <si>
    <t>How to develop Branding and Packaging for Your Business Programme.</t>
  </si>
  <si>
    <t>People Management Autumn 2014</t>
  </si>
  <si>
    <t>Best Practices for Managing Your Employees Programme.</t>
  </si>
  <si>
    <t>Advertising &amp; PR Autumn 2012</t>
  </si>
  <si>
    <t>Advertising and PR to Promote Your Business Programme</t>
  </si>
  <si>
    <t>Customer Service Strategy Autumn 2012</t>
  </si>
  <si>
    <t>Developing a Customer Service Strategy Programme</t>
  </si>
  <si>
    <t>Customer Care Skills Autumn 2012</t>
  </si>
  <si>
    <t>Develop  Customer Care Skills for your Business Programme</t>
  </si>
  <si>
    <t>Sage Troubleshooting Workshop Spring 2012</t>
  </si>
  <si>
    <t>Sage Troubleshooting Workshop</t>
  </si>
  <si>
    <t>Bookkeeping Spring 2012</t>
  </si>
  <si>
    <t>Bookkeeping for the Small Business Programme</t>
  </si>
  <si>
    <t>Income Tax &amp; VAT Spring 2012</t>
  </si>
  <si>
    <t>Income Tax and VAT for your Business Programme</t>
  </si>
  <si>
    <t>Contracts Tax Spring 2012</t>
  </si>
  <si>
    <t>Learn about Contracts Tax for Businesses Programme</t>
  </si>
  <si>
    <t>Costing Your Product Service Spring 2012</t>
  </si>
  <si>
    <t>Costing Your Product or Service Programme</t>
  </si>
  <si>
    <t>Sage Basic Spring 2012</t>
  </si>
  <si>
    <t>Sage Computerised Accounts - Basic Programme</t>
  </si>
  <si>
    <t>Computerised Payroll Spring 2012</t>
  </si>
  <si>
    <t>Quickbooks Spring 2012</t>
  </si>
  <si>
    <t>Quickbooks Computerised Accounts Programme</t>
  </si>
  <si>
    <t>Sage Basic Autumn 2012</t>
  </si>
  <si>
    <t>How to File a Tax Return Autumn 2012</t>
  </si>
  <si>
    <t>How to File a Tax Return Online Programme</t>
  </si>
  <si>
    <t>Sage Advanced Autumn 2012</t>
  </si>
  <si>
    <t>Sage Computerised Accounts - Advanced Programme</t>
  </si>
  <si>
    <t>Bookkeeping Autumn 2012</t>
  </si>
  <si>
    <t>Costing Your Product or Service Autumn 2012</t>
  </si>
  <si>
    <t>Occupational First Aid Spring 2012</t>
  </si>
  <si>
    <t>Occupational First Aid Course - FETAC Level 5 Accredited</t>
  </si>
  <si>
    <t>HACCP Spring 2012</t>
  </si>
  <si>
    <t>Simple Steps to HACCP Compliance for the Small Scale Food Producer Course</t>
  </si>
  <si>
    <t>Primary Food Handlers Spring 2012</t>
  </si>
  <si>
    <t>Primary Food Handlers Certificate Programme for the Small Scale Food Business</t>
  </si>
  <si>
    <t>HACCP Autumn 2012</t>
  </si>
  <si>
    <t>Simple Steps to HACCP Programme for the Samle Scale Food Producer</t>
  </si>
  <si>
    <t>Primary Food Handlers Certificate Autumn 2012</t>
  </si>
  <si>
    <t>Primary Food Handlers Certificate for the Small Scale Food Business Course</t>
  </si>
  <si>
    <t>Fire Safety and Fire Warden Training Autumn 2012</t>
  </si>
  <si>
    <t>Fire Safety and Fire Training Course for the Small Business</t>
  </si>
  <si>
    <t>Childcare Programme Spring 2012</t>
  </si>
  <si>
    <t>Managing a Childcare Business Programme</t>
  </si>
  <si>
    <t>Increase Traffic to Your Website Spring 2012</t>
  </si>
  <si>
    <t>Increase Traffic to your Website for the Small Business Programme</t>
  </si>
  <si>
    <t>Planning &amp; Develop a Low Cost Website Spring 2012</t>
  </si>
  <si>
    <t>Planning and Developing a Low Cost Website for the Small Business Programme</t>
  </si>
  <si>
    <t>Develop a Low Cost Website Spring 2012</t>
  </si>
  <si>
    <t>Develop a Low Cost Website for the Small Business Programme</t>
  </si>
  <si>
    <t>Social Media Advanced Spring 2012</t>
  </si>
  <si>
    <t>Social Media to Market your Small Business Advanced Course</t>
  </si>
  <si>
    <t>Develop a Low Cost Website Autumn 2012</t>
  </si>
  <si>
    <t>Increase Traffic to Website Autumn 2012</t>
  </si>
  <si>
    <t>Increase Traffic to your Website Programme for the Small Business</t>
  </si>
  <si>
    <t>Develop a Low Cost Website Course No. 2 Autumn 2012</t>
  </si>
  <si>
    <t>Social Media Beginners Spring 2012</t>
  </si>
  <si>
    <t>Social Media to Market Your Small business - Beginners Programme</t>
  </si>
  <si>
    <t>Create Kilkenny</t>
  </si>
  <si>
    <t>Craft Programme to develop new craft producers and bring their products to Showcase Ireland Event</t>
  </si>
  <si>
    <t>BRC Training 2012</t>
  </si>
  <si>
    <t>BRC Mentoring/Consultancy and BRC Certification for Small Food  Producers</t>
  </si>
  <si>
    <t>Owner Manager Network</t>
  </si>
  <si>
    <t>Network for Kilkenny CEB Owner Manager clients</t>
  </si>
  <si>
    <t>Business Advisor Costs 2012</t>
  </si>
  <si>
    <t>Business Advisor Costs for 2012</t>
  </si>
  <si>
    <t>Student Enterprise Awards 2012</t>
  </si>
  <si>
    <t>Student Enterprise Awards Programme for Secondary Schools in Co. Kilkenny</t>
  </si>
  <si>
    <t>Top 10 Financial Tips Autumn 2012</t>
  </si>
  <si>
    <t>Top 10 Financial Tips Programme for the Small Business</t>
  </si>
  <si>
    <t>Traditional and Digital Marketing Autumn 2012</t>
  </si>
  <si>
    <t>Traditional and Digital Marketing Programme for the Small Business</t>
  </si>
  <si>
    <t>Start Up Boot Camp Autumn 2012</t>
  </si>
  <si>
    <t>Start Up Boot Camp Workshop for the Small Business Person</t>
  </si>
  <si>
    <t>South East Food Seminar 2012</t>
  </si>
  <si>
    <t>Food Seminar for Food Businesses in the South East of Ireland</t>
  </si>
  <si>
    <t>Techovate 2012</t>
  </si>
  <si>
    <t>Techovate Digital Seminar for the Small Business</t>
  </si>
  <si>
    <t>KILKENNY TOTAL</t>
  </si>
  <si>
    <t>Shannon Applied Biotechnology  Centre</t>
  </si>
  <si>
    <t>Shannon ABC will be a centre of excellence in bioprocessing, bioseparation and bioactive screening, mining low cost raw materials, such as marine algae and a variety of food by-products for high value end products.</t>
  </si>
  <si>
    <t>Limerick City</t>
  </si>
  <si>
    <t>Fibre Optic Hydrogen Sensor Using the thin film of Palladium Alloy</t>
  </si>
  <si>
    <t>Palladium will be alloyed and experimented with other metals such as gold, silver, nickel and others to investigate and establish the optimum response of the sensor and to improve its cross sensitivity characteristics.</t>
  </si>
  <si>
    <t>A novel velocity amplifier for enchanced energy harvesting</t>
  </si>
  <si>
    <t>The object of this project is to double the power output of a pieoelectric-based energy harvester by amplifying ambient vibrations using the principle of velocity amplification by multiple impacts to impart a shock to the transducer</t>
  </si>
  <si>
    <t>Point of Care Diagnostic Chip for the detection of herpes simplex virus</t>
  </si>
  <si>
    <t>To design, evaluate and asses the performance of a disposable microfluidic platform incorporating fluorescent detection on-chip suitable for the diagnosis of herpes simplex virus (HSV)type 1 and 2 in a point of care (POC)setting.</t>
  </si>
  <si>
    <t>Find me a Service</t>
  </si>
  <si>
    <t>FindMe is an interactive information service that pushes requested information to a user, based on user perferences and geographic location.</t>
  </si>
  <si>
    <t>High Performance Elastomer Nanocomposite Thermal Interface Materials</t>
  </si>
  <si>
    <t>Current thermal interface materials (TIMS) are inadequate to meet the power consumption demands of next-generation microprocessors. The concept is to be proven during HiPerTim is that a highly-effective TIM can be produced by incorporating metallic or ceramic nanorods into an elastomer matrix using an informed choice of nanoadditive, morphology, compatisbilister and processing conditions.</t>
  </si>
  <si>
    <t>A mulistage forced Convection Cooler</t>
  </si>
  <si>
    <t>This project aims to develop a novel multistage heat-sink technology to the point where a route to commerical exploitation becomes clear.</t>
  </si>
  <si>
    <t>Soluble Phosphate Glasses with enchanced mechanical properties for biomedical applications</t>
  </si>
  <si>
    <t>The project aims to synthesise a new soluble biomaterial with enchanced menchanical strengh based on nitrogen containing phosphate glasses</t>
  </si>
  <si>
    <t>The Halo Filter - An embolic protection device</t>
  </si>
  <si>
    <t>Stroke is the 3rd leading cause of death in Europe and United States with approx 30% of strokes being caused by embokic debris that originates in diseased carotid arteries. Carotid setenting is a minimally invasive technique that can be used to treat this disease. During stenting procedure these devices prevent debis form entering the cerebral vasulcature by filtering the blood but as a side effect servely restrict blood flow to the brain.The proposed device eliminates the reduction of bloodflow</t>
  </si>
  <si>
    <t>A novel veined heat sink for low profile thermal management applications</t>
  </si>
  <si>
    <t>The object of the project is the development of a novel heat sink technology which will alleviate the growing energy costs in data centre and telecoms applications, and offset the necessity for liquid cooling.</t>
  </si>
  <si>
    <t>Digital power SoC Incorporating Time/Event Driven Control</t>
  </si>
  <si>
    <t>The object of this project are to develop, implement and characterise new event-driven control algorithms for VRMs. The will be achived through the development of analogue "event estiation" circitry and a DSP core architecture which is designed to compute multiple parallel control laws necessary for VRMs</t>
  </si>
  <si>
    <t>Design and Development of a Novel Wireless Sensor for Assisted Living</t>
  </si>
  <si>
    <t>Design and development of a Novel Wireless Sensor for assisted living</t>
  </si>
  <si>
    <t>Development of a dual balloon catheter for treatment of carried arterial</t>
  </si>
  <si>
    <t>Development of a dual balloon catheter for treatment of carotid arterial</t>
  </si>
  <si>
    <t>Alternative Laser Doppler Virometry System</t>
  </si>
  <si>
    <t>Development of a low cost optical instrument offering features similar to and competitive with scanning laser doppler vibrometry (LDV)</t>
  </si>
  <si>
    <t>Plug Flow Heat Exchanger</t>
  </si>
  <si>
    <t>Novel heat exchanger design</t>
  </si>
  <si>
    <t>Commercialisation of FindMe</t>
  </si>
  <si>
    <t>The FindMe Proof of Concept has developed technology that pushes points of interest (specific locations) to a compatible Smartphone.</t>
  </si>
  <si>
    <t>Gratings from fibres twisted (Graffiti)</t>
  </si>
  <si>
    <t>Standard optical fibres are to be formed into chiral fibre gratings. A use of such devices is to form polarised light from unpolarised light.</t>
  </si>
  <si>
    <t>Global Environmental Communications Manager</t>
  </si>
  <si>
    <t>GEM is a generic hardware/software environmental monitoring solution that gathers data from a range of sensors and pushes it towards a central location for processing and presntation</t>
  </si>
  <si>
    <t>Exploration of Dual Voting Concepts</t>
  </si>
  <si>
    <t>This project researched concepts of dual voting whch allows a voter to cast their vote on paper while an electronic device works in the background to record it.</t>
  </si>
  <si>
    <t>An Open &amp; Transparent E-Voting System</t>
  </si>
  <si>
    <t>To develop a robust and ergonomic voting machine, central administration server and specialized ballot box.</t>
  </si>
  <si>
    <t>Develop of the commercialisation of the PreHeat</t>
  </si>
  <si>
    <t>The development of commercialisation of the Pre/Hydrate Cather for Minimallu Invasive Tissue Engineered Stent-Grafts</t>
  </si>
  <si>
    <t>Flash Endurance Analyser</t>
  </si>
  <si>
    <t>To cleary outline the steps required to initiate a spin out company to manufacture and sell flash testers and to initiate the company</t>
  </si>
  <si>
    <t>Nano and Pico litre technology for medical diagnotics</t>
  </si>
  <si>
    <t>A novel storage Radiator incorprating phase change materials for central heating applications</t>
  </si>
  <si>
    <t>Reduce domestic heating costs where storage heaters and/or sustainable energy supplies are utilised.</t>
  </si>
  <si>
    <t>Nanowire/Nanotube infused thermal interface material integrated to thermal management system</t>
  </si>
  <si>
    <t>Project aims to develop next generation thermal interface material (TIM)integrated directly on the thermal management system such as heat sink as a complete system level solution for efficient thermal management of the packaged semiconductor devices.</t>
  </si>
  <si>
    <t>PC Based unmanned underwater vehicle Payload Sonar emulation in Real-Time</t>
  </si>
  <si>
    <t>By fusing video graphic rendering techniques along with other novel developments within imaging/mapping sonar simulation a real-time high resolution sidescan sonar simulator has been developed</t>
  </si>
  <si>
    <t>Digital controller for high-efficiency DC-DC conversion</t>
  </si>
  <si>
    <t>Energy efficiency is a key driver in the adpotion of digital power conversion ICs.</t>
  </si>
  <si>
    <t>Multi purpose platform technologies for subsea operations</t>
  </si>
  <si>
    <t>The aim of this project is development of multi-purpose platform technologies for subsea operations,including easing survey equipment integration, efficient planning &amp; mission simulation, training ROV pilots and sonar operators, ROV fault-tolerant control, enchanced in mission operator environment, auto-enchanced survey execution, and offline analysis &amp; replay of acquired data.</t>
  </si>
  <si>
    <t>A novel arteriovenous graft to facilitte hemodialysis</t>
  </si>
  <si>
    <t>Hemodialsis involves removal and returning of blood from the body. An existing technology developed by the PI will be modified for use as an AV graft.</t>
  </si>
  <si>
    <t>A platform for Angioplasty and Stent Development in carotid arteries.</t>
  </si>
  <si>
    <t>The output from this project will be a pre-clinically approved platform technology for the minimally invasive treatment of Carotid Arterty Disease</t>
  </si>
  <si>
    <t>Digital Power SoC Incorporating Time/Event Driven Control</t>
  </si>
  <si>
    <t>The object of this project is to develop, implement and chartacterise new event-driven control algorithms for VRM's. This will be achieved through the development of analogue "event estimation" circuitry and a DSP core architecture which is designed to compute multiple parallel control laws necessary for VRMS.</t>
  </si>
  <si>
    <t>Nano and Pico Technology for Large Scale Protein Microarrays and clincial diagnostics</t>
  </si>
  <si>
    <t>This is a 12 month project that builds on the technology developed in the one year  Objectives: To commerically exploit the valuable enabling technology developed in POC by addressing customer and marketing place feedback.</t>
  </si>
  <si>
    <t>A platform for Angioplasty and stent deployment in carotid arteries</t>
  </si>
  <si>
    <t>The output from this project will be a pre-clinically approved platform technology for the minimally invastve treatment of Carotid Artery Disease</t>
  </si>
  <si>
    <t>The outcome of the project will be a range of IP covering the development and implementation of these new materials and their optimisation in physical design for thermal management systems capable of removing heat more efficiently.</t>
  </si>
  <si>
    <t>Stryker (Howmedica International S De RL)</t>
  </si>
  <si>
    <t>CHW Generation &amp; Distribution Installation, Replace Lennox Units with AHUs, Furnace Heat Recovery to LPHW, Cooling Bed Heat Recovery to Utility and Glazing upgrade, Vacuum Furnace and Pol Cooling Energy Initiatives, Site HVAC Upgrades, Replacement Boilers for Simplex Process</t>
  </si>
  <si>
    <t>The Crossroads Public Transport  Hubs &amp; Public Realm Enhancement Works</t>
  </si>
  <si>
    <t>The Limerick Public Realm Enhancement Scheme comprises the fourth stage of the Limerick City Centre Remodeling of Streets and Public Open Spaces Programme, led by Limerick City Council. This ambitious initiative aims to make the City Centre a pedestrian-friendly environment and a far more attractive place in which to shop, to visit, do business, and pass the time of day. _x000D_</t>
  </si>
  <si>
    <t>Incubation Centre</t>
  </si>
  <si>
    <t>The establishment of a campus incubation centre</t>
  </si>
  <si>
    <t>Incubation Centres</t>
  </si>
  <si>
    <t>Limerick Civic Trust Employment Grant</t>
  </si>
  <si>
    <t>Employment Grants Catherine Hayes Project</t>
  </si>
  <si>
    <t>Integrated Media Solutions Capital Grants</t>
  </si>
  <si>
    <t>Capital Refundable Grant for purchase of IT equipment</t>
  </si>
  <si>
    <t>Limerick Sauce Company Capital Grant</t>
  </si>
  <si>
    <t>Capital Refundable Grant for purchase of equipment for the manufacture of new range of sauces</t>
  </si>
  <si>
    <t xml:space="preserve"> Southside Office Services Capital Grants</t>
  </si>
  <si>
    <t>Capital Grant Aid for purchase of computer hardware</t>
  </si>
  <si>
    <t>Paddy Dooley Catering Capital Grant</t>
  </si>
  <si>
    <t>Capital Refundable Grant for purchase of equipment and fitting out cold room</t>
  </si>
  <si>
    <t>Masterstone Capital Grant</t>
  </si>
  <si>
    <t>Capital Refundable Grant for purchase of marble cutting equipment</t>
  </si>
  <si>
    <t>Greenseal Capital Grant</t>
  </si>
  <si>
    <t>Capital Refundable Grant for equipment and fitting out of truck for sprayfoam insulation business</t>
  </si>
  <si>
    <t>Ministry of Information Employment Grant</t>
  </si>
  <si>
    <t>Employment grant for promoter setting up a new tourism related business</t>
  </si>
  <si>
    <t>Tasty Foods Mary Hogan Employment Grant</t>
  </si>
  <si>
    <t>Employment Grant for promoter setting up a catering buisness</t>
  </si>
  <si>
    <t>Irish African Consultants Employment Grants</t>
  </si>
  <si>
    <t>Employment grants for promoter setting up a business related to sourcing 3rd level students from Africa</t>
  </si>
  <si>
    <t>C.H.L Readsland Ltd. Capital Grant</t>
  </si>
  <si>
    <t>Capital Refundable Grant for die cutting business expansion</t>
  </si>
  <si>
    <t>Southill Development Board Capital Grant</t>
  </si>
  <si>
    <t>Capital Grant Aid for equipment related to setting up a virtual office business in Southill Community Board</t>
  </si>
  <si>
    <t>Creative Hands Employment Grant</t>
  </si>
  <si>
    <t>Employment Grant for promoter setting up a jewellery business</t>
  </si>
  <si>
    <t xml:space="preserve"> Limerick Ceramic Works Employment Grants</t>
  </si>
  <si>
    <t>3 Employment Grants for promoters setting up a ceramic business graduates from LSAD</t>
  </si>
  <si>
    <t>Grains of Truth Capital Grants</t>
  </si>
  <si>
    <t>Capital Refundable Grant for purchase of ovens etc. for polish bakery</t>
  </si>
  <si>
    <t>Elite Stainless Engineering Capital Grant</t>
  </si>
  <si>
    <t>Capital Refundable Grant for purchase of equipment for the expansion of light engineering stainless steel manufacturing business</t>
  </si>
  <si>
    <t>Joseph Bourke &amp; Co. Ltd Capital Grant</t>
  </si>
  <si>
    <t>Capital Refundable Grant for introduction of new technology to existing orthodontic products business</t>
  </si>
  <si>
    <t>Aisling Chara Sheds Employment Grants</t>
  </si>
  <si>
    <t>Employment Grants for 2 promoters setting up business to suppy and fit slatted sheds to farms</t>
  </si>
  <si>
    <t>Language Link Employment Grant</t>
  </si>
  <si>
    <t>Employment Grants for promoters setting up document and other media translation services</t>
  </si>
  <si>
    <t>808 Films Employment Grants</t>
  </si>
  <si>
    <t>Employment Grant for promoter setting up new video produciton and editing business</t>
  </si>
  <si>
    <t>King Puck Hurleys Employment Grants</t>
  </si>
  <si>
    <t>Employment Grants for business importing/exporting and expansion to foreign export markets of Irish hurleys</t>
  </si>
  <si>
    <t>Myles O'Shaughnessy Feasibility Grant</t>
  </si>
  <si>
    <t>Feasibility Grant to research and determiine potential of new design wheeliebin for recycling market</t>
  </si>
  <si>
    <t>Craft Innovation Feasibility Grant</t>
  </si>
  <si>
    <t>Feasibility Grant and research into new corporate reward system aimed at expanding existing corporate gift business</t>
  </si>
  <si>
    <t>Becasi Feasibility Grant</t>
  </si>
  <si>
    <t>Feasibility Grant to do market research and prototype development for new child safety product</t>
  </si>
  <si>
    <t>The Tourist Cafe Feasibility Grant</t>
  </si>
  <si>
    <t>Feasibility Grant to do market research and develop business plan for new tourism related business</t>
  </si>
  <si>
    <t>TPM Tinridge Ltd. Feasibility Grant</t>
  </si>
  <si>
    <t>Feasibility Grant to determine market for new service providing tide information by text to marine activity users</t>
  </si>
  <si>
    <t>Business Guidance M2</t>
  </si>
  <si>
    <t>Assignment of business guides and mentors to client companies  to provide information and assistance</t>
  </si>
  <si>
    <t>Buisness Information M2</t>
  </si>
  <si>
    <t>Business Information provision to clients and general public by way of advertising, EZine of training courses for spring and autumn programme for clients of Limerick City Enterprise Board</t>
  </si>
  <si>
    <t>Conference M2</t>
  </si>
  <si>
    <t>Costs are for fees charged to attending National Conferences that relate to activities carried out by Limerick City Enterprise Board for clients</t>
  </si>
  <si>
    <t>Childcare M2</t>
  </si>
  <si>
    <t>Childcare - management development training for Childcare business owners</t>
  </si>
  <si>
    <t>Crafts</t>
  </si>
  <si>
    <t>Development of the craft and creative industries sector in Limerick City</t>
  </si>
  <si>
    <t>Fashion M2</t>
  </si>
  <si>
    <t>Part sponsorship with Limerick School of Art &amp; Design of graduate fashion show</t>
  </si>
  <si>
    <t>E Commerce Grants</t>
  </si>
  <si>
    <t>Technical assistance provided to business to develop websites and e commerce</t>
  </si>
  <si>
    <t>IT Web Development M2</t>
  </si>
  <si>
    <t>Training for clients in the area of IT, search engine optimisation and website development also provision of information on courses/booking etc. on our website directed at clients of the Board</t>
  </si>
  <si>
    <t>Enterprise Awards M2</t>
  </si>
  <si>
    <t>Creation of enterprise awareness and reinforcing success through Enterprise Awards Programme</t>
  </si>
  <si>
    <t>Financial Assistance M2</t>
  </si>
  <si>
    <t>Awareness activity by the Board of the services for clients including the provision of electronic information point based at the City Library</t>
  </si>
  <si>
    <t>Advertising M2</t>
  </si>
  <si>
    <t>Advertising and promotion in relation to M2 activities of the Board.  Advertising of Spring and autumn training programme in located newspapers, business magazines, and networking event to develop small business opportunities for clients of the Board</t>
  </si>
  <si>
    <t>Networking M2</t>
  </si>
  <si>
    <t>Planning and organising networking opportunties for business in Limerick</t>
  </si>
  <si>
    <t>PLATO M2</t>
  </si>
  <si>
    <t>Management Development Programme for owner managers in conjuncion with IBEC FAS and Chamber of Commerce</t>
  </si>
  <si>
    <t>Promotion of trainig and development programmes M2</t>
  </si>
  <si>
    <t>Promotion of Networking events during the year this expenses includes speaker costs for networking events, hotel costs, advert in local newspaper of results there is a clear audit trail to support this</t>
  </si>
  <si>
    <t>Promotion Committee M2</t>
  </si>
  <si>
    <t>Contribution of National PR for County and City Enterprise Boards.  This fund is directly linkeed to National Enterprise awards media activity</t>
  </si>
  <si>
    <t>Research</t>
  </si>
  <si>
    <t>Research carried out by the Board into client needs and demand for review of Strategic Plan</t>
  </si>
  <si>
    <t>Schools M2</t>
  </si>
  <si>
    <t>Student enterprise programme aimed at the development of Enterprise Culture at primary and 2nd level</t>
  </si>
  <si>
    <t>M2Limerick Business Week</t>
  </si>
  <si>
    <t>M2Concerntrated business week in order to have business events, promote the Board and increase awareness of the Boards Services All costs are eligible for co funding and no admin costs have been included</t>
  </si>
  <si>
    <t>M2 Start Your Own Business Course</t>
  </si>
  <si>
    <t>Start Your Own Business training programme for potential enterpreneurs</t>
  </si>
  <si>
    <t>Marketing Grant M2</t>
  </si>
  <si>
    <t>Technical assistance provided to business to do marketing campaigns/attend trade shows etc.  This Marketing grant aid is exclusively for clients marketing costs and relates exclusively to erdf and all costs are eligible for co-funding on the project description</t>
  </si>
  <si>
    <t>Equal Point 2 Enterprise</t>
  </si>
  <si>
    <t>Partnership with PAUL Partnership in EU Equal Programme to increase the numbers of start ups in marginal commnuitites/unemployed</t>
  </si>
  <si>
    <t>Training Grants M2</t>
  </si>
  <si>
    <t>Training Grants - technical assistance provided to business to access training courses not provided by the Board or funded by FAS</t>
  </si>
  <si>
    <t>Women In Business m2</t>
  </si>
  <si>
    <t>Management Development Programme for female entrepreneurs</t>
  </si>
  <si>
    <t>Workshops &amp; Seminars M2</t>
  </si>
  <si>
    <t>General training and development aimed at increaseing the knowledge and skills of business owners thus assisting them to grow and develop their buisness This is a training ESF type activity</t>
  </si>
  <si>
    <t>CSR</t>
  </si>
  <si>
    <t>Programme aimed at the development of Corporate Social Responsibility among owners/managers</t>
  </si>
  <si>
    <t>Enterprise Bus M2</t>
  </si>
  <si>
    <t>Contribution to National Programme for Enterprise Bus to spend 1 week in Limerick to promote Boards services</t>
  </si>
  <si>
    <t>Design</t>
  </si>
  <si>
    <t>Working with Design Shannon to carry out design audits in business and assist owner managers develop their products and services</t>
  </si>
  <si>
    <t>General Workshops</t>
  </si>
  <si>
    <t>General training and development aimed at increasing knowledge and skills of business owners thus assisting them to grow and develop their business</t>
  </si>
  <si>
    <t>Website Development M2</t>
  </si>
  <si>
    <t>Provision of additional business supports to clients through the Boards website capital expenditure of website upgrading</t>
  </si>
  <si>
    <t>Training Back To Work Business  M2</t>
  </si>
  <si>
    <t>Limerick City Enterprise Board and Paul Partnership are partners in jointly running programmes for business mainly thoes that have been assisted by way of the back to work allowance but not exclusively so.  The Partnership organise and run these courses in conjunction with the Board and the Board makes a contribution to the cost.  There is no overlapping of EU aid in this project</t>
  </si>
  <si>
    <t>Co Op Student M2</t>
  </si>
  <si>
    <t>Partnership with UL/MIC to facilitate Co-Op student assisting in the implementation of M2 programmes in the city</t>
  </si>
  <si>
    <t>Promotional Material</t>
  </si>
  <si>
    <t>Design and production of promotional material for the Board</t>
  </si>
  <si>
    <t>Case Studies</t>
  </si>
  <si>
    <t>Production of case studies of successful entrepreneurs as part of the Boards Enterprise Awareness Programme</t>
  </si>
  <si>
    <t>Skillnets</t>
  </si>
  <si>
    <t>Contribution to Regional Programme funded by skillnets for Light Engineering Sector Companies</t>
  </si>
  <si>
    <t>Corporate Games</t>
  </si>
  <si>
    <t>Contribution to Staff development and training</t>
  </si>
  <si>
    <t>Salary and expenses of Business Advisor employed 100% on Measure 2 activity</t>
  </si>
  <si>
    <t>Curran Scientific Ltd. Capital Grant</t>
  </si>
  <si>
    <t>Capital Grant for purchasing of equipment for a  Specialized materials business for medical devices - Imaging Source Macro Zoom System, 250v Hand held lamp</t>
  </si>
  <si>
    <t>Ask The Nurses Capital Grant</t>
  </si>
  <si>
    <t>Capital Grant to purchase a computer for an medical information website</t>
  </si>
  <si>
    <t>Easyas.ie Employment Grant</t>
  </si>
  <si>
    <t>Employment grant to set up a propertly portal providing professional means of promoting property sale</t>
  </si>
  <si>
    <t>Language Travel Ireland Employment Grant</t>
  </si>
  <si>
    <t>Employment Grant Language Travel Ireland EFL teaching english as a foreign lanugage teaching sport cultural</t>
  </si>
  <si>
    <t>Pedigree Cattle Employment Grant</t>
  </si>
  <si>
    <t>Employment Grant Pedigree cattle web service for breeders</t>
  </si>
  <si>
    <t>Universal Kitchens Employment Grant</t>
  </si>
  <si>
    <t>Universal Kitchen Employment Grant for manufacture of custom build fitted kitchens &amp; furniture</t>
  </si>
  <si>
    <t>Superior Doors Employment Grant</t>
  </si>
  <si>
    <t>Employment Grant Superior Doors- for the supplying and fitting of external doors</t>
  </si>
  <si>
    <t>DCM Compliance Employment Grant</t>
  </si>
  <si>
    <t>DCM Employment Grants to provide Health &amp; Safety Service</t>
  </si>
  <si>
    <t>Goodbuy Ltd. Employment Grant</t>
  </si>
  <si>
    <t>Employment grant Goodbuy Ltd. for online shopping network</t>
  </si>
  <si>
    <t>Quality Project Practice Ltd. Employment Grant</t>
  </si>
  <si>
    <t>Employment Grants 5 jobs to be created Quality Project Practice - project management &amp; software testing</t>
  </si>
  <si>
    <t>Immigration Services Feasibility Grant</t>
  </si>
  <si>
    <t>Feasibility Grant for an immigration consultancy service</t>
  </si>
  <si>
    <t>ESG LTD Employment Grant</t>
  </si>
  <si>
    <t>ESG Ltd. Employment Grant for payroll book keeping service</t>
  </si>
  <si>
    <t>Nerillium Employment Grant</t>
  </si>
  <si>
    <t>Nerillium Employment Grant for training and support systems for the greyhound industry 2 jobs to be created</t>
  </si>
  <si>
    <t>AK Ilen Co. Ltd. Employment Grant</t>
  </si>
  <si>
    <t>Employment Grant Ak Ilen Co. for training in timber craft &amp; boat building</t>
  </si>
  <si>
    <t>Anotherfriend Employment Grant</t>
  </si>
  <si>
    <t>Employment Grant Another Friend - Internet Dating Service</t>
  </si>
  <si>
    <t>Limerick College of Business Studies Employment</t>
  </si>
  <si>
    <t>Limerick College of business is a private college training internationally. 4 Employment Grant Limerick College of Business Studies ACCA professional accoutancy qualified</t>
  </si>
  <si>
    <t>Patrick Harnett Employment Grant</t>
  </si>
  <si>
    <t>Employment Grant Patrick Hartnett - mounted photography products</t>
  </si>
  <si>
    <t>De Danann Stonecraft Employment Grant</t>
  </si>
  <si>
    <t>Employment Grant De Danann Stonecraft - Gravestone retail &amp; wholesale</t>
  </si>
  <si>
    <t>Munster Green Homes Employment Grant</t>
  </si>
  <si>
    <t>Employment Grant - Munster Green Homes 3 jobs</t>
  </si>
  <si>
    <t>Kelmac Engineering Capital Grant</t>
  </si>
  <si>
    <t>Capital Grant purchase of equipment for stainless steel and mild fabrication business- Horizontal Double Swivel, profile bender, gear head drill, guillotine, ton press brake,histrike welding plants 400v</t>
  </si>
  <si>
    <t>Bena Renewable Energy Feasibility</t>
  </si>
  <si>
    <t>Feasibility - Bena Renewable Energy - manufacture of windows/doors and solar systems</t>
  </si>
  <si>
    <t>Damien McNamara Feasibility</t>
  </si>
  <si>
    <t>Feasibility Study -Electrical vehicle conversion provision of recharge services</t>
  </si>
  <si>
    <t>Emmalynn Communications Feasibility Grant</t>
  </si>
  <si>
    <t>Feasibility on bringing high tech telecom products and services to Africia</t>
  </si>
  <si>
    <t>Agnes Roznyai Feasibility Grant</t>
  </si>
  <si>
    <t>Feasibility Grant - Design of womens occasional wear</t>
  </si>
  <si>
    <t>Emmalynn Communications Employment Grant</t>
  </si>
  <si>
    <t>Employment Grant - export of telecom products PC Hardware &amp; Software</t>
  </si>
  <si>
    <t>Agnes Roznyai Employment Grant</t>
  </si>
  <si>
    <t>Employment Grant Agnes Roznyai -Design of womens occasional wear fashion wear</t>
  </si>
  <si>
    <t>Eightball Promotions Employment Grant</t>
  </si>
  <si>
    <t>Employment Grant Eight ball promotions for event managment publishing magazine</t>
  </si>
  <si>
    <t>M2 Management Development Programme</t>
  </si>
  <si>
    <t>Management Development Programme training programme for business in operation &gt; 2 years</t>
  </si>
  <si>
    <t>Temp Technologies/BE</t>
  </si>
  <si>
    <t>Temp Technologies Ltd. Business Expansion Grant towards the development of sales and maintenance of combined heat and power solutions to businesses in Ireland &amp; UK.  Funding towards market research and the creation of 2 jobs</t>
  </si>
  <si>
    <t>Alfa Skip Hire Feasibility Grant</t>
  </si>
  <si>
    <t>Alfa Skip Hire is a feasibilty study grant on skip hire for the removal and treatment of organic waste resulting in composit</t>
  </si>
  <si>
    <t>Antiqua Recording Feasibility Grant</t>
  </si>
  <si>
    <t>Antiqua Recordings are carrying out a feasibility study on a buisness that will sell music records produced in house, digital downloads for nightclubs and festival events</t>
  </si>
  <si>
    <t>Floatlights Feasibility Grant</t>
  </si>
  <si>
    <t>A feasibility Grant to Floatlight Ltd. to establish the viability of a water powered solution service to a wide range of energy consumers</t>
  </si>
  <si>
    <t>SignLynx Feasibility Grant</t>
  </si>
  <si>
    <t>SignLynx is a feasibility Study on a mobile Scrolling Advertising Trailer</t>
  </si>
  <si>
    <t>Get Me There Priming Grant</t>
  </si>
  <si>
    <t>Get Me There Priming Grant is a software development company designing an application to be used on mobile phone, key ring app that help a car breakdown assistance company locate a vechicle.  Grant approved for towards capital equipment, prototype, towards the creation of 2 jobs.</t>
  </si>
  <si>
    <t>Travelace Priming Grant</t>
  </si>
  <si>
    <t>Travel Ace Priming Grant to provide a Marketing System using airport based kiosks to capture customer data for relevant persons.  This project results in creation of 2 jobs</t>
  </si>
  <si>
    <t>Hotels Deals International Priming Grant</t>
  </si>
  <si>
    <t>Hotel deals International priming grant to offer a highly targetted network of hotel booking portals.  Funding is towards creation of 1 job and marketing research</t>
  </si>
  <si>
    <t>BCM Ltd. Business Expansion Grant</t>
  </si>
  <si>
    <t>BCM Ltd. Business expansion grant to provide a cost reduction service to businesses and to franchise its business model internationally.  This project will result in the creation of 3 jobs, purchase of capital equipment and market research</t>
  </si>
  <si>
    <t>Great Limerick Run Priming Grant</t>
  </si>
  <si>
    <t>Great Limerick Run priming grant to develop an annual athletic event encompassing 10k, half and full marathon.  The grant will result in the creation of 1 job and marketing</t>
  </si>
  <si>
    <t>Corenex Priming Grant</t>
  </si>
  <si>
    <t>Corenex Ltd priming Grant to provide a cleaning tank to commercial kitchens for cleaning utensils etc.  This funding will lead to creation of 2 jobs</t>
  </si>
  <si>
    <t>Spoonsafari Priming Grant</t>
  </si>
  <si>
    <t>Spoonsafari Priming Grant is a mobile software company specialising in creation of mobile phone apps.  Creation of 1 job</t>
  </si>
  <si>
    <t>Commerical Pumps Repair Priming Grant</t>
  </si>
  <si>
    <t>Commerical Pumps Repairs priming grant.  A pump service, repair and manufacturing the driveshaft and motors for pumps. creation of 2 jobs</t>
  </si>
  <si>
    <t>Edware Business Expansion Grant</t>
  </si>
  <si>
    <t>Edware business expansion grant towards the software companies expansion into international markets of its geograpgy school software.  resulting in the purchase of capital equipment, marketing and the creation of 2 jobs</t>
  </si>
  <si>
    <t>Cottner Technology Ltd.Business Expansion Gratn</t>
  </si>
  <si>
    <t>Cottner Technology Business Expansion Grant toward the design, manufacture &amp; market products used to control and monitor electrical appliances from remote locations.   creation of 3 jobs</t>
  </si>
  <si>
    <t>Kick Start Training Programme</t>
  </si>
  <si>
    <t>Kick Start Training Programme consisting of 3 seminars to assist clients in developing and implementing a strategic plan for their business</t>
  </si>
  <si>
    <t>Feasibility Grant Prestige Resources Limerick</t>
  </si>
  <si>
    <t>Feasibility study into a bottle crusher to be used in bars/restaurants</t>
  </si>
  <si>
    <t>J&amp;B Equipment Priming Grant</t>
  </si>
  <si>
    <t>J&amp;B Equipment LTD Priming grant is a company that exports Irish secondhand agriculture farmining equipment to Poland, the client in Poland pays for delivery funding towards the creation of 2 jobs</t>
  </si>
  <si>
    <t>Clever Cooks priming Grant</t>
  </si>
  <si>
    <t>Clever Cooks Priming Grant. an employment grant for Clever Cooks a business that teaches people how to cook nutritious food at home targetted at individuals/small groups in their homes</t>
  </si>
  <si>
    <t>Indacoop Design Ltd. Priming Grant</t>
  </si>
  <si>
    <t>Indacoop Design Ltd. Priming Grant towards one employee, rent and marketing for the business of design and manufacture of hens coops and dog kennels for sale</t>
  </si>
  <si>
    <t>Almir Business Ltd. Business Expansion Grant</t>
  </si>
  <si>
    <t>Almir Ltd. Development business expansion grant towards taking on an employee the business provides an online training tool almirlive which will open international markets and an opportunity to franchise the training tool abroad</t>
  </si>
  <si>
    <t>CJ Imports Ltd. Feasibility Grant</t>
  </si>
  <si>
    <t>CJ Imports Feasibility test and development of a window sill extension to be used on an external wall which will be insulated impervous to water pentetration with a strength relative to concrete</t>
  </si>
  <si>
    <t>Fabulous Fit Lingerie Priming Grant</t>
  </si>
  <si>
    <t>Fabulous Fit Lingerie priming grant taking on of an employee to provide a fitting service targetted at nursing homes, bridal wear, hospital post mastecomy &amp; individual customer</t>
  </si>
  <si>
    <t>Ekotree Ltd. Priming Grant</t>
  </si>
  <si>
    <t>Ekotree Ltd. Priming Grant towards taking on an employee this business involved in the design and development of envirnomentally friendly knitwear, manufacturing to be outsourced to Donegal</t>
  </si>
  <si>
    <t>Sonar Sim Ltd. Priming Grant</t>
  </si>
  <si>
    <t>Sonar Sim Ltd priming grant -take on a 2 full time oriented technology company.  Their product Sonar Sim is the first survey scale hydrographic simulator software package.  Capital costs include 2 laptops 1 high performance development and 1 for demo purpose.  Marketing costs exhibition advertising in oceangraphics journals website development</t>
  </si>
  <si>
    <t>Gnarly Adventure Ltd. Priming Grant</t>
  </si>
  <si>
    <t>Gnarly Adventure Ltd. priming grant towards taking on one full time employee.  An online technology business providing services to business interested in adventure travel. Marketing costs on advertising apparel promotion goods adventure exhibition consultancy cost to research uk market</t>
  </si>
  <si>
    <t>Frank McCourt Museum Priming Grant</t>
  </si>
  <si>
    <t>Frank Mccourt priming grant to promote Frank McCourt Museum Limerick through taking on a full time employee</t>
  </si>
  <si>
    <t>My Expert Answers Priming Grant</t>
  </si>
  <si>
    <t>My Expert Answer Priming Grant for an internet based business that allow the general public to obtain direct answers from professional such as finance/medical.  Finance for marketing activities</t>
  </si>
  <si>
    <t>PHM Consulting Priming Grant</t>
  </si>
  <si>
    <t>PHM Consulting Priming Grant for Marketing activity  to find business in UK and Isle of Man for a consulting engineering company providing structural civil and envirnomental consulting, engineering services to construction servive</t>
  </si>
  <si>
    <t>Web3 Priming Grant</t>
  </si>
  <si>
    <t>Web3 priming grant is an online marketing service business and provides other online marketing buisness with solutions using specifically designed web3 software, this grant is towards taking on an employee</t>
  </si>
  <si>
    <t>St. Munchins Community Enterprise Business Expansion Grant</t>
  </si>
  <si>
    <t>St. Munchins Community Enterprise Board business expansion grant towards the expansion of training centre services to increase economic development by means of an employment grant</t>
  </si>
  <si>
    <t>Unison Engineering Services Ltd. Business Expansion Grant</t>
  </si>
  <si>
    <t>Unison Engineering Ltd. Business Expansion Grant. towards marketing and capital equipment for the design of water saver unit which drastically reduces costs through the recycling process of water which otherwise would be disposed of.</t>
  </si>
  <si>
    <t>Google Initiative M2</t>
  </si>
  <si>
    <t>Google Initiative Md Getting business on line.  A training course to help clients set up a basic website</t>
  </si>
  <si>
    <t>Accelerate Program M2</t>
  </si>
  <si>
    <t>Accelerate Programme M2 is a Management development programme for businesses in existence 3 years and more to drive business forward, programme was over a 6 month period</t>
  </si>
  <si>
    <t>Regeneration Project M2</t>
  </si>
  <si>
    <t>The aim of this initiative is to stimulate the creation of successful Community/Social Enterprises in Limerick City. _x000D_Social and Community Enterprises are businesses set up to tackle social, economic or environmental issues. Driven primarily by social and/or environmental motives, they engage in activities of a commercial nature in order to produce social and community gain. _x000D_The 4 module programme with practical workshops and mentoring will enable people involved in startup community/social</t>
  </si>
  <si>
    <t>E Commerce Grant M2</t>
  </si>
  <si>
    <t>Technical assistance provided to businesses to developed websites and E Commerce</t>
  </si>
  <si>
    <t>Adgen Feasibility</t>
  </si>
  <si>
    <t>Fleasibility Grant Researching smartphone app to offer advertising via sms to register users.  Users will received free credit for each advert.  Advertisers will be charged once text is read</t>
  </si>
  <si>
    <t>Attic Igloo Feasibility</t>
  </si>
  <si>
    <t>Feasibility Grant to develop a stand alone tank insulated for water for the attic, specialised unit which completly encloses the tank</t>
  </si>
  <si>
    <t>BCM Feasibility</t>
  </si>
  <si>
    <t>BCM Feasibility on breaking into the USA market on providing a cost reduction service to businesses</t>
  </si>
  <si>
    <t>Shadowman's Sports Ltd. Feasibility</t>
  </si>
  <si>
    <t>Feasibility sport product development lab for education and rehab sports products</t>
  </si>
  <si>
    <t>Texton Priming Grant</t>
  </si>
  <si>
    <t>Remote control heat and alarm system moved from retail to wholesale expansion to UK markets</t>
  </si>
  <si>
    <t>WEMS Priming Grant</t>
  </si>
  <si>
    <t>WEMS instal wireless energy management systems targetting business will energy bills in excess of 15k.  These wireless systems are faster to install and cheaper</t>
  </si>
  <si>
    <t>Nolan Woodcraft Priming Grant</t>
  </si>
  <si>
    <t>Manufacturing a traditional heritage of high end woodcraft products</t>
  </si>
  <si>
    <t>Webposit Ireland Priming Grant</t>
  </si>
  <si>
    <t>business Website - documents letters invoices customers log on from anywhere in the world select the required service ie invoice,
A busines Website - documents letters invoices customers log on from anywhere in the world select the required service</t>
  </si>
  <si>
    <t>CJ Imports Business Expansion</t>
  </si>
  <si>
    <t>Manufacture of Insulated Windows oversills which will replace the existing imports of stainless steel products which cause thermal bridging</t>
  </si>
  <si>
    <t>Sinnott Training &amp; Certificate Business Expansion</t>
  </si>
  <si>
    <t>STAC provide a range of services to meet health and safety training needs of the industry and to residential they have now designed a new product called FAY first aid for youth product</t>
  </si>
  <si>
    <t>Techpart Ltd Business Expansion</t>
  </si>
  <si>
    <t>Techpart wishes to manufacture standard and customised computer cables for Irish &amp; UK Markets</t>
  </si>
  <si>
    <t>Commercial Pumps Business expansion</t>
  </si>
  <si>
    <t>Pump service, repair and manufacturing business targetting the industrial market. seeking employment grants</t>
  </si>
  <si>
    <t>Mobanode Business Expansion</t>
  </si>
  <si>
    <t>Mobanode currently develops bespoken &amp; custom mobile apps for the events market. There aim is to expand their reach and customer base by developing solutions that are accessible to the greater events market</t>
  </si>
  <si>
    <t>Foodie Expo M2</t>
  </si>
  <si>
    <t>Foodies expo to promote food businesses producers in the area</t>
  </si>
  <si>
    <t>UL Cycle 4 Nanoscience and Nano-scale Technologies for Ireland (NANOTEIRE)</t>
  </si>
  <si>
    <t>UL Cycle 4 National Biophotonics &amp; Imaging Platform (NBIP)</t>
  </si>
  <si>
    <t>UL National Centre of Applied Materials Research Cycle 5</t>
  </si>
  <si>
    <t>To develop search programmes, specifically in pharmaceutical &amp; composite materials, which will assist in future knowledge transfer &amp; position Ireland as a preferred location for further investment and employment. NCAMR will support the expansion of the SFI-SRC in Solid State Pharmaceuticals to form an internationally established centre of excellence on all aspects of the formation of pharmaceutical materials.</t>
  </si>
  <si>
    <t>UL Research Equipment Renewal Grant</t>
  </si>
  <si>
    <t>Various equipment items for key research areas identified in the HEA/Forfas Research Infrastructure Review 'Research Infrastruture in Ireland - Building for Tomorrow.' Published in 2007.  _x000D_
Areas: ICT; Food and Health; Bioscience, Environment and Bioengineering; Engineering; Materials and Surface Science; Pharmaceuticals.</t>
  </si>
  <si>
    <t>MIC RERG</t>
  </si>
  <si>
    <t>Various equipment items for key research areas identified in the HEA/Forfas Research Infrastructure Review 'Research Infrastructure in Ireland - Building for Tomorrow.' Published in 2007. Items include: Psychophyiological Research Laboratory Suite;  Wireless group response system; Stereomicroscope.</t>
  </si>
  <si>
    <t>Smarter Travel Limerick</t>
  </si>
  <si>
    <t>Sustainable transport project to encourage more people to walk, cycle or use public transport as a means of travelling to work or education, thus reducing reliance on vehicles and use of fossil fuels in Limerick City.</t>
  </si>
  <si>
    <t>Smarter Travel</t>
  </si>
  <si>
    <t>INCUBATION CENTRES TOTAL</t>
  </si>
  <si>
    <t>SMARTER TRAVEL TOTAL</t>
  </si>
  <si>
    <t>LIMERICK CITY TOTAL</t>
  </si>
  <si>
    <t>High St. Medical Centre</t>
  </si>
  <si>
    <t>Fitting of heat tube system. 50 no. on roof stand. Approx size gross 8.26sq.m and 300L storage tank. Rezoning of existing heating system</t>
  </si>
  <si>
    <t>Limerick County</t>
  </si>
  <si>
    <t>Tommy Liston</t>
  </si>
  <si>
    <t>Installation of 2.6 sq m of evacuated tube solar collectors.</t>
  </si>
  <si>
    <t>Bawnmore Housing Association Ltd</t>
  </si>
  <si>
    <t>1 No 17.5 Geothermal heat Pump will provide two thirds of the heating load for the building and will provide domestic hot water supply as a priority._x000D_</t>
  </si>
  <si>
    <t>St. Joseph's Foundation</t>
  </si>
  <si>
    <t>Solar Thermal collector for dwelling house to heat power_x000D_</t>
  </si>
  <si>
    <t>R&amp;M Fitzgerald T/A Fitzgerald Woodlands House Hotel &amp; Spa</t>
  </si>
  <si>
    <t>Install 44.88 sp m evacuated tube solar collector at Adare, Co. Limerick</t>
  </si>
  <si>
    <t>Denis Holmes Fitted Kitchens</t>
  </si>
  <si>
    <t>Installation of a 90 kW wood chip/ wood pellet boiler at Murroe, Co. Limerick</t>
  </si>
  <si>
    <t>Deebert House Hotel Partnership</t>
  </si>
  <si>
    <t>To use a 150kw wood pellet boiler to provide the primary hot water and space heating for a new hotel. The move away from a dependency on fossil fuels is consistent with the hotels environmental philosophy. _x000D_</t>
  </si>
  <si>
    <t>Glin Homes for the Elderly Ltd</t>
  </si>
  <si>
    <t xml:space="preserve">To install solar panels (8sq m of evacuated tube solar collectors) in the day care centre at Glin Homes for the Elderly in order to reduce dependency on electricity/gas for the centres hot water and heating bearing in mind environmental concerns and with a view to medium and long term savings </t>
  </si>
  <si>
    <t>Cappamore GAA Club</t>
  </si>
  <si>
    <t>Installation of solar direct hot water system in dressing rooms of sports club (shower areas). replacing existing electric heating of water</t>
  </si>
  <si>
    <t>David Cuddy</t>
  </si>
  <si>
    <t>It is proposed to install a geothermal heat pump to heat offices and circulation areas and to heat domestic hot water.  The heat pump will reduce the heating bill &amp; reduce the carbonfoot print of the building_x000D_</t>
  </si>
  <si>
    <t>Paul Murphy</t>
  </si>
  <si>
    <t>Feasibility study in consideration of biomass boilers for the development of 137 houses.</t>
  </si>
  <si>
    <t>PJ &amp; Noel Noonan T/A University Business Complex</t>
  </si>
  <si>
    <t>The Noonan Office &amp; Leisure Complex is a brownfield site building development at Limerick University Business Park with a single building footprint of over 30,000m2 providing office space, data centre facilities, an indoor golf range and, storage facilitie_x000D_</t>
  </si>
  <si>
    <t>Milford Care Centre</t>
  </si>
  <si>
    <t>Installation of 1 no. ENER.G 100 CHP Unit and Peripheral equipment. CHP will be installed to reduce energy/environmental costs &amp; requirements on site_x000D_</t>
  </si>
  <si>
    <t>Doon GAA Club</t>
  </si>
  <si>
    <t>Installation of 16m2 of flat plate solar panels.</t>
  </si>
  <si>
    <t>Glenstal Abbey</t>
  </si>
  <si>
    <t>Installation of 21.53 m2 evacuated tube solar panels.</t>
  </si>
  <si>
    <t>Hanrahan Farms Ltd</t>
  </si>
  <si>
    <t>Installation of 84 kW heat pump.</t>
  </si>
  <si>
    <t>McDonnell Farms Biogas Limited</t>
  </si>
  <si>
    <t>Installation of a 350 kWe 263Kwt AD CHP plant</t>
  </si>
  <si>
    <t>AHP Manufacturing BV T/A Wyeth Medica Ireland</t>
  </si>
  <si>
    <t>The grantee will install a heat exchanger</t>
  </si>
  <si>
    <t>Mowlam Healthcare Ltd</t>
  </si>
  <si>
    <t>Retrofit Heating systems in 12 Nursing Homes, Installing Air to Water heat Pumps, creating a hybrid heating system by retaining or installing high efficiency condensing boilers in conjunction with the heat pumps, installing heating system controls, web-based monitoring &amp; reporting of energy use &amp; installing heat exchangers.</t>
  </si>
  <si>
    <t>Abington Enterprise Centre-Capital</t>
  </si>
  <si>
    <t>Upgrading of a community Enterprise Centre.</t>
  </si>
  <si>
    <t>Athea Homemade Puddings-Capital</t>
  </si>
  <si>
    <t>Funding towards a vacuum packer and lift hoist with cooling bin and basket for the production of puddings.</t>
  </si>
  <si>
    <t>Arbutus Foods-Capital</t>
  </si>
  <si>
    <t>Capital Investment grant for manufacturing a range of desserts.</t>
  </si>
  <si>
    <t>BB Net-Employment</t>
  </si>
  <si>
    <t>Employment Grant for Broadband provider.</t>
  </si>
  <si>
    <t>Safety Storage Ltd.-Capital</t>
  </si>
  <si>
    <t>Safety Storage for Businesses.</t>
  </si>
  <si>
    <t>Chawke &amp; Moran-Capital</t>
  </si>
  <si>
    <t>Design and assembly of industrial washing machines.</t>
  </si>
  <si>
    <t>JOD Food Products-Capital</t>
  </si>
  <si>
    <t>Cheese processing equipment.</t>
  </si>
  <si>
    <t>Mc Sweeney Sports Surfaces-Employment</t>
  </si>
  <si>
    <t>Sports Surfaces for all weather playing pitches.</t>
  </si>
  <si>
    <t>Mungret Engineering-Capital</t>
  </si>
  <si>
    <t>Light Engineering Company.</t>
  </si>
  <si>
    <t>Airmount Engineering-Capital</t>
  </si>
  <si>
    <t xml:space="preserve"> Equipment for Steel Fabrication.</t>
  </si>
  <si>
    <t>Abbey Fabrication-Capital</t>
  </si>
  <si>
    <t>Specialised Stainless Steel Fabrication.</t>
  </si>
  <si>
    <t>Tricycle Interactive-Employment</t>
  </si>
  <si>
    <t>Employment Grant for multimedia design company.</t>
  </si>
  <si>
    <t>SS Polishers Ireland Ltd.-Capital</t>
  </si>
  <si>
    <t>Stainless Steel Cleaning and Polishing.</t>
  </si>
  <si>
    <t>Gavin Miller-Capital</t>
  </si>
  <si>
    <t>Steel Roof Purlines and matching cleats.</t>
  </si>
  <si>
    <t>Zip Promotions-Employment</t>
  </si>
  <si>
    <t>Employment Grant in respect of an event management IT system.</t>
  </si>
  <si>
    <t>JR's Workshop-Capital</t>
  </si>
  <si>
    <t>Engineering Business</t>
  </si>
  <si>
    <t>QuickBooks Beginners/Advanced</t>
  </si>
  <si>
    <t>Computerised Accounts Course using QuickBooks Software.</t>
  </si>
  <si>
    <t>Business Publications</t>
  </si>
  <si>
    <t>Training Schedules and General Business Publications for print.</t>
  </si>
  <si>
    <t>Employment Legislation</t>
  </si>
  <si>
    <t>Employment Legislation Course for SME's</t>
  </si>
  <si>
    <t>HACCP/Health &amp; Safety</t>
  </si>
  <si>
    <t xml:space="preserve">HACCP/Health &amp; Safety Training </t>
  </si>
  <si>
    <t>Mentoring one to One</t>
  </si>
  <si>
    <t>One to One Mentoring with Enterprise Board clients in areas such as Marketing, Business Planning and Product Development.</t>
  </si>
  <si>
    <t>N.S.E.A</t>
  </si>
  <si>
    <t>National Student Enterprise Awards.</t>
  </si>
  <si>
    <t>Pricing and Costing</t>
  </si>
  <si>
    <t>Pricing and Costing your product or service.</t>
  </si>
  <si>
    <t>Sales Training 1</t>
  </si>
  <si>
    <t>Sales and Marketing course.</t>
  </si>
  <si>
    <t>Sales Training 2</t>
  </si>
  <si>
    <t>Sales Training Course</t>
  </si>
  <si>
    <t>Sponsorship/Promotion</t>
  </si>
  <si>
    <t>Sponsorship of local events and promotion of Limerick County Enterprise Board at events.</t>
  </si>
  <si>
    <t>SYOB 1</t>
  </si>
  <si>
    <t>Start your own Business Course</t>
  </si>
  <si>
    <t>SYOB 2</t>
  </si>
  <si>
    <t>SYOB 3</t>
  </si>
  <si>
    <t>SYOB 4</t>
  </si>
  <si>
    <t>Start your Own Business Course</t>
  </si>
  <si>
    <t>SYOB 5</t>
  </si>
  <si>
    <t>SYOB 6</t>
  </si>
  <si>
    <t>SYOB 7</t>
  </si>
  <si>
    <t>Strategic Management Development Programme</t>
  </si>
  <si>
    <t>Strategic Management Programme for established Enterprise Board clients.</t>
  </si>
  <si>
    <t>Stress Management</t>
  </si>
  <si>
    <t>Stress Management Course</t>
  </si>
  <si>
    <t>Time Management Course</t>
  </si>
  <si>
    <t>Business Development</t>
  </si>
  <si>
    <t>Assistance Towards Business Planning, Market Research, New Product Development and Website Development</t>
  </si>
  <si>
    <t>Women in Business</t>
  </si>
  <si>
    <t>Women in Business Network Meetings</t>
  </si>
  <si>
    <t>Banking Seminar</t>
  </si>
  <si>
    <t>How to approach a bank when looking for funding for your business for CEB clients.</t>
  </si>
  <si>
    <t>Customer Care</t>
  </si>
  <si>
    <t>How to adopt good customer care practices in your business for CEB Clients.</t>
  </si>
  <si>
    <t>Plato</t>
  </si>
  <si>
    <t>Business Support Forum for Owners/Managers of S.M.E's</t>
  </si>
  <si>
    <t>Understanding Accounts</t>
  </si>
  <si>
    <t>Understanding of profit and Loss/ balance sheet accounts.</t>
  </si>
  <si>
    <t>Enterprise Awards</t>
  </si>
  <si>
    <t>Local enterprise awards for businesses that have received grant aid who then represent the county at national level.</t>
  </si>
  <si>
    <t>Banking/Treasury Management</t>
  </si>
  <si>
    <t>How banks view your business, future tends in interest and exchange rates, how to maximise the valus of your business and how to raise funds for business for CEB Cients.</t>
  </si>
  <si>
    <t>Printing of training schedule and promotional material.</t>
  </si>
  <si>
    <t>Employment Legislation course for SME's</t>
  </si>
  <si>
    <t>Food Technology Programme</t>
  </si>
  <si>
    <t>Food Technology programme in cooperation with UCC.</t>
  </si>
  <si>
    <t>HACCP/H&amp;S</t>
  </si>
  <si>
    <t>HACCP Health and Safety Training for food Business</t>
  </si>
  <si>
    <t>Mentoring One to One</t>
  </si>
  <si>
    <t>One to One mentoring with LCOEB Clients</t>
  </si>
  <si>
    <t>NSEA</t>
  </si>
  <si>
    <t>National Student Enterprise Awards are designed to give students practical experience of setting up and running their own business.</t>
  </si>
  <si>
    <t>Pricing &amp; Costing</t>
  </si>
  <si>
    <t>Pricing &amp; Costing your product or service.</t>
  </si>
  <si>
    <t>Sales Traing Course</t>
  </si>
  <si>
    <t>Sponsorship &amp; Promotion</t>
  </si>
  <si>
    <t>Sponsorship of local events and promtotion of Enterprise Board.</t>
  </si>
  <si>
    <t>Start  your own business course.</t>
  </si>
  <si>
    <t>Start your own business course.</t>
  </si>
  <si>
    <t>Strat your own business course.</t>
  </si>
  <si>
    <t>Start your own business course</t>
  </si>
  <si>
    <t>Strategic Management Programme</t>
  </si>
  <si>
    <t>Strategic Management Development Programme for established Enterprise Board Clients.</t>
  </si>
  <si>
    <t>Stress/Time Management</t>
  </si>
  <si>
    <t>Stress and Time Management Course.</t>
  </si>
  <si>
    <t>Business Development for Business Planning, New Product Developemnt, Market Research and Website Development.</t>
  </si>
  <si>
    <t>Limerick College of Art &amp; Design</t>
  </si>
  <si>
    <t>Refers to a series of Marketing &amp; Communications courses for students at Limerick College of Art and Design._x000D_</t>
  </si>
  <si>
    <t>Women in Business Network Programme.</t>
  </si>
  <si>
    <t>Understanding a set of Accounts and analysing balance sheet.</t>
  </si>
  <si>
    <t>Franchising</t>
  </si>
  <si>
    <t>Franchising course.</t>
  </si>
  <si>
    <t>Business Networking Forum for Owners/Managers of S.M.E.'s</t>
  </si>
  <si>
    <t>SHOP Ireland</t>
  </si>
  <si>
    <t>SHOP Exhibition for Food producers</t>
  </si>
  <si>
    <t>Enterprise Awards for Board clients who have received grant aid who then represent the county at national level.</t>
  </si>
  <si>
    <t>Presentation Skills</t>
  </si>
  <si>
    <t>Presentation Skills Course.</t>
  </si>
  <si>
    <t>Adverts in Newspapers for Training Courses.</t>
  </si>
  <si>
    <t>Limerick Business Week</t>
  </si>
  <si>
    <t>Limerick Business Week programme of events.</t>
  </si>
  <si>
    <t>Advanced Food Programme</t>
  </si>
  <si>
    <t>Advanced Food programme for Food Producers.</t>
  </si>
  <si>
    <t>SYOB 8</t>
  </si>
  <si>
    <t>SYOB 10</t>
  </si>
  <si>
    <t>SYOB 11</t>
  </si>
  <si>
    <t>eBAY</t>
  </si>
  <si>
    <t>Training course on using ebay in business for CEB clients with ebay Ireland.</t>
  </si>
  <si>
    <t>Taxation</t>
  </si>
  <si>
    <t>Taxation for the self employed.</t>
  </si>
  <si>
    <t>VAT Return</t>
  </si>
  <si>
    <t>Completion of VAT returns for SME's.</t>
  </si>
  <si>
    <t>Close that Sale</t>
  </si>
  <si>
    <t>Effective techniques for closing  a sale.</t>
  </si>
  <si>
    <t>Marketing Plan</t>
  </si>
  <si>
    <t>Developing a marketing plan.</t>
  </si>
  <si>
    <t>Wages/PAYE/PRSI</t>
  </si>
  <si>
    <t>Understanding how to calculate wages/PAYE/PRSI fo employees.</t>
  </si>
  <si>
    <t>Assertiveness</t>
  </si>
  <si>
    <t>How to be assertive in business.</t>
  </si>
  <si>
    <t>Strand Foods-Capital</t>
  </si>
  <si>
    <t>Food Processing of chickens.</t>
  </si>
  <si>
    <t>Business Advisor Salary and Expenses.</t>
  </si>
  <si>
    <t>Design Pro - Capital</t>
  </si>
  <si>
    <t>Design &amp; Build Mechanical &amp; Automated Machines.</t>
  </si>
  <si>
    <t>Global Fine Foods-Business Expansion Grant</t>
  </si>
  <si>
    <t>Production of Hams- _x000D_Eligible Costs/Business Expansion- Salary cost for Employment: €15,000 - Capital Costs €40,000._x000D_</t>
  </si>
  <si>
    <t>Supreme Cuisine-Capital</t>
  </si>
  <si>
    <t>Prepararation of wet salads.</t>
  </si>
  <si>
    <t>Joanie Carrig-Employment</t>
  </si>
  <si>
    <t>Joanie Carrig produces her own range of ceramics for sale in the craft industry.</t>
  </si>
  <si>
    <t>Just a Thought - Capital</t>
  </si>
  <si>
    <t>Personalised Gift Hampers</t>
  </si>
  <si>
    <t>Irish EMS - Capital</t>
  </si>
  <si>
    <t>Irish EMS sells medical supplies both online and from a shop based in newcastlewest, co. limerick.</t>
  </si>
  <si>
    <t>Marble Contours - Capital</t>
  </si>
  <si>
    <t>Cast Polymer, Granite and Marble products for the use in Kitchen worktops and bathrooms.</t>
  </si>
  <si>
    <t>Sarah Woulfe - Employment</t>
  </si>
  <si>
    <t>Manufacture of salsa and sauce products.</t>
  </si>
  <si>
    <t>Aero Inspection Ireland-Capital</t>
  </si>
  <si>
    <t>Service of Aircraft Engine Borescope.</t>
  </si>
  <si>
    <t>Timothy Sillery - Employment</t>
  </si>
  <si>
    <t>Contemporary Furniture Design and Manufacture.</t>
  </si>
  <si>
    <t>John Liston - Employment</t>
  </si>
  <si>
    <t>Irish organic milk producers.</t>
  </si>
  <si>
    <t>Feenagh Engineering - Capital</t>
  </si>
  <si>
    <t>Feenagh Engineering fabricates and manufactures equipment for recycling chicken manure for heating purposes.</t>
  </si>
  <si>
    <t>Ponaire - Capital</t>
  </si>
  <si>
    <t>Coffee Roasting Business</t>
  </si>
  <si>
    <t>Dealing with Banks - M2 Training</t>
  </si>
  <si>
    <t>Dealing with Banks &amp; Debt Issues is a training course designed to help entrepeneurs negotiate with their banks and manage their debt.</t>
  </si>
  <si>
    <t>Accounts for Non Accountants -M2 Training</t>
  </si>
  <si>
    <t>Dealing with manual book keeping,use of spread sheets, VAT returns, PAYE,PRSI.</t>
  </si>
  <si>
    <t>Managing in a Downturn -M2 Training</t>
  </si>
  <si>
    <t>Managing accounts, getting paid on time. Cost removal, avoidance and cost management in a recession.</t>
  </si>
  <si>
    <t>Marketing on a Shoestring-M2 Training</t>
  </si>
  <si>
    <t>Marketing tips for businesses with a small budget, how to use twitter, facebook as e marketing tools.</t>
  </si>
  <si>
    <t>Accounts -M2 Training</t>
  </si>
  <si>
    <t>Computerised accounts training using QuickBooks package, Management accounts and credit control training.</t>
  </si>
  <si>
    <t>Sales Process -M2 Training</t>
  </si>
  <si>
    <t>Up skill in sales processes to build rapport with new and existing clients.</t>
  </si>
  <si>
    <t>Marketing for Beginners-M2 Training</t>
  </si>
  <si>
    <t>Sales &amp; Marketing, Creating a marketing plan and branding.</t>
  </si>
  <si>
    <t>Leadership Skills-M2 Training</t>
  </si>
  <si>
    <t>Developing leadersip skills for small business owners.</t>
  </si>
  <si>
    <t>Sponsorship &amp; Promotion - M2</t>
  </si>
  <si>
    <t>Sponsorship of local business development events- craft fair sponsorship.</t>
  </si>
  <si>
    <t>Negotiation-M2 Training</t>
  </si>
  <si>
    <t>Professional negotiation skills in closing deals and creating business oppertunities.</t>
  </si>
  <si>
    <t>e -Bay for Beginners-M2 Training</t>
  </si>
  <si>
    <t>One day training on how to make the most of using ebay in your business for beginners for CEB Clients.</t>
  </si>
  <si>
    <t>Online Marketing-M2 Training</t>
  </si>
  <si>
    <t>Online Marketing tools for business.</t>
  </si>
  <si>
    <t>Social Networking - M2</t>
  </si>
  <si>
    <t>Mid West Networking event for businesses in the mid west.</t>
  </si>
  <si>
    <t>Internet Optimisation-M2 Training</t>
  </si>
  <si>
    <t>Optimising the Internet for use in business for small to medium business owners.</t>
  </si>
  <si>
    <t>Lean Business-M2 Training</t>
  </si>
  <si>
    <t>Building a better bottom line in business.</t>
  </si>
  <si>
    <t>Growing Your Business-M2</t>
  </si>
  <si>
    <t>Growing your business overseas, oppertunities in China.</t>
  </si>
  <si>
    <t>Women in Business-M2</t>
  </si>
  <si>
    <t>The Women In Business  network meets on a quarterly basis, where a business related seminar is provided along with an opportunity to network and meet new business contacts</t>
  </si>
  <si>
    <t>Business Plan-M2 Training</t>
  </si>
  <si>
    <t>How to write and develop a business plan with Brian O' Kane.</t>
  </si>
  <si>
    <t>Franchising-M2 Training</t>
  </si>
  <si>
    <t>Everything you need to know before buying a Franchise.</t>
  </si>
  <si>
    <t>HACCP/H&amp;S-M2 Training</t>
  </si>
  <si>
    <t>HACCP &amp; Health &amp; Safety Training for small business.</t>
  </si>
  <si>
    <t>Mentoring- M2 Training</t>
  </si>
  <si>
    <t>One to One Mentoring with CEB clients in areas such Accounts, HR, Marketing.</t>
  </si>
  <si>
    <t>NSEA-M2</t>
  </si>
  <si>
    <t>Pricing &amp; Costing-M2 Training</t>
  </si>
  <si>
    <t>Pricing and Costing for the small business.</t>
  </si>
  <si>
    <t>Limerick College of Art and Design-M2 Training</t>
  </si>
  <si>
    <t>Limerick College of Art &amp; Design- work with third level college on Start up Business.</t>
  </si>
  <si>
    <t>SHOP-M2</t>
  </si>
  <si>
    <t>SHOP Exhibition for SME Food Producers.</t>
  </si>
  <si>
    <t>National Enterprise Awards-M2</t>
  </si>
  <si>
    <t>National Enterprise Awards for County Limerick Enterprise Board clients.</t>
  </si>
  <si>
    <t>Limerick Business Week-M2</t>
  </si>
  <si>
    <t>Mid West Business Week in cooperation with Tipperary, Clare and Kerry County Enterprise Boards.Series of infromation events on enterprise held in the mid west region.</t>
  </si>
  <si>
    <t>Advanced Food Programme-M2 Training</t>
  </si>
  <si>
    <t>Advanced Food Programme for Small food businesses.</t>
  </si>
  <si>
    <t>Newspaper Advertising-M2</t>
  </si>
  <si>
    <t>Newspaper Advertising for Training Courses and events._x000D_
All costs are eligible displaying logos. This is for generic advertising that can not be apportioned to a specific course e.g. Spring Training Schedule.</t>
  </si>
  <si>
    <t>Business Success-M2</t>
  </si>
  <si>
    <t>This course aims to help entrepeneurs to succeed in business through adopting a powerful mindset and staying healthy. Owner/managers of SME's participated in this course.</t>
  </si>
  <si>
    <t>PR/Promotional Material-M2</t>
  </si>
  <si>
    <t>Public Relations work carried out on behalf of LCOEB for events. Publications such as Training Schedules for Spring and Autumn training programmes, Advertising Posters and Plaques.</t>
  </si>
  <si>
    <t>Community Centre-M2 Training</t>
  </si>
  <si>
    <t>Delivery of Community Centre_x000D_ Enterprise TRAINING Initiative in co-ordination with Limerick Youth Service.</t>
  </si>
  <si>
    <t>Public Relations-M2</t>
  </si>
  <si>
    <t>Public Relations expert Terry Prone speaks to LCOEB clients on PR.</t>
  </si>
  <si>
    <t>Market Link Programme-M2 Training</t>
  </si>
  <si>
    <t>Market Link Programme in cooperation with Limerick Institute of Technology. Students participated in Start up business course.</t>
  </si>
  <si>
    <t>Plato-M2</t>
  </si>
  <si>
    <t>Contribution towards Plato Mid West programme.Plato is a Business support forum for owner managers of small and medium enterprises (SMEs) in Ireland and Northern Ireland._x000D_</t>
  </si>
  <si>
    <t>Taxation-M2</t>
  </si>
  <si>
    <t>Taxation Course for SME Business Owners.</t>
  </si>
  <si>
    <t>Book Keeping-M2 Training</t>
  </si>
  <si>
    <t>practical Book Keeping Course for SME Business owners.</t>
  </si>
  <si>
    <t>Marketing &amp; Sales 3-M2 Training</t>
  </si>
  <si>
    <t>Marketing &amp; Sales Training Course with Paula Clarke.</t>
  </si>
  <si>
    <t>Business Idea/ Patents-M2 Training</t>
  </si>
  <si>
    <t>Business Idea and Patents Course for SME Business Owners.</t>
  </si>
  <si>
    <t>Banking Management-M2</t>
  </si>
  <si>
    <t>Banking Management and dealing with banks for SME Business Owners.</t>
  </si>
  <si>
    <t>Networking-M2</t>
  </si>
  <si>
    <t>Networking events with Padraic O' Maille for County Limerick SME Businesses.</t>
  </si>
  <si>
    <t>Business Seminar-M2 Training</t>
  </si>
  <si>
    <t>Motivational Training with Womens Business Group in Kilmallock, Co. Limerick.</t>
  </si>
  <si>
    <t>SYOB 9-M2 Training</t>
  </si>
  <si>
    <t>Start Your Own Businss Courses run in a variey of locations around the County in 2009.</t>
  </si>
  <si>
    <t>Business Development-M2</t>
  </si>
  <si>
    <t>Business Planning, Market Research, New Product Development and Website Development.</t>
  </si>
  <si>
    <t>Action Point Innovation/Priming</t>
  </si>
  <si>
    <t>Action Point Innovation is a software development company involved in mobile application and outsourced innovation services. This grant is in respect of the company taking on 4 employees.</t>
  </si>
  <si>
    <t>Aisling Maher/Priming</t>
  </si>
  <si>
    <t>Aisling Maher Designs is a fashion company, she designs and manufactures head pieces, fascinators and hats. This grant is in repect of her own employment.</t>
  </si>
  <si>
    <t>Design Pro/Business Expansion</t>
  </si>
  <si>
    <t>Design Pro design and manufacture automated and robotic machines. This grant is in respect of the purchase of capital equipment.</t>
  </si>
  <si>
    <t>Eureka Manufacturing/Capital</t>
  </si>
  <si>
    <t>Eureka Manufacturing is a company that designs and manufactures foldaway ironing boards and chairs. This grant is in respect of the purchase of capital  equipment.</t>
  </si>
  <si>
    <t>Glen Aine/Capital</t>
  </si>
  <si>
    <t>Glen Aine produces finest cooked meats their customers include major Distributors, Retailers, Manufacturers and the Foodservice sectors throughout Ireland and the UK. This grant is for the purchas of capital equipment.</t>
  </si>
  <si>
    <t>Global Fine Foods/BE</t>
  </si>
  <si>
    <t>Global Fine Foods produce cooked hams for the cateringand retail industry. This grant is in respect of the purchase of Capital equipment.</t>
  </si>
  <si>
    <t>Hiquatise/Employment</t>
  </si>
  <si>
    <t>Hiquatise is a company that has developed a web based management tool for nursing homes for the UK and Irish market. This grant is in respect of one persons employment.</t>
  </si>
  <si>
    <t>Impact Packaging/Priming</t>
  </si>
  <si>
    <t>Impact Packaging manufactures labels. This grant is in respect of the purchase of capital equipment. Impact Packaging currently has 8 full time employees.</t>
  </si>
  <si>
    <t>Jason O Sullilvan/Priming</t>
  </si>
  <si>
    <t>Jason O Sullivan manufactures treatment plants to meet new standards.</t>
  </si>
  <si>
    <t>Joanie Carrig/Employment</t>
  </si>
  <si>
    <t>Joanie Carrig manufactures ceramic ware for the crafts industry. This grant is in respect of her own employment.</t>
  </si>
  <si>
    <t>Lynn Mac Rory/Priming</t>
  </si>
  <si>
    <t>Lynn Mac Rory operates a bakery in Askeaton Co. Limerick.This grant is for the purchase of equipment for the bakery.</t>
  </si>
  <si>
    <t>Mark Mc Grath/Priming</t>
  </si>
  <si>
    <t>Mark Mc Grath operates a School of Mathematics, he gives tutorials in Junior and leaving cert maths. School of Mathematics is a local service promoted by an unemployed person. This grant is in respect of his own employment.</t>
  </si>
  <si>
    <t>Open Emotion Studio/Priming</t>
  </si>
  <si>
    <t>Open Emotion Studio is a software development company that develops video games. This grant is in respect of the employment of 2 of the promoters.</t>
  </si>
  <si>
    <t>Rani Dabrai/Priming</t>
  </si>
  <si>
    <t>Rani Dabrai is the promoter of the business Missmoneypenny. She offers an outsourced call answering and accounts service for SME's who cannot afford a full time admin person or those who dont have the time while generating sales.This grant is in respect of her own employment.</t>
  </si>
  <si>
    <t>Rivervalley Foods/Capital</t>
  </si>
  <si>
    <t>Rivervalley Foods produces a range of wet salads for the catering sector, they have diversified into the soup and sauce market. This grant is in respect of equipment for the business.</t>
  </si>
  <si>
    <t>Springfield 343/Priming</t>
  </si>
  <si>
    <t>Springfield 343 Ltd conducts a modern plastic recycling facility, The company will take in raw plastic material and turn it into pellets.  The plastic pellets can then be sold on to various plastic processors.This grant is in respect of the purchase of equipment and one additional employee.</t>
  </si>
  <si>
    <t>Tim Sillery/Employment</t>
  </si>
  <si>
    <t>This is a contemporary and related product design studio offering bespoke solutions to private and public commissions as well as a signature range of furniture and products.This grant is in respect of one employment grant.</t>
  </si>
  <si>
    <t>Tricycle Interactive/Employment</t>
  </si>
  <si>
    <t>Tricycle combines the three disciplines of art, technology and design to offer businesses unique multimedia solutions.</t>
  </si>
  <si>
    <t>UMobilize/Priming</t>
  </si>
  <si>
    <t>uMobilize Promotions Ltd. is a start up company providing internet based mobile marketing and software solutions. This grant is in respect of 2 promoters employment.</t>
  </si>
  <si>
    <t>Sarah Woulfe/Employment</t>
  </si>
  <si>
    <t>Sarah Woulfe-El Chilli Loco is an artisan food business making her own range of sauces and chutneys. This grant is in respect of her own employment.</t>
  </si>
  <si>
    <t>National Student Enterprise Awards-M2</t>
  </si>
  <si>
    <t>The National Student Enterprise Awards is to promote entrepreneural development for second level students.</t>
  </si>
  <si>
    <t>Showcase-M2</t>
  </si>
  <si>
    <t>Showcase is an annual Tradefair for the crafts industry. The Enterprise Boards paticipate in a CEB group stand.</t>
  </si>
  <si>
    <t>Newspaper Advertising - M2</t>
  </si>
  <si>
    <t>Promotional Material - M2</t>
  </si>
  <si>
    <t>This project relates to generic radio advertising on west Limerick fm, spring training schedule and public relations services. All copies of promotional material are held on file.</t>
  </si>
  <si>
    <t>This project refers to sponsorship and promotion of local enterprise events.Sponsorship events such as a local craft fair all documentation in relation to the payment to organisers of such events are held on file.</t>
  </si>
  <si>
    <t>Shop - M2</t>
  </si>
  <si>
    <t>The shop exhibition is an annual trade fair for the retail market. This expenditure is in respet of CEB client Sean Dillon Stawbriq ltd. attending the tradefair.</t>
  </si>
  <si>
    <t>Mid West Business week - M2</t>
  </si>
  <si>
    <t>Mid West business week is organised by Limerick County Enterprise Board in collaboration with 3 other boards in the Mid West. Numerous events are held throughout the week aimed at SME's and those thinking of starting a business</t>
  </si>
  <si>
    <t>Management Development - M2</t>
  </si>
  <si>
    <t>The management development programme is a intensive 14 week programme aimed at owners/managers who have been in business for more than 3 years. It helps promoters take a more strategic focus on their business.</t>
  </si>
  <si>
    <t>Plato Midwest is a business support Network for established Irish owned SMEs which harnesses the experience of larger 'Parent' companies to assist a group of Owner / Managers of SMEs to upskill themselves and develop their business skills and ultimately their company's success</t>
  </si>
  <si>
    <t>Advanced Food Programme - M2</t>
  </si>
  <si>
    <t>This programme is designed to help micro-enterprises in the food sector to improve brand marketing activities and to fully identify and exploit new sales opportunities.</t>
  </si>
  <si>
    <t>Mentoring-M2</t>
  </si>
  <si>
    <t>One to one mentoring with CEB clients in areas such as Accounts, HR and Marketing.</t>
  </si>
  <si>
    <t>Business Development incorporates the following areas: Business Planning, Market Research, New Product Development and website development grants.</t>
  </si>
  <si>
    <t>QuickBooks Beginners-M2</t>
  </si>
  <si>
    <t>Computerised Accounts using QuickBooks Package</t>
  </si>
  <si>
    <t>SYOB 1 Kilmurry -M2 Training</t>
  </si>
  <si>
    <t>Start you Own Business Course helps you understand what is involved in starting a business. It is held in a variety of locations.</t>
  </si>
  <si>
    <t>SYOB 2 NCW - M2</t>
  </si>
  <si>
    <t>Start your own business course helps you to understand what is involved in starting a business. The course is held in a vareity of locations.</t>
  </si>
  <si>
    <t>SYOB 3 Deebert House- M2</t>
  </si>
  <si>
    <t>Start Your Own Business Course helps you understand what is involved in starting a business. The course is held in a vareity of locations</t>
  </si>
  <si>
    <t>Time Management- M2</t>
  </si>
  <si>
    <t>Time management course helps you to maximise the most of the time you have, and how to set achievable goals.</t>
  </si>
  <si>
    <t>Book Keeping- M2</t>
  </si>
  <si>
    <t>The Book keeping course enables your to understand book keeping and basic accounting.</t>
  </si>
  <si>
    <t>Taxation M2</t>
  </si>
  <si>
    <t>Taxation course for SME's.</t>
  </si>
  <si>
    <t>Sales &amp; Marketing Beg-M2</t>
  </si>
  <si>
    <t>Sales and Marketing course is designed to assist participants use marketing and sales too seek out new opportunities to grow their business</t>
  </si>
  <si>
    <t>Making Most of Website-M2</t>
  </si>
  <si>
    <t>Making the most of your website helps you to get the best use out of your website.</t>
  </si>
  <si>
    <t>SYOB 4 - Castletroy -M2</t>
  </si>
  <si>
    <t>Start Your Own Business helps you to understand what is involved in startin up your own business. It is held in a vareity of locations.</t>
  </si>
  <si>
    <t>Networking - M2</t>
  </si>
  <si>
    <t>This was a networking event organised by the enterprise board to get like minded people who wish to start up a business or who are in business to come together and develop networking opportunities.</t>
  </si>
  <si>
    <t>Professional Neg- M2</t>
  </si>
  <si>
    <t>This is a course designed to improve negotiation skills, and also improves communication.</t>
  </si>
  <si>
    <t>Sales Seminar- M2</t>
  </si>
  <si>
    <t>To present a practical introduction to Sales by presenting ideas, techniques and processes that can be utilised by small business</t>
  </si>
  <si>
    <t>Business Opportunity-M2</t>
  </si>
  <si>
    <t>Building future business opportunities in Kilmallock and District was an event hosted by the Enterprise Board and Kilmallock Partnership to get business owners in Kilmallock to come together to create business opportunities.</t>
  </si>
  <si>
    <t>Business Advisor 2010</t>
  </si>
  <si>
    <t>Business Advisor Salary and Expenses for 2010.</t>
  </si>
  <si>
    <t>Action Point Innovation /Priming</t>
  </si>
  <si>
    <t>Action Point provides development services for popular mobile devices, they develop customised software for clients.This grant was in respect of employment.</t>
  </si>
  <si>
    <t>Action Point Innovation/Business Expansion</t>
  </si>
  <si>
    <t>Action Point Innovation is a software development company involved in mobile application and outsourced innovation services. This grant is in respect of the company taking on employees.</t>
  </si>
  <si>
    <t>Adare Farm Foods- Priming</t>
  </si>
  <si>
    <t>Capital grant for the puchase of machinery to bottle milk.</t>
  </si>
  <si>
    <t>Aero Inspection Ireland/Bus Exp</t>
  </si>
  <si>
    <t>Portable Borescope service. A borescope is used to determine if there is any blade damage on an aircraft. This grant was in respect of employment and capital.</t>
  </si>
  <si>
    <t>Aisling Maher/BE</t>
  </si>
  <si>
    <t>Design and manufacture of unique fashion accessory items. This grant is in respect of employment.</t>
  </si>
  <si>
    <t>Caher Bakery Ltd/Bus Exp</t>
  </si>
  <si>
    <t>Producing a number of frozen products including bread, scones  and pies. This grant was in respect of capital items.</t>
  </si>
  <si>
    <t>Digimed Technologies Ltd/Priming</t>
  </si>
  <si>
    <t>Digimed created an online solution that manages the records for Public/Private home care providers and most of the data is collected on site by carers through handheld devices. This grant was in respect of employment.</t>
  </si>
  <si>
    <t>Ecojet Ltd/Priming</t>
  </si>
  <si>
    <t>Clearing sewers and drains with the use of high pressure water-jetting water equipment and also offers CCTV surveys of sewers and septic tanks. This grant was in respect of employment</t>
  </si>
  <si>
    <t>F4energy/Bus Exp</t>
  </si>
  <si>
    <t>Manufacture combined natural gas powered heat and electricity producing units. This grant was in respect of capital and salary.</t>
  </si>
  <si>
    <t>Hailstorm Commerce/Priming</t>
  </si>
  <si>
    <t>Hailstorm Commerce develops e-Commerce solutions for Retail clients, as well as Wholesalers, Manufacturers and Distributors companies. This grant was in respect of employment</t>
  </si>
  <si>
    <t>Sow and Grow/Priming</t>
  </si>
  <si>
    <t>Designing childerns gardens, and teaching children from primary schools and after school programmes using a series of gardening classes.This grant was in respect of her own employment.</t>
  </si>
  <si>
    <t>Springfield 343 Ltd conducts a modern plastic recycling facility, The company will take in raw plastic material and turn it into pellets. The plastic pellets can then be sold on to various plastic processors.This grant is in respect employment.</t>
  </si>
  <si>
    <t>Springfield Plastics 343/Bus Exp</t>
  </si>
  <si>
    <t>Springfield 343 Ltd conducts a modern plastic recycling facility, The company will take in raw plastic material and turn it into pellets. The plastic pellets can then be sold on to various plastic processors.This grant is in respect of the purchase of equipment and one additional employee.</t>
  </si>
  <si>
    <t>Jewel Cab/Feasibility</t>
  </si>
  <si>
    <t>Design sale and distrubition of custom made wooden jewellery box.</t>
  </si>
  <si>
    <t>John Corrie/Feasibility</t>
  </si>
  <si>
    <t>Water leakage monitoring, developing a device to attach to water meters to monitor the flow rates at specific intervals which would detect leaks on a system and notify the operator by text.</t>
  </si>
  <si>
    <t>JWD Fabrication Ltd/Bus Exp</t>
  </si>
  <si>
    <t>Design, procurement, supply, installation and commissioning for projects involving dust control. This grant was in respect of employment.</t>
  </si>
  <si>
    <t>Kevin O Connor/Feasibility</t>
  </si>
  <si>
    <t>Design a prototype booklet holder which attaches to shopping trolleys. This grant was in respect of design and patenting costs.</t>
  </si>
  <si>
    <t>Loaf Artisan Bakery/Priming</t>
  </si>
  <si>
    <t>Loaf produces a wide range of artisan cakes loafs and gourmet tarts that are sold wholesale to local shops and restaurants.</t>
  </si>
  <si>
    <t>Miss Moneypenny/Priming</t>
  </si>
  <si>
    <t>Provide virtual office assistance, call answering service and a provider of lo call goegraphic numbers across Ireland. This grant was in respect of employment.</t>
  </si>
  <si>
    <t>Munster Business Centre/Priming</t>
  </si>
  <si>
    <t>Munster Business Centre provides call answering service accounts services business to business appointments typing and transcript service and meeting rooms.</t>
  </si>
  <si>
    <t>Open emotion studio develop video games and create intellectual properties.</t>
  </si>
  <si>
    <t>Qualpack/Bus Exp</t>
  </si>
  <si>
    <t>Qualpack Ltd manfactures bubble wrap products including a range of bubble bags that are used in the electronics industry and packaging companies.</t>
  </si>
  <si>
    <t>Management Development Programme - M2</t>
  </si>
  <si>
    <t>SYOB 1 - Kilmurry -M2</t>
  </si>
  <si>
    <t>Start your own business course helps you understand what is involved in starting a business. This course is held in a variety of locations.</t>
  </si>
  <si>
    <t>SYOB 2 - NCW - M2</t>
  </si>
  <si>
    <t>SYOB 3 - Castleconnell - M2</t>
  </si>
  <si>
    <t>SYOB 4-Kilmallock-M2</t>
  </si>
  <si>
    <t>SYOB 5-Kilmurry-M2</t>
  </si>
  <si>
    <t>SYOB 6-Adare-M2</t>
  </si>
  <si>
    <t>Sales &amp; Marketing-M2</t>
  </si>
  <si>
    <t>This course covers Marketing &amp; Sales Essentials and effective communication techniques.</t>
  </si>
  <si>
    <t>Time Management-M2</t>
  </si>
  <si>
    <t>Time Management covers calendars and planning, work patterns and structuring your day.</t>
  </si>
  <si>
    <t>Making the most of your Website-M2</t>
  </si>
  <si>
    <t>This course covers calendars and planning, evaluating your website, ensuring your site is found online and converting visitors to customers.</t>
  </si>
  <si>
    <t>eMarketing-M2</t>
  </si>
  <si>
    <t>eMarketing covers an introduction to social networking, forums, blogs, article marketing and e commerce.</t>
  </si>
  <si>
    <t>Book Keeping -M2</t>
  </si>
  <si>
    <t>Book Keeping covers record keeping, manual book keeping revenue requirements and shows the client how to use records to manage and develop business.</t>
  </si>
  <si>
    <t>Taxation - M2</t>
  </si>
  <si>
    <t>Taxation covers how to file a Tax return, calculating Tax and understanding Tax.</t>
  </si>
  <si>
    <t>Negotiation Skills - M2</t>
  </si>
  <si>
    <t>Negotiation Skills cover how to negotiate effectively, negotiation strategies and negotiation excercises.</t>
  </si>
  <si>
    <t>Assertiveness Training - M2</t>
  </si>
  <si>
    <t>Assertiveness Training covers how to say no, impromptu speaking skills developing self assurance and confidence  and achieving win win outcomes.</t>
  </si>
  <si>
    <t>Branding - M2</t>
  </si>
  <si>
    <t>Branding covers product/service differentiation, brand elements, brand name, Logos slogans and taglines and marketing and communication tools.</t>
  </si>
  <si>
    <t>Social Networking covers how to set up a business page, what pitfalls to avoid, how to set up a twitter account and how to grow your followers</t>
  </si>
  <si>
    <t>Credit Control - M2</t>
  </si>
  <si>
    <t>Credit control covers how to operate a credit control system , how to reduce slow paying customers and bad debts and how to maximise profitibility.</t>
  </si>
  <si>
    <t>Women in Business - M2</t>
  </si>
  <si>
    <t>The Women In Business network meets on a quarterly basis, where a business related seminar is provided along with an opportunity to network and meet new business contacts</t>
  </si>
  <si>
    <t>Google Training - M2</t>
  </si>
  <si>
    <t>This initiative allows participants to develop a website with domain name, registration and hosting for one year.</t>
  </si>
  <si>
    <t>Media Training - M2</t>
  </si>
  <si>
    <t>Media Training shows participants how to deal with radio and newspaper companies in order to maximise your media exposure and get value for money.</t>
  </si>
  <si>
    <t>Mentoring - M2</t>
  </si>
  <si>
    <t>One to One mentoring with various clients on issues such as sales, marketing, HR etc</t>
  </si>
  <si>
    <t>National Student Enterprise Awards -M2</t>
  </si>
  <si>
    <t>Newspaper Advertising for Training Courses and events. All costs are eligible displaying logos. This is for generic advertising that can not be apportioned to a specific course e.g. Spring Training Schedule.</t>
  </si>
  <si>
    <t>Mid West Business Week - M2</t>
  </si>
  <si>
    <t>The shop exhibition is an annual trade fair for the retail market.</t>
  </si>
  <si>
    <t>Showcase -M2</t>
  </si>
  <si>
    <t>Showcase is an annual Tradefair for the crafts industry. The Enterprise Boards paticipate in a CEB group stand</t>
  </si>
  <si>
    <t>Smile Programme - M2</t>
  </si>
  <si>
    <t>Smile resource exchange is a free service for businesses that encourages the exchanging of resources between its members in order to save money and reduce waste going to landfill. This funding was in respect of a contrubition to Smile resource exchange</t>
  </si>
  <si>
    <t>Business Development - M2</t>
  </si>
  <si>
    <t>SYOB 1 Kilmurry - M2</t>
  </si>
  <si>
    <t>Start Your Business Course covers 5 workshops on the main aspects of starting a business</t>
  </si>
  <si>
    <t>SYOB 2 Kilmallock - M2</t>
  </si>
  <si>
    <t>Start Your Own Business Course covers 5 workshops on the main aspects of starting a business</t>
  </si>
  <si>
    <t>SYOB 3 Adare - M2</t>
  </si>
  <si>
    <t>Start Your Own Business course takes place over 5 weeks outlining whats involved in starting a business</t>
  </si>
  <si>
    <t>SYOB 4 Kilmurry - M2</t>
  </si>
  <si>
    <t>Start Your Own Business course runs over 5 weeks outlining whats involved in starting a business</t>
  </si>
  <si>
    <t>Google Getting Irish Business Online (GIBO) is an initiative that allows participants to develop a website with domain name, registration and hosting for one year.</t>
  </si>
  <si>
    <t>Branding -M2</t>
  </si>
  <si>
    <t>Sales and Marketing - M2</t>
  </si>
  <si>
    <t>Sales and marketing course is a one day course which teaches participants about marketing essentials, sales essentials and communication</t>
  </si>
  <si>
    <t>Taxation Course is a one day course which allows participants to understand tax, calculate Tax and also how to file a Tax return</t>
  </si>
  <si>
    <t>Book keeping - M2</t>
  </si>
  <si>
    <t>Bookkeeping course gives an overview and practice of simple manual bookkeeping, record keeping, revenue requirements and shows them how to use records to manage and develop their business</t>
  </si>
  <si>
    <t>Negotiation -M2</t>
  </si>
  <si>
    <t>Negotiation Skills course allows participants to learn ways of negotiating effectively, negotiation strategies and negotiation exercises</t>
  </si>
  <si>
    <t>Time Management course allows participants to prioritise their time effectively, structure your day. It also outlines work patterns and the effectiveness of calenders and planning.</t>
  </si>
  <si>
    <t>Assertiveness - M2</t>
  </si>
  <si>
    <t>Assertiveness Course enables participants to communicate effectively, to learn to say no, to develop self assurance and confidence. It also outlines impromptu speaking skills and key elements of assertiveness and their development.</t>
  </si>
  <si>
    <t>Social Networking Course allows participants to set up a business page on facebook and twitter, the basics how twitter and facebook work and what pitfalls to avoid when social networking.</t>
  </si>
  <si>
    <t>Idea Generation - M2</t>
  </si>
  <si>
    <t>Idea Generation allows the participant to The process of creating, developing, and communicating ideas</t>
  </si>
  <si>
    <t>Sales and Markting Clinic - M2</t>
  </si>
  <si>
    <t>Sales and Marketing Clinics are one day clinics which take place on a monthly basis. These are for anyone who wants to sit down with a mentor for 90 minutes and discuss any queries they may have.</t>
  </si>
  <si>
    <t>SYOB 5 NCW - M2</t>
  </si>
  <si>
    <t>One to one mentoring with various clients on issues such as HR, Marketing, Social Media etc</t>
  </si>
  <si>
    <t>National Enterprise Awards - M2</t>
  </si>
  <si>
    <t>National Enterprise Awards for Limerick County Enterprise Board Clients</t>
  </si>
  <si>
    <t>National Student Enterprise Awards - M2</t>
  </si>
  <si>
    <t>Traveller Initiative - M2</t>
  </si>
  <si>
    <t>Start your own business training with local traveller group._x000D_</t>
  </si>
  <si>
    <t>Business Advisor - M2</t>
  </si>
  <si>
    <t>Business advisor salary and expenses 2012</t>
  </si>
  <si>
    <t>Language Travel Ireland/employment</t>
  </si>
  <si>
    <t>Language Travel Ireland provides homestay english learning vacations for students from Spain, France and Germany.</t>
  </si>
  <si>
    <t>Clinical Support Systems/Priming</t>
  </si>
  <si>
    <t>Clinical Support Systems develop and provide software for the pharmacy sector</t>
  </si>
  <si>
    <t>Leona O'Callaghan/Priming</t>
  </si>
  <si>
    <t>Kids Play Bus provides a mobile play centre for children which will travel to the customers location</t>
  </si>
  <si>
    <t>Qulapack Ltd/Business Expansion</t>
  </si>
  <si>
    <t>JWD Fabrication Ltd/Business Expansion</t>
  </si>
  <si>
    <t>Design, procurement, supply, installation and commissioning for projects involving dust control.</t>
  </si>
  <si>
    <t>Asystec/Priming</t>
  </si>
  <si>
    <t>Asystec is a Data Management Solution Provider. They design data solutions to assist companies to manage, secure and identify their key data assets within their organisation</t>
  </si>
  <si>
    <t>Ecojet/Priming</t>
  </si>
  <si>
    <t>Steam Cleaning of drains for multinational sector</t>
  </si>
  <si>
    <t>O'Connor Engineering/Priming</t>
  </si>
  <si>
    <t>O'Connor Engineering manufacture a wide range of products and a repair and maintenance service for a diverse range of industries</t>
  </si>
  <si>
    <t>Lugworks/Priming</t>
  </si>
  <si>
    <t>Data solutions for the Automotive Industry.</t>
  </si>
  <si>
    <t>Mungret Engineering/Business Expansion</t>
  </si>
  <si>
    <t xml:space="preserve">Light Engineering Company specialising in the design, manufacturing and installation of both stainless steel and carbon Steel products including Stainless Steel process pipework systems and cleanroom furniture. </t>
  </si>
  <si>
    <t>Roy Fox/Business Expansion</t>
  </si>
  <si>
    <t>Manufacture of custom made furniture for export</t>
  </si>
  <si>
    <t>Springfield 343/Business Expansion</t>
  </si>
  <si>
    <t>Plastic recycling into pellet and granule</t>
  </si>
  <si>
    <t>Tara Cladding/Business Expansion</t>
  </si>
  <si>
    <t>Metal fabrication company specialising in cladding, flashings, cills, gutters and shuttering</t>
  </si>
  <si>
    <t>Management Accounts -M2</t>
  </si>
  <si>
    <t>This course consists of 4 group managment sessions and 5 one to one mentoring sessions, it allows particpants to be able to managemnt accounts into practice.</t>
  </si>
  <si>
    <t>Management Development- M2</t>
  </si>
  <si>
    <t>Management Development programme is designed for the owner manager. It provides the managment leadership and business skills and knowledge to grow your business.</t>
  </si>
  <si>
    <t>Action Point Innovation</t>
  </si>
  <si>
    <t>LIMERICK COUNTY TOTAL</t>
  </si>
  <si>
    <t>Ardmulchan Stud</t>
  </si>
  <si>
    <t>the grantee will install a 150kW wood chip boiler</t>
  </si>
  <si>
    <t>Meath</t>
  </si>
  <si>
    <t>Colwells Pub</t>
  </si>
  <si>
    <t>to heat hot water - new 300L Solar cylinder, 3.68sq m evacuated tube solar collector installation._x000D_</t>
  </si>
  <si>
    <t>Mid Cork Pallets and Packaging Ltd.</t>
  </si>
  <si>
    <t>Feasibility study on using wood fired heating system in corrugated packaging warehouses.</t>
  </si>
  <si>
    <t>Therese Foster &amp; Ciaran Buckley</t>
  </si>
  <si>
    <t>Install a woodchip/wood pellet system to heat and provide hot water for three holiday apartments for agri-tourism._x000D_</t>
  </si>
  <si>
    <t>Little Rascals</t>
  </si>
  <si>
    <t>Installation of 10 sq.m of flat plate solar collectors to supply hot water supply to new build childcare facility for 144 children_x000D_</t>
  </si>
  <si>
    <t>The Forge Restaurant</t>
  </si>
  <si>
    <t>Resolutions aims to reduce the restaurants dependency upon fossil fuels by installing a sufficient quantity of evacuated solar tubes to provide ample hot water for their needs._x000D_</t>
  </si>
  <si>
    <t>Beechwood Lodge Self Catering Holiday Homes</t>
  </si>
  <si>
    <t>"We have a house and six self catering apartments using gas, oil and electric heating.  We intend installing a woodchip heating system.  We intend using woodchips made from waste from our 12 hectare forest.</t>
  </si>
  <si>
    <t>Trim Sports &amp; Leisure Company</t>
  </si>
  <si>
    <t>Installation of 1 no. ENER G 125 CHP unit and peripheral equipment. CHP unit to be installed to reduce energy costs and energy requirements on site_x000D_</t>
  </si>
  <si>
    <t>Sunshine Community Childcare</t>
  </si>
  <si>
    <t>Installation of 20.2 kW heatpump</t>
  </si>
  <si>
    <t>Michael O'Keeffe</t>
  </si>
  <si>
    <t>Installation of a 20kW biomass boiler.</t>
  </si>
  <si>
    <t>Wellman International Ltd</t>
  </si>
  <si>
    <t>Technical &amp; Economic Feasability Study regarding the installation of a CHP Plant in fibre manufacturing Plant.</t>
  </si>
  <si>
    <t>Largo Food Exports Ltd</t>
  </si>
  <si>
    <t>Installation of gas CHP plant, new energy mgmt system, vehicle tracking devices. Motor control and lighting upgrades.</t>
  </si>
  <si>
    <t>Athgaine Mushrooms Ltd</t>
  </si>
  <si>
    <t>Fabric upgrades, Tunnel door rdaught proofing measures, Piping and insulation upgrades, Air Handling Unit replacements, Pump and VSD installation, Water saving Nozzles, Driver Training, Lighting upgrade of the tunnels.</t>
  </si>
  <si>
    <t>Kepak Clonee</t>
  </si>
  <si>
    <t>Installation of Energy Efficient Lighting, Vacuum Pump and Refrigeration compressor inverters, Insulation of Tallow Tanks and Fat Plant Heat Recovery.</t>
  </si>
  <si>
    <t>Boliden tara Mines Ltd</t>
  </si>
  <si>
    <t>Biodiesel enabling project, Upgrade of Stores buildings heating, Install evacuated tube solar collectors on the Mill roof and associated solar thermal equipment.</t>
  </si>
  <si>
    <t>Boliden Tara Mines Ltd</t>
  </si>
  <si>
    <t>Upgrade external insulation, replace existing lighting with more energy efficient lighting and install new stainless steel pipework to connect compressor and air receiver to the metso filler and reconfigure metso filter operation</t>
  </si>
  <si>
    <t>Effective Market Research/M2</t>
  </si>
  <si>
    <t>Effective Market Research training event for CEB clients</t>
  </si>
  <si>
    <t>Packaging Engineering Services Ltd./Cap</t>
  </si>
  <si>
    <t>Expansion of packaging engineering service business</t>
  </si>
  <si>
    <t>Digital Mags Online Ltd/Cap</t>
  </si>
  <si>
    <t>Establishment of new business which produces magazines on-line</t>
  </si>
  <si>
    <t>Financial Healthcheck</t>
  </si>
  <si>
    <t>Financial Healthcheck Seminar</t>
  </si>
  <si>
    <t>Hand Engineering Ltd./Cap</t>
  </si>
  <si>
    <t>Expansion of precision engineering business. PMS 24000300</t>
  </si>
  <si>
    <t>Rowan Engineering Consultants Ltd./Cap</t>
  </si>
  <si>
    <t>Expansion of specialist service involving Health &amp; Safety and forensic engineering</t>
  </si>
  <si>
    <t>Making Your Website Work for You/Marketing Your Website M2</t>
  </si>
  <si>
    <t>Provision of website optimisation training seminars for CEB clients</t>
  </si>
  <si>
    <t>John Dunne/Emp</t>
  </si>
  <si>
    <t>Establishment of a business which manufactures attic tank lids</t>
  </si>
  <si>
    <t>Payroll Seminar M2</t>
  </si>
  <si>
    <t>Provision of payroll training seminars (2007 and 2009) to CEB clients</t>
  </si>
  <si>
    <t>Kilbeg Dairy Delights/Cap</t>
  </si>
  <si>
    <t>Expansion of specialist food manufacturing business</t>
  </si>
  <si>
    <t>Work Smarter not Harder</t>
  </si>
  <si>
    <t>Work Smarter Not Harder seminar</t>
  </si>
  <si>
    <t>Sheehan Web Media Ltd./Emp</t>
  </si>
  <si>
    <t>Expansion of web media design business</t>
  </si>
  <si>
    <t>Donagh Quigley/Emp</t>
  </si>
  <si>
    <t>Expansion of thatching business</t>
  </si>
  <si>
    <t>Complete Steel Solutions Ltd/Emp</t>
  </si>
  <si>
    <t>Manufacture of specialist steel products</t>
  </si>
  <si>
    <t>Writing a Business Plan/Business Planning Workshops/M2</t>
  </si>
  <si>
    <t>Provision of Writing a Business Plan seminar to CEB clients</t>
  </si>
  <si>
    <t>AIM International Moving/FS</t>
  </si>
  <si>
    <t>Feasibility Study re international moving service</t>
  </si>
  <si>
    <t>Robert Ardill/FS</t>
  </si>
  <si>
    <t>Feasibility Study regarding the manufacture of local greeting cards.</t>
  </si>
  <si>
    <t>Ark Stainless Ltd./Cap</t>
  </si>
  <si>
    <t>Manufacture of specialist stainless steel products.</t>
  </si>
  <si>
    <t>Logolink Ireland/Cap</t>
  </si>
  <si>
    <t>Specialist printing and embriodery service</t>
  </si>
  <si>
    <t>Chemical Systems Control Ltd./Cap</t>
  </si>
  <si>
    <t>Manufacture of fume cupboards and laboratory equipment</t>
  </si>
  <si>
    <t>Rochelle Traders Ltd./Cap</t>
  </si>
  <si>
    <t>Expansion of specialist label-printing service.</t>
  </si>
  <si>
    <t>R &amp; M Buckets/Cap</t>
  </si>
  <si>
    <t>Manufacture of excavation and agri-related machinery</t>
  </si>
  <si>
    <t>Colin O'Brien/Emp</t>
  </si>
  <si>
    <t>Manufacture of domestic convenience product</t>
  </si>
  <si>
    <t>Colin O'Brien/FS</t>
  </si>
  <si>
    <t>Feasibility Study into manufacture of domestic rotary clothes-line cover</t>
  </si>
  <si>
    <t>Gravitation Ltd/Emp</t>
  </si>
  <si>
    <t>Expansion of weigh-bridge manufacture business</t>
  </si>
  <si>
    <t>Olivier Florence/Emp</t>
  </si>
  <si>
    <t>Expansion of specialist web design business</t>
  </si>
  <si>
    <t>NSP Laboratory Services/Emp</t>
  </si>
  <si>
    <t>Establishment of laboratory equipment servicing business</t>
  </si>
  <si>
    <t>Start Your Own Business Courses M2</t>
  </si>
  <si>
    <t>Provision of Start Your Own Business training to CEB clients</t>
  </si>
  <si>
    <t>Packaging Engineering Services Ltd/Emp</t>
  </si>
  <si>
    <t>Specialist packaging service</t>
  </si>
  <si>
    <t>EIC Ltd/Cap</t>
  </si>
  <si>
    <t>Manufacture of industrial chilling equipment.</t>
  </si>
  <si>
    <t>Avanti Golf/FS</t>
  </si>
  <si>
    <t>Feasibility study into ultrasonic golf club cleaning machine</t>
  </si>
  <si>
    <t>Mentor Programme M2</t>
  </si>
  <si>
    <t>Provision of Mentor support to CEB clients through the Enterprise Ireland Mentor scheme</t>
  </si>
  <si>
    <t>Meath CEB Mentor Programme M2</t>
  </si>
  <si>
    <t>Provision of mentoring service through the Meath County Enterprise Board mentor panel</t>
  </si>
  <si>
    <t>Advertising &amp; Promotion M2</t>
  </si>
  <si>
    <t>All expenditure relates exclusively to ERDF activity and no admin costs are included in this project.  Expenditure includes  brochures and flyers re training that the Board offers to clients, advertising and promotion of these training programmes and services (to CEB clients)</t>
  </si>
  <si>
    <t>Networking Programme</t>
  </si>
  <si>
    <t>Various networking events</t>
  </si>
  <si>
    <t>SHOP M2</t>
  </si>
  <si>
    <t>Attendance by MCEB clients at SHOP exhibition</t>
  </si>
  <si>
    <t>National Enterprise Awards/M2</t>
  </si>
  <si>
    <t>Participation in CEB National Enterprise Awards competition</t>
  </si>
  <si>
    <t>Business Healthcheck M2</t>
  </si>
  <si>
    <t>Mentoring/business advice clinics provided for CEB clients</t>
  </si>
  <si>
    <t>Women in Business Programme M2</t>
  </si>
  <si>
    <t>Provision of Women in Business networking events for CEB clients</t>
  </si>
  <si>
    <t>Student Enterprise Awards M2</t>
  </si>
  <si>
    <t>Provision of Student Enterprise Awards Programme to secondary schools within Meath CEB remit</t>
  </si>
  <si>
    <t>Big Red Book M2</t>
  </si>
  <si>
    <t>Big Red Book Computerised Accounts training for MCEB clients</t>
  </si>
  <si>
    <t>Export Marketing Grants M2</t>
  </si>
  <si>
    <t>Provision of Export Marketing Grants for CEB clients</t>
  </si>
  <si>
    <t>Female MDP</t>
  </si>
  <si>
    <t>Female Management Development Programme in conjunction with Maynooth University</t>
  </si>
  <si>
    <t>Grow Your Own Business M2</t>
  </si>
  <si>
    <t>Grow Your Own Business Management Development Training Programme for CEB clients</t>
  </si>
  <si>
    <t>ISO Programme M2</t>
  </si>
  <si>
    <t>Provision of ISO Management Development training to CEB clients</t>
  </si>
  <si>
    <t>Marketing Programme M2</t>
  </si>
  <si>
    <t>Provision of Marketing Management Development training to CEB clients</t>
  </si>
  <si>
    <t>Small Business Sales Programme M2</t>
  </si>
  <si>
    <t>Provision of Small Business Sales Management Development training for CEB clients</t>
  </si>
  <si>
    <t>Basic Book-Keeping M2</t>
  </si>
  <si>
    <t>Provision of basic book-keeping and taxation courses to CEB clients</t>
  </si>
  <si>
    <t>Health &amp; Safety Workshop M2</t>
  </si>
  <si>
    <t>Provision of Health &amp; Safety Workshops to CEB clients</t>
  </si>
  <si>
    <t>Understanding Employment Law  M2</t>
  </si>
  <si>
    <t>Provision of Understanding Employment Law seminar to CEB clients</t>
  </si>
  <si>
    <t xml:space="preserve">Effective People Management </t>
  </si>
  <si>
    <t>Provision of Effective People Managemnt Seminar</t>
  </si>
  <si>
    <t>Getting the Most from Your Accountant M2</t>
  </si>
  <si>
    <t>Provision of Getting the Most from Your Accountant training seminar to CEB clients</t>
  </si>
  <si>
    <t>Winning Tenders M2</t>
  </si>
  <si>
    <t>Provision of How to Produce Winning Tenders training seminars for CEB clients</t>
  </si>
  <si>
    <t>Write Your Own Press Release</t>
  </si>
  <si>
    <t>Provision of a Write Your Own Press Release seminar</t>
  </si>
  <si>
    <t>Participation in the Enterprise Bus initiative</t>
  </si>
  <si>
    <t>SAGE Accounting</t>
  </si>
  <si>
    <t>Provision of SAGE Accounting Programme</t>
  </si>
  <si>
    <t>Web Development Grants M2</t>
  </si>
  <si>
    <t>Provision of web development grants to CEB micro enterprises</t>
  </si>
  <si>
    <t>Staff Costs Business Adviser M2</t>
  </si>
  <si>
    <t>Business Adviser costs</t>
  </si>
  <si>
    <t>Getting Paid on Time M2</t>
  </si>
  <si>
    <t>Provision of Getting Paid on Time training seminar to CEB clients</t>
  </si>
  <si>
    <t>Idea Generation Workshop M2</t>
  </si>
  <si>
    <t>Provision of Idea Generation Workshop to CEB clients</t>
  </si>
  <si>
    <t>Managing Your Company in a Downturn/Business Finances M2</t>
  </si>
  <si>
    <t>Provsion of financial management training to CEB clients</t>
  </si>
  <si>
    <t>Marketing Seminar M2</t>
  </si>
  <si>
    <t>Provision of marketing and branding training to CEB clients</t>
  </si>
  <si>
    <t>Business Promotion Using the Internet M2 Training</t>
  </si>
  <si>
    <t>Provision of Promoting Your Business Using the Internet training seminar for CEB clients</t>
  </si>
  <si>
    <t>Sources of Finance M2</t>
  </si>
  <si>
    <t>Provision of Sources of Finance seminar for CEB clients</t>
  </si>
  <si>
    <t>Taxation Seminar M2</t>
  </si>
  <si>
    <t>Provision of taxation training seminar to CEB clients</t>
  </si>
  <si>
    <t>Understanding Patents Seminar M2</t>
  </si>
  <si>
    <t>Provision of Understanding Patents training seminar for CEB clients</t>
  </si>
  <si>
    <t>Business Start  Review M2</t>
  </si>
  <si>
    <t>Review of Start Your Own Programmes previously undertaken by CEB clients</t>
  </si>
  <si>
    <t>Innovator M2</t>
  </si>
  <si>
    <t>Innovator is a leading consultancy used by the Board to provide the following services to its clients, that is, integrated innovation management, R&amp;D management, intellectual property management and mentoring services.</t>
  </si>
  <si>
    <t>Business Library M2</t>
  </si>
  <si>
    <t>Provision of reference publications and online resources for CEB clients who are starting up micro-enterprises</t>
  </si>
  <si>
    <t>Meath Enterprise Day M2</t>
  </si>
  <si>
    <t>Provision of an enterprise exhibition for CEB clients and general public</t>
  </si>
  <si>
    <t>Opportunities in Adversity M2</t>
  </si>
  <si>
    <t>Provision of Finding Opportunities in Adversity training seminar for CEB clients</t>
  </si>
  <si>
    <t>Showcase M2</t>
  </si>
  <si>
    <t>Participation by CEB clients at Showcase exhibition in the RDS</t>
  </si>
  <si>
    <t>Training Needs Analysis M2</t>
  </si>
  <si>
    <t>Skills and training needs analysis of CEB clients</t>
  </si>
  <si>
    <t>Operation Business Internet M2</t>
  </si>
  <si>
    <t>Provision of Operation Business Internet training programme to CEB clients</t>
  </si>
  <si>
    <t>Credit Control Seminar M2</t>
  </si>
  <si>
    <t>Provision of credit control training seminar to CEB clients</t>
  </si>
  <si>
    <t>Commercialising Your Business Idea M2</t>
  </si>
  <si>
    <t>Provision of commercialising your business idea training seminar to CEB clients</t>
  </si>
  <si>
    <t>Communications and Assertiveness Seminar M2</t>
  </si>
  <si>
    <t>Provision of Communication and Assertiveness seminar to CEB clients</t>
  </si>
  <si>
    <t>CV Writing M2</t>
  </si>
  <si>
    <t>Provision of CV Writing training day for CEB clients</t>
  </si>
  <si>
    <t>IDL Ireland/Cap</t>
  </si>
  <si>
    <t>Manufacture of display/exhibition equipment</t>
  </si>
  <si>
    <t>Acrylic Design &amp; Fabrication Co. Ltd./Cap</t>
  </si>
  <si>
    <t>Design and manufacture of point of sale advertising units</t>
  </si>
  <si>
    <t>Maverick House Publishers/Cap</t>
  </si>
  <si>
    <t>Expansion of a non-fiction publishing house</t>
  </si>
  <si>
    <t>IRT Consult Ltd./Cap</t>
  </si>
  <si>
    <t>Provision of Volatile Organic Compound gas leak detection service</t>
  </si>
  <si>
    <t>Raston Engineering Ltd./Cap</t>
  </si>
  <si>
    <t>Plant maintenance, installation and fabrication</t>
  </si>
  <si>
    <t>Small Business Marketing Programme M2</t>
  </si>
  <si>
    <t>Provision of Small Business Marketing training programme for CEB clients</t>
  </si>
  <si>
    <t>Paul Leonard/Emp</t>
  </si>
  <si>
    <t>Provision of IT for Business service</t>
  </si>
  <si>
    <t>Matty Murtagh/FS</t>
  </si>
  <si>
    <t>Marketing and commercialising of website for thoroughbred horses  PMS 24000140</t>
  </si>
  <si>
    <t>Actionhorse Ltd./Emp</t>
  </si>
  <si>
    <t>Marketing and commercialisation of thoroughbred horses website</t>
  </si>
  <si>
    <t>Marie Rochford &amp; Patricia Reilly/Emp</t>
  </si>
  <si>
    <t>Local alteration and repair service</t>
  </si>
  <si>
    <t>BMCC Energy Ltd t/a Enersol/Cap</t>
  </si>
  <si>
    <t>Electrical project work for the renewalbe energy sector</t>
  </si>
  <si>
    <t>Vellowfield Asset Management Ltd./Emp</t>
  </si>
  <si>
    <t>Manage on behalf of clients commercial refrigeration units which display frozen products and are located in retail stores, supermarkets throughout Ireland and the UK</t>
  </si>
  <si>
    <t>ORL Consultants Ltd./Emp</t>
  </si>
  <si>
    <t>Call centre</t>
  </si>
  <si>
    <t>Slane Castle Irish Whiskey Ltd./FS</t>
  </si>
  <si>
    <t>Feasibility Study into the production and marketing of Irish Whiskey</t>
  </si>
  <si>
    <t>Enda Donnellan/FS</t>
  </si>
  <si>
    <t>Production of outdoor attraction for family festivals</t>
  </si>
  <si>
    <t>Neptune Showers Ltd./Emp</t>
  </si>
  <si>
    <t>Capital to provide for the moulds which would be used to create the pod units from plastic . Marketing grant was used to print brochures to market the product in bathroom stores</t>
  </si>
  <si>
    <t>AS Amusements /FS</t>
  </si>
  <si>
    <t>Development of audio and video background music system for commercial use</t>
  </si>
  <si>
    <t>Richard Lee/FS</t>
  </si>
  <si>
    <t>Develop a product called a "Safety Chubby" for sedcuring all types of ladders to both wall and ground</t>
  </si>
  <si>
    <t>First Touch Technology Ltd./FS</t>
  </si>
  <si>
    <t>Production of frame system for PUMA underdesk system for PCs</t>
  </si>
  <si>
    <t>Production of DVD for training demonstration, installation and user information for users and installers of PUMA system for under desk PC storage</t>
  </si>
  <si>
    <t>BMCC Energy Ltd. t/a Enersol/Emp</t>
  </si>
  <si>
    <t>Electrical project work in the renewable energy sector</t>
  </si>
  <si>
    <t>Mumstown Ltd./Emp</t>
  </si>
  <si>
    <t>Production and marketing of national parenting website</t>
  </si>
  <si>
    <t>AS Amusements/Emp</t>
  </si>
  <si>
    <t>Development of audio and video background music system for commercial use.</t>
  </si>
  <si>
    <t>Compliance Engineering Ireland Limited/BE</t>
  </si>
  <si>
    <t>Compliance Engineering Ireland (CEI) offers Electromagnetic Compatibility (EMC) and Product safety testing to prove conformity with essential requirements for commercial and automotive markets. CEI is Irelands major EMC approvals provider, operating screened, anechoic and environmental test chambers. Operating to commercial CE marking test standards. services include Low Voltage Directive (2006/95/EC), General Product Safety Directive (2001/95/EC) and Machinery Safety Directive (2006/42/EC).</t>
  </si>
  <si>
    <t>Costa Systems/BE</t>
  </si>
  <si>
    <t>Costa Systems offers a wide range of ePOS solutions, each designed to meet the requirements of its customer precisely allowing him/her to (i) provide exceptional customer service ; (ii) maximise the value of customer transactions; (iii) keep customers information safe; (iv) manage promotions; (v) implement customer loyalty schemes; (vi) offer multiple and mixed sales channels; (vii) in-store/ website/ catalogue; etc_x000D_</t>
  </si>
  <si>
    <t>Dunboyne IT/Emp</t>
  </si>
  <si>
    <t>Provision of IT support for computers and software to the business sector in Dunboyne and East Meath</t>
  </si>
  <si>
    <t>Eco Cleanining Services/Priming</t>
  </si>
  <si>
    <t>Commercial cleaning services with a special focus on chewing gum and graffiti removal services in towns for local councils both in the South and North of Ireland</t>
  </si>
  <si>
    <t>Eco Tech Computers Limited/Feas</t>
  </si>
  <si>
    <t>Prototype and manufacture of an eco friendly outdoor computer system</t>
  </si>
  <si>
    <t>Elementec/Emp</t>
  </si>
  <si>
    <t>Scientific instrumentation specialists offering maintenance services to ensure limited downtime, consistent performance and maximisation of istrumentation lifetime. Services include: (i)Planned Preventative Maintenance; (ii) Fully comprehensive Support Contracts; (iii)Preventative Maintenance; (iv)Calibration; (v) Validation; and (vi) Training</t>
  </si>
  <si>
    <t>EMRC Limited/BE</t>
  </si>
  <si>
    <t>Pharmaceutical service to pharmaceutical and medical devices industry (domestic and international)</t>
  </si>
  <si>
    <t>Energy Quarter/FIG</t>
  </si>
  <si>
    <t>Renewable energy and energy efficient products &amp; services using the internet to proof the energy efficiency of a house</t>
  </si>
  <si>
    <t>EZtrack/BP</t>
  </si>
  <si>
    <t>Manufacture of GPS tracking devices to secure equipment from robbery and to marshal young children within a particular geographic area</t>
  </si>
  <si>
    <t>Hennessy and Byrne/FIG</t>
  </si>
  <si>
    <t>Manufacture of trophies and awards from marble and a full range of giftware including worry stones, paper weights, cheese boards and kitchen implements with marble and granite.</t>
  </si>
  <si>
    <t>Kablingy Software/Emp</t>
  </si>
  <si>
    <t>To develop IT and computer products for the facilitation of the construction of a modern integrated online website for businesses in Ireland and the UK</t>
  </si>
  <si>
    <t>Kimmy Cards/Emp</t>
  </si>
  <si>
    <t>Design and production of original handcrafted gift cards based around the Irish literary character, Oscar Wilde</t>
  </si>
  <si>
    <t>Motability Ireland Limited/BE</t>
  </si>
  <si>
    <t>Manufacture and adaptation of wheelchair accessible vehicles so as to sustain nine full-time employees</t>
  </si>
  <si>
    <t>Navan Enterprise Centre Limited/Cap</t>
  </si>
  <si>
    <t>A capital grant to establish a Hot Desk facility of four desks in a 1,000 sq ft enterprise unit in the enterprise centre</t>
  </si>
  <si>
    <t>Neptune Showers/BE</t>
  </si>
  <si>
    <t>Capital to provide for the moulds which would be used to create the pod units from plastic . Marketing grant was used to print brochures to market the product in bathroom stores._x000D_</t>
  </si>
  <si>
    <t>Peter Clarke/FIG</t>
  </si>
  <si>
    <t>Research, design and development of a fitness related product for use by professional, semi-professional Rugby Union players_x000D_</t>
  </si>
  <si>
    <t>Rarco Limited/Emp</t>
  </si>
  <si>
    <t>Website design marketing and management company, job-boards to English Speaking markets_x000D_</t>
  </si>
  <si>
    <t>Seoige Technology Limited/BP</t>
  </si>
  <si>
    <t>The development of SavvyBear.com which is a children's internet virtual reality site for children to network with other 5-12 year olds and to avail of educational facilities on the site as your bear goes through the virtual town and the Gael Scoil</t>
  </si>
  <si>
    <t>Seoige Technology Limited/BE</t>
  </si>
  <si>
    <t>Games (software) with educational dimension</t>
  </si>
  <si>
    <t>Slane Castle Irish Whiskey Limited/BP</t>
  </si>
  <si>
    <t>To develop the sales and marketing of branded Slane Castle whiskey in Ireland and the US through use of new website, product point launch events and consultancy</t>
  </si>
  <si>
    <t>Slane Castle Irish Whiskey Limited/BE</t>
  </si>
  <si>
    <t>To develop the sales and marketing of branded Slane Castle whiskey in Ireland and the US and to transfer the whiskey from bonded warehousing into bottles</t>
  </si>
  <si>
    <t>Advanced Selling on eBay M2</t>
  </si>
  <si>
    <t>Provision of Advanced Selling on eBay training programme to CEB clients</t>
  </si>
  <si>
    <t>Selling on eBay M2</t>
  </si>
  <si>
    <t>Provision of Selling on eBay training programme to CEB clients</t>
  </si>
  <si>
    <t>Time and Stress Management/M2</t>
  </si>
  <si>
    <t>Provision of Time and Stress Management training seminar to CEB clients</t>
  </si>
  <si>
    <t>Using Social Networking M2</t>
  </si>
  <si>
    <t>Provision of Using Social Networking training seminar to CEB clients</t>
  </si>
  <si>
    <t>ABCDE Limited/BP</t>
  </si>
  <si>
    <t>Service provider in business consulting and development engineering to the international helicopter aviation industry_x000D_</t>
  </si>
  <si>
    <t>AES Global Software Limited/BP</t>
  </si>
  <si>
    <t>Salaries grant for company developing an internet based expense claim application/software for use by international businesses  _x000D_</t>
  </si>
  <si>
    <t>Alan and Sharon Ledwith/FIG</t>
  </si>
  <si>
    <t>Feasibility study grant for product invention for aerospace, aviation and marine industries_x000D_</t>
  </si>
  <si>
    <t>Bective Precision Limited/BE</t>
  </si>
  <si>
    <t>Capital grant for the expansion of a precision sheet metal fabrication company_x000D_</t>
  </si>
  <si>
    <t>Bin Cleaning Company/BP</t>
  </si>
  <si>
    <t>Salary grant to establish a wheelie bin cleaning service</t>
  </si>
  <si>
    <t>Bridget's Mantle/BP</t>
  </si>
  <si>
    <t xml:space="preserve">Salary grant for employment of persons in business involved in the manufacture of organic skincare products_x000D_ </t>
  </si>
  <si>
    <t>Donagh Quigley/BP</t>
  </si>
  <si>
    <t>Capital grant for the establishment of a company involved in the manufacture of handmade soap_x000D_</t>
  </si>
  <si>
    <t>Eco Tech Computers Limited/BP</t>
  </si>
  <si>
    <t>Capital grant for the establishment of a business involved in the development and manufacture of eco friendly technology</t>
  </si>
  <si>
    <t>Ecoballast Technology Limited/BP</t>
  </si>
  <si>
    <t>Salary grant for employment of persons in company involved in manufacture of specialised lighting ballasts for global market of flexible illuminated advertising graphics</t>
  </si>
  <si>
    <t>Salaries grant for employment of person(s) in a business which manufactures GPS tracking devices</t>
  </si>
  <si>
    <t>Hennessy and Byrne/BP</t>
  </si>
  <si>
    <t>Capital grant towards establishment of a business which manufactures trophies and awards from marble</t>
  </si>
  <si>
    <t>Hot Box Hire Limited/FIG</t>
  </si>
  <si>
    <t>Feasibility study grant to assess the feasibility of Manufacturing new hotbox for asphalt</t>
  </si>
  <si>
    <t>Jim Dunne/FIG</t>
  </si>
  <si>
    <t xml:space="preserve">Feasibility study grant to assess commercialisation of a tool carrier called Hedge Billy_x000D_ </t>
  </si>
  <si>
    <t>JS Web Hosting Limited/PB</t>
  </si>
  <si>
    <t>Salaries grant for business invloved in online eCommerce solution incorporating accountancy software_x000D_</t>
  </si>
  <si>
    <t>Kieran Walshe/FIG</t>
  </si>
  <si>
    <t>Feasibility study grant for dvelopment and manufacture of a range of products for the veterinary healthcare sector.</t>
  </si>
  <si>
    <t>Masita/BE</t>
  </si>
  <si>
    <t xml:space="preserve">Employment grant to expand a company which manufactures fully personalised sports teamwear_x000D_ </t>
  </si>
  <si>
    <t>Motion Labs/PB</t>
  </si>
  <si>
    <t xml:space="preserve">Capital grant to establish a business involved in the manufacture of foot orthtotics and other orthotic devices_x000D_ </t>
  </si>
  <si>
    <t>Motion Labs/BP</t>
  </si>
  <si>
    <t>Capital grant to establish a business involved in the manufacture of foot orthtotics and other orthotic devices_x000D_</t>
  </si>
  <si>
    <t>Niamh Design/BP</t>
  </si>
  <si>
    <t>Employment grant to establing a business involved in illustration, surface patter and design solutions for commercial and private client</t>
  </si>
  <si>
    <t>Padraig Shine/BP</t>
  </si>
  <si>
    <t>Salary costs for the establishment of a business involved in the manufacture of water filtration products (from recycled plastics)</t>
  </si>
  <si>
    <t>Pawprints Crematorium Ireland/BP</t>
  </si>
  <si>
    <t xml:space="preserve">Employment grant for establishment of a pet crematorium_x000D_ </t>
  </si>
  <si>
    <t>Pedromont Limited/BP</t>
  </si>
  <si>
    <t>Employment grant to develop an online facility which links buyers and sellers of used/re-used vehicle parts using a unique technology and process based on a distance and time of response business._x000D_</t>
  </si>
  <si>
    <t>Plunkett Govern/FIG</t>
  </si>
  <si>
    <t>Assess feasibility of manufacturing new product by precision grinding of tool steal shanks</t>
  </si>
  <si>
    <t>The Grapevine/BP</t>
  </si>
  <si>
    <t>Grant to establish community information digital systems</t>
  </si>
  <si>
    <t>Toner and Ink Factory/BP</t>
  </si>
  <si>
    <t xml:space="preserve">Employment grants for establishment of company involved in the remanufacture of laser and ink print cartridges_x000D_ </t>
  </si>
  <si>
    <t>Transbid/BP</t>
  </si>
  <si>
    <t>Employemnt grant to set up a transportation web site._x000D_</t>
  </si>
  <si>
    <t>Vurzol Limited/BP</t>
  </si>
  <si>
    <t>Employment grants for the establishment of home care services_x000D_</t>
  </si>
  <si>
    <t>Women's Retail Excellence Programme M2</t>
  </si>
  <si>
    <t>Retail excellence programme for women</t>
  </si>
  <si>
    <t>Leadership Skills/M2</t>
  </si>
  <si>
    <t>Leadership Skills training course for clients of Meath County Enterprise Board</t>
  </si>
  <si>
    <t>Google Get Ireland Online/M2</t>
  </si>
  <si>
    <t>Web development training for Enterprise Board clients in association with Google</t>
  </si>
  <si>
    <t>Discovery Programme M2</t>
  </si>
  <si>
    <t>Management development training programme provided for Meath County Enterprise Board clients</t>
  </si>
  <si>
    <t>Understanding Accounts/M2</t>
  </si>
  <si>
    <t>Provision of basic accountancy training to clients of Meath County Enterprise Board</t>
  </si>
  <si>
    <t>Farrelly Environmental Limited/FIG</t>
  </si>
  <si>
    <t>Feasibility study to determine feasiblity of manufacturing dredgers and related ancillaries</t>
  </si>
  <si>
    <t>E-Commerce Initiative/M2</t>
  </si>
  <si>
    <t>Funding for businesses to develop a web site</t>
  </si>
  <si>
    <t>Aviation Selection Consultants Limited/BP</t>
  </si>
  <si>
    <t>Grant sought to expand a business involved in the recruitment/selection and training services to airlines, pilot training, colleges around the world and to also promote and sell an online personality assessment on a global basis which caters for cultural diversity_x000D_</t>
  </si>
  <si>
    <t>Metalworx Limited/BP</t>
  </si>
  <si>
    <t>Grant sought to set up a business involved in mild and stainless steel fabrication such as glazed screens, cash handling counter systems, security cash drawers, bulk transfer units, security personnel doors, retractable window and door grilles, safes, strong rooms, mobile cash transfer trolleys, etc._x000D_</t>
  </si>
  <si>
    <t>Pia Pium Limited/BP</t>
  </si>
  <si>
    <t>Grant sought to set up a video-based pitching serivce for new businesses in Ireland_x000D_</t>
  </si>
  <si>
    <t>Rowan Engineering Limited/BE</t>
  </si>
  <si>
    <t>Grant sought to expand a forensic Engineering and environmental consultancy business_x000D_</t>
  </si>
  <si>
    <t>Timeline Productions/BP</t>
  </si>
  <si>
    <t>Grant sought to manufacture and establish a travelling exhibition to schools staging live presentations_x000D_</t>
  </si>
  <si>
    <t>Peter Clarke/Superscrum Limited/BP</t>
  </si>
  <si>
    <t>Grant to set up a business involved in the manufacture and supply a newly patented rugby training machine and service all clubs in Ireland in all their needs and provide maintenance services for existing equipment</t>
  </si>
  <si>
    <t>Barbara O'Sullivan/FIG</t>
  </si>
  <si>
    <t>Grant sought to assess the feasibility of developing portable toys made from eco-fabric aimed at 6-8 year olds_x000D_</t>
  </si>
  <si>
    <t>Fire Defence Systems/FIG</t>
  </si>
  <si>
    <t>Feasibility study grant for the design, development, prototype and manufacture of a rapid response domestic fire fighting system._x000D_</t>
  </si>
  <si>
    <t>Capital grant sought to Manufacture of a range of fully personalised sports team-wear, primarily focusing on GAA jerseys, shorts, etc._x000D_</t>
  </si>
  <si>
    <t>Oldcaslte Laboratories Limited/BE</t>
  </si>
  <si>
    <t>Capital grant sought to  expand the capabilities of Oldcastle Laboratories Limited which offers laboratory services to the veterinary sector and the general public through financial assistance twords the cost of INAB 17025 accreditation and new test equipment_x000D_</t>
  </si>
  <si>
    <t>Sean Broga Limited/BP</t>
  </si>
  <si>
    <t>Capital grant sought to establish a business involved in the recycling of old shoes for export_x000D_</t>
  </si>
  <si>
    <t>Accelerate Programme M2</t>
  </si>
  <si>
    <t>Provsion of Accelerate Management Development Training Programme to Meath CEB clients</t>
  </si>
  <si>
    <t>Social Media Training M2</t>
  </si>
  <si>
    <t>Training course/seminar in the use of various types of social media tools for business users, eg, Twitter, Facebook, setting up blogs, etc</t>
  </si>
  <si>
    <t>Jumpstart M2</t>
  </si>
  <si>
    <t>Provision of business training to Meath CEB clients</t>
  </si>
  <si>
    <t>Selling Skills M2</t>
  </si>
  <si>
    <t>Provison of selling skills/sales training to Meath CEB clients</t>
  </si>
  <si>
    <t>The Irish Bioenergy Association</t>
  </si>
  <si>
    <t>The project will develop a wood fuel quality assurance scheme for Ireland.  This involves the drafting of a Working Agreement in conjunction with the NSAI that will apply to logs, chips, pellets and briquettes formed from clean wood.</t>
  </si>
  <si>
    <t>MEATH TOTAL</t>
  </si>
  <si>
    <t>Millennium Family Resource Centre Ltd (MFRC)</t>
  </si>
  <si>
    <t>The project involves the installation of a 75kW multi-fuel biomass boiler and fuel store. The building has an existing floor area to be retained of 268.6m2 and a total planned extension floor area of476m2. this will give a total building floor area of 744.</t>
  </si>
  <si>
    <t>North Tipperary</t>
  </si>
  <si>
    <t>Woodlands Nursing Home (Dundrum) Ltd</t>
  </si>
  <si>
    <t>Install 21.72sq m of flat plate solar collectors</t>
  </si>
  <si>
    <t>Spafield Family Resource Centre</t>
  </si>
  <si>
    <t>Install 10.65 sq m of flat plate solar collectors</t>
  </si>
  <si>
    <t>Sisters of Mercy, Provincial Stewardship Office</t>
  </si>
  <si>
    <t>Sisters of Mercy, in Templemore, is a listed building and was previously been heated using an oil burner. It_x000D_plans to install a new 100 kW wood pellet burner and fuel store to replace the old system._x000D_The objectives and rationale for considering biomass</t>
  </si>
  <si>
    <t>Evergreen Energy Ltd</t>
  </si>
  <si>
    <t>Install a 90kw , 50kw and 30 kw wood chip boilers</t>
  </si>
  <si>
    <t>Alza Ireland Ltd</t>
  </si>
  <si>
    <t xml:space="preserve">Feasibility study to investigate the viability of CHP and Trigeneration on the Cashel Campus taking into consideration the considerable addition to the Cashel campus and the availability of gas by the end of 2008. </t>
  </si>
  <si>
    <t>County Tipperary Lawn Tennis Club</t>
  </si>
  <si>
    <t>Installation of a 13kw air to water heat pump.</t>
  </si>
  <si>
    <t>Rosderra Irish Meats Group Ltd</t>
  </si>
  <si>
    <t>Lighting upgrade, Singer Stack Insulation and New Singer Installation.</t>
  </si>
  <si>
    <t>CT Solutions Ltd - Capital</t>
  </si>
  <si>
    <t>Technical Services for Call Centres</t>
  </si>
  <si>
    <t>Harald Turek - Employment</t>
  </si>
  <si>
    <t>A service business specialising in web and design.  Funded start up costs - promoter previsouly unemployed.</t>
  </si>
  <si>
    <t>Thomas Wollen - Capital</t>
  </si>
  <si>
    <t>Ceramic Pottery</t>
  </si>
  <si>
    <t>Silvermines Enterprise Ltd - Capital</t>
  </si>
  <si>
    <t>Community Workspace</t>
  </si>
  <si>
    <t xml:space="preserve">North Tipperary Food Enterprise Centre (Rearcross) Ltd - Capital </t>
  </si>
  <si>
    <t>Food Enterprise Space</t>
  </si>
  <si>
    <t>Patrick O'Hanlon - Feasibility</t>
  </si>
  <si>
    <t>Feasibility Study into Educational Game</t>
  </si>
  <si>
    <t xml:space="preserve">Hanora Kelly - Feasibility </t>
  </si>
  <si>
    <t>Feasbility study on lunch box</t>
  </si>
  <si>
    <t>Eddie Cleary T/a Canvaspic - Employment</t>
  </si>
  <si>
    <t>Photographic Printing Craft</t>
  </si>
  <si>
    <t>Olive Kilgannon T/a Creative Minds - Employment</t>
  </si>
  <si>
    <t>Art &amp; Craft Centre</t>
  </si>
  <si>
    <t>Celtic Copper &amp; Brass Ltd - Capital</t>
  </si>
  <si>
    <t>Brass Plate &amp; Sign Manufacturer</t>
  </si>
  <si>
    <t xml:space="preserve">Kerrie O'Connor - Feasibility </t>
  </si>
  <si>
    <t>Feasbility Study on Database Management</t>
  </si>
  <si>
    <t>KD Sewing Services Limited - Employment</t>
  </si>
  <si>
    <t>Curtain Manfuacturing</t>
  </si>
  <si>
    <t xml:space="preserve">Spillane Precast Concrete Limited - Capital </t>
  </si>
  <si>
    <t>Pre Cast Concrete Manufacture</t>
  </si>
  <si>
    <t>Lyncare Systems Limited - Capital</t>
  </si>
  <si>
    <t>Steralisation of Hospital Equipment</t>
  </si>
  <si>
    <t>Dermot Troy T/a Troy Iron Works - Employment</t>
  </si>
  <si>
    <t>Wrought Iron Craft</t>
  </si>
  <si>
    <t>Design Cert Media Limited - Employment</t>
  </si>
  <si>
    <t>CD Rom Development</t>
  </si>
  <si>
    <t>Donal Bray T/a Echo Systems - Capital</t>
  </si>
  <si>
    <t>IT Networks &amp; Solutions</t>
  </si>
  <si>
    <t>Start Your Own Business Course Measure 2</t>
  </si>
  <si>
    <t>Start Your Own Business Programme x 11 weeks FETAC Accredited</t>
  </si>
  <si>
    <t>Public Consultation &amp; Research Measure 2</t>
  </si>
  <si>
    <t>Tipperary Institute &amp; Jane Hession consultative process including research and survey of SME's to determine the development needs of small business</t>
  </si>
  <si>
    <t>Enterprise Awareness Measure 2</t>
  </si>
  <si>
    <t>Promotional Material, Advertising, Adult Education Exhibition, etc. in support to M2 programme</t>
  </si>
  <si>
    <t>2007 Business Skills Training Courses Measure 2</t>
  </si>
  <si>
    <t>Employment Law, Marketing, PR, Pricing &amp; Costing, Finance, Health &amp; Safety, HRM, VAT Returns, Taxation, Temp Business Adviser, Room Hire</t>
  </si>
  <si>
    <t>CDP Assignments Measure 2</t>
  </si>
  <si>
    <t>One to One Consultancy Assignments for 6 firms</t>
  </si>
  <si>
    <t>Craft Enterprise Development Measure 2</t>
  </si>
  <si>
    <t>Craft Site Visit &amp; Craft Enterprise Mentoring</t>
  </si>
  <si>
    <t>Design Innovation R&amp;D Measure 2</t>
  </si>
  <si>
    <t>Design Audits, Design Innovation R&amp;D Seminars, Nenagh Re-Branding</t>
  </si>
  <si>
    <t>MDP Thurles Measure 2</t>
  </si>
  <si>
    <t>Management Development Programme in Thrules</t>
  </si>
  <si>
    <t>Mentoring Measure 2</t>
  </si>
  <si>
    <t>Mentoring Client Companies on various topics</t>
  </si>
  <si>
    <t>National Enterprise Awards Measure 2</t>
  </si>
  <si>
    <t>Entry into the National Enterprise Awards (Cooleeney Cheese)</t>
  </si>
  <si>
    <t>National Exhibitions Measure 2</t>
  </si>
  <si>
    <t>Support of Clients in the  Participation at National Exhibitions eg. Shop etc</t>
  </si>
  <si>
    <t>Training Support Grants Measure 2</t>
  </si>
  <si>
    <t>Training Support Grants for the following clients:_x000D_Richard Gough and Audrey Forde T/a Final Touch Wedding Stationery</t>
  </si>
  <si>
    <t>Website Development Grants Measure 2</t>
  </si>
  <si>
    <t>Website Development Grants approved for 13 clients</t>
  </si>
  <si>
    <t>Training Support Grants 2010</t>
  </si>
  <si>
    <t>Training Grants provided to the following clients: Johnny McCarthy T/a Cottage Woodturning (Woodturning course), Andy Spillane Bespoke Furniture (Furniture Design Course) and John Shanahan T/a Class C Driving School (Bus Approved Driving Instructor's course). All courses taken by the promoters to upskill.</t>
  </si>
  <si>
    <t>Exhibition Grants Measure 2</t>
  </si>
  <si>
    <t>Exhibition Grants to the following companies:- Powder Process Systems Ltd and Joannes Berkery O'Brien T/a The Gifted Hand</t>
  </si>
  <si>
    <t>Marketing Supports Measure 2</t>
  </si>
  <si>
    <t>Marketing Supports for the following companies:-_x000D_Ciara O'Meara ?1,000 and Thurles Marketing Group ?7,000</t>
  </si>
  <si>
    <t>North Tipperary Tourism Co. Measure 2</t>
  </si>
  <si>
    <t>North Tipperary Tourism Company</t>
  </si>
  <si>
    <t>Plato Mid-West Measure 2</t>
  </si>
  <si>
    <t>Contribution to Plato Mid - West organisation</t>
  </si>
  <si>
    <t>Schools Initiatives Measure 2</t>
  </si>
  <si>
    <t>Enterprise Days_x000D_-Enterprise Encounter_x000D_-Primary Schools Programme &amp; Student Enterprise Awards_x000D_</t>
  </si>
  <si>
    <t>Seminars / Workshops Measure 2</t>
  </si>
  <si>
    <t>How When You Don't know How_x000D_and Business Health Check</t>
  </si>
  <si>
    <t>Unlocking Innovation Measure 2</t>
  </si>
  <si>
    <t>Unlocking Innovation with Cadpo Solutions</t>
  </si>
  <si>
    <t>Online Information &amp; Application Measure 2</t>
  </si>
  <si>
    <t>Web-based information centre.. www.tnceb.ie and www.tipperarydirectory.ie</t>
  </si>
  <si>
    <t>New Horizons Netwrking Event Measure 2</t>
  </si>
  <si>
    <t>Contribution towards the cost of running this Mid-West initiative / networking event addressed by Bill Cullen</t>
  </si>
  <si>
    <t>Women in Business Supports Measure 2</t>
  </si>
  <si>
    <t>Intercounty Networking events, Network Ireland Conference, TN WIB Network etc</t>
  </si>
  <si>
    <t>TUS Nua Event Measure 2</t>
  </si>
  <si>
    <t>North Tipperary initiative to highlight all Government departments charged with servicing the needs of the unemployed in the area.</t>
  </si>
  <si>
    <t>Advertising &amp; Promotion of cofunded activities such as training courses, workshops and other initiatives such as Tipperary Directory website during 2008 &amp; 2009 &amp; 2010 &amp; 2011, 2012.  (This webiste was developed as a medium for businesses to advertise their products and services on).</t>
  </si>
  <si>
    <t>Marketing Support Grant 2010</t>
  </si>
  <si>
    <t>Marketing Support Grant for the North Tipperary Food Enterprise Centre (Rearcross) Ltd</t>
  </si>
  <si>
    <t>Business Skills Training Measure 2</t>
  </si>
  <si>
    <t>Courses including:- computerised accounts, credit control employ law, bus communications, SYOB, Taxation, Haccp, Markeing, HRM, Sales &amp; Telesales, Time Mng, Website etc,Income:-_x000D_Accouns for small business, counting the beans, credit control, SYOBusiness, Innovate Or Stagnate, Managing in a Downturn, New Thinking for a new Market Place, Start Up Bootcamp, Using EBay, Start Up Boot Camp, Excel, Marketing Cloughjordan, Basic Book Keeping,  Succession Planning, Financial Mng, ECommerce Clinics etc</t>
  </si>
  <si>
    <t>TNCEB Website Measure 2</t>
  </si>
  <si>
    <t>Upgradeof TNCEB Website by ISeek Ltd, the site redeveloped to reflect new Financial Instruments in 2009 and to include business training modules.</t>
  </si>
  <si>
    <t>Information Library &amp; Research Measure 2</t>
  </si>
  <si>
    <t>Publications and Reports purchased for the Information Centre / Reference Library for clients of the Board.  Also Research Projects carried out to benefit clients of the Board and those planning to start a business - excludes all admin.</t>
  </si>
  <si>
    <t>Craft Enterprise Develoment Measure 2</t>
  </si>
  <si>
    <t>Craft Clinics in association with Crafts Council of Ireland</t>
  </si>
  <si>
    <t>Design Shannon Skillnet Measure 2</t>
  </si>
  <si>
    <t>Design Shannon Skillnet Programme 2008.  Design Shannon is a not for profit organisation promoting design for innovation in the region. Their goal is to devise tailor-made programmes aimed at the SME and micro-industry sectors within and outside of the Shannon Region.  This programme was not cofunded by any other EU programme. Any co funding came from the Irish Exchequer.</t>
  </si>
  <si>
    <t>Management Development</t>
  </si>
  <si>
    <t>Management Development Programmes held in Thurles and Nenagh specifically for owner managers involving workshops and 3 onsite meetings to address business issues.  Management Resource Institute Programme is accredited by Waterford Institute of Technology. In 2011 the Accellerate Programme was introduced and ran by PAS Consulting &amp; Barry Moran</t>
  </si>
  <si>
    <t>Mentoring Clients on various topics such as Marketing, Finance, Human Resources, Financial, General Business, E-Commerce and Export Mentoring etc in 2008 &amp; 2009 &amp; 1010 &amp; 2011 &amp; 2012 &amp; 2013</t>
  </si>
  <si>
    <t>NEA &amp; National Exhibitions</t>
  </si>
  <si>
    <t>National Enterprise Awards    2008 Digino Marketing Limited, 2009 Crossogue Preserves, 2010 MySaver Ireland Ltd, 2011 Lyncare Systems Ltd &amp; Tomas Ryan T/a AdSmart in 2012, Irish Piemontese Beef 2013.  Enterprise Awareness initiative showcasing the county's top entrapreneurs. costs relate to competition, pr and mentoring.  No administration costs involved. National events in 2011 &amp; 2012</t>
  </si>
  <si>
    <t>Exhibition Grants awarded to six companies in 2008, eight companies in 2009 and nine companies in 2010.  Exhibitoins included Showcase, Dublin Boat Show, National Ploughing Championships, Autumn Gift &amp; Home Show, Spring Art Exhibiton, The Ireland Show, the Irish Rcecyling &amp; Waste Mng Show. National Craft Design Fair, International Federation of Pharaceutical Wholesalers.  Average grant €1,000</t>
  </si>
  <si>
    <t>Marketing Support through dedicated Mentoring and consultancy was provided to Cabragh Wetlands Project, Jason Cahill, Celtic Recipes for Crossogue Preserves, Thomas Wollen T/a Raku Ceramics, Thurles Marketing &amp; Thurles Haloween Event.  In most cases the initiative culminated in the formulation of a comprehensive marketing plan.</t>
  </si>
  <si>
    <t>North Tipperary Tourism Company Measure 2</t>
  </si>
  <si>
    <t>Support to the North Tipperary Tourism Company</t>
  </si>
  <si>
    <t>Website Development Grants approved for 11 clients in 2008, 13 clients in 2009 and 9 clients  in 2010.  The Website Development grant aims to establish a web presence for those companies that do not have one already and maximise web marketing to increase sales and sustain existing busineses. The Web Development scheme is for companies that are manufacturing or have an internationally traded service.</t>
  </si>
  <si>
    <t>Contribution to Plato Mid-West Programme</t>
  </si>
  <si>
    <t>Schools Initiatives</t>
  </si>
  <si>
    <t>Enterprise Day incorporates group workshops etc in an effort to instill an enterprise culture in students. Enterprise Encounter brings Leaving Cert students into contact with local entrepreneurs. Student Enterprise Awards offer students the opportunity to take a business from the idea stage, through market research to production, etc  &amp;finally writing a business plan. Interview with an Entrepreneur involves primary students interviewing a local business person &amp; compiling a report on same.</t>
  </si>
  <si>
    <t>Seminars &amp; Workshops Measure 2</t>
  </si>
  <si>
    <t>How when you dont' know how Seminar with Kevin Kelly in 2008.  Seminar specifically for firms looking for positivity in a declining economic environment.</t>
  </si>
  <si>
    <t>Innovation Skillnet Measure 2</t>
  </si>
  <si>
    <t>Mid West Skillnet delivered by Design Shannon.  CEB Supported Brenwood Products, Lyncare Systems Limited.</t>
  </si>
  <si>
    <t>Smart Knowledge Programme Measure 2</t>
  </si>
  <si>
    <t>Five half day workshops on topics such as Creativity &amp; Knowledge, Strategising a new Business Model, Intellectual Property, Managing Change and Communicating Value backed by one to one consultancy</t>
  </si>
  <si>
    <t>Business Advisor Costs Measure 2</t>
  </si>
  <si>
    <t>Cost associated with delivery of Business Advice</t>
  </si>
  <si>
    <t>Enterprise Bus Measure 2</t>
  </si>
  <si>
    <t>Provision of the Enterprise Bus in North Tipperary in November 2008.  Nenagh, Thurles, Newport, Roscrea, Ballina, Templemore</t>
  </si>
  <si>
    <t>Regional Business Week Measure 2</t>
  </si>
  <si>
    <t>A business awareness initiative in conjunction with Enterprise Ireland and Bank of IReland.  The event included local seminars on Social Media, Motiviational Talks, Enterprise Clinics etc and regional events such addressed by SEan Gallagher &amp; Bobby Kerr of Dragons Den</t>
  </si>
  <si>
    <t>US Craft Market Measure 2</t>
  </si>
  <si>
    <t>Exploration into the US Craft Market for Clients of TNCEB in 2008.  TNCEB took 6 companies form the region to the Craft Fair in Milwaukee to establish if there is a market for their projects.  The CEB brought companies from North Tipperary to the event in 2009 2010 and 2011.  In 2012 the stand was shipped back to Ireland.</t>
  </si>
  <si>
    <t>Women in Business Measure 2</t>
  </si>
  <si>
    <t>Intercounty Networking, Network Ireland Conference, Network North Tipperary Branch, National Womens Enterprise Day etc</t>
  </si>
  <si>
    <t>Workspace Needs Study for North Tipperary Measure 2</t>
  </si>
  <si>
    <t>Study of Workspace needs carried out in conjunction with Shannon Develoment in 2008.  The study was pdated in 2009 with the full cost borne by the Board to determine the need for incubation and other workspace in the county.  Project contracted out - no admin costs involved</t>
  </si>
  <si>
    <t>Getting Started Measure 2</t>
  </si>
  <si>
    <t>Getting Started programme 6 week business startup</t>
  </si>
  <si>
    <t>Information &amp; Library Measure 2</t>
  </si>
  <si>
    <t>Publications and Reports purchased for the Information Centre / Reference Library for clients of the Board.  Also Research Projects carried out to benefit clients of the Board and those planning to start a business.</t>
  </si>
  <si>
    <t>Shelta Beer Company Ltd - Capital</t>
  </si>
  <si>
    <t>Manufacture of Artisan World Class Beers.</t>
  </si>
  <si>
    <t>Castlewares, T/a Castlesigns - Capital</t>
  </si>
  <si>
    <t>Captial Grant towards building extension and refurbishment of exisiting workshop</t>
  </si>
  <si>
    <t>John Delahunty - Capital</t>
  </si>
  <si>
    <t>Manufacture of garden enhancements and concrete products such as patios decking</t>
  </si>
  <si>
    <t>Darmody Fencing Ltd - Capital</t>
  </si>
  <si>
    <t>Manufacture and Installation of steel and timber fencing, steel stairs, balconies, industrial and agriculture buildings</t>
  </si>
  <si>
    <t>Morgan Haugh T/a The Washing Line - Capital</t>
  </si>
  <si>
    <t>Property Maintenance &amp; Cleaning Company set up by an unemployed builder.  A service targetting the mid-west region both industrial and domestic.</t>
  </si>
  <si>
    <t>Benny Larkin - Capital</t>
  </si>
  <si>
    <t>Cabinetry &amp; Architectural Joinery.</t>
  </si>
  <si>
    <t>Mackey Stainless Steel Ltd - Capital</t>
  </si>
  <si>
    <t>Mechanical Engineering manufacturing company geared towards the food and beverage sectors and specialising in stainless steel products.</t>
  </si>
  <si>
    <t>Brian Maher T/a Tipp Wood Chip - Capital</t>
  </si>
  <si>
    <t>Production of Wood Chip for commercial &amp; domestic markets.</t>
  </si>
  <si>
    <t>Seamus Gleeson Employment Grant</t>
  </si>
  <si>
    <t>Timber Floor Mainentance Company</t>
  </si>
  <si>
    <t>All Security Mobile Shredding Ltd - Capital</t>
  </si>
  <si>
    <t>Corporate Mobile Shredding Services</t>
  </si>
  <si>
    <t>Arunas Dabsevicius - Employment</t>
  </si>
  <si>
    <t>Environmentally Friendly Car Wash system</t>
  </si>
  <si>
    <t>BCD Energy Consulting Ireland Ltd - Employment</t>
  </si>
  <si>
    <t>Renewable Energy Consultants</t>
  </si>
  <si>
    <t>John Stapleton - Employment</t>
  </si>
  <si>
    <t>Hurley Manufacturer</t>
  </si>
  <si>
    <t>Shalee Utilities Ltd - Employment</t>
  </si>
  <si>
    <t>Telecommunications Service / Utility Company - 2 jobs grant aided</t>
  </si>
  <si>
    <t>Nu Plastics Limited - Feasibility</t>
  </si>
  <si>
    <t>Feasbility Study to establish if an opportunity exists to process plastic waste, add value to it so that it can be used as a raw material in the manufacture of various products.</t>
  </si>
  <si>
    <t>Veronica Molloy T/a Crossogue Preserves - Feasibility</t>
  </si>
  <si>
    <t>Manufacture of Artisan Preserves and Jams</t>
  </si>
  <si>
    <t>Martin Cooke T/a Sports-Line Ireland - Feasibility Study</t>
  </si>
  <si>
    <t>Feabislity study to determine the marketing potential fo a Line Marking System for playing pitches.</t>
  </si>
  <si>
    <t>Landtech Soils Ltd - Feasbility Study</t>
  </si>
  <si>
    <t>Feasbibility study to determine demand for grass roofing products geared towards specialist architectural builds that require grassed roofs etc.</t>
  </si>
  <si>
    <t>P[hilip Bourke C/o Irish Guild of Ash Hurley Makers - Feasbility Study</t>
  </si>
  <si>
    <t>Feasibility Study to determine the market for hurleys and to address issues such as Guaranteed Irish, Membership of the Guild of Ash Hurleys makers and the set up of a database of ash timber suppliers.</t>
  </si>
  <si>
    <t>Carter Engineering Ltd - Feasibility Study</t>
  </si>
  <si>
    <t>Manufacturer of components for wheel allignment systems.</t>
  </si>
  <si>
    <t>EEC Direct Furniture Manufacturing Ltd Feasbility Study</t>
  </si>
  <si>
    <t>Feasibility study to determine demand for furniture assembly, storage and dispatch services.</t>
  </si>
  <si>
    <t>Louisa Condon T/a The Ant Team - Employment Grant</t>
  </si>
  <si>
    <t>Gift Card Manufacturer - 1 job grant aided_x000D_</t>
  </si>
  <si>
    <t>Marie Leahy - Employment Grant</t>
  </si>
  <si>
    <t>Grant aid toward the cost of set up of a Mobile Adminstration Services in the form of an Employment grant.  The services offered include secretarial / administrative holiday and sick leave cover.</t>
  </si>
  <si>
    <t>Hemphouse Products Ltd - Feasibility Study</t>
  </si>
  <si>
    <t>Feasbility Study to determine demand for indigenous Hemp Building &amp; Insulation Products.</t>
  </si>
  <si>
    <t>LG Medium Ltd T/a Admedium - Capital Grant</t>
  </si>
  <si>
    <t>Specialist digital / electrified Signage Company supplying shopping centres, hotels and large corporates. Funded business expansion / capital costs including the purchase of equipment.</t>
  </si>
  <si>
    <t>Tom Ryan T/a AdSmart - Priming</t>
  </si>
  <si>
    <t>Marketing Services Company, Priming Grant assistnace towards equipment purchase, marketing, utilities and salaries.</t>
  </si>
  <si>
    <t>All Security Mobile Shredding - Business Expansion Grant</t>
  </si>
  <si>
    <t>Corporate Mobile Shredding Services - grant assistance towards the purchase of a weighing machine and lifting system.</t>
  </si>
  <si>
    <t>Bourke Engineering Ltd - Feasbiliity Study Grant</t>
  </si>
  <si>
    <t>Feasbility Study grant to address product development, IP, and safety aspects of a cage for the quarrying industry</t>
  </si>
  <si>
    <t>Brendan Delaney T/a Personalised Embriodery Services Priming Grant</t>
  </si>
  <si>
    <t>Priming Grant to purchase a computer design system and Embroidery equipment.</t>
  </si>
  <si>
    <t>Chimney Draught Stop Ltd - Priming Grant</t>
  </si>
  <si>
    <t>Priming Grant towards Intellectual Property/ Patents Advetising and Salaries</t>
  </si>
  <si>
    <t>Ensolve Ltd - Priming</t>
  </si>
  <si>
    <t>Provision of Mangement Marketing Sales and Technical services to client companies.  The target market is technology companies. Priming Grant assistance was towards Wages Utilites and Marketing costs.</t>
  </si>
  <si>
    <t>Everard Fire Ltd - Priming Grant</t>
  </si>
  <si>
    <t>Fire Safety Solutions including testing and certification of fire fighting equipment.  Funded the set up cost to include equiment, salaries and utilities.</t>
  </si>
  <si>
    <t>Fintan Kennedy - Feasibility Study</t>
  </si>
  <si>
    <t>Marktet research to determine the demand for external patio heating systems.</t>
  </si>
  <si>
    <t>Sean &amp; Eamon Hayden T/a Greenland Haylage - Capital</t>
  </si>
  <si>
    <t>The production and wrapping of haylage - a grass product geared towards horses to supply the Irish and European market.</t>
  </si>
  <si>
    <t>Iris Williams T/a Sustainable Architectural Solutions - Employment</t>
  </si>
  <si>
    <t>Employment grant to offset business startup costs.  Promoter had been made redundant and is now self employed as a specialist in the Environmental Architectural Solutions sector</t>
  </si>
  <si>
    <t>Anuga Food Fair Measure 2</t>
  </si>
  <si>
    <t>Exploration into one of the largest food markets in Europe.  TNCEB took sme companies from the region to the fair for research on latest trends etc.</t>
  </si>
  <si>
    <t>Johnny McCarthy T/a Cottage Craft Wood Turning - Priming</t>
  </si>
  <si>
    <t>Wood Turning Business specialising in timber bowls pens and bespoke pieces.  Funded business start up costs.</t>
  </si>
  <si>
    <t>Midas Business Reporting Ltd - Feasibility Study</t>
  </si>
  <si>
    <t>Feasibility study to examine the market for software to outsource report generation systems targeting all sectors of business.</t>
  </si>
  <si>
    <t>My Saver Ireland Ltd - Priming</t>
  </si>
  <si>
    <t>A marketing service using text messaging to promote products and services.  The customer base including retailers hotels and service providers.</t>
  </si>
  <si>
    <t>Paul Clarke T/a Paul Clarke Joinery - Priming</t>
  </si>
  <si>
    <t>Manufacture of Timber Furniture such as internal and external doors, stairs etc. Supplying the Irish market.</t>
  </si>
  <si>
    <t>Future Security Ltd - Feasibility</t>
  </si>
  <si>
    <t>Feasbility Study to determine the marekting opportunity for CCTV equipment assembly.</t>
  </si>
  <si>
    <t>Sentry Digital Solutions Ltd - Priming</t>
  </si>
  <si>
    <t>Security Monitoring Solutions including the design and assembly of CCTV systems for Local Authorities, Supermarkets etc.</t>
  </si>
  <si>
    <t>Thurles Bacon Company Ltd - Capital</t>
  </si>
  <si>
    <t>Bacon Processing Company - machine grant aided</t>
  </si>
  <si>
    <t>Veronica Molloy T/a Crossogue Preserves - Business Expansion</t>
  </si>
  <si>
    <t>Jam &amp; Preserves Manufacture - grant aided purchase of new equipment</t>
  </si>
  <si>
    <t>Voucher Vision - Employment Grant</t>
  </si>
  <si>
    <t>Employment Grant towards cost of 1 job.  A voucher based marketing service to the retail sector.</t>
  </si>
  <si>
    <t>Webpostit Ltd - Priming</t>
  </si>
  <si>
    <t>An on-line greeting card service. The Board funded business start up cost including marketing, advertising, consultancy and computer equipment.</t>
  </si>
  <si>
    <t>Tom Ryan T/a AdSmart - Priming Grant</t>
  </si>
  <si>
    <t>Marketing, Advertising and Communication company services SME's in Ireland and Northern Ireland. Capital grant towards for the procurement of print management software, Marketing, Utilities, Marekting &amp; consultancy</t>
  </si>
  <si>
    <t>CT Solutions Ltd - Business Expansion Grant</t>
  </si>
  <si>
    <t>Technical Services provided to Call Centres. Grant towards the cost of office equipment such as servers, laptops, printers, office fit out, partitions etc</t>
  </si>
  <si>
    <t>Cian Heffernan - Priming Grant</t>
  </si>
  <si>
    <t>App Development and Information Technology services for local and international clients. Grant was offered towards capital and salary start up costs.</t>
  </si>
  <si>
    <t>Cross Fabrications Ltd - Business Expansion Grant</t>
  </si>
  <si>
    <t>Engineering &amp; Fabrication Services for the local and international market.Capital included a Piston Press and a Tig Welder</t>
  </si>
  <si>
    <t>Eoin Ryan T/a Eoin Ryan Rody - Priming Grant</t>
  </si>
  <si>
    <t>Priming Grant towards the procurement of specilaist equipment and marketing costs.</t>
  </si>
  <si>
    <t>John Maher T/a John Maher Glass - Business Expansion Grant</t>
  </si>
  <si>
    <t>Business Expansion Grant towards the purchase of specilaist equpment for glass cutting / design._x000D_</t>
  </si>
  <si>
    <t>Jason Stephen Cahill - Priming Grant</t>
  </si>
  <si>
    <t>Priming Grant towards Marketing cost to include the the development of a logo, advertising and promotional material to include a website.</t>
  </si>
  <si>
    <t>Jimmy Dunne - Priming  Grant</t>
  </si>
  <si>
    <t>Priming Grant towards the cost of specialist machinery in the productioin of timber products.</t>
  </si>
  <si>
    <t>Landtech Soils Ltd - Business Expansion Grant</t>
  </si>
  <si>
    <t>Landtech Soils Ltd produces cultivated turf grass and ornamental Bark Mulch, soil based Rootzone Mixes, Substrates, and Soil Conditioners.  The business epxansion grant is towards Equipment &amp; Building Works</t>
  </si>
  <si>
    <t>Marion Moore Murray T/a Keltic Wedding Planners - Priming Grant</t>
  </si>
  <si>
    <t>Priming Grant towards the establishment of a Wedding Planner service.  Grant aid is towards the salary, purchase of equipment together with Marketing Material and Advertising.</t>
  </si>
  <si>
    <t>Michael Brett T/a Brett Joinery - Business Expansion</t>
  </si>
  <si>
    <t>Joinery business specialising in one off high end stairs design and manufactuing.  Grant aid towards the cost of speicalied machinery.</t>
  </si>
  <si>
    <t>Pressure Welding Manufacturing Ltd - Business Expansion Grant</t>
  </si>
  <si>
    <t>Pressure Welding (Manufacturing) Ltd offers specialised orbital welding services and fabrication services to the Pharmaceutical, Food, Chemical and allied industries.  Grant aid was towards the purchase of specialised equipment.</t>
  </si>
  <si>
    <t>Raymond Fox - Priming Grant</t>
  </si>
  <si>
    <t>Priming Grant Investment towards the purchase of specialist equipment, advertising and website development &amp; hosting</t>
  </si>
  <si>
    <t>Setanta College Ltd - Business Expansion Grant</t>
  </si>
  <si>
    <t>Business Expansion Grant towards the cost of investment in Eqipment, Marketing and Utilities</t>
  </si>
  <si>
    <t>Sheila Shanahan T/a Julia Agnes Designs - Priming Grant</t>
  </si>
  <si>
    <t>Priming Grant assistance towards the purchase of specialist equipment for her accessories design business</t>
  </si>
  <si>
    <t>Spillane Bespoke Furniture Ltd - BUsiness Expansion Grant</t>
  </si>
  <si>
    <t>Spillane Bespoke specialise in hand crafted fitted furniture.  The Business Expansion grant it towards the purchase of equipment, building works etc.</t>
  </si>
  <si>
    <t>Spillane Precast Concrete - Business Expansion Grant</t>
  </si>
  <si>
    <t>Precast Concrete products for the Agriculture and Construction sector.  Grant assistance towards the puchase of specialist equipment.</t>
  </si>
  <si>
    <t>Stephen Martin - Priming Grant</t>
  </si>
  <si>
    <t>Manufacture of hand made unique timber toys for local and international markets. Grant aid towards the purchase of specialist equipment</t>
  </si>
  <si>
    <t>Tom Bray - Priming Grant</t>
  </si>
  <si>
    <t>Applicance cleaning business received Priming Grant assistance towards the cost associated with Marketing the business.</t>
  </si>
  <si>
    <t>Una Ryan T/a Marketing Eye Priming Grant</t>
  </si>
  <si>
    <t>Marketing Support services company received grant assistance towards the cost of purchasing equipment for star up business.</t>
  </si>
  <si>
    <t>Ursula Condon - Priming Grant</t>
  </si>
  <si>
    <t>Sustainable Environmental Solutions company services both the domestic and business sectors. Grant assistance towards equipment marketing, utilities, consultancy and specialist training costs.</t>
  </si>
  <si>
    <t>Webpostit Ltd - Priming Grant</t>
  </si>
  <si>
    <t>Internet company providing a platform to send greeting cards online.  Grant assistance towards the cost of equipment, marketing and consulancy prior to start up.</t>
  </si>
  <si>
    <t>Exhibition Grants 11,12 &amp;13  Measure 2</t>
  </si>
  <si>
    <t>Exhibition Grants awarded to 14 participants in 2011 and 8 participants in 2012 to attend various exhibitions in the US (Celtic Market Place), UK and Ireland including the Savour Kilkenny, Christmas Toy show etc and Cork</t>
  </si>
  <si>
    <t>Website Development Grants 2011,12 &amp; 13- Measure 2</t>
  </si>
  <si>
    <t>Website Development Grants awarded to seven clients in 2011, 6 clients in 2012 and 9 clients in 2013.</t>
  </si>
  <si>
    <t>SHOP Exhibition RDS</t>
  </si>
  <si>
    <t>Exhibition space taken at the RDS _x000D_</t>
  </si>
  <si>
    <t>Tipperary Food &amp; Craft Fair</t>
  </si>
  <si>
    <t>A Financial Contribution towards the costs associated with the Tipperary Food &amp; Craft Fair held in Thurles.  This amount waspaid on receipt of a letter of demand and a short progress report after the fair.</t>
  </si>
  <si>
    <t>Overseas Exhibition Grants</t>
  </si>
  <si>
    <t>Grants given to companies to help them with the costs of travel and exhibition space at exhibition in the US ie Celtic Market Place and the Ireland Show.</t>
  </si>
  <si>
    <t>Fiona Keane - Feasbility Study</t>
  </si>
  <si>
    <t>Feasbility study costs towards consultancy, own labour research prototype development and misc. costs_x000D_</t>
  </si>
  <si>
    <t>AV Star Systems Ltd - Business Expansion Grant</t>
  </si>
  <si>
    <t>The company provides Audio / Visual services to schools, drama groups.  The grant was provided to invest in specialist lighting equipment. This work had been contracted out in the past.</t>
  </si>
  <si>
    <t>Chimney Draught Stop Ltd - Feasibility Study</t>
  </si>
  <si>
    <t>The company made a feasibility study application towards further certification of their product and a UK and Northern Ireland marketing campaign which will help to increase awareness of their product and identify franchisees.</t>
  </si>
  <si>
    <t>Echo IT Ltd - Business Expansion Grant</t>
  </si>
  <si>
    <t>In order to maintain a high level of service to clients as well as focusing on generating new business, the company applied for assistance to employ one additional full time IT Technician position who will be mobile working primarily on site.</t>
  </si>
  <si>
    <t>Fergal McDonnell T/a Doctot - Priming Grant</t>
  </si>
  <si>
    <t>The Promoter received grant assistance for fit out of office space and towards the purchase of equipment.</t>
  </si>
  <si>
    <t>Flue Master Ltd T/a Chimney Safe - Priming Grant</t>
  </si>
  <si>
    <t>The Company applied for financial assistance to establish the business Chimney Safe which is an automated chimney cleaning product which will also self predict if a chimney fire is about to occur and prevent this happening.</t>
  </si>
  <si>
    <t>Grey Mobile Media Ltd - Priming Grant</t>
  </si>
  <si>
    <t>The Promoter made application for grant assistance to assist purchasing a Digital Mobile Display unit which will be commissioned in the UK.</t>
  </si>
  <si>
    <t>Isaac Kumari Doyle - Priming</t>
  </si>
  <si>
    <t>The Promoter applied for grant assistance to to set up a business to design and manufacture Silver Plates, Cups, Salvers, Goblets, Flute Design trophies, Rose bowls and other commissioned pieces for corporate events and presentations.</t>
  </si>
  <si>
    <t>Noreen Stritch T/a Bake-A-Way - Priming</t>
  </si>
  <si>
    <t>The Promoter applied for a grant to help establish a business which makes custom made speciality products such as gluten free breads, spelt breads, high fibre and rye breads as well as a range of products suitable for diabetics.</t>
  </si>
  <si>
    <t>North Tipperary Geen Enterprise Park - Priming Grant</t>
  </si>
  <si>
    <t>This company applied for grant assistance to establish a green enterprise park.</t>
  </si>
  <si>
    <t>Piemontese Meat Company Ltd - Priming Grant</t>
  </si>
  <si>
    <t>This company produces specialist beef which is low in calories.  The company applied for grant aid towards Marketing costs.</t>
  </si>
  <si>
    <t>R&amp;A Meats Ltd - Priming Grant</t>
  </si>
  <si>
    <t>The Promoter applied for grant assistance to develop a business dry curing pork and bacon products. The Promoter also wanted to developed his marinated bacon product which is sold in a special pre packed bag for cooking in the oven.</t>
  </si>
  <si>
    <t>Setanta College Ltd delivers a Bachelor of Science in Sports Coaching &amp; Conditioning (HETAC Level 8) in conjunction with Limerick Institute of Technology and Tipperary Institute.  The College applied for assistance to relocate its administrative HQ to North Tipperary</t>
  </si>
  <si>
    <t>Smoke Machines Ltd - Priming Grant</t>
  </si>
  <si>
    <t>This company applied for assistance to help finance the set up a business manufacturing rubs and marinades for barbeque meats.</t>
  </si>
  <si>
    <t>Courses including:- computerised accounts, credit control employ law, communications, SYOB, Taxation, Haccp, Markeing, HRM, Sales &amp; Telesales, Time Mng, Website etc,Accounts for small business, counting the beans, credit control, SYOBusiness, Innovate Or Stagnate, Managing in a Downturn, New Thinking for a new Market Place, Start Up Bootcamp, Using EBay, Start Up Boot Camp, Excel, Marketing Cloughjordan, Basic Book Keeping, Succession Planning, Financial Mng, ECommerce Clinics and Seniors Ent.</t>
  </si>
  <si>
    <t>Export Market Development Grant - Measure 2</t>
  </si>
  <si>
    <t>Overseas Exhibition Grants for 6 clients to exhibit at various exhibitions out of the country.</t>
  </si>
  <si>
    <t>Green Business Network - Measure 2</t>
  </si>
  <si>
    <t>This Network supports "green" business in the county.  The Network is coordinated by a mentor who supports the network in the county</t>
  </si>
  <si>
    <t>London Fine Food Fair - Measure 2</t>
  </si>
  <si>
    <t>A delegation of food producers and the executive travelled to the London Fine Food Fair on a fact finding mission.</t>
  </si>
  <si>
    <t>Who To Talk To Measure 2</t>
  </si>
  <si>
    <t>This event was designed to inspire, encourage and inform new and existing business promoters about the supports available for business creation &amp; development.  It featured information desks/ stands, seminars, workshops, clinics and networking opportunities for anyone looking for advice, grants or merely exploring opportunities.</t>
  </si>
  <si>
    <t>National Enterprise Awards - Measure 2</t>
  </si>
  <si>
    <t>TNCEB chaired the Enterprise Awards National Competition which is held every year.  A budget of €40,000 was received to cover the costs associated with staging the event in 2012 and 2013.</t>
  </si>
  <si>
    <t>Marketing Grants 2012 &amp; 2013</t>
  </si>
  <si>
    <t>Marketing Grants given to individuals to assist with marketing costs associated with their business</t>
  </si>
  <si>
    <t>Training Grants 12 &amp; 13</t>
  </si>
  <si>
    <t>Training Grant given to Graham Finch in 2012 and Damien Condon in 2013 for specific specialised training/ upskilling.</t>
  </si>
  <si>
    <t>Gurteen Agricultural College</t>
  </si>
  <si>
    <t>The Grantee will install a 50kW Wind turbine</t>
  </si>
  <si>
    <t>NORTH TIPPERARY TOTAL</t>
  </si>
  <si>
    <t>National Broadband Scheme SE</t>
  </si>
  <si>
    <t>The objective of the National Broadband Scheme (NBS) is to provide access to affordable, scalable broadband services to rural areas, many of which do not currently have any broadband service. The NBS will be rolled out an electoral division basis and will address electoral divisions that are without broadband services. 100% broadband availability throughout the NBS coverage area will be provided by end September 2010.</t>
  </si>
  <si>
    <t>Broadband</t>
  </si>
  <si>
    <t>Regional</t>
  </si>
  <si>
    <t>Regional Assembly</t>
  </si>
  <si>
    <t>Technical Assistance to support the preparation, management, monitoring, evaluation, and information and control activities of the Regional Operational Programme</t>
  </si>
  <si>
    <t>Technical Assistance</t>
  </si>
  <si>
    <t>Mark Eire BV</t>
  </si>
  <si>
    <t>Installation of a 34 kW heat pump.</t>
  </si>
  <si>
    <t>Persian Properties</t>
  </si>
  <si>
    <t>Instalation of a 70kWe CHP unit</t>
  </si>
  <si>
    <t>Queally Pig Slaughtering Ltd</t>
  </si>
  <si>
    <t>Install Heat recovery unit from Singer using super conducting heat exchanger, insulate singer flue stack, heat recovery from refrigeration, replacing high wattage light fittingd with lower wattage indutrial LED &amp; induction technologies, replace magnetic ballasted fluorescents with electronically ballasted fluorescents</t>
  </si>
  <si>
    <t>REGIONAL TOTAL</t>
  </si>
  <si>
    <t>Micro Sensors for Clinical Analysis</t>
  </si>
  <si>
    <t>The establishment of a generic platform of microsensor development for clinical analysis using thin film fabrication facilities. The development of a novel biosensor technology based on selective biocatalysts immobilised on the proposed sensing device together with novel redox active materials allowing for measurement components in biological fluids with potential application in the point-of care-testing (POCT)market.</t>
  </si>
  <si>
    <t>South Dublin</t>
  </si>
  <si>
    <t>Bloomfield Nursing Home</t>
  </si>
  <si>
    <t>"It is proposed to install two Dachs micro CHP units as shown in the schematic:_x000D_</t>
  </si>
  <si>
    <t>SuperQuinn</t>
  </si>
  <si>
    <t>Installation of a CHP unit.</t>
  </si>
  <si>
    <t>Sportsco</t>
  </si>
  <si>
    <t>Installation of a ENER.G 110 CHP unit and peripheral equipment.</t>
  </si>
  <si>
    <t>Ballybrado Ltd</t>
  </si>
  <si>
    <t>Provide a 100kw wood chip boiler to heat the registered office and offices of the company._x000D_</t>
  </si>
  <si>
    <t>Pat Whelan</t>
  </si>
  <si>
    <t>Installation of 3 sq m of evacuated tube solar collectors.</t>
  </si>
  <si>
    <t>Beech Park Golf Club</t>
  </si>
  <si>
    <t>Wood chip feasibility study</t>
  </si>
  <si>
    <t>Kings Hospital</t>
  </si>
  <si>
    <t>installation of a 540kW Kob biomass boiler to supply heat for the entire facility.</t>
  </si>
  <si>
    <t>Newlands Golf Club</t>
  </si>
  <si>
    <t>installation of solar hot water heating panels to heat the hot water for the club's hot water demand. _x000D_</t>
  </si>
  <si>
    <t>Zion Parish</t>
  </si>
  <si>
    <t>Feasibility study of a Geothermal Heating system for Zion Church + School.</t>
  </si>
  <si>
    <t>Installation of 61 m2 of flate plate solar panels.</t>
  </si>
  <si>
    <t>Rathcoole Boys Football Club</t>
  </si>
  <si>
    <t>Installation of 17.66m2 evacuated tube solar panels.</t>
  </si>
  <si>
    <t>Electrochemical ELISA for the Liver Detection in Veterinary applications(E-FLUKE)</t>
  </si>
  <si>
    <t>Proof of Concept _x000D_Electrochemical ELISA for Liver Fluke Detection in Veterinary Applications (E-Fluke)</t>
  </si>
  <si>
    <t>Continuous Glucose Monitoring for 21st Century</t>
  </si>
  <si>
    <t>Continuous Glucose Monitoring for 21st Century.</t>
  </si>
  <si>
    <t>BOV-ALERT Priority Animal Health Testing- Rapid on-Farm electronic Diagnostics</t>
  </si>
  <si>
    <t>Priority Animal Health Testing- Rapid on-Farm electronic Diagnostics, To Produce a field tested prototype for bovine diagnostics of infectious diseases.</t>
  </si>
  <si>
    <t>Nypro Healthcare Ireland</t>
  </si>
  <si>
    <t>Retrofit an existing 5000sq ft clean room (energy optimisation programme), replace existing hydraulic moulding machines, Install barrel heater lagging jackets, replace existing fixed speed chiller unit and retrofit existing ring main.</t>
  </si>
  <si>
    <t>Dulux Paints Ireland Ltd</t>
  </si>
  <si>
    <t>Upgrade of Lighting, Air Curtain in Reception, Air Curtain in Office, Relocation of Heaters in Warehouse.</t>
  </si>
  <si>
    <t>Musgrave Retail Partners Ireland</t>
  </si>
  <si>
    <t>Install Energy Efficient Lighting with Occupancy Detection in 2 Warehouse Sites</t>
  </si>
  <si>
    <t>Multi-Site Lighting Project in Musgraves Retail Partners Distribution Centres. Retrofitting 43 400W Halide fittings &amp; 450 58W fittings with 162 Energy Efficient fittings &amp; installing occupancy detection.</t>
  </si>
  <si>
    <t>Vodafone Ireland Ltd</t>
  </si>
  <si>
    <t>Retrofit the Air Conditioning Units in their base station sites &amp; retrofit exisiting rectifiers in 3 data centres to replace them with equipment that is 97% efficient.</t>
  </si>
  <si>
    <t>Roadstone Wood Ltd</t>
  </si>
  <si>
    <t>Purchase &amp; Fit 10 Vehicles with RCPM Tracking &amp; Fuel Management Devices &amp; provide driver training to improve fuel efficiency by 8% (or savings of 14,400 litres of diesel per year &amp; 40 tonnes of CO2)</t>
  </si>
  <si>
    <t>Replace T8 lamps with T5 lamps and fittings. Replace lighting with lower wattage metal halide spotlighting fittings. Install variable speed drives to air handling unit.</t>
  </si>
  <si>
    <t>Installation of energy efficient lighting and controls across four locations in Dublin</t>
  </si>
  <si>
    <t>Belgard RAP, office and building retrofit including Roof and wall insulation, wildows replacement, lighting &amp; heating system upgrade and controls. Bunratty Asphalt Dryer; replace existing plant drying system with a new drying system and fuel management devices.</t>
  </si>
  <si>
    <t>Denobi Limited/Pref</t>
  </si>
  <si>
    <t>Innovative website design focusing on generating sales leads and development of effective e-commerce systems_x000D_ 11003719</t>
  </si>
  <si>
    <t>Child Development Thru Sport Limited/Pref</t>
  </si>
  <si>
    <t>Children's gym involving curriculum-based physical and social development</t>
  </si>
  <si>
    <t>Little Saints Creche &amp; Montessori Limited/Cap</t>
  </si>
  <si>
    <t>Purpose built creche and montessori school_x000D_</t>
  </si>
  <si>
    <t>Ecoliving Limited/Pref</t>
  </si>
  <si>
    <t>Installation of renewable energy products both for residential &amp; commercial building</t>
  </si>
  <si>
    <t>Nostra Systems Limited/Pref</t>
  </si>
  <si>
    <t>Introduction of state-of-the-art IT Products and Services to the SME Market</t>
  </si>
  <si>
    <t>Dial a Hose Limited/Emp</t>
  </si>
  <si>
    <t>24hr mobile on site hydraulic hose repair and replacement service_x000D_</t>
  </si>
  <si>
    <t>Strategic Health Solutions Ltd/Pref</t>
  </si>
  <si>
    <t>Online information technology service for drugs &amp; alcohol testing_x000D_</t>
  </si>
  <si>
    <t>Computer Control Solutions Limited/Emp</t>
  </si>
  <si>
    <t>Software development for mobile computer sales for food and fuel distribution companies</t>
  </si>
  <si>
    <t>Hibernian Healthcare Ltd/Pref</t>
  </si>
  <si>
    <t>Corporate &amp; home healthcare services</t>
  </si>
  <si>
    <t>Mo Chara Pet Products Limited/Pref</t>
  </si>
  <si>
    <t>Manufacture of a range of dog biscuits</t>
  </si>
  <si>
    <t>Renewable energy company focussing on wood pellet heating technologies</t>
  </si>
  <si>
    <t>Post start-up mentoring</t>
  </si>
  <si>
    <t xml:space="preserve">Advice &amp; assistance for developing micro businesses </t>
  </si>
  <si>
    <t>Pre-enterprise mentoring</t>
  </si>
  <si>
    <t>Advice and support for clients planning to start their own business</t>
  </si>
  <si>
    <t>Strategic mentoring</t>
  </si>
  <si>
    <t>Assisting clients in the development of long-term plans for their businesses</t>
  </si>
  <si>
    <t>Information Seminars</t>
  </si>
  <si>
    <t>Seminars for those exploring the possibility of starting a business</t>
  </si>
  <si>
    <t>Web Site</t>
  </si>
  <si>
    <t>On-line direction and information</t>
  </si>
  <si>
    <t>PLATO Programme</t>
  </si>
  <si>
    <t>Networking programme for existing micro-businesses</t>
  </si>
  <si>
    <t>Womens Business Network</t>
  </si>
  <si>
    <t>Networking programme for female entrepreneurs in South Dublin.</t>
  </si>
  <si>
    <t>Innovation Grants</t>
  </si>
  <si>
    <t xml:space="preserve">Grants as contribution to costs of introducing innovations in micro companies </t>
  </si>
  <si>
    <t>Trade Fair Participation</t>
  </si>
  <si>
    <t>Attendance at trade fairs</t>
  </si>
  <si>
    <t>Advertising &amp; Promotion</t>
  </si>
  <si>
    <t>Advertising &amp; promotion of Board's services and training programmes</t>
  </si>
  <si>
    <t>Business Visit Programme</t>
  </si>
  <si>
    <t>Promotional and research visits to micro enterprises</t>
  </si>
  <si>
    <t>Enterprise awards</t>
  </si>
  <si>
    <t>County schools awards and national enterprise awards</t>
  </si>
  <si>
    <t>Schools Programme</t>
  </si>
  <si>
    <t>Primary and secondary schools enterprise competitions</t>
  </si>
  <si>
    <t>Research into options for establishment of a small business incubation centre</t>
  </si>
  <si>
    <t>Direct Training</t>
  </si>
  <si>
    <t>Business and internet marketing training</t>
  </si>
  <si>
    <t>Community Based Enterprise Training</t>
  </si>
  <si>
    <t>Enterprise training throughout South Dublin</t>
  </si>
  <si>
    <t>Effective People Management</t>
  </si>
  <si>
    <t>Training programme in personnel management for owner/managers of micro enterprises.</t>
  </si>
  <si>
    <t>Starting up to Suceed</t>
  </si>
  <si>
    <t>Seminar for high potential start-ups</t>
  </si>
  <si>
    <t>Robert Dalton/Employment Grant</t>
  </si>
  <si>
    <t>Development of website based service for the entertainment industry_x000D_</t>
  </si>
  <si>
    <t>Strategic Healthcheck</t>
  </si>
  <si>
    <t>Strategic analysis of selected clients</t>
  </si>
  <si>
    <t>Post start-up mentoring 08</t>
  </si>
  <si>
    <t>Advice and assistance for developing micro businesses</t>
  </si>
  <si>
    <t>Pre-enterprise mentoring 08</t>
  </si>
  <si>
    <t>Strategic mentoring 08</t>
  </si>
  <si>
    <t>Assisting clients in the development of long-term plans for their business</t>
  </si>
  <si>
    <t>Information seminars 08</t>
  </si>
  <si>
    <t>PLATO Programme 08</t>
  </si>
  <si>
    <t>Networking programme for existing micro businesses</t>
  </si>
  <si>
    <t>Womens Business Network 08</t>
  </si>
  <si>
    <t>Innovation Grants 08</t>
  </si>
  <si>
    <t>Advertising &amp; Promotion 08</t>
  </si>
  <si>
    <t>Business Visit Programme 08</t>
  </si>
  <si>
    <t>Enterprise Awards 08</t>
  </si>
  <si>
    <t>Schools Programme 08</t>
  </si>
  <si>
    <t>Community based enterprise training 08</t>
  </si>
  <si>
    <t>Starting up to Suceed 08</t>
  </si>
  <si>
    <t>BRITE Programme 08</t>
  </si>
  <si>
    <t xml:space="preserve">Training and mentoring specifically tailored to ICT businesses </t>
  </si>
  <si>
    <t>Mentor training 08</t>
  </si>
  <si>
    <t>Training of Board's mentor panel</t>
  </si>
  <si>
    <t>3rd Level Student Awards 08</t>
  </si>
  <si>
    <t>Enterprise competition awards to 3rd level students</t>
  </si>
  <si>
    <t>Enterprise Bus 08</t>
  </si>
  <si>
    <t>Cross-county promotion campaign</t>
  </si>
  <si>
    <t>National Promotional Activities 08</t>
  </si>
  <si>
    <t>Promotion through chambers of commerce</t>
  </si>
  <si>
    <t>3rd Level Schools programme 08</t>
  </si>
  <si>
    <t>Enterprise competition in 3rd level schools</t>
  </si>
  <si>
    <t>Futura Energy Solutions Limited/Emp</t>
  </si>
  <si>
    <t>Wirelite Sensors Limited/Pref</t>
  </si>
  <si>
    <t>To supply wireless energy/demand management and automation systems to companies</t>
  </si>
  <si>
    <t>Rachel Swan/Emp</t>
  </si>
  <si>
    <t>To provide high end silver jewellery to craft &amp; design outlets</t>
  </si>
  <si>
    <t>Micronetwrx Technologies Ltd/Pref</t>
  </si>
  <si>
    <t>Development of data management and process auomation software</t>
  </si>
  <si>
    <t>Darco Steel/Pref</t>
  </si>
  <si>
    <t>Manufacture of structural steel fences railings etc.</t>
  </si>
  <si>
    <t>Rhapsody Cakes/Emp</t>
  </si>
  <si>
    <t>Manufacture of made to order cakes in pre-disigned shap and decoration layouts</t>
  </si>
  <si>
    <t>Safari Kids Education/Emp</t>
  </si>
  <si>
    <t>Personal development programmes for children 4yrs to 18yrs in Sth Dublin Area.</t>
  </si>
  <si>
    <t>ProData Consult Ireland/Emp</t>
  </si>
  <si>
    <t>Freelance IT resource to enterprise and mid market customers</t>
  </si>
  <si>
    <t>Educe Limited/BE</t>
  </si>
  <si>
    <t>To provide business management software to companies of all sizes. Grant to assist in the creation of eight jobs</t>
  </si>
  <si>
    <t>Hilltoptreks/Emp</t>
  </si>
  <si>
    <t>To provide walking holidays and events throughout Ireland. Service targeted at UK and European visitors._x000D_ Employment Grant.</t>
  </si>
  <si>
    <t>Finance Workshops</t>
  </si>
  <si>
    <t>Finance workshops</t>
  </si>
  <si>
    <t>Family Breakdown Support Service/Emp</t>
  </si>
  <si>
    <t>Advice and assistance to enable those involved in family law cases to represent themselves</t>
  </si>
  <si>
    <t>Visible Chain Technology Ltd/Emp</t>
  </si>
  <si>
    <t>Supply chain software and services.The aim of the project is to introduce this highly technical and specialised product to large manufacturers throughout the EU.</t>
  </si>
  <si>
    <t>Admire 3D Dental Ltd/Cap</t>
  </si>
  <si>
    <t>Computerised dental milling centre. Purchase of innovative new equipment</t>
  </si>
  <si>
    <t>Learning Horizons Ltd/Emp</t>
  </si>
  <si>
    <t>IT based educational programmes</t>
  </si>
  <si>
    <t>Kilnamanagh Kids Creche/Emp</t>
  </si>
  <si>
    <t>Montessori Creche &amp; playschool_x000D_ Four Employmennt grants</t>
  </si>
  <si>
    <t>Electronic Innovations/Feas</t>
  </si>
  <si>
    <t>Assessing feasibility for the development of an innovative electric socket</t>
  </si>
  <si>
    <t>Venture Studios Ltd/Emp</t>
  </si>
  <si>
    <t>Online system to facilitate financing in the film industry_x000D_</t>
  </si>
  <si>
    <t>D.M.O'Shea Engineering Distributors Ltd/Pref</t>
  </si>
  <si>
    <t>Manufacture and distribution of a range of filtration and insulation products</t>
  </si>
  <si>
    <t>JAMS music Centre/Emp</t>
  </si>
  <si>
    <t>Community based modern music school</t>
  </si>
  <si>
    <t>N.J. Hynes Engineering/Emp</t>
  </si>
  <si>
    <t>Maintenance of steam systems, combustion systems and process boiler plane</t>
  </si>
  <si>
    <t>Hawthorn Birdfeeders Ltd/Cap</t>
  </si>
  <si>
    <t>Production of unique bird feeding device. Costs associated with product development, patenting and tool making._x000D_</t>
  </si>
  <si>
    <t>ID Online Ltd/Pref</t>
  </si>
  <si>
    <t>Software development for retail trade</t>
  </si>
  <si>
    <t>Elite Rooms Travel Ltd/Emp</t>
  </si>
  <si>
    <t>Online system for booking and controlling business travel</t>
  </si>
  <si>
    <t>Seahorse Aquariums/Emp</t>
  </si>
  <si>
    <t>Hatchery to breed seahorses for export to EU market</t>
  </si>
  <si>
    <t>Holographic Displays Ltd/Emp</t>
  </si>
  <si>
    <t>Production of 3D holographic displays for advertising industry</t>
  </si>
  <si>
    <t>Cathx Ocean Ltd/Pref</t>
  </si>
  <si>
    <t>Design and manufacture of high performance microcontrolled LED-based lighting systems for sale in the market for underwater inspection vehicles and equipment.</t>
  </si>
  <si>
    <t>Watermark Engineering Ltd/Feas</t>
  </si>
  <si>
    <t>Development of impression mould to produce an innovative metal product</t>
  </si>
  <si>
    <t>Mentor Training 09</t>
  </si>
  <si>
    <t>One-day training programme attended by the Board's mentors.  The objective of the programme is to equip the mentors with up-to-date knowledge on the Board's programmes and procedures as they apply to development of client businesses to which these mentors will be assigned.</t>
  </si>
  <si>
    <t>Mentor Clinics</t>
  </si>
  <si>
    <t>Attendance of mentors at one-off clinics</t>
  </si>
  <si>
    <t>Post start-up mentoring 09</t>
  </si>
  <si>
    <t>Advice and support for existing micro businesses</t>
  </si>
  <si>
    <t>Pre-enterprise mentoring 09</t>
  </si>
  <si>
    <t>Advice and support for pre start-up micro projects</t>
  </si>
  <si>
    <t>Publication of a catalogue of all entrepreneurial and management training courses available from all providers (SDCEB and others) in and adjacent to South Dublin in Spring '09.  This publication is intended to enhance the take-up of training by local businesses by gathering information on all training into a single publication. Eligible exclusively for co-funding</t>
  </si>
  <si>
    <t>e-Business Seminar</t>
  </si>
  <si>
    <t>Seminar on developing opportunities through the use e-business.</t>
  </si>
  <si>
    <t>Self-Employment Publications</t>
  </si>
  <si>
    <t>Publications on the options open to those who opt for self-employment as a career choice</t>
  </si>
  <si>
    <t>Seminars 09</t>
  </si>
  <si>
    <t>Seminar relating to business opportunities on e-bay</t>
  </si>
  <si>
    <t>BRITE Programme 09</t>
  </si>
  <si>
    <t>IT companies networking programme</t>
  </si>
  <si>
    <t>Womens' Business Network 09</t>
  </si>
  <si>
    <t>Womens' business networking programme to facilitate women entrepreneurs by arranging meetings where information can be shared, with inputs from experienced businesswomen.</t>
  </si>
  <si>
    <t>Innovation Grants 09</t>
  </si>
  <si>
    <t>Small grants (max €4,000)covering 40% of cost of introducing innovations into client businesses</t>
  </si>
  <si>
    <t>3rd Level Student Awards 09</t>
  </si>
  <si>
    <t>Enterprise awards in local Institute of Technology</t>
  </si>
  <si>
    <t>Advertising &amp; Promotion 09</t>
  </si>
  <si>
    <t>Advertising and promotion of Board's services and training programmes. Relating to co-funded expenditure and in accordance with ERDF rules on publicity.</t>
  </si>
  <si>
    <t>Schools Enterprise Awards Newsletter</t>
  </si>
  <si>
    <t>Creating artwork, printing and delivering 500 copies of a newsletter for the Schools Enterprise Awards</t>
  </si>
  <si>
    <t>National Promotional Activities 09</t>
  </si>
  <si>
    <t>Board's contribution towards costs of national promotion of County Enterprise Board network</t>
  </si>
  <si>
    <t>Primary Schools Programme</t>
  </si>
  <si>
    <t>Primary schools enterprise Programme based on the "Bi Gnothnach" learning design and teachers' manual. The aims of this programme is to introduce children at primary school level to the fundamental concepts of business and entrepreneurship.  This is done by means of a 'mini-company' project undertaken as a group by each class.  The programme provides the backup and support of an expert to each participating teacher.</t>
  </si>
  <si>
    <t>Schools Programme 09</t>
  </si>
  <si>
    <t>2nd Level Schools enterprise competition</t>
  </si>
  <si>
    <t>Schools Programme Evaluation</t>
  </si>
  <si>
    <t>Research and evaluation of Schools Enterprise Awards</t>
  </si>
  <si>
    <t>Community-based Enterprise Training 09</t>
  </si>
  <si>
    <t>Suite of training programmes delivered, under one contract, in conjunction with two local voluntary sector community-based enterprise support organisations who tendered jointly for the project. The courses provide business start-up and associated skills to people working on the development of new micro-enterprises.</t>
  </si>
  <si>
    <t>Advertising of training programmes</t>
  </si>
  <si>
    <t>Fee for advertisement relating to a training course.  This advertisement was organised by the trainer on behalf of SDCEB with our prior agreement.  It was invoiced to them and paid for.  They subsequently re-invoiced the amount of the payment to SDCEB.</t>
  </si>
  <si>
    <t>Finance workshop</t>
  </si>
  <si>
    <t>Workshop on sourcing business finance</t>
  </si>
  <si>
    <t>Hi-Start Programme</t>
  </si>
  <si>
    <t>Training/networking/mentoring  programme for high potential start-ups.  The programme aims to progress participants to HPSU status and assist them in raising equity capital to finance high growth.</t>
  </si>
  <si>
    <t>Giddy Up Play School/Emp</t>
  </si>
  <si>
    <t>Employment grant to assist creation of full-time job in Childcare facility</t>
  </si>
  <si>
    <t>Ironage design/Emp</t>
  </si>
  <si>
    <t>Employment grant in respect of job created in small steel fabrication business</t>
  </si>
  <si>
    <t>Synergy UPVC Ltd/Emp</t>
  </si>
  <si>
    <t>Employment grants for creation of five jobs in manufacture of Upvc windows and door</t>
  </si>
  <si>
    <t>The Initial Boutique/Prim</t>
  </si>
  <si>
    <t>Interactive e-business website selling a unique range of personalised products for children. Grant to assist in creation of one job</t>
  </si>
  <si>
    <t>Shadow Creations Ltd/Emp</t>
  </si>
  <si>
    <t>Company involved in design and production of TV and advertising sets, props and miniatures. Grant to assist company to grow by taking on additional staf</t>
  </si>
  <si>
    <t>Monia Galardi/FEAS</t>
  </si>
  <si>
    <t>Study into feasibility of developing a content management tool and marketing online service software</t>
  </si>
  <si>
    <t>Fitsquad Limited/FIG</t>
  </si>
  <si>
    <t>Research and development of an online fitness system</t>
  </si>
  <si>
    <t>StagePrompts Ltd/Prefs</t>
  </si>
  <si>
    <t>Development of mobile phone applications for anti-bullying, child protection and privacy.Pref. share investment to assist in funding of salaries, in first two year</t>
  </si>
  <si>
    <t>The Texfixers Ltd/Prim</t>
  </si>
  <si>
    <t>Online, telephone and in store technical support for computers and computer connected devices_x000D_</t>
  </si>
  <si>
    <t>R.S.Design(Dublin) Ltd/Capital</t>
  </si>
  <si>
    <t>Manufacture of high quality bespoke contract and retail furniture_x000D__x000D_</t>
  </si>
  <si>
    <t>FIM Services/Emp</t>
  </si>
  <si>
    <t>Training, development and support services to 2nd and 3rd level institutions using Facility Scheduling Software in Ireland, UK, EU &amp; Canada.Grant to assist in the creation of two jobs and purchase of initial equipment</t>
  </si>
  <si>
    <t>txtAjob.ie/Prim</t>
  </si>
  <si>
    <t>txtAjob.ie is Irelands first and only mobile phone recruitment services allowing employers and job seekers fill / find vacancies via their mobile phone</t>
  </si>
  <si>
    <t>Ward Screens Limited/Prim</t>
  </si>
  <si>
    <t>Manufacture of a range of cleanable mobile bed screens for use in hospital-type applications. Priming grant to finance creation of 4 jobs and investment in software</t>
  </si>
  <si>
    <t>Marketmaker Software Ltd./BP</t>
  </si>
  <si>
    <t>On-line market in derivatives based on movement of odds on sports bets. Employment grants to support creation of five jobs</t>
  </si>
  <si>
    <t>Systemsafe Ltd/Prim</t>
  </si>
  <si>
    <t>Cost effective onsite/offsite data backup and recovery solutions for SME</t>
  </si>
  <si>
    <t>Allegro Acoustics Ltd/Prim</t>
  </si>
  <si>
    <t>Acoustics, Nose and Vibration consultancy services within the environmental and engineering sectors._x000D_</t>
  </si>
  <si>
    <t>PDM Energy Ins Ltd /Prim</t>
  </si>
  <si>
    <t>Design, supply, installation &amp; servicing of rainwater harvesting systems to the commercial and domesti</t>
  </si>
  <si>
    <t>Pretzel Direct Ltd/Prim</t>
  </si>
  <si>
    <t>Manufacture of soft pretzels for supply to the snack and retail markets.Employment potential for eight full-time job</t>
  </si>
  <si>
    <t>Waybiz Limited/Prim</t>
  </si>
  <si>
    <t>Unique online B2B marketplace &amp; networking portal for connecting businesses globally_x000D_</t>
  </si>
  <si>
    <t>Travelshake Limited/Prim</t>
  </si>
  <si>
    <t>Social media agency offering travelshake.com, the first social media website for travel industry in Ireland_x000D_</t>
  </si>
  <si>
    <t>Kavanagh Environmental Ltd/BE</t>
  </si>
  <si>
    <t>Collection and processing of unwanted personal electrical devices for resale and reuse</t>
  </si>
  <si>
    <t>Alternative Vehicle Association/Prim</t>
  </si>
  <si>
    <t>A stand alone sensor driven self sufficient street light operating on renewable energy.Priming grant to facilitate the employment of the promoter and an assistan</t>
  </si>
  <si>
    <t>Smarter Developments Ltd/Prim</t>
  </si>
  <si>
    <t>Insurance auction / bidding marketplace website which allows public to action their insurance to the lowest or best bidder</t>
  </si>
  <si>
    <t>Business Information Booklets</t>
  </si>
  <si>
    <t>Information booklets delivering comprehensive advice and information on a  range of business subjects relevant to business start-up and management.</t>
  </si>
  <si>
    <t>Mentor Assignments</t>
  </si>
  <si>
    <t>Advice and support for start-up and existing micro businesses</t>
  </si>
  <si>
    <t>Seminars 10</t>
  </si>
  <si>
    <t>Business start-up seminars held at Dublin West Education Centre.</t>
  </si>
  <si>
    <t>Business Development Information Literature</t>
  </si>
  <si>
    <t>Publishing of 'Baseline' series of small business development topics offering advice and guidelines.</t>
  </si>
  <si>
    <t>Website Development</t>
  </si>
  <si>
    <t>Work on design,creation and construction of website</t>
  </si>
  <si>
    <t>e-business seminar</t>
  </si>
  <si>
    <t>Hosting of seminar on development of trade through use of latest technology</t>
  </si>
  <si>
    <t>PLATO Programme 10</t>
  </si>
  <si>
    <t>Participation in trade fair organised through South Dublin Tourism.</t>
  </si>
  <si>
    <t>3rd Level Student Awards</t>
  </si>
  <si>
    <t>Organising a student enterprise award programme through collaboration with local Institute of Technology</t>
  </si>
  <si>
    <t>County Enterprise Awards/m2</t>
  </si>
  <si>
    <t>Hosting of second level schools enterprise competition</t>
  </si>
  <si>
    <t>Schools Enterprise Programme 10</t>
  </si>
  <si>
    <t>Promotion, organisation and hosting of Primary Schools enterprise programme</t>
  </si>
  <si>
    <t>Secondary Schools Enterprise Programme</t>
  </si>
  <si>
    <t>Promotion, organisation and development of secondary schools enterprise programme and awards</t>
  </si>
  <si>
    <t>Community based enterprise training 10</t>
  </si>
  <si>
    <t>Suite of training programmes delivered, under one contract, in conjunction with two local voluntary sector community-based enterprise support organisations who tendered jointly for the project. The courses provide business start-up and associated skills to people working on the development of new micro-enterprises._x000D_</t>
  </si>
  <si>
    <t>Messor Design/BP</t>
  </si>
  <si>
    <t>Production of unique sustainably designed products for the global action sports industry. Grant to assist in the creation of one job</t>
  </si>
  <si>
    <t>Seahorse Aquariums/Bus Exp</t>
  </si>
  <si>
    <t>Hatchery to breed seahorses for export to EU markets</t>
  </si>
  <si>
    <t>Irish Textile Care/Prim</t>
  </si>
  <si>
    <t>A dedicated business to business magazine style website for drycleaners, launderers and related stockholders.</t>
  </si>
  <si>
    <t>Beacon Software Laboratories/Prim</t>
  </si>
  <si>
    <t>Development of a range of software products tailored to meet the needs of indiginous SMEs</t>
  </si>
  <si>
    <t>Adam Elliott/Prim</t>
  </si>
  <si>
    <t>Innovative renewable energy lighting.Promoter has developed a stand-alone sensor driven streetlight operating solely on renewable energy.</t>
  </si>
  <si>
    <t>C.K.S.Tickets/Prim</t>
  </si>
  <si>
    <t>Specialist pre-book &amp; entry control service for sporting and entertainment sector. The business offers online ticket sales, secure payment facilities, on-site sales, validation and end-of event statistics.</t>
  </si>
  <si>
    <t>Conal Stokes/Prim</t>
  </si>
  <si>
    <t>Design and production of a foldable crutch.</t>
  </si>
  <si>
    <t>CPH Building Systems/Prim</t>
  </si>
  <si>
    <t>Manufacture and assembly of new patented wall panel. The company cutomises and installs the product which is known as Easy Board</t>
  </si>
  <si>
    <t>DigiScreen Services/Prim</t>
  </si>
  <si>
    <t>Manufacture of screen frames for the printing industry. The project will support four jobs</t>
  </si>
  <si>
    <t>Integrated Accoustic Solutions/BE</t>
  </si>
  <si>
    <t>Development and marketing of a range of acoustic solutions for major construction projects</t>
  </si>
  <si>
    <t>K.R.Networking/Feas</t>
  </si>
  <si>
    <t>Feasibility study of cloud based software development and provision for retail sector</t>
  </si>
  <si>
    <t>Frock n Fabulous/Prim</t>
  </si>
  <si>
    <t>Online designer dresshire service offering ordinary women the the chance to wear fashionable haute couture</t>
  </si>
  <si>
    <t>Testwall/Prim</t>
  </si>
  <si>
    <t>Website selling low cost electronic test equipment</t>
  </si>
  <si>
    <t>Easi Solutions/Prim</t>
  </si>
  <si>
    <t>Application of unique insulating coating material Temp-Coat 101 to domestic housing stock initially and then to commercial/industrial sector</t>
  </si>
  <si>
    <t>Kennedy Project Management/Prim</t>
  </si>
  <si>
    <t>Development of the 'Skid Proof' system of floor treatments. The system combats slippery conditions that exist when hard , resilient floors become wet or contaminated with dust, powders or residues.</t>
  </si>
  <si>
    <t>An interactive e-business website selling a unique range of personalised gifts for babies and young children</t>
  </si>
  <si>
    <t>Siberia Plus/Prim</t>
  </si>
  <si>
    <t>Custom finishing of surfaces using water transfer design.</t>
  </si>
  <si>
    <t>Simon Gell/Prim</t>
  </si>
  <si>
    <t>Production of gourmet fishcakes and a range of fish sauces</t>
  </si>
  <si>
    <t>Smarter Developments/Prim</t>
  </si>
  <si>
    <t>Insurance auction/bidding marketplace website which allows public to auction thsir insurance to the lowest or best bidder.</t>
  </si>
  <si>
    <t>Specialised Rubber Components/BE</t>
  </si>
  <si>
    <t>Manufacture of a range of rubber products including handballs and squash balls</t>
  </si>
  <si>
    <t>Waybiz/Prim</t>
  </si>
  <si>
    <t>Unique online B2B marketplace &amp; networking portal for connecting businesses globally</t>
  </si>
  <si>
    <t>Mentor Assignments 2011/m2</t>
  </si>
  <si>
    <t>Mentor Clinics/m2</t>
  </si>
  <si>
    <t>Pre-Enterprise Mentoring/m2</t>
  </si>
  <si>
    <t>Information and e-Business Seminars 2011/m2</t>
  </si>
  <si>
    <t>Contribution to costs of conducting seminars for micro businesses in South Dublin</t>
  </si>
  <si>
    <t>Website Development 2011</t>
  </si>
  <si>
    <t>Development and upgrading of the fuctionality and features of the Board's website</t>
  </si>
  <si>
    <t>Export Networking Programme/m2</t>
  </si>
  <si>
    <t>Funding of export marketing and networking programme in association with Irish Exporters Association.</t>
  </si>
  <si>
    <t>PLATO 2011/m2</t>
  </si>
  <si>
    <t>Business networking programme for selected SMEs with the participation and mentoring of major companies in South Dublin.</t>
  </si>
  <si>
    <t>On-line Marketing Programme/m2</t>
  </si>
  <si>
    <t>Introduction to online marketing techniques for a selection of SMEs</t>
  </si>
  <si>
    <t>Business Step Up Programme/m2</t>
  </si>
  <si>
    <t>Programme to improve the competitiveness of micro businesses</t>
  </si>
  <si>
    <t>Schools Enterprise Awards Promotion/m2</t>
  </si>
  <si>
    <t>Promotion of Student Enterprise Awards</t>
  </si>
  <si>
    <t>Starting Out Seminars/m2</t>
  </si>
  <si>
    <t>Evening programmes run in local libraries providing information for those considering starting a business</t>
  </si>
  <si>
    <t>Enterprise programme for students of local Institute of Technology</t>
  </si>
  <si>
    <t>County Enterprise Awards 2011</t>
  </si>
  <si>
    <t>South Dublin enterprise awards for second level students</t>
  </si>
  <si>
    <t>Primary Schools Enterprise Programme 2011/m2</t>
  </si>
  <si>
    <t>Enterprise programme (Bi Gnothach) for schools throughout county</t>
  </si>
  <si>
    <t>Secondary Schools Enterprise Programme 2011</t>
  </si>
  <si>
    <t>Career Zoo Exhibition/m2</t>
  </si>
  <si>
    <t>Contribution to manning an enterprise stand at careers exhibition</t>
  </si>
  <si>
    <t>Community-based Enterprise Training 2011</t>
  </si>
  <si>
    <t>Export Marketing Programme 2011/m2</t>
  </si>
  <si>
    <t>Contribution towards the export marketing programme for micro enterprises in association with Irish Exporters Association</t>
  </si>
  <si>
    <t>Best of Dublin Publishing/Prim</t>
  </si>
  <si>
    <t>Website &amp; app based interactive city guide (Dublin) with full social media integration</t>
  </si>
  <si>
    <t>Customer Contact Services Ltd/Prim</t>
  </si>
  <si>
    <t>To provide an outsourced customer contact management service to enable organisation communicate with their customers in a cost effective manner</t>
  </si>
  <si>
    <t>System Safe Limited/Prim</t>
  </si>
  <si>
    <t>Cost effective onsite/offsite data backup and recovery solutions for SMEs</t>
  </si>
  <si>
    <t>Horizon Metal Fabrication/Prim</t>
  </si>
  <si>
    <t>Specialist sheetmetalwork and fabrication company mostly aluminium products but we also fabricate stainless steel zinc, copper, mild steel.</t>
  </si>
  <si>
    <t>Mark Gannon t/a Easi Insulation/Prim</t>
  </si>
  <si>
    <t>Application of unique insulating coating material Temp-Coat 101 to domestic housing stock initially and then to commercial / industrial sector</t>
  </si>
  <si>
    <t>Promozoo/Prim</t>
  </si>
  <si>
    <t>To build client's business online and links it to all their offline sales and marketing strategies</t>
  </si>
  <si>
    <t>Cherish Me/Prim</t>
  </si>
  <si>
    <t>Online store that specialises inFairtrade and organic cotton baby products</t>
  </si>
  <si>
    <t>CPH Easy Building Systems Ltd/Prim</t>
  </si>
  <si>
    <t>Manufacture of new Patented insulated wall panel known as Easy Board _x000D_</t>
  </si>
  <si>
    <t>Two Spots Coffee/Prim</t>
  </si>
  <si>
    <t>Import raw coffee beans for blending, roasting and resale of packaged goods</t>
  </si>
  <si>
    <t>Pretzel Direct/Prim</t>
  </si>
  <si>
    <t>Food Manufacturing &amp; Processing</t>
  </si>
  <si>
    <t>Celtic Chrome/Prim</t>
  </si>
  <si>
    <t>Chroming &amp; 24kt gold plating service using new spray on chrome technology.</t>
  </si>
  <si>
    <t>Malachy Quinn/Feas</t>
  </si>
  <si>
    <t>Grafitti Wipeout Education Programme has been designed to enhance young peoples understanding of the costs and consequences of graffiti to them, their family, their school and their community</t>
  </si>
  <si>
    <t>Celtic Student Media Limited/Prim</t>
  </si>
  <si>
    <t>A new discount card and website combination for people living and working in Dublin</t>
  </si>
  <si>
    <t>Steplift Limited/feas</t>
  </si>
  <si>
    <t>To Manufacture a mechanised system to move heavy loads on motorised stairclimbers to achieve perfect balance for the successful installation of the said load and also in a safe manner.</t>
  </si>
  <si>
    <t>Intext Mouldings/Prim</t>
  </si>
  <si>
    <t xml:space="preserve">Manufacturing of an insulated concrete overcill for external insulations systems </t>
  </si>
  <si>
    <t>Two Magpies Media Ltd/Prim</t>
  </si>
  <si>
    <t>Flexible holiday home or second home exchange</t>
  </si>
  <si>
    <t>Point Of Care Health Services Ltd/Prim</t>
  </si>
  <si>
    <t>Innovative health services company that manages a range of patient support programmes for pharmaceutical and health product companies _x000D_</t>
  </si>
  <si>
    <t>Beacon Software Labs Ltd/Prim</t>
  </si>
  <si>
    <t>Development and support of software products that support different sectors of the economy.</t>
  </si>
  <si>
    <t>Specialised Rubber Components Ltd/Bus Exp</t>
  </si>
  <si>
    <t>Manufacture of robber components: rubber/Metal buffers - Eirn Rod Eireann Squash Balls - Dunlon USA Hand Balls - Irish Handball Association Proposed Expansion _ Export handballs to U.S.A. Railway Parts to Europe</t>
  </si>
  <si>
    <t>International School of Eng/Prim</t>
  </si>
  <si>
    <t>English Language School - Teaching English to Non-Irish nationals from abroad and local. Supporting 5 full time equivalent jobs</t>
  </si>
  <si>
    <t>Graffiti Wipeout Ltd/Prim</t>
  </si>
  <si>
    <t>Engineering consultancy specialising in acoustics, noise and vibration.</t>
  </si>
  <si>
    <t>ISO Genie/Prim</t>
  </si>
  <si>
    <t>Innovative tool that provides ISO consultants withtemplates for all major ISO certifications and also an online management system within a cloud based portal</t>
  </si>
  <si>
    <t>Eliza Vale/Prim</t>
  </si>
  <si>
    <t>Contemporary costume jewellery brand catering for the mid-high end retail sector.</t>
  </si>
  <si>
    <t>Logic Fleet Management Ltd/Prim</t>
  </si>
  <si>
    <t>Manufactured equipment for the wast industry and H.G.V. Companies</t>
  </si>
  <si>
    <t>Chip Tech Ltd/Feas</t>
  </si>
  <si>
    <t>To set up a dedicated pharmaceutical based company tohandle the redesign of the PX1 and a number of additional products and services which I plan to deliver</t>
  </si>
  <si>
    <t>Farewell Funeral Planners/Prim</t>
  </si>
  <si>
    <t>Funeral planning service offering both pre-plan and time of need funeral planning arrangements to the people of Ireland</t>
  </si>
  <si>
    <t>Clinic Support Centre/Bus Exp</t>
  </si>
  <si>
    <t>Business to Busines and consumers in weightloss and medical sector for end users.</t>
  </si>
  <si>
    <t>Complimentary Health Online/Feas</t>
  </si>
  <si>
    <t>Production of an initial 300 cases (3600 70cl bottles) of the 3 cocktails which will be used for testing. This includes mixing of spirits, bottle, packaging &amp; labelling.</t>
  </si>
  <si>
    <t>CKS Tickets/Prim</t>
  </si>
  <si>
    <t>Event organiser on smaller events Main area of expertise is Horse Racing, Gold, 3 day Eventing and Small concert venues</t>
  </si>
  <si>
    <t>Sam's Pantry/Prim</t>
  </si>
  <si>
    <t>Home based confectionery manufacturing enterprise specialising in dairy, lactose &amp; casein free products to include made to order dairy free occasion cakes and a standard range of occassion cakes, tray bakes and cupcakes</t>
  </si>
  <si>
    <t>Prosalis Ltd/Prim</t>
  </si>
  <si>
    <t>To deliver ICT services through the medium of cloud computing providing the infrastructure, platform and software necessary to support the customer's environment.</t>
  </si>
  <si>
    <t>Seahorse Aquariums Limited/Bus Exp</t>
  </si>
  <si>
    <t>Seahorse conservation, cultivation and research enterprise</t>
  </si>
  <si>
    <t>Crystal Cubes/Prim</t>
  </si>
  <si>
    <t>Manufacturing of 2kg bags of ice to the retail market, Wholesale sector</t>
  </si>
  <si>
    <t>Nutribrand Limited/Prim</t>
  </si>
  <si>
    <t>The delivery of nutrients through a transdermal patch</t>
  </si>
  <si>
    <t>Taxi Check-in Ltd/Prim</t>
  </si>
  <si>
    <t>A Smartphone application that provides a safety srvice to the taxi industry, allowing passengers in taxis to quickly notify their family or friends, of the taxi they are in, and theeir location in a matter of seconds</t>
  </si>
  <si>
    <t>Eldercare Matters/Prim</t>
  </si>
  <si>
    <t>To develop and implenent the innovative "Five Senses" profile report for people with alzheimers and demintia</t>
  </si>
  <si>
    <t>Dubol Media/Prim</t>
  </si>
  <si>
    <t>To produce film, (documentry and fiction) Web Design, advertisements (TV, Radio and WEB) Animation (Features &amp; Logos), art desing and specialist photo products for sale to Business, TV Companies, film industry and Public</t>
  </si>
  <si>
    <t>PLATO 2012/M2</t>
  </si>
  <si>
    <t>Export Initiatives/M2</t>
  </si>
  <si>
    <t>Advice and support for selected micro businesses entering export markets</t>
  </si>
  <si>
    <t>Information Seminar/M2</t>
  </si>
  <si>
    <t>Information seminar for those exploring the option of starting their own business</t>
  </si>
  <si>
    <t>Management Development Prog/M2</t>
  </si>
  <si>
    <t>Publishing of management development booklets for start-ups</t>
  </si>
  <si>
    <t>Business Step-up Grants/M2</t>
  </si>
  <si>
    <t>Helping businesses enhance their competitiveness, innovation and management capacity</t>
  </si>
  <si>
    <t>Mentoring &amp; Counselling/M2</t>
  </si>
  <si>
    <t>Mentoring &amp; counselling services provided to micro businesses by experienced consultants</t>
  </si>
  <si>
    <t>One Stop Shop/M2</t>
  </si>
  <si>
    <t>Costs of set up of one-stop-shop for start-ups</t>
  </si>
  <si>
    <t>3rd Level Student Awards/M2</t>
  </si>
  <si>
    <t>Awards for undergraduates involved in local enterprise projects in ITT Tallaght</t>
  </si>
  <si>
    <t>Primary Schools Program/M2</t>
  </si>
  <si>
    <t>Awards for teachers participating in enterprise program</t>
  </si>
  <si>
    <t>Secondary Schools Programme/M2</t>
  </si>
  <si>
    <t>Funding of South Dublin County schools enterprise finals</t>
  </si>
  <si>
    <t>Schools Enterprise and Initiatives/M2</t>
  </si>
  <si>
    <t>2nd Level Schools Enterprise Programme and awards</t>
  </si>
  <si>
    <t>Seminars, Conferences &amp; Workshops/M2</t>
  </si>
  <si>
    <t>Running a series of business events for micro businesses in South Dublin</t>
  </si>
  <si>
    <t>Training Courses &amp; Business Skills/M2</t>
  </si>
  <si>
    <t>Start Your Own Business training and business skills training for start-ups</t>
  </si>
  <si>
    <t>Community based enterprise training/M2</t>
  </si>
  <si>
    <t>Enterprise programs for those considering self employment</t>
  </si>
  <si>
    <t>Computerised Bookkeeping Programme/M2</t>
  </si>
  <si>
    <t>Computerised bookkeeping for start-ups</t>
  </si>
  <si>
    <t>Development of a foldable crutch for use by sports physios</t>
  </si>
  <si>
    <t>Skidproof Limited/Prim</t>
  </si>
  <si>
    <t>Wirelite Sensors Ltd</t>
  </si>
  <si>
    <t>Development of an Aggregated Embedded Generator Virtual Power Plant</t>
  </si>
  <si>
    <t>SLR Environmental Consulting (Ireland) Ltd</t>
  </si>
  <si>
    <t>Update the existing geothermal database for the Irish onshore, Identify more detailed geologival constraints and provide a more accurate understanding of the geology, produce updated geothermal map plans, Integrate research from the Newcastle project into the national geothermal database, develop a 'Geothermal Play Fairway Analysis' for the Carboniferous of the Irish Midlands and Identify the best potential with the play fairways for promotion to power generation &amp; int. geothermal energy sector</t>
  </si>
  <si>
    <t>ITT Cycle 4 Centre of Applied Science for Health</t>
  </si>
  <si>
    <t>ITT will develop its expertise in translational molecular cell biology research through leverage of the core expertise in microbial disease prevention and control, medical device technology and anticancer treatments amongst established multi-disciplinary research teams within ITT Dublin and through relationships with industry, its partnering institutes and its teaching hospital partner. The Applied Science for Health at the Institute will carry out research and educational programmes.</t>
  </si>
  <si>
    <t>ITTD Research Equipment Renewal Grant</t>
  </si>
  <si>
    <t>Various equipment items for key research areas identified in the HEA/Forfas Research Infrastructure Review 'Research Infrastructure in Ireland - Building for Tomorrow.' Published in 2007. Research Areas: Health Science-  Matrix Assisted Laser Desorption Ionisation Mass Spectrometer. Equipment allows for accurate molecular mass determination and identification of proteins/peptides, oligonucleotides, biomarker expression, bacterial mass fingerprinting and small molecule identification.</t>
  </si>
  <si>
    <t>SOUTH DUBLIN TOTAL</t>
  </si>
  <si>
    <t>Irish Province Institute of Charity (Rosminians)</t>
  </si>
  <si>
    <t>Feasibility study on switching to solar and wood pellet heating.</t>
  </si>
  <si>
    <t>South Tipperary</t>
  </si>
  <si>
    <t>Boston Scientific</t>
  </si>
  <si>
    <t>Installation of a 999 kWe CHP Unit.</t>
  </si>
  <si>
    <t>Hotel Minella Ltd</t>
  </si>
  <si>
    <t>Installation of 1 no. ENER.G 70 CHP Unit and Peripheral Equipment.  CHP will be installed to reduce energy costs &amp; requirements on site._x000D_</t>
  </si>
  <si>
    <t>Abbott Vascular Clonmel</t>
  </si>
  <si>
    <t>Abbott Vascular is a global leader in the medical technology sector. The manufacturing site is serviced thermally by a main boiler house operating a LPHW heating system (central heating and domestic hot water) to the site buildings and electrically by a MV_x000D_</t>
  </si>
  <si>
    <t>Camphill Community of Ireland</t>
  </si>
  <si>
    <t>Installation of a 200 kW wood chip boiler.</t>
  </si>
  <si>
    <t>Installation of 2 sq m of evacuated tubes solar panels</t>
  </si>
  <si>
    <t>Boston Scientific Clonmel Ltd</t>
  </si>
  <si>
    <t>Replace existing fluorescent lighting with LED energy efficient long life tubes.</t>
  </si>
  <si>
    <t>Glenpatrick Spring Water Co Ltd</t>
  </si>
  <si>
    <t>Replace existing PET bottle blowing systems and two PET filling lines with an energy efficient high speed integrated blowing and filling systems.</t>
  </si>
  <si>
    <t>Start Your Own Business Prog</t>
  </si>
  <si>
    <t>10 WEEK Start your own business programme that normally runs in Spring and Autumn of each year.</t>
  </si>
  <si>
    <t>Women Entering Business</t>
  </si>
  <si>
    <t>Start your own business for female entrepreneurs, 5 full days</t>
  </si>
  <si>
    <t>Basic Book-keeping/M2 Training</t>
  </si>
  <si>
    <t>4 week programme on developing skills for keeping financial books in a business</t>
  </si>
  <si>
    <t>Computerised Accounts/M2 Training</t>
  </si>
  <si>
    <t>Computerised accounts package using QUICKBOOKS Software -6 training days plus 3 on site visits</t>
  </si>
  <si>
    <t>Getting Paid - Credit Control/M2 Training</t>
  </si>
  <si>
    <t>I day programme on Debt Collection</t>
  </si>
  <si>
    <t>Pricing your Product</t>
  </si>
  <si>
    <t>One day programme for small businesses on correct pricing of product and services</t>
  </si>
  <si>
    <t>Health &amp; Safety/M2 Training</t>
  </si>
  <si>
    <t>3 day certified programme for creation of H &amp; s Statement._x000D_Also advice clinics available</t>
  </si>
  <si>
    <t>HACCP/M2 Training</t>
  </si>
  <si>
    <t>3 DAY Certified programme for HACCP systems in food industry</t>
  </si>
  <si>
    <t>Occupational First Aid/M2 Training</t>
  </si>
  <si>
    <t>Certified 3 day programme to develop first aid skills</t>
  </si>
  <si>
    <t>Staff reviews made Easy</t>
  </si>
  <si>
    <t>one day programme on conducting staff appraissals</t>
  </si>
  <si>
    <t>Motivating your self &amp; staff</t>
  </si>
  <si>
    <t>tips and guidance on how to motivate yourself &amp; staff</t>
  </si>
  <si>
    <t>Time Managment/M2 Training</t>
  </si>
  <si>
    <t>one day training to develop time mgm skills</t>
  </si>
  <si>
    <t>Meetings that make a difference</t>
  </si>
  <si>
    <t>to develop skills on how to run meetings efficiently</t>
  </si>
  <si>
    <t>Supervisory Managment</t>
  </si>
  <si>
    <t>dEVELOP appropriate skills in supervising staff</t>
  </si>
  <si>
    <t>Managing the Marketing &amp; Sales process/M2 Training</t>
  </si>
  <si>
    <t>5 evening training on developing marketing and sales plan</t>
  </si>
  <si>
    <t>Web Design and Maintenance/M2 Training</t>
  </si>
  <si>
    <t>10 full days of training to enable small business owners to create and maintain a new web site.</t>
  </si>
  <si>
    <t>Digital Photography</t>
  </si>
  <si>
    <t>Learn to take digital images for use in website and other promotional material</t>
  </si>
  <si>
    <t>Advanced Digital Photography</t>
  </si>
  <si>
    <t>follow on from basic programme</t>
  </si>
  <si>
    <t xml:space="preserve">Developing E-mail database </t>
  </si>
  <si>
    <t>learn to develop e-mail database for on line distribution</t>
  </si>
  <si>
    <t>Certified Payroll</t>
  </si>
  <si>
    <t>evening training on sage pay roll system</t>
  </si>
  <si>
    <t>Primary Hygiene/M2 Training</t>
  </si>
  <si>
    <t>Basic Hygiene training for food companies</t>
  </si>
  <si>
    <t>Interviewing skills &amp; Selection</t>
  </si>
  <si>
    <t>Recruitment and selection training skills</t>
  </si>
  <si>
    <t>Business Writing</t>
  </si>
  <si>
    <t>Develop writing skills for business reports, brochures etc</t>
  </si>
  <si>
    <t>Managing your staff effectively/M2 Training</t>
  </si>
  <si>
    <t>Training on recruitment, selction and people mgm skills</t>
  </si>
  <si>
    <t>Receptionist Skills &amp; Customer Service</t>
  </si>
  <si>
    <t>hOW to improve customer care skills for frontline staff</t>
  </si>
  <si>
    <t>Telephone skills and telesales/M2 Training</t>
  </si>
  <si>
    <t>improve telephone skills and develop tele sales skills</t>
  </si>
  <si>
    <t>Manual Handling/M2 Training</t>
  </si>
  <si>
    <t>Training on how to lift correctly etc</t>
  </si>
  <si>
    <t>Creating effective business PDF documents</t>
  </si>
  <si>
    <t>IT training on business PDF document creation</t>
  </si>
  <si>
    <t>ECDL for small business</t>
  </si>
  <si>
    <t>ECDL Training for small business</t>
  </si>
  <si>
    <t>Owner Manager development programme/M2</t>
  </si>
  <si>
    <t>12 Month mgm development programme for business in exoistence over 2 yrs</t>
  </si>
  <si>
    <t>Student Enterprise/M2</t>
  </si>
  <si>
    <t>enterprise programme that runs in secondary schools throughout South Tipp</t>
  </si>
  <si>
    <t>Advanced Food Programme/M2 Training</t>
  </si>
  <si>
    <t>workshops and overseas exhibitions visits for food companies</t>
  </si>
  <si>
    <t>Women's Network/M2</t>
  </si>
  <si>
    <t>Women's Network meeting every month with business talk</t>
  </si>
  <si>
    <t>Promotional Activity for Board/M2</t>
  </si>
  <si>
    <t>Training brochures, newsletters, ads, website._x000D_All expenditure relates exclusively to ERDF Activity.</t>
  </si>
  <si>
    <t>Women's Mgm Dev Programme/M2 Training</t>
  </si>
  <si>
    <t>Management development Programme for women starting out in Business covering areas such as Self Development, Marketing, Finance and Business planning</t>
  </si>
  <si>
    <t>Women in Business/M2</t>
  </si>
  <si>
    <t>Business talks and seminars for female Business owners</t>
  </si>
  <si>
    <t>Search Engine Optimisation/M2</t>
  </si>
  <si>
    <t>how to market your website using key words etc</t>
  </si>
  <si>
    <t>Spirit of Enterprise/M2</t>
  </si>
  <si>
    <t>Enterprise activities in south East to mark enterprise week. These include Start your own business courses, seminars in Tipp Institute for student enterprise and one main conference in Waterford.</t>
  </si>
  <si>
    <t>Taste of Tipp</t>
  </si>
  <si>
    <t>develop food brand in Tipp</t>
  </si>
  <si>
    <t>Owner Manager Network/M2</t>
  </si>
  <si>
    <t>network meetings once a month  with business talk</t>
  </si>
  <si>
    <t>Adv Time Mgm</t>
  </si>
  <si>
    <t>advanced skills in time Mgm</t>
  </si>
  <si>
    <t>Business Development  assistance/M2</t>
  </si>
  <si>
    <t>small technical assistance grant for exhibitions, trade fairs, training</t>
  </si>
  <si>
    <t>Primary school enterprise programme</t>
  </si>
  <si>
    <t>Pilot programme in primary schools teaching enterprise</t>
  </si>
  <si>
    <t>Business Advice/M2</t>
  </si>
  <si>
    <t>business advice clinics throughout south tipp.</t>
  </si>
  <si>
    <t>E Commerce Forum</t>
  </si>
  <si>
    <t>E Commerce talks on web markerting etc</t>
  </si>
  <si>
    <t>4 one to one visits with clients by mentor</t>
  </si>
  <si>
    <t>Cappawhite Resource Centre</t>
  </si>
  <si>
    <t>SUPPORT for setting up of IT CENTRE</t>
  </si>
  <si>
    <t>Employment Legislation/M2</t>
  </si>
  <si>
    <t>Employment obligations of small business training</t>
  </si>
  <si>
    <t>Small business award in 2007</t>
  </si>
  <si>
    <t>Innovation Skillsnet</t>
  </si>
  <si>
    <t>Skillnet programme for Engineering companies with North Tipp</t>
  </si>
  <si>
    <t>Tipp Hostel</t>
  </si>
  <si>
    <t>Support for training equipment</t>
  </si>
  <si>
    <t>Systematics Software Ltd/ Feas</t>
  </si>
  <si>
    <t xml:space="preserve"> Bespoke software development for Pharmaceutical market</t>
  </si>
  <si>
    <t>Tipptoes Ltd/Feas</t>
  </si>
  <si>
    <t xml:space="preserve">specialised software for medical market </t>
  </si>
  <si>
    <t>Cyril Bourke/Feas</t>
  </si>
  <si>
    <t>enterprise planning system</t>
  </si>
  <si>
    <t>Shemus Comerford/Feas</t>
  </si>
  <si>
    <t xml:space="preserve"> adjustable basketball hoop</t>
  </si>
  <si>
    <t>Munster Mushrooms Ltd/Cap</t>
  </si>
  <si>
    <t>Production of mushrooms and ass products</t>
  </si>
  <si>
    <t>Clonmel Junction Festival/</t>
  </si>
  <si>
    <t>This company was set up in 2004, offering a major international film, Theatre, and other activities festival in Clonmel attracting visitors from home and abroard. The employment grant is for one new employee that will be involved directly in the promotion of the festival</t>
  </si>
  <si>
    <t>Golden Vale Lawns/Emp</t>
  </si>
  <si>
    <t>ready made turf lawns</t>
  </si>
  <si>
    <t>Adhuil / Feas</t>
  </si>
  <si>
    <t>Feasibility Study to assess the viabilit of manufacturing a range of novelty goods</t>
  </si>
  <si>
    <t>Car doc Ltd/ Cap</t>
  </si>
  <si>
    <t xml:space="preserve"> Purchase of equipment for an automotive diagnostic centre</t>
  </si>
  <si>
    <t>Mulberry Stoves/Cap</t>
  </si>
  <si>
    <t xml:space="preserve"> the establishment of an enamelling plant</t>
  </si>
  <si>
    <t>Dermot O'Brien Fabrications/Cap</t>
  </si>
  <si>
    <t>specialist steel fabrication</t>
  </si>
  <si>
    <t>Appliance Parts Direct Ltd/Emp</t>
  </si>
  <si>
    <t>On line selling of white goods parts</t>
  </si>
  <si>
    <t>Deerpark Farm Services/Emp</t>
  </si>
  <si>
    <t>specialised service for farmers herd returns etc._x000D_</t>
  </si>
  <si>
    <t>Northview Training &amp; Development Ltd/Emp</t>
  </si>
  <si>
    <t>International service for learning English</t>
  </si>
  <si>
    <t>Marlwood Wedding Albums Ltd/Emp</t>
  </si>
  <si>
    <t>Manufacture of wedding albums._x000D_</t>
  </si>
  <si>
    <t>H202 Ltd/Emp</t>
  </si>
  <si>
    <t>manufacture of radiators.</t>
  </si>
  <si>
    <t>Pollywog Kids Co/Emp</t>
  </si>
  <si>
    <t>production of childcare booklet.</t>
  </si>
  <si>
    <t>Oliver Morrissey/Feas</t>
  </si>
  <si>
    <t>assess the viability of a device for clearing the dirt from the undercarriage of earthwork machines</t>
  </si>
  <si>
    <t>Rockloom Ltd/ Feas</t>
  </si>
  <si>
    <t>assess the viablity of bark mulch made from waste materials</t>
  </si>
  <si>
    <t>Canon Hayes Recreation Centre/Cap</t>
  </si>
  <si>
    <t>Specialised gym.</t>
  </si>
  <si>
    <t>Artisan Frames/Cap</t>
  </si>
  <si>
    <t>Manufacture of picture frames</t>
  </si>
  <si>
    <t>Biocide Information Ltd/Feas</t>
  </si>
  <si>
    <t>assess the viability of setting up an information portal for the antimicrobial industry</t>
  </si>
  <si>
    <t>Acorn Regulatory Consultancy Services Ltd/Emp</t>
  </si>
  <si>
    <t>Regulatory Affairs for pharmaceuticals. 2 Employment grants at €6,000 for the recruitment of two additional regulatory specialists.</t>
  </si>
  <si>
    <t>Naked Soap Co./Emp</t>
  </si>
  <si>
    <t>manufacture of soaps_x000D_</t>
  </si>
  <si>
    <t>Golden Irish Photography/Emp</t>
  </si>
  <si>
    <t>Design and sale of photographs._x000D_</t>
  </si>
  <si>
    <t>Jomulti/Emp</t>
  </si>
  <si>
    <t>manufacture of horse riding garment</t>
  </si>
  <si>
    <t>Nos Conservation Services/Cap</t>
  </si>
  <si>
    <t xml:space="preserve"> restoration business</t>
  </si>
  <si>
    <t>Whelan Food &amp; Meat Processors/Feas</t>
  </si>
  <si>
    <t>assess the viability of food brand and Centre of Excellence</t>
  </si>
  <si>
    <t>SNF Engineering/Cap</t>
  </si>
  <si>
    <t>Specialist steel engineering business.  Capital assistance towards the purchase of equipment for the production of a range of stainless stell products.</t>
  </si>
  <si>
    <t>Irish Village Crystal/Emp</t>
  </si>
  <si>
    <t>crystal manufacture.</t>
  </si>
  <si>
    <t>The Hangout/Cap</t>
  </si>
  <si>
    <t>manufacture gazebo/clothesline</t>
  </si>
  <si>
    <t>/Michael McEniry &amp; Michael Sweeney PartnershipFeas</t>
  </si>
  <si>
    <t>assess the viability of a water treatment system - RECIPS System</t>
  </si>
  <si>
    <t>Thomas P. Meagher/Feas</t>
  </si>
  <si>
    <t>establishing South Tipperary as an area of excellence for the breeding of brood mares</t>
  </si>
  <si>
    <t>Mick Smyth Fine Furniture/Cap</t>
  </si>
  <si>
    <t xml:space="preserve"> manufacture of furniture</t>
  </si>
  <si>
    <t>Feileacan Accessories/Emp</t>
  </si>
  <si>
    <t>manufacture of Jewellery_x000D_</t>
  </si>
  <si>
    <t>Gamesenders/Emp</t>
  </si>
  <si>
    <t>On line selling of videos_x000D_</t>
  </si>
  <si>
    <t>Erazermate/Emp</t>
  </si>
  <si>
    <t>Power wash cleaning service for gum removal_x000D_</t>
  </si>
  <si>
    <t>Munster Mushroom/Emp</t>
  </si>
  <si>
    <t>Mushroom marketing and promotion business.  Recruitment of one new additional staff member</t>
  </si>
  <si>
    <t>Rockloom Ltd/Cap</t>
  </si>
  <si>
    <t>Manufacture bark mulch from waste materials_x000D_</t>
  </si>
  <si>
    <t>Garrymore Farm/Emp</t>
  </si>
  <si>
    <t>Potato production_x000D_</t>
  </si>
  <si>
    <t>Sean Walsh/Emp</t>
  </si>
  <si>
    <t>Steel Fabrication</t>
  </si>
  <si>
    <t>One to One Financial mgm</t>
  </si>
  <si>
    <t>Financial Clinics</t>
  </si>
  <si>
    <t>Growing your Business</t>
  </si>
  <si>
    <t>Workshops on growing your business</t>
  </si>
  <si>
    <t>Associated Business Advisor Costs including_x000D_  Salaries, Training and Travel-</t>
  </si>
  <si>
    <t>Financial Management for small business/M2 Training</t>
  </si>
  <si>
    <t>Financial Management including information on taxation, cashflow statements, debt management  and general accounting procedures.</t>
  </si>
  <si>
    <t>Idea Generation for Business/M2 Training</t>
  </si>
  <si>
    <t>Creative thinking for business Ideas workshop</t>
  </si>
  <si>
    <t>Food Branding &amp; Packaging Clinic/M2</t>
  </si>
  <si>
    <t>One to one clinic with Branding and packaging consultant for food companies</t>
  </si>
  <si>
    <t>Fire Safety Training</t>
  </si>
  <si>
    <t>Fire safety training and procedures for small businesses</t>
  </si>
  <si>
    <t>Start your owm food Business/M2 Training</t>
  </si>
  <si>
    <t>Start your own business workshop specifically for people wishing to start a food business</t>
  </si>
  <si>
    <t>SE Women in Business conference/M2</t>
  </si>
  <si>
    <t>Day conference with exhibits for female businesses from South East. Also included Female business awards</t>
  </si>
  <si>
    <t>Web Marketing /M2</t>
  </si>
  <si>
    <t>One to one clinics with web consultant on marketing and optimisation of web sites</t>
  </si>
  <si>
    <t>Mount Bruce/Feas</t>
  </si>
  <si>
    <t>Feasibility re: natural mineral water extraction and quality_x000D_</t>
  </si>
  <si>
    <t>Marlwood Wedding/Emp</t>
  </si>
  <si>
    <t>Manufacture of wedding albums, recruitment of staff member_x000D_</t>
  </si>
  <si>
    <t>St. Michael's Bakery/Emp</t>
  </si>
  <si>
    <t>African style bakery - employment assistance re: promoter_x000D_</t>
  </si>
  <si>
    <t>Con Traas/Emp</t>
  </si>
  <si>
    <t>Employment Assistance re: production of sparkling apple juice_x000D_</t>
  </si>
  <si>
    <t>LightSpeed/Cap</t>
  </si>
  <si>
    <t>Capital assistance towards purchase of equipment re: fibre-optick cable terminations, testing and fault-finding services</t>
  </si>
  <si>
    <t>Capital assistance for the purchase of additional equipment re: fibre optic termination equipment_x000D_</t>
  </si>
  <si>
    <t>Mulberry Stoves/Feas</t>
  </si>
  <si>
    <t>Feasibility assistance towards the development and testing of a energy efficient stove_x000D_</t>
  </si>
  <si>
    <t>Tipptoes/Emp</t>
  </si>
  <si>
    <t>Employment Assistance towards the recruitment of staff member re: Tipps Practice Mgt Software_x000D_</t>
  </si>
  <si>
    <t>Pelican Roads/Feas</t>
  </si>
  <si>
    <t>Feasiblity assistance re: renewable product for filling potholes_x000D_</t>
  </si>
  <si>
    <t>Eftech/Emp</t>
  </si>
  <si>
    <t>Employment assistance towards start-up of specialised extraction canopies for food service sector_x000D_</t>
  </si>
  <si>
    <t>The Hangout/Emp</t>
  </si>
  <si>
    <t>Employment assistance towards the start-up of an covered clothesline/entertainment manufacturer_x000D_</t>
  </si>
  <si>
    <t>Studio Gamma/Emp</t>
  </si>
  <si>
    <t>Employment assistance towards start-up of online wall-sticker business_x000D_</t>
  </si>
  <si>
    <t>Campion/Cap</t>
  </si>
  <si>
    <t>Capital assistance towards the purchase of equipment to manufacture stainless steel kiosks and booster sets_x000D_</t>
  </si>
  <si>
    <t>Acorn/Emp</t>
  </si>
  <si>
    <t>Employment assistance towards recruitment of one new regulatory specialist staff member. Grant is for total of €6,000. To date no of employment grants awarded is 3</t>
  </si>
  <si>
    <t>Holycross/Emp</t>
  </si>
  <si>
    <t>Employment assistance re: recruitment of baker for speciality food business</t>
  </si>
  <si>
    <t>The Apple Farm/Emp</t>
  </si>
  <si>
    <t>Employment assistance towards the recruitment of skilled staff member re: The Apple Farm_x000D_</t>
  </si>
  <si>
    <t>Chrisnik/Emp</t>
  </si>
  <si>
    <t>Employment assistance towards recruitment of sales manager re: cartridge recycling business_x000D_</t>
  </si>
  <si>
    <t>Wall-ope/Emp</t>
  </si>
  <si>
    <t>Employment assistance re: promoter for establishment of innovative wall opening device_x000D_</t>
  </si>
  <si>
    <t>McEvoy/Cap</t>
  </si>
  <si>
    <t>Capital assistance re: purchase of equipment for salad production facility_x000D_</t>
  </si>
  <si>
    <t>Capital assistance towards the purchase of equipment for salad production facility_x000D_</t>
  </si>
  <si>
    <t>Odryer/Emp</t>
  </si>
  <si>
    <t>Employment assistance re: recruitment of staff for production of specialised clothes line_x000D_</t>
  </si>
  <si>
    <t>Paschal Whelan/Feas</t>
  </si>
  <si>
    <t>Feasibility to develop a tennis coaching aid_x000D_</t>
  </si>
  <si>
    <t>The Auld Mill/Cap</t>
  </si>
  <si>
    <t>Capital assistance towards purchase of equipment re: bakery_x000D_</t>
  </si>
  <si>
    <t>Garrymore/Cap</t>
  </si>
  <si>
    <t>Capital assistance re: purchase of equipment for potatoe processing facility_x000D_</t>
  </si>
  <si>
    <t>Sweet JoJo/Emp</t>
  </si>
  <si>
    <t>Employment Asssitance re: specialised choclate making business_x000D_</t>
  </si>
  <si>
    <t>Eamonn McGuinness/FIG</t>
  </si>
  <si>
    <t>Feasiblity assistance re: development of a cervical swabbing mechanism re: equine industry_x000D_</t>
  </si>
  <si>
    <t>Picture This/Emp</t>
  </si>
  <si>
    <t>Employment assistance towards the recruitment of staff member for specialised framing and gallery business_x000D_</t>
  </si>
  <si>
    <t>Irish Festival in Milwaukee/M2</t>
  </si>
  <si>
    <t>CEB supported small craft companies to attend and display their products at the Irish Festival in Milwaukee, USA for 1 week August 2009. The display was branded Tipperary, jiont project with Tipp North CEB</t>
  </si>
  <si>
    <t>Excel for small Business/M2  Training</t>
  </si>
  <si>
    <t>Evening training programme to help small businesses use excel for spreadsheets, accounts etc.</t>
  </si>
  <si>
    <t>Food Innovation-Create a Taste/ M2</t>
  </si>
  <si>
    <t>Jiont project with Kilkenny CEB, Where business went through a process of developing new food products and then launching them at the " Create a Taste" festival in Kilkenny</t>
  </si>
  <si>
    <t>Office Managment Skills/M2 Training</t>
  </si>
  <si>
    <t>Train businesses to organise and plan their office duties more efficiently and effectively</t>
  </si>
  <si>
    <t>SHOP Exhibition/M2</t>
  </si>
  <si>
    <t>Food companies exhibited at the CEB stand at the SHOP exhbition in September in RDS Dublin</t>
  </si>
  <si>
    <t>PR/Media Usage/M2</t>
  </si>
  <si>
    <t>1-to-1 clinic on how to use simple PR tools to achieve results for a business.</t>
  </si>
  <si>
    <t>Business Coaching/M2</t>
  </si>
  <si>
    <t>Business coaching &amp; motivation programme to help clients discover what is and is not working in their business.</t>
  </si>
  <si>
    <t>Using Ebay in your Business</t>
  </si>
  <si>
    <t>Learn how to manage ebay shop and maximise sales.</t>
  </si>
  <si>
    <t>Food Technology/M2</t>
  </si>
  <si>
    <t>Assist businesses look at new product development, also shelf life testing, nutritional information &amp; legislative advice</t>
  </si>
  <si>
    <t>Business Development Programme/M2 Training</t>
  </si>
  <si>
    <t>For business owners who completed Owner Mngr Dev. Programme, to assist in further developing a business, certified by WIT.</t>
  </si>
  <si>
    <t>Social Media Training/M2 Training</t>
  </si>
  <si>
    <t>Provide clients with the skills to make the most of networking skills such as Linkedin, Twitter, Facebook.</t>
  </si>
  <si>
    <t>Practical Computer Security/M2 Training</t>
  </si>
  <si>
    <t>3 evening workshop will cover best practice for backing up data on your PC and mobile phone, also cover antispy &amp; antivirus software and how to reduce communication costs.</t>
  </si>
  <si>
    <t>Provide SMEs with facilitated group learning, specialist expertise &amp; advice, networking opportunities &amp; business development training.</t>
  </si>
  <si>
    <t>New Beginnings/M2</t>
  </si>
  <si>
    <t>Seminar &amp; exhibition for unempoyed and people interested in becoming self-employed.</t>
  </si>
  <si>
    <t>Central Data Unit/M2</t>
  </si>
  <si>
    <t>Complication of social and economic data on county. This data can be accessed through reports or via maps and used for planning, presentions etc in the local area.</t>
  </si>
  <si>
    <t>Moccu Press/BP/Ref</t>
  </si>
  <si>
    <t>Production of  historical graphic novels</t>
  </si>
  <si>
    <t>Aviation Corporate Services Ltd./BP</t>
  </si>
  <si>
    <t>Internationally traded service providing management &amp; administration services to overseas businesses locating in Ireland</t>
  </si>
  <si>
    <t>Christina Maria Pots/BP</t>
  </si>
  <si>
    <t>Design,hand-paint &amp; glaze customised terracotta pots. 1 Employment grant at €8,000 for promoter</t>
  </si>
  <si>
    <t>Don Lyons Hurleys/BP/REF</t>
  </si>
  <si>
    <t>Manufacture and repair of hurleys.</t>
  </si>
  <si>
    <t>Marketing Sans Frontieres/BP</t>
  </si>
  <si>
    <t>Provide online marketing services to professional marketers._x000D_I employment grant for promoter at €8,000_x000D_</t>
  </si>
  <si>
    <t>Maria Kelly Photography/BP</t>
  </si>
  <si>
    <t>Specialisted professional photography service to Auctioneers, Letting Agents &amp; tourism providers._x000D_
I employment grant for promoter at €8,000_x000D_</t>
  </si>
  <si>
    <t>Metron Nanotech Ltd/BP</t>
  </si>
  <si>
    <t>Manufacture cleaning validation kit for pharmaceutical and medical device industry._x000D_
1 x employment grant</t>
  </si>
  <si>
    <t>Holycross Good Food/BE</t>
  </si>
  <si>
    <t>Food business manufacturing a range of bakery items and specialist sauces</t>
  </si>
  <si>
    <t>Pubrepublic Ltd/BP</t>
  </si>
  <si>
    <t>Provide website information on licenced pubs &amp; events in these pubs on an updated basis._x000D_1 employment grant for promoter at €8,000</t>
  </si>
  <si>
    <t>Sleepy Sportz/BP/REF</t>
  </si>
  <si>
    <t>Sell branded childrens pyjamas both online &amp; through retailers._x000D_1 Employment grant for promoter at €8,000. Also marketing costs included</t>
  </si>
  <si>
    <t>Diesel Injection Services/BE</t>
  </si>
  <si>
    <t>Diagnostic and repair of Diesel Fuel Systems</t>
  </si>
  <si>
    <t>James Hayes/FIG</t>
  </si>
  <si>
    <t>Investigate and design a tumble dryer system that uses central heating system to dry clothes</t>
  </si>
  <si>
    <t>Munster Mushrooms Ltd/CAP</t>
  </si>
  <si>
    <t>Growing of mushrooms to retailers. Also supply value added products such as garlic mushrooms etc</t>
  </si>
  <si>
    <t>SNF Engineering Ltd/BE/Ref</t>
  </si>
  <si>
    <t>Specialised stainless steel production facility - purchase of equipment to streamline production process</t>
  </si>
  <si>
    <t>Michael Hadnett/FIG/Non-ref</t>
  </si>
  <si>
    <t>Feasibility funding to assess the viability of a solar energy product which conversts solar energy to steam for multiple uses as a portable product for the African Market</t>
  </si>
  <si>
    <t>Li 'l Pads/FIG</t>
  </si>
  <si>
    <t>Investigate the viability of manufacturing a range of children's bespoke furniture</t>
  </si>
  <si>
    <t>Gaelic Rules Advice Ltd/BP/REF</t>
  </si>
  <si>
    <t>Independent GAA service where clubs/individuals can access transfer forms, disciplinary appeals, fixture postponements &amp; insurance claims</t>
  </si>
  <si>
    <t>Garrymore Farm Ltd/FIG/REF</t>
  </si>
  <si>
    <t>Feasibility of developing range of healthy snacks (eg potato) using a unique production process</t>
  </si>
  <si>
    <t>Ivowen Ltd/BEG/REF</t>
  </si>
  <si>
    <t>Consultancy firm offering specialist advice on regulatory affairs for pharmaceutical &amp; veterinary products in EU</t>
  </si>
  <si>
    <t>O'Donnell Crisps Ltd/PG/</t>
  </si>
  <si>
    <t>Manufacture of Irish hand cooked crisps</t>
  </si>
  <si>
    <t>Roast Perfect/FIG/REF</t>
  </si>
  <si>
    <t>Viability of designing, developing &amp; manufacturing a pop-up timer for indicating when meat products are cooked.</t>
  </si>
  <si>
    <t>Southern Pallets Ltd/BE/REF</t>
  </si>
  <si>
    <t>Manufacture &amp; repair pallets for industry use, also purchase a new automatic line machine for pallet manufacture, thus increasing production.</t>
  </si>
  <si>
    <t>The Green Bowl Ltd/BP/REF</t>
  </si>
  <si>
    <t>Herb, veg &amp; salad growing business providing range of products to the food service sector &amp; domestic customer</t>
  </si>
  <si>
    <t>Water Off/BP/REF</t>
  </si>
  <si>
    <t>New business start-up that involves the design, production &amp; distribution of a patented electronic water stoppage system</t>
  </si>
  <si>
    <t>Wooden Bike Project/FIG/REF</t>
  </si>
  <si>
    <t>Develop a wooden frame bicycle protype aimed at the racing cycle community. Feasibility assistance sought to develop range of prototypes, carry out mechanical &amp; road testing, gather market info &amp; investigate paten opportunities.  30007426-1</t>
  </si>
  <si>
    <t>Thermalign Ltd/BP/REF</t>
  </si>
  <si>
    <t>Specialist service providing thermal imaging &amp; laser alignment services to maintenance &amp; service departments of large organisations in a range of industries, ie food, pharmaceutical, medial device</t>
  </si>
  <si>
    <t>Unitec IT Solutions/FIG/REF</t>
  </si>
  <si>
    <t>Viability of developing a cloud based data centre in Clonmel t collect data from companies &amp; restore data in the event of breakdown &amp; other disasters.</t>
  </si>
  <si>
    <t>W.T.Insulation t/a Munster Insulation/BE/REF</t>
  </si>
  <si>
    <t>Design &amp; manufacture a range of products for energy and insulation market</t>
  </si>
  <si>
    <t>Create your Own Reality/M2 Training</t>
  </si>
  <si>
    <t>An inspirational 1 day programme providing you with the techniques to boost your performance, achieve your goals and transform your professional and personal life.</t>
  </si>
  <si>
    <t>Getting Irish Business Online/M2 Training</t>
  </si>
  <si>
    <t>Tipp SR CEB in association with Google, Blacknight &amp; An Post have come together to create Getting Irish Business Online. We're taking the time, hassle &amp; cost out of designing a website so that you can get on with running your business.</t>
  </si>
  <si>
    <t>Acorn Reg/BE/Non-ref</t>
  </si>
  <si>
    <t>This company provides regulatory consultancy to the pharma and medical device sector</t>
  </si>
  <si>
    <t>Agri Lights Ltd/BP/REF</t>
  </si>
  <si>
    <t>This company provides environmenal cost effective lighting solutions to pig/poultry and mushroom industries</t>
  </si>
  <si>
    <t>Bionord Sera Ltd/BP/REF</t>
  </si>
  <si>
    <t>This company manufactures and distributes serum for cell and tissue cultures in the medical and pharmaceutical industries</t>
  </si>
  <si>
    <t>Campion Ops/FIG/REF</t>
  </si>
  <si>
    <t>Feasiblility study to assess the viability of an automatic wireless water meter reading device.</t>
  </si>
  <si>
    <t>Clonmel Covers/BE/REF</t>
  </si>
  <si>
    <t>Manufacture of waterproof covers for transport, farming, leisure, pharmaceutical and equine sectors</t>
  </si>
  <si>
    <t>County Passport/FIG/Non Ref</t>
  </si>
  <si>
    <t>Assess the viability of a County tourist passport for the international market</t>
  </si>
  <si>
    <t>Diesel Injection/BE/REF</t>
  </si>
  <si>
    <t>The business is one of four Bosch Diesel Centres in Ireland specialising in the diagnosis and repair of diesel fuel systems.</t>
  </si>
  <si>
    <t>Happy in Your Nappy/BP/REF</t>
  </si>
  <si>
    <t>Happy in Your Nappy provides a range of handmade baby gifts to the corporate, retail and private market</t>
  </si>
  <si>
    <t>Heat Care Cabinets/BP/REF</t>
  </si>
  <si>
    <t>Manufacture a range of environmentally friendly radiator covers</t>
  </si>
  <si>
    <t>Slievephelim Timber Products/BE/REF</t>
  </si>
  <si>
    <t>Manufacture and distribution of Timber pallets and Crates</t>
  </si>
  <si>
    <t>Suirway Electric Fence Control/BP/REF</t>
  </si>
  <si>
    <t>Manufacture of electric fence on/off device that can be controlled using GSM system on mobile phone.</t>
  </si>
  <si>
    <t>Future People/BE/REF</t>
  </si>
  <si>
    <t>Future People is a specialist training company offering services in high level ICT &amp; Project Management for large multi-national employees.</t>
  </si>
  <si>
    <t>Tugela Foods/BP/REF</t>
  </si>
  <si>
    <t>Tugela Foods is a food business involved in the production of a range of South African gluten free products for the Irish market:</t>
  </si>
  <si>
    <t>Unitec/BE/REF</t>
  </si>
  <si>
    <t>Unitec provides specialist IT services to business customers</t>
  </si>
  <si>
    <t>Wheellockit Ltd/BP/REF</t>
  </si>
  <si>
    <t>Manufacture and distribution of a wheel locking system suitable for all types of vehicles, e.g. trailers, quads, lawnmowers and so on.</t>
  </si>
  <si>
    <t>Wrapsies/BP/REF</t>
  </si>
  <si>
    <t>Manufacture and distribution of a range of towelling wraps and hats (towels with a twist).</t>
  </si>
  <si>
    <t>Accelerate Programme/M2 Training</t>
  </si>
  <si>
    <t>The management development programme is aimed at established SME's and includes specific modules and mentoring sessions</t>
  </si>
  <si>
    <t>National Ploughing Championships</t>
  </si>
  <si>
    <t>Clients of SE CEB'S exhibited their products and services in the Enterprise village at the National ploughing Championship</t>
  </si>
  <si>
    <t>SE Regional Food Strategy</t>
  </si>
  <si>
    <t>Development of Food strategy in South East examining export potential of existing food clients</t>
  </si>
  <si>
    <t>Senior Start your own Business/M2</t>
  </si>
  <si>
    <t>Aimed at entrepreneurs 50+ to develop a business plan to guide the establishment of a new business</t>
  </si>
  <si>
    <t>Tax Returns online</t>
  </si>
  <si>
    <t>Training on Online Revenue Returns for Self Employed Individuals / Companies registered or registering for the following taxes,VAT, PAYE/PRSI,RT</t>
  </si>
  <si>
    <t>Winning Private business online/M2 Training</t>
  </si>
  <si>
    <t>This practical one day course offers you the opportunity to learn how to tender successfully for contracts online.  Apart from the technical process of submitting bids, this course will cover how to effectively market yourself on these websites.</t>
  </si>
  <si>
    <t>Techovate/ M2</t>
  </si>
  <si>
    <t>Conference in South East aimed at established business in IT sector</t>
  </si>
  <si>
    <t>Business Development Assistance/M2</t>
  </si>
  <si>
    <t>Small grant assistance towards national and international exhibitions, seminars and trade fairs</t>
  </si>
  <si>
    <t>SOUTH TIPPERARY TOTAL</t>
  </si>
  <si>
    <t>Pharmaceutical &amp; Molecular Biotechnology Research Centre ARE</t>
  </si>
  <si>
    <t>Pharmaeutical &amp; Molecular Biotechnology Research Centre_x000D_ Developing new methods of medicine delivery to patients.</t>
  </si>
  <si>
    <t>Waterford City</t>
  </si>
  <si>
    <t>Edmund Rice International Heritage Centres Ltd</t>
  </si>
  <si>
    <t>Installation of a 150 kw wood chip boiler</t>
  </si>
  <si>
    <t>Mark Rowe</t>
  </si>
  <si>
    <t>Installation of 9 sq m of evacuated tube solar collectors.</t>
  </si>
  <si>
    <t>Little Sisters of the Poor</t>
  </si>
  <si>
    <t>Installation of 2 x 300 kE wood chip boilers.</t>
  </si>
  <si>
    <t>Days Hotel Wateford</t>
  </si>
  <si>
    <t>Installation of a 122 kWe CHP plant.</t>
  </si>
  <si>
    <t>VIDEO INFORMATION DIGITAL SYSTEMS</t>
  </si>
  <si>
    <t>VIDAS</t>
  </si>
  <si>
    <t>Generic Graphing with Extensive Reporting</t>
  </si>
  <si>
    <t>Swagger</t>
  </si>
  <si>
    <t>Gratings from Fibres Twisted</t>
  </si>
  <si>
    <t>Nanoparticles sizing and structural health monitoring</t>
  </si>
  <si>
    <t>Tomography, nanoparticles sizing and structural health monitoring</t>
  </si>
  <si>
    <t>Interactive Direct Marketing</t>
  </si>
  <si>
    <t>Utilising Cloud Infrastructure in Computing</t>
  </si>
  <si>
    <t>Cloud Infrastructurea system that is designed for testing high volume web sites and large scale Internet services based on Cloud Computing</t>
  </si>
  <si>
    <t>Cloud Computing Testing Services</t>
  </si>
  <si>
    <t>Cloud Computing Security Implementation Techniques</t>
  </si>
  <si>
    <t>Context Based Service Platforms and Widget Usage</t>
  </si>
  <si>
    <t>ULIKE context-based service discovery and recommendations for widget platforms with the aim of developing a framework for Internet service providers</t>
  </si>
  <si>
    <t>Removal of barriers to Widget Systems</t>
  </si>
  <si>
    <t>FeedWidget</t>
  </si>
  <si>
    <t>Mobile Phone Retail Payment</t>
  </si>
  <si>
    <t>Mobile Retail Payment</t>
  </si>
  <si>
    <t>Trust Based system for enhanced spam filtering</t>
  </si>
  <si>
    <t>Semantic web mining driven advertisement selector</t>
  </si>
  <si>
    <t>Collaboration of Mobile Metadata based Services</t>
  </si>
  <si>
    <t>METAMOBI</t>
  </si>
  <si>
    <t>Fusion of Web 2 and Instant Messages</t>
  </si>
  <si>
    <t>Fusion of Web 2 and IM</t>
  </si>
  <si>
    <t>Web Communications Service Delivery</t>
  </si>
  <si>
    <t>ISERVE</t>
  </si>
  <si>
    <t>Delivery of feed-based services over IPTV</t>
  </si>
  <si>
    <t>Customer Analytics as a Service</t>
  </si>
  <si>
    <t>SAASIPA</t>
  </si>
  <si>
    <t>Systems for Network Management &amp; Improvement</t>
  </si>
  <si>
    <t>managing the delivery of video intensive applications over fixed networks</t>
  </si>
  <si>
    <t>Raman Laser - Sensing of fibre Bragg grating array</t>
  </si>
  <si>
    <t>Sensing of fibre Bragg grating array</t>
  </si>
  <si>
    <t>Adaptive Telecom System Energy Management and Control</t>
  </si>
  <si>
    <t>Combined electronic tour for outdoor and indoor navigation</t>
  </si>
  <si>
    <t>Franchised Cloud Computing Service</t>
  </si>
  <si>
    <t>Peer to Peer Communications</t>
  </si>
  <si>
    <t>ZIMBIE</t>
  </si>
  <si>
    <t>Optical PLatform Technology for IN-Fibre Unique Superior Elements</t>
  </si>
  <si>
    <t>Quality of service aware IP networking plan</t>
  </si>
  <si>
    <t>To design, develop, test and begin commercialization for an application that will prevent congestion and identify weak points in enterprise networks.</t>
  </si>
  <si>
    <t>Active Automatic control technology platorm for integrated virtualised environments</t>
  </si>
  <si>
    <t>The project aim was to develop an autonomic performance management system specifically for virtualised and cloud environments.</t>
  </si>
  <si>
    <t>Sandra Murray/Emp</t>
  </si>
  <si>
    <t>Online wedding directory Ref</t>
  </si>
  <si>
    <t>Bio Energy Systems Ltd/Emp</t>
  </si>
  <si>
    <t>Heating Networks Ref</t>
  </si>
  <si>
    <t>Marijn Kampf/Emp</t>
  </si>
  <si>
    <t>Web based business Ref</t>
  </si>
  <si>
    <t>John Hegarty/Emp</t>
  </si>
  <si>
    <t>Independent Record Label</t>
  </si>
  <si>
    <t>propertyseekers.ie/Emp</t>
  </si>
  <si>
    <t>Property Acquiring 31002051-01</t>
  </si>
  <si>
    <t>Bance Nolan/Emp</t>
  </si>
  <si>
    <t>Public Relations</t>
  </si>
  <si>
    <t>Gallweys of Waterford Ltd/Cap</t>
  </si>
  <si>
    <t>Manufacture of handmade Chocolates - assistance to invest in modern machinery</t>
  </si>
  <si>
    <t>Graphic Image/Cap</t>
  </si>
  <si>
    <t>Digital Printing</t>
  </si>
  <si>
    <t>Eagle Dreams/Emp</t>
  </si>
  <si>
    <t xml:space="preserve">IT Services to SMEs </t>
  </si>
  <si>
    <t>Cherries Lingerie/Emp</t>
  </si>
  <si>
    <t>Virtual Lingerie Shop</t>
  </si>
  <si>
    <t>Sign Select Ltd/Cap</t>
  </si>
  <si>
    <t>Menu Systems</t>
  </si>
  <si>
    <t>Waterford Swiftprint Ltd/Cap</t>
  </si>
  <si>
    <t>Digital Printing Service 31000796-05</t>
  </si>
  <si>
    <t>Focus Visual Communications/Emp</t>
  </si>
  <si>
    <t>Promotional Products</t>
  </si>
  <si>
    <t>Focus Visual Communications/Feas</t>
  </si>
  <si>
    <t>Ekam Solutions/Cap</t>
  </si>
  <si>
    <t>E-Business Service</t>
  </si>
  <si>
    <t>Mary Grimes Catering/Cap</t>
  </si>
  <si>
    <t>Ready to Go Food</t>
  </si>
  <si>
    <t>ALW/Cap</t>
  </si>
  <si>
    <t>Adhesive Labels</t>
  </si>
  <si>
    <t>Thomas Carroll Bookbinding/Feas</t>
  </si>
  <si>
    <t>Bookbinding</t>
  </si>
  <si>
    <t>Waterford Today/Cap</t>
  </si>
  <si>
    <t>Free Local Newspaper.  Grant assistance towards a server for their IT System</t>
  </si>
  <si>
    <t>Waterford Today/Feas</t>
  </si>
  <si>
    <t>Free Local Newspaper</t>
  </si>
  <si>
    <t>Murco/Cap</t>
  </si>
  <si>
    <t>Catering Equipment</t>
  </si>
  <si>
    <t>Marla.ie/Emp</t>
  </si>
  <si>
    <t>Communications Agency</t>
  </si>
  <si>
    <t>Frank O'Mahoney/Feas</t>
  </si>
  <si>
    <t>Import/Export Consultant</t>
  </si>
  <si>
    <t>Energy Rating Ireland/Cap</t>
  </si>
  <si>
    <t>Energy Rating</t>
  </si>
  <si>
    <t>Whelan Web Design/Cap</t>
  </si>
  <si>
    <t>Web Design</t>
  </si>
  <si>
    <t>Walshe Print/Cap</t>
  </si>
  <si>
    <t>HR Outsourcing/Emp</t>
  </si>
  <si>
    <t>HR Consultancy</t>
  </si>
  <si>
    <t>G-Design/Emp</t>
  </si>
  <si>
    <t>Graphic Design</t>
  </si>
  <si>
    <t>Emerald Cargo/Emp</t>
  </si>
  <si>
    <t>Freight Forwarder</t>
  </si>
  <si>
    <t>Passion for Creative/Emp</t>
  </si>
  <si>
    <t>Marketing/Advertising Agency</t>
  </si>
  <si>
    <t>Bricved Ltd/Emp</t>
  </si>
  <si>
    <t>Pharmaceutical Export</t>
  </si>
  <si>
    <t>Cipher Technologies/Feas</t>
  </si>
  <si>
    <t>Software Development - Automated Purchasing &amp; ERP for Small Business</t>
  </si>
  <si>
    <t>Collins Administration/Cap</t>
  </si>
  <si>
    <t>Administration Services, Purchase of software and system to provide a business centre for SMEs thus leading to cost reduction for these businesses.</t>
  </si>
  <si>
    <t>Empower Grant</t>
  </si>
  <si>
    <t>Enterprise Awards Dinner &amp; Networking Event</t>
  </si>
  <si>
    <t>Enterprise Awards &amp; Networking Event</t>
  </si>
  <si>
    <t>Enterprise Week activities</t>
  </si>
  <si>
    <t>Export Grant Initiative</t>
  </si>
  <si>
    <t>Export Grant assistance</t>
  </si>
  <si>
    <t>Financial Mentoring</t>
  </si>
  <si>
    <t>Financial mentoring assistance</t>
  </si>
  <si>
    <t>Marketing Mentoring</t>
  </si>
  <si>
    <t>Marketing mentoring assistance</t>
  </si>
  <si>
    <t>Business Plan Preparation - Mentoring</t>
  </si>
  <si>
    <t>Assistance / mentoring in preparation of business plans</t>
  </si>
  <si>
    <t>ICT Mentoring</t>
  </si>
  <si>
    <t>ICT Assistance</t>
  </si>
  <si>
    <t>Sales Mentoring</t>
  </si>
  <si>
    <t>Sales mentoring</t>
  </si>
  <si>
    <t>HR Mentoring</t>
  </si>
  <si>
    <t>HR Mentoring Assistance</t>
  </si>
  <si>
    <t>General Business Mentoring</t>
  </si>
  <si>
    <t>General Business Mentoring Assistance</t>
  </si>
  <si>
    <t>Women's Network Group</t>
  </si>
  <si>
    <t>Assistance towards training and information nights arranged in conjunction with Women's Network Waterford</t>
  </si>
  <si>
    <t>Schools Enterprise</t>
  </si>
  <si>
    <t>Schools Enterprise Programme</t>
  </si>
  <si>
    <t>Schools Workshop</t>
  </si>
  <si>
    <t>Workshop for Schools Enterprise Programme</t>
  </si>
  <si>
    <t>SYOB Programmes</t>
  </si>
  <si>
    <t>Self Employment Options - Course</t>
  </si>
  <si>
    <t>Self Employment Options to those facing redundancy</t>
  </si>
  <si>
    <t>SHOES Female Management Development Programme</t>
  </si>
  <si>
    <t>Management development programme aimed at female entrepreneurs</t>
  </si>
  <si>
    <t>SHOES Female Business Cluster</t>
  </si>
  <si>
    <t>Following on from SHOES development programme aimed at Female entrepreneurs</t>
  </si>
  <si>
    <t>Technical Support</t>
  </si>
  <si>
    <t>Technical assistance to SMEs</t>
  </si>
  <si>
    <t>Promote Your Web Site Course</t>
  </si>
  <si>
    <t>Promote Your Website Course</t>
  </si>
  <si>
    <t>Grow Your Business Course</t>
  </si>
  <si>
    <t>Management Development Programme for SMEs</t>
  </si>
  <si>
    <t>ICT Training</t>
  </si>
  <si>
    <t>ICT training for SMEs</t>
  </si>
  <si>
    <t>Innovation Workshop</t>
  </si>
  <si>
    <t>Internet Marketing Seminar</t>
  </si>
  <si>
    <t>WCEB Web Site &amp; Business Planning Tool</t>
  </si>
  <si>
    <t>Website &amp; Business planning</t>
  </si>
  <si>
    <t>Business Directory Site</t>
  </si>
  <si>
    <t>Business directory site</t>
  </si>
  <si>
    <t>One Stop Shop - General</t>
  </si>
  <si>
    <t>One Stop Shop, includes brochure printing, leaflets and purchase of business related literature which is available to any persons who are currently owner/managers or interested in starting a business. They are held at our offices.</t>
  </si>
  <si>
    <t>One Stop Shop - Display Stand</t>
  </si>
  <si>
    <t>One Stop Shop - Craft Display Stand Storage which is available to any persons who are attending craft fairs etc. and are currently owner/managers.</t>
  </si>
  <si>
    <t>Arts Bursary</t>
  </si>
  <si>
    <t>Arts Bursary - assistance towards the development of arts &amp; crafts entrepreneurs</t>
  </si>
  <si>
    <t>Promotions - General</t>
  </si>
  <si>
    <t>Printing of Business Booklets regarding Starting Your Own Business; Advertising of training programmes; email newsletter along with emailing regarding upcoming events.</t>
  </si>
  <si>
    <t>Promotion - WLRFM</t>
  </si>
  <si>
    <t>Weekly business brief programme which promotes enterpries board and interviews local sme clients.  The business vrief expenditure is for joint sponsorship between Waterford City and Waterford County Enterprise Boards of a weekly radio programme on WLRFM which we use to promote the work of the Enterprise Board through regular interviews with our clients, promote upcoming training programmes and events (e.g. seminars, enterprise week)</t>
  </si>
  <si>
    <t>Newsletter</t>
  </si>
  <si>
    <t>Newsletter - Promoting WCEB</t>
  </si>
  <si>
    <t>External Training Grants</t>
  </si>
  <si>
    <t>Training Assistance - assistance towards preparation of technical areas such as HR contracts, ISO appliction; HAACP for SMEs.</t>
  </si>
  <si>
    <t>Business Library</t>
  </si>
  <si>
    <t>Business section in Waterford City library sponsored by WCEB</t>
  </si>
  <si>
    <t>Exhibitions</t>
  </si>
  <si>
    <t>SHOP Exhibition 2008 in conjunction with Enterprise Promotions Committee.</t>
  </si>
  <si>
    <t>Doing Green Business Course</t>
  </si>
  <si>
    <t>Green Business Programme</t>
  </si>
  <si>
    <t>Marketing Course</t>
  </si>
  <si>
    <t>The programme is offered to SMEs trading in business already as an opportunity to brush up on/ acquire new skills. The workshop incorporates the following elements:_x000D_Marketing on a Budget; PR &amp; Sales Techniques</t>
  </si>
  <si>
    <t>Customer Services Course (Childcare)</t>
  </si>
  <si>
    <t>Credit Management Course</t>
  </si>
  <si>
    <t>Export Programme</t>
  </si>
  <si>
    <t>Export Programme for SMEs</t>
  </si>
  <si>
    <t>Women's National Conference</t>
  </si>
  <si>
    <t>RWL Consultants/Emp</t>
  </si>
  <si>
    <t>Disability Awareness Training</t>
  </si>
  <si>
    <t>Tonic 4 Business/Emp</t>
  </si>
  <si>
    <t>Nordhurst Automotive/Emp</t>
  </si>
  <si>
    <t>Automotive Component Trading</t>
  </si>
  <si>
    <t>Sean Egan Art Glass/Emp</t>
  </si>
  <si>
    <t>Crystal Engraving</t>
  </si>
  <si>
    <t>Maurice McCarthy/Emp</t>
  </si>
  <si>
    <t>Energy Measurement Systems Ltd/Emp</t>
  </si>
  <si>
    <t>Energy Mapping Systems</t>
  </si>
  <si>
    <t>Play Together Childcare/Emp</t>
  </si>
  <si>
    <t>Childcare/Creche</t>
  </si>
  <si>
    <t>Home From Home/Emp</t>
  </si>
  <si>
    <t>Childcare/Creche 2 jobs supported</t>
  </si>
  <si>
    <t>Andrew Cusack/Feas</t>
  </si>
  <si>
    <t>Solar Capture System</t>
  </si>
  <si>
    <t>Waterford Data Records Centre Ltd/Cap</t>
  </si>
  <si>
    <t xml:space="preserve">Document storage and media management </t>
  </si>
  <si>
    <t>Greenbox Media/Feas</t>
  </si>
  <si>
    <t>Recycling bins including advertising options</t>
  </si>
  <si>
    <t>Douglas Marine Products Ltd/Feas</t>
  </si>
  <si>
    <t>Patented design to enhance hurleys</t>
  </si>
  <si>
    <t>The Black Charro/Emp</t>
  </si>
  <si>
    <t>Production of authentic Mexican national food to Restaurants, Bars and caterers and also to sell in specialist food markets. Products can be supplied either as bases (without toppings) or as complete products to the food industry.</t>
  </si>
  <si>
    <t>Retail Online Services Ltd/Emp</t>
  </si>
  <si>
    <t>Imaging management for retail industry</t>
  </si>
  <si>
    <t>Digital Printing - Investment in new print technology to enable the business to expand into new market areas</t>
  </si>
  <si>
    <t>Little Scholars/Emp</t>
  </si>
  <si>
    <t>Meals4You Ltd/Feas</t>
  </si>
  <si>
    <t>Pre cooked meals</t>
  </si>
  <si>
    <t>Little Explorers Montessori/Emp</t>
  </si>
  <si>
    <t>Montessori School</t>
  </si>
  <si>
    <t>Le Black Coq Spirits Ltd/Emp</t>
  </si>
  <si>
    <t>Fruit based premium vodka. 2 jobs supported</t>
  </si>
  <si>
    <t>Brightlight/Cap</t>
  </si>
  <si>
    <t>Purchase capital equipment to expand in software technology development section of the business</t>
  </si>
  <si>
    <t>Golly Gosh Boutique/Emp</t>
  </si>
  <si>
    <t>Craft facility where work is completed and sold on the premises</t>
  </si>
  <si>
    <t>John Whelan/Feas</t>
  </si>
  <si>
    <t>Developing a new product based on an existing US product which will allow automatic monitoring the status, living conditions and health aspects of elderly people living in their own homes using motion detectors, video technology and SMS/MMS messaging technology</t>
  </si>
  <si>
    <t>ACT Female MD Programme</t>
  </si>
  <si>
    <t>Management Development Programme geared towards female entrepreneurs</t>
  </si>
  <si>
    <t>Basic Book Keeping Course</t>
  </si>
  <si>
    <t>Basic bookkeeping training for business start-ups</t>
  </si>
  <si>
    <t>Creating Opportunities Workshop</t>
  </si>
  <si>
    <t>Creating Opportunities Workshop for College Students</t>
  </si>
  <si>
    <t>CSR Conference</t>
  </si>
  <si>
    <t>Corporate Social Responsibility Conference for SMEs</t>
  </si>
  <si>
    <t>Empower M2</t>
  </si>
  <si>
    <t>Ecommerce assistance to ensure SMEs maximise potential through use of e-businesss.</t>
  </si>
  <si>
    <t>National Enterprise Awards Competition</t>
  </si>
  <si>
    <t>National Enterprise Week</t>
  </si>
  <si>
    <t>Export Exploration Programme</t>
  </si>
  <si>
    <t>Management Development Programme for SMEs interested in Exporting</t>
  </si>
  <si>
    <t>Export Initiative</t>
  </si>
  <si>
    <t>Assistance to SMEs commencing Exporting</t>
  </si>
  <si>
    <t>Export Workshop</t>
  </si>
  <si>
    <t>Export workshop for SMEs interested in Exporting</t>
  </si>
  <si>
    <t>First Time Exporters Programme</t>
  </si>
  <si>
    <t>Programme for SMEs commencing Exporting</t>
  </si>
  <si>
    <t>Fresh Start Conference</t>
  </si>
  <si>
    <t>Conference aimed at newly unemployed</t>
  </si>
  <si>
    <t>Idea Generation Workshop</t>
  </si>
  <si>
    <t>Idea generation training for those considering self employment</t>
  </si>
  <si>
    <t>Marketing On A Shoestring</t>
  </si>
  <si>
    <t>Marketing Training to assist SMEs with a limited budget.</t>
  </si>
  <si>
    <t>Mentoring HR</t>
  </si>
  <si>
    <t>HR related mentoring</t>
  </si>
  <si>
    <t>Mentoring Business Plan Preparation</t>
  </si>
  <si>
    <t>Mentoring relating to preparing business plans</t>
  </si>
  <si>
    <t>Mentoring Business Development</t>
  </si>
  <si>
    <t>Business development mentoring assistance</t>
  </si>
  <si>
    <t>Mentoring Finance</t>
  </si>
  <si>
    <t>Financial related mentoring</t>
  </si>
  <si>
    <t>Mentoring General Business</t>
  </si>
  <si>
    <t>General Business related Mentoring</t>
  </si>
  <si>
    <t>Mentoring Marketing</t>
  </si>
  <si>
    <t>Marketing Business related Mentoring</t>
  </si>
  <si>
    <t>National Promotion</t>
  </si>
  <si>
    <t>Contribution towards national promotion of Enterprise Boards</t>
  </si>
  <si>
    <t>Networking Lunch &amp; Workshop</t>
  </si>
  <si>
    <t>Networking lunches and workshops for SMEs</t>
  </si>
  <si>
    <t>Newsletters</t>
  </si>
  <si>
    <t>Newsletters promoting WCEB</t>
  </si>
  <si>
    <t>One Stop Shop General</t>
  </si>
  <si>
    <t>One Stop Shop, includes brochure printing, leaflets and purchase of business related literature which is available to any persons who are currently owner/managers or interested in starting a business.  They are held at our offices.</t>
  </si>
  <si>
    <t>Open Source Software Workshop</t>
  </si>
  <si>
    <t>Open source software workshop the aim is to advise and assist clients in the use of free software for SMEs</t>
  </si>
  <si>
    <t>Patents Workshop</t>
  </si>
  <si>
    <t>Procurement Seminar</t>
  </si>
  <si>
    <t>Seminar on public procurement procedures</t>
  </si>
  <si>
    <t>Promotion General</t>
  </si>
  <si>
    <t>General promotion for: Advertising of training programmes; email newsletter along with emailing regarding upcoming events</t>
  </si>
  <si>
    <t>S/E Women in Business Conference</t>
  </si>
  <si>
    <t>South East Women in Business Conference - to assist female entrepreneurs with common business issues and evaluation / planning for the future</t>
  </si>
  <si>
    <t>Student Enterprise Programme gives second level students the chance to set up and run their own business while still in school.  Students get to experience all the realities of entrepreneurship from coming up with their business idea and writing a business plan to producing the product, research the marketing, promoting the business and managing the books.</t>
  </si>
  <si>
    <t>Search Engine Promotion Course</t>
  </si>
  <si>
    <t>Search Engine Training</t>
  </si>
  <si>
    <t>Special External Training</t>
  </si>
  <si>
    <t>Specialised external business related training for owner/managers to enable them to improve business practices.</t>
  </si>
  <si>
    <t>Sustain &amp; Grow Your Business</t>
  </si>
  <si>
    <t>Management development programme for owner/managers</t>
  </si>
  <si>
    <t>Start Your Own Business Programmes</t>
  </si>
  <si>
    <t>Technical Support in Specialised Training for SMEs</t>
  </si>
  <si>
    <t>Technical support for training SMEs in specialised areas relevant to their business.</t>
  </si>
  <si>
    <t>Telesales Course</t>
  </si>
  <si>
    <t>Telesales course aimed at office staff who in the current economic climate are under utilised and need to help drive sales in the company.</t>
  </si>
  <si>
    <t>Workshop Cost Control</t>
  </si>
  <si>
    <t>Cost control training workshop about investigating the costs that are built into a business and shows how to strip them out or even better avoid building them into how the business functions in the first place.</t>
  </si>
  <si>
    <t>Workshop Create Opportunities</t>
  </si>
  <si>
    <t>Create Opportunities through exporting to Europe Workshop</t>
  </si>
  <si>
    <t>Workshop Opportunties In China</t>
  </si>
  <si>
    <t>Opportunties in China for SMEs information workshop</t>
  </si>
  <si>
    <t>Workshop Sustain &amp; Grow</t>
  </si>
  <si>
    <t>Sustain and grow your business in current economic climate - training workshop for owner/managers</t>
  </si>
  <si>
    <t>WCEB Web Site</t>
  </si>
  <si>
    <t>WCEB Web Site - updating of site to include new financial instruments details and allow WCEB staff to keep site up to date and include newsletter and business information.</t>
  </si>
  <si>
    <t>WLR FM Promotion</t>
  </si>
  <si>
    <t>Weekly business programme sponsored by WCEB which promotes work of enterprise board, announces dates for diary and interviews local sme clients.</t>
  </si>
  <si>
    <t>Womens Network Group</t>
  </si>
  <si>
    <t>Training &amp; Information nights in conjunction with Women's Network Waterford</t>
  </si>
  <si>
    <t>Alldent Ltd./Priming</t>
  </si>
  <si>
    <t>Dental supply company that manufacture Crowns, Bridges, Inlays and Veneers.  Assistance towards purchasing new machinery</t>
  </si>
  <si>
    <t>Bundlebee/Priming</t>
  </si>
  <si>
    <t>An online company that has developed an automated tool which allows two or more businesses to negotiate and create partner bundles online and then promote them extensively. Assistance towards salary costs awarded</t>
  </si>
  <si>
    <t>Danny Murphy/Priming</t>
  </si>
  <si>
    <t>Cutting of crystal glass in a range of designs.  Items can be personalised and inscribed as required.  Assistance towards salary costs</t>
  </si>
  <si>
    <t>David Walsh Precision Ltd./Priming</t>
  </si>
  <si>
    <t>Precision engineering business manufacturing, automated machine parts and production line components for Irish Multinational and indigenous business nationally. Assistance towards purchase of machinery and salary costs.</t>
  </si>
  <si>
    <t>Design Print House/Priming</t>
  </si>
  <si>
    <t>Art and Photographic book production. Assistance towards capital and salary costs</t>
  </si>
  <si>
    <t>Focus One/F Study</t>
  </si>
  <si>
    <t>Online mechanism for companies to obtain quotes for _x000D_
supplies</t>
  </si>
  <si>
    <t>Inspiring Excellence/Priming</t>
  </si>
  <si>
    <t>Sports psychology science for performance enhancement services to sports people and those in supporting roles in the business community.  Assistance towards Salary Costs. 1 job supported</t>
  </si>
  <si>
    <t>Irish Handmade Art Glass/Priming</t>
  </si>
  <si>
    <t>a unique contemporary glass product range. Products will be made from soda glass and thus eliminate the associated health &amp; safety requirements of crystal glass fabrication. Assistance towards capital costs</t>
  </si>
  <si>
    <t>JN Engineering/Priming</t>
  </si>
  <si>
    <t>Mechanical engineering design and consultancy company. 1 job supported</t>
  </si>
  <si>
    <t>South East Tyre Recycling/Priming</t>
  </si>
  <si>
    <t>Recycling of end of life tyres into chippings for equestrian arena for example.</t>
  </si>
  <si>
    <t>Kevin O'Carroll/Priming</t>
  </si>
  <si>
    <t>Choral Music Training, Consultancy and Promotion.  Promoter has unique training from Texas Tech University which gives him a unique selling proposition to the choral community in Ireland and the UK in training, conducting and consultancy terms. 1 job supported</t>
  </si>
  <si>
    <t>Dessert First/Priming</t>
  </si>
  <si>
    <t>Production and Supply of frozen, handmade, additive free desserts to the catering trade</t>
  </si>
  <si>
    <t>Mary Grimes Catering/Business Expansion</t>
  </si>
  <si>
    <t>Food manufacturing and supply.The business is taking advantage of a number of new opportunities such as supplying Schipol airport with Irish stew and confectionery to TESCO deli counters</t>
  </si>
  <si>
    <t>Mobinet Communications/Priming</t>
  </si>
  <si>
    <t>Mobile communications application which allows a business to include a text number in advertisements, which when an interested party texts their email address to the number will automatically send the requested information to their mobile and email</t>
  </si>
  <si>
    <t>Quote 365/Priming</t>
  </si>
  <si>
    <t>Online site for B2B &amp; B2C suppliers/buyers.  Customers sign up to obtain quotes for _x000D_supplies of services in areas such as facilities management, web &amp; business services among others</t>
  </si>
  <si>
    <t>Shane Treacy/F Study</t>
  </si>
  <si>
    <t>Solar panel installation business specialising in photo voltaic grid connected systems</t>
  </si>
  <si>
    <t>So Fresh/Priming</t>
  </si>
  <si>
    <t>Business buys fresh fruit and vegetable and deliver to households.   The new developments here are that the orders and prepayment will be taken primarily over the internet and delivery will be made in the early hours (4.30to 8.30) of the morning in a sealed/weatherproof basket, which the householder retains, so that the customer receives their produce before they begin their day</t>
  </si>
  <si>
    <t>Sunshine Bread &amp; Confectionary/Priming</t>
  </si>
  <si>
    <t>Manufacture of Blaas (soft rolls)</t>
  </si>
  <si>
    <t>Tilego/Priming</t>
  </si>
  <si>
    <t>Product is a rail with built in spirit level and uses special adhesive tape to fix the rail to the wall to assist in laying wall tiles</t>
  </si>
  <si>
    <t>Business Energy Savings Tips</t>
  </si>
  <si>
    <t>Tips for sme's to save on energy costs within their business. Book was printed and distributed in conjunction with Waterford City Chamber of Commerce &amp; Waterford City Council to local businesses in the City.</t>
  </si>
  <si>
    <t>Mentoring Cost Cutting</t>
  </si>
  <si>
    <t>Cost cutting mentoring assistance</t>
  </si>
  <si>
    <t>Mentoring Craft Industry</t>
  </si>
  <si>
    <t>Mentoring assistance to those involved in craft industry</t>
  </si>
  <si>
    <t>Create Your Career W/Shops</t>
  </si>
  <si>
    <t>Workshops with 3rd level students to encourage self employment as an option on graduation.</t>
  </si>
  <si>
    <t>Creative City Project</t>
  </si>
  <si>
    <t>General business advice and assistance to SME's in the design and print sector with the view to creating a network of creative businesses in the City.</t>
  </si>
  <si>
    <t>Design Week 2010</t>
  </si>
  <si>
    <t>Design week provides a forum to promote the South East as an area for sourcing the creative industries.</t>
  </si>
  <si>
    <t>Mentoring Web Development</t>
  </si>
  <si>
    <t>Mentoring assistance towards developing a business web site</t>
  </si>
  <si>
    <t>Mentoring Business Plan - Food Network</t>
  </si>
  <si>
    <t>Mentoring relating to preparing business plans aimed specifically at food businesses.</t>
  </si>
  <si>
    <t>Promotion - Craft Workers</t>
  </si>
  <si>
    <t>General promotion for: Advertising of training programmes and upcoming events aimed at craft industry</t>
  </si>
  <si>
    <t>Marketing Development Assistance</t>
  </si>
  <si>
    <t>Assistance to SME's for purchase of banner stands and leaflets for promoting launch of the business.</t>
  </si>
  <si>
    <t>Network Clinics</t>
  </si>
  <si>
    <t>One to one meetings with promoters to assist in areas such as general business, finance, food innovation and marketing.</t>
  </si>
  <si>
    <t>Overhead Cost Control Program</t>
  </si>
  <si>
    <t>Training smes on keeping costs low within their business</t>
  </si>
  <si>
    <t>Mentoring Patent Application</t>
  </si>
  <si>
    <t>Mentoring assistance towards patent application</t>
  </si>
  <si>
    <t>Pre Start Your Own Business Program</t>
  </si>
  <si>
    <t>Introduction and basics for business start training</t>
  </si>
  <si>
    <t>Mentoring Sales</t>
  </si>
  <si>
    <t>Sales related mentoring</t>
  </si>
  <si>
    <t>Selling to the Public Sector Seminar</t>
  </si>
  <si>
    <t>Seminar on assisting SME's in tendering for Public Contracts.</t>
  </si>
  <si>
    <t>Showcase Ireland Exhibition</t>
  </si>
  <si>
    <t>Assistance to promoters to attend Showcase 2010</t>
  </si>
  <si>
    <t>Training Assistance Grant</t>
  </si>
  <si>
    <t>Grant towards business specific training for owner/managers</t>
  </si>
  <si>
    <t>Business Development Program</t>
  </si>
  <si>
    <t>Existing businesses - workshops and mentoring in marketing &amp; finance.</t>
  </si>
  <si>
    <t>Valuebank M2</t>
  </si>
  <si>
    <t>Valuebank is a new initiative from the Waterford City Enterprise Board. It allows companies to trade products and services without the need for money. In many ways, it's like a modern day barter system you exchange a day's IT consultancy for a day's HR advice, or any such product or service. Valuebank allows companies with limited cashflow or excess capacity to barter their products or services and establish new contacts.</t>
  </si>
  <si>
    <t>Brightlight/Business Expansion</t>
  </si>
  <si>
    <t>Additional employee due to expansion in software technology development section of the business</t>
  </si>
  <si>
    <t>Coffee Warehouse/Business Expansion</t>
  </si>
  <si>
    <t>Purchase of an industrial coffee roaster to enable them to roast at their own premises</t>
  </si>
  <si>
    <t>H Tec Drainage/Business Expansion</t>
  </si>
  <si>
    <t>Design, develop, sample and produce a variety of stoves which are sold in Ireland and exported to the UK.</t>
  </si>
  <si>
    <t>Molloys Ribs/Business Expansion</t>
  </si>
  <si>
    <t>Supplying fully cooked bacon ribs which can be microwave heated to supermarkets using unique ingredients and process.</t>
  </si>
  <si>
    <t>Sign Select/Business Expansion</t>
  </si>
  <si>
    <t>produced 85% of the product themselves, outsourcing the remainder of the work.  They purchased a solvent, high resolution wide format printer which will enable them to produce 100% of the product</t>
  </si>
  <si>
    <t>Ann McDonnell/Priming</t>
  </si>
  <si>
    <t>Uses centuries old technique to create limited edition fine art hand printings of place of interest in Ireland.</t>
  </si>
  <si>
    <t>Bonzie Designs/Priming</t>
  </si>
  <si>
    <t>Clothing manufacture and design.</t>
  </si>
  <si>
    <t>City Alu Casting/Priming</t>
  </si>
  <si>
    <t>Manufacture of Aluminium Castings.</t>
  </si>
  <si>
    <t>Craft Garden/Priming</t>
  </si>
  <si>
    <t>Assistance towards salary for promoter to set up and organise rental of market stalls to local, independent artists, craftspeople, food producers &amp; entrepreneurs. The space is rented by the promoter from City Council. The market will be a permanent venue.</t>
  </si>
  <si>
    <t>Dessert First/Business Expansion</t>
  </si>
  <si>
    <t>Production and Supply of frozen, handmade, additive free desserts to the catering trade.</t>
  </si>
  <si>
    <t>Game4xtra/Priming</t>
  </si>
  <si>
    <t>An online gaming website which arranges competitive video Gaming competitions on all platforms.</t>
  </si>
  <si>
    <t>Glorious Sushi/Priming</t>
  </si>
  <si>
    <t>Supplying packaged Sushi products to supermarkets, organic specialists and food halls.</t>
  </si>
  <si>
    <t>Ingemit/Feas</t>
  </si>
  <si>
    <t>To test software which will enable hotels to pay a one off cost and not be then charged for each individual booking.</t>
  </si>
  <si>
    <t>JMC Media/Priming</t>
  </si>
  <si>
    <t>Forensic Audio Analysis &amp; Digital Recording with 1 job supported.</t>
  </si>
  <si>
    <t>John Loftus Creative/Priming</t>
  </si>
  <si>
    <t>Shooting, editing and exporting film to required format for clients.   Types of production include promotional, viral, advertisement, music and documentary.</t>
  </si>
  <si>
    <t>Keen Kidz/Priming</t>
  </si>
  <si>
    <t>Montessori and afterschool services incorporating a homework club along with summer / holiday camps</t>
  </si>
  <si>
    <t>Metalman Brewing/Priming</t>
  </si>
  <si>
    <t>Microbrewery producing and supplying craft beer for domestic and export markets in draft and bottled form.</t>
  </si>
  <si>
    <t>M&amp;T Upholstery/Priming</t>
  </si>
  <si>
    <t>Contract Upholstery to refurbish cruise ships</t>
  </si>
  <si>
    <t>PR Slides/Priming</t>
  </si>
  <si>
    <t>An extensive website was set up by promoter which provides fashion images to the media.  Similiar businesses exist in the UK but don't deal with Irish Fashion Houses leaving the business with a competitive advantage in dealing with National and International journalists.</t>
  </si>
  <si>
    <t>Shorthall Hurleys/Priming</t>
  </si>
  <si>
    <t>Manufacture and repair of hurleys and gifts sold directly both from his workshop and the City Market</t>
  </si>
  <si>
    <t>Stradbally Jewellers/Priming</t>
  </si>
  <si>
    <t>Registered silversmiths who also work with gold, white gold &amp; platinum have all their jewellery tested for purity &amp; hallmarked at Dublin Castle Assay Office</t>
  </si>
  <si>
    <t>Tony Quilty/Priming</t>
  </si>
  <si>
    <t>Uses own photographs and produces postcards, calendars &amp; box canvas prints.  The aim is to extend the range to include mouse pads, jigsaws and table place mats.</t>
  </si>
  <si>
    <t>Xpress Cleaning/Priming</t>
  </si>
  <si>
    <t>Eco friendly cleaning which uses approx 7% of the water normally used through innovative steam process.  Approval was based on the long term unemployment of the promoter and the interest in the services from local authorities</t>
  </si>
  <si>
    <t>Post &amp; Rail Pro/F Study</t>
  </si>
  <si>
    <t>Developing a new product aimed at the rural market which would simplify and speed up the process of painting of open type fencing that would otherwise be unsuitable for spraying, using a backpack and roller applicator.</t>
  </si>
  <si>
    <t>Enterprise Promotion</t>
  </si>
  <si>
    <t>Weekly business radio programme and quarterly client profiles in local media which promotes work of enterprise board, announces dates for diary and interviews local sme clients.</t>
  </si>
  <si>
    <t>Nubie</t>
  </si>
  <si>
    <t>Software which guides entrepreneurs towards setting up their business quickly and effectively, a form of online mentoring.</t>
  </si>
  <si>
    <t>Bank Finance Workshop</t>
  </si>
  <si>
    <t>Workshop to assist owners of micro businesses to apply for bank finance.</t>
  </si>
  <si>
    <t>Business Health Checks/M2</t>
  </si>
  <si>
    <t>Assisted entrepreneurs with health checks on finances and marketing strategies within their business.</t>
  </si>
  <si>
    <t>Waterford City Childcare Workshops</t>
  </si>
  <si>
    <t>Workshops for Childcare providers on bookkeeping,tax and revenue returns.</t>
  </si>
  <si>
    <t>Mentoring Clinics/M2</t>
  </si>
  <si>
    <t>Kite Design Studio Network/M2</t>
  </si>
  <si>
    <t>The Board assists Craft workers in promoting their business, gaining certification through networking, attendance at exhibitions, programmes etc. and application to become craft guild members.</t>
  </si>
  <si>
    <t>National Enterprise Awards Competition.</t>
  </si>
  <si>
    <t>Enterprising Food Network</t>
  </si>
  <si>
    <t>Network to assist food businesses with growth, export and attendance at exhibitions through financing and training.</t>
  </si>
  <si>
    <t>Export Grant Initiative/M2</t>
  </si>
  <si>
    <t>Export Grant assistance - assists businesses to develop overseas markets with 50% of spend on trade shows, research trips, marketing costs etc. reimbursed.</t>
  </si>
  <si>
    <t>Facebook Workshop</t>
  </si>
  <si>
    <t>Workshop on applying facebook to  B2B and B2c for businesses.</t>
  </si>
  <si>
    <t>Tall Ships Festival</t>
  </si>
  <si>
    <t>The Board supported this major tourism initiative for the city to ensure small businesses within the city were able to take advantage of the associated promotional opportunities.  A number of craft and food businesses benefited from the supports.</t>
  </si>
  <si>
    <t>Finance Workshop</t>
  </si>
  <si>
    <t>Basic Bookkeeping, taxation and cost control workshops</t>
  </si>
  <si>
    <t>Fresh Start Seminar</t>
  </si>
  <si>
    <t>Conference aimed at redundant &amp; the unemployed.</t>
  </si>
  <si>
    <t>Google - Getting Your Business Online</t>
  </si>
  <si>
    <t>Seminar, workshops and advertising for getting your business online google workshops</t>
  </si>
  <si>
    <t>Marketing Development Assistance/M2</t>
  </si>
  <si>
    <t>The Board pay a maximum of 50% of eligible expenditure to support businesses in their marketing efforts and promotion. The assistance is aimed at targeted activity and is not aimed at ongoing or recurring marketing costs.</t>
  </si>
  <si>
    <t>Marketing Workshops/M2</t>
  </si>
  <si>
    <t>The programme is offered to SMEs trading in business already as an opportunity to brush up on/ acquire new skills. The workshop incorporates the following elements:_x000D_
Marketing on a Budget; PR &amp; Sales Techniques</t>
  </si>
  <si>
    <t>Mentoring - financial, marketing, HR, general business, web and social media</t>
  </si>
  <si>
    <t>Network Workshop</t>
  </si>
  <si>
    <t>Network Waterford Women's Group workshop on facebook &amp; social media.</t>
  </si>
  <si>
    <t>Online Health Checks/M2</t>
  </si>
  <si>
    <t>To assist micro businesses in gaining the most from their websites and developing towards ecommerce sites.</t>
  </si>
  <si>
    <t>Promotion - General</t>
  </si>
  <si>
    <t>General promotion for: Advertising of training programmes; email newsletter along with emailing regarding upcoming events.</t>
  </si>
  <si>
    <t>Pre-SYOB Workshop</t>
  </si>
  <si>
    <t>To assist potential participants in reviewing their business idea with a view to feasibility.</t>
  </si>
  <si>
    <t>Business Desks M2</t>
  </si>
  <si>
    <t>Costs in relation to the rental of a room in the City Enterprise Centre to enable start up businesses avail of low cost 'desks' which allow promoters to hire monthly - desk, phone and wifi at an affordable fee to reduce start up costs.</t>
  </si>
  <si>
    <t>Schools Enterprise Programme/M2</t>
  </si>
  <si>
    <t>Start Your Own Business Programme/M2</t>
  </si>
  <si>
    <t>Technical Support in Specialised Training for SME's/M2</t>
  </si>
  <si>
    <t>Assists with costs of improving the technical capabilities of the client business in areas such as NSAI registration, HACCP and ISO compliance. Amounts of assistance are based on 50% of spend.</t>
  </si>
  <si>
    <t>Training Assistance</t>
  </si>
  <si>
    <t>Grant towards business specific training for owner/managers.  Assistance is based on 50% of spend.</t>
  </si>
  <si>
    <t>Tricolour Festival - Marketing Assistance</t>
  </si>
  <si>
    <t>Marketing Assistance for promoters with signage/brochures, based on 50% of spend.</t>
  </si>
  <si>
    <t>Craft SYOB Workshops</t>
  </si>
  <si>
    <t>Start your own business aimed specifically at the craft businesses.</t>
  </si>
  <si>
    <t>Web Development Assistance/M2</t>
  </si>
  <si>
    <t>Assistant to clients towards Web Site and ecommerce development to ensure SMEs maximise potential through use of e-businesss based on 50% of spend.</t>
  </si>
  <si>
    <t>Web Workshop/M2</t>
  </si>
  <si>
    <t>Workshops for promoters covering topics in SEO, Developing your website and social media.</t>
  </si>
  <si>
    <t>Alsorts Bears/Priming</t>
  </si>
  <si>
    <t>Manufacture a range of exclusive bear images.  Cards are packaged complete with an envelope ready to send anywhere in the world.  The product can be adapted to target specific areas of the retail market including tourism, baby, sport to name a few</t>
  </si>
  <si>
    <t>Cupcake Heaven/Priming</t>
  </si>
  <si>
    <t>Specialist cupcakes which are sold from Market Stalls, in Ardkeen Stores and in 7 Supervalue outlets throughout the South East. 31006192-02</t>
  </si>
  <si>
    <t>Business Expansion of production and Supply of frozen, handmade, additive free desserts to the catering trade.</t>
  </si>
  <si>
    <t>E Management T/A Handheld/Business Expansion</t>
  </si>
  <si>
    <t>Developer of mobile workforce solutions who provide packages tailored to business needs with a particular emphasis on integration of financial control systems</t>
  </si>
  <si>
    <t>E Drive Solutions/Priming</t>
  </si>
  <si>
    <t>The Company assembles and provides telematics systems, installation and monitoring to the insurance industry in Ireland &amp; primarily the UK.  Telematics typically is any integrated use of telecommunications and informatics and in this case is used for vehicle tracking.  The monitoring station for all of these tracked vehicles will be based in Waterford.</t>
  </si>
  <si>
    <t>Ingemit/Priming</t>
  </si>
  <si>
    <t>Online booking software for hotels.  Currently hotels outsource online bookings to a third party company and they are charged commission on each booking made.  This software will enable hotels to pay a one off cost and not be then charged for each individual booking.</t>
  </si>
  <si>
    <t>Leonard O'Neill Marine/Priming</t>
  </si>
  <si>
    <t>Subcontract Marine Services based in Waterford Harbour.  Port of Waterford Company will subcontract duties which they no longer provides such as, Marine Surveys, Repairing &amp; Painting Buoys, Maintenance Work etc.</t>
  </si>
  <si>
    <t>Munster Green Homes/Priming</t>
  </si>
  <si>
    <t>The Promoters identified an opportunity to manufacture their own brand insulation coat as part of their insulation kits to registered installers who are installing internal and external wall insulation. 31006181-01</t>
  </si>
  <si>
    <t>Nightfall/Priming</t>
  </si>
  <si>
    <t>Hand manufacturing night lights/lamps. The product is an attractive wooden structure with hand painted glass.  They are made in a variety of sizes</t>
  </si>
  <si>
    <t>Penguin PC/Priming</t>
  </si>
  <si>
    <t>Manufacture a WiFi Extender, Wireless Drives &amp; Laptop 	Charger with parts imported from Taiwan.  The process is to receive components and moulded parts, update the technology on the motherboard, assemble and package.  His target market initially is the Wholesaler</t>
  </si>
  <si>
    <t>Shane O'Grady/Priming</t>
  </si>
  <si>
    <t>The promoter was made redundant in January 2012 and grant was assistance towards opening his own printing &amp; signage business.</t>
  </si>
  <si>
    <t>Shelf Space/Priming</t>
  </si>
  <si>
    <t>A business service which offers the provision of in store support for small food businesses that need a sales/marketing/distribution solution on a national and at a later point UK stage.</t>
  </si>
  <si>
    <t>Stonehaven Stables/Business Expansion</t>
  </si>
  <si>
    <t>Equestrian Centre which has  been selected to participate in a new funded programme for schools.</t>
  </si>
  <si>
    <t>UP Ltd/Priming</t>
  </si>
  <si>
    <t>Career Consultancy with an innovative business model which she intends on expanding nationally or through franchising.</t>
  </si>
  <si>
    <t>waterfordireland.ie/Priming</t>
  </si>
  <si>
    <t>www.waterfordireland.com is a tourism portal promoting Waterford City and County as a destination and holiday base.  The revenue will be generated from sales of advertising on the website and annual renewal charges.</t>
  </si>
  <si>
    <t>Grow Roots - Business Communication Skills/M2</t>
  </si>
  <si>
    <t>The aim of the workshop was to improve business communication skills for entrepreneurs by improving confidence levels; encourage solution focussed mind set; improve creativity levels.</t>
  </si>
  <si>
    <t>Connect - IT W/Shops/M2</t>
  </si>
  <si>
    <t>Through a series of workshops, Connect outlines the different online opportunities available to micro enterprises.</t>
  </si>
  <si>
    <t>FAB - Females At Business/M2</t>
  </si>
  <si>
    <t>A Network to encourage up and coming entrepreneurs to work with established women in business to develop the business environment in Waterford. Through education seminars and interesting events, members get the opportunity to network and work together.</t>
  </si>
  <si>
    <t>Food Network/M2</t>
  </si>
  <si>
    <t>Enterprising Food Network,  assists food producers, restaurants and horticulture projects, in areas such as packaging, branding, route to market, distribution, marketing, training and business advice.</t>
  </si>
  <si>
    <t>HR Workshops/M2</t>
  </si>
  <si>
    <t>Workshops to brush up on/acquire HR skills including areas such as contracts of employment; managing staff &amp; performance management._x000D_
Contracts of Employment</t>
  </si>
  <si>
    <t>Leadership Workshop/M2</t>
  </si>
  <si>
    <t>Assistance to Waterford City Childcare for workshop the aim of which was to cover topics such as leading a team; time management; staff issues; motivation for childcare managers.</t>
  </si>
  <si>
    <t>Made in Waterford/M2</t>
  </si>
  <si>
    <t>Creation of an umbrella brand called 'Made in Waterford' to develop and promote the products of companies based in the city and to serve as an identifier for any handcrafted items originated in Waterford.</t>
  </si>
  <si>
    <t>Network Lunches/M2</t>
  </si>
  <si>
    <t>Each month about 25 business people come to our networking lunch to hear expert speakers in areas such as Keeping your people productive; Control your Costs; Make Sales not Friends.</t>
  </si>
  <si>
    <t>NWED Conference/M2</t>
  </si>
  <si>
    <t>Assistance towards attendance the the National Women's Enterprise Day Conference which aims to inspire, activate and assist women across Ireland in running their own business.</t>
  </si>
  <si>
    <t>SE Women in Business Conference/M2</t>
  </si>
  <si>
    <t>A day-long conference, which provides information, advice and various enterprise supports to micro-enterprises and small businesses, including new start-ups.</t>
  </si>
  <si>
    <t>Techovate Conference/M2</t>
  </si>
  <si>
    <t>Aimed to develop an innovative and creative environment for start-up and existing technology companies within the South East of Ireland. By creating an ecosystem that will assist in the creation of sustainable employment within a leading edge ICT sector and the development of educational, up-skilling, and innovative mentoring opportunities for the region as a whole.</t>
  </si>
  <si>
    <t>Tourism Opportunities Programme/M2</t>
  </si>
  <si>
    <t>Designed to encourage and assist Waterford City businesses not currently engaged with visitors to the City to add a tourist element to their income stream. It consists of group and one to one mentoring sessions.</t>
  </si>
  <si>
    <t>Winterval 2012/M2</t>
  </si>
  <si>
    <t>Assistance to local food and craft producers to showcase their products at Waterfords Christmas Festival.</t>
  </si>
  <si>
    <t>WIT Research Equipment Renewal Grant</t>
  </si>
  <si>
    <t>Various equipment items for key research areas identified in the HEA/Forfas Research Infrastructure Review 'Research Infrastructure in Ireland - Building for Tomorrow.' Published in 2007. Research Areas:  Telecommunications, Software and Systems Group Equipment to enable researchers to access international(physical) networks and testbeds; Eco-Innovation, Pharmaceutical Sciences and Molecular Biotechnology; Health; Optics; Centre for elearning Technologies Research.</t>
  </si>
  <si>
    <t>Crystal Manufacturing &amp; Visitor Ctr, &amp; Bolton St.Car/Coach Park</t>
  </si>
  <si>
    <t>The Waterford Project consists of two separate but related projects. The first and largest project consists of the restoration and conversion of a collection of adjoining buildings (including a protected structure) in the city centre in Council ownership into a crystal manufacturing and visitor centre. The related second project consists of extending and upgrading the Bolton St. Carpark to provide a dedicated tourist coach parking area.</t>
  </si>
  <si>
    <t>Gateway Challenge Fund</t>
  </si>
  <si>
    <t>WATERFORD CITY TOTAL</t>
  </si>
  <si>
    <t>Killrossanty GAA Club</t>
  </si>
  <si>
    <t>Installation of 13.676 sq m of evacuated tube solar collectors</t>
  </si>
  <si>
    <t>Waterford County</t>
  </si>
  <si>
    <t>Mount Melleray Abbey</t>
  </si>
  <si>
    <t>We plan to install 1 no KWB 100kW and 1 no. KWB 300kW wood chip boilers to replace the existing oil heating system in the abbey.</t>
  </si>
  <si>
    <t>PJ Hickey</t>
  </si>
  <si>
    <t>Installation of 3m2 of evacuated tubes to contribute towards daily hot water requirements in milking parlour_x000D_</t>
  </si>
  <si>
    <t>Glenribben Organics</t>
  </si>
  <si>
    <t>Installation of a 150kW wood pellet boiler. "To displace expensive kerosene heating system for low temperature (less than 90 degrees C) hot water and space heating, with a 150kW Energycabin biomass boiler and 24m2 of solar thermal panels_x000D_</t>
  </si>
  <si>
    <t>Noel Griffin</t>
  </si>
  <si>
    <t>Installation of 10.08 sq m of flat plate solar collectors.</t>
  </si>
  <si>
    <t>Joseph Murphy</t>
  </si>
  <si>
    <t>To install a wood chip biomass  boiler to heat  pig farming business. It will replace an oil system_x000D_</t>
  </si>
  <si>
    <t>Installation of 22sq m of flat plate solar collectors. "To displace expensive kerosene heating system for low temperature (less than 90 degrees C) hot water and space heating, with a 150kW Energycabin biomass boiler and 24m2 of solar thermal panels_x000D_</t>
  </si>
  <si>
    <t>The Tesco Tramore site is Tescos first ECO-STORE to be built in Ireland. The Greenfield development comprising a 30,000 sq foot store operating on a 24/7 basis will be constructed from wood-based materials and will incorporate numerous energy saving aspec_x000D_ts</t>
  </si>
  <si>
    <t>Dungarvan GAA Club</t>
  </si>
  <si>
    <t>Installation of 3.8 m2 evacuated solar panels.</t>
  </si>
  <si>
    <t>Ashleigh Farms</t>
  </si>
  <si>
    <t>Insallation of a 60 kW heatpump.</t>
  </si>
  <si>
    <t>Honeywell Turbo Technologies</t>
  </si>
  <si>
    <t>the grantee will implement a new management control system incorporating efficient running of compressors</t>
  </si>
  <si>
    <t>E Flahavan &amp; Sons Ltd</t>
  </si>
  <si>
    <t>The Project involves recovery of heat from flue gas from on-site biomass boiler to generate electricity using an Organi Rankine Cycle Unit, Recycling of exhaunt air from the oats kiln to pre-heat oats before they enter the kiln, installation of energy efficient lighting &amp; inverter controls.</t>
  </si>
  <si>
    <t>Dawn Meats Group</t>
  </si>
  <si>
    <t>The Project involved Energy Efficient Upgrades in 3 Sites. The project involved installing Refrigerant Gas thermal energy reclamation, Ambient Air Cooling &amp; Compressed air demand optimization with heat recovery.</t>
  </si>
  <si>
    <t>Dawn Meats Ireland</t>
  </si>
  <si>
    <t>Boiler stack and condensate thermal energy reclamation, Refrigeration optimisation incorporating eco system and Steam/Hot water production optimisation.</t>
  </si>
  <si>
    <t>Munster Tree Services/Cap</t>
  </si>
  <si>
    <t>Tree Surgery business - topping &amp; priming of trees, stump removal and woodchipping</t>
  </si>
  <si>
    <t>Noel Ryan/Cap</t>
  </si>
  <si>
    <t>Tree Services</t>
  </si>
  <si>
    <t>Neon Communication Solutions Ltd/Emp</t>
  </si>
  <si>
    <t>Development of appointment management software to integrate with existing SMS system</t>
  </si>
  <si>
    <t>Tracy Quinlan/Cap</t>
  </si>
  <si>
    <t>Computer Training Centre</t>
  </si>
  <si>
    <t>Jack Walshe/Feas</t>
  </si>
  <si>
    <t>prototype of paint Spray machine</t>
  </si>
  <si>
    <t>ProTurn Engineering/Emp</t>
  </si>
  <si>
    <t>Light engineering</t>
  </si>
  <si>
    <t>John Barry/Cap</t>
  </si>
  <si>
    <t xml:space="preserve">Handcart for production of chips </t>
  </si>
  <si>
    <t>Oonagh Poynton/Cap</t>
  </si>
  <si>
    <t>productioon of homemade produce</t>
  </si>
  <si>
    <t>Troika Greenergy Ltd/Cap</t>
  </si>
  <si>
    <t>Recycling/renewable energy company - chip waste wood</t>
  </si>
  <si>
    <t>SMF Engineering/Cap</t>
  </si>
  <si>
    <t>Precision engineering</t>
  </si>
  <si>
    <t>Maitech Ltd/Cap</t>
  </si>
  <si>
    <t>Provides homeginsser service to dairy farmers</t>
  </si>
  <si>
    <t>Elaine Sarah Comerford/Cap</t>
  </si>
  <si>
    <t>Jewellery Designer</t>
  </si>
  <si>
    <t>Celsus Solutions Ltd/Pref Shares</t>
  </si>
  <si>
    <t>dev of mobile ordering systems</t>
  </si>
  <si>
    <t>O'Flynn Foods Ltd/Cap</t>
  </si>
  <si>
    <t>Production of Sausages</t>
  </si>
  <si>
    <t>Michael &amp; Elizabeth Healy/Cap</t>
  </si>
  <si>
    <t>Establish food production business to supply high quality prepared foods to farmers markets and retail</t>
  </si>
  <si>
    <t>Barron's Bakery/Cap</t>
  </si>
  <si>
    <t>Expansion of bakery business</t>
  </si>
  <si>
    <t>Knockanore Farmhouse Cheese Ltd/Feas</t>
  </si>
  <si>
    <t>Investigation on production of increased range of cheeses</t>
  </si>
  <si>
    <t>Freedom Adventure Ltd/Cap</t>
  </si>
  <si>
    <t>surf School in tramore</t>
  </si>
  <si>
    <t>Rally Connection Ltd/Cap</t>
  </si>
  <si>
    <t>Rally school</t>
  </si>
  <si>
    <t>Ocean Telecommunications Ltd/Cap</t>
  </si>
  <si>
    <t>Expansion of wireless broadband service 9638.33 in respect of 2008 grant and 3057.44 in respect of 2009 approved grant</t>
  </si>
  <si>
    <t>Sasta Hardware Ltd/Cap</t>
  </si>
  <si>
    <t>packaging and branding products for retail hardware trade</t>
  </si>
  <si>
    <t>Peter Flanagan/Cap</t>
  </si>
  <si>
    <t>Manufacture of Hurleys</t>
  </si>
  <si>
    <t>Mary Rockett/Emp</t>
  </si>
  <si>
    <t>Respite Centre</t>
  </si>
  <si>
    <t>Trade Exhibition for WCEB Clients held annually in Dublin to Showcase businesses</t>
  </si>
  <si>
    <t>Trade Shows/M2</t>
  </si>
  <si>
    <t>Financial assistance to micro enterprises to enable their participation at trade shows e.g. Showcase, SHOP - funded at various rates</t>
  </si>
  <si>
    <t>SYOB Courses covering all aspects of setting up a business</t>
  </si>
  <si>
    <t>Web Design/M2</t>
  </si>
  <si>
    <t>Assistance with website design and upgrading of e-commerce websites for CEB clients</t>
  </si>
  <si>
    <t>One to one mentoring of CEB clients on various aspects of setting up or expanding their business, preparation of business plans and advice</t>
  </si>
  <si>
    <t>Training/M2</t>
  </si>
  <si>
    <t>Business Skills Training for micro enterprises - no admin costs included in this project_x000D_
and includes social media tr, basic computer tr, photoshop tr</t>
  </si>
  <si>
    <t>Marketing/M2</t>
  </si>
  <si>
    <t>Marketing mentoring programme for CEB Clients, no admin costs included in this and project is eligible for co-funding</t>
  </si>
  <si>
    <t>SHOP Exhibition</t>
  </si>
  <si>
    <t>Attendance of clients at SHOP exhibition</t>
  </si>
  <si>
    <t>Business Brief/M2</t>
  </si>
  <si>
    <t>Weekly business programme on local radio providing advice and information on various aspects of running a business</t>
  </si>
  <si>
    <t>Other Advertising/M2</t>
  </si>
  <si>
    <t>Advertising of services provided by the Board, including financial assistance, business skills, training, mentoring. advertising is erfd related and eligible for eu co-funding.</t>
  </si>
  <si>
    <t>Marketing Assistance</t>
  </si>
  <si>
    <t>Marketing Assistance includes brand identity and logo development for micro enterprise clients for PR and branding costs</t>
  </si>
  <si>
    <t>Women's network providing training in busines skills and networking opportunities</t>
  </si>
  <si>
    <t>Training Brochure</t>
  </si>
  <si>
    <t>Various training brochures</t>
  </si>
  <si>
    <t>Enterprise PR Committee/M2</t>
  </si>
  <si>
    <t>County &amp; City Enterprise Boards national enterprise awards</t>
  </si>
  <si>
    <t>China Seminar</t>
  </si>
  <si>
    <t>China Green Seminar</t>
  </si>
  <si>
    <t>Food Innovation</t>
  </si>
  <si>
    <t>Management Dev Prog for food producers in waterford county</t>
  </si>
  <si>
    <t>Energy Conference</t>
  </si>
  <si>
    <t>Book-Keeping Course</t>
  </si>
  <si>
    <t>Course to assist Board's micro enterprise clients to enable them understand financial side of running their business_x000D_</t>
  </si>
  <si>
    <t>Computer Training/M2</t>
  </si>
  <si>
    <t>Training programmes for micro enterprises, ecdl and sage training for micro enterprises</t>
  </si>
  <si>
    <t>Web Marketing Programme/M2</t>
  </si>
  <si>
    <t>Training programme for CEB clients on understanding web marketing for their business, search engine optimisation, pay per click advertising, blogging, oneline PR, website design and content</t>
  </si>
  <si>
    <t xml:space="preserve">Sales &amp; Marketing </t>
  </si>
  <si>
    <t>Sales &amp; Marketing Course</t>
  </si>
  <si>
    <t>Employment legislation course</t>
  </si>
  <si>
    <t>eCommerce Seminar</t>
  </si>
  <si>
    <t>Science Wateford</t>
  </si>
  <si>
    <t>Promotion of science in schools</t>
  </si>
  <si>
    <t>Work in Waterford</t>
  </si>
  <si>
    <t>Marketing campaign designed to encourage more people to start-up business in County Waterford.  All relevant information on starting a business and supports available from the Board were included_x000D_</t>
  </si>
  <si>
    <t>Business Network/M2</t>
  </si>
  <si>
    <t>Business Network seminar on marketing and networking opportunities for micro enterprises</t>
  </si>
  <si>
    <t>Kilmac Business - M2</t>
  </si>
  <si>
    <t>contribution to incubation initiative at Kilmacthomas Business Training Centre</t>
  </si>
  <si>
    <t>Enterprise Education Committee</t>
  </si>
  <si>
    <t>Special Allocation for national enterprise education initiatives - enterprise education committee</t>
  </si>
  <si>
    <t>Kilmac Glass Project - M2</t>
  </si>
  <si>
    <t>Development of proposal for Glass manufacturing project in Kilmacthomas</t>
  </si>
  <si>
    <t>eBay Seminar</t>
  </si>
  <si>
    <t>How to sell on eBay</t>
  </si>
  <si>
    <t>Food Festival/M2</t>
  </si>
  <si>
    <t>Marketing Support for food enterprises attending waterford festival of food to help promote their businesses locally - this project is a co-funable activity</t>
  </si>
  <si>
    <t>Management Development Programme/M2</t>
  </si>
  <si>
    <t>Management Development Programme for CEB clients</t>
  </si>
  <si>
    <t>Workhouse Craft Studio - M2</t>
  </si>
  <si>
    <t>Development of craft centre in Kilmacthomas</t>
  </si>
  <si>
    <t>Schools Education Programme</t>
  </si>
  <si>
    <t>Enterprise Day/Student Enterprise Awards programme</t>
  </si>
  <si>
    <t>Student Enterprise Awards</t>
  </si>
  <si>
    <t>SEA Awards</t>
  </si>
  <si>
    <t>Enterprise week events</t>
  </si>
  <si>
    <t>Neon Communications Solutions Ltd/Cap</t>
  </si>
  <si>
    <t>Sunstream Energy Ltd/Cap</t>
  </si>
  <si>
    <t>greenergy equipment supply and consultancy</t>
  </si>
  <si>
    <t>Exigent Networks/Emp</t>
  </si>
  <si>
    <t>Network integration, design and maintenance service</t>
  </si>
  <si>
    <t>Colm Breslin/Emp</t>
  </si>
  <si>
    <t>respite care home</t>
  </si>
  <si>
    <t>Elite Paintball/Cap</t>
  </si>
  <si>
    <t>Expansion of Elite Paintball to include adventure activities</t>
  </si>
  <si>
    <t>Shane Molloy/Cap</t>
  </si>
  <si>
    <t>Expansion of design consultancy service</t>
  </si>
  <si>
    <t>Peter Kirwan/Cap</t>
  </si>
  <si>
    <t>physiotherapy clinic</t>
  </si>
  <si>
    <t>Farm Concrete Construction Ltd/Cap</t>
  </si>
  <si>
    <t>Production of animal bedding and feed from straw</t>
  </si>
  <si>
    <t>Rum Rum Ltd/Cap</t>
  </si>
  <si>
    <t>manufacture and supply wood shavings for animal bedding</t>
  </si>
  <si>
    <t>Kate Hyde/Emp</t>
  </si>
  <si>
    <t>On-line shop selling hen-party goods and services</t>
  </si>
  <si>
    <t>Maeve Moran/Emp</t>
  </si>
  <si>
    <t>Craft Studio in Dungarvan</t>
  </si>
  <si>
    <t>International Academy of Travel/Cap</t>
  </si>
  <si>
    <t>Development of training software</t>
  </si>
  <si>
    <t>Totem/Emp</t>
  </si>
  <si>
    <t>expansion of graphic design business</t>
  </si>
  <si>
    <t>Andrew Vagg/Emp</t>
  </si>
  <si>
    <t>Manufacture of hand-crafted jewellery</t>
  </si>
  <si>
    <t>Emagine Media/Emp</t>
  </si>
  <si>
    <t>Graphic Design business</t>
  </si>
  <si>
    <t>Eunice Power/Cap</t>
  </si>
  <si>
    <t>Expansion of catering business to produce homemade ready meals</t>
  </si>
  <si>
    <t>Rosemary Barry/Emp</t>
  </si>
  <si>
    <t>Expansion of childcare facility</t>
  </si>
  <si>
    <t>Radience Crystal Ltd/Emp</t>
  </si>
  <si>
    <t>Manufacture of crystal giftware</t>
  </si>
  <si>
    <t>Marketing Programme</t>
  </si>
  <si>
    <t>Marketing development programme for CEB clients - no admin costs included and project is eligible for eu co-funding</t>
  </si>
  <si>
    <t>GUIDE/M2</t>
  </si>
  <si>
    <t>Guide to starting a business in County Waterford which includes details on the various agencies that can assist when setting up a business</t>
  </si>
  <si>
    <t>Health &amp; Safety/M2</t>
  </si>
  <si>
    <t>Health &amp; Safety training and advice for CEB clients</t>
  </si>
  <si>
    <t>Green Opportunities/M2</t>
  </si>
  <si>
    <t>Study to identify business opportunities in green energy sector</t>
  </si>
  <si>
    <t>Marketing Tramore/M2</t>
  </si>
  <si>
    <t>Marketing assistance for micro enterprises in Riverstown Tramore to increase market awarness and sales</t>
  </si>
  <si>
    <t>1st steps into Enteprise/M2</t>
  </si>
  <si>
    <t>Information Seminar on setting up a business in the county outling the services offered by the Board including financial, mentoring, training assistance available</t>
  </si>
  <si>
    <t>Idea Generation Programme/M2</t>
  </si>
  <si>
    <t>Idea generation training programme for individuals planning on setting up a business</t>
  </si>
  <si>
    <t>Craft Training Programme/M2</t>
  </si>
  <si>
    <t>Business skills training programme for owner managers of micro craft enterprises</t>
  </si>
  <si>
    <t>Anna Leveque/Cap</t>
  </si>
  <si>
    <t>To install a coldroom for manufacture of cheese products_x000D_</t>
  </si>
  <si>
    <t>Chia Booster Distribution Ltd/Emp</t>
  </si>
  <si>
    <t>Importing, distribution and sale	of Chia for human and animal healthfood</t>
  </si>
  <si>
    <t>Chia Booster Distribution Ltd/Cap</t>
  </si>
  <si>
    <t>Adrian Sullivan/BP</t>
  </si>
  <si>
    <t>To provide entertainment service - renting equipment, live stage and recording studio_x000D_Salary costs €15,000 for 2 new jobs</t>
  </si>
  <si>
    <t>Andrew Baczynski/BP</t>
  </si>
  <si>
    <t>To install water features and waterproofing systems with creation of 1 new job</t>
  </si>
  <si>
    <t>Button &amp; Co/BE</t>
  </si>
  <si>
    <t>Manufacture of jewellery - advertising, promotional events, capital equipment</t>
  </si>
  <si>
    <t>Dungarvan Insulation Manufacturing Ltd/BP</t>
  </si>
  <si>
    <t>Manufacture of bonded bead for insulation of cavity block walls capital costs for bead expander and boiler</t>
  </si>
  <si>
    <t>Enda Walsh/BP</t>
  </si>
  <si>
    <t>Manufacture of custom build rifle stocks for people interested in target shooting_x000D_</t>
  </si>
  <si>
    <t>Gene O'Shea/BP</t>
  </si>
  <si>
    <t>Design and prototype development service for solid crystal giftware_x000D_</t>
  </si>
  <si>
    <t>Golf Advertising Ltd/BP</t>
  </si>
  <si>
    <t>Advertising service using advertising card scoring stands on golf courses_x000D_</t>
  </si>
  <si>
    <t>Janet Carey/BP</t>
  </si>
  <si>
    <t xml:space="preserve">Graphic design and print company </t>
  </si>
  <si>
    <t>Kevin Coffey/BP</t>
  </si>
  <si>
    <t>development of hydro-electric projects with the creation of 1 new job</t>
  </si>
  <si>
    <t>Nicky Power/BP</t>
  </si>
  <si>
    <t>Instrument manufacturer whistles and flutes.  _x000D_capital costs for lathe, tool holders, milling machine and accessories</t>
  </si>
  <si>
    <t>Tastefully Yours/BP</t>
  </si>
  <si>
    <t>Manufacture of chutney, assistance approved for purchase of kitchen equipment</t>
  </si>
  <si>
    <t>QM Specials Ltd/BE</t>
  </si>
  <si>
    <t>QM Specials manufacture unlicensed extemporaneous medicines referred to as "Specials" for irish pharmacies and hospitals - employment assistance approved for 6 new jobs</t>
  </si>
  <si>
    <t>Rachel Burke/BP</t>
  </si>
  <si>
    <t>To open a childcare facility in Passage east to cover shortfall in the area for young children - employment assistance approved</t>
  </si>
  <si>
    <t>Dungarvan Brewing Company Ltd/BP</t>
  </si>
  <si>
    <t>To set up micro brewery in Dungarvan - All the beers are traditionally brewed and bottled on-site in Dungarvan and are distributed throughout Ireland_x000D_ employment assistance approved</t>
  </si>
  <si>
    <t>National Jobs Conference</t>
  </si>
  <si>
    <t>Conference supported by Waterford CEB to showcase employment opportunities available in the county and services offered by the Board to those interested in self-employment, funding used to pay for room hire, speakers and printing costs</t>
  </si>
  <si>
    <t>Food Innovation Award/M2</t>
  </si>
  <si>
    <t>competition run within south east enterprise boards to food innovators - expenditure included PR, promotion and awards for winning company</t>
  </si>
  <si>
    <t>Intellectual Property/M2</t>
  </si>
  <si>
    <t>Seminar in intellectual property covering all aspects of  intellectual property rights include copyrights, trademarks, patents, industrial design rights and trade secrets</t>
  </si>
  <si>
    <t>Brochure/M2</t>
  </si>
  <si>
    <t>Printing costs of brochure promoting office space in Tallow, Cappoquin, Lismore, Dunhill Enterprise Centres for potential micro-enterprises</t>
  </si>
  <si>
    <t>Adventure Waterford/M2</t>
  </si>
  <si>
    <t>To assist a group of clients who run activity based businesses in Waterford County to help promote their business to tourism sector at Trade Exhibition held in Dublin and development of wwww.wildwaterford.com website</t>
  </si>
  <si>
    <t>Advantage Engineering Ltd/PG</t>
  </si>
  <si>
    <t>Manufacture of stainless steel products for pharmaceutical, medical devices and food sector</t>
  </si>
  <si>
    <t>Angela Nevin/PG</t>
  </si>
  <si>
    <t>Manufacture of Designer cushions, unique art, dress design service, knitting &amp; children's workshops</t>
  </si>
  <si>
    <t>Aubrey Skelly/PG</t>
  </si>
  <si>
    <t>Production of 3D images of buildings for uploading to Google Earth</t>
  </si>
  <si>
    <t>Caroline Anderson/PG</t>
  </si>
  <si>
    <t>Development of interactive pilates iphone applications</t>
  </si>
  <si>
    <t>Clive Baker/PG Emp</t>
  </si>
  <si>
    <t>Manufacture of handmade soaps for hotel sector</t>
  </si>
  <si>
    <t>Clive Baker/PG Cap</t>
  </si>
  <si>
    <t>Expansion of business Manufacture of soap products for hotel sector</t>
  </si>
  <si>
    <t>CRE Ltd/PG</t>
  </si>
  <si>
    <t>To supply new installations with an innovative solution to refrigeration management/maintenance.  Retro-fit existing plant to optimise energy usage and to supply information for better usage of facilites</t>
  </si>
  <si>
    <t>Enerpower/PG Mkt</t>
  </si>
  <si>
    <t>Consulting design development and implementation of green energy solutions</t>
  </si>
  <si>
    <t>Enerpower/BE Emp</t>
  </si>
  <si>
    <t>Consulting design development and implementation of green energy solutions with creation of 1 new job</t>
  </si>
  <si>
    <t>Garrett Dillon Kitchens?PG Cap</t>
  </si>
  <si>
    <t>Manufacture of high end fitted kitchen and bedroom furniture</t>
  </si>
  <si>
    <t>Garrett Dillion Kitchens/PG Emp</t>
  </si>
  <si>
    <t>Golf Tours Ireland/PG</t>
  </si>
  <si>
    <t>To set up a facility to bring Golf Tours/clubs to Ireland from Thialand</t>
  </si>
  <si>
    <t>Heirloom Caskets/PG</t>
  </si>
  <si>
    <t>Manufacture of handcrafted cremation caskets</t>
  </si>
  <si>
    <t>Irish Artisan Beverages/PG</t>
  </si>
  <si>
    <t>Marketing assistance to assist promote a sparking irish apple alcoholic drink to the irish and american market</t>
  </si>
  <si>
    <t>Kilmacthomas Workhouse Studios/Exp</t>
  </si>
  <si>
    <t>Expansion of craft centre to empoy a manager and purchase of a kiln for the various craft groups in the centre</t>
  </si>
  <si>
    <t>Larasglen Ltd/PG</t>
  </si>
  <si>
    <t>Engineering business offering Design and installation of handing and conveyor systems</t>
  </si>
  <si>
    <t>Luke Lawnicki/PG</t>
  </si>
  <si>
    <t>Assistance to establish an Art school and gallery in Dungarvan offering art classes to adults and children</t>
  </si>
  <si>
    <t>Michael Daniels Glass/PG</t>
  </si>
  <si>
    <t>Manufacture and decorating of glass panels for doors and kitchen cabinet doors</t>
  </si>
  <si>
    <t>Nora O'Sullivan/PG</t>
  </si>
  <si>
    <t>To purchase oven and other equipment to set up a Home baking business suppling confectionary to local shops</t>
  </si>
  <si>
    <t>Tastefully Yours/PG</t>
  </si>
  <si>
    <t>expansion of business - production of gourmet chutneys, relishes and pickles approved for 1 new employee</t>
  </si>
  <si>
    <t>Patrick Glavey/PG</t>
  </si>
  <si>
    <t>To manufacture pottery from his studio in Dunmore East assistance approved for employment costs and purchase of a kiln</t>
  </si>
  <si>
    <t>Peter Flanagan/PG Exp</t>
  </si>
  <si>
    <t>To expand existing hurley making business funding approved for new cutting machine</t>
  </si>
  <si>
    <t>Dunhill Timber Pallets/PG</t>
  </si>
  <si>
    <t>Manufacture of specialist timber pallets and repair of old pallets to food and pharmaceutical companies</t>
  </si>
  <si>
    <t>Complete Training Solutions/PG</t>
  </si>
  <si>
    <t>Training Solutions for catering industry and to produce training manual for clients</t>
  </si>
  <si>
    <t>SleepyHedz/PG</t>
  </si>
  <si>
    <t>Manufacture of childrens headboards and bedroom furniture</t>
  </si>
  <si>
    <t>TAFS Engineering Ltd/Feas</t>
  </si>
  <si>
    <t>Investigate potential for offering irish comapnies indigenous manufacturing alternatives for products they are currently importing into Ireland, or are planning to.</t>
  </si>
  <si>
    <t>Inmasoll Ltd/PG</t>
  </si>
  <si>
    <t>A flexible manufacturing solution based in the south east of ireland that will cater to the needs of SMEs and product distributors offering a full service from design straight through to shipping of finished product</t>
  </si>
  <si>
    <t>Its a Feeling/M2</t>
  </si>
  <si>
    <t>Design of website www.itsafeeling.com - to promote tourism in Waterford County</t>
  </si>
  <si>
    <t>Getting Your Business Online/M2</t>
  </si>
  <si>
    <t>Initiative set up in conjunction with Google, Blacknight and an Post to assist business owners / self employed persons to enable then have an online presence by building their own website.</t>
  </si>
  <si>
    <t>Food Hygiene Programme/M2</t>
  </si>
  <si>
    <t>Training programme for employees in all sectors of the food industry. It is designed to be delivered to supervisors/managers/ trainers to their staff within their own food business.</t>
  </si>
  <si>
    <t>Chia Booster Distribution Ltd/PG</t>
  </si>
  <si>
    <t>expansion of existing business who import and distribute Chia for human and animal healthfood approval for 2 new employees</t>
  </si>
  <si>
    <t>Neon Solutions Ltd/Exp</t>
  </si>
  <si>
    <t>expansion of existing business in the Development of appointment management software to integrate with existing SMS system assistance approved for new employee</t>
  </si>
  <si>
    <t>2011 Marketing Assistance</t>
  </si>
  <si>
    <t>Marketing assistance to assist with development of brand ID, design advice, logo development to help the promotion of SME's in the County</t>
  </si>
  <si>
    <t>2011 Trade Shows</t>
  </si>
  <si>
    <t>Financial assistance to micro enterprises to enable their participation at trade shows e.g. Showcase, Bloom and various show in USA and europe</t>
  </si>
  <si>
    <t>2011 Web Design</t>
  </si>
  <si>
    <t>Assistance with the design costs for the development of new or upgrade of ecommerce websites for SME's in Waterford County</t>
  </si>
  <si>
    <t>Ardmore Pottery/Exp</t>
  </si>
  <si>
    <t>To expand the ceramics manufacturing business at Ardmore Pottery and Gallery. These hand-thrown earthenware pots are predominantly functional tableware. The pots are thrown, fired and decorated on-site.</t>
  </si>
  <si>
    <t>Cardinal Engineering Services Ltd/Exp</t>
  </si>
  <si>
    <t>Expansion of Topographical surveying service - funding to purchase portable equipment for surveying and training on this equipment</t>
  </si>
  <si>
    <t>Elda Wild Irish Venison Ltd/PG</t>
  </si>
  <si>
    <t>Processing and Wholesale of Wild Venison - funding for equipment and creation of new job</t>
  </si>
  <si>
    <t>Seery Water Services/Exp</t>
  </si>
  <si>
    <t>Expansion of water services business by way of employment assistance grant approval</t>
  </si>
  <si>
    <t>Hi Spec Precision Components Ltd/Exp</t>
  </si>
  <si>
    <t>Hi-Spec Precision Components, based in Waterford Ireland is a precision engineering company that specialise in the machining of various steel, alloy and plastic parts. Employment assistance approved</t>
  </si>
  <si>
    <t>Knockanore Farmhouse Cheese/Exp</t>
  </si>
  <si>
    <t>Expansion of cheese manufacturing business funded by employment grant</t>
  </si>
  <si>
    <t>Marie Pierre Roux/PG</t>
  </si>
  <si>
    <t>Manufacture of cakes - funding provided to purchase new oven</t>
  </si>
  <si>
    <t>Michael Fanning/PG</t>
  </si>
  <si>
    <t>Manufacture of jewellery Employment assistance approved</t>
  </si>
  <si>
    <t>Nautic Inflatable Services Ltd/Exp</t>
  </si>
  <si>
    <t>Nautic Inflatables specializes in fibreglass repairs, PVC &amp; PU Repairs and Hypalon Repairs - employment assistance provided - rent and capital costs approved</t>
  </si>
  <si>
    <t>Sarah Richards/PG</t>
  </si>
  <si>
    <t>Manufacture of artisan breads - employment assistance provided</t>
  </si>
  <si>
    <t>Sean Lyons/Feas</t>
  </si>
  <si>
    <t>Feasibility study into energy supply company using renewable resoueces.  Generation sites to be situated at point of consumption at manufacturing sites and where carbon tax incentives are in place.  Study to include wind analysis and measurement, planning and environmental assessment, grid and electrical connectivity issues and financial analysis</t>
  </si>
  <si>
    <t>Thomas Jones/PG</t>
  </si>
  <si>
    <t>Manufacture of seaweed based breads and snacks, capital and employment assistance provided</t>
  </si>
  <si>
    <t>Womik Holdings Ltd/PG</t>
  </si>
  <si>
    <t>Nationwide Online Laptop repair,Computer repair,PC cleanup, IT Support, Website Design Services,iPhone Screen Replacements - employment assistance approved</t>
  </si>
  <si>
    <t>Study Visit</t>
  </si>
  <si>
    <t>Study visit to USA to research glass blanks factory to look for investment partment in the project</t>
  </si>
  <si>
    <t>Food Network</t>
  </si>
  <si>
    <t>Food Network set up to assist local food producers in their approach to selling their various brands</t>
  </si>
  <si>
    <t>SE Food Forum</t>
  </si>
  <si>
    <t>Kilkenny, Wexford, Waterford and Tipperary food producers had a unique opportunity to showcase their products _x000D_to local retail and food service buyers and larger _x000D_food companies at a regional food event. The objective of this regional food event was to stimulate awareness and generate demand for local _x000D_food, thereby increasing the potential market size for _x000D_local food producers and generating additional sales. _x000D_</t>
  </si>
  <si>
    <t>Maitech Ltd/Exp</t>
  </si>
  <si>
    <t>Expansion of homeginsser service to dairy farmers - capital assistance provided to purchase stainless steel tanks and accusence equipment</t>
  </si>
  <si>
    <t>The grantee will install a 29.7kW solar PV</t>
  </si>
  <si>
    <t>Ann Valley Wood Fuel Supplies</t>
  </si>
  <si>
    <t>The grantee will install a 10kW wind turbine</t>
  </si>
  <si>
    <t>WATERFORD COUNTY TOTAL</t>
  </si>
  <si>
    <t>JJ Doyle</t>
  </si>
  <si>
    <t>to provide solar panels to heat 300ltr cylinder for hot water usage in milking parlour and reduce co2 emmissions_x000D_</t>
  </si>
  <si>
    <t>Wexford</t>
  </si>
  <si>
    <t>DKS Group</t>
  </si>
  <si>
    <t>Installation of a 200 kW wood pellet boiler.</t>
  </si>
  <si>
    <t>Horse and Hound Ballinaboola Ltd</t>
  </si>
  <si>
    <t>Installation of solar panels (10.7 sq m)</t>
  </si>
  <si>
    <t>Middletown House Nursing Home</t>
  </si>
  <si>
    <t>The grantee will install 18.16sq m of flat plate solar collectors</t>
  </si>
  <si>
    <t>Ferrycarrig Hotel</t>
  </si>
  <si>
    <t>It is proposed to install a 540kW Kob biomass boiler to supply heat for the entire facility.  The proposed fuel is virgin wood chip.  The wood chip will be stored in an 150m3 purpose built wood chip silo, which will be fed from above into the boiler.</t>
  </si>
  <si>
    <t>Bawn Developments Ltd</t>
  </si>
  <si>
    <t>Installation of a 200 kW biomass boiler.</t>
  </si>
  <si>
    <t>Barntown Community Centre</t>
  </si>
  <si>
    <t>Installation of 7.68 sq m of flat plate solar collectors.</t>
  </si>
  <si>
    <t>Monart Destination Spa</t>
  </si>
  <si>
    <t>It is proposed to install a 540kW Kob biomass boiler to supply heat for the entire facility.  The proposed fuel is virgin woodchip.  The woodchip will be stored in a 150m3 purpose built woodchip silo. A woodchip blower will transfer the woodchip</t>
  </si>
  <si>
    <t>Wexford Farmers Co-op</t>
  </si>
  <si>
    <t>Installation of a Hamont CATfire 500 kW boiler.</t>
  </si>
  <si>
    <t>Sisters of St. John of God</t>
  </si>
  <si>
    <t>Aluisce developments Ltd</t>
  </si>
  <si>
    <t>Installation of a 25 kW wood pellet boiler</t>
  </si>
  <si>
    <t>Ross Adventure Play Barn</t>
  </si>
  <si>
    <t>Solar for hot water supply: public toilet, staff toilet, kitchen_x000D_</t>
  </si>
  <si>
    <t>Little Acrons</t>
  </si>
  <si>
    <t>Installation of a 11 kW heat pump.</t>
  </si>
  <si>
    <t>Combray Ltd T/A Treacys Hotel</t>
  </si>
  <si>
    <t>The aim of this proposal is to replace the existing oil fired heating system with a close controled heat pump system utilising bore hold technology to reduce energy consumption and emmissions</t>
  </si>
  <si>
    <t>Fit4all</t>
  </si>
  <si>
    <t>Installation of a 16 kw heat pump.</t>
  </si>
  <si>
    <t>Ashdown Park Hotel</t>
  </si>
  <si>
    <t>Ashdown Park Hotel plans to install a new 500 kW wood pellet burner and underground fuel store._x000D_</t>
  </si>
  <si>
    <t>O'Connor Nurseries</t>
  </si>
  <si>
    <t>"Installation of a 900 kw wood chip boiler.</t>
  </si>
  <si>
    <t>Kilcannon Industries Ltd</t>
  </si>
  <si>
    <t>To displace electricity presently used to heat water used in a restaurant kitchen with solar water heating system. the design criteria are 60% annual savings_x000D_</t>
  </si>
  <si>
    <t>Society of St. Vincent De Paul</t>
  </si>
  <si>
    <t>Instllation of 8 no solar panels to help reduce energy running costs and avail of free hot water_x000D_</t>
  </si>
  <si>
    <t>Stephen Carr Architects</t>
  </si>
  <si>
    <t>Installation of a 110 kW wood pellet boiler.</t>
  </si>
  <si>
    <t>Celtic Linen</t>
  </si>
  <si>
    <t>Provide a 10-12MW Boiler at 10 BAR for day to day energy supply to Celtic and make existing oil fired boiler standby._x000D_</t>
  </si>
  <si>
    <t>Oakfield Nursing Home</t>
  </si>
  <si>
    <t>"Determine base heat load and maximum heat demand of the building._x000D_ Determine sizing of all connections, hydraulic and electrical._x000D_Design the solar collector configeration, location and integration with existing heating system</t>
  </si>
  <si>
    <t>Installation of 124.2 sq m of flat plate solar collectors.</t>
  </si>
  <si>
    <t>Co. Wexford Community Workshop (Enniscorthy) Ltd</t>
  </si>
  <si>
    <t>Solar heating for domestic hot water required for respite residential home for people with disabilites_x000D_</t>
  </si>
  <si>
    <t>Install a 75kw heat pump</t>
  </si>
  <si>
    <t>Hanmer Ltd</t>
  </si>
  <si>
    <t>Process of solar tubes to heat the water for six apartments ie water for sink wash hand basins bath and showers. 9.9 sq m of evacuated tube solar collectors._x000D_</t>
  </si>
  <si>
    <t>Nursing home facility requiring both continuous heat and power availability and reliability. _x000D_Facility wishes to reduce consumption costs and emissions._x000D_Study will investigate the use of a locally derived pure plant oil fuel option._x000D_</t>
  </si>
  <si>
    <t>Installation of a 5.5 kWe micro CHP unit.</t>
  </si>
  <si>
    <t>Whites Hotel Ltd</t>
  </si>
  <si>
    <t>Installation of 1 no ENER.G 280P CHP unit and Peripheral Equipment. CHP will be installed to reduce energy/environmental costs and requirements on site_x000D_</t>
  </si>
  <si>
    <t>Horse &amp; Hound Ballinaboola Ltd</t>
  </si>
  <si>
    <t>To install a 2*80kW woodchip boilers</t>
  </si>
  <si>
    <t>Kilmokea Country Manor &amp; Garden</t>
  </si>
  <si>
    <t>Installation of 28.2 m2 of evacuated solar panels.</t>
  </si>
  <si>
    <t>Sarsfield GAA Club</t>
  </si>
  <si>
    <t>Installation of 15.54m2 flat plate solar</t>
  </si>
  <si>
    <t>Gerald Kelly &amp; Sons Agricultural Contractors Ltd</t>
  </si>
  <si>
    <t>Installation of a 16.746m2 of evacuated tubes.</t>
  </si>
  <si>
    <t>Sofrimar Ltd</t>
  </si>
  <si>
    <t>Installation of a power perfector unit and an automatic blow down to each boiler. Economiser on main stream boiler, Heat exchanger to preheat water. Insulation of water cookers and all pipes &amp; whelk cookers.</t>
  </si>
  <si>
    <t>Advertisements-M2</t>
  </si>
  <si>
    <t>Advertments placed in local media including newspapers, radio, and magazines promoting our training programes mentor services and grant aid, we can confirm that the cost of advertising is eligigle for co-funding from the ERDF</t>
  </si>
  <si>
    <t>Basic Bookkeeping</t>
  </si>
  <si>
    <t>Basic Bookkeeping courses 2007 and 2008</t>
  </si>
  <si>
    <t>Big Red Book</t>
  </si>
  <si>
    <t>Big Red Book Courses is to enable a business to maintain accounts for Revenue and management</t>
  </si>
  <si>
    <t>Basic Finance</t>
  </si>
  <si>
    <t>Basic Finance Courses 2007</t>
  </si>
  <si>
    <t>Conference/Seminars</t>
  </si>
  <si>
    <t>Costs incurred in holding or attending conferences or seminars</t>
  </si>
  <si>
    <t>Lautwein Ltd/Feas</t>
  </si>
  <si>
    <t>Renewable energy solutions offering a supply fit and maintenance service</t>
  </si>
  <si>
    <t>Larry Byrne Eng/Cap</t>
  </si>
  <si>
    <t>Expansion of engineering business into the manufacture of waste ejector trailers</t>
  </si>
  <si>
    <t>Martins Jewellers/cap</t>
  </si>
  <si>
    <t>Captial- Manufacture &amp; Design of Jewellery</t>
  </si>
  <si>
    <t>Lir Water/Feas</t>
  </si>
  <si>
    <t>Assess the feasibility of supplying a new water treatment system in the irish market</t>
  </si>
  <si>
    <t>Noirins Bakehouse/Cap</t>
  </si>
  <si>
    <t>Relocation and expansion of an existing business supplying top quality artisan breads and cakes</t>
  </si>
  <si>
    <t>Wexford Piping &amp; Fitting/Cap</t>
  </si>
  <si>
    <t>Manufacture and fabrication fof ductile pipes and fittings</t>
  </si>
  <si>
    <t>Contributions</t>
  </si>
  <si>
    <t>Contributions/Sponsorships to different causes e.g. IT Carlow, Spirit of Enterprise, Local Enterprise Awards. The purpose of these contributions and sponsorships is to promote enterprise in the county</t>
  </si>
  <si>
    <t>Tricon Automation Ltd/Cap</t>
  </si>
  <si>
    <t>Provision of automated equipment and services for the industrial sector including robotic applications packaging machines plant control and human machine interfaces</t>
  </si>
  <si>
    <t>Paul Kinsella/Feas</t>
  </si>
  <si>
    <t>2 Feasibility grants -Disposable alcohol testers</t>
  </si>
  <si>
    <t>Davin Pierce/Cap</t>
  </si>
  <si>
    <t>Manufacture of frozen desserts</t>
  </si>
  <si>
    <t>Ross T Engineering/Cap</t>
  </si>
  <si>
    <t>Provision of light engineering services</t>
  </si>
  <si>
    <t>Done Deal/Emp</t>
  </si>
  <si>
    <t>Online market place for buying and selling second hand goods</t>
  </si>
  <si>
    <t>Real Time Biostorage Ltd/ Cap</t>
  </si>
  <si>
    <t>Bio storage facility for temperature critical storage of valuable biological materials</t>
  </si>
  <si>
    <t>Silver Stream Engineering/Feas</t>
  </si>
  <si>
    <t>Development of passive sump systems as a method to reduce radon levels in buildings</t>
  </si>
  <si>
    <t>Davitt Cleaning/Feas</t>
  </si>
  <si>
    <t>Design and manufacture a prototype unit incorporating the combined usage of solar panels and wood pellet boiler</t>
  </si>
  <si>
    <t>Building Envelopes/Cap</t>
  </si>
  <si>
    <t>Air testing, training, design and review and prototpye testing of residential and commercial buildings in line with EU Energy Directives and best building practices</t>
  </si>
  <si>
    <t>Tom Byrne Engineering/Cap</t>
  </si>
  <si>
    <t>Expansion of engineering business into the remanufacture of box trailers for transport companies</t>
  </si>
  <si>
    <t>Brecken Ltd/Cap</t>
  </si>
  <si>
    <t>Manufacture and blending of water based factory applied wood finishes</t>
  </si>
  <si>
    <t>Slaney Precision Ltd/Cap</t>
  </si>
  <si>
    <t>Manufacture of precision compounds in stainless steel and steel</t>
  </si>
  <si>
    <t>Weber Labelling &amp; Coding/Cap</t>
  </si>
  <si>
    <t>Manufacture and distributors of self adhesive labels and labelling systems</t>
  </si>
  <si>
    <t>Com Dive Ltd/Cap</t>
  </si>
  <si>
    <t>Commercial Diving operation which will work on bridges, oil rigs, harbours and boats</t>
  </si>
  <si>
    <t>Bernie Murray Ryan/Cap</t>
  </si>
  <si>
    <t>Development and supply of resource materinals  Singing Made Easy  and  Music Made Easy  to primary schools</t>
  </si>
  <si>
    <t>Softtouch Technologies/Emp</t>
  </si>
  <si>
    <t>3 Employment grants given on 2 seperate approval dates -  Software development company</t>
  </si>
  <si>
    <t>Millstream Ltd/Cap</t>
  </si>
  <si>
    <t>Capital - Supplying fish to the catering and retail trade</t>
  </si>
  <si>
    <t>Wexford Cable Industries/Cap</t>
  </si>
  <si>
    <t>Cable harness manufacturing and electrical sub assemblies</t>
  </si>
  <si>
    <t>Noirin's Bakehouse/Emp</t>
  </si>
  <si>
    <t>1 Employment grant for sales person to promote quality artisan breads and cakes, 3 additional employment grants to expand business</t>
  </si>
  <si>
    <t>My Live CV/Sonru/Feas</t>
  </si>
  <si>
    <t>Development of My Live CV Ltd., a new media portal aimed at simplifying the process of interviews</t>
  </si>
  <si>
    <t>Apex Geoservices/Cap</t>
  </si>
  <si>
    <t>Geological and geophysical surveying for engineering and environmental project</t>
  </si>
  <si>
    <t>Mary Somers/Emp</t>
  </si>
  <si>
    <t>Establishment of a specialist catering company</t>
  </si>
  <si>
    <t>Fine Edge Furniture/Cap</t>
  </si>
  <si>
    <t>Manufacture of handcrafted bespoke furniture</t>
  </si>
  <si>
    <t>Infoeze/Cap</t>
  </si>
  <si>
    <t>Document Management company specialising in converting hard copy information into digital format</t>
  </si>
  <si>
    <t>Roadway Signs/Cap</t>
  </si>
  <si>
    <t>Purchase of a laser printer and plotting machine for road sign manufacturing</t>
  </si>
  <si>
    <t>Kevin Geoghegan/Feas</t>
  </si>
  <si>
    <t>Feasibility study to assist in market research regarding a product called neoprene</t>
  </si>
  <si>
    <t>Taoglas Ltd/Emp</t>
  </si>
  <si>
    <t>Global antenna solutions provider for GPS andGMS products</t>
  </si>
  <si>
    <t>Vegus Foods/Cap</t>
  </si>
  <si>
    <t>Produce, package and sell natural and organic juices</t>
  </si>
  <si>
    <t>Atar Aromatheraphy/cap</t>
  </si>
  <si>
    <t>capital - Manufacture of aromatherapy products, particularly for pregnancy and mother and baby products</t>
  </si>
  <si>
    <t>Business Communications</t>
  </si>
  <si>
    <t>Business Communications course</t>
  </si>
  <si>
    <t>Business in China</t>
  </si>
  <si>
    <t>Business in China seminar</t>
  </si>
  <si>
    <t>E-business grants</t>
  </si>
  <si>
    <t>E-business Grant - small grants given to clients to open web sites or update existing ones.</t>
  </si>
  <si>
    <t>Effective Selling</t>
  </si>
  <si>
    <t>Effective selling techniques course</t>
  </si>
  <si>
    <t>Employment Law</t>
  </si>
  <si>
    <t>Employment Law course</t>
  </si>
  <si>
    <t>Enterprise Award</t>
  </si>
  <si>
    <t>Enterprise awards - awards given on different occassions to business also contribution to Student Enterprise Awards</t>
  </si>
  <si>
    <t>How to get paid ontime</t>
  </si>
  <si>
    <t>How to get paid on time course</t>
  </si>
  <si>
    <t>Enterprise Bus - bus traelling around south east meeting with clients to discuss starting a business or other issues they may have Bank of Ireland was also involved</t>
  </si>
  <si>
    <t>First Aid Course</t>
  </si>
  <si>
    <t>How to Tender Succesfully</t>
  </si>
  <si>
    <t>How to tender successfully course</t>
  </si>
  <si>
    <t>Interview Skills</t>
  </si>
  <si>
    <t>Interview Skills Course</t>
  </si>
  <si>
    <t>Manual &amp; Computerised Accounts</t>
  </si>
  <si>
    <t>Manual &amp; Computerised accounts course</t>
  </si>
  <si>
    <t>Memberships - MS2</t>
  </si>
  <si>
    <t>Annual memberships of professional bodies such as The Chambers of Commerce in County Wexford supporting small business development in the County.</t>
  </si>
  <si>
    <t>Mentoring - MS2</t>
  </si>
  <si>
    <t>Owner Manager - MS2</t>
  </si>
  <si>
    <t>Owner Manager course - course aimed at owner/managers for small businessto achieve their growth potential and manage existing growth through a series of training workshops and individual consultancy meetings</t>
  </si>
  <si>
    <t>Owner Manager Network- MS2</t>
  </si>
  <si>
    <t>The owner/manager network is a breakfast network aimed at owner/managers in county wexford and aims to improve management capability by providing presentations from successful business people and expert speakers on a range of topics relevant to small business</t>
  </si>
  <si>
    <t>People Management</t>
  </si>
  <si>
    <t>People Management course</t>
  </si>
  <si>
    <t>Presentation Skills course</t>
  </si>
  <si>
    <t>Publications - Start your own business/marketing/employment law etc books, Business books also_x000D_</t>
  </si>
  <si>
    <t>Sage Courses</t>
  </si>
  <si>
    <t>Sage courses - accounts package course given to clients</t>
  </si>
  <si>
    <t>Schools Programme - Ms2</t>
  </si>
  <si>
    <t>Schools programme - student enterprise competition for secondary school students running from sept to april yearly</t>
  </si>
  <si>
    <t>SHOP</t>
  </si>
  <si>
    <t>SHOP - Trade show for food producers in RDS which last 4 days. The aim of SHOP is to provide small food business's with an opportunity to meet buyers from supermarkets to small independent shops and to hopefully have their products listed with these buyers</t>
  </si>
  <si>
    <t>Showcase - Ms2</t>
  </si>
  <si>
    <t>Client attendance at SHOWCASE - Craft Trade Show in RDS annually</t>
  </si>
  <si>
    <t>Skillnet</t>
  </si>
  <si>
    <t>Skillnet - an innovation cluster for small business in the south east co-ordinated by North Tipp CEB. The innovation cluster included training and mentoring assistance in the development of new products and processes - We confirm that expenditure is EU eligible and can be claimed under the B1 process</t>
  </si>
  <si>
    <t>Subscription</t>
  </si>
  <si>
    <t>Subscription - eg Business &amp; Finance, IMCA, CIPD, Harvard Business review, WMB - monthly magazines</t>
  </si>
  <si>
    <t>Start Your Own Business - MS2</t>
  </si>
  <si>
    <t>Start Your Own Business courses - to enable participans to develop skills to start their own business</t>
  </si>
  <si>
    <t>Spirit of Enterprise</t>
  </si>
  <si>
    <t>Spirit of Enterprise - A week long series of talks seminars networks for start ups and small business</t>
  </si>
  <si>
    <t>Business Advisors</t>
  </si>
  <si>
    <t>Salary for Business Advisors also includes travel and subsistence</t>
  </si>
  <si>
    <t>Time management course to enable participants eliminate time wasting, learn how to prioritise work and how to work more efficiently and effectively.</t>
  </si>
  <si>
    <t>Trade Fair Grants</t>
  </si>
  <si>
    <t>Trade Fair Grants - small grants given to clients to help with cost of stands at trade shows</t>
  </si>
  <si>
    <t>Women in Business Conf</t>
  </si>
  <si>
    <t>Women in Business Conference -regional conference held yearly exclusively for women in business and rotated amongst the counties in the South East</t>
  </si>
  <si>
    <t>Women in Business Network - MS2</t>
  </si>
  <si>
    <t>Women in Business Network - a network for women in business held on a by-monthly basis with guest speakers and entrepreneurs</t>
  </si>
  <si>
    <t>Health &amp; Safety</t>
  </si>
  <si>
    <t>Health &amp; Safety course</t>
  </si>
  <si>
    <t>Staff Appraisals</t>
  </si>
  <si>
    <t>Managing Staff Appraisals couse</t>
  </si>
  <si>
    <t>ITSupport</t>
  </si>
  <si>
    <t>These small IT Support grants were provided to two businesses in order to assist them with the purchase and training of specialised IT software equipment which was not available under our existing capital grant measures. These grants supported the businesses by assisting them with the purchase of the software and associated training.</t>
  </si>
  <si>
    <t>Company Law</t>
  </si>
  <si>
    <t>Compnay law &amp; Directors Course</t>
  </si>
  <si>
    <t>New Product Development</t>
  </si>
  <si>
    <t>New Product/Service Development course</t>
  </si>
  <si>
    <t>Lautwein  Ltd/Capital</t>
  </si>
  <si>
    <t>Design, manufacture and supply of energy efficient heating systems.</t>
  </si>
  <si>
    <t>Sourcing Business from china</t>
  </si>
  <si>
    <t>Sourcing Business From China course</t>
  </si>
  <si>
    <t>Marketing Your Business Online</t>
  </si>
  <si>
    <t>Marketing your business online</t>
  </si>
  <si>
    <t>Andy Cloke &amp; Sons Ltd/Cap</t>
  </si>
  <si>
    <t>Capital Grant - Erection of new buildings to store steel and sheeting provision of gantry and paint extraction unit.  Additional equipment viable of steel fabrication business</t>
  </si>
  <si>
    <t>Anne Murphy/Emp</t>
  </si>
  <si>
    <t>Manufacutre of handcrafted, wood turned urns from native Irish trees</t>
  </si>
  <si>
    <t>FDM Arc Manufacturing Ltd/Cap</t>
  </si>
  <si>
    <t>Manufacture of a range of light weight tile adhesive for sale on the Irish &amp; UK market.</t>
  </si>
  <si>
    <t>Ann Larkin/Cap</t>
  </si>
  <si>
    <t>Manufacture of a range of soft furnishings</t>
  </si>
  <si>
    <t>Fearnog Enterprises Ltd/Emp</t>
  </si>
  <si>
    <t>Employment Grant - Renweable energy solutions and energy consultancy business</t>
  </si>
  <si>
    <t>Philip Callery/Feas</t>
  </si>
  <si>
    <t>Developing a template for specific marking of golf balls</t>
  </si>
  <si>
    <t>Zanna/Cap</t>
  </si>
  <si>
    <t>Manufacture of a range of home make pies, quiches, soups, pates and desserts</t>
  </si>
  <si>
    <t>Mountain View Foods Ltd/Cap</t>
  </si>
  <si>
    <t>Manufacture of a range of traditional pork products.</t>
  </si>
  <si>
    <t>O'Neill Foods Ltd/Cap</t>
  </si>
  <si>
    <t>Expansion of existing business manufacturing home made breads, cakes, preserves and the development of a food hall with focus on stocking and selling locally produced artisan produce.</t>
  </si>
  <si>
    <t>Ross Adventure Barn/Cap</t>
  </si>
  <si>
    <t>Relocation to new premises of adventure play centre for children</t>
  </si>
  <si>
    <t>Ivory Busines Assist Ltd/Feas</t>
  </si>
  <si>
    <t>Study to assist in the development of "Flexi Ticket"</t>
  </si>
  <si>
    <t>Noodles Play Activity Centres/Cap</t>
  </si>
  <si>
    <t>Manufacture and supply of playground equipment</t>
  </si>
  <si>
    <t>Furniture Tech/cap</t>
  </si>
  <si>
    <t>Manufacture of plasma screen integrated TV units</t>
  </si>
  <si>
    <t>Management Systems Certification Ltd/BE</t>
  </si>
  <si>
    <t>To investigae the potential of providing certification services such as ISO9000 to the New England area in the US</t>
  </si>
  <si>
    <t>Creo Couture Cards/Emp</t>
  </si>
  <si>
    <t>Handmade wedding stationary</t>
  </si>
  <si>
    <t>Sonru Ltd/Emp</t>
  </si>
  <si>
    <t>Expansion of remote video interview business which operates via the internet for the recruitment industry</t>
  </si>
  <si>
    <t>Sunrise Industries/Emp</t>
  </si>
  <si>
    <t>Software Development Business</t>
  </si>
  <si>
    <t>The Pure Soap Company/feas</t>
  </si>
  <si>
    <t>Feasibility grant  investigate the manufacturing process and market for liquid soap in the tourism market in Ireland</t>
  </si>
  <si>
    <t>Key Information Systems/Feas</t>
  </si>
  <si>
    <t>Study to develop an integrated software application for training providers to oversee the administration and management needs of businesses that deliver training courses</t>
  </si>
  <si>
    <t>Varoom Ltd/Feas</t>
  </si>
  <si>
    <t>To assist in the development of Pin Point advertising which will sell advertising space on credit card terminal pin pads</t>
  </si>
  <si>
    <t>Film Quest AV/Emp</t>
  </si>
  <si>
    <t>Setting up company which will provide audio visual display systems as well as other services to individuals and corporate clients</t>
  </si>
  <si>
    <t>John Murphy/Feas</t>
  </si>
  <si>
    <t>Develop a prototype mould for the manufacture of concrete troughs which integrates all plumbing fittings</t>
  </si>
  <si>
    <t>Proserve Solutions/Emp</t>
  </si>
  <si>
    <t>Assist in the start up phase of Proserve Solutions Ltd., which will offer outsource preventative maintenance, production analysis and consultancy.</t>
  </si>
  <si>
    <t>Southern Fine Covings &amp; Mouldings/Emp</t>
  </si>
  <si>
    <t>4 Employment Grant - Manufacturing of high quality decorative plasterware and architectural mouldings.</t>
  </si>
  <si>
    <t>May Keegan/Emp</t>
  </si>
  <si>
    <t>Establishment of a specialist wedding and occasional cake business.</t>
  </si>
  <si>
    <t>Accounts &amp; Bookkeeping Clinic</t>
  </si>
  <si>
    <t>Be Smart Programme</t>
  </si>
  <si>
    <t>Be Smart programme - training course run for Women in business on work life balance and strategic planning</t>
  </si>
  <si>
    <t>Blogging for Business</t>
  </si>
  <si>
    <t>Blogging for business - one day course on blogging in business</t>
  </si>
  <si>
    <t>Cashflow &amp; Credit Management</t>
  </si>
  <si>
    <t>Cashflow &amp; Credit Management Clinic</t>
  </si>
  <si>
    <t>How to Promote Your Business Effectively</t>
  </si>
  <si>
    <t>How to promote your business effectively course</t>
  </si>
  <si>
    <t>Marketing Clinic - MS2</t>
  </si>
  <si>
    <t>Marketing Clinic -one to one clinic aimed at owner/manager/ mkt staff to learn new marketing approaches, strategies practical mkt tips to grow and develop their business</t>
  </si>
  <si>
    <t>Website Clinic</t>
  </si>
  <si>
    <t>Website Clinic - aimed at owner/manager/mkt staff for them to learn about new website design, search engine optimisation online marketing and social networking</t>
  </si>
  <si>
    <t>Phoenix Programme - MS2</t>
  </si>
  <si>
    <t>This programme assists new micro enterprises with their accounts setting up correct reporting structures including books of entry bank rec's etc. Capability development.</t>
  </si>
  <si>
    <t>Sales Clinic</t>
  </si>
  <si>
    <t>Sales Clinic aimed at owner/ manager / sales people to discuss sales and learn new approaches practical tips strategies to grow their business</t>
  </si>
  <si>
    <t>Food Innovation Network</t>
  </si>
  <si>
    <t>The food innovation network was set out to assist small food companies to develop new products and to bring these products to market</t>
  </si>
  <si>
    <t>All Things Nice Ltd/PG</t>
  </si>
  <si>
    <t>Priming Grant for the manufacture of confectionery</t>
  </si>
  <si>
    <t>Andy Cloke &amp; Sons Ltd/BE</t>
  </si>
  <si>
    <t>Steel fabrication and erection of farm and industrial buildings - purchase of equipment</t>
  </si>
  <si>
    <t>Audio Video Broadcast/PG</t>
  </si>
  <si>
    <t>Manufcture of low power FM transmitters - purchase of equipment</t>
  </si>
  <si>
    <t>Sunrose Gardens/PG</t>
  </si>
  <si>
    <t>Manufacture and sale of natural/organic body care and skin care products - one employment grant and marketing</t>
  </si>
  <si>
    <t>Scurri Webservices/PG</t>
  </si>
  <si>
    <t>Establishment of a website allowing access to affordable shipping for non-standard producsts - salary and marketing costs</t>
  </si>
  <si>
    <t>Resolution Software Ltd/PG</t>
  </si>
  <si>
    <t>Software business focusing on complaints/investigation and case management for medium to large organisations - salary costs</t>
  </si>
  <si>
    <t>Binty Bags/PG</t>
  </si>
  <si>
    <t>Manufacture of a range of designer handbags and fashion accessories.- Salary Costs</t>
  </si>
  <si>
    <t>Churchland Accounts Ltd/PG</t>
  </si>
  <si>
    <t>Establishment of an internet based accounts and payroll service for the primary school sector - Salary costs_x000D_</t>
  </si>
  <si>
    <t>Crimewatch Monitoring/PG</t>
  </si>
  <si>
    <t>Monitoring station for domestic and commercial security systems. - Salary costs for 4 employees</t>
  </si>
  <si>
    <t>Freshtoday Catering Wexford Ltd/PG</t>
  </si>
  <si>
    <t>Manufacture of a range of individually packed breakfasts &amp; lunches for DEIS schools in Co Wexford which are ordered through an online system. - Salary costs towards 5 employees</t>
  </si>
  <si>
    <t>Global Sentry WMS Ltd/PG</t>
  </si>
  <si>
    <t>Development of a device which allows property owners monitor the use of their property remotely - Salary Costs for 4 employees</t>
  </si>
  <si>
    <t>Scien-tastic /PG</t>
  </si>
  <si>
    <t>Science workshops for children primarily in primary school but also through other settings such as parties summer fun clubs etc.-Salary Costs</t>
  </si>
  <si>
    <t>Econcertive/PG</t>
  </si>
  <si>
    <t>Development of a new environmental certification for small and medium sized enteprises - Salary Costs</t>
  </si>
  <si>
    <t>Applied Composites/PG</t>
  </si>
  <si>
    <t>Repairing Fiberglass Products and Plastics, items include boats, caravans, canoes, bikes etc - Salary Costs</t>
  </si>
  <si>
    <t>RWave Software Ltd/PG</t>
  </si>
  <si>
    <t>Web based task management system that tracks progress and facilitates inclusive communication in a remote workforce - Salary costs</t>
  </si>
  <si>
    <t>Eireann Teicnealaiochtal Teoranta / FIG</t>
  </si>
  <si>
    <t>Feasibility into manufacturing a heat capture unit for central heating boilers</t>
  </si>
  <si>
    <t>Genesis OnLine Ltd/FIG</t>
  </si>
  <si>
    <t>The provision of high definition, TV broadcast quality on-line training to the niche market of Accounting Technicians worldwide togethr with repackaging to suit second Level Leaving Certificate grinds.</t>
  </si>
  <si>
    <t>Good Food Marketing Ireland Ltd/BE</t>
  </si>
  <si>
    <t>Promotion of the Irish food tourism industry nationally and internationally - for one employee</t>
  </si>
  <si>
    <t>Institute of Online Services Ltd</t>
  </si>
  <si>
    <t>Specialist multimedia - internet or PC based training for food and retail industries.</t>
  </si>
  <si>
    <t>Kilderry Instruments Ltd/BE</t>
  </si>
  <si>
    <t>Industrial automation software, telemetry and design. - Salary Costs</t>
  </si>
  <si>
    <t>Martins Jewellers/BE</t>
  </si>
  <si>
    <t>Purchase of laser machine which will be used in the manufacture of handmade jewellery items in addition to repairs.</t>
  </si>
  <si>
    <t>Mary Power/FG</t>
  </si>
  <si>
    <t>Development of a new website justgo.ie offering an opportunity to exploit opportunities in the holiday market in Ireland</t>
  </si>
  <si>
    <t>Meylers Fish Merchants</t>
  </si>
  <si>
    <t>Fish Processing - Capital costs</t>
  </si>
  <si>
    <t>Propel Media/FIG</t>
  </si>
  <si>
    <t>Feasibility of delivering digital video services to businesses including training and the development of Wexford TV.</t>
  </si>
  <si>
    <t>Sharing the Care/BE</t>
  </si>
  <si>
    <t>Provision of private home care for patients in their own home - Marketing costs</t>
  </si>
  <si>
    <t>Softtouch Technologies Ltd/BE</t>
  </si>
  <si>
    <t>Software development company specialising in database management systems and customised database solutions - salary costs towards 2 employees</t>
  </si>
  <si>
    <t>Westgate Computer Centre</t>
  </si>
  <si>
    <t>Refurbishment of computer training centre - capital costs</t>
  </si>
  <si>
    <t>Wexford Picture Framing/BE</t>
  </si>
  <si>
    <t>Picture Framing Business</t>
  </si>
  <si>
    <t>Wexford Brewing Co/FIG</t>
  </si>
  <si>
    <t>Development of a microbrewery with 5 barrel capacity ad 3 fermenting vessels producting up to 13.5 barrel of beer per week</t>
  </si>
  <si>
    <t>Wexgen Ltd/PG</t>
  </si>
  <si>
    <t>Manufacture of carbon neutral briquettes - Salary Costs for 4 employees</t>
  </si>
  <si>
    <t>E-Mail Marketing Course</t>
  </si>
  <si>
    <t>To enable a business to use e-mail as a means of promoting a product or brand to existing or potential customers.</t>
  </si>
  <si>
    <t>Introduction to Goodle Adwords</t>
  </si>
  <si>
    <t>To enable a business to run an_x000D_
effective Google AdWords campaign and to monitor the results</t>
  </si>
  <si>
    <t>Google Analytics</t>
  </si>
  <si>
    <t>To introduce participants to keyconcepts, tools, techniques and practices of web analytics using_x000D_
Google Analytics.</t>
  </si>
  <si>
    <t>Zanna Cookhouse/BE</t>
  </si>
  <si>
    <t>Production of gourmet artisan food including quiches, pies, soups, pate, desserts -  salary costs for 2 employees</t>
  </si>
  <si>
    <t>Introduction to Selling on Ebay</t>
  </si>
  <si>
    <t>To enable participants who have_x000D_
never sold on eBay.ie before to list their first item for sale and then to set up an online eBay shop.</t>
  </si>
  <si>
    <t>Business Awards-MS2</t>
  </si>
  <si>
    <t>Sponsorship of Business Awards. These awards are given to the companies who are nominated as "small business of the year" in Co Wexford</t>
  </si>
  <si>
    <t>Activillage - Feas</t>
  </si>
  <si>
    <t>Online lifestyle management company to serve as a portal for other health and fitness professionals to offer additional services to clients in form of 28 day plan</t>
  </si>
  <si>
    <t>Causeway Clinic/PG</t>
  </si>
  <si>
    <t>Provision of training and services in Neuro Linguistic to the national and international market</t>
  </si>
  <si>
    <t>Happy Campers/PG</t>
  </si>
  <si>
    <t>Conversation of standard panal vans to campers, also to provide campervans for sale and hire</t>
  </si>
  <si>
    <t>Building Envelopes/Exp</t>
  </si>
  <si>
    <t>Purchase of a new thermographic camera</t>
  </si>
  <si>
    <t>Building Envelope /Prim</t>
  </si>
  <si>
    <t>Employing a graduate engineer for provision of specialist on-site building air leakage testing service</t>
  </si>
  <si>
    <t>CPD College / Exp</t>
  </si>
  <si>
    <t>Provision of approved online training courses for professionals seeking to meet their continuing professional developemnt requirements 3 full time jobs supported</t>
  </si>
  <si>
    <t>Fellard Music / Prim</t>
  </si>
  <si>
    <t>Music Studio - to provide business with high quality original music pieces (jingles) tailored especially for each client's products/services - one employee</t>
  </si>
  <si>
    <t>Innovate Business Tech/Exp</t>
  </si>
  <si>
    <t>Expansion of business which delivers IT infrastructure solutions to SME customers</t>
  </si>
  <si>
    <t>Ballyshannon Recycling/Exp</t>
  </si>
  <si>
    <t>Green Waste (Food) Recycling</t>
  </si>
  <si>
    <t>Peromo Ltd/Feas</t>
  </si>
  <si>
    <t>Manufacture of self-watering street planters</t>
  </si>
  <si>
    <t>Pirates Cover/Feas</t>
  </si>
  <si>
    <t>Provision of family entertainment centre</t>
  </si>
  <si>
    <t>Pure Oil Ltd/Prim</t>
  </si>
  <si>
    <t>Supply/packaging of fresh cooking oil 2 jobs supported</t>
  </si>
  <si>
    <t>Shamrock Leisure/Feas</t>
  </si>
  <si>
    <t>Development of prototype, testing of system and production of final business plan on Web on-line sole trader single entry accounts</t>
  </si>
  <si>
    <t>Sharon Somers/Feas</t>
  </si>
  <si>
    <t xml:space="preserve">Production of educational toys for children with learning difficulties </t>
  </si>
  <si>
    <t>Skytel Networks/Exp</t>
  </si>
  <si>
    <t xml:space="preserve">Provision of broadband telephony services for export </t>
  </si>
  <si>
    <t>Stephen Nolan /Feas</t>
  </si>
  <si>
    <t>Manufacture and selling of an automated cattle handling unit</t>
  </si>
  <si>
    <t>Eureka Software/Exp</t>
  </si>
  <si>
    <t>Software development company, in particular for the transport and logistics industry</t>
  </si>
  <si>
    <t>Propel Media / PG</t>
  </si>
  <si>
    <t>Digital media/television production business</t>
  </si>
  <si>
    <t>This co is an umberella band to promote food tourism industry nationally and internationally - one employee - 34001350-03</t>
  </si>
  <si>
    <t>Zanna Cookhouse/Exp</t>
  </si>
  <si>
    <t>Production of gourmet artisan food including quiches, pies, soups, pate, desserts</t>
  </si>
  <si>
    <t>O'Reilly Timber Frame/Pr</t>
  </si>
  <si>
    <t>Manufacture of windows for zero energy houses and advanced certified passive house windows</t>
  </si>
  <si>
    <t>Wexford Piping &amp; Fittings/Exp</t>
  </si>
  <si>
    <t>Manufacturing specific lengths of ductile flanged pip work</t>
  </si>
  <si>
    <t>Softtouch Technologies ltd/Exp</t>
  </si>
  <si>
    <t>Expansion of software development company specialising in off the shelf database managment systems and sustomised database solutions - 2 fulltime jobs</t>
  </si>
  <si>
    <t>Business Idea Clinic- MS2</t>
  </si>
  <si>
    <t>One day clinic to discuss ideas, plans invention or whatever.</t>
  </si>
  <si>
    <t>Cold Calling &amp; Appointmnent Making - MS2</t>
  </si>
  <si>
    <t>Course to help sales people to take calls and enquiries from customers as well as outgoing calls.</t>
  </si>
  <si>
    <t>The Do or Die Marketing Plan</t>
  </si>
  <si>
    <t>Give clients tools to develop and implement an easy to understand marketing plan specific to their own business enabling them to compete more effectively</t>
  </si>
  <si>
    <t>Got to developy your Business Idea</t>
  </si>
  <si>
    <t>Aimed at business in deed of a kick-start to higher plateau or thinking of starting a new venture</t>
  </si>
  <si>
    <t>Facebook for Business - MS2</t>
  </si>
  <si>
    <t>Inform participants how social media tool Facebook can be used in business to promote and sell products and services</t>
  </si>
  <si>
    <t>Facebook &amp; Twitter for Business</t>
  </si>
  <si>
    <t>Inform participants how new social media tools facebook and twitter can be used in business to promote and sell products and services</t>
  </si>
  <si>
    <t>Getting Business Online - MS2</t>
  </si>
  <si>
    <t>To guide participants throught the process of getting website up and runnng.</t>
  </si>
  <si>
    <t>Getting Business Online Workshop</t>
  </si>
  <si>
    <t>Aimed to help participants use the getting business online software tool</t>
  </si>
  <si>
    <t>Google Adwords - MS2</t>
  </si>
  <si>
    <t>Aimed at business to run an effective Google Adwords campaign and to monitor the results.</t>
  </si>
  <si>
    <t>LinkedIn for Business - MS2</t>
  </si>
  <si>
    <t>Inform participants exactly what LinkedIn is, its benefits and how it can add to a business</t>
  </si>
  <si>
    <t>Online Marketing Clinic</t>
  </si>
  <si>
    <t>One to one clinic where participant can meet a website expert to discuss how their website can be improved to bring in more sales.</t>
  </si>
  <si>
    <t>PR Clinic - MS2</t>
  </si>
  <si>
    <t>Participants to  meet PR consultant for a one to one meeting to discuss current challenges and opportunities. This will determine PR tactics to gain media coverage</t>
  </si>
  <si>
    <t>Sales &amp; Selling Clinic</t>
  </si>
  <si>
    <t>One to one meeting to improve sales ideally without adding additional costs to the businesss</t>
  </si>
  <si>
    <t>Twitter for Business - MS2</t>
  </si>
  <si>
    <t>Aimed at business interested in promoting their business through Twitter</t>
  </si>
  <si>
    <t>Sponsorship</t>
  </si>
  <si>
    <t>Sponsorship for events held in conjunction with WExford Chamber and Business Expo</t>
  </si>
  <si>
    <t>Sample Marketing Plan for issue to small business/owner managers to help them create their marketing plan. This sample is used for training courses, workshops and business clinics.</t>
  </si>
  <si>
    <t>E-Business Grants 2011</t>
  </si>
  <si>
    <t>The e-business grant is given to small business to set up websites, the company have to send in receipted invoices and will be paid 50% of the cost excluding VAT and up to a maximum of €1000.</t>
  </si>
  <si>
    <t>Trade Fair Grants 2011</t>
  </si>
  <si>
    <t>This is a grant given to a small company to attend/exhibit at a Trade Fair. The grant is given when receipted invoices are produced up to a maximum of €1,000 excluding VAT.</t>
  </si>
  <si>
    <t>Branding - MS2</t>
  </si>
  <si>
    <t>A course to develop/enhance branding, key brand objectives and implement/create a strong brand.</t>
  </si>
  <si>
    <t>BRC Certification - MS2</t>
  </si>
  <si>
    <t>Delivery of quality business skills training to start ups and expanding businesses invite tenders for delivery of British Retail Consortium (BRC) Mentoring/Consulting and Certification</t>
  </si>
  <si>
    <t>Business Idea Workshop-MS2</t>
  </si>
  <si>
    <t>This workshop helps clients to explore new ways to generate business ideas through mind maps, brainstroming and other creative thinking stimuli.</t>
  </si>
  <si>
    <t>Luminate Conference -MS2</t>
  </si>
  <si>
    <t>The aim of the conference is to promote and encourage entrepreneurship in Wexford and the_x000D_South East. This event is specifically aimed at owners of young businesses who would not normally attend business conferences, and this event has a different look and feel to a standard conference event_x000D_</t>
  </si>
  <si>
    <t>E Business Grants 2012 - MS2</t>
  </si>
  <si>
    <t>Ploughing Championships - MS2</t>
  </si>
  <si>
    <t>Wexford and South East County and City Enterprise Boards took part in the Ploughing Championships in Wexford in September 2012, they took out a stand and held PR sessions to promote business in the South East</t>
  </si>
  <si>
    <t>Pinterest for Business - MS2</t>
  </si>
  <si>
    <t>This course is aimed at demonstrating how to get the most from Pinterest and drive traffic to your website.</t>
  </si>
  <si>
    <t>Sales Clinic and Workshop - MS2</t>
  </si>
  <si>
    <t>Owner/Managers that want to improve their sales ideally without adding additional cost to the business, also aimed at sales managers responsibility for delivering sales</t>
  </si>
  <si>
    <t>Social Media Clinic - MS2</t>
  </si>
  <si>
    <t>one day clinic where owner/managers and marketing staff can identify and develpop social media strategy to fit their business.</t>
  </si>
  <si>
    <t>Techovate - MS2</t>
  </si>
  <si>
    <t>This was a technology confernce held in the Opera House in wexford to support small business's and start up companies in the technology business</t>
  </si>
  <si>
    <t>Tendering Couse - MS2</t>
  </si>
  <si>
    <t>To provide participants with an understanding of the main types of tendering processes and the key stages</t>
  </si>
  <si>
    <t>Trade Fair Grants 2012 - MS2</t>
  </si>
  <si>
    <t>Wexford Seafood Business Development - MS2</t>
  </si>
  <si>
    <t>This was a business development course run specificially for seafood producers in co Wexford run in conjunction with BIM</t>
  </si>
  <si>
    <t>Activillage  - PG</t>
  </si>
  <si>
    <t>Establishment of a web based weight management social networking community</t>
  </si>
  <si>
    <t>Aspect Business Intelligence Ltd = PG</t>
  </si>
  <si>
    <t>IT Consultancy</t>
  </si>
  <si>
    <t>Bluewater Seafoods Ltd - PG</t>
  </si>
  <si>
    <t>Produce high quality, innovations seafood products for export and distribute a range of products to wholesale companies throughout Ireland.</t>
  </si>
  <si>
    <t>Borovalley Veterinary Clinic - BExp</t>
  </si>
  <si>
    <t>Veterinary clinical services to the equine industry.</t>
  </si>
  <si>
    <t>Greentree Mobile Showers L td - Feas</t>
  </si>
  <si>
    <t>The company designs, builds and provides mobile shower units specifically for Music festivals and events, this application is to develop an ujnderfloor automated pumping system to improve the overall effectiveness of the showers.</t>
  </si>
  <si>
    <t>Innovate Business Technology - Exp</t>
  </si>
  <si>
    <t>My Craftportal- PG</t>
  </si>
  <si>
    <t>Online sales tool for Irish craftspeople, artisan producers and artists to reach and sell to domestic and international customers.</t>
  </si>
  <si>
    <t>Christening Elegance - PG</t>
  </si>
  <si>
    <t>Manufacture and sale of handmade christening clothing and accessories via the Internet to a worldwide customer base.</t>
  </si>
  <si>
    <t>Greenvalley Farms t/a Killowen Farm - Exp</t>
  </si>
  <si>
    <t>Manufacture of of yoghurts and chilled desserts for sale through multiple's such as Aldi, Tesco and Dunnes Stores etc. The capital costs was for the construction of a factory unit and production facility.</t>
  </si>
  <si>
    <t>Linguaswap - Exp</t>
  </si>
  <si>
    <t>Website developed by language teachers to provide an interactive forum for language learners at second level.</t>
  </si>
  <si>
    <t>Croi handmade Chocolatest - PG</t>
  </si>
  <si>
    <t>Produce premium handmade chocolates Employment/Capital grant</t>
  </si>
  <si>
    <t>Moira Dempsey - Feas</t>
  </si>
  <si>
    <t>Provision of a dedicated online resource games music library.</t>
  </si>
  <si>
    <t>Peak Performance Ltd - Exp</t>
  </si>
  <si>
    <t>Peak Performance supplies pet suplements to its own formulation, to all levels of pets such as dogs, cats, etc. These supplements are dold on both the Irish market and Internationally.</t>
  </si>
  <si>
    <t>Pure Oil - BE</t>
  </si>
  <si>
    <t>Collection and refining of used cooking oils/fats</t>
  </si>
  <si>
    <t>Recruit2oz Ltd - PG</t>
  </si>
  <si>
    <t>Establishment of recruitment company specializing in recruitment for the Australian/New Zeland markets.</t>
  </si>
  <si>
    <t>Rimach Engineering Ltd  -BE</t>
  </si>
  <si>
    <t>The company currently specialises in the manufacture of sheargrabs/blockcuters. the Company is planning to develop its range of loader implements basedon customer feedback and market requirements.</t>
  </si>
  <si>
    <t>Sean Ros Industries Ltd - Exp</t>
  </si>
  <si>
    <t>For the manufacture of wooden batton - Piece of wood for pallets - from downgrade OSB (Oriented Strand Board) Board.To utilize 95% of the downgrade board the promoter meeds to purhcase a calibration sander and 5 sided moulder.</t>
  </si>
  <si>
    <t>Taoglas Group Holdings ltd, - Exp</t>
  </si>
  <si>
    <t>Provision of antennas and radio frequency solutions to the machine to machine market globally. These are base station, external and embedded antennas for automotive, metering telemetry, remote monitoring and medical devices.</t>
  </si>
  <si>
    <t>Tom Doyle t/a Rossini - Feas</t>
  </si>
  <si>
    <t>Manufacture of shower doors and trays for less abled persons</t>
  </si>
  <si>
    <t>Wexford Diesel Services Ltd - exp</t>
  </si>
  <si>
    <t>Diesel fuel systems on cars, commercial vehicles and agriculture equipment.</t>
  </si>
  <si>
    <t>Wexford Information Systems Engineering LTd, - Exp</t>
  </si>
  <si>
    <t>Development, technical and consultancy services for the design, construction and implementaton of computer based solutions for administrative, suply chain logistics and manufacturing applications</t>
  </si>
  <si>
    <t>Time Management - MS2</t>
  </si>
  <si>
    <t>WEXFORD TOTAL</t>
  </si>
  <si>
    <t>Eamon Kelly</t>
  </si>
  <si>
    <t>Installation of a Gilles HPK 145 kW wood chip boiler</t>
  </si>
  <si>
    <t>Wicklow</t>
  </si>
  <si>
    <t>Woodwedge Ltd</t>
  </si>
  <si>
    <t>Installation of a 16 kW heat pump.</t>
  </si>
  <si>
    <t>Congregation of Dominican Sisters, Irish Region</t>
  </si>
  <si>
    <t>The grantee will install a 150kW wood pellet boiler at the Dominican Farm &amp; Ecology Centre</t>
  </si>
  <si>
    <t>Roundwood Parish Hall</t>
  </si>
  <si>
    <t>The project aims to meet a significant fraction of the hot water requirements of the building from solar energy. It is intended to install a 300ltr dual coil calorifier with 3no flat slar panels. Total area of 7.56m2 (6.87m2 aperture area)</t>
  </si>
  <si>
    <t>Woodfab Timber Ltd</t>
  </si>
  <si>
    <t>Feasibility study on burning woodchip to heat the office and kiln.</t>
  </si>
  <si>
    <t>Portella Developments</t>
  </si>
  <si>
    <t>Installation of a 40 kw heat pump.</t>
  </si>
  <si>
    <t>Michael Byrne</t>
  </si>
  <si>
    <t>There are a number of dwellings and commercial office space on the Glen Mill Golf Club campus. Each of these buildings has a separate oil fired heating system for heating and DHW production. Electric immersions are also used to supplement the DHW load_x000D_</t>
  </si>
  <si>
    <t>Obalus Hotel Company Limited</t>
  </si>
  <si>
    <t>Installation of 1 no. ENER.G 230 CHP unit and peripheral equipment.  CHP unit to be installed to reduce energy costs and energy requirements on site._x000D_</t>
  </si>
  <si>
    <t>Clearpower are a bio-energy company currently involved in biomass boilers, biomass fuel supply and biosolids/organic waste recycling. Clearpower feel there is a commercial opportunity in anaerobic digestion/biogas which would be a natural fit to the existi_x000D_ng</t>
  </si>
  <si>
    <t>Mageiteagain Ltd</t>
  </si>
  <si>
    <t>Installation of 1 no. ENER.G 90 CHP unit and Peripheral equipment. CHP will be installed to reduce energy, environmental costs &amp; requirements on site_x000D_</t>
  </si>
  <si>
    <t>Alfred Beit Foundation</t>
  </si>
  <si>
    <t>Installation of a 100 KWB Bultifire wood pellet boiler.</t>
  </si>
  <si>
    <t>Installation of 9m2 of evacuated solar panels.</t>
  </si>
  <si>
    <t>Greystones Vet Hospital</t>
  </si>
  <si>
    <t>Installation of 4.36m2 evacuated solar tubes.</t>
  </si>
  <si>
    <t>Servier Ireland Industries</t>
  </si>
  <si>
    <t>the grantee will reduce the air changes while maintaining compliance with ISO 14644.</t>
  </si>
  <si>
    <t>Alert Packaging Ltd</t>
  </si>
  <si>
    <t>Installation of Energy Efficient: Condensing boiler, Lighting in production area, Air Compressor and 60 evacuated tube solar panels</t>
  </si>
  <si>
    <t>Multilane Ltd</t>
  </si>
  <si>
    <t>Various Heating and hot water upgrades, Installation of solar collectors, Wall and roof insulation, Provide Key Card system within bedroom, Upgrade Lighting</t>
  </si>
  <si>
    <t>Powerscourt Estates Ltd</t>
  </si>
  <si>
    <t>Installation of heat pump with LPG fired gas engine, energy monitoring and control systems, LED lighting.</t>
  </si>
  <si>
    <t>Servier Ireland Industries Ltd</t>
  </si>
  <si>
    <t>Cross connect two steam headers between UPA1 and UPA2 and seam condensate.  Install a LPHW steam plate and pressure reducing station within the UPA1 plant room. Implement weather compensation on the LPHW system and install variable speed drive controls on the boiler feed water pumps and the air intake fan on the lead steam boiler within UPA2.</t>
  </si>
  <si>
    <t>Schering-Plough</t>
  </si>
  <si>
    <t>Carry out a review of the site's Nitrogen Systems and seek energy efficiency and cost saving opportunities.</t>
  </si>
  <si>
    <t>Irish Driver Ass - 07</t>
  </si>
  <si>
    <t>A comprehensive fully accredited driver education programme based on years of research and development, other similar programmes in the US have proven to reduce fatal road accidents by 50%</t>
  </si>
  <si>
    <t>McDivot Ltd.</t>
  </si>
  <si>
    <t>Manufacture of biodegradable stakes for use in erosion control, landscaping and golf course maintenance</t>
  </si>
  <si>
    <t>Adamswood Invesments Ltd. 07</t>
  </si>
  <si>
    <t>Creative Chefs produces a range of chilled meals</t>
  </si>
  <si>
    <t>Jenerate Ltd - Feb 07</t>
  </si>
  <si>
    <t>developed an internet based management information system called ServiceView that has been refined for the Mortgage broker market in the UK and Ireland</t>
  </si>
  <si>
    <t>Astron Engineering Ltd.- 07</t>
  </si>
  <si>
    <t>manufacture a chill cabinet</t>
  </si>
  <si>
    <t>Interior Innovations Ltd.- Apr. 07</t>
  </si>
  <si>
    <t>Manufacture of furniture</t>
  </si>
  <si>
    <t>Drapeage Ltd. - June 2007</t>
  </si>
  <si>
    <t>manufacture high quality drapes, blackout cloths, tracking and soft goods set material</t>
  </si>
  <si>
    <t>Lmentech Ltd. - Feb 07</t>
  </si>
  <si>
    <t>potable water quality as part of best practice in health and safety management</t>
  </si>
  <si>
    <t>Divito Studios Ltd.- Sept 07</t>
  </si>
  <si>
    <t>manufacturing and the service industry and the company is involved in four main areas of work.Conservation / restoration of historic stained glass. Glass commissions. Consumer glass sales. Glass manufacturing and restoration workshops</t>
  </si>
  <si>
    <t>Fresh 2 Cook - Apr 07</t>
  </si>
  <si>
    <t>a range of healthy option ready to cook meals</t>
  </si>
  <si>
    <t>Sinead Robinson - Nov 07</t>
  </si>
  <si>
    <t>Fashion design and manufacturing.  Employment Grant approved in respect of the Promoter</t>
  </si>
  <si>
    <t>The Yarn Room - Feb 08</t>
  </si>
  <si>
    <t>sell yarn and kits containing all the tools required for the craft, but the business will also sell knitted products, appealing to the target market in question.</t>
  </si>
  <si>
    <t>MXI Computing Ltd - Feb 08</t>
  </si>
  <si>
    <t>customises existing productivity measurement and planning software</t>
  </si>
  <si>
    <t>Creative Sauces Ltd. - Nov 07</t>
  </si>
  <si>
    <t>Manufacturing of sauces etc.  FS grant for hot sauces, gravy's etc</t>
  </si>
  <si>
    <t>Laura's Bakery Ltd. - Feb 08</t>
  </si>
  <si>
    <t>Manufacture of cookies etc. using spelt flour</t>
  </si>
  <si>
    <t>Microtolerance Ltd. - June 08</t>
  </si>
  <si>
    <t>precision engineering company.  A capital grant was approved in relation to the purchase of machinery.</t>
  </si>
  <si>
    <t>SSOL Ltd. - June 08</t>
  </si>
  <si>
    <t>router which connects the users computer to the secure SSOL network, bringing the connection through firewall, security software and filtration system</t>
  </si>
  <si>
    <t>Vicarious Venture Visions Ltd - Apr 08</t>
  </si>
  <si>
    <t>design, manufacture &amp; commercialisation of golfing equipment and accessories</t>
  </si>
  <si>
    <t>Visualise Ltd. - Apr 08</t>
  </si>
  <si>
    <t>Develop prototype for basket advertising</t>
  </si>
  <si>
    <t>Savage Motors Ltd. - Apr 08</t>
  </si>
  <si>
    <t>manufacture of sports car</t>
  </si>
  <si>
    <t>Patricia O'Sullivan - Oct 08</t>
  </si>
  <si>
    <t>An internet platform (website) which brings together SMEs requiring advice and professional advisors using the latest web 2.0 technologies</t>
  </si>
  <si>
    <t>Language Connexions Ltd. - Oct. 08</t>
  </si>
  <si>
    <t>The English box is a product which consists of a language manual and scratch card with a code</t>
  </si>
  <si>
    <t>Start Your Own Businesss training course for clients</t>
  </si>
  <si>
    <t>Management Development Programme</t>
  </si>
  <si>
    <t>6 month MDP Training Programme certified by Carlow IT, for clients of Wicklow CEB</t>
  </si>
  <si>
    <t>Seminars ran on various topics for clients of Wicklow CEB</t>
  </si>
  <si>
    <t>KESP Training Course</t>
  </si>
  <si>
    <t>Knowledge Economey S. Programme</t>
  </si>
  <si>
    <t>Beginners Guide to the Internet</t>
  </si>
  <si>
    <t>Courses ran in relation to introduction to the internet, beginners guide to the internet. etc.</t>
  </si>
  <si>
    <t>Online Security for Your Business Course</t>
  </si>
  <si>
    <t>course ran in relation to online security</t>
  </si>
  <si>
    <t>e-Commerce Course</t>
  </si>
  <si>
    <t>training course on e-Commerce</t>
  </si>
  <si>
    <t>Web Design Course</t>
  </si>
  <si>
    <t>Website Design training course for Wicklow CEB Clients</t>
  </si>
  <si>
    <t>Sage</t>
  </si>
  <si>
    <t>training on computerised accounts package called SAGE, for Wicklow CEB clients</t>
  </si>
  <si>
    <t>TAS Books</t>
  </si>
  <si>
    <t>training on computerised accounts training package called TAS Books for Wicklow CEB Clients</t>
  </si>
  <si>
    <t>training on computerised accounts package Big Red Book</t>
  </si>
  <si>
    <t>Website Workout</t>
  </si>
  <si>
    <t>training course on Website Workout which gets people to relook at their websites and how to get the most out of it.</t>
  </si>
  <si>
    <t>Business Blogging</t>
  </si>
  <si>
    <t>training course for clients on using blogs in your business</t>
  </si>
  <si>
    <t>Building an Online Shop</t>
  </si>
  <si>
    <t>course on how to build an online shop for Wicklow CEB clients</t>
  </si>
  <si>
    <t>Google Adwords</t>
  </si>
  <si>
    <t>course on how to use google adwords</t>
  </si>
  <si>
    <t>Search Engine (incl. google ads)</t>
  </si>
  <si>
    <t>course on search engines which includes google adwords</t>
  </si>
  <si>
    <t>ACT (CRM)</t>
  </si>
  <si>
    <t>A training course for clients on how to use ACT software. ACT is a CRM (customer relationship management) package, very useful to SMEs.</t>
  </si>
  <si>
    <t>eBay Course</t>
  </si>
  <si>
    <t>course on how to use eBay in your business for Wicklow CEB clients</t>
  </si>
  <si>
    <t>Website Optimisation</t>
  </si>
  <si>
    <t>course on optimising your website for Wicklow CEB clients</t>
  </si>
  <si>
    <t>Course relating to marketing for wicklow ceb clients</t>
  </si>
  <si>
    <t>Business Law</t>
  </si>
  <si>
    <t>course on business Law</t>
  </si>
  <si>
    <t>Exporting Course</t>
  </si>
  <si>
    <t>Course on how to export</t>
  </si>
  <si>
    <t>Business Expansion Course</t>
  </si>
  <si>
    <t>Course on how to expand your business</t>
  </si>
  <si>
    <t>Employment Law Course</t>
  </si>
  <si>
    <t>course on Employment Law for wicklow ceb clients</t>
  </si>
  <si>
    <t>Reducing Your Overheads</t>
  </si>
  <si>
    <t>course on how to reduce overheads in your business</t>
  </si>
  <si>
    <t>Communicating Your Business Through the Media</t>
  </si>
  <si>
    <t>course on how to communicate your business through the media</t>
  </si>
  <si>
    <t>HACCP</t>
  </si>
  <si>
    <t>training course on HACCP (for food companies)</t>
  </si>
  <si>
    <t>Guided Market Visits</t>
  </si>
  <si>
    <t>Guided Market Visit course for Wicklow CEB clients.  This involves a day during which participants visited some of the top craft and gift retail outlets in Dublin city centre.  With the guidance of expert design consultant Pat Mc Carthy, those present were able to assess their marketplace in a practical and hands on manner</t>
  </si>
  <si>
    <t>basic bookkeeping course for wicklow ceb clients</t>
  </si>
  <si>
    <t>Sales Training course for Wicklow CEB clients</t>
  </si>
  <si>
    <t>Self Assessment Tax &amp; VAT</t>
  </si>
  <si>
    <t>course on self assessment tax &amp; VAT for Wicklow CEB clients</t>
  </si>
  <si>
    <t>How To Tender Successfully</t>
  </si>
  <si>
    <t>course on how to tender succesffuly for wicklow ceb clients</t>
  </si>
  <si>
    <t>Keeping Your Business Financially Healthy</t>
  </si>
  <si>
    <t>Keeping Your Business Financially healthy for wicklow ceb clients</t>
  </si>
  <si>
    <t>Unlocking InnovationTraining Course</t>
  </si>
  <si>
    <t>An 'Unlocking Innovation' programme for 6 client companies of Wicklow CEB. Took the form of a training course (topic: to 'unlock'  innovation in these companies), with pre-course assessment and onsite visits also. A number of CEBs collaborated on this programme. It was funded internally by CEB resources.</t>
  </si>
  <si>
    <t>Hiring &amp; Keeping Staff</t>
  </si>
  <si>
    <t>course on how to hire and keep staff</t>
  </si>
  <si>
    <t>Planning for Growth</t>
  </si>
  <si>
    <t>course on how to plan for growth in your business</t>
  </si>
  <si>
    <t>Selling Skills</t>
  </si>
  <si>
    <t>Selling skills course</t>
  </si>
  <si>
    <t>How To Get Paid Ontime</t>
  </si>
  <si>
    <t>course on how to get paid ontime for wicklow ceb clients</t>
  </si>
  <si>
    <t>Company Law course</t>
  </si>
  <si>
    <t>Pricing Goods &amp; Services</t>
  </si>
  <si>
    <t>course on how to price your goods or service for Wicklow CEB Clients</t>
  </si>
  <si>
    <t>Enablers Meeting</t>
  </si>
  <si>
    <t>Meeting to inform enablers such as banks, fas, solicitors, accountants etc. about what wicklow ceb do</t>
  </si>
  <si>
    <t>Women In Business Network</t>
  </si>
  <si>
    <t>WIB network for Women</t>
  </si>
  <si>
    <t>Owner Manager Network for wicklow ceb clients</t>
  </si>
  <si>
    <t>Business Advice Clinics</t>
  </si>
  <si>
    <t>Advice clinics for Wicklow CEB clients in Bray, and Rathnew.Costs involved are venue hire in Bray and the Advisor's fees.</t>
  </si>
  <si>
    <t>Enterprise Bus - CEB's accross the country participated int his. Wicklow CEB had the bus for one week in May 2009, the bus is located at various locations around the county for the public to pop on and meet a member of staff to discuss their business and get advice.</t>
  </si>
  <si>
    <t>Enterprise Information Day</t>
  </si>
  <si>
    <t>Enterprise Information Day - we held an information day at our premises with various stands including Revenue Commissioners, FAS, Social Welfare, County Council, Enterprise Centres, ODCE, Patents office and many more including Wicklow CEB stand, for the public to attend</t>
  </si>
  <si>
    <t>Student Enterprise Programme</t>
  </si>
  <si>
    <t>Student Enteprise Programme</t>
  </si>
  <si>
    <t>PR of Wicklow CEB to include Newsletters, training brochures and information packs.</t>
  </si>
  <si>
    <t>Celebrating Enterprise Event</t>
  </si>
  <si>
    <t>Celebrating Enterprise Event to clients who achieved an award</t>
  </si>
  <si>
    <t>Mentoring / Business Advice</t>
  </si>
  <si>
    <t>Mentoring and business advice services to clients</t>
  </si>
  <si>
    <t>Website for Wicklow CEB</t>
  </si>
  <si>
    <t>Design and build of the ecommerce enabled section of Wicklow CEB's website to allow clients to book &amp; pay online for training courses (seperate to other part of website).</t>
  </si>
  <si>
    <t>PRINTING</t>
  </si>
  <si>
    <t>Printing of information packs during 2009 which includes information on Grants, training, networks, business plan guidelines.Prior to 2009 printing included</t>
  </si>
  <si>
    <t>Innovation Grants to include: website development grant; trade show grants; marketing grant; protection of IP grant; brand development grant; export development grant</t>
  </si>
  <si>
    <t>Attendance of wicklow CEB clients at Exhibitions mainly SHOP</t>
  </si>
  <si>
    <t>Marketing for Wicklow CEB</t>
  </si>
  <si>
    <t>Marketing - includes Advertising; pr; direct marketing/postage; signage</t>
  </si>
  <si>
    <t>Books</t>
  </si>
  <si>
    <t>Books - mailing SYOB books for participants on courses etc.</t>
  </si>
  <si>
    <t>Roadshows</t>
  </si>
  <si>
    <t>Various locations around the county where we had talks and short seminars to promote Wicklow CEB and to create awarness of our existance.</t>
  </si>
  <si>
    <t>M2-Enterprise Promotions Committee</t>
  </si>
  <si>
    <t>Enterprise Promotions Committee (National Level)</t>
  </si>
  <si>
    <t>National Enterprise Awards</t>
  </si>
  <si>
    <t>Training For Clients</t>
  </si>
  <si>
    <t>Training courses for clients (attendance at Irish Internet Conference; Irish Exporter's course 'Celtic Recipie Programme'; Attendance at IIA National Congress)</t>
  </si>
  <si>
    <t>Using Technology for Market Research</t>
  </si>
  <si>
    <t>Training course for clients on how to use technology to do Market Research</t>
  </si>
  <si>
    <t>Low Cost Office Setup</t>
  </si>
  <si>
    <t>IT training course for clients on how to set up a low cost office</t>
  </si>
  <si>
    <t>Driving Traffic To Your Website</t>
  </si>
  <si>
    <t>IT training course on how to drive traffic to your website for Wicklow CEB clients</t>
  </si>
  <si>
    <t>D.I.Y Promotional Material Course</t>
  </si>
  <si>
    <t>Training course for wicklow ceb clients on DIY Promotional Material</t>
  </si>
  <si>
    <t>Introduction to Business Workshop</t>
  </si>
  <si>
    <t>Introduction to Business Workshop for Wicklow CEB clients</t>
  </si>
  <si>
    <t>Bookkeeping using Excel</t>
  </si>
  <si>
    <t>Bookkeeping using excel training course for Wicklow CEB clients</t>
  </si>
  <si>
    <t>Sourcing Funds &amp; Dealing with Banks</t>
  </si>
  <si>
    <t>training course on Sourcing Funds and Dealing with Banks for Wicklow CEB clients</t>
  </si>
  <si>
    <t>Practiacal Innovation in Tough Times</t>
  </si>
  <si>
    <t>Course on Practical Innovation in Tough Times for Wicklow CEB clients</t>
  </si>
  <si>
    <t>Doing Business with China</t>
  </si>
  <si>
    <t>Course on Doing Business with China for Wicklow CEB Clients</t>
  </si>
  <si>
    <t>eTendering</t>
  </si>
  <si>
    <t>Training on eTendering for clients of Wicklow CEB</t>
  </si>
  <si>
    <t>M2-Reinventing Your Business</t>
  </si>
  <si>
    <t>Course on Reinventing Your Business for Wicklow CEB clients</t>
  </si>
  <si>
    <t>From Concept to Commercialisation</t>
  </si>
  <si>
    <t>training course on Concept to Commercialisation for Wicklow CEB clients</t>
  </si>
  <si>
    <t>Christmas at Clermont</t>
  </si>
  <si>
    <t>Christmas at Clermont exhibition held at our premises to promote local businesses in the County, clients of Wicklow CEB exhibited at this event.</t>
  </si>
  <si>
    <t>Hi Start Programme</t>
  </si>
  <si>
    <t>Hi Start Training Programme for clients</t>
  </si>
  <si>
    <t>Erik Van Der Does</t>
  </si>
  <si>
    <t>bio fuel plant in Co. Wicklow. _x000D_Purpose of Feasibility Study_x000D_-To determine the following: The size of the proposed facility. The costs associated with this manufacturing facility. The best way to fit out the plant. A pricing structure for the product once developed. How best to approach the market. Where the biggest demand for bio fuels are.</t>
  </si>
  <si>
    <t>Sean Kelly</t>
  </si>
  <si>
    <t>develop a software product that addresses the identified need for a simple and effective system to manage function reservations, aimed at hotels which currently use combinations of inappropriate generic packages and hand written diaries</t>
  </si>
  <si>
    <t>M1(CG)-JJP Consulting</t>
  </si>
  <si>
    <t>SMA specialises in Quality and Customer Service Audits, an internationally tradeable service for which SMA were approved a Capital Grant in October 2008 - to develop and build handheld devices that automate the auditing and feedback process</t>
  </si>
  <si>
    <t>Breda Matthews</t>
  </si>
  <si>
    <t>design and print of wedding stationery for the Irish, UK and USA markets.</t>
  </si>
  <si>
    <t>Creative Learning Tools (Irl) Ltd.</t>
  </si>
  <si>
    <t>development by the Promoters of a board game entitled Salubia</t>
  </si>
  <si>
    <t>Irish Quilting Ltd. - Feb 09</t>
  </si>
  <si>
    <t>This is a 98 page magazine devoted to the crafts of quilting (patchwork), stitching and textile art.  3 full time employment grants approved</t>
  </si>
  <si>
    <t>Function Systems Ltd.</t>
  </si>
  <si>
    <t>The company designs and produces software aimed at the hotel industry and is developing an online booking site</t>
  </si>
  <si>
    <t>Nurses Uniforms Ltd.</t>
  </si>
  <si>
    <t>Nurses Uniforms designs and manufactures a range of uniforms for the nursing and associated professions in Ireland</t>
  </si>
  <si>
    <t>Oishii Foods</t>
  </si>
  <si>
    <t>Oishii Foods aim to provide high quality, authentic Japanese food products to Irish customers.  The product consists of packaged servings of sushi (fish &amp; vegetarian options) that come with wasabi, soy sauce and pickled ginger</t>
  </si>
  <si>
    <t>The company designs and produces software aimed at the hotel industry and is in the final development stages of the online booking site (a web portal that interfaces with the software).</t>
  </si>
  <si>
    <t>Michael Morris, My Toy Crafts</t>
  </si>
  <si>
    <t>manufacturing high spec toy models of farms, horse arenas, barns, doll houses, castles, wrestling rings and windmills</t>
  </si>
  <si>
    <t>BAER Business Solutions Ltd.</t>
  </si>
  <si>
    <t>MyProjectTracker is an SAAS product, i.e. Software as a Service.  Operating a business using an SAAS system is both cost effective and efficient, as it removes the need for individual licences for each piece of software</t>
  </si>
  <si>
    <t>JJP Consulting</t>
  </si>
  <si>
    <t>Organic Herb Company</t>
  </si>
  <si>
    <t>Manufacture of a range of organic seed mixes. Development and design of a range of other organic products, including flavoured oils. Selling into retail outlets and the hospitality trade</t>
  </si>
  <si>
    <t>iflow Technologies</t>
  </si>
  <si>
    <t>feasibility of introducing the full package into the UK market. To ascertain how to obtain an allocation of telecoms numbers for different countries</t>
  </si>
  <si>
    <t>Mayday Corporation Ltd.</t>
  </si>
  <si>
    <t>development and commercialisation of a new software application aimed at supporting individuals who wish to start their own business. The software will supply support from idea through the first year of trading, including incorporating simple financial management software as well as business planning and trading guides</t>
  </si>
  <si>
    <t>Calnan&amp; Anhoj</t>
  </si>
  <si>
    <t>create pieces using hand forged iron, bog oak, bronze, stone and glass._x000D_
BOARD APPROVAL:  The first instalment of two employment grants in the sum of €3,750</t>
  </si>
  <si>
    <t>Motu Digital Media Services</t>
  </si>
  <si>
    <t>looking to explore the opportunities for interactive style marketing  incorporating the idea of social networking sites with advertising, and using the latest in digital technology to provide a new advertising medium</t>
  </si>
  <si>
    <t>develop a range of uniquely designed vinyl adhesive coverings offering personalisation to users for a wide range of items including mobile phones, laptops, cameras, ipods, shoes</t>
  </si>
  <si>
    <t>Hats by Jean</t>
  </si>
  <si>
    <t>Jean produces bespoke hats, mainly for weddings or for the races.  She can match a hat to a particular dress or outfit so that it is an exact match for the client</t>
  </si>
  <si>
    <t>Louloubelle Bags Ltd.</t>
  </si>
  <si>
    <t>Louloubelle designs Italian luxury leather handbags exclusively, in limited editions.  _x000D_BOARD APPROVAL: 1st Instalment of one employment grant of €3,750; €4,100 towards marketing; €2,700 towards consultancy costs</t>
  </si>
  <si>
    <t>Salary Costs in relation to 100% of Business Advisor</t>
  </si>
  <si>
    <t>training course for clients on Exporting</t>
  </si>
  <si>
    <t>Mica Management Consulting Ltd.</t>
  </si>
  <si>
    <t>Feasibility study for to find out if the benchmarking service which has been successful in Ireland can be rolled out in the UK. This will also serve as a test for international markets generally.</t>
  </si>
  <si>
    <t>Videosonthenet - 2009</t>
  </si>
  <si>
    <t>offers the service of very high quality broadcast quality videos for customers websites</t>
  </si>
  <si>
    <t>Loco Nacho - 09</t>
  </si>
  <si>
    <t>produce conveniently packaged premium snacks for the retail and entertainment sector.  BOARD APPROVAL: total approved €80,000.  €15,000 for 1st Instal. of 2 empl. grants; and €65,000 towards the cost of equipment and furnishings.  NOTE:  €29,058.77 was paid from the Refundable Aid Account i.e. this amount is not recorded on B1 form.  And 1 of the Employment Grant aspects was not drawndown i.e. only €7,500 of the €15,000 was drawn down.</t>
  </si>
  <si>
    <t>Irish Quilting Ltd. - Oct 09</t>
  </si>
  <si>
    <t>98 page magazine devoted to the crafts of quilting (patchwork), stitching and textile art</t>
  </si>
  <si>
    <t>BAER Business Solutions Ltd. - Feb 10</t>
  </si>
  <si>
    <t>MyProjectTracker is an "Software as a Service" product,i.e. BAORD APPROVAL:  €5,000 in respect of 1 full time employment grant</t>
  </si>
  <si>
    <t>Profit Experts Ltd. - 2010</t>
  </si>
  <si>
    <t>Profits.ie specialise in customer management software:_x000D_BOARD DECISION:_x000D_- €10,000 for 2 empl. grant_x000D_- €5,000 for marketing</t>
  </si>
  <si>
    <t>Drapesworld Ltd. 2010</t>
  </si>
  <si>
    <t>manufacture and supply bespoke drapes to the corporate entertainment industry._x000D_BOARD DECISION:_x000D_€28,000 i.e. 4 employment grants at €7,000 each</t>
  </si>
  <si>
    <t>LinkStrike - 2010</t>
  </si>
  <si>
    <t>design, produce and print a range of personalized office workstation panels used to divide work areas incorporating noise reduction technology in the panels</t>
  </si>
  <si>
    <t>Louloubelle Bags Ltd. - Feb 10</t>
  </si>
  <si>
    <t>designs Italian luxury leather handbags exclusively, in limited editions._x000D_BOARD DECISION:_x000D_€3,750 - 2nd instalment of priming grant</t>
  </si>
  <si>
    <t>Calnan &amp; Anhoj - 2010</t>
  </si>
  <si>
    <t>create pieces using hand forged iron, bog oak, bronze, stone and glass. BOARD APPROVAL:_x000D_€7,500 - 2nd instalment of two employment grants of €3,750 each</t>
  </si>
  <si>
    <t>Wrapsies - 2010</t>
  </si>
  <si>
    <t>form of towelling wrap with a simple but clever design incorporating side arm slits which means it won't fall down or flap open._x000D_BOARD DECISION:_x000D_€7,500 - one full time employment grant</t>
  </si>
  <si>
    <t>Placito 3D Ltd. - 2010</t>
  </si>
  <si>
    <t>3D postcards, 3D books &amp; 3D CD presentations._x000D_BOARD DECISION:_x000D_€7,500 - one full time employment grant</t>
  </si>
  <si>
    <t>Celtic Virtue Ltd.</t>
  </si>
  <si>
    <t>manufacture bespoke carved stone plaques in Wicklow and export  to the American market.  Feasibility Study Grant</t>
  </si>
  <si>
    <t>The Big Light Switch Ltd.</t>
  </si>
  <si>
    <t>design, develop and eventually manufacture energy efficient lighting products based around Light Emitting Diode (LED) technology</t>
  </si>
  <si>
    <t>Christopher Judge</t>
  </si>
  <si>
    <t>develop his own solution in the form of insulated devices for both vents and fireplace cover</t>
  </si>
  <si>
    <t>MXI Ltd.</t>
  </si>
  <si>
    <t>design solutions that supply, customise, implement and support internationally sourced software to companies throughout Ireland and the UK._x000D_1 FT Employment = €10,000_x000D_ Other Costs = €10,000</t>
  </si>
  <si>
    <t>Patrick Kinsella</t>
  </si>
  <si>
    <t>manufacture a multi purpose scissors which has the additional feature of curling the cellotape after cutting to ensure easy access to the end of the roll</t>
  </si>
  <si>
    <t>RTD Technology Ltd. t/a Asistec</t>
  </si>
  <si>
    <t>Asistec offers a variety of solutions from the supply of simple fridge and freezer solutions to the complete cryogenic storage facility._x000D_
1 FT Employment Grant of €7,500</t>
  </si>
  <si>
    <t>EV Biofuels (Erik Van Der Does)</t>
  </si>
  <si>
    <t>plans to establish a bio fuel plant at a site in Kilpeddar._x000D_- 2 FT Empl. Grants of €7,500 each_x000D_- 1 FT Empl. Grant of €5,000_x000D_- €6,000 towards other costs</t>
  </si>
  <si>
    <t>Irish Ancestral Holidays</t>
  </si>
  <si>
    <t>specialised tour operator which has been set up to service the wide community of tourists with an interest in their Irish heritage.  The unique aspect of this business is in the customisation of every holiday to suit each individual customer requirements._x000D_BOARD APPROVAL_x000D_; 2nd Instalment of 1 FT employment grant in respect of promoter Howard Kingston</t>
  </si>
  <si>
    <t>Open Oils (Declan Conway)</t>
  </si>
  <si>
    <t>recycle plastic waste products into oil._x000D_BOARD APPROVAL_x000D_-3 FT Employment Grants of €7,500 each</t>
  </si>
  <si>
    <t>Gourmet Sauces Ltd.</t>
  </si>
  <si>
    <t>designs and manufactures a range of sauces in pelletized frozen format, for sale to the food service industry._x000D_</t>
  </si>
  <si>
    <t>Bomar Ltd.</t>
  </si>
  <si>
    <t>three main revenue streams: _x000D_1. Custom Preservative Packaging Solutions for the soft-drinks industry_x000D_2. Supply of essential oils to the soft-drinks, beauty and health industries _x000D_3. Supply of traditional preservatives, flavours and colours to the food and drinks market _x000D_</t>
  </si>
  <si>
    <t>Flexiheat (John Nutty)</t>
  </si>
  <si>
    <t>infrared radiant heater which offers many advantages over traditional heating systems in cost, comfort and efficiency</t>
  </si>
  <si>
    <t>Fox Concepts Ltd.</t>
  </si>
  <si>
    <t>designed an outdoor flexible, durable, safe air hockey arena for the back garden</t>
  </si>
  <si>
    <t>CK Speakers (Ciaran Kelly)</t>
  </si>
  <si>
    <t>manufacture of high value, specialist Hi-Fi (hifidelity) speakers</t>
  </si>
  <si>
    <t>Actus Marketing Solutions Ltd.</t>
  </si>
  <si>
    <t>e retailer groups with software solutions that enable electronic communications (digital marketing) to customers and to provide the structure for the roll out of these communications and to provide on going support._x000D_BOARD APPROVAL:_x000D_- 2 x FT Empl. Grants of €7,500 each = €15,000_x000D_- €25,000 other costs</t>
  </si>
  <si>
    <t>White Pier Technology Ltd.</t>
  </si>
  <si>
    <t>web-based software service designed to deliver more successful consulting and professional service engagements for both SME businesses and for the service providers</t>
  </si>
  <si>
    <t>JMR Technologies Ltd.</t>
  </si>
  <si>
    <t>m-commerce security engine that was designed to provide a level of mobile data security far superior to that in use for e-commerce applications._x000D_BOARD APPROVAL:_x000D_4 X FT Employment Grants of €7,500 each</t>
  </si>
  <si>
    <t>Joshua McKenna- MyStreet.ie</t>
  </si>
  <si>
    <t>Web based business: mystreet.ie. The website will be promoted as a community focused site, encouraging interaction and communication between members of a community, promoting community activities and the interests of all in the community including business members._x000D_BOARD APPROVAL:_x000D_1 FT Employment Grant in sum of €10,000</t>
  </si>
  <si>
    <t>Raindrop Drinks Ltd. (Michael Carney)</t>
  </si>
  <si>
    <t>New type of energy drink that releases vitamins into the water when cap is opened._x000D_GRANT APPROVAL:_x000D_- 1 FT Empl. Grant of €10,000 (note: part of eg paid from Refundable Aid therefore not included on B1)_x000D_- €23k for other expenses</t>
  </si>
  <si>
    <t>SYOB 50+</t>
  </si>
  <si>
    <t>Start Your Own Business Course for 50+</t>
  </si>
  <si>
    <t>Design Your Own Social Media Campaign</t>
  </si>
  <si>
    <t>Training course on Designing Your Own Social Media Campaign for Wicklow CEB clients</t>
  </si>
  <si>
    <t>Investigating Your Business Idea</t>
  </si>
  <si>
    <t>Workshops for CEB clients on Investigating Your Business Idea</t>
  </si>
  <si>
    <t>Training course on Stress Management for Wicklow CEB clients</t>
  </si>
  <si>
    <t>Driving Your Own PR Campaign</t>
  </si>
  <si>
    <t>Training course on doing your own PR Campaign for Wicklow CEB clients</t>
  </si>
  <si>
    <t>Accessing Finance</t>
  </si>
  <si>
    <t>Training course on how to access finance for wicklow ceb clients</t>
  </si>
  <si>
    <t>Buying &amp; Selling Online</t>
  </si>
  <si>
    <t>Training course for clients on how to buy and sell online</t>
  </si>
  <si>
    <t>GIBO</t>
  </si>
  <si>
    <t>Training course for GIBO (Getting Irish Business Online)</t>
  </si>
  <si>
    <t>Exhibiting at Trade Shows</t>
  </si>
  <si>
    <t>Training course on how to exhibit at a trade show.</t>
  </si>
  <si>
    <t>How to write a Business Plan</t>
  </si>
  <si>
    <t>Course on how to write a business plan</t>
  </si>
  <si>
    <t>Rhatigan &amp; Hick (1)</t>
  </si>
  <si>
    <t>high-end furniture manufacture business, Essentially they provide a kitchen/furniture with the look &amp; feel of a top international designer at 30-40% of the price, but with the cachet of being designed by an up &amp; coming Irish designer.  BOARD APPROVED 1FT EG of €7,500 and Capital Costs €6,000</t>
  </si>
  <si>
    <t>Rhatigan &amp; Hick (2)</t>
  </si>
  <si>
    <t>High end kitchen design and manufacture targeting domestic and export market.</t>
  </si>
  <si>
    <t>Castingzone t/a Moviezone</t>
  </si>
  <si>
    <t>online portal based on software developed by the promoters that enables suppliers to the movie industry etc. to upload information about themselves into a directory targeted at film producers</t>
  </si>
  <si>
    <t>Profit Expert (1)</t>
  </si>
  <si>
    <t>Profits.ie specialise in customer management software. The company has identified and tailored an open source software product suitable for SMEs</t>
  </si>
  <si>
    <t>Profit Expert (2)</t>
  </si>
  <si>
    <t>JTM Jumpstarters Ltd.</t>
  </si>
  <si>
    <t>supplier and manufacturer of energy products specialising in emergency reserve power, energy generation, and storage distribution systems</t>
  </si>
  <si>
    <t>Actus Marketing (2)</t>
  </si>
  <si>
    <t>developed a proprietary secure mobile application platform</t>
  </si>
  <si>
    <t>Av-ed Training (1)</t>
  </si>
  <si>
    <t>Supply of web based multimedia training support solutions to the aviation industry. BOARD APPROVED €32,500 in respect of 4 FT EG of €7,500 each</t>
  </si>
  <si>
    <t>Boost for Growth</t>
  </si>
  <si>
    <t>Original cartoon portraits done to order, biggest market are customers who want to give an original and personalized gift, most popular as special occasion gifts such as wedding, anniversary, engagement, retirement</t>
  </si>
  <si>
    <t>ABL Communications</t>
  </si>
  <si>
    <t>ABL specialises in security solutions.  Their value-add is in the area of CCTV installations, specialising in Till Scan facilities and a product/service offering which they have developed in-house, called Fuel Minder which  is a forecourt monitoring system for petrol stations</t>
  </si>
  <si>
    <t>White Pier Technology (2)</t>
  </si>
  <si>
    <t>web-based software service designed to deliver more successful consulting and professional service engagements for both SME businesses and for the service providers.  BOARD APPROVAL: €30,000 for 2FT EG's of €7,500 each and €15,000 towards other eligible costs including capital, marketing etc.</t>
  </si>
  <si>
    <t>The Big Light Switch</t>
  </si>
  <si>
    <t>design, develop and manufacture energy efficient lights</t>
  </si>
  <si>
    <t>Innovation Software</t>
  </si>
  <si>
    <t>Innovation Software designs, develops, installs and educates on software for the global hospitality industry targeting independent hotels and small hotel chains with less than 30 properties. Offered as SAAS. Main product is the Property Management System which includes a wide range of hotel management functions (from billing to CRM). BOARD APPROVAL OF €20,000 in respect of 2 FT EG's of €10k each</t>
  </si>
  <si>
    <t>M1 (PG) Cathy's Spelt for Health (1)</t>
  </si>
  <si>
    <t>manufacture of variety of spelt bread mixes</t>
  </si>
  <si>
    <t>Wolohan Timber Frame</t>
  </si>
  <si>
    <t>The business that is the subject of this application is a new venture within the timber frame manufacturing plant. This is the manufacture of an exclusive patented product, exterior window and door system certified by the Passive House Institute.  BOARD APPROVED €60,000 towards Capital Items</t>
  </si>
  <si>
    <t>Morris McCauley Construction</t>
  </si>
  <si>
    <t>manufacture of high quality pre fabricated structures</t>
  </si>
  <si>
    <t>My Legal Diary Ltd.</t>
  </si>
  <si>
    <t>website which will allow solicitors and barristers to more easily access information in relation to the dates and venues of court cases etc</t>
  </si>
  <si>
    <t>Kingston Renewable Energy</t>
  </si>
  <si>
    <t>client has designed a wind turbine (specifically, an entirely mechanical axial flux double rotor horizontal axis turbine), along with the hydraulic towers the turbine sits on.  BOARD APPROVED €8,950 (Tower Engineers €2,450 &amp; Power Curve Testing €6,500)</t>
  </si>
  <si>
    <t>Oberg &amp; Associates</t>
  </si>
  <si>
    <t>manufacture &amp; design of luxury handcrafted candles</t>
  </si>
  <si>
    <t>Secure 4 me</t>
  </si>
  <si>
    <t>a web based database system which will register key items in a user's home or office and create a secure online inventory which registers every item, making ecovery easier in the long term, should the house ever get broken into.</t>
  </si>
  <si>
    <t>Technical Innovation Grants</t>
  </si>
  <si>
    <t>These are Measure 2 Technical Innovation Grants to clients, which can cover, Trade Shows, Website Development, Exporting, Patenting</t>
  </si>
  <si>
    <t>Av-Ed Training (2)</t>
  </si>
  <si>
    <t>Supply of web based multimedia training support solutions to the aviation industry.  BOARD APPROVED €41,500 in respect of €30k CAPITAL and €11,500 MARKETING</t>
  </si>
  <si>
    <t>Larfran Ltd. / Identicare Ltd</t>
  </si>
  <si>
    <t>Tablet dispensing tray for hospitals.  BOARD APPROVED €40k in respect of €15k for 2 FT EG's, €10k CAPITAL and €15k MARKETING</t>
  </si>
  <si>
    <t>Dogs First Ltd.</t>
  </si>
  <si>
    <t>manufacture a new type of raw or natural dog food. BOARD APPROVED €50,296_x000D_-Capital Items - €18,718.50_x000D_-Salary Costs - €26,250.00 _x000D_-Marketing Costs - €3,747.50_x000D_-Consultancy Costs - €1,580.00_x000D_</t>
  </si>
  <si>
    <t>Inventise Business Solutions Ltd. (1)</t>
  </si>
  <si>
    <t>specific strategy of exploiting the move from localised client / server applications to bespoke cloud based applications which can be accessed securely from an increasing range of mobile devices.  BOARD APPROVED €9,600 (CONSULTANCY €2,100; SALARY €7,500</t>
  </si>
  <si>
    <t>Inventise Business Solutions Ltd. (2)</t>
  </si>
  <si>
    <t>specific strategy of exploiting the move from localised client / server applications to bespoke cloud based applications which can be accessed securely from an increasing range of mobile devices.  BOARD APPROVED €11,775 (SALARY €7,500; MARKETING €1,875; CONSULTANCY €2,400)</t>
  </si>
  <si>
    <t>Sneeze Adverts</t>
  </si>
  <si>
    <t>Sneeze Adverts is a business offering branded tissue products to advertisers in Ireland and beyond. Helena and Jaron spotted branded tissues on their travels and decided to bring the idea to Ireland, the UK and Europe.  BOARD APPROVED €7,500 TOWARDS SALARY COSTS</t>
  </si>
  <si>
    <t>Janet's Country Fayre Ltd.</t>
  </si>
  <si>
    <t>manufacture of jams, chutneys etc. BOARD APPROVED €26,447:  €7,500 SALARY; €18,947 CAPITAL</t>
  </si>
  <si>
    <t>Brooke &amp; Shoals Fragrances Ltd. (2)</t>
  </si>
  <si>
    <t>markets a range of natural products including soy wax scented candles and natural body products free of SLS, parabens, sulphates and artificial fragrances. BOARD APPROVED €16k:  €11k for SALARY; €5k for CONSULTANCY</t>
  </si>
  <si>
    <t>Visions of Ireland Postcards Ltd.</t>
  </si>
  <si>
    <t>Design, manufacture and distribution of high quality DVD postcards. Core product is aimed at the tourism market, for sale through retail outlets and tourism attractions.  BOARD APPROVED €28,500: €22,500 SALARY; €6k MARKETING</t>
  </si>
  <si>
    <t>White Stone Ventures Ltd</t>
  </si>
  <si>
    <t>develop and manufacture flood relief instant sandbags called SOS Flood Bags. they do not contain any sand. BOARD APPROVED €29,216:  €15k SALARY; €10,664 MARKETING; €3,552 CONSULTANCY</t>
  </si>
  <si>
    <t>Martello Training</t>
  </si>
  <si>
    <t xml:space="preserve">intends to operate a business that facilitates the provision of training and work placement in Ireland for Croatian based organisations and schools. </t>
  </si>
  <si>
    <t>Old MacDonnell's Farm</t>
  </si>
  <si>
    <t xml:space="preserve">produces probiotic cows milk yoghurt, soft goats cheese and hummus. </t>
  </si>
  <si>
    <t>Egalio Dealbond</t>
  </si>
  <si>
    <t xml:space="preserve">proposed as an online system for managing payments from buyers to suppliers.  </t>
  </si>
  <si>
    <t>Creative Learning Tools Ltd</t>
  </si>
  <si>
    <t>development of a bord game entitled Salubia</t>
  </si>
  <si>
    <t>My Legal Diary Ltd. (2)</t>
  </si>
  <si>
    <t xml:space="preserve">cloud based resource for the legal profession that automates case tracking and searches. It has 3features: 1) the extensive database of legal cases; 2) daily parsing of updates and amendments to these cases; 3) a subscription-based user interface that allows tracking of the legal cases. The Intellectual Property  is owned 100% by My Legal Diary Ltd.  </t>
  </si>
  <si>
    <t>Jalopy Factory</t>
  </si>
  <si>
    <t>range of clothing, mugs and keyrings featuring his artwork of classic cars and motorbikes.  BOARD APPROVED €10k:  SALARY €7,500; MARKETING €2,500</t>
  </si>
  <si>
    <t>RTD Technology Ltd t/a Asistec (2)</t>
  </si>
  <si>
    <t>Bio Repository development solutions. The company business is Stores and Grows Cells</t>
  </si>
  <si>
    <t>Carrig Infrastructure Solutions Ltd.</t>
  </si>
  <si>
    <t>Provider of IT infrastructure hardware and support to major retail clients. The service includes project managing new installations and providing maintenance and repair services to existing installations.  BOARD APPROVED €17,500:  SALARY €7,500; MARKETING €4K; CONSULTANCY €6K</t>
  </si>
  <si>
    <t>Marvellous Mouth Ltd</t>
  </si>
  <si>
    <t>Limited company. Development of a range of tools for teachers and speech and language therapists for use in a classroom or one to one setting developing language skills in particular for children with speech and language difficulties.</t>
  </si>
  <si>
    <t>Merrion Retrofit (1)</t>
  </si>
  <si>
    <t>Company provides a unique deep retrofitting and renewal service aimed at transforming interiors and significantly increasing energy efficiency. Intention is to develop system in Ireland and export service to UK. APPROVED: 2ft EG; 1 PT EG &amp; Marketing costs of €5k</t>
  </si>
  <si>
    <t>Hisun Technologies Ltd</t>
  </si>
  <si>
    <t xml:space="preserve">printing &amp; manufacturing services, specialising in pad printing for Industrial labels, decals, nameplates and control panel overlays, as well as traditional screen printing.  </t>
  </si>
  <si>
    <t>Cillian Johnston Furniture</t>
  </si>
  <si>
    <t>manufacture furniture. Hand crafted interior products including soft furnishings, lamps, furniture. Each item hand crafted. Design and craft is unique</t>
  </si>
  <si>
    <t>Eamonn Heffernan</t>
  </si>
  <si>
    <t>produces unique sculptures from Bog Oak, which he has collected over the years direct. BOARD APPROVED €667.50 TOWARDS CAPITAL COSTS</t>
  </si>
  <si>
    <t>Farrell Health Enterprises Ltd</t>
  </si>
  <si>
    <t>vacuum packed, pre-cooked beans, pulses and legumes e.g. lentils, quinoa, brown rice, chick peas, kidney beans etc.  BOARD APPROVED €5,250</t>
  </si>
  <si>
    <t>Cathy's Spelt for Health (2)</t>
  </si>
  <si>
    <t>Cathys Spelt for Health is a range of specialised spelt products.  BOARD APPROVED €15K TOWARDS SALARY</t>
  </si>
  <si>
    <t>MXI Ltd. (3)</t>
  </si>
  <si>
    <t>customises existing productivity measurement and planning software.  BOARD APPROVED €7,497.50:  MARKETING €5K; CONSULTANCY €2,497.50</t>
  </si>
  <si>
    <t>Thomas Montgomery Ltd.</t>
  </si>
  <si>
    <t>Design and Manufacture of office furniture. Import substitution. Intention to export.</t>
  </si>
  <si>
    <t>Enabling Your Website for Mobile Devices</t>
  </si>
  <si>
    <t>Training course for clients on enabling their websites for use on mobile devices</t>
  </si>
  <si>
    <t>Converting Website Visitors to Customers</t>
  </si>
  <si>
    <t>Training course for clients on how to convert website visitors to customers</t>
  </si>
  <si>
    <t>Business &amp; Financial Training</t>
  </si>
  <si>
    <t>Training course for clients on business and financial training</t>
  </si>
  <si>
    <t>ACCELLERATE: Finding &amp; Keeping Staff</t>
  </si>
  <si>
    <t>Training course for clients from the ACCELLERATE Programme, module on Finding &amp; Keeping Staff</t>
  </si>
  <si>
    <t>WICKLOW TOTAL</t>
  </si>
  <si>
    <t>Brendan Byrne Stylist</t>
  </si>
  <si>
    <t xml:space="preserve">Priming </t>
  </si>
  <si>
    <t>Brendan Byrne Studio manufacture of bridal gowns. Assistance of salary costs towards self employment of the director to start up the business.</t>
  </si>
  <si>
    <t>Emma Jane Champley</t>
  </si>
  <si>
    <t>Business Expansion</t>
  </si>
  <si>
    <t>Emma Jane Champley Jewellery Design and manufacture  approved salary costs</t>
  </si>
  <si>
    <t>Hedgehog Productions Ltd</t>
  </si>
  <si>
    <t>Media Production Company. Application for assistance of salary cost</t>
  </si>
  <si>
    <t>The Purple Door</t>
  </si>
  <si>
    <t>Salary costs for 2 employees at the soap manufacturing company</t>
  </si>
  <si>
    <t>Stephen O Briain</t>
  </si>
  <si>
    <t>Furniture Design and Manufacturer of bespoke furniture</t>
  </si>
  <si>
    <t>Slaney Handcraft</t>
  </si>
  <si>
    <t>Patchwork quilt techniques producing bed covers, wall hanging art and kitchen items. Assistance in the form of salary costs</t>
  </si>
  <si>
    <t>Select Roofing</t>
  </si>
  <si>
    <t>Select Roofing specialising in roofing services to both domestic and commercial customers, including the design, supply, testing, and certification of same The company has two primary service offerings; Roofing Solutions and Height Safety Solutions. Application for assistance towards the costs of Salary Costs.</t>
  </si>
  <si>
    <t>Platinum Catalysts Ltd</t>
  </si>
  <si>
    <t>To manufacture and supply Platinum oxidizing catalyst for Butane/Propane gas burners to a Carlow based company who is bringing a new gas burner to the catering market initially and developing a modification of this burner for the camping/leisure/Military and NGO market.</t>
  </si>
  <si>
    <t>OMF Engineering Ltd</t>
  </si>
  <si>
    <t>Design and Process for the automotive industry.</t>
  </si>
  <si>
    <t>Future Grass Technology</t>
  </si>
  <si>
    <t>Salary Costs for the establishment of a Grass Cutting Machine Manufacturing Company. Manufactuer &amp; sales of grass Harvesting Machines.</t>
  </si>
  <si>
    <t>Audrey McCormack Koschlick</t>
  </si>
  <si>
    <t>Priming grant to the promoter Audrey McCormack Koschlick towards the purchase of new equipment for her baking business.</t>
  </si>
  <si>
    <t>Banner Health Care Ltd</t>
  </si>
  <si>
    <t xml:space="preserve">Priming grant towards capital, marketing, rent and training costs of this business which deals with homecare for the elderly. </t>
  </si>
  <si>
    <t xml:space="preserve">D2 Print Ltd </t>
  </si>
  <si>
    <t>This is a specialist print business. Grant aid is towards the purchase of additional machinery.</t>
  </si>
  <si>
    <t>Egan Concepts Ltd</t>
  </si>
  <si>
    <t xml:space="preserve">Feasability </t>
  </si>
  <si>
    <t>This project is the development of a prototype of a golfing product</t>
  </si>
  <si>
    <t>Eldorado Ltd</t>
  </si>
  <si>
    <t>This business manufactures luxury ice-cream for the corporate sector. Grant aid towards employment</t>
  </si>
  <si>
    <t xml:space="preserve">Ennis National Pre School </t>
  </si>
  <si>
    <t>Grant towards renovation of new building and equipment</t>
  </si>
  <si>
    <t>Fun Affordable Gifts</t>
  </si>
  <si>
    <t>Grant towards employment of additional staff and equipment. clothing products that are compressed into small packages and when submerged in water return to original size. no other product like it in Co. Clare. Creation of employment.</t>
  </si>
  <si>
    <t>Gary Casey</t>
  </si>
  <si>
    <t>Gary Casey Grant aid towards the development of a prototype</t>
  </si>
  <si>
    <t>Golf Voyager Ltd</t>
  </si>
  <si>
    <t>Grant towards marketing the business. Golf and Hotel online booking with flights and car rental options. Booking.com will be the hotel partner. no other site similar to this</t>
  </si>
  <si>
    <t>Graystone &amp; Sons Boatbuilders</t>
  </si>
  <si>
    <t>Manufacturing of specialist boats.</t>
  </si>
  <si>
    <t>Henry Benagh</t>
  </si>
  <si>
    <t>Manufacture of specialist soaps</t>
  </si>
  <si>
    <t>IFF Plastics Ltd</t>
  </si>
  <si>
    <t>Manufacture of plastic pellets from recycled material. Employment of staff.</t>
  </si>
  <si>
    <t>Indigo Signs Ltd</t>
  </si>
  <si>
    <t>Manufacture of specialist signage for the corporate market.</t>
  </si>
  <si>
    <t>LCE Graphics Ltd</t>
  </si>
  <si>
    <t>Specialist manufacture of plaques/ signs in Shannon Co Clare</t>
  </si>
  <si>
    <t>Lenane Tool &amp; Die Ltd</t>
  </si>
  <si>
    <t>Specialist engineering business, manufacturing, in Shannon Co Clare</t>
  </si>
  <si>
    <t>Lunar Technologies Ltd</t>
  </si>
  <si>
    <t>Development of specialist software</t>
  </si>
  <si>
    <t>McLey Kitchens &amp; Fitted Furniture</t>
  </si>
  <si>
    <t>Manufacture of bespoke furniture</t>
  </si>
  <si>
    <t>Middle Eye Media</t>
  </si>
  <si>
    <t>Middle Eye Media was established as Irelands first bespoke editorial content, design, pre-press and project management service provider for newspapers, magazines and on-line publications.</t>
  </si>
  <si>
    <t>Navtec Engineering Ltd</t>
  </si>
  <si>
    <t xml:space="preserve">	Installation and technical support for ground based communications and nagivation aids at airports.</t>
  </si>
  <si>
    <t>New Age Memorials</t>
  </si>
  <si>
    <t>Manufacture of fibre glass headstones</t>
  </si>
  <si>
    <t>Sealed with Irish Love</t>
  </si>
  <si>
    <t>Sealed with Irish Love is offering contemporary designed and recognisable brand of Iish home-ware products/gifts to customers.</t>
  </si>
  <si>
    <t>Secret Fashion Fixes</t>
  </si>
  <si>
    <t>Online site selling quirky products to fix fashion problems. unique products and idea</t>
  </si>
  <si>
    <t>Svetlana O'Farrell</t>
  </si>
  <si>
    <t>Online Russian translation service</t>
  </si>
  <si>
    <t>Broadcast Media Workshops</t>
  </si>
  <si>
    <t>Broadcast Media Workshop Measure 2 - Workshops on presenting and interviewing on radio</t>
  </si>
  <si>
    <t>Export Development</t>
  </si>
  <si>
    <t>Export Development Programme - M2. Development of an export plan for the course participant</t>
  </si>
  <si>
    <t>Social Media</t>
  </si>
  <si>
    <t>Social Media Workshops - Facebook, Twitter. Measure 2 Budget</t>
  </si>
  <si>
    <t>Excel Programme</t>
  </si>
  <si>
    <t>Excel/ Spreadsheets Programme. Fetac level 5 certification</t>
  </si>
  <si>
    <t>Web Marketing</t>
  </si>
  <si>
    <t>Measure 2 - Web Marketing Programme. How to market your website online</t>
  </si>
  <si>
    <t>Northside for Business</t>
  </si>
  <si>
    <t>City wide intiative with Cork City Council to support enterprise on north side of cork.  Seminars, Trade Fair, Workshops for owner/managers.</t>
  </si>
  <si>
    <t>Cactus Jack</t>
  </si>
  <si>
    <t>Employment Grant for promoter of animation production company.</t>
  </si>
  <si>
    <t>Cell Crusher</t>
  </si>
  <si>
    <t>Feas. Study to test viability of cell crusher technology licenced from UCC.</t>
  </si>
  <si>
    <t>Cell Crusher Instrument for use in pharmaceutical laboratories.  Salary costs for promoter.  2 projects on gmis and one on B1</t>
  </si>
  <si>
    <t>Birds Eye View</t>
  </si>
  <si>
    <t>Aerial unmanned vehicle for aerial photography for use by forestry, government agencies ie. fire stations etc.</t>
  </si>
  <si>
    <t>Bia Beauty Ltd</t>
  </si>
  <si>
    <t>Manufacuture of natural and organic range of cosmetics under brand name bia beauty</t>
  </si>
  <si>
    <t>D. B. Matters</t>
  </si>
  <si>
    <t>Development of methodology for use in testing laboratory for infertility.  Used by US based labs with international customer base.</t>
  </si>
  <si>
    <t>Delta Streams Ltd.</t>
  </si>
  <si>
    <t>Printing of complicated processes &amp; procedures in graphic format for pharmaceutical plants and aspects of health and safety.</t>
  </si>
  <si>
    <t>Irish Made Gifts</t>
  </si>
  <si>
    <t>Webplatform to promote the best of irish design and craft to us market.</t>
  </si>
  <si>
    <t>Learnlode Ltd</t>
  </si>
  <si>
    <t>Software As A Service to project management teams in corporate firms to help them manage information and content more effectively and efficiently.  Development of software platform.</t>
  </si>
  <si>
    <t>Lyzop Ltd.</t>
  </si>
  <si>
    <t>Development of platform to franchise model of short term letting agency to students and workers travelling to various countries.</t>
  </si>
  <si>
    <t>Mohago Ltd</t>
  </si>
  <si>
    <t>Project management tool to facilitate collection and dissemination of large amounts of data from numerous spreadsheets/datasheets for use in decision making process for international firms.</t>
  </si>
  <si>
    <t>Paul Fennelley</t>
  </si>
  <si>
    <t>Green Room Studio for production of videos aimed at tv and music producers.</t>
  </si>
  <si>
    <t>Tenego Partnering</t>
  </si>
  <si>
    <t>Research markets for development of a conultancy franchise model primarily aimed at CEO in I.T. Firms across Europe and Aisa.  And dvelopment of materials.</t>
  </si>
  <si>
    <t>Voumove Technology</t>
  </si>
  <si>
    <t>Development of body scanner device to assess fitness and muscle development in athletes in a non-invasive way.  1st instalment of 2 employment grants for promoters.</t>
  </si>
  <si>
    <t>WRJM International</t>
  </si>
  <si>
    <t>Manufacuture and sale of a patented bra fitting device. 1st instalment of emp grant for promoter</t>
  </si>
  <si>
    <t>Caroline Matthews</t>
  </si>
  <si>
    <t>Marketing grant for fashion designer and maker under the brand name caroline attelier</t>
  </si>
  <si>
    <t>CSVO Ltd</t>
  </si>
  <si>
    <t>Marketing grant for a project management software tool aimed at the volutary sector to allow them maintain records and simplify processes.</t>
  </si>
  <si>
    <t>Jacinta Ryan</t>
  </si>
  <si>
    <t>Capital grant towards the cost of a kiln for ceramisist to manufacture and produce ceramic pieces.</t>
  </si>
  <si>
    <t>Kindy Child</t>
  </si>
  <si>
    <t>Research development of software platform to facilitate leasing/rental of private car spaces in areas of conjestion</t>
  </si>
  <si>
    <t>Partnership Europe</t>
  </si>
  <si>
    <t>Employment grant for additional employee in company which manages exchange students and business people from across europe and asia.</t>
  </si>
  <si>
    <t>Blas na hEireann</t>
  </si>
  <si>
    <t>sponsorhipe of food awards for small producers.</t>
  </si>
  <si>
    <t>First Look at Business</t>
  </si>
  <si>
    <t>SYOB aimed at back to work enterprise participants in partnership with the Cork City Partnership.  12 per course x 5 courses.</t>
  </si>
  <si>
    <t>Retail Programme</t>
  </si>
  <si>
    <t>MDP Programme aimed specifically at retailers incorporating 4 workshops, site audit pre and after course and 3 one to one sessions per company.  12 companies per programme x 1 course</t>
  </si>
  <si>
    <t>Support to attend national enterprise awards - local winner and 1 of 8 finalists.  Lyzop Ltd.</t>
  </si>
  <si>
    <t>World Mini Games</t>
  </si>
  <si>
    <t>Sponsorship of world mini games conference aimed at sport specialist around the Buisness of Sports.  Conference that looked at use of technology in sports and its application.</t>
  </si>
  <si>
    <t>Accelerator Programme</t>
  </si>
  <si>
    <t>Accelerator mdp for 12 companies.  workshops/one to ones.</t>
  </si>
  <si>
    <t>Una Martin is food producer who makes artisan meat Pies. Supported with Capital, Consultancy and Salary Grants</t>
  </si>
  <si>
    <t>Showcase Ireland RDS Jan 2014</t>
  </si>
  <si>
    <t>Showcase is an event held in the RDS, Dublin from 19-22 Jan 2014 for Ireland's finest up-and-coming craftspeople. Showcasing ceramics, fashion, jewellery, woodturning, glassware, textiles, sculpture and fine art</t>
  </si>
  <si>
    <t>Cork Schools Enterprise Programme 2013/2014</t>
  </si>
  <si>
    <t>Accelerate Management Development Programme 2013/2014</t>
  </si>
  <si>
    <t>ACCELERATE PROGRAMME is for owner managers of small business to develop leadership skills, personell management skills, forward thinking/roadmaping, marketing, selling and communicating skills</t>
  </si>
  <si>
    <t>Sales &amp; Marketing Training Programme 2013</t>
  </si>
  <si>
    <t>Sales and Marketing Training Programme for owner managers of small business to  focus on the development of selling skills, a sales process and sales motivation enabling them to drive cash into their business with immediate effect.</t>
  </si>
  <si>
    <t>Big Red Book Training Programme 2013</t>
  </si>
  <si>
    <t>Training - WCEB provided training for owners/Manager who wanted to use the Big Red Book Accounting Software system within their business and move away from the manual big red books system</t>
  </si>
  <si>
    <t>Business Ideas Training Programme 2013</t>
  </si>
  <si>
    <t>Business Ideas Training Programme to stimulate and encourage people to develop and pursue their business ideas</t>
  </si>
  <si>
    <t>Business Start Programme 2013</t>
  </si>
  <si>
    <t>Commercial Website Grants 2013</t>
  </si>
  <si>
    <t>Mentoring Programme 2013</t>
  </si>
  <si>
    <t>Retail Business Development Programme /2013</t>
  </si>
  <si>
    <t>Search Engine Optimisation Training Programme</t>
  </si>
  <si>
    <t>Setting up an Online Shop/2013</t>
  </si>
  <si>
    <t>SHOP Exhibition &amp; Trade Event 2013</t>
  </si>
  <si>
    <t>Sponsorship of Food Businesses to attend the SHOP National Food &amp; Drinks trade Event in RDS September 2013.</t>
  </si>
  <si>
    <t>Small Business Financial Management Programme 2013</t>
  </si>
  <si>
    <t>Small Business Financial Management Programme is for owner mangers of small business to review and improve their Financial management better -  understand their accounts, analysis then, improve cashflow, cashflow forecasts, tips on getting paid quicker, formulae for growing sales, set selling price correctly, how to maximise profits. Working with banks, accountants or other sources for funding.  Future business planning.</t>
  </si>
  <si>
    <t>Small Exporters Support Scheme 2013</t>
  </si>
  <si>
    <t>Social Media Training Programmes/2013</t>
  </si>
  <si>
    <t>Start Your Own Food Business Programme/2013</t>
  </si>
  <si>
    <t>SYOB Programmes 2013</t>
  </si>
  <si>
    <t>Web Site Optimisation Training Programme/2013</t>
  </si>
  <si>
    <t>West Cork Networks</t>
  </si>
  <si>
    <t>Writing Winning Tenders Training Programme 2013</t>
  </si>
  <si>
    <t>Writing Winning Tenders Training Programme is aimed at owner mangers to improve their skills and competence in tender writing; Have a full understanding of the tendering process; Know how they can utilise the tendering process to develop their client base &amp; increase revenue; Have an increased understanding of the motivations, requirements &amp; methodologies of a tendering company; Know how to increase their chances of being shortlisted and what to do at a short listing interview/ presentation</t>
  </si>
  <si>
    <t>Regale Biscuit Company Limited</t>
  </si>
  <si>
    <t>Artisan Biscuit manufacturing business making a selection of hand-made cookies, biscuits and crackers selling to retail and food-service outlets, both directly and via wholesalers.</t>
  </si>
  <si>
    <t>Shamrock Vacations Limited</t>
  </si>
  <si>
    <t>Expansion of Shamrock Vacations Limited, an online travel company offering North American visitors customised luxury vacations in Ireland and providing unique knowledge to ensure the best possible vacation for their customer. Costs related to salary towards new employment due to increase turnover.</t>
  </si>
  <si>
    <t>Animal Health Labs Ireland Ltd</t>
  </si>
  <si>
    <t>Expansion of Animal Health Laboratories, a Dept of Agriculture approved laboratory Veterinary Diagnostic Laboratory offering an extensive, professional range of laboratory services to large animal and equine vets, various discussion groups, industry and farmers as well as advice on disease testing and herd health issues. Costs relate to increased employment in the business.</t>
  </si>
  <si>
    <t>Artisan Ceramic &amp; Felt Studio</t>
  </si>
  <si>
    <t>Artisans Ceramic and Felt Studio is a felt based clothing and accessories making business including a range of throws, scarfs, jackets, jewllery, dresses, skirts, gloves, hats etc using a combination of merino, wool, silk, shiffon, linen, cotton, organza in the products and olive soap for the felting.</t>
  </si>
  <si>
    <t>Curlink TA Irish Cheese Snacks</t>
  </si>
  <si>
    <t>Feasibility study grant to establish the optimum business model, process technology and marketing strategy required to capitalise on this international opportunity in a sustainable manner. For the purpose of this feasibility study the export focus will be on the German, UK and the US markets.</t>
  </si>
  <si>
    <t>eQuiddity</t>
  </si>
  <si>
    <t>eQuiddity is the establishment of an e-auction/procurement agency which offers a complete procurement service to buyers and purchasing departments in SMEs and public bodies. Managing and running E-Auctions using an independent platform.  Other services  provided include analysis, e-Sourcing and reverse auctions, supplier management, contract management,and saving management.</t>
  </si>
  <si>
    <t>Fastnet Archiving</t>
  </si>
  <si>
    <t>Fastnet Archiving provides a service to digitally capture original and historical artwork, books,heritage documents and print works at the highest resolution &amp; image quality and securely archive images and metadata using an online cloud storage solution. The digitized works are then stored in an ISO standard Digital Archive online.</t>
  </si>
  <si>
    <t>West Cork Pies</t>
  </si>
  <si>
    <t>West Cork Pies is an artisan food production business providing ready to eat and ready to re-heat restaurant quality pork pies, scotch eggs, meat pies, vegetarian options and other savoury meals</t>
  </si>
  <si>
    <t>Allied Profiles Ltd</t>
  </si>
  <si>
    <t>This operation provides a lamination service of profiles to customers specification.</t>
  </si>
  <si>
    <t>The operation provides a lamination service of profiles to customers specification</t>
  </si>
  <si>
    <t>Anabio Technologies Ltd</t>
  </si>
  <si>
    <t>Provision of encapsulation technologies and commercial manufacture of products in the food, pharma and animal health areas</t>
  </si>
  <si>
    <t>Ballynoe Agri Services Ltd</t>
  </si>
  <si>
    <t>Development of animal Crate for hoof pairing</t>
  </si>
  <si>
    <t>CEN Foods</t>
  </si>
  <si>
    <t>Production of a range of food products including fish Pies Beef and Irish Stout Pies Seafood Chowder and Cia Battas</t>
  </si>
  <si>
    <t>Grasstec</t>
  </si>
  <si>
    <t>Development of online consultation packages for Grassland management</t>
  </si>
  <si>
    <t>Mitchelstown School Of Music</t>
  </si>
  <si>
    <t>Expansion of music School, move to new premises which included upgrade and purchase of Musical instruments</t>
  </si>
  <si>
    <t>Pixy Natural Skincare Ltd</t>
  </si>
  <si>
    <t>Production of a range of natural skincare products for sale on the Irish and International markets</t>
  </si>
  <si>
    <t>Policy Impact assessment</t>
  </si>
  <si>
    <t>The development of a cloud based policy data collection service called GATHER which will automate the collection of data</t>
  </si>
  <si>
    <t>Siobhain Steele Ceramics</t>
  </si>
  <si>
    <t>Establishment of Ceramics Production studio in Kildinan County Cork</t>
  </si>
  <si>
    <t>Uncle Bobs</t>
  </si>
  <si>
    <t>Production of a range of high quality pies lasagne, volauvents for the retail trade</t>
  </si>
  <si>
    <t>What Salon</t>
  </si>
  <si>
    <t>Development of a business based upon an application using location-based technology to target the hair and beauty salon byusiness initially in ireland</t>
  </si>
  <si>
    <t>M2 Business Advisor Costsfor the year 2013 which include travel expenses</t>
  </si>
  <si>
    <t>HR management Programme</t>
  </si>
  <si>
    <t>North Cork Enterprise Board is offering this programme to North Cork based small businesses.  The programme, which is delivered by Sandra Coombes of Coombes HRM, will cover employment law and compliance, as well as performance management and disciplinary skills.  By the end of the programme your business should have all of the required HR documentation to you via samples policies and templates and you will be better equipped to manage people.</t>
  </si>
  <si>
    <t>Cork Schools Enterprise Programme</t>
  </si>
  <si>
    <t>The Student Enterprise Awards is the flagship programme of the NCEB Schools Enterprise calendar. The Programme encourages teenagers to consider entrepreneurship as a real future career choice and gives them the invaluable opportunity to learn about real life business while participating in the Programme. This year schools from Boherbue, Millstreet, Fermoy, Buttevant, Mallow, Doneraile, Kanturk and Charleville will take part in the programme</t>
  </si>
  <si>
    <t>The North Cork Enterprise Board is offering a 2-day training programme on the Big Red Book computerised accounting programme, during which you will learn how to keep proper accounting records in your business, enter all the relevant data, balance your customers' and suppliers' accounts, reconcile your bank accounts and prepare VAT returns. This training also includes a free copy of Big Red Book Lite - which will accommodate up to 1,000 transactions - and one year's free licence and support.</t>
  </si>
  <si>
    <t>Accelerate for Growth 2013</t>
  </si>
  <si>
    <t>This ACCELERATE programme is to provide, the owners/managers_x000D_ of small businesses in the North Cork area,_x000D_who have been up and running for a minimum of 18 months with the_x000D_</t>
  </si>
  <si>
    <t>Advanced Food Programme 2011</t>
  </si>
  <si>
    <t>This Programme is aimed at SME Food Companies supplying branded Food Products to retail and food service sectors in Ireland</t>
  </si>
  <si>
    <t>Business Advice Clinics 2013</t>
  </si>
  <si>
    <t>The service of an independent mentor to existing businesses in need of advice and to people who want to discuss their business start- up development ideas commenced again for 2013 and to date 75 have availed of this service.  At our mentoring one to one clinic, the meeting lasts up to 1.5hours, the client is provided with free business information on the steps to take to starting,</t>
  </si>
  <si>
    <t>Cork Food Forum 2013</t>
  </si>
  <si>
    <t>The Cork/Kerry Food Forum in association with Bord Bia, Cork County &amp; City Enterprise Boards, Kerry County Enterprise Board &amp; Cork County Council, provided more information and networking to all those involved in food at the Cork/Kerry Food Forum 2013. North Cork Clients availed of the afternoon topical workshops which were presented by Bord Bia as well as one to one mentoring slots with food consultants.FOOD FINDER</t>
  </si>
  <si>
    <t>Cork Schools Enterprise Programme 2013</t>
  </si>
  <si>
    <t>Facebook</t>
  </si>
  <si>
    <t>Facebook for Business:How businesses use Facebook</t>
  </si>
  <si>
    <t>Google Initiative 2013</t>
  </si>
  <si>
    <t>How to improve your cashflow 2013</t>
  </si>
  <si>
    <t>How to improve your cashflow_x000D_: This will help with understanding your accounts and tips on cost reduction</t>
  </si>
  <si>
    <t>Ideas Generation 2013</t>
  </si>
  <si>
    <t>The Ideas Generation workshop will be delivered as a one day workshop, which will explore in detail all elements of creative thinking, entrepreneurship and business planning</t>
  </si>
  <si>
    <t>LinkedIn for Business 2013</t>
  </si>
  <si>
    <t>This hands-on workshop is for those with a LinkedIn profile and will take them through how to make their profile more findable on LinkedIn itself but also on Google, it will show you how to use keywords properly in your profile, how to set up a Page for your business and how to use LinkedIn search as one of the best ways for B2B lead generation.</t>
  </si>
  <si>
    <t>This programme assists owner/managers who are in need of management and business assistance with hands on advice over a number of one to one mentoring sessions</t>
  </si>
  <si>
    <t>National Womens Enterprise Day 2013</t>
  </si>
  <si>
    <t>This event is for women in business from entrepreneurs and start ups to established and expanding businesses</t>
  </si>
  <si>
    <t>Networking 2013</t>
  </si>
  <si>
    <t>Networking presents the opportunity to develop business conrtact in a fun and focussed way</t>
  </si>
  <si>
    <t>Retail Development Programme 2013</t>
  </si>
  <si>
    <t>This new programme is aimed at owner/managers of retail outlets in Mallow town. The objective is to give retailers new tools which will help them grow sales during these challenging times. The programme entails 4 days of training (1 day of training per month) as well as a store audit and visual merchandising audit. Ireland's leading retail consultant and advisor James Burke will deliver the training workshops and store audit on behalf of the North Cork Enterprise Board</t>
  </si>
  <si>
    <t>Sage Accounting 2013</t>
  </si>
  <si>
    <t xml:space="preserve">	The aim of this 2 day programme is to demonstrate to participants how to use all aspects of Sage Instant Accounts. This is an introduction to Sage Accounts and is suitable for the micro-enterprise sector only (clients employing 1-10 employees).</t>
  </si>
  <si>
    <t>sales Technique2013</t>
  </si>
  <si>
    <t>The North Cork Enterprise Board will run a 2 day programme which will provide you with key insights into why people buy and will equip you with best practice techniques to maximise sales opportunities.</t>
  </si>
  <si>
    <t>Search Engine Optimisation 2013</t>
  </si>
  <si>
    <t>Selling On The Internet 2013</t>
  </si>
  <si>
    <t>This course will cover aspects of building an e-Commerce site and selling online. Featuring a combination of lecture, discussion and demonstration, this course provides an overview of web site e-Commerce concerns from pricing, hosting etc</t>
  </si>
  <si>
    <t>Smartphone photography for Business 2013</t>
  </si>
  <si>
    <t>Smartphone photography is a quick and easy way to tell you the story of your business online, build a community and engage with your target market.</t>
  </si>
  <si>
    <t>Social Media For Business 2013</t>
  </si>
  <si>
    <t>SYOB Food 2013</t>
  </si>
  <si>
    <t>The programme is aimed at clients of North Cork Enterprise Board who have a food business idea and are at the start-up business stage.</t>
  </si>
  <si>
    <t>This Programme focuses on those with a business idea in mind who are unsure of how to develop the idea into a business plan. It will guide you through the various aspects of Business and business planning.</t>
  </si>
  <si>
    <t>Website Maintenance 2013</t>
  </si>
  <si>
    <t>This Training Enables participants take control of their web them. They are faced with upgrading a website that isn't functioning as well as it should.  The goal is to run the course concentrating on the practical hands on methods of Maintaing a website</t>
  </si>
  <si>
    <t>3DS Designs</t>
  </si>
  <si>
    <t>3DS Designs Provides 3D shop drawing services for the retail fitout sector._x000D_</t>
  </si>
  <si>
    <t>4 Impacts</t>
  </si>
  <si>
    <t>4 Impacts is out of doors digitial advertising business for clients who want to advertise in Shopping centre. Supported with Salary grants</t>
  </si>
  <si>
    <t>Category Cubed</t>
  </si>
  <si>
    <t>Category Cubed is information technology service application for the retail sector to monitor and maintain sales promotions. Supported with salary grant</t>
  </si>
  <si>
    <t>DoctoralNet Ltd</t>
  </si>
  <si>
    <t>DoctoralNet Ltd elearning service to support graduates going on do Masters and PHD's. Supported with salary, Consultancy and Marketing grants</t>
  </si>
  <si>
    <t>GRASP Ltd</t>
  </si>
  <si>
    <t>Grasp Ltd is new device which can be attached to sport running shoes to track the performance. Supported with Salary and marketing support</t>
  </si>
  <si>
    <t>Haven Bay Care Foods Ltd</t>
  </si>
  <si>
    <t>Haven Bay Care Foods Ltd is a ready made meals food producer specialising in fish pies. Supported with capital and marketing grants</t>
  </si>
  <si>
    <t>ISTA Technologies Ltd</t>
  </si>
  <si>
    <t>ISTA Technologies Ltd has developed salftware application to support Chemist retailers. Supported with capital,marketing grants</t>
  </si>
  <si>
    <t>Kavanagh Fine Foods</t>
  </si>
  <si>
    <t>Kavanagh Fine Foods specialises in producing takeaway foods for supermarkets. Supported with capital, consultancy and marketing grant</t>
  </si>
  <si>
    <t>La Bougie Ltd</t>
  </si>
  <si>
    <t>La Bougie Ltd is candle designer who specialises in unique aromas, traget market is the craft sector. Supported with Marketing and salry grants</t>
  </si>
  <si>
    <t>MAAS Ltd</t>
  </si>
  <si>
    <t>MAAS Ltd is a machine shop for producing unique machine tools for industry using CNC Machines. Supporting with capital grants</t>
  </si>
  <si>
    <t>Mobile Technoligies Ltd</t>
  </si>
  <si>
    <t>Mobile Technoligies Ltd  software development platform to develop applications for the education sector. Supported with Capital, Marketing &amp; Consultancy grants</t>
  </si>
  <si>
    <t>On The QT</t>
  </si>
  <si>
    <t>On The QT is Multimedia video recording company specialising in social enterprises and projects. Supported with salary grant</t>
  </si>
  <si>
    <t>Ottera Ltd</t>
  </si>
  <si>
    <t>Ottera Ltd is a business specialising in developing technology to enable students easily understand practical classes by using video recording. Supported with salary cost grant</t>
  </si>
  <si>
    <t>Pensionpal.ie</t>
  </si>
  <si>
    <t>Pensionpal.ie is a resource website to support employees understand their pension documents. Supported with feasibility grant</t>
  </si>
  <si>
    <t>Petro SystemsManagement Ltd</t>
  </si>
  <si>
    <t>Petro SystemsManagement Ltd services and maintains software for point of sale machines and monitor fuel levels in filling stations. Supported with salary, capital &amp; consultancy grants</t>
  </si>
  <si>
    <t>Queen B Athletics</t>
  </si>
  <si>
    <t>Queen B Athletics is a textiles company specialising in designing sports clothing. Supported with Salary &amp; capital grant</t>
  </si>
  <si>
    <t>Redweld Eng. Ltd</t>
  </si>
  <si>
    <t>Redweld Eng. Ltd is an engineering company specialising in making steel fabricated housing units for the equine sector.Supported with salary &amp; capital grants</t>
  </si>
  <si>
    <t>RoomRenovator.ie</t>
  </si>
  <si>
    <t>RoomRenovator.ie is 3D online interior house design service. Supported with Marketing grant</t>
  </si>
  <si>
    <t>Run Angel</t>
  </si>
  <si>
    <t>Run Angel is an ICT design compamy that makes wearable electronic deveices to ensure athlete saftety.Supported with salary, capital &amp; marketing grants.</t>
  </si>
  <si>
    <t>SafeCab Security Ltd</t>
  </si>
  <si>
    <t>SafeCab Security Ltd manufacture a range of CCTV devices for the taxi industry cars.Supported with capital grant</t>
  </si>
  <si>
    <t>SeaFi Marine Data</t>
  </si>
  <si>
    <t>SeaFi Marine Data is a marine broadband service provider. Supported with salary &amp; capital grant</t>
  </si>
  <si>
    <t>Seahorse Atlantic</t>
  </si>
  <si>
    <t>Seahorse Atlantic produces a new pet food range based on seaweed. Supported with Salary, Marketing &amp; consultancy grants.</t>
  </si>
  <si>
    <t>UrPart.com</t>
  </si>
  <si>
    <t>UrPart.com in an online resource directory of all spare parts of plant machinery worldwide.</t>
  </si>
  <si>
    <t>Valhalla Technology Ltd</t>
  </si>
  <si>
    <t>Valhalla Technology Ltd is a software application to track foot traffic in retails stores by using sensory technology. Supported with capital, marketing, consultancy grants.</t>
  </si>
  <si>
    <t>The Natural Larder Co</t>
  </si>
  <si>
    <t>The Natural Larder Company produces a range of sauses and dips for the retail artisan food sector. Supported with salary grant</t>
  </si>
  <si>
    <t>Accelerate</t>
  </si>
  <si>
    <t>Accelerate management development programme for existing busineses.</t>
  </si>
  <si>
    <t>Beacon Initiative</t>
  </si>
  <si>
    <t>Beacon Initiative is training programme to support local retailers with marketing training.</t>
  </si>
  <si>
    <t>Management Development Prog</t>
  </si>
  <si>
    <t>Management development program for existing business seeking to enhance their operation functions</t>
  </si>
  <si>
    <t xml:space="preserve">E-marketing </t>
  </si>
  <si>
    <t>Learn to promote &amp; market your business using techniques via email and the internet</t>
  </si>
  <si>
    <t>Agriland Media</t>
  </si>
  <si>
    <t>Feasibility study towards the development of a online portal aimed at the agricultural sector buying and selling livestock, farming equipment and news items</t>
  </si>
  <si>
    <t>Beaumont Childrens Club</t>
  </si>
  <si>
    <t>Priming grant of €3.75k for one new employee towards an after school childrens service</t>
  </si>
  <si>
    <t>Brave Media</t>
  </si>
  <si>
    <t>Grant towards 3 full-time jobs for a digital marketing agency that assists SME's ge the most out of their marketing budget</t>
  </si>
  <si>
    <t>DB Tours</t>
  </si>
  <si>
    <t>Expansion grant towards salary costs of one full-time employee for business that provides overseas soccer trips for underage teams involving coaching at English Premier League clubs.  The comapny also attracts inbound tourism by hosting tournaments for foreign clubs</t>
  </si>
  <si>
    <t>Deal Effect</t>
  </si>
  <si>
    <t>Deal Effect is a fundraising platform and will offer daily deals through daily email and social media engagement and on www.DealEffect.ie. Deal Effect will partner with Irish charities and 11% of all deals sold will be donated to a chosen charity. Deal Effect will be a commercial business and will supply quality deals from various categories at hugely discounted prices</t>
  </si>
  <si>
    <t xml:space="preserve">Doortonic </t>
  </si>
  <si>
    <t>Doortonic is an app that allows managers of small venues / events manage their takings and headcount upon admission.  It negates the necessity for tills</t>
  </si>
  <si>
    <t>Empire Donuts</t>
  </si>
  <si>
    <t>Priming grant towards 2 full-time jobs and capital costs. Empire Donuts manufacture and distribute a range of fresh yeast raised donuts under its own branding.</t>
  </si>
  <si>
    <t>Folioworx</t>
  </si>
  <si>
    <t>The business is planning to produce &amp; sell customised IOS Application for the creative industry which wil be freely availabel to download.  Project involves initial development and testing</t>
  </si>
  <si>
    <t>Genefile</t>
  </si>
  <si>
    <t>Priming grant towards full-time jobs.  Genefile is a service that allows you to store valuable articles / documents on the cloud.  It also provides a geneology service to people wishing toexplore their family heritage</t>
  </si>
  <si>
    <t xml:space="preserve">Golden Ireland Directory </t>
  </si>
  <si>
    <t>Business expansion towards full time job. Directory for the over 55 market offering deals on breaks at home and abroad</t>
  </si>
  <si>
    <t>Grindstone Gifts</t>
  </si>
  <si>
    <t>Priming grant for full-time jobs.  Grindstone offer specialised gifts such as study planners, novelty school stationery and hampers aimed at students sold online</t>
  </si>
  <si>
    <t>AstroBook t/a Groupyfit</t>
  </si>
  <si>
    <t>Priming grant for two full-time jobs.  Groupyfit offers online booking and payment platform for small sports organisations such as gyms, yoga classes, astro pitches etc.  Its a simple way of monitoring particpants and collecitng fees</t>
  </si>
  <si>
    <t>heather Finn Knitwear</t>
  </si>
  <si>
    <t>Business expansion for one full-time employee and capital items.  Heather Finn produces high-end knit-wear.</t>
  </si>
  <si>
    <t>Henry Dixon</t>
  </si>
  <si>
    <t>Feasibility study twoards research for establishing Irelands first Tailoring academy</t>
  </si>
  <si>
    <t>Jewelstar</t>
  </si>
  <si>
    <t>Design &amp; Production of bespoke jewelry using 3 printing, moulding and casting.PG towards 2 jobs and capital items</t>
  </si>
  <si>
    <t>Huggy Bloom</t>
  </si>
  <si>
    <t>A pregnancy &amp; baby fair offering advice to parents and trade-show of baby products and clothing.</t>
  </si>
  <si>
    <t>International Life</t>
  </si>
  <si>
    <t>Researching the startup of a student entertainment service linking in with 3rd level to provide discounts at events and venues, student rates on products via links with multi-natiaonals e.g. vodafone</t>
  </si>
  <si>
    <t>Think Ahead T/A Travelling Languages</t>
  </si>
  <si>
    <t>Travelling Languages offers a service to groups seeking to learn a language while travelling that country e.g people visiting Irleand can learn English via tailored tuition while travelling the country. PG towards markeitng costs</t>
  </si>
  <si>
    <t>Radionmade</t>
  </si>
  <si>
    <t>Radiomade is an interactive website that focus on promoting the work of budding Producers, DJs, Directors &amp; Bloggers based in Dublin City.</t>
  </si>
  <si>
    <t>The Design House</t>
  </si>
  <si>
    <t>An Enterprise Space for the creative sector in Dublin City offering incubation  and production facilities as well as retail</t>
  </si>
  <si>
    <t>Kaizen Group</t>
  </si>
  <si>
    <t>Kaizen Energy specialise in the provision of holistic solutions to district heating systems, communal and community heating.</t>
  </si>
  <si>
    <t>Krunksoft</t>
  </si>
  <si>
    <t>An app development company specialising in idea generation to design to build. PG for 2 fulltime employees</t>
  </si>
  <si>
    <t>Lombard Autos t/a Cardock Classics</t>
  </si>
  <si>
    <t>Restoration and refurbishment of rare classic cars for sale internationally.  Services are also sought form overseas.  PG for full-time staff</t>
  </si>
  <si>
    <t>Mashup Media</t>
  </si>
  <si>
    <t>Mashup Media is a digital content agency specialising in online content production. They create and distribute relevant and sharable video content that drives brand relevance and talkability in the online space.</t>
  </si>
  <si>
    <t>Mecy Studios</t>
  </si>
  <si>
    <t>Bespoke furniture designer and manufacturer PG for promoter and capital items</t>
  </si>
  <si>
    <t>My Lunch Box</t>
  </si>
  <si>
    <t>My Lunch Box aims to create a healthy food brand that produces a range of tasty, healthy and nutitious salad meals delivered in a convenient range.  FSG is for market research.</t>
  </si>
  <si>
    <t>Urban Assembly</t>
  </si>
  <si>
    <t>Design and manufacture everyday space saving furniture that has more than one use for people who want flexibility, efficiency and to get the most out of their living and work spaces.</t>
  </si>
  <si>
    <t>Umit Kutluk</t>
  </si>
  <si>
    <t>Turkish national set up an Irish Fashion &amp; Design business operating fro mteh The Design House</t>
  </si>
  <si>
    <t>Joseph Borza t/a Trinity Sustainable services</t>
  </si>
  <si>
    <t>Provides Smart energy R&amp;D, management, modelling and technology development_x000D_,Environmental protection and management systems_x000D_, Low carbon policy, strategy and programme development_x000D_, Sustainability management systems, auditing and reporting</t>
  </si>
  <si>
    <t>Sprogbikes T/A Twistbikes</t>
  </si>
  <si>
    <t>Feasibility study to develop the prototype of a new lightweight and dynamic children's bicycle</t>
  </si>
  <si>
    <t>Siasa Foods</t>
  </si>
  <si>
    <t>Feasibility to produce a range of healthy food products using cannellini beans</t>
  </si>
  <si>
    <t>Shoebees</t>
  </si>
  <si>
    <t>Design and production of baby's shoes that are elastic and non-stick and designed in such a way that aids baby's muscle development</t>
  </si>
  <si>
    <t>Pixel Design</t>
  </si>
  <si>
    <t>Pixel Design is a design studio focusing on graphic design, web design and online marketing with clients in the arts, education and not-for-profit sector</t>
  </si>
  <si>
    <t>Scoutlook</t>
  </si>
  <si>
    <t>Feasibility to research establishing a new sports management website compiling stas on football players in ireland and abroad</t>
  </si>
  <si>
    <t>3rd Tap Solutions</t>
  </si>
  <si>
    <t>Provision of pumps that dispense free carbonated water in pubs.  Priming grant of €7.5k for a full-time jobs</t>
  </si>
  <si>
    <t>The Social House</t>
  </si>
  <si>
    <t>Social House do innovative marketing and ad campaigns at and abroad.  They also develop apps</t>
  </si>
  <si>
    <t>Testwall</t>
  </si>
  <si>
    <t>Provision of a wide range of refurbished test and measurement equipment and supply globally across a number of industries such as Manufacturing, Telecommunications and Aerospace.</t>
  </si>
  <si>
    <t>Redman Design</t>
  </si>
  <si>
    <t>Creative marketing company providing web design, branding, graphic design &amp; digital solutions to businesses of every size. The project has good export potential.</t>
  </si>
  <si>
    <t>Covali</t>
  </si>
  <si>
    <t>Covali is a service provider that can provide everything needed to run a business efficiently. From ERP, CRM, eCommerce. The project has export potential</t>
  </si>
  <si>
    <t>Rockwear</t>
  </si>
  <si>
    <t>Online Sale of Industrial Work Boots, Safety Boots, Safety Shoes and Apparel. The project has export potential.</t>
  </si>
  <si>
    <t>Echo House Studio</t>
  </si>
  <si>
    <t>Project Specializing in the Sale of Particular Products or Ranges of Products including Giftware. This craft and design business is already trading internationally.</t>
  </si>
  <si>
    <t>Yourtonic</t>
  </si>
  <si>
    <t>An online internationally-trading health store and information site, selling a premium range of vitamins, minerals and supplements. Their goal is to bring you the creme de la creme of complementary health products to support your health issues as well as the latest health information from a wide range of health practitioners and experts.</t>
  </si>
  <si>
    <t>Transport Insights</t>
  </si>
  <si>
    <t>The project is a transport planning consultancy . It provides innovative, effective and deliverable transport-related advice and cost effective, sustainable solutions. The project has export potential.</t>
  </si>
  <si>
    <t>DealPage</t>
  </si>
  <si>
    <t>An internationally-trading comparison website presenting you with some of the best available deals on the market. The service not only gives you an overview of the latest daily deals but also lets you compare and search for other great savings available online.</t>
  </si>
  <si>
    <t>Social Gaming Ventures</t>
  </si>
  <si>
    <t>Information technology service activities - trading internationally. The business has developed a social networking and gaming platform where members compete with each other in a risk-free environment</t>
  </si>
  <si>
    <t>LCG Teacher Search</t>
  </si>
  <si>
    <t>A dynamic Search &amp; Recruitment Company which is dedicated to helping their clients, International Schools worldwide, recruit the best teachers and school administrators available.</t>
  </si>
  <si>
    <t>Duvezy</t>
  </si>
  <si>
    <t>The project explored the feasibility of an innovative Duvet product, and has the potential to trade internationally.</t>
  </si>
  <si>
    <t>Telcom SipTrunks Ltd</t>
  </si>
  <si>
    <t>RetroEire</t>
  </si>
  <si>
    <t>Design and sale of giftware themed on Irish art and culture. The project is trading internationally.</t>
  </si>
  <si>
    <t>Faulkner Resourcing</t>
  </si>
  <si>
    <t>For Architectural &amp; Engineering Practices who at times do not have adequate staff to deal with periods of workload pressure,the project provides the technical staff - architects, engineers, technologists and CAD operators. It has the potential to trade internationally</t>
  </si>
  <si>
    <t>Avar Communications</t>
  </si>
  <si>
    <t>The project provides brands and businesses with a simple and beautiful platform to present themselves, post amazing job opportunities, share them with the world and organise the applications digitally and efficiently. The project has export potential.</t>
  </si>
  <si>
    <t>RunLastMan</t>
  </si>
  <si>
    <t>The project enables clubs and charities to raise funds for their organisations online through running sports prediction competitions. It has the potential to trade internationally.</t>
  </si>
  <si>
    <t>Pandollic Ltd t/a Clearstream Solutions</t>
  </si>
  <si>
    <t>Prisa Technologies Ltd t/a Prisa Consulting</t>
  </si>
  <si>
    <t>The project's business is transformation and change management experts. They have helped clients discover new ways of working to reduce costs, increase profitability, improve efficiency and enhance customer service. They work with clients to deliver organisational change initiatives such as business transformation, technology implementations and working capital improvement strategies.It has the potential to trade internationally.</t>
  </si>
  <si>
    <t>Highline Technology</t>
  </si>
  <si>
    <t>The project's range includes office printers and office copiers, black and white printers, colour copiers, black and white copiers, colour printers as well as all in one printers and multifunction copiers/scanners/printers.  They can enable office printing via Wifi, iPads, Macs, Phones and Tablets and also offer cloud printing solutions. The business is trading internationally and so is eligible for fundi</t>
  </si>
  <si>
    <t>Poulet Bonne Femme Ltd</t>
  </si>
  <si>
    <t>The chickens are slowly roasted on a spit, continuously basting in their own juices, which produces a deliciously succulent roast chicken for customers to take home with them or eat in a tasty sandwiches.</t>
  </si>
  <si>
    <t>eFindEasy</t>
  </si>
  <si>
    <t>A project to examine the commercial feasibility of developing a technology product that enables users to locate/keep track of an item of value. It has the potential to trade internationally.</t>
  </si>
  <si>
    <t>Dublin Bay Ferry Services Ltd</t>
  </si>
  <si>
    <t>Passenger cruise company with significant inbound tourism potential.</t>
  </si>
  <si>
    <t>Crechecom Ltd</t>
  </si>
  <si>
    <t>Crechecom is a cloud-based software platform for the early edu-care industry. It has the potential to trade internationally.</t>
  </si>
  <si>
    <t>HAL Software</t>
  </si>
  <si>
    <t>HAL Software aims to help Manufacturing Companies concentrate on what matters; getting their Data Model right early and then concentrating on the automating of the industrial process. It has the potential to trade internationally.</t>
  </si>
  <si>
    <t>Pintail Ltd</t>
  </si>
  <si>
    <t>Rocca Digital Ltd</t>
  </si>
  <si>
    <t>The business specialises in online business development. They help to acquire and retain customers from online marketing media in the most cost-effective way. They create and execute strategic marketing initiatives that deliver high quality results with the highest possible return-on-investment for the business. It has the potential to trade internationally.</t>
  </si>
  <si>
    <t>Gavin and Doherty Geosolutions</t>
  </si>
  <si>
    <t>The business is a specialist geotechnical engineering consultancy, providing innovative geotechnical solutions to a broad range of engineering problems. It is an Irish-based company that provides engineering services to the international market, including concept design, detailed design, in-situ monitoring and general geotechnical advice.</t>
  </si>
  <si>
    <t>Accelerate Programme. management Development Programme which provides the owner/manager with the management, leadership, business skills and knowledge to achieve sustainability and growth in their business.</t>
  </si>
  <si>
    <t>Monica Loughman Ballet Ltd</t>
  </si>
  <si>
    <t>Assistance towards the creation of 2 full time jobs in International Ballet Academy. This is a Russian Ballet Training Programme training participants to Russian Ballet standard without having to travel to Russia. Fingal Centre of Excellence for Ballet Training attracting participants to Dublin to train.</t>
  </si>
  <si>
    <t>Comsconsult Ltd</t>
  </si>
  <si>
    <t>The Cupcake Store</t>
  </si>
  <si>
    <t>Assistance towards the creation of 2 fulltime jobs in manufacture and sale of cupcakes</t>
  </si>
  <si>
    <t>Klondike Innovations Ltd</t>
  </si>
  <si>
    <t>Innovation Grant</t>
  </si>
  <si>
    <t>Innovation Grant towards consultancy &amp; prototype costs for Battery cooling system for the renewable energy and telecoms industry</t>
  </si>
  <si>
    <t>Le Patissier</t>
  </si>
  <si>
    <t>Assistance towards the creation of one fulltime position in the production of high End French patisserie deserts and gourmet products</t>
  </si>
  <si>
    <t>Howth Cuisine</t>
  </si>
  <si>
    <t>Grant assistance towards the creation of 2 fulltime jobs in production of Artisan Food Products for the wholesale market</t>
  </si>
  <si>
    <t>Motorcycle Rental Irl Ltd</t>
  </si>
  <si>
    <t>Assistance towards capital expenditure costs to business renting Motorcycles and equipment and organising personalised motorcycle tours targeting overseas Tourists / Visitors</t>
  </si>
  <si>
    <t>Treegate Technology</t>
  </si>
  <si>
    <t>Assistance towards capital expenditure costs involved in business manufacturing GSM devices</t>
  </si>
  <si>
    <t>Rosk Education Systems</t>
  </si>
  <si>
    <t>Innovation grant towards costs involved in feasibility of Internet based search application / referral system</t>
  </si>
  <si>
    <t>Happynest</t>
  </si>
  <si>
    <t>Assistance towards feasibility of manufacture &amp; supply of unique childrens clothing range</t>
  </si>
  <si>
    <t>Fab Cow Design</t>
  </si>
  <si>
    <t>Assistance towards the creation of one fulltime position in business producing illustrations with a quirky edge.</t>
  </si>
  <si>
    <t>Malahide Trolley Service</t>
  </si>
  <si>
    <t>Assistance towards the creation of two fulltime positions in transport business service marketed as a novelty / tourism amenity to families, individuals, residents and visitors (domestic and abroad) to Malahide Village operating daily from 9am-6pm May to September, including weekends and holiday periods throughout the rest of the year.</t>
  </si>
  <si>
    <t>Feedback Analytics</t>
  </si>
  <si>
    <t>Assistance towards the creation of two fulltime positions in business providing customer feedback analysis programme</t>
  </si>
  <si>
    <t>NADA</t>
  </si>
  <si>
    <t>Assistance towards the creation of two fulltime positions in National Athlete Development Academy Ltd. (NADA) provides accessible performance improvement to athletes and coaches across the full spectrum of Sports, Exercise, Health and Lifestyle involvement, from elite athletes and coaches to community participants of all ages.</t>
  </si>
  <si>
    <t>Felix Ogiehor</t>
  </si>
  <si>
    <t>Assistance towards the creation of one fulltime position in business which manufactures Flour products</t>
  </si>
  <si>
    <t>Platinum Paper</t>
  </si>
  <si>
    <t>Assistance towards the creation of 5 fulltime positions in business which manufactures and Exports Paper. Slicing bespoke paper for export.</t>
  </si>
  <si>
    <t>Aidan Cronin</t>
  </si>
  <si>
    <t>Salary supports for development of a firewood processing business</t>
  </si>
  <si>
    <t>Chris McGillycuddy</t>
  </si>
  <si>
    <t>Production of promotional materials for the corporate and sporting marketings.- Support towards marketing and equipment</t>
  </si>
  <si>
    <t>Project Cubic Vision</t>
  </si>
  <si>
    <t>Development of new system of pest control for agricultural crops. Support towards salary costs</t>
  </si>
  <si>
    <t>Damien Enright</t>
  </si>
  <si>
    <t>Provision of english courses to students from Spain. Support towards salary costs</t>
  </si>
  <si>
    <t>Monson Irish Jewellery</t>
  </si>
  <si>
    <t>Development of jewellery business focused on overseas markets. Support towards salary costs</t>
  </si>
  <si>
    <t>Fagandale Ltd</t>
  </si>
  <si>
    <t>Development of a call centre providing outsourced services in the sales, marketing and business solutions sector. Support towards Salary Costs for 6 jobs</t>
  </si>
  <si>
    <t>Globehook Ltd</t>
  </si>
  <si>
    <t>Development of an innovative online recruitment portal focused on international markets- support towards rental and marketing costs</t>
  </si>
  <si>
    <t>Healthy Bedding</t>
  </si>
  <si>
    <t>Expansion of pillow and furnishing manufacturer. Support towards new equipment</t>
  </si>
  <si>
    <t>HR &amp; Business Solutions</t>
  </si>
  <si>
    <t>Development of an online portal offering HR support services- support towards capital and marketing costs</t>
  </si>
  <si>
    <t>Ideal Outdoors Ltd</t>
  </si>
  <si>
    <t>Development of a range of apps aimed at outdoor tourists- support towards software development costs</t>
  </si>
  <si>
    <t>J&amp;B McCarthy Construction Ltd</t>
  </si>
  <si>
    <t>Purchase of a new timber harvesting system using skylines that allows access to difficult to acccess areas- support towards capital costs</t>
  </si>
  <si>
    <t>Katie Hassett</t>
  </si>
  <si>
    <t>Development of a range of customised sportswear- support towards salary costs</t>
  </si>
  <si>
    <t>Maria O'Brien</t>
  </si>
  <si>
    <t>Development of an app dealing with nutrition and healthy eating. Supports towards app development and own labour</t>
  </si>
  <si>
    <t>Premier Play Ireland</t>
  </si>
  <si>
    <t>Development of an indoor play facility- support towards rental costs</t>
  </si>
  <si>
    <t>Tomaz Kozien</t>
  </si>
  <si>
    <t>Production and refurbishment of automotive turbines- support towards equipment costs.</t>
  </si>
  <si>
    <t>Valentia Island Farmhouse Dairy</t>
  </si>
  <si>
    <t>Expansion of ice-cream manufacturing facility- support towards capital costs.</t>
  </si>
  <si>
    <t>Marketing Export Grant</t>
  </si>
  <si>
    <t>Marketing Export Grants provide support to clients to attend overseas trade shows or domestic trade shows with a lot of overseas buyers. The grants also allow for production of suitable marketing materials eg in other languages. Project relates exclusively to erdf activity and costs are eligible for co-funding, no admin costs are included in project.</t>
  </si>
  <si>
    <t>Training-Workshops in Cloud computing</t>
  </si>
  <si>
    <t>Workshops aimed at increasing understanding and potential of cloud computing for small businesses</t>
  </si>
  <si>
    <t>Ark Animal Care Ltd</t>
  </si>
  <si>
    <t>Provide expertise through consultancy and supply of appropriate products to intensive farmers such as vaccines, antibiotics, and nutritional products etc</t>
  </si>
  <si>
    <t>Balm Productions Ltd</t>
  </si>
  <si>
    <t>Productions and sale of a musical concept stage show called IAMO.  The Italian Love Story</t>
  </si>
  <si>
    <t>Beauty Results Ltd</t>
  </si>
  <si>
    <t>Production and distribution of organic tanning lotion</t>
  </si>
  <si>
    <t>Bicycle Design Centre</t>
  </si>
  <si>
    <t>Manufacture of custom bicycle frames for the Irish cycling industry.</t>
  </si>
  <si>
    <t>Brownes eFulfillment Ltd</t>
  </si>
  <si>
    <t>eFulfillment holds stock of finished products  and uses logistic capability to pack and ship products in response to customer order specifically providing this service to small and medium sized internet based businesses.</t>
  </si>
  <si>
    <t>Carve On Ltd</t>
  </si>
  <si>
    <t>Design &amp; manufacture of a contemporary range of  Irish made goods from carefully sourced natural materials and distribute them through various channels.</t>
  </si>
  <si>
    <t>Compass Ireland</t>
  </si>
  <si>
    <t>Distribution of Irish books to a customer base in the USA as well as at home and around the world</t>
  </si>
  <si>
    <t>Condell Engineering Ltd</t>
  </si>
  <si>
    <t>Patent for "Condell Alignment Clamp"  This clamp provides an efficient, accurate and labour saving approach to pipe fitting.</t>
  </si>
  <si>
    <t>Darren Solan</t>
  </si>
  <si>
    <t>To manufacture a new child safe lock for external doors and windows</t>
  </si>
  <si>
    <t>Dazult Ltd</t>
  </si>
  <si>
    <t>Development of  data analysis tools for the science sector</t>
  </si>
  <si>
    <t>Entropic Ltd</t>
  </si>
  <si>
    <t>design and supply of energy efficient heating, ventilation and air conditioning solutions to commercial buildings.</t>
  </si>
  <si>
    <t>Enviro Hygiene Specialista Ltd</t>
  </si>
  <si>
    <t>air duct inspection, risk assessment, cleaning and certification</t>
  </si>
  <si>
    <t>IBHT</t>
  </si>
  <si>
    <t>high quality training courses for professionals in beauty, hair and complementary health sectors</t>
  </si>
  <si>
    <t>Irepak Ltd</t>
  </si>
  <si>
    <t>manufacture of innovative dairy based protein products - high protein, zero fat, gluten free, Greek strained yogurt</t>
  </si>
  <si>
    <t>Jellaba &amp; Mojo Ireland</t>
  </si>
  <si>
    <t>universal cover to hold iPhones and all tablet devices made from high quality leather</t>
  </si>
  <si>
    <t>Kelleher Casual Wear Ltd</t>
  </si>
  <si>
    <t>Manufacture of Knitwear</t>
  </si>
  <si>
    <t>Duane Learning Ltd</t>
  </si>
  <si>
    <t>create and develop educational products for children, parents and teachers</t>
  </si>
  <si>
    <t>Raise a Concern</t>
  </si>
  <si>
    <t>independent body which facilitates employers and the public service to offer employees and citizens generally a facility to safely raise concerns about wrongdoing without fear of labelling or recrimination</t>
  </si>
  <si>
    <t>Shalford Ltd</t>
  </si>
  <si>
    <t>design, craft and install high end kitchens and fine furniture</t>
  </si>
  <si>
    <t>Superior Print Ltd</t>
  </si>
  <si>
    <t>manufacture and print of paper bags for the food, pharmaceutical, retail and clothing sectors</t>
  </si>
  <si>
    <t>The Log Holder Company</t>
  </si>
  <si>
    <t>manufacture of victorian style log holders made from wrought iron</t>
  </si>
  <si>
    <t>Toxicology Testing Solutions</t>
  </si>
  <si>
    <t>work place / on site drug &amp; alcohol testing</t>
  </si>
  <si>
    <t>Transcontinental Software</t>
  </si>
  <si>
    <t>electronic proof of delivery solutions provider</t>
  </si>
  <si>
    <t>Trinity Brewing Company Ltd</t>
  </si>
  <si>
    <t>production of beer for the craft beer sector</t>
  </si>
  <si>
    <t>Whitehat Services Ltd</t>
  </si>
  <si>
    <t>objective is to secure contracts with large foreign construction or mechanical cotracctors for provision of international labour supply services.</t>
  </si>
  <si>
    <t>Customer Service Training</t>
  </si>
  <si>
    <t>Deliver "customer service" training to clients of Kildare CEB.  No Admin costs have been included in this project.</t>
  </si>
  <si>
    <t>Irish Point to Point Services Ltd</t>
  </si>
  <si>
    <t>Website and Printing for Irish Point to Point racing, require extra employee to deal with growth in business.</t>
  </si>
  <si>
    <t>Foras Fuels Ltd</t>
  </si>
  <si>
    <t>Exportation of alternative fuels to large energy intensive users in the developing world</t>
  </si>
  <si>
    <t>Frisby Quality Services Ltd</t>
  </si>
  <si>
    <t>Provision of temperature mapping services to the pharmaceutical industry</t>
  </si>
  <si>
    <t>Kilfera Pet Products Ltd</t>
  </si>
  <si>
    <t>Manufacture and distribution of quality pet toys and accessories.</t>
  </si>
  <si>
    <t>Enviroclad Systems Ltd BI</t>
  </si>
  <si>
    <t>Researching a range of thermoplastic and thermoset roof and wall panels</t>
  </si>
  <si>
    <t>Aiden Lawlor</t>
  </si>
  <si>
    <t>Manufacture of automated system for docking trailers into loading bays.</t>
  </si>
  <si>
    <t>Greensbridge Engineering Ltd</t>
  </si>
  <si>
    <t>Manufacture of high quality customised precision mechanical parts</t>
  </si>
  <si>
    <t>APR Autobodys Ltd</t>
  </si>
  <si>
    <t>Manufacture of replacement parts and panels for coaches</t>
  </si>
  <si>
    <t>Ballyhale Preschool</t>
  </si>
  <si>
    <t>Sessional Pre-School</t>
  </si>
  <si>
    <t>CF Pharma Ireland Ltd BE</t>
  </si>
  <si>
    <t>Development and sale of medical devices</t>
  </si>
  <si>
    <t>Cleantech Energy</t>
  </si>
  <si>
    <t>Manufacture of Educational Equipment</t>
  </si>
  <si>
    <t>Cushendale Woollen Mills Ltd</t>
  </si>
  <si>
    <t>Production of high quality woollen fabrics</t>
  </si>
  <si>
    <t>Gowran Montessori</t>
  </si>
  <si>
    <t>Provision of montessori childcare services in the Gowran area</t>
  </si>
  <si>
    <t>Greensbridge Engineering</t>
  </si>
  <si>
    <t>Production and sale of high quality precision mechanical parts</t>
  </si>
  <si>
    <t>Unique Perspectives</t>
  </si>
  <si>
    <t>Expansion of product range of electronic aids for persons with disabilities</t>
  </si>
  <si>
    <t>Student Enterprise Awards 2013</t>
  </si>
  <si>
    <t>Mentoring 2013</t>
  </si>
  <si>
    <t>Provision of one-to-one mentoring to clients of Kilkenny CEB</t>
  </si>
  <si>
    <t>Accelerate MDP</t>
  </si>
  <si>
    <t>Provision of Accelerate Management Development programme to clients of Kilkenny CEB</t>
  </si>
  <si>
    <t>CEB 130-20 Advanced MDP Spring 2013</t>
  </si>
  <si>
    <t>Provision of Advanced Management Development Programme to clients of Kilkenny CEB</t>
  </si>
  <si>
    <t>Small Business Loan Scheme</t>
  </si>
  <si>
    <t>Provision of mentoring and support for clients in preparing applications for the St. Canice's Credit Union Small Business Loan Scheme</t>
  </si>
  <si>
    <t>Franchise Seminar Spring 2013</t>
  </si>
  <si>
    <t>Provision of seminar on Franchising to clients of Kilkenny CEB</t>
  </si>
  <si>
    <t>South East Region Business Gathering 2013</t>
  </si>
  <si>
    <t>Provision of Conference to South East CEB clients</t>
  </si>
  <si>
    <t>National Women's Enterprise Day 2013</t>
  </si>
  <si>
    <t>Contribution towards costs of clients of Kilkenny CEB attending National Women's Enterprise Day 2013</t>
  </si>
  <si>
    <t>Start Your Own Busines Course No. 1 Spring 2013</t>
  </si>
  <si>
    <t>Start Your Own Business Course Training Programme</t>
  </si>
  <si>
    <t>Start Your Own Business Course No. 2 Spring 2013</t>
  </si>
  <si>
    <t>50+ Start Your Own Business Seminar 2013</t>
  </si>
  <si>
    <t>50+ Start Your Own Business Programme</t>
  </si>
  <si>
    <t>Start Your Own Business Course No. 1 Autumn 2013</t>
  </si>
  <si>
    <t>Start Your Own Business Course No. 2 Autumn 2013</t>
  </si>
  <si>
    <t>Employment Law Spring 2013</t>
  </si>
  <si>
    <t>Employment Law Training Programme</t>
  </si>
  <si>
    <t>Generate PR Spring 2013</t>
  </si>
  <si>
    <t>Generate PR for your Business Training Programme</t>
  </si>
  <si>
    <t>Sales Skills Spring 2013</t>
  </si>
  <si>
    <t>Sales Skills Training Programme</t>
  </si>
  <si>
    <t>Employment Law Autumn 2013</t>
  </si>
  <si>
    <t>Presentation Skills Autumn 2013</t>
  </si>
  <si>
    <t>Presentation Skills Training Programme</t>
  </si>
  <si>
    <t>People Management Autumn 2013</t>
  </si>
  <si>
    <t>People Management Training Programme</t>
  </si>
  <si>
    <t>Customer Service Autumn 2013</t>
  </si>
  <si>
    <t>Customer Service Training Programme</t>
  </si>
  <si>
    <t>Time Management Autumn 2013</t>
  </si>
  <si>
    <t>Time Management Training Programme</t>
  </si>
  <si>
    <t>Payroll Spring 2013</t>
  </si>
  <si>
    <t>Computerised payroll training Programme</t>
  </si>
  <si>
    <t>Income Tax &amp; VAT Spring 2013</t>
  </si>
  <si>
    <t>Income Tax &amp; VAT Training Programme</t>
  </si>
  <si>
    <t>Sage 50 Spring 2013</t>
  </si>
  <si>
    <t>Sage 50 Computerised Accounts Training Programme</t>
  </si>
  <si>
    <t>How to Get Paid Spring 2013</t>
  </si>
  <si>
    <t>How to Get Paid Training Programme</t>
  </si>
  <si>
    <t>Quickbooks Spring 2013</t>
  </si>
  <si>
    <t>QuickBooks Computerised Accounts Training Programme</t>
  </si>
  <si>
    <t>File Tax Return Autunm 2013</t>
  </si>
  <si>
    <t>Filing a Tax Return Training Programme</t>
  </si>
  <si>
    <t>Sage Basic No. 1 Autumn 2013</t>
  </si>
  <si>
    <t>Sage Computerised Accounts Training Programme</t>
  </si>
  <si>
    <t>Sage Advanced Autumn 2013</t>
  </si>
  <si>
    <t>Sage Computerised Accounts Advanced Training Programme</t>
  </si>
  <si>
    <t>Quickbooks Advanced Autumn 2013</t>
  </si>
  <si>
    <t>QuickBooks Computerised Accounts Advanced Training Programme</t>
  </si>
  <si>
    <t>Costing &amp; Pricing Autumn 2013</t>
  </si>
  <si>
    <t>Costing &amp; Pricing Training Programme</t>
  </si>
  <si>
    <t>Sage Basic No. 2 Autumn 2013</t>
  </si>
  <si>
    <t>Sage Computerised Accounts Basic Training Programme</t>
  </si>
  <si>
    <t>Primary Food Handlers Spring 2013</t>
  </si>
  <si>
    <t>Primary Food handlers Training Programme</t>
  </si>
  <si>
    <t>Manual Handling Spring 2013</t>
  </si>
  <si>
    <t>Manual handling training programme</t>
  </si>
  <si>
    <t>Occupational First Aid Refresher Spring 2013</t>
  </si>
  <si>
    <t>Occupational First Aid Training programme</t>
  </si>
  <si>
    <t>Primary Food Handlers, Autumn 2013</t>
  </si>
  <si>
    <t>Primary Food Handlers Certificate Training Programme</t>
  </si>
  <si>
    <t>First Aid Autumn 2013</t>
  </si>
  <si>
    <t>First Aid Training Programme</t>
  </si>
  <si>
    <t>HACCP Autumn 2013</t>
  </si>
  <si>
    <t>HACCP Training Programme</t>
  </si>
  <si>
    <t>Childcare Training Spring 2013</t>
  </si>
  <si>
    <t>Childcare Training Programme</t>
  </si>
  <si>
    <t>UTube Spring 2013</t>
  </si>
  <si>
    <t>UTube Training Programme</t>
  </si>
  <si>
    <t>UTube 2 Spring 2013</t>
  </si>
  <si>
    <t>Google Adwords Spring 2013</t>
  </si>
  <si>
    <t>Google Adwords Training Programnme</t>
  </si>
  <si>
    <t>Blogging Spring 2013</t>
  </si>
  <si>
    <t>Blogging Training Programme</t>
  </si>
  <si>
    <t>Facebook Beginners Spring 2013</t>
  </si>
  <si>
    <t>Facebook for Beginners Training Programme</t>
  </si>
  <si>
    <t>Facebook for Experienced Users Spring 2013</t>
  </si>
  <si>
    <t>Facebook for Experienced Users Training Programme</t>
  </si>
  <si>
    <t>Search Engine Optimisation Spring 2013</t>
  </si>
  <si>
    <t>Twitter Spring 2013</t>
  </si>
  <si>
    <t>Twitter Training Programme</t>
  </si>
  <si>
    <t>Linkedin Spring 2013</t>
  </si>
  <si>
    <t>LinkedIn Training Programme</t>
  </si>
  <si>
    <t>Facebook Beginners Autumn 2013</t>
  </si>
  <si>
    <t>UTube Autumn 2013</t>
  </si>
  <si>
    <t>Facebook for Experienced Users Autumn 2013</t>
  </si>
  <si>
    <t>Develop a Website for your Business Autumn 2013</t>
  </si>
  <si>
    <t>Develop a Website for your Business Training Programme</t>
  </si>
  <si>
    <t>Enewsletters, Autumn 2013</t>
  </si>
  <si>
    <t>Enewsletters Training Programme</t>
  </si>
  <si>
    <t>Blogging Autumn 2013</t>
  </si>
  <si>
    <t>Search Engine Omptimisation Autumn 2013</t>
  </si>
  <si>
    <t>Develop a Website for your Business, Spring 2013</t>
  </si>
  <si>
    <t>Develop a Website for your Business training programme</t>
  </si>
  <si>
    <t>Create Kilkenny Programme</t>
  </si>
  <si>
    <t>Create Kilkenny Craft Producers Training Programme</t>
  </si>
  <si>
    <t>BRC Training Programme</t>
  </si>
  <si>
    <t>British Retail Consortium training programme for food producers</t>
  </si>
  <si>
    <t>Network for Owner Managers within Kilkenny city and county</t>
  </si>
  <si>
    <t>Social Media for Craft Producers Autumn 2013</t>
  </si>
  <si>
    <t>Social Media Training Programme for Craft Producers in Kilkenny</t>
  </si>
  <si>
    <t>Product Design for Craft Producers Autumn 2013</t>
  </si>
  <si>
    <t>Product Design for Craft Producers Training Programme</t>
  </si>
  <si>
    <t>Branding and PR for Craft Producers Autumn 2013</t>
  </si>
  <si>
    <t>Branding and PR for Craft Producers Training Programme</t>
  </si>
  <si>
    <t>Costing &amp; Pricing for Craft Producers Autumn 2013</t>
  </si>
  <si>
    <t>Costing and Pricing for Craft Producers Training Programme</t>
  </si>
  <si>
    <t>Exporting for Craft Producers, Autumn 2013</t>
  </si>
  <si>
    <t>Exporting for Craft Producers Training Programme</t>
  </si>
  <si>
    <t>Craft &amp; New Technologies, Autumn 2013</t>
  </si>
  <si>
    <t>Craft and New Technologies Training Programme</t>
  </si>
  <si>
    <t>Business Advisor Costs 2013</t>
  </si>
  <si>
    <t>Michael Stundon Stoves</t>
  </si>
  <si>
    <t>Reconditioning and repairing of solid fuel burning stoves.</t>
  </si>
  <si>
    <t>Micromix t/a Key Ingredients-BA</t>
  </si>
  <si>
    <t>Manufacture of spices and sauces for the wholesale food sector.</t>
  </si>
  <si>
    <t>Alnico Technologies priming grant</t>
  </si>
  <si>
    <t>Development manufacture and sales of magnetically enhanced chemical process equipment for the production of the following bio diesel, water purification, desalination and raw fuel  improvement, Priming Grant</t>
  </si>
  <si>
    <t>Atlas Global Metal</t>
  </si>
  <si>
    <t>Business Expansion Manufacture &amp; world-wide sales distribution of simplefeeder an automated feeder unit mainly for the equine industry</t>
  </si>
  <si>
    <t>Axis Envirnomental</t>
  </si>
  <si>
    <t>Aims to develop air emmissions monitoring of the business with regards to compliance testing and processing plant assessment business expansion grant</t>
  </si>
  <si>
    <t>Cater Care Ltd.</t>
  </si>
  <si>
    <t>Business Expansion grant Reposition services offered to food manufacturing services, food production development, planning, food compliance, food traceability, food labelling, food business restructure, auditing systems development</t>
  </si>
  <si>
    <t>EJS Plastics</t>
  </si>
  <si>
    <t>Priming Grant manufacturing toolmaking servicing multinational companies with tooling for the purpose of production and repair of same.  Injection moulding plastic components</t>
  </si>
  <si>
    <t>Ekotree</t>
  </si>
  <si>
    <t>Priming Grant towards Marketing targetted at internationl growth production of next generation green products starting with knitwear</t>
  </si>
  <si>
    <t>Frank McCourt Museum</t>
  </si>
  <si>
    <t>Business Expansion Grant The museum has been developed to showcase memorabilia &amp; artifacts donated from family and friends of Frank McCourt, towards capital equipment</t>
  </si>
  <si>
    <t>Lastmintueminders.com</t>
  </si>
  <si>
    <t>Priming Grant -Last minute minders is an internet based care staff solutions organisation.  It provides serveral services to parents, childcare facilities and hotels.  We hope to serve the wider community with further care services eg eldercare and also explore other lastminute business opportunities using cutting edge technology.</t>
  </si>
  <si>
    <t>Moonriver Chocolate</t>
  </si>
  <si>
    <t>Priming Grant Moonriver chocolate Handcrafted gourmet chocolate company, funding towards capital and marketing for the business</t>
  </si>
  <si>
    <t>Our Lady Of Lourdes</t>
  </si>
  <si>
    <t>Business Expansion Grant for development of cafe in Our Lady of Lourdes commended redevelopment work in January 2012 to incorporate the installation of a combined service area for hot and cold food service.  The cafe sit n sip will have its own identity and designated space with a new access from the street.</t>
  </si>
  <si>
    <t>CHL Reasland Ltd</t>
  </si>
  <si>
    <t>Business Expansion Grant C.H.L product offering include general engineering services, C&amp;C Milling, C&amp;C Turning precision grinding and gear cutting - they have successfully targeted the export market and secured new business, they now wish to purchase a new machine</t>
  </si>
  <si>
    <t>Silver Darlings</t>
  </si>
  <si>
    <t>Priming Grant Silver Darlings is a producer of nordic style pickled and marinated ready to eat herrings products for retail and wholesale, markets, fishmonger, artisan food shops, restaurants, airports and export via online shopping.  The products are pickled with fresh herbs and vegetable, good quality spices, vinger and oils</t>
  </si>
  <si>
    <t>Sinnott Training</t>
  </si>
  <si>
    <t>Business Expansion Sinnott Training STAC is a first aid training company, they also have designed a program to teach first aid to primary school children.  STAC now wishes to take on a sales person to reach into international markets</t>
  </si>
  <si>
    <t>Virtual Chambers</t>
  </si>
  <si>
    <t>Priming Grant A stand alone time management system specifically targeting the legal profession, cloud based mobile ready with a sage crm platform</t>
  </si>
  <si>
    <t>Visitors TV</t>
  </si>
  <si>
    <t>Business Expansion Visitor Tv is a destination marketing company offering advertisers targetting visitors a platform solution to reach visitors before, during and after their visit, revenue to be generated from advertising on these platforms, partner fees as well as monthly fees for product listings</t>
  </si>
  <si>
    <t>Your Nails Magazine</t>
  </si>
  <si>
    <t>Priming Grants your Nails magazine is an Irish Nails magazine focussing on the technical aspect of the Nails Market with an international trading element</t>
  </si>
  <si>
    <t>Decision support system for global software development</t>
  </si>
  <si>
    <t>Feasibility study to assess commercial potential of a decision support system to support global software development</t>
  </si>
  <si>
    <t>Income Account</t>
  </si>
  <si>
    <t>Interest Received on Refundable Aid Account</t>
  </si>
  <si>
    <t>Airmount -Employment</t>
  </si>
  <si>
    <t>Airmount Engineering Services for the Aeronautical sector</t>
  </si>
  <si>
    <t>Ajisko T/A IMS</t>
  </si>
  <si>
    <t>Employment Grant</t>
  </si>
  <si>
    <t>IT Broadband services provider.</t>
  </si>
  <si>
    <t>Brendan Curtin</t>
  </si>
  <si>
    <t>Brendan Curtin's business is building and upgrading commercial trailers to meet RSA standards.</t>
  </si>
  <si>
    <t>Carbooker.com</t>
  </si>
  <si>
    <t>This is an online booking system that compares car rental costs and gets the cutomer the cheapest option.</t>
  </si>
  <si>
    <t>Chinese Language School</t>
  </si>
  <si>
    <t>Chinese Language School for students and professionals lookig to learn Chinese for career progression and trade purposes.</t>
  </si>
  <si>
    <t>Dan O' Connor</t>
  </si>
  <si>
    <t>Manufacture of Chocolates and confectionary.</t>
  </si>
  <si>
    <t>Design Pro</t>
  </si>
  <si>
    <t>Manufacture of robotic devices for the pharmaceutical and cosmetic industry.</t>
  </si>
  <si>
    <t>Electricity Exchange</t>
  </si>
  <si>
    <t>Idle back-up generators can be used to provide valuable capacity to the electricity grid by being on stand-by, ready to self-supply your site.</t>
  </si>
  <si>
    <t>IKB Energy</t>
  </si>
  <si>
    <t>IKB Energy is a sister company to F4 Energy &amp; manufacture a range of  Natural Gas Powered Turbines, this grant is in respect of recruiting 3 additional employees bringing the workforce to 10.</t>
  </si>
  <si>
    <t>Kevin Greaney</t>
  </si>
  <si>
    <t>Reconditioning and cleaning of alloy wheels.</t>
  </si>
  <si>
    <t>Michael O' Donnell</t>
  </si>
  <si>
    <t>Light Engineering Company manufacturing gates and railings.</t>
  </si>
  <si>
    <t>Micromix t/a Key Ingredients</t>
  </si>
  <si>
    <t>Manufacture of spices and sauces for the wholesale food market.</t>
  </si>
  <si>
    <t>Ponaire-Priming</t>
  </si>
  <si>
    <t>Coffee Roasting business, the busines has it own roastery based in Annacotty.</t>
  </si>
  <si>
    <t>Post Operative Clothing Company-Priming</t>
  </si>
  <si>
    <t>Measurement, supply and fit service of bras for women who have had breat cancer and reconstructive surgery.</t>
  </si>
  <si>
    <t>Robotics &amp; Control</t>
  </si>
  <si>
    <t>Manufacture of Robotic equipment, Programming &amp; Electrical Control</t>
  </si>
  <si>
    <t>Santa Knows Me</t>
  </si>
  <si>
    <t>Online booking sytem for parents to book santa visits, this software is developed by the promoter and sold to other providers.</t>
  </si>
  <si>
    <t>Sharon Galvin</t>
  </si>
  <si>
    <t>Milliner manufactures bespoke headpieces.</t>
  </si>
  <si>
    <t>Sign for Life</t>
  </si>
  <si>
    <t>Sign for Life is a sign language app developed by secondary school students attending Pallaskenry Secondary School, they entered this product as part of the NSEA programme.</t>
  </si>
  <si>
    <t>The Global Sauce Company-Priming</t>
  </si>
  <si>
    <t>Manufacture of sauces for the wholesale food sector.</t>
  </si>
  <si>
    <t>Webware</t>
  </si>
  <si>
    <t>Business Software  for audit and calibration.</t>
  </si>
  <si>
    <t>The Management Development programme is a comprehensive programme aimed at established businesses to develop a startegic focus for their business.</t>
  </si>
  <si>
    <t>SYOB 1 Kilmurry</t>
  </si>
  <si>
    <t>Start Your Own Business course running for 1 evening a week for 5 weeks covering topics such as 	Business Planning, Market Research, VAT, PAYE, PRSI, 	Finance &amp; Legal Iss</t>
  </si>
  <si>
    <t>SYOB 2-Kilmallock</t>
  </si>
  <si>
    <t>Start Your Own Business course running for 1 evening a week for 5 weeks covering topics such as Business Planning, Market Research, VAT, PAYE, PRSI, Finance &amp; Legal Issue</t>
  </si>
  <si>
    <t>SYOB 4-Adare</t>
  </si>
  <si>
    <t>Google</t>
  </si>
  <si>
    <t>Women in Business networking events run 6 events a year delivered by a high profile speaker with networking.</t>
  </si>
  <si>
    <t>Sales &amp; Marketing Clinic</t>
  </si>
  <si>
    <t>One to One Sales &amp; Marketing Clinics with Terry Harmer held once a month at CEB offices.</t>
  </si>
  <si>
    <t>Effective Communications_x000D_Impromptu Speaking Skills_x000D_ Learning to say NO_x000D_ Developing self assurance and confidence_x000D_ Handling difference well_x000D_</t>
  </si>
  <si>
    <t>Social Media Bootcamp</t>
  </si>
  <si>
    <t>Social Media Overview - how to use social media for marketing _x000D_Facebook Marketing _x000D_Twitter Marketing _x000D_Linkedin Marketing</t>
  </si>
  <si>
    <t>Taxation/ROS</t>
  </si>
  <si>
    <t>Understanding Tax_x000D_ Calculate TaX_x000D_ How to file a Tax return_x000D_Revenue Online System (ROS)</t>
  </si>
  <si>
    <t>Negotiaiton Skills</t>
  </si>
  <si>
    <t>How to negotiate effectively_x000D_Negotiation Strategies_x000D_Negotiation Exercise</t>
  </si>
  <si>
    <t>Cloud Computing</t>
  </si>
  <si>
    <t>Identify the leading cloud computing applications for SME's</t>
  </si>
  <si>
    <t>Bookkeeping</t>
  </si>
  <si>
    <t>P&amp;L &amp; Balance Sheet_x000D_ Cash Flow Management_x000D_ Pricing &amp; Costing</t>
  </si>
  <si>
    <t>Credit Control</t>
  </si>
  <si>
    <t>Importance of strong terms &amp; conditions_x000D_, How to handle persistent bad payers_x000D_ Techniques to encourage payment_x000D_</t>
  </si>
  <si>
    <t>Email &amp; Mobile Marketing</t>
  </si>
  <si>
    <t>How to design ,implement and learn from an email marketing campaign_x000D_-How to set up a database for effective use_x000D_-Managing and delivering an effective SMS_x000D_-How to comply with the Data Protection Act_x000D_-not to become a spammer.</t>
  </si>
  <si>
    <t>Creative Inductries</t>
  </si>
  <si>
    <t>Start your own business course for 4th year creative industry media student at the University of Limerick.</t>
  </si>
  <si>
    <t>Branding</t>
  </si>
  <si>
    <t>Why use Branding?_x000D_ Product/Service differentiation_x000D_Brand Elements_x000D_ Brand Name_x000D_ Logos_x000D_ Slogans and Taglines_x000D_ Marketing Communication Tools</t>
  </si>
  <si>
    <t>Senior Enterprise</t>
  </si>
  <si>
    <t>Senior Enterprise, an EU supported initiative through INTERREG IVB NWE, is specifically designed to encourage a greater involvement with enterprise by those aged over 50.</t>
  </si>
  <si>
    <t>Sales &amp; Networking</t>
  </si>
  <si>
    <t>Sales &amp; Networkign course for SME's.</t>
  </si>
  <si>
    <t>Idea Generation</t>
  </si>
  <si>
    <t>How to develop an idea into a reality, covers patents, design etc.</t>
  </si>
  <si>
    <t>One to one mentoring with clients in a variety of areas such as finance, business start up, HR, etc.</t>
  </si>
  <si>
    <t>Business Development incorporates the following areas: Business Planning, Market Research, New Product Development and website development grants</t>
  </si>
  <si>
    <t>Primary/Bizworld</t>
  </si>
  <si>
    <t>Primary School Initiative to develop entrepreneurial awareness at primary level. The students ahve to develop and run a mini company or event.</t>
  </si>
  <si>
    <t>Contribution towards promotional activities &amp; advertising of programmes EU logos present.</t>
  </si>
  <si>
    <t>Sponsoriship of local event Castleconnell Craft Fair.</t>
  </si>
  <si>
    <t>Showcase</t>
  </si>
  <si>
    <t>Cost of taking stand at Showcase for craft client.</t>
  </si>
  <si>
    <t>Advertising training with Local radio station,Sponsorship of Food programe UCC, and Blas Na hEireann Awards. EU logos present</t>
  </si>
  <si>
    <t>Contributions towards craft client attending Showcase.</t>
  </si>
  <si>
    <t>Food &amp; Hospitality Irl</t>
  </si>
  <si>
    <t>Limerick County CEB clients attending the Food &amp; Hospitality Ireland Event.</t>
  </si>
  <si>
    <t>National Enterprise Awards lcoal &amp; national costs: prize money, trophy, goodie bags.</t>
  </si>
  <si>
    <t>SMILE</t>
  </si>
  <si>
    <t>Contribution towards SMILE programme. This initiative encourages businesses to upcycle and exchange waste products with other business.</t>
  </si>
  <si>
    <t>Follow up Management Development Programme with past participants to develop a strategy for their business.</t>
  </si>
  <si>
    <t>Management Accounts</t>
  </si>
  <si>
    <t>How to prepare and read a set of Management Accounts for your business and the importance of them.</t>
  </si>
  <si>
    <t>Accuplex Diagnostics Limited</t>
  </si>
  <si>
    <t>Grant sought to assess the feasibility of the adaptation of the EquiCheck (manufactured by promoter) test for use in assessing general health of feed lot cattle.</t>
  </si>
  <si>
    <t>Art of Wealth Technolgoies</t>
  </si>
  <si>
    <t>Feasibility study grant to build an online financial planning tool that will allow SME business owners to take greater control of their own financial planning</t>
  </si>
  <si>
    <t>Art of Wealth Technologies</t>
  </si>
  <si>
    <t>Development of software that is designed as a financial mentoring tool to allow business owners and entrepreneurs to see and take charge of their entire financial position with one easy to use technology</t>
  </si>
  <si>
    <t>Arts Cool Media Limited</t>
  </si>
  <si>
    <t>Assess feasibility of setting up a publishing business publishing periodical publications that are both educational and tutorial</t>
  </si>
  <si>
    <t>Innovative art system marketed at retail and schools</t>
  </si>
  <si>
    <t>Colin Power Plastic Fabrication Limited</t>
  </si>
  <si>
    <t>To expand a plastic fabrication business through the purchase of equipment and employment of one full-time person</t>
  </si>
  <si>
    <t>Diesel Electric Power Limited</t>
  </si>
  <si>
    <t>Duine Acu Limited</t>
  </si>
  <si>
    <t>Funding for a technology company created with the aim of developing high technology internet solutions for business and visually impaired people</t>
  </si>
  <si>
    <t>Educational Media Learning</t>
  </si>
  <si>
    <t>tart up service business that provides customised market entry and sales strategy services to private companies, corporations, government and non-profit organisations within the K-12 and high education divisions with the education sector</t>
  </si>
  <si>
    <t>Evolution Food Limited</t>
  </si>
  <si>
    <t>Production of health-oriented ready meals.</t>
  </si>
  <si>
    <t>FloWeb Design</t>
  </si>
  <si>
    <t>Graphic design, logo design and printing business_x000D_</t>
  </si>
  <si>
    <t>FoxFlo Ventilation Limited</t>
  </si>
  <si>
    <t>Manufacture and installation of ducting for ventilation and air conditioning systems._x000D_</t>
  </si>
  <si>
    <t>GripFix Ireland Limited</t>
  </si>
  <si>
    <t>Packaging business specialising in bulk items, eg, screws, nails, plastics and breaking them down into small packages to meet individual customer requirements_x000D_</t>
  </si>
  <si>
    <t>Mála</t>
  </si>
  <si>
    <t>Production of toy storage bags which aim to revolutionise toy storage and minimize tidy up time</t>
  </si>
  <si>
    <t>Jennifer's Craft Shop</t>
  </si>
  <si>
    <t>Feasibility study involving the production of an innovative indoor/outdoor planter system, allowing maximum utilising of space, ease of access (GMIS: 24000525-4) and also feasibility of storage solution</t>
  </si>
  <si>
    <t>Maria Bray</t>
  </si>
  <si>
    <t>Grant to assist with packaging costs for a products designed by the promoter - a universally sized child seat cover that fits all child seats and strollers (patent pending - name trademarked)</t>
  </si>
  <si>
    <t>Metalworx</t>
  </si>
  <si>
    <t>Mild and stainless steel fabrication such as glazed screens, cash handling counter systems, security cash drawers, bulk transfer units, security personnel doors, retractable window and door grilles, safes, strong rooms, mobile cash transfer trolleys</t>
  </si>
  <si>
    <t>Mimi Toys</t>
  </si>
  <si>
    <t>Grant to cover the cost of business specific training_x000D_</t>
  </si>
  <si>
    <t>Oldcastle Laboratories Limited</t>
  </si>
  <si>
    <t>Laboratory services to the veterinary sector and the general public</t>
  </si>
  <si>
    <t>Scenemaker</t>
  </si>
  <si>
    <t>To establish a set hire company whereby the promoter will use the stock of sets he has manufactured to date and others he will manufacture for shows particularly for secondary schools</t>
  </si>
  <si>
    <t>Stacey Higgins</t>
  </si>
  <si>
    <t>To assess the feasibility of commercialisation of personalised made to order pen and ink paintings which will cover all major family events such as family/baby details, 21st birthdays, weddings and retirements all in a caricature format.</t>
  </si>
  <si>
    <t>Stint Ireland</t>
  </si>
  <si>
    <t>Service offering international students and graduates internship opportunities in Dublin, combined with a unique Irish experience</t>
  </si>
  <si>
    <t>The Bubblins</t>
  </si>
  <si>
    <t>Development and publication of a range of children's books centred around the characters, The Bubblins, created by the promoter</t>
  </si>
  <si>
    <t>The Design Basket Limited</t>
  </si>
  <si>
    <t>Gift website bringing together a rapidly expanding collective of small, independent, creative businesses, showcasing in the high fashion and sleek design that is alive in Ireland_x000D_</t>
  </si>
  <si>
    <t>Bodyglove Limited</t>
  </si>
  <si>
    <t>Grant required to launch a business which has designed, patented and produced a range of products (mitts and gloves) for exfoliation, self-tanning, moisturiser application and body wash.</t>
  </si>
  <si>
    <t>50+ Start Your Own Business</t>
  </si>
  <si>
    <t>Provision of Business Start training to CEB clients aged 50 and over interested in starting up their own businesses</t>
  </si>
  <si>
    <t>Creating iPhone Apps</t>
  </si>
  <si>
    <t>Provision of iPhone app development training to CEB clients</t>
  </si>
  <si>
    <t>Occupational First Aid</t>
  </si>
  <si>
    <t>Provision of occupational first aid training to CEB clients</t>
  </si>
  <si>
    <t>Income</t>
  </si>
  <si>
    <t xml:space="preserve">Community Enterprise Contributions </t>
  </si>
  <si>
    <t>Contributions given to community Groups in Roscrea, Thurles and other towns across the county to promote business.</t>
  </si>
  <si>
    <t>Brian Maher T/a Tipp Wood Chip</t>
  </si>
  <si>
    <t>Investment in equipment to assist in the expansion of the business.</t>
  </si>
  <si>
    <t>Cahson Ltd</t>
  </si>
  <si>
    <t>Business expansion grant provided towards Capital and equipment, Marketing, Consultancy and Salary costs.</t>
  </si>
  <si>
    <t>Chimney Draught Stop Ltd</t>
  </si>
  <si>
    <t>Business Expansion Grant to cover the cost of Consultancy to expand into the UK market.</t>
  </si>
  <si>
    <t>Crossogue Preserves Ltd</t>
  </si>
  <si>
    <t>Business expansion grant towards the cost of equipment and marketing costs</t>
  </si>
  <si>
    <t>Derg Farmhouse Cheese Ltd</t>
  </si>
  <si>
    <t>Grant assistance towards a cheese manufacturing business located the food centre in Rearcross</t>
  </si>
  <si>
    <t xml:space="preserve">KDA Logistics Ltd </t>
  </si>
  <si>
    <t>Business Expansion Grant towards marketing cost and employment costs</t>
  </si>
  <si>
    <t>Kieran Butler T/a Premier Raised Beds</t>
  </si>
  <si>
    <t>Employment Grants towards the creation of 1 job</t>
  </si>
  <si>
    <t>MagTec Interconnecions</t>
  </si>
  <si>
    <t>Priming grant towards the cost purchasing new equipment</t>
  </si>
  <si>
    <t>Marion Murphy Cooney Fashion Designs</t>
  </si>
  <si>
    <t>Feasibility Study Grant assistance towards the cost of consultancy, prototype development, own labour research and miscellaneous  costs.</t>
  </si>
  <si>
    <t>Artisan Food Producers</t>
  </si>
  <si>
    <t>Contribution towards the running costs of the Tipperary Food Producers Network to include promotion and marketing of local artisan products. Sponsorship of Awards at Blas Na hEireann competition, contribution to Foodies event and promotion of Tipperary's artisan producers in Brussels.</t>
  </si>
  <si>
    <t>Simplistix Software Ltd</t>
  </si>
  <si>
    <t>The product is a web based game which runs on smart-phones, tablets &amp; PCs to test users on nouns in his/her chosen language and must choose the correct gender.</t>
  </si>
  <si>
    <t>Priming Grant assistance towards the cost of business set up costs including equipment, marketing, salary and utility</t>
  </si>
  <si>
    <t>Spillane Bespoke Furniture Ltd</t>
  </si>
  <si>
    <t>Business Expansion Grant towards the cost of equipment.</t>
  </si>
  <si>
    <t>Spillane Sand &amp; Gravel</t>
  </si>
  <si>
    <t>Feasibility Study Grant towards the cost of consultancy, miscellaneous costs, prototype development and own labour research. To develop a range of products for the horticultural market based on French technology and expertise</t>
  </si>
  <si>
    <t>Templetuohy Farm Fresh Foods Ltd</t>
  </si>
  <si>
    <t>Grant assistance towards the cost of equipment, marketing and business specific training.</t>
  </si>
  <si>
    <t>The Scullery Ltd</t>
  </si>
  <si>
    <t>Business Expansion Grant towards the cost of new equipment to include a labeller,a metal detection unit, a filling machine, steam jacketed cooker and a label printer.</t>
  </si>
  <si>
    <t>Timber Chic's Firewood</t>
  </si>
  <si>
    <t>Priming Grant towards the cost of consultancy, marketing, rent and salary costs.</t>
  </si>
  <si>
    <t>Tutus Software International Ltd</t>
  </si>
  <si>
    <t>Priming grant support towards Salary cost</t>
  </si>
  <si>
    <t>Microfinance Seminars</t>
  </si>
  <si>
    <t>Seminar in conjunction with Microfinance Ireland to promote Microfinance as an option to fund the expansion etc of micro enterprise</t>
  </si>
  <si>
    <t>Training Needs Analysis</t>
  </si>
  <si>
    <t>Contribution towards the cost of a Training Needs Analysis to establish the gaps in training in the County.  The results of the analysis informed the training calendar for the TNCEB in 2014_x000D_</t>
  </si>
  <si>
    <t>Product Innovation programme</t>
  </si>
  <si>
    <t>Aimed at pre and new start ups who have a product idea that is in its early stage of development.</t>
  </si>
  <si>
    <t>Branding and Packaging Prog</t>
  </si>
  <si>
    <t>Development of Brand for business with one to one mentoring</t>
  </si>
  <si>
    <t>SE Business Development Conference</t>
  </si>
  <si>
    <t>Conference for business owners from South East of Ireland</t>
  </si>
  <si>
    <t>Tipp Food Procedurers</t>
  </si>
  <si>
    <t>Network of food business in Tipperary</t>
  </si>
  <si>
    <t>Food Development Programmes</t>
  </si>
  <si>
    <t>Food businesses supports and initiatives such as trade fairs and competitions.</t>
  </si>
  <si>
    <t>Carraig Ironcraft</t>
  </si>
  <si>
    <t>Manufacture of a range of wrought iron crafts</t>
  </si>
  <si>
    <t>Future People Ltd</t>
  </si>
  <si>
    <t>Specialised traing and development service for large multi-nationals</t>
  </si>
  <si>
    <t>Red City Manufacturing</t>
  </si>
  <si>
    <t>Manufacture of flat pack furniture(understairs storage units, bedroom furniture) for export to UK. Expenditure was on the purchase of DNC( Distributed numerical control) machine</t>
  </si>
  <si>
    <t>Woodview Service Stn</t>
  </si>
  <si>
    <t>Investigate the development of vending machine for solid fuel.</t>
  </si>
  <si>
    <t>Lightspeed Communications</t>
  </si>
  <si>
    <t>Fibre optic services for network installations. Expenditure was for capital equipment required for installations</t>
  </si>
  <si>
    <t>Tipperary Custom Embroidery</t>
  </si>
  <si>
    <t>Design and manufacture of logos for garments</t>
  </si>
  <si>
    <t>SIX 023 Scientific</t>
  </si>
  <si>
    <t>Sale of specilaised Laboratory equipment</t>
  </si>
  <si>
    <t>Just Add You</t>
  </si>
  <si>
    <t>Manufacture of DIY Craft kits</t>
  </si>
  <si>
    <t>Pencraft</t>
  </si>
  <si>
    <t>Design and manufacture of range of prints aiming at religious markets e.g. Veritas market. Also looking at exporting to USA</t>
  </si>
  <si>
    <t>Queen B Athletics is a textiles company specialising in designing sports clothing. Supported with feasibility,  grant</t>
  </si>
  <si>
    <t>Bizfest</t>
  </si>
  <si>
    <t>Bizfest, hosted by the Local Enterprise Office, Carlow, Carlow County Council, Bank of Ireland, in association with Netwatch, Keenans and Carlow Chamber of Commerce, is a business networking event featuring a panel of unique business people who have experience on the local, national and international stage. Each year, the networking event attracted over 260 business people from across Ireland.</t>
  </si>
  <si>
    <t>Mileeven Ltd</t>
  </si>
  <si>
    <t>Production of honey and honey related products</t>
  </si>
  <si>
    <t>Abbikates Bakery</t>
  </si>
  <si>
    <t>The business offers a range of confectionery product to individuals and restaurants with the promoter being a female returning to work</t>
  </si>
  <si>
    <t>Deiselicious</t>
  </si>
  <si>
    <t>Home cooked foods with no additives.  Female going back to work.</t>
  </si>
  <si>
    <t>Colbert Engineering</t>
  </si>
  <si>
    <t>Precision engineering producing turned components for gas, oil, electronic &amp; medical companies</t>
  </si>
  <si>
    <t>Inn The Doghouse</t>
  </si>
  <si>
    <t>Promoter is female going back to work and is a provider of positive Dog Training classes as well as one-on-one sessions, which are unique in the South East</t>
  </si>
  <si>
    <t>Lutsia</t>
  </si>
  <si>
    <t>Lutsia is an independent Irish Fashion label which offers an individual approach to suit clients needs and qualifies under the manufacturing and export potential criteria. 31003606-01</t>
  </si>
  <si>
    <t>Metalman Brewing</t>
  </si>
  <si>
    <t>Microbrewery producing and supplying craft beer for domestic and export markets in draft and bottled form. Study is to investigate canning possibilities at their own premises</t>
  </si>
  <si>
    <t>Nightfall</t>
  </si>
  <si>
    <t>Q1 Scientific</t>
  </si>
  <si>
    <t>Q1 Scientific offer a complete stability sample management service, from initial protocol development, to defining pull points through to laboratory delivery</t>
  </si>
  <si>
    <t>Sunshine Confectionary</t>
  </si>
  <si>
    <t>Manufacture of Blaas (soft rolls), which are produced under Protected Geographical Indication status, which protects regional foods that have a specific quality, reputation or other characteristics attributable to that area.  It acts like a Trade Mark, and stops manufacturers from outside a region copying a regional product and selling it as that product</t>
  </si>
  <si>
    <t>Unique Aquatics</t>
  </si>
  <si>
    <t>Female returning to the workplace with only hydrotherapy pool in the South East of Ireland, that allows the body to exercise in a warm, soothing environment ideal for those with disabilities or recuperating.</t>
  </si>
  <si>
    <t>Yoga Teacher Assistant</t>
  </si>
  <si>
    <t>Yoga Teacher Assistant, is a software business management tool specifically created by yoga teachers for yoga teachers, that helps speed up class preparation, scheduling, invoicing and all the administration elements of classes</t>
  </si>
  <si>
    <t>Business Desks</t>
  </si>
  <si>
    <t>waterfordcitycentre.ie</t>
  </si>
  <si>
    <t>Web assistance &amp; online training for local network of Waterford City Centre Businesses.</t>
  </si>
  <si>
    <t>Females At Business Network</t>
  </si>
  <si>
    <t>Training, seminars &amp; conferences for women in business.</t>
  </si>
  <si>
    <t>Basic Bookkeeping, taxation and cost control workshops.</t>
  </si>
  <si>
    <t>Food Academy</t>
  </si>
  <si>
    <t>Programme set up in conjunction with Supervalu for food/drink businesses.  Focuses on branding/design/routes to market/ raising brand awareness.</t>
  </si>
  <si>
    <t>Harvest Festival</t>
  </si>
  <si>
    <t>Festival celebrating the culinary heritage and culture of Waterford, the South East and Ireland as a whole. The festival aims to involve people in the appreciation of good, clean, fair food while showcasing all the gastronomic delights the region has to offer.  The Board assisted food sector clients exhibiting/sales.</t>
  </si>
  <si>
    <t>Workshop to assist those interested in starting a business to take an idea from first stage through to business start up.</t>
  </si>
  <si>
    <t>Love Irish Food Network</t>
  </si>
  <si>
    <t>An event to celebrate &amp; showcase local food producers. It is a celebration of food in Waterford and the South East.</t>
  </si>
  <si>
    <t>Made In Waterford</t>
  </si>
  <si>
    <t>A programme for craft workers including training, mentoring, branding culminating in their attendance at Showcase.</t>
  </si>
  <si>
    <t>Manufacturing Seminar</t>
  </si>
  <si>
    <t>The seminar focused on sustainability and failure analysis. To assist the industry in managing and resolving material and product failure problems. Also focused on energy management, use, and planning to ensure businesses of all sizes can focus on methods to address the ever increasing energy costs.</t>
  </si>
  <si>
    <t>Marketing Grant Assistance</t>
  </si>
  <si>
    <t>Marketing Workshops</t>
  </si>
  <si>
    <t>Student Enterprise Programme gives second level students the chance to set up and run their own business while still in school. Students get to experience all the realities of entrepreneurship from coming up with their business idea and writing a business plan to producing the product, research the marketing, promoting the business and managing the books.</t>
  </si>
  <si>
    <t>South East Business Gathering</t>
  </si>
  <si>
    <t>High end conference aimed at entrepreneurs who graduated from Enterprise Board Management Development Programmes with agency speakers, success stories etc.</t>
  </si>
  <si>
    <t>Succession Conference</t>
  </si>
  <si>
    <t>Conference aimed at succession planning for sme's.  Areas such as legal and tax implications etc. involved.</t>
  </si>
  <si>
    <t>Technical Support - Specialised</t>
  </si>
  <si>
    <t>Tourism Opportunities Programme</t>
  </si>
  <si>
    <t>Web Development Assistance</t>
  </si>
  <si>
    <t>Assistant to clients towards Web Site and ecommerce development to ensure SMEs maximise potential through use of e-business based on 50% of spend.</t>
  </si>
  <si>
    <t>Web Workshops</t>
  </si>
  <si>
    <t>Winning in Tendering Workshop</t>
  </si>
  <si>
    <t>Workshop to assist clients in the public &amp; private tendering processes.  In conjunction with Irish Institute of Purchasing and Materials Management/M2</t>
  </si>
  <si>
    <t>Online Healthchecks</t>
  </si>
  <si>
    <t>Amandine Ltd</t>
  </si>
  <si>
    <t>Expansion of cake manufacturing business</t>
  </si>
  <si>
    <t>Cathy Dooly</t>
  </si>
  <si>
    <t>Clubs.ie was founded to help club organisers reduce the administrative burden of running their club.  The website provides a one-stop-shop for club admins and coaches, allowing them to spend less time on paperwork and more time enjoying their club activities.</t>
  </si>
  <si>
    <t>Something Sweet Cakes and Bakes</t>
  </si>
  <si>
    <t>Manufacture of cakes, bakes and confectionary in Dunhill - purchase of equipment and creation of 1 new job</t>
  </si>
  <si>
    <t>Colette Martin</t>
  </si>
  <si>
    <t>Slurrysafe is a railed-in steel safety platform. The platform will be fitted to the existing concrete wall at the entrance to the open slurry pit. The safety platform has an agitation point on its steel non-slip floor and a separate entry point for the hose pipe used to extract the slurry</t>
  </si>
  <si>
    <t>Emerald Cargo Systems Ltd</t>
  </si>
  <si>
    <t>Expansion of an innovative approach to logistics with creation of 1 new job</t>
  </si>
  <si>
    <t>Estate Management Solutions</t>
  </si>
  <si>
    <t>Consultancy business offering Property and facilities management with creation of 1 new job</t>
  </si>
  <si>
    <t>Laszlo Zsikai</t>
  </si>
  <si>
    <t>Manufacture of glass for doors, windows and lamps with creation of 1 new job</t>
  </si>
  <si>
    <t>Launch Pad Technologies Ltd</t>
  </si>
  <si>
    <t>Web based application that resides on the amazon web services cloud solution offering individuals manager their to do lists, share work and communicate efficiently</t>
  </si>
  <si>
    <t>Marie Power</t>
  </si>
  <si>
    <t>Manufacture of seaweed based food products with creation of 1 new job</t>
  </si>
  <si>
    <t>Marli Products Ltd</t>
  </si>
  <si>
    <t>Manufacture of Injection moulded products with the creation 3 new jobs</t>
  </si>
  <si>
    <t>Mary Gregory</t>
  </si>
  <si>
    <t>To create Designer Fashion collection and design for interiors, lifestyle, furniture, crystal</t>
  </si>
  <si>
    <t>Paul Veale</t>
  </si>
  <si>
    <t>Plastic pipe welding service with creation of 1 new job</t>
  </si>
  <si>
    <t>Pirates Adventure</t>
  </si>
  <si>
    <t>Family Entertainment Centre in Tramore with creation of 1 new job in a marketing role</t>
  </si>
  <si>
    <t>Stephen Mernin</t>
  </si>
  <si>
    <t>Service offering Canoeing and kayaking on the blackwater river in Waterford for purchase of equipment and creation of 1 new job</t>
  </si>
  <si>
    <t>Sea of Vitality</t>
  </si>
  <si>
    <t>Manufacture of seaweed based food products with creation of 1 additional job</t>
  </si>
  <si>
    <t>William Wilks</t>
  </si>
  <si>
    <t>Marketing costs for Camphire Festival and International Horse Trials in Co Waterford</t>
  </si>
  <si>
    <t>Willie Corcoran</t>
  </si>
  <si>
    <t>To set up and operate a falconry in Portlaw with the creation of 1 new job</t>
  </si>
  <si>
    <t>Womik Holdings Ltd</t>
  </si>
  <si>
    <t>Online computer and technical assistance service with the creation of 1 new job</t>
  </si>
  <si>
    <t>This heading covers exhibiting at trade fairs to enable small businesses market their goods and services outside of the County, web design assistance to enable promoters to access graphic design and marketing expertise in producing marketing material for their business and attendance at, business specific training where a promoter may need to access specific training - in particular to establish appropriate records or management information systems</t>
  </si>
  <si>
    <t>Microfinance Seminar</t>
  </si>
  <si>
    <t>Microfinance Seminar held in Dungarvan detailing funding available to clients</t>
  </si>
  <si>
    <t>Lismore Music Festival</t>
  </si>
  <si>
    <t>Contribution towards marketing costs for the event which takes place annual in Lismore.  Approved by Board</t>
  </si>
  <si>
    <t>Bill Laoi Seminar</t>
  </si>
  <si>
    <t>Bill Liao co-founded the ground breaking Coder Dojo movement in an attempt to teach children how to write computer codes and programs.</t>
  </si>
  <si>
    <t>Food Strategy</t>
  </si>
  <si>
    <t>Preparation of food strategy for Waterford - The objective of this document is to lay out an achievable strategy for this region which is focused, resourced and measureable and which will deliver quantifiable growth in small food business be that in increased start-ups, in numbers achieving scale and in export orientation.  This strategy will be reviewed in 2018</t>
  </si>
  <si>
    <t>SE Business Gathering</t>
  </si>
  <si>
    <t>Network event hosted by the South East Enterprise Board network covering microfinance, speakers from connect Ireland, discussions on marketing, sales, finances in business</t>
  </si>
  <si>
    <t>Sponsorship of award in which the CEB food clients participate in. The Blas Awards is a non-for profit organisation and was founded so that quality benchmarks could be established for Irish produce on a level playing field. Winning at Blas has made a significant business difference to our winners</t>
  </si>
  <si>
    <t>Comeragh Wild Festival</t>
  </si>
  <si>
    <t>Comeraghs Wild is a Waterford County Council initiative, led by the Community &amp; Enterprise Department with great support from the Library and  Arts Services, the Irish, Heritage and Conservation Officers, the County Enterprise Board, Go Dungarvan, Déise Link and Dungarvan Town Council.</t>
  </si>
  <si>
    <t>Waterford Harvest Festival is a city wide festival celebrating food heritage and culture in Waterford with 3 clients participating</t>
  </si>
  <si>
    <t>Dunhill Timber Pallets</t>
  </si>
  <si>
    <t>Expansion of pallet manufacturing business with creation of 1 new job</t>
  </si>
  <si>
    <t>Marketing on Shoestring</t>
  </si>
  <si>
    <t>To help participants to promote and develop their business using simple targeted and effective methods with up to date and cost effective marketing/promotional tools</t>
  </si>
  <si>
    <t>Alice Kelly Millinery</t>
  </si>
  <si>
    <t>Design and manufacture high fashion hats and fascinators.</t>
  </si>
  <si>
    <t>Altyerra Ltd</t>
  </si>
  <si>
    <t>Unique website and free mobile app with listing activity for all ages and interests</t>
  </si>
  <si>
    <t>Amanda Byrne Owens</t>
  </si>
  <si>
    <t>Manufacture of hand-felted hats and accessories</t>
  </si>
  <si>
    <t>Irish food Brokers Consultants</t>
  </si>
  <si>
    <t>Connecting buyers and sellers of Irish food products on a single easy-to-use trading platform and promotional marketplace.</t>
  </si>
  <si>
    <t>Denise Pinnegar</t>
  </si>
  <si>
    <t>Manufacture of unique contemporary fashion knitting and crochet patterns.</t>
  </si>
  <si>
    <t>High Pressure Process Tolling</t>
  </si>
  <si>
    <t>Feasibility study into the establishment of the first commercial High Pressure Processing (HPP) tolling station in the Republic of Ireland</t>
  </si>
  <si>
    <t>Holos</t>
  </si>
  <si>
    <t>Manufacture and produce naturally, ethically produced face and body products using the purest of essential oils to nurture health and beauty both inside and out.</t>
  </si>
  <si>
    <t>Jobovi Ltd</t>
  </si>
  <si>
    <t>Develop an innovative new online candidate search engine for employers to find the potential candidates that are best matched to their specific recruitment needs.</t>
  </si>
  <si>
    <t>Kehoe Farming</t>
  </si>
  <si>
    <t>Provision of a range of feed and bedding products to the farming sector.</t>
  </si>
  <si>
    <t>Lock It Tag It Ltd</t>
  </si>
  <si>
    <t>Management Systems Certification Ltd</t>
  </si>
  <si>
    <t>Certifying companies to a range of standards including ISO9001, ISO14001</t>
  </si>
  <si>
    <t>Textiles by Naoimh</t>
  </si>
  <si>
    <t>Textile design and manufacturing of a range of products for use in the home.</t>
  </si>
  <si>
    <t>Tate Guerin Design</t>
  </si>
  <si>
    <t>manufacture of Artistic jewellery design</t>
  </si>
  <si>
    <t>Pillar Healthcare Ltd</t>
  </si>
  <si>
    <t>Manufacture and supply of a range of premium nutritional supplements targeted to improve the likelihood of pregnancy for couples having difficulty in conceiving.</t>
  </si>
  <si>
    <t xml:space="preserve">Relax Irealnd Holidays Ltd </t>
  </si>
  <si>
    <t>Self-catering accommodation</t>
  </si>
  <si>
    <t>The Bead and Button Emporium</t>
  </si>
  <si>
    <t>Manufacture a range of unique clay buttons by hand.</t>
  </si>
  <si>
    <t>Skytel Networks Ireland Ltd</t>
  </si>
  <si>
    <t>Development of a series of apps facilitating download of call credit to smart phones.</t>
  </si>
  <si>
    <t>Taoglas Ltd</t>
  </si>
  <si>
    <t>Provision of a comprehensive range of external, embedded and base-station antenna solutions for M2M applications, such as telematics/automotive smart-grid metering.</t>
  </si>
  <si>
    <t>The Bread Winner Bakey</t>
  </si>
  <si>
    <t>Artisan bakery providing hand crafted bread and cakes free from artificial additives and preservatives.</t>
  </si>
  <si>
    <t>Toddle Marketing Solutions</t>
  </si>
  <si>
    <t>Provision of self service e-mail marketing system for businesses worldwide.</t>
  </si>
  <si>
    <t>Weber Packaging Solutions Ltd</t>
  </si>
  <si>
    <t>Manufacture and distribution of self adhesive labels and labelling systems.</t>
  </si>
  <si>
    <t>Wexford Brewing Co Ltd</t>
  </si>
  <si>
    <t>Establishment of a microbrewery</t>
  </si>
  <si>
    <t>Wexford Home Preserves</t>
  </si>
  <si>
    <t>Produce luxury handmade jams and marmalades using all natural ingredients</t>
  </si>
  <si>
    <t>Wild About Food Ltd</t>
  </si>
  <si>
    <t>Manufacture of a range of hand crafted artisan foods from native wild ingredients</t>
  </si>
  <si>
    <t>Niamh Waters</t>
  </si>
  <si>
    <t>Manufacture of Home made donuts</t>
  </si>
  <si>
    <t>Through the Looking Glass</t>
  </si>
  <si>
    <t>Leaded glass art and design workshops, home décor and crafts.</t>
  </si>
  <si>
    <t>Business Expo</t>
  </si>
  <si>
    <t>This is an Exhibition held locally where the Local Enterprise Office had a stand along with small/big local business's with free education and informative workshops on business topics</t>
  </si>
  <si>
    <t>Business Healthcheck</t>
  </si>
  <si>
    <t>A one day business health check clinic where owner/managers can meet to discuss current status of their business and issues such as strategic planning, survival and cashflow.</t>
  </si>
  <si>
    <t>E Business Grant</t>
  </si>
  <si>
    <t>E-Mail marketing using Mailchimp</t>
  </si>
  <si>
    <t>To familiarise participants with cloud based email marketing tool Mailchimp and enable them to create forms which capture the contact information of customers and newsletters which can be scheduled to be sent to those who opt-in.</t>
  </si>
  <si>
    <t>Export Marketing</t>
  </si>
  <si>
    <t>This is a grant given to  small companies to attend/exhibit at an Export/ Trade Fair. The grant is given when receipted invoices are produced up to a maximum of €2,500</t>
  </si>
  <si>
    <t>Greensave Programme</t>
  </si>
  <si>
    <t>This is a programme designed to support businesses in the objective of achieving average annual savings of €2000 by improving control of energy, waste and water and hence by improving their environmental sustainability</t>
  </si>
  <si>
    <t>Making the most of  your Contacts</t>
  </si>
  <si>
    <t>To enable participants to gain a strategic insight into the power of developing and nurturing their network of contacts in order to create leads and generate sales.</t>
  </si>
  <si>
    <t>Over 50 Start your own Buisness course</t>
  </si>
  <si>
    <t>Start your own business course for the over 50's</t>
  </si>
  <si>
    <t>The Gathering</t>
  </si>
  <si>
    <t>Regional business conference for owner/managers held in Kilkenny Castle - over 100 attended from all over SE</t>
  </si>
  <si>
    <t>Bomar Ltd</t>
  </si>
  <si>
    <t>Manufacture and distribute oils, soaps</t>
  </si>
  <si>
    <t>PR and Media Training</t>
  </si>
  <si>
    <t>Provision of public relations and media training to CEB clients</t>
  </si>
  <si>
    <t>DBLM Solutions</t>
  </si>
  <si>
    <t>Provision of information newsletter, initially free, on a daily basis. Provides information on market conditions for trading carbon credits, trends, news, pricing and forward looking positions</t>
  </si>
  <si>
    <t>CoraLlei</t>
  </si>
  <si>
    <t>Production of handbags.</t>
  </si>
  <si>
    <t>Grasias</t>
  </si>
  <si>
    <t>Manufactures biodegradable grass based garden furniture</t>
  </si>
  <si>
    <t>My Legal Diary (3)</t>
  </si>
  <si>
    <t>My Legal Diary is a cloud based resource for the legal profession that automates case tracking and searches. It has three features: 1) the extensive database of legal cases, currently 450,000; 2) daily parsing of updates and amendments to these cases; and 3) a subscription-based user interface that allows tracking of the legal cases. The Intellectual Property that has been developed is owned 100% by My Legal Diary Ltd</t>
  </si>
  <si>
    <t>Blue Cow Technologies Ltd.</t>
  </si>
  <si>
    <t>Showoff is a mobile technology company. In the early years the company intend funding organically by building one-off applications for local, national and international business. At least initially, they are specializing on the Food, Health and Tourism industries. They are differentiated from their competition because their apps build-brand through fun, engaging, social experiences</t>
  </si>
  <si>
    <t>Placelift Ltd.</t>
  </si>
  <si>
    <t>Provide a comprehensive service to homeowners who want to improve / repair their home prior to putting it up for sale. market research and discussions with relevant parties would appear to support this niche business  APPROVED: 2 FT EG; Capital &amp; Marketing Costs.</t>
  </si>
  <si>
    <t>Merrion Retrofit</t>
  </si>
  <si>
    <t>Company provides a unique deep retrofitting and renewal service aimed at transforming interiors and significantly increasing energy efficiency. Intention is to develop system in Ireland and export service to UK. APPROVED: 1 FT EG; Capital &amp; Marketing costs</t>
  </si>
  <si>
    <t>Joley Studios</t>
  </si>
  <si>
    <t>Joley Studios evolved out of Garlanna. It is specifically a design company that licenses its designs to third party greeting card publishers, with Garlanna being its main customer to date.</t>
  </si>
  <si>
    <t>Evelyn</t>
  </si>
  <si>
    <t>Evelyn  manufactures quality Fabric Day Hats for Ladies in two collections, Irish Tweed and The Mitford Collection</t>
  </si>
  <si>
    <t>Goldfish Telecom Ltd.</t>
  </si>
  <si>
    <t>Goldfish offers an enterprise class phone system that is hosted in the cloud. All that is required to avail of the system is an internet connection. The business provides numbers in all Irish geographic areas as well as UK and International numbers</t>
  </si>
  <si>
    <t>DP Projects Ltd.</t>
  </si>
  <si>
    <t>Allergy / Asthma friendly nursery bedding etc.</t>
  </si>
  <si>
    <t>Business Office Screens Ireland Ltd</t>
  </si>
  <si>
    <t>Manufacture of office screens</t>
  </si>
  <si>
    <t>Maritime Management Ltd.</t>
  </si>
  <si>
    <t>Maritime Management is a leading supplier of services to the maritime and shipping industries. Some of the services provided are otherwise only available in the UK. There are 3 main services offered: 1. Ship Management 2. Marine Survey  3. Marine Industry Consultancy</t>
  </si>
  <si>
    <t>Miena's</t>
  </si>
  <si>
    <t>Manufacture of nougat</t>
  </si>
  <si>
    <t>Cloud KPI's Ltd.</t>
  </si>
  <si>
    <t>Cloud KPIs Ltd have developed an affordable, easy to understand performance dashboard, which delivers real-time information to business owners on their smart devices from their accounts software</t>
  </si>
  <si>
    <t>Rola Consulting</t>
  </si>
  <si>
    <t>Rola Consulting is a business advisory and services firm specialising in assisting companies to become more customer centric through improving their Operations, Customer Experience Management and Customer Lifecycle Management. APPROVED: 1ft eg; Capital Costs</t>
  </si>
  <si>
    <t>DMS Knitwear Solutions Ltd</t>
  </si>
  <si>
    <t>knitwear manufacturing business</t>
  </si>
  <si>
    <t>Quotefish Ltd.</t>
  </si>
  <si>
    <t>Quotefish is a work tendering website which enables consumers to post up a work requirement on-line. It connects business opportunities to local tradesmen and SME businesses in an efficient and competitive way.</t>
  </si>
  <si>
    <t>Glendalough Irish Whiskey</t>
  </si>
  <si>
    <t>Glendalough Irish Whiskey is a craft distillery</t>
  </si>
  <si>
    <t>Microtolerance</t>
  </si>
  <si>
    <t>Microtolerance Limited is a precision engineering company providing a one stop shop solution to manufacturing companies and other customers for their specific engineering requirements</t>
  </si>
  <si>
    <t>The Ethical Volunteer</t>
  </si>
  <si>
    <t>The Ethical Volunteer (TEV) company is an online video travel guide for those interested in volunteering overseas</t>
  </si>
  <si>
    <t>Genesys tech</t>
  </si>
  <si>
    <t>Develop a full product range that allows a non technical user to monitor simple environmental variables, like temperature, humidity, and a mains power presence</t>
  </si>
  <si>
    <t>Essential Distribution Ltd - BP</t>
  </si>
  <si>
    <t>Website for the sale of house and home ware, clothing and jewellery, all produced in Ireland.</t>
  </si>
  <si>
    <t>Coder Dojo</t>
  </si>
  <si>
    <t>To set up a coder dojo summer training camp for children for 10 participants to learn the basics of coding.</t>
  </si>
  <si>
    <t>Compare Order Save/Innovation</t>
  </si>
  <si>
    <t>Procurement site aimed exclusively at hotel/catering trade allowing chef's/managers a single point to compare products.  No other comparable site exists.  3440-01</t>
  </si>
  <si>
    <t>Blush/PR/REF</t>
  </si>
  <si>
    <t>Manufacture of own range of Make-up</t>
  </si>
  <si>
    <t>Thomas Moles T/a Avalanche Media</t>
  </si>
  <si>
    <t>Priming Grant towards the cost of equipment, marketing and utilities</t>
  </si>
  <si>
    <t>Inch House Black Pudding - Business Expansion Grant</t>
  </si>
  <si>
    <t>Business Expansion Grant towards the cost of new equipment.</t>
  </si>
  <si>
    <t>Graze Mate</t>
  </si>
  <si>
    <t>Production of a portable electrified security barrier to secure cows into electrically fenced pasture</t>
  </si>
  <si>
    <t>Development of a Hybrid Accelerated Raft-Pile foundation solution for the offshore wind energy indus</t>
  </si>
  <si>
    <t>Development of a Hybrid Accelerated Raft-Pile foundation solution for the offshore wind energy industry (HARP)</t>
  </si>
  <si>
    <t>EgoNav-2012-EI Commercialisation Fund</t>
  </si>
  <si>
    <t>Bio-magnetic Particle Technology BioBinders</t>
  </si>
  <si>
    <t>Micro-Structuring of Load-Bearing Implant Surfaces</t>
  </si>
  <si>
    <t>Biomarkers of heart Failure and Cardiovascular Disease</t>
  </si>
  <si>
    <t>Micro Injection Moulding with BMG: A Platform Technology for Irish Industry</t>
  </si>
  <si>
    <t>HIGH TECHNOLOGY PERFORMANCE LEVEL WAVE ENERGY CONVERTER CONCEPT DEVELOPMENT (HITPLWEC)</t>
  </si>
  <si>
    <t>The aim of this project is to develop High Technology Performance Level Wave Energy Converter technology (HiTPLWEC) at low technology readiness levels and to create a new wave energy coverter device technology development company in form of a start-up.</t>
  </si>
  <si>
    <t>Valadation of a Method for Dopamine Detection Freely-Moving Animals</t>
  </si>
  <si>
    <t>Using FSCV (fast-scan cyclic voltammetry) equipment currently used for in vitro work along with the experimental set up used for sensor experiments in freely moving animals, the idea would be to integrate the two systems in order to generate validation data for such use of the FSCV technique.</t>
  </si>
  <si>
    <t>TEOWEC Techno-Economic Assessment &amp; optimisation for Wave Energy Converter Technologies (TEOWEC)</t>
  </si>
  <si>
    <t>The project aims to develop NUIM background IP to form a sound technological platform to support a new Wave Energy Services Company spun out of the Centre for Ocean Energy Research (COER).  The TEOWEC software provides a means to assess and improve WEC technology through the application of a combination of engineering analysis, financial analysis and optimisation techniques.</t>
  </si>
  <si>
    <t>Orthopaedic Drill Control Mechanism</t>
  </si>
  <si>
    <t>RED INK</t>
  </si>
  <si>
    <t>Red Ink</t>
  </si>
  <si>
    <t>ARE+ Technologise for Embedded Computing</t>
  </si>
  <si>
    <t>Novel Ong Lung Ventilation Device</t>
  </si>
  <si>
    <t>Novel One Lung Ventilation Device</t>
  </si>
  <si>
    <t>Low Cost Concentrator Photovoltaic Receivers</t>
  </si>
  <si>
    <t>Localize Ultra Wide Band Location Aware Systems</t>
  </si>
  <si>
    <t>A high performance wireless inertial measurement</t>
  </si>
  <si>
    <t>A high performance wireless inertial measurment</t>
  </si>
  <si>
    <t>Intense radiance at lower cost</t>
  </si>
  <si>
    <t>Intense radiance at lower cost- Stage 1</t>
  </si>
  <si>
    <t>Textured Dye Sensitised Solar Cell</t>
  </si>
  <si>
    <t>Squarelite - Wide Spectrum LED Light Source</t>
  </si>
  <si>
    <t>Demonstration of Immupatch feasibility in three product areas</t>
  </si>
  <si>
    <t>Priority Animal Health Testing -Rapid on-farm Electronic Diagnostics</t>
  </si>
  <si>
    <t>Priority Animal Health Testing -Rapid on-farm Electronic Diagnostic</t>
  </si>
  <si>
    <t>MobiFit Technologies: Sports and Fitness Monitoring and Assessment</t>
  </si>
  <si>
    <t>MobiFit Technologies: Sports and Fitness Monitoring and Assessment_x000D_</t>
  </si>
  <si>
    <t>A soft X-ray Microscope</t>
  </si>
  <si>
    <t>A soft X-rayMicroscope_x000D_</t>
  </si>
  <si>
    <t>Solving the MISTery: Development of a biorector for production of drug metabolites for safety testin</t>
  </si>
  <si>
    <t>Solving the MISTery: Development of a biorector for production of drug metabolites for safety testing_x000D_</t>
  </si>
  <si>
    <t>Entrepreneurship Genome Project (EGP) - Developing a Personalised Curated Search Platform for the Bu</t>
  </si>
  <si>
    <t>Entrepreneurship Genome Project (EGP) - Developing a Personalised Curated Search Platform for the Business to Education Market_x000D_</t>
  </si>
  <si>
    <t>AntTweeter - hyper local social Q&amp;A</t>
  </si>
  <si>
    <t>AntTweeter - hyper local social Q&amp;A_x000D_</t>
  </si>
  <si>
    <t>3D Stereoscopic Conversion for Animated Movies (3DSCAM)</t>
  </si>
  <si>
    <t>A 'Molecular Pap test' for cervical cancer screening - detecting HPV infection and cellular abnormal</t>
  </si>
  <si>
    <t>A 'Molecular Pap test' for cervical cancer screening - detecting HPV infection and cellular abnormalities in exfoliated cervical cells</t>
  </si>
  <si>
    <t>Commercialisation of a novel curative therapy for Multiple Sclerosis</t>
  </si>
  <si>
    <t>A new route to an industrially important class of catalysts</t>
  </si>
  <si>
    <t>Superior Monitoring &amp; Analysis Relayed Through Sensors Providing Longitudinal Information on Nocturn</t>
  </si>
  <si>
    <t>Superior Monitoring &amp; Analysis Relayed Through Sensors Providing Longitudinal Information on Nocturnal Toothgrinding  (SMARTSPLINT)</t>
  </si>
  <si>
    <t>CardioColl - a collagen-alginate composite scaffold to enhance the cardiac stem cell response and pr</t>
  </si>
  <si>
    <t>CardioColl - a collagen-alginate composite scaffold to enhance the cardiac stem cell response and promote healing in heart failure</t>
  </si>
  <si>
    <t>Natural ECM Derived Injectable Microparticles for Regeneration of the Intervertebral Disc (DiscReGen</t>
  </si>
  <si>
    <t>Natural ECM Derived Injectable Microparticles for Regeneration of the Intervertebral Disc (DiscReGen)</t>
  </si>
  <si>
    <t>Evaluating the safety and efficacy and commercial case for a new Chemical Renal DenervatioN (C-RDN)</t>
  </si>
  <si>
    <t>Evaluating the safety and efficacy and commercial case for a new Chemical Renal DenervatioN (C-RDN) catheter</t>
  </si>
  <si>
    <t>A Mechanistically Anchored Biomarker Panel to Predict Outcome of Node-Negative Breast Cancer (OncoMa</t>
  </si>
  <si>
    <t>A Mechanistically Anchored Biomarker Panel to Predict Outcome of Node-Negative Breast Cancer (OncoMasTR): An Integrated Diagnostics Solution for Improved Patient Stratification</t>
  </si>
  <si>
    <t>Computer aided Decision Support to improve the quality of endoscopy screening (Endodex)</t>
  </si>
  <si>
    <t>Measurement of speech accommodation as a means of determining effective pilot communication as part</t>
  </si>
  <si>
    <t>Measurement of speech accommodation as a means of determining effective pilot communication as part of aviation Crew Resource Management (CRM) training. Prosodic Accommodation in Aviation (PAIA)</t>
  </si>
  <si>
    <t>Math Blocker (MB)</t>
  </si>
  <si>
    <t>Efficiently Optimised LTE Antennas (EOLA) with features for fast fine-tuning customisation</t>
  </si>
  <si>
    <t>CipherDocs - Secure document Collaboration in the Cloud</t>
  </si>
  <si>
    <t>Energy-optimal Adaptive Scheme for Wireless Devices (EASE)</t>
  </si>
  <si>
    <t>Development of a Coherent Heterodyne Optical Phase Interrogator (or CHOPIN)</t>
  </si>
  <si>
    <t>Passively mode-locking laser as Radio-frequency/millimetre wave Source</t>
  </si>
  <si>
    <t>MyEnergy:Real-time Energy Expenditure Calculation</t>
  </si>
  <si>
    <t>FlexCell-Cost-effective Flexible Solar PV System</t>
  </si>
  <si>
    <t>Compact Disc-based hand-held reader system for CD4 Cell Counting (CD4 CD4)</t>
  </si>
  <si>
    <t>REMPAD</t>
  </si>
  <si>
    <t>Cobalt Based Low Temperature electrocatalytic Hydrogen Generation (COBALTHYDROGEN)</t>
  </si>
  <si>
    <t>Novel analytical pre-concentration device</t>
  </si>
  <si>
    <t>Personal Life-Lens: An Instantiation of Next Generation Big Data Framework</t>
  </si>
  <si>
    <t>Terabit Optical Transponder (TOPCAT)</t>
  </si>
  <si>
    <t>In The Zone - A Robust Platform for Presence Detection</t>
  </si>
  <si>
    <t>Interlock/Self-assembling organocatalysts</t>
  </si>
  <si>
    <t>Validation in Serum of Newly-Discovered Breast Cancer Biomarkers</t>
  </si>
  <si>
    <t>Advanced Data Cleaning &amp; Analytics for Cloud-based MT Platforms</t>
  </si>
  <si>
    <t>New Serum Biomarkers for Early Detection of lung Cancer</t>
  </si>
  <si>
    <t>A novel Mal inhibitor for the treatment of inflammatory disease</t>
  </si>
  <si>
    <t>Bibblet - The Smart Shop Window</t>
  </si>
  <si>
    <t>Mobile Phone-enabled remote chronic disease management - Mobimate</t>
  </si>
  <si>
    <t>Innovamab-Innovation in Nonocional antibody discovery</t>
  </si>
  <si>
    <t>ARE+: Shannon Applied Biotechnology Centre</t>
  </si>
  <si>
    <t>RE/2011/0021/B The centre is a collaboration between Tralee and Limerick IOTs.  Shannon ABC was established in 2008 and received ARE seed funding of 2.5m.  The centre's mission is to develop innovative products and ingredients, from natural resources and using novel processes to obtain value added food products, food flavours and medicinal products.</t>
  </si>
  <si>
    <t>The Development of a commercial nano anti-reflective glass treatment process for solar glass cover s</t>
  </si>
  <si>
    <t>To develop a laboratory based glass etching process for toughened float glass for both photovoltaic and solar thermal panels to increase light transmission and reduce light reflectance</t>
  </si>
  <si>
    <t>Shannon Applied Biotechnology Centre</t>
  </si>
  <si>
    <t>Urinary catheter safety syringe (USCSS) for Transurethral Catheterisation</t>
  </si>
  <si>
    <t>Transurethral catheterisation is a blind medicial procedure unertaken by doctors in all hospitals worldwide. Problems can occur during deplyment of the catheter. This project will evaluate the feasibility of a new catheter design that includes a safety feature to prevent problems occurring.</t>
  </si>
  <si>
    <t>Condition monitoring system for large wind turbine blades</t>
  </si>
  <si>
    <t>Monitoring of large wind turbines</t>
  </si>
  <si>
    <t>Flexor development of cost effective deep neck muscle strength and flexion rehabilitation devices</t>
  </si>
  <si>
    <t>Development of physiotherapy devices</t>
  </si>
  <si>
    <t>Residual stress determination using indentation methods</t>
  </si>
  <si>
    <t>Investigation of a new technique for residual stress determination</t>
  </si>
  <si>
    <t>Susceptors for controlled rapid electromagnetic welding of composites</t>
  </si>
  <si>
    <t>Goal of this project is to develop novel materials and processing know-how to assemble and repair thermoplastic composites by induction welding. This will offer higher performance than current epoxy adhesives or bolted joints, at lower cost, via a more reliable process.</t>
  </si>
  <si>
    <t>Developing improved econimies in coating systems to replace palladium in the electronic supply chain</t>
  </si>
  <si>
    <t>The new electroplated coatings will be produced in a chemically stable, optimized and stable nickel-phosphorus/nanoCeO2/top gold flash eclectoplating process, offering better corrosion and wear resistance than coating currently used for electronics.</t>
  </si>
  <si>
    <t>Antimicrobial nanoparticles coated on thermoplastic textiles</t>
  </si>
  <si>
    <t>This project is about the coating of textiles used in areas such as medical uniforms, mattresses, filters and horse blankets, with an ant micrbial finish that helps prevent infection.</t>
  </si>
  <si>
    <t>An orolingual pressure sensing system</t>
  </si>
  <si>
    <t>OrpPress- an intraoral interface pressure measurement system</t>
  </si>
  <si>
    <t>Architecture Recovery and Consistency</t>
  </si>
  <si>
    <t>Repair of composite structures</t>
  </si>
  <si>
    <t>Development of commercialisation of the PreHeat</t>
  </si>
  <si>
    <t>The development of commercialisation of Pre/Hydrate cather for minimallu Invasive Tissue Engineered stent-grafts</t>
  </si>
  <si>
    <t>Advance to specification limits of a diverse scalable</t>
  </si>
  <si>
    <t>Advancement to specification limits of a diverse scalable, stable and linear high k capacitor</t>
  </si>
  <si>
    <t>Efficiently Optimised LTE Antennas</t>
  </si>
  <si>
    <t>Efficiently Optimised LTE Antennas with features for fast fine-tuning customisation</t>
  </si>
  <si>
    <t>OptiWiFi</t>
  </si>
  <si>
    <t>Optimizing the Performance of Wi-Fi Networks (OptiWiFi)</t>
  </si>
  <si>
    <t>Lazarus</t>
  </si>
  <si>
    <t>Intelligent Surface-surfacing titanium dioxide pigments through controlled interfacial surface tension effects (LAZARUS)_x000D_</t>
  </si>
  <si>
    <t>Mobi Audio</t>
  </si>
  <si>
    <t>MobiLAudio- Mobile Location-based Audio_x000D_</t>
  </si>
  <si>
    <t>Optical Desktop</t>
  </si>
  <si>
    <t>Optical Desktop Lithography for Fabrication of Traceable Optical Variable Devices for Pharmaceutical Producs</t>
  </si>
  <si>
    <t>Who's listening</t>
  </si>
  <si>
    <t>To bring radio audience measurement into the digital age through exploiting smart phone technology to monitor who is listening to what, when and for how long.</t>
  </si>
  <si>
    <t>Mobile Cloud Alliance</t>
  </si>
  <si>
    <t>To provide a platform from which  a forum of collaboration can be created within the mobile industry to develop commercially relevant technologies</t>
  </si>
  <si>
    <t>ShoutCloud</t>
  </si>
  <si>
    <t>The output will be an innovative paradigm changing consumer application facilitating immediate feedback on products and services in a digitally social context</t>
  </si>
  <si>
    <t>Mindhop</t>
  </si>
  <si>
    <t>To understand and address the technical challenges  and create a working prototype for a web ontology platform that will be central to the commercialization of a topic centric social network.</t>
  </si>
  <si>
    <t>EGP</t>
  </si>
  <si>
    <t>To push the technological envelope by developing the industry's most advanced and powerful business research tools.</t>
  </si>
  <si>
    <t>The TSSG Innovation and Commercial Centre</t>
  </si>
  <si>
    <t>The TICC focus is on leveraging the world class telecommunications services and network management scientific research of TSSG for the benefit of Irish industry and high potential start ups.</t>
  </si>
  <si>
    <t>CIT Integrated NanoScience Platform for Ireland</t>
  </si>
  <si>
    <t>The INSPIRE consortium will establish a structured PhD programme building upon the established research infrastructure, providing high-quality graduate training in fulfilment of the INSPIRE vision</t>
  </si>
  <si>
    <t>CIT Structured PhD Education for Life Sciences</t>
  </si>
  <si>
    <t>ED4LIFE has a student-centric curriculum for a structured PhD in the life sciences. This programme supports the existing and future research students, empowering them to engage in lifelong learning and contribute significantly to a Fourth Level Ireland_x000D_</t>
  </si>
  <si>
    <t>UCC  Digital Arts and Humanities Structured PhD Programme ( DAH )</t>
  </si>
  <si>
    <t>The Structured PhD in DAH is a four-year programme that  provides world-class training in innovative models of arts practice and theory, and humanities research, archiving, and pedagogy. The programme promotes advanced practical and academic research in the application of new media and computer technologies in the arts and humanities</t>
  </si>
  <si>
    <t>UCC  Environmental Research Institute at the Maritime and Energy Cluster, Ireland ( ERI @ MERC ) ( B</t>
  </si>
  <si>
    <t>The ERI@MErC project provides the national R&amp;D infrastructure to support the development potential of the Marine Renewable Energy Sector as part of MErC. The  creates the ERI@MErC Research Building integrates the Hydraulics and Maritime Research Centre (HMRC), Coastal and Marine Resources Centre (CMRC) and Sustainable Energy Research Group (SERG). Researchers collaborate on scientific programmes that meet national objectives for ecologically sustainable ocean energy, renewable</t>
  </si>
  <si>
    <t>UCC  Generating wealth through innovative and collaborative research (Food &amp; Health )</t>
  </si>
  <si>
    <t>This project addresses key infrastructural deficits of regional and national importance to the field of Food and Health research that allows UCC and Ireland to compete internationally and to realise the full economic potential of the sector</t>
  </si>
  <si>
    <t>UCC  Graduate Research Education Programme in Engineering (GREP-ENG )</t>
  </si>
  <si>
    <t>The project is for an Engineering Structured PhD Programme to provide the infrastructure for high quality engineering PhD graduate education that produces the critical mass of talented and capable engineers required to underpin the design and development of products and devices that drives economic growth and sustainability.</t>
  </si>
  <si>
    <t>UCC Integrated NanoScience Platform for Ireland</t>
  </si>
  <si>
    <t>The INSPIRE consortium establishes a structured PhD programme building upon the established research infrastructure, providing high-quality graduate training in fulfilment of the INSPIRE vision</t>
  </si>
  <si>
    <t>UCC  Irish Transgenic Network ( ITN )</t>
  </si>
  <si>
    <t>The ITN is a collaborative effort by four Universities, TCD, UCD, UCC and NUIG, to bring a full range of knockout and transgenic mouse technologies to Irish researchers. In addition, cryopreservation, re-derivation and health screening will be introduced by the lead institution (TCD) to service the growing need for flexible exchange of animal models between institutes and the safe storage of unique lines</t>
  </si>
  <si>
    <t>UCC  Molecular and Cellular mechanisms underlying inflammatory processes (MolCellBio)</t>
  </si>
  <si>
    <t>This programme developes a Structured PhD Programme (SPP), which has a strong inter-institutional and interdisciplinary component and exploit existing strategic research strengths in cell and molecular biology of inflammation that transcends Immunology, Neuroscience and Cancer. Students will benefit from high quality training providing excellent preparation for varied and flexible careers in the pharmaceutical industry and beyond.</t>
  </si>
  <si>
    <t>UCC  Molecular Medicine Ireland ( MMI )</t>
  </si>
  <si>
    <t>There is a shortage of scientists in Ireland undertaking innovative patient- and disease-focused research and with an understanding of how to bring research results to the clinic. The MMI partner universities project addresses this deficit by developing a structured PhD programme in clinical and translational research to produce scientists trained to generate innovative discoveries and translate them to the clinical and commercial arena._x000D_</t>
  </si>
  <si>
    <t>UCC  Telecommunications Graduate Initiative ( TGI )</t>
  </si>
  <si>
    <t>This initiative delivers a world class structured telecoms PhD program in Ireland, built on a coherent educational and training programme that meets the needs of the wider economic marketplace through enhanced academic achievement_x000D_</t>
  </si>
  <si>
    <t>UCC  Tyndall FlexiFab for Applied Convergent Nanotechnologies (TYFANNI)</t>
  </si>
  <si>
    <t>This project plays a key role in integrating Irelands nanoscience and nanotechnology capabilities, providing a unique set of flexible fabrication facilities for graduate research and education in nanoelectronics, nanophotonics and nanobiotechnology.</t>
  </si>
  <si>
    <t>DCU Bio-Analysis and Therapeutics Structured PhD Programme</t>
  </si>
  <si>
    <t>The Bio-Analysis and Therapeutics Structured PhD Programme (Bio-AT) addresses the challenge of increasing quality, quantity and entrepreneurial skills of graduate researchers in the critical areas of biopharmaceutical and biomedical device industries</t>
  </si>
  <si>
    <t>DCU Integrated NanoScience Platform for Ireland</t>
  </si>
  <si>
    <t>DCU Nano-Bioanalytical Research Facility - Translational Nanomedicine</t>
  </si>
  <si>
    <t xml:space="preserve">Nano-Bioanalytical Research Facility that has a primary focus on Translational Nanomedicine. The strategic rationale is to leverage key areas of established research excellence at DCU
</t>
  </si>
  <si>
    <t>DCU Telecommunications Graduate Initiative ( TGI )</t>
  </si>
  <si>
    <t>This initiative delivers a world class structured telecoms PhD program in Ireland, built on a coherent educational and training programme that will meet the needs of the wider economic marketplace through enhanced academic achievement_x000D_</t>
  </si>
  <si>
    <t>RCSI Bio-Analysis and Therapeutics Structured PhD Programme</t>
  </si>
  <si>
    <t>The Bio-Analysis and Therapeutics Structured PhD Programme (Bio-AT) addresses the challenge of increasing quality, quantity and entrepreneurial skills of graduate researchers in the critical areas of biopharmaceutical and biomedical device industries.</t>
  </si>
  <si>
    <t>TCD Electricity Research Centre: Grid Integration of Renewables, Distributed Generation and Flexible</t>
  </si>
  <si>
    <t>The ERCGI project develops the necessary techniques that is key to Ireland achieving its renewable targets, and in the process create intellectual property and human capital._x000D_</t>
  </si>
  <si>
    <t>TCD Nanomechanical Approaches and Functional Materials for Regenerative Medicine</t>
  </si>
  <si>
    <t>Nanoremedies creates a new research centre in Ireland that concentrates expertise in the fields of biology, chemistry, physics and engineering to focus on the molecular mechanisms of mechanotransduction and materials and therapetuics that control the mechanobiology of cells.</t>
  </si>
  <si>
    <t>TCD Telecommunications Graduate Initiative (TGI)</t>
  </si>
  <si>
    <t>TCD PhD programme in Simulation Science ( SimSciPhD )</t>
  </si>
  <si>
    <t>The programme delivers a structured graduate education where students cohere around a core graduate experience focusing on collaborative teamwork to meet common challenges underpinned by transdisciplinary training in Foundations of Simulation, in-depth discipline-based training, together with industrial internships and international Symposia</t>
  </si>
  <si>
    <t>TCD  Molecular Medicine Ireland Clinical &amp; Translational Research Scholars Programme (MMI CTRSP)</t>
  </si>
  <si>
    <t>There is a shortage of scientists in Ireland undertaking innovative patient- and disease-focused research and with an understanding of how to bring research results to the clinic. The MMI partner universities propose to address this deficit by developing a structured PhD programme in clinical and translational research to produce scientists trained to generate innovative discoveries and translate them to the clinical and commercial arena.</t>
  </si>
  <si>
    <t>TCD Structured PhD programme in Earth &amp; Natural Science ( ESI-ENS )</t>
  </si>
  <si>
    <t>The project ESI PhD programme creates a cohort of graduates with a strong background in Energy and Environmental studies, imbued with the innovation and entrepreneurial skills to develop an emerging green technology sector</t>
  </si>
  <si>
    <t>TCD  National Audio Visual Repository  (NAVR )</t>
  </si>
  <si>
    <t>The NAVR provides a central access point for HSS Audio Visual research materials and data gathered and held in HEIs, cultural institutions and social science organisations across the island of Ireland</t>
  </si>
  <si>
    <t>TCD  Irish Transgenic Network ( ITN )</t>
  </si>
  <si>
    <t>TCD Biomedical Sciences Development (TCDBIOMED)</t>
  </si>
  <si>
    <t xml:space="preserve">The project is to integrate and scale interlinked proven quality research themes, Immunology, Cancer and Medical Devices, in a single facility, and to co-locate provision of accommodation for industry to carry out related research. </t>
  </si>
  <si>
    <t>TCD The TCD-UCD Innovation Academy</t>
  </si>
  <si>
    <t>The TCD-UCD Innovation Academy transforms the doctoral experience by establishing innovation alongside research and education as an integral element of the PhD. It  develops a new breed of creative graduate, expert in their discipline, but with a thorough understanding of how innovation can rapidly convert knowledge, ideas and inventions into products, services and policies for economic and social benefit</t>
  </si>
  <si>
    <t>UCD  Cycle 5 Science Centre ( The Link Building )</t>
  </si>
  <si>
    <t>The link building (4,275m2) of the UCD Science Centre is a €23.8m building with Conway Institute with the UCD biomedical sciences at UCD</t>
  </si>
  <si>
    <t>UCD  Dublin Graduate Physics Programme ( DGPP )</t>
  </si>
  <si>
    <t>The Dublin Graduate Physics Programme enables UCD and TCD to combine their resources to develop an exceptional joint Structured PhD Programme (SPP) that flagships for graduate level physics education in Ireland.   The focus of DGPP will be primarily on cutting-edge and original research, with taught disciplinary and transferable skills with the two institutions working together.</t>
  </si>
  <si>
    <t>UCD Electricity Research Centre: Grid Integration of Renewables, Distributed Generation and Flexible</t>
  </si>
  <si>
    <t>The ERCGI project developes the necessary techniques that is key to Ireland achieving its renewable targets, and in the process create intellectual property and human capital._x000D_</t>
  </si>
  <si>
    <t>UCD  Graduate Research Education Programme in Engineering (GREP-ENG )</t>
  </si>
  <si>
    <t>The project is for an Engineering Structured PhD Programme that provides the infrastructure for high quality engineering PhD graduate education that produces the critical mass of talented and capable engineers required to underpin the design and development of products and devices that drives economic growth and sustainability._x000D_</t>
  </si>
  <si>
    <t>UCD  Molecular Medicine Ireland Clinical &amp; Translational Research Scholars Programme (MMI CTRSP)</t>
  </si>
  <si>
    <t>There is a shortage of scientists in Ireland undertaking innovative patient- and disease-focused research and with an understanding of how to bring research results to the clinic. The MMI partner universities project addresses this deficit by developing a structured PhD programme in clinical and translational research to produce scientists trained to generate innovative discoveries and translate them to the clinical and commercial arena.</t>
  </si>
  <si>
    <t>UCD Nanomechanical Approaches and Functional Materials for Regenerative Medicine</t>
  </si>
  <si>
    <t>Nanoremedies creates a new research centre in Ireland that concentrates expertise in the fields of biology, chemistry, physics and engineering to focus on the molecular mechanisms of mechanotransduction and materials and therapetuics that control the mechanobiology of cells.  Once established this centre  produces a new generation of biomaterials and therapeutics for tissue and stem cell engineering</t>
  </si>
  <si>
    <t>UCD Science Centre ( ScienceCntr )</t>
  </si>
  <si>
    <t>This project supports pioneering programmes in systems biology, stem cell biology, translational medicine, experimental atmospheres and emerging pathogens. The project consolidates existing resources in the UCD Science Centre in order to create a life science platform of international scale</t>
  </si>
  <si>
    <t>UCD The TCD-UCD Innovation Academy</t>
  </si>
  <si>
    <t>UCD  Innovation Policy Simulation for the Smart Economy ( IPSE )</t>
  </si>
  <si>
    <t>IPSEs work package combines empirical research on issues identified as important for Irish innovation performance with computational methods such as network analysis, agent-based modelling and social simulation._x000D_</t>
  </si>
  <si>
    <t>UCD  Molecular and Cellular mechanisms underlying inflammatory processes (MolCellBio)</t>
  </si>
  <si>
    <t>This project developes a Structured PhD Programme (SPP), which has a strong inter-institutional and interdisciplinary component and exploit existing strategic research strengths in cell and molecular biology of inflammation that transcends Immunology, Neuroscience and Cancer. Students can benefit from high quality training providing excellent preparation for varied and flexible careers in the pharmaceutical industry and beyond.</t>
  </si>
  <si>
    <t>UCD  Telecommunications Graduate Initiative ( TGI )</t>
  </si>
  <si>
    <t>NUIM Cycle 5 NUI Maynooth ICT Infrastructure Development</t>
  </si>
  <si>
    <t>This project creates 1800sqm of high-quality dedicated research space to underpin future development of the Hamilton and Microelectronics and Wireless Systems Institutes at NUI Maynooth with a view to encouraging synergies and increasing critical mass in the networking area.</t>
  </si>
  <si>
    <t>NUIM Bio-Analysis and Therapeutics Structured PhD Programme</t>
  </si>
  <si>
    <t>NUIM Digital Arts and Humanities PhD Programme</t>
  </si>
  <si>
    <t>The Structured PhD in DAH is a four-year programme that provides world-class training in innovative models of arts practice and theory, and humanities research, archiving, and pedagogy. The programme promotes advanced practical and academic research in the application of new media and computer technologies in the arts and humanities</t>
  </si>
  <si>
    <t>NUIM Telecommunications Graduate Initiative (TGI)</t>
  </si>
  <si>
    <t>NUIM National Audio Visual Repository</t>
  </si>
  <si>
    <t>UL  Structured PhD Programme in Biomedical Engineering and Regenerative Medicine ( BME &amp; RM )</t>
  </si>
  <si>
    <t>This project Structured PhD Programme spans the Biomedical Engineering and Regenerative Medicine domains and aims to become a leading international graduate education programme in the field, in which Ireland is already taking a strong international role. The overall objective is to develop PhD graduates who will produce ground-breaking scientific results, benefiting human health and contributing to economic growth, and who will, in turn, lead research and development in these fields in industry</t>
  </si>
  <si>
    <t>UL Structured PhD programme in Earth &amp; Natural Science ( ESI-ENS )</t>
  </si>
  <si>
    <t>UL Integrated NanoScience Platform for Ireland (INSPIRE)</t>
  </si>
  <si>
    <t>The INSPIRE consortium has established a structured PhD programme building upon the established research infrastructure, providing high-quality graduate training in fulfilment of the INSPIRE vision_x000D_</t>
  </si>
  <si>
    <t>UL  National Centre for Applied Materials Research ( NCAMR )</t>
  </si>
  <si>
    <t>Project aim is to develop research programmes, specifically in pharmaceutical and composite materials, which will assist in future knowledge transfer and position Ireland as a preferred location for further investment and employment. NCAMR supports the expansion of the SFI-SRC in Solid State Pharmaceuticals to form an internationally established centre of excellence on all aspects of the formation of pharmaceutical materials</t>
  </si>
  <si>
    <t>WIT  Telecommunications Graduate Initiative ( TGI )</t>
  </si>
  <si>
    <t>Lung Nodule Localiser</t>
  </si>
  <si>
    <t>Establishment of Investanalitix</t>
  </si>
  <si>
    <t>Fishlog: A Global Scale Monitoring Platform Promoting the Systematic Recording of Angling Data</t>
  </si>
  <si>
    <t>High-Performance Multi-Axis Compliant Parallel Manipulators</t>
  </si>
  <si>
    <t>NAVITAS Commercial Decision Suite for Marine Renewable Energy</t>
  </si>
  <si>
    <t>Demonstation of ImmuPatch feasibility in three product areas</t>
  </si>
  <si>
    <t>SecuRetract Secure Laparoscopic Retractor for Small Bowel Manipulation in Minimally-Invasive Surgery</t>
  </si>
  <si>
    <t>BARDS Broadband Acoustic Resonance Dissolution Spectroscopy</t>
  </si>
  <si>
    <t>A Mechanistically Anchored Biomarker Panel to Predict Outcome of Node-Negative Breast Cancer (OncoMasTR): An Integrated Diagnostics Solution for Improved Patient Stratificatin</t>
  </si>
  <si>
    <t>Aficionado - Expertise Location</t>
  </si>
  <si>
    <t>SynQL</t>
  </si>
  <si>
    <t>The project objective is to take the problem of database synchronization and to build a solution to this problem for applications (apps) running on mobile devices</t>
  </si>
  <si>
    <t>Shannon Applied Biotechnology Centre is an industry driven and responsive applied research centre. The centre's mission is to develop innovative products and ingredients from natural resources and using novel processes to obtain value added food products, food flavours and medicinal products for the Food, Nutraceutical and HealthCare industries.</t>
  </si>
  <si>
    <t>The Medical Engineering Design and Innovation Centre (MEDIC) is an industry-led applied research centre that specialises in Medical Technologies from proof of concept through to commercialisation</t>
  </si>
  <si>
    <t>Applied Research Centre</t>
  </si>
  <si>
    <t>Variable Conduct</t>
  </si>
  <si>
    <t>Refundable Aid Income</t>
  </si>
  <si>
    <t>Search Engine (incl. Google Ads)</t>
  </si>
  <si>
    <t>training course for clients on Search Engine Optimisations</t>
  </si>
  <si>
    <t>M2-Business Expansion Course</t>
  </si>
  <si>
    <t>training course for clients on Business Expansion</t>
  </si>
  <si>
    <t>M2-Freedom of Information</t>
  </si>
  <si>
    <t>Requests for FOI</t>
  </si>
  <si>
    <t>M2-Safety Statement</t>
  </si>
  <si>
    <t>Training course on completing a Safety Statement for Clients of Wicklow CEB</t>
  </si>
  <si>
    <t>Refundable Aid Interest</t>
  </si>
  <si>
    <t>Basic Book-keeping Programme Spring 2007</t>
  </si>
  <si>
    <t>Basic Bookkeeping and Administration Programme Training Programme for the Small Business.</t>
  </si>
  <si>
    <t>Mastering Presentations Spring 2007</t>
  </si>
  <si>
    <t>Essential Employment Law for the Small Business Spring 2008</t>
  </si>
  <si>
    <t>Taxation No.1 Spring 2008</t>
  </si>
  <si>
    <t>Sage Computerised Accounts No.1 Autumn 2008</t>
  </si>
  <si>
    <t>On-Line Marketing and Website Optimisation Spring 2008</t>
  </si>
  <si>
    <t>Sage Computerised Accounts Basic No. 2 Autumn 2008</t>
  </si>
  <si>
    <t>Sage Computerised Accounts Basic no. 2 Autumn 2008</t>
  </si>
  <si>
    <t>Waterford City Council/Priming</t>
  </si>
  <si>
    <t>Incubation Centre for Artisan Glass Workers</t>
  </si>
  <si>
    <t>M2 Income</t>
  </si>
  <si>
    <t>Refundable aid interest received</t>
  </si>
  <si>
    <r>
      <t>Hi-Start 07-</t>
    </r>
    <r>
      <rPr>
        <sz val="10"/>
        <rFont val="Calibri"/>
        <family val="2"/>
        <scheme val="minor"/>
      </rPr>
      <t>11</t>
    </r>
  </si>
  <si>
    <t>Priming Grant</t>
  </si>
  <si>
    <t xml:space="preserve">Priming Grant </t>
  </si>
  <si>
    <t>Capital Grant</t>
  </si>
  <si>
    <t>Feasability Study Grant</t>
  </si>
  <si>
    <t xml:space="preserve">Feasability Study Grant </t>
  </si>
  <si>
    <t>Expansion Grant</t>
  </si>
  <si>
    <t>Business Expansion Grant</t>
  </si>
  <si>
    <t>Dún Laoghaire–Rathdown</t>
  </si>
  <si>
    <t>RENEWABLE ENERGY Research TOTAL</t>
  </si>
  <si>
    <t>Training Mentoring &amp; Soft Supports</t>
  </si>
  <si>
    <t>EforB</t>
  </si>
  <si>
    <t>Gateways</t>
  </si>
  <si>
    <t>4009/4140/4369/1631/11635/12623</t>
  </si>
  <si>
    <t>Campus Incubation</t>
  </si>
  <si>
    <t>The establishment of a campus incubation centre.</t>
  </si>
  <si>
    <t>Incubation Centre Development</t>
  </si>
  <si>
    <t>INCUBATION CENTRE DEVELOPMENT TOTAL</t>
  </si>
  <si>
    <t>The establishment of an Incubation Centre at DIT</t>
  </si>
  <si>
    <t>DIT Cycle 5 Environmental Health Sciences Institute (EHSI)</t>
  </si>
  <si>
    <t>The Environmental Health Sciences Institute (EHSI) is a dedicated national translational research platform, uniquely based on collaboration between DIT, the Health Service Executive (HSE) and Dublin City Council (DCC), with the active participation of other academic institutions (initially Ulster and DCU), professional (e.g. Institute of Public Health in Ireland (IPH)), community and industry stakeholders.</t>
  </si>
  <si>
    <t>Pro Legere- Glycoseparation Solutions for the Life</t>
  </si>
  <si>
    <t>A soft X-ray Microscope_x000D_</t>
  </si>
  <si>
    <t>Heart Friendly Probiotic</t>
  </si>
  <si>
    <t>Business Modelling Intelligent Design Evaluation Application (B-MIDEA)</t>
  </si>
  <si>
    <t>Advanced Optical Oxygen Imagine Platform for use in Vivo Use (ADOPT)</t>
  </si>
  <si>
    <t>P30179: CHOPIN - Stage 2</t>
  </si>
  <si>
    <t>P30825: EI Coordinator support: A Black Box for the Memory</t>
  </si>
  <si>
    <t>EI Coordinator support: A Black Box for the Memory</t>
  </si>
  <si>
    <t>Vision: Inhibitors of Ocular Neovascularisation (VISION)</t>
  </si>
  <si>
    <t>Dermatological applications of plasma medicine</t>
  </si>
  <si>
    <t>Development of the next generation of easy to use Extended Release supplement/antiparastic agent del</t>
  </si>
  <si>
    <t>Development of the next generation of easy to use Extended Release supplement/antiparastic agent delivery Technologies</t>
  </si>
  <si>
    <t>P30190: EI : (MM- PREDICT)</t>
  </si>
  <si>
    <t>Developing a Predictive Biomarker programme for Individual Patient Response to Novel Therapeutics in Multiple Myeloma (MM-PREDICT)</t>
  </si>
  <si>
    <t>High-performance hydrogen storage technology form Ammonia Borane-ABPower 2</t>
  </si>
  <si>
    <t>Method and System to Measure Tissue Viability (SANASENSE)</t>
  </si>
  <si>
    <t>P30191: Carbon Neutral Technology for Hydrogen Production(CNTHP)</t>
  </si>
  <si>
    <t>P30198: VegzAP</t>
  </si>
  <si>
    <t>VegzAP - A novel cold plasma system for the prevention of postharvest spoilage and shelf life enhancement in minimally processes fruit and vegetables</t>
  </si>
  <si>
    <t>P30199: AmbiSense</t>
  </si>
  <si>
    <t>AmbiSense ; Autonomous Air monitoring Solutions</t>
  </si>
  <si>
    <t>Permanent Clarity - Unspoilable optics for advanced industrial light sources and semiconductor plasm</t>
  </si>
  <si>
    <t>Permanent Clarity - Unspoilable optics for advanced industrial light sources and semiconductor plasma processing</t>
  </si>
  <si>
    <t>Characterization of Novel Thromboxane Receptor Antagonists: Feasibility Studies to Identify the Prio</t>
  </si>
  <si>
    <t>Characterization of Novel Thromboxane Receptor Antagonists: Feasibility Studies to Identify the Priority Target Market(s)</t>
  </si>
  <si>
    <t>EQUILUME: Individual Light Therapy for Horses</t>
  </si>
  <si>
    <t>Development of Biomemetic Antifouling Coating Technology for Sensor and Food Applications (GlycoCoat</t>
  </si>
  <si>
    <t>WRIPL Personalisation as a service</t>
  </si>
  <si>
    <t>BIOSCAFFOLD: A novel bioactive scaffold for articular cartilage regeneration</t>
  </si>
  <si>
    <t>Cost Effective Manufacturing of Microfluidic chips for Micro-injecton Molding</t>
  </si>
  <si>
    <t>Magneto-electropolishing of medical devices</t>
  </si>
  <si>
    <t>Technology for Monitoring Distribution Transformers and Reducing Energy Losses as the Basis for an I</t>
  </si>
  <si>
    <t>Technology for Monitoring Distribution Transformers and Reducing Energy Losses as the Basis for an Irish Spin-out with Global Reach (TRANSGLOBAL)</t>
  </si>
  <si>
    <t>Development and application</t>
  </si>
  <si>
    <t>PlasmaScale Addressing scaling issues in the plasma microwave sintering of precision manufactured pr</t>
  </si>
  <si>
    <t>PlasmaScale Addressing scaling issues in the plasma microwave sintering of precision manufactured products</t>
  </si>
  <si>
    <t>CHROMOXYSENSE: Intelligent Colorimetric Luminescent Oxygen Sensor Formulation as Integrity Indicator</t>
  </si>
  <si>
    <t>CHROMOXYSENSE: Intelligent Colorimetric Luminescent Oxygen Sensor Formulation as Integrity Indicators for Modified Atmosphere Packaged Foods</t>
  </si>
  <si>
    <t>A Complete Transcatheter Mitral Valve Replacement System (MiVaR)</t>
  </si>
  <si>
    <t>Falls risk assessment using Quantitative Timed up and Go (QTUG)</t>
  </si>
  <si>
    <t>Aficionado - Expertise Discovery &amp; Management</t>
  </si>
  <si>
    <t>Evaluating the commercial case for a new method to treat Benign Prostatic Hyperplasia (BPH)</t>
  </si>
  <si>
    <t>Smart Control of Wind Farms (SCWF)</t>
  </si>
  <si>
    <t>Advancing the development of a novel Mal inhibitor for the treatment of inflammatory disease</t>
  </si>
  <si>
    <t>P30159: SentiSense</t>
  </si>
  <si>
    <t>SentiSense (Making Sense of Sentiment)</t>
  </si>
  <si>
    <t>P30227: COST EFFECTIVE MANUFACTURING OF MICROFLUIDIC CHIPS BY MICRO INJECTION MOLDING(CEM 4)</t>
  </si>
  <si>
    <t>P30225: Ata-bot</t>
  </si>
  <si>
    <t>From Analytics to Action (Ata-bot): Real-time Text Analytics for Sales and Marketing</t>
  </si>
  <si>
    <t>P30206: SME-SIM</t>
  </si>
  <si>
    <t>Sme Data Adapter for Advanced Simluation Modelling (SME-SIM)</t>
  </si>
  <si>
    <t>P30349: A novel Angioplasty balloon with varying expansion diameters</t>
  </si>
  <si>
    <t>A novel Angioplasty balloon with varying expansion diameters</t>
  </si>
  <si>
    <t>P30348: Performance, robustness, reproductibility, no-bleed - A new Breed of Gas Chromatography colu</t>
  </si>
  <si>
    <t>Performance, robustness, reproductibility, no-bleed - A new Breed of Gas Chromatography column</t>
  </si>
  <si>
    <t>P30351: Fuel Cell Power Module</t>
  </si>
  <si>
    <t>Fuel Cell Power Module</t>
  </si>
  <si>
    <t>P30371: NEWCELL</t>
  </si>
  <si>
    <t>A novel technology to generate a panel of cell lines useful for biopharmaceutical production (NEWCELL)</t>
  </si>
  <si>
    <t>P30627: Catalytic Transition/Heavy Metal Free Olefination: Removing the Barriers to Adoption \PhosCa</t>
  </si>
  <si>
    <t>Catalytic Transition/Heavy Metal Free Olefination: Removing the Barriers to Adoption \PhosCat RBA</t>
  </si>
  <si>
    <t>P30605: reZime: Linguistic Analytics Platform for Financial Services</t>
  </si>
  <si>
    <t>reZime: Linguistic Analytics Platform for Financial Services</t>
  </si>
  <si>
    <t>P30267: IPTranslator - Supporting Global Patent Search with Machine</t>
  </si>
  <si>
    <t>IPTranslator - Supporting Global Patent Search with Machine</t>
  </si>
  <si>
    <t>P30266: REMPAD 2</t>
  </si>
  <si>
    <t>Reminiscence Therapy Enhanced Material Profiling in Alzheimers and other Dementias (REMPAD2)</t>
  </si>
  <si>
    <t>P30272: Style Eyes - Visual based search engine for clothing</t>
  </si>
  <si>
    <t>Style Eyes - Visual based search engine for clothing</t>
  </si>
  <si>
    <t>P30292: xADD: The Architecture Driven Database for XML</t>
  </si>
  <si>
    <t>xADD: The Architecture Driven Database for XML</t>
  </si>
  <si>
    <t>P30330: ProLegere - Glycoseparation Solutions for the Life Scinces Industries</t>
  </si>
  <si>
    <t>ProLegere - Glycoseparation Solutions for the Life Scinces Industries</t>
  </si>
  <si>
    <t>P30374: In The Zone 2</t>
  </si>
  <si>
    <t>In the Zone 2 - An indoor location platform technology</t>
  </si>
  <si>
    <t>P30621: SentiSense2 ( Making Sense of Sentiment )</t>
  </si>
  <si>
    <t>SentiSense2 ( Making Sense of Sentiment )</t>
  </si>
  <si>
    <t>CommF</t>
  </si>
  <si>
    <t>IncubC</t>
  </si>
  <si>
    <t>PRTLI Cap</t>
  </si>
  <si>
    <t>PRTLI Curr</t>
  </si>
  <si>
    <t>MicroE</t>
  </si>
  <si>
    <t>Research Equip</t>
  </si>
  <si>
    <t>CHP</t>
  </si>
  <si>
    <t>RER</t>
  </si>
  <si>
    <t>Smarter T</t>
  </si>
  <si>
    <t>TA</t>
  </si>
  <si>
    <t>Dublin South</t>
  </si>
  <si>
    <t>DunL/Rathdown</t>
  </si>
  <si>
    <t>Limerick</t>
  </si>
  <si>
    <t>Tipperary North</t>
  </si>
  <si>
    <t>Tipperary South</t>
  </si>
  <si>
    <t>Waterford</t>
  </si>
  <si>
    <t xml:space="preserve">Cork </t>
  </si>
  <si>
    <t>RE20070001B Shannon ABC develops innovative ingredients and biological products from natural resources using novel state of the art processes to obtain lead molecules for drug development and value added food, flavour and medicinal products.</t>
  </si>
  <si>
    <t>Installation of a 900 kw wood chip boiler.</t>
  </si>
  <si>
    <t>Prasanthi Naidoo - FSG</t>
  </si>
  <si>
    <t>The promoter wishes to research and develop a range of baby feeding prosucts starting off with a 3 in 1 baby food dispenser that makes it easier to feed a baby</t>
  </si>
  <si>
    <t>Small Business Website</t>
  </si>
  <si>
    <t>Measure 2 Small Business website course</t>
  </si>
  <si>
    <t>Preferential Shares</t>
  </si>
  <si>
    <t>The output from this project will be a pre-clinically approved platform technology for the minimally invasitve treatment of carotid artery disease</t>
  </si>
  <si>
    <t>12 Steps To becoming self-employed</t>
  </si>
  <si>
    <t>ARE</t>
  </si>
  <si>
    <t>Control figures</t>
  </si>
  <si>
    <t xml:space="preserve">Programme for Research in Third-Level Institutions </t>
  </si>
  <si>
    <t>Development of the Region’s Research, Technology Development and Innovation Capacity</t>
  </si>
  <si>
    <t>Renewable Energy</t>
  </si>
  <si>
    <t>Micro-enterprise Support</t>
  </si>
  <si>
    <t xml:space="preserve">Sustainable Urban Development </t>
  </si>
  <si>
    <t>where is the difference occurring?</t>
  </si>
  <si>
    <t>Total Public Expenditure</t>
  </si>
  <si>
    <t>Master Total</t>
  </si>
  <si>
    <t>ThisSheet Total</t>
  </si>
  <si>
    <t>NotOnWeb Total</t>
  </si>
  <si>
    <t>WebSheet Total</t>
  </si>
  <si>
    <t>(ARE)</t>
  </si>
  <si>
    <t>Total ERDF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</si>
</sst>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quot;€&quot;#,##0.00"/>
    <numFmt numFmtId="8" formatCode="&quot;€&quot;#,##0.00;[Red]\-&quot;€&quot;#,##0.00"/>
    <numFmt numFmtId="43" formatCode="_-* #,##0.00_-;\-* #,##0.00_-;_-* &quot;-&quot;??_-;_-@_-"/>
    <numFmt numFmtId="164" formatCode="#,##0.00_ ;[Red]\-#,##0.00\ "/>
    <numFmt numFmtId="165" formatCode="#,##0.0_ ;[Red]\-#,##0.0\ "/>
    <numFmt numFmtId="166" formatCode="#,##0.0000000000_ ;[Red]\-#,##0.0000000000\ "/>
    <numFmt numFmtId="167" formatCode="&quot;€&quot;#,##0.00"/>
  </numFmts>
  <fonts count="13" x14ac:knownFonts="1">
    <font>
      <sz val="11"/>
      <color theme="1"/>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111111"/>
      <name val="Arial"/>
      <family val="2"/>
    </font>
    <font>
      <sz val="10"/>
      <color rgb="FF111111"/>
      <name val="Calibri"/>
      <family val="2"/>
      <scheme val="minor"/>
    </font>
    <font>
      <b/>
      <sz val="11"/>
      <color theme="1"/>
      <name val="Calibri"/>
      <family val="2"/>
      <scheme val="minor"/>
    </font>
    <font>
      <b/>
      <sz val="10"/>
      <color rgb="FF111111"/>
      <name val="Arial"/>
      <family val="2"/>
    </font>
    <font>
      <b/>
      <sz val="10"/>
      <color theme="1"/>
      <name val="Calibri"/>
      <family val="2"/>
      <scheme val="minor"/>
    </font>
    <font>
      <sz val="10"/>
      <color rgb="FF000000"/>
      <name val="Calibri"/>
      <family val="2"/>
      <scheme val="minor"/>
    </font>
    <font>
      <b/>
      <sz val="11"/>
      <color rgb="FFFF0000"/>
      <name val="Calibri"/>
      <family val="2"/>
      <scheme val="minor"/>
    </font>
    <font>
      <b/>
      <sz val="10"/>
      <name val="Calibri"/>
      <family val="2"/>
      <scheme val="minor"/>
    </font>
    <font>
      <b/>
      <sz val="10"/>
      <color theme="5" tint="-0.499984740745262"/>
      <name val="Calibri"/>
      <family val="2"/>
      <scheme val="minor"/>
    </font>
  </fonts>
  <fills count="4">
    <fill>
      <patternFill patternType="none"/>
    </fill>
    <fill>
      <patternFill patternType="gray125"/>
    </fill>
    <fill>
      <patternFill patternType="solid">
        <fgColor theme="9" tint="0.39997558519241921"/>
        <bgColor indexed="64"/>
      </patternFill>
    </fill>
    <fill>
      <patternFill patternType="solid">
        <fgColor theme="8"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rgb="FF00454A"/>
      </left>
      <right style="medium">
        <color rgb="FF00454A"/>
      </right>
      <top style="medium">
        <color rgb="FF00454A"/>
      </top>
      <bottom style="medium">
        <color rgb="FF00454A"/>
      </bottom>
      <diagonal/>
    </border>
  </borders>
  <cellStyleXfs count="1">
    <xf numFmtId="0" fontId="0" fillId="0" borderId="0"/>
  </cellStyleXfs>
  <cellXfs count="163">
    <xf numFmtId="0" fontId="0" fillId="0" borderId="0" xfId="0"/>
    <xf numFmtId="0" fontId="1" fillId="0" borderId="0" xfId="0" applyFont="1" applyFill="1" applyBorder="1" applyAlignment="1">
      <alignment horizontal="center" vertical="center" wrapText="1"/>
    </xf>
    <xf numFmtId="40" fontId="1" fillId="0" borderId="0" xfId="0" applyNumberFormat="1" applyFont="1" applyFill="1" applyBorder="1" applyAlignment="1">
      <alignment horizontal="center" vertical="center" wrapText="1"/>
    </xf>
    <xf numFmtId="16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4" fontId="2" fillId="0" borderId="0" xfId="0" applyNumberFormat="1" applyFont="1" applyFill="1" applyBorder="1" applyAlignment="1">
      <alignment vertical="center" wrapText="1"/>
    </xf>
    <xf numFmtId="40" fontId="2" fillId="0" borderId="0" xfId="0" applyNumberFormat="1" applyFont="1" applyFill="1" applyBorder="1" applyAlignment="1">
      <alignment vertical="center" wrapText="1"/>
    </xf>
    <xf numFmtId="0" fontId="2" fillId="0" borderId="0" xfId="0" applyNumberFormat="1" applyFont="1" applyFill="1" applyBorder="1" applyAlignment="1">
      <alignment vertical="center" wrapText="1"/>
    </xf>
    <xf numFmtId="40" fontId="3" fillId="0" borderId="0" xfId="0" applyNumberFormat="1" applyFont="1" applyFill="1" applyBorder="1" applyAlignment="1">
      <alignment vertical="center" wrapText="1"/>
    </xf>
    <xf numFmtId="0" fontId="3" fillId="0" borderId="0" xfId="0" applyFont="1" applyFill="1" applyBorder="1" applyAlignment="1">
      <alignment vertical="center" wrapText="1"/>
    </xf>
    <xf numFmtId="4" fontId="3" fillId="0" borderId="0" xfId="0" applyNumberFormat="1" applyFont="1" applyFill="1" applyAlignment="1">
      <alignment vertical="center" wrapText="1"/>
    </xf>
    <xf numFmtId="14" fontId="3" fillId="0" borderId="0" xfId="0" applyNumberFormat="1" applyFont="1" applyFill="1" applyBorder="1" applyAlignment="1">
      <alignment vertical="center" wrapText="1"/>
    </xf>
    <xf numFmtId="164" fontId="3" fillId="0" borderId="0" xfId="0" applyNumberFormat="1" applyFont="1" applyFill="1" applyBorder="1" applyAlignment="1">
      <alignment vertical="center" wrapText="1"/>
    </xf>
    <xf numFmtId="0" fontId="2" fillId="0" borderId="0" xfId="0" applyFont="1" applyFill="1" applyAlignment="1">
      <alignment vertical="center" wrapText="1"/>
    </xf>
    <xf numFmtId="14" fontId="2" fillId="0" borderId="0" xfId="0" applyNumberFormat="1" applyFont="1" applyFill="1" applyAlignment="1">
      <alignment vertical="center" wrapText="1"/>
    </xf>
    <xf numFmtId="0" fontId="3" fillId="0" borderId="0" xfId="0" applyNumberFormat="1" applyFont="1" applyFill="1" applyBorder="1" applyAlignment="1">
      <alignment vertical="center" wrapText="1"/>
    </xf>
    <xf numFmtId="4" fontId="3" fillId="0" borderId="0" xfId="0" applyNumberFormat="1" applyFont="1" applyFill="1" applyBorder="1" applyAlignment="1">
      <alignment vertical="center" wrapText="1"/>
    </xf>
    <xf numFmtId="4" fontId="2" fillId="0" borderId="0" xfId="0" applyNumberFormat="1" applyFont="1" applyFill="1" applyBorder="1" applyAlignment="1">
      <alignment vertical="center" wrapText="1"/>
    </xf>
    <xf numFmtId="40" fontId="2" fillId="0" borderId="0" xfId="0" applyNumberFormat="1" applyFont="1" applyFill="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2" fillId="0" borderId="0" xfId="0" applyFont="1" applyFill="1" applyBorder="1" applyAlignment="1">
      <alignment vertical="center"/>
    </xf>
    <xf numFmtId="14" fontId="2" fillId="0" borderId="0" xfId="0" applyNumberFormat="1" applyFont="1" applyFill="1" applyBorder="1" applyAlignment="1">
      <alignment vertical="center"/>
    </xf>
    <xf numFmtId="40" fontId="2" fillId="0" borderId="0" xfId="0" applyNumberFormat="1" applyFont="1" applyFill="1" applyBorder="1" applyAlignment="1">
      <alignment vertical="center"/>
    </xf>
    <xf numFmtId="164" fontId="2" fillId="0" borderId="0" xfId="0" applyNumberFormat="1" applyFont="1" applyFill="1" applyBorder="1" applyAlignment="1">
      <alignment vertical="center"/>
    </xf>
    <xf numFmtId="40" fontId="2" fillId="2" borderId="0" xfId="0" applyNumberFormat="1" applyFont="1" applyFill="1" applyBorder="1" applyAlignment="1">
      <alignment vertical="center" wrapText="1"/>
    </xf>
    <xf numFmtId="0" fontId="2" fillId="2" borderId="0" xfId="0" applyFont="1" applyFill="1" applyBorder="1" applyAlignment="1">
      <alignment vertical="center" wrapText="1"/>
    </xf>
    <xf numFmtId="164" fontId="2" fillId="2" borderId="0" xfId="0" applyNumberFormat="1" applyFont="1" applyFill="1" applyBorder="1" applyAlignment="1">
      <alignment vertical="center" wrapText="1"/>
    </xf>
    <xf numFmtId="14" fontId="2" fillId="2" borderId="0" xfId="0" applyNumberFormat="1" applyFont="1" applyFill="1" applyBorder="1" applyAlignment="1">
      <alignment vertical="center" wrapText="1"/>
    </xf>
    <xf numFmtId="0" fontId="3" fillId="2" borderId="0" xfId="0" applyFont="1" applyFill="1" applyBorder="1" applyAlignment="1">
      <alignment vertical="center" wrapText="1"/>
    </xf>
    <xf numFmtId="14" fontId="3" fillId="2" borderId="0" xfId="0" applyNumberFormat="1" applyFont="1" applyFill="1" applyBorder="1" applyAlignment="1">
      <alignment vertical="center" wrapText="1"/>
    </xf>
    <xf numFmtId="164" fontId="3" fillId="2" borderId="0" xfId="0" applyNumberFormat="1" applyFont="1" applyFill="1" applyBorder="1" applyAlignment="1">
      <alignment vertical="center" wrapText="1"/>
    </xf>
    <xf numFmtId="0" fontId="2" fillId="0" borderId="0" xfId="0" applyFont="1" applyFill="1" applyAlignment="1">
      <alignment vertical="center"/>
    </xf>
    <xf numFmtId="0" fontId="2" fillId="0" borderId="0" xfId="0" applyFont="1" applyFill="1" applyAlignment="1">
      <alignment horizontal="center" vertical="center"/>
    </xf>
    <xf numFmtId="14" fontId="2" fillId="0" borderId="0" xfId="0" applyNumberFormat="1" applyFont="1" applyFill="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0" xfId="0" applyFont="1" applyFill="1" applyAlignment="1">
      <alignment horizontal="left" vertical="center"/>
    </xf>
    <xf numFmtId="0" fontId="2" fillId="0" borderId="0" xfId="0" applyFont="1" applyFill="1" applyBorder="1" applyAlignment="1">
      <alignment horizontal="left" vertical="center"/>
    </xf>
    <xf numFmtId="164" fontId="2" fillId="0" borderId="0" xfId="0" applyNumberFormat="1" applyFont="1" applyFill="1" applyAlignment="1">
      <alignment vertical="center" wrapText="1"/>
    </xf>
    <xf numFmtId="0" fontId="1" fillId="0" borderId="1" xfId="0"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164" fontId="1" fillId="0" borderId="1" xfId="0" applyNumberFormat="1" applyFont="1" applyFill="1" applyBorder="1" applyAlignment="1">
      <alignment vertical="center" wrapText="1"/>
    </xf>
    <xf numFmtId="164" fontId="2" fillId="0" borderId="1" xfId="0" applyNumberFormat="1" applyFont="1" applyFill="1" applyBorder="1" applyAlignment="1">
      <alignmen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2" fillId="2" borderId="1" xfId="0" applyFont="1" applyFill="1" applyBorder="1" applyAlignment="1">
      <alignment vertical="center" wrapText="1"/>
    </xf>
    <xf numFmtId="14" fontId="2" fillId="2" borderId="1" xfId="0" applyNumberFormat="1" applyFont="1" applyFill="1" applyBorder="1" applyAlignment="1">
      <alignment vertical="center" wrapText="1"/>
    </xf>
    <xf numFmtId="164" fontId="2" fillId="2" borderId="1" xfId="0" applyNumberFormat="1" applyFont="1" applyFill="1" applyBorder="1" applyAlignment="1">
      <alignment vertical="center" wrapText="1"/>
    </xf>
    <xf numFmtId="0" fontId="2" fillId="2" borderId="1" xfId="0" applyFont="1" applyFill="1" applyBorder="1" applyAlignment="1">
      <alignment horizontal="left" vertical="center" wrapText="1"/>
    </xf>
    <xf numFmtId="164" fontId="3" fillId="0" borderId="1" xfId="0" applyNumberFormat="1"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vertical="center" wrapText="1"/>
    </xf>
    <xf numFmtId="164" fontId="3" fillId="0" borderId="1" xfId="0" applyNumberFormat="1" applyFont="1" applyFill="1" applyBorder="1" applyAlignment="1">
      <alignment horizontal="left" vertical="center" wrapText="1"/>
    </xf>
    <xf numFmtId="40" fontId="2" fillId="2" borderId="1" xfId="0" applyNumberFormat="1" applyFont="1" applyFill="1" applyBorder="1" applyAlignment="1">
      <alignment vertical="center" wrapText="1"/>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14" fontId="2" fillId="0" borderId="1" xfId="0" applyNumberFormat="1" applyFont="1" applyFill="1" applyBorder="1" applyAlignment="1">
      <alignment vertical="center"/>
    </xf>
    <xf numFmtId="164" fontId="2" fillId="0" borderId="1" xfId="0" applyNumberFormat="1" applyFont="1" applyFill="1" applyBorder="1" applyAlignment="1">
      <alignment vertical="center"/>
    </xf>
    <xf numFmtId="0" fontId="2" fillId="0" borderId="1" xfId="0" applyFont="1" applyFill="1" applyBorder="1" applyAlignment="1">
      <alignment horizontal="left" vertical="center"/>
    </xf>
    <xf numFmtId="40" fontId="2" fillId="0" borderId="1" xfId="0" applyNumberFormat="1" applyFont="1" applyFill="1" applyBorder="1" applyAlignment="1">
      <alignment vertical="center"/>
    </xf>
    <xf numFmtId="165" fontId="2" fillId="0" borderId="1" xfId="0" applyNumberFormat="1" applyFont="1" applyFill="1" applyBorder="1" applyAlignment="1">
      <alignment vertical="center" wrapText="1"/>
    </xf>
    <xf numFmtId="0" fontId="3" fillId="0" borderId="1" xfId="0" applyNumberFormat="1" applyFont="1" applyFill="1" applyBorder="1" applyAlignment="1">
      <alignment vertical="center" wrapText="1"/>
    </xf>
    <xf numFmtId="0" fontId="3" fillId="0" borderId="1" xfId="0" applyFont="1" applyFill="1" applyBorder="1" applyAlignment="1">
      <alignment horizontal="left" vertical="center" wrapText="1"/>
    </xf>
    <xf numFmtId="8" fontId="2" fillId="0" borderId="1" xfId="0" applyNumberFormat="1" applyFont="1" applyFill="1" applyBorder="1" applyAlignment="1">
      <alignment vertical="center" wrapText="1"/>
    </xf>
    <xf numFmtId="0" fontId="3" fillId="2" borderId="1" xfId="0" applyFont="1" applyFill="1" applyBorder="1" applyAlignment="1">
      <alignment vertical="center" wrapText="1"/>
    </xf>
    <xf numFmtId="14" fontId="3" fillId="2" borderId="1" xfId="0" applyNumberFormat="1" applyFont="1" applyFill="1" applyBorder="1" applyAlignment="1">
      <alignment vertical="center" wrapText="1"/>
    </xf>
    <xf numFmtId="164" fontId="3" fillId="2" borderId="1" xfId="0" applyNumberFormat="1" applyFont="1" applyFill="1" applyBorder="1" applyAlignment="1">
      <alignment vertical="center" wrapText="1"/>
    </xf>
    <xf numFmtId="0" fontId="3" fillId="2" borderId="1" xfId="0" applyFont="1" applyFill="1" applyBorder="1" applyAlignment="1">
      <alignment horizontal="left"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14" fontId="5" fillId="0" borderId="1" xfId="0" applyNumberFormat="1" applyFont="1" applyFill="1" applyBorder="1" applyAlignment="1">
      <alignment vertical="center"/>
    </xf>
    <xf numFmtId="164" fontId="5" fillId="0" borderId="1" xfId="0" applyNumberFormat="1" applyFont="1" applyFill="1" applyBorder="1" applyAlignment="1">
      <alignment vertical="center"/>
    </xf>
    <xf numFmtId="166" fontId="2" fillId="0" borderId="0" xfId="0" applyNumberFormat="1" applyFont="1" applyFill="1" applyBorder="1" applyAlignment="1">
      <alignment vertical="center"/>
    </xf>
    <xf numFmtId="0" fontId="0" fillId="0" borderId="0" xfId="0" applyFill="1" applyBorder="1" applyAlignment="1">
      <alignment vertical="center" wrapText="1"/>
    </xf>
    <xf numFmtId="4" fontId="6" fillId="0" borderId="0" xfId="0" applyNumberFormat="1" applyFont="1" applyBorder="1"/>
    <xf numFmtId="4" fontId="0" fillId="0" borderId="0" xfId="0" applyNumberFormat="1" applyBorder="1"/>
    <xf numFmtId="8" fontId="7" fillId="0" borderId="0" xfId="0" applyNumberFormat="1" applyFont="1" applyBorder="1"/>
    <xf numFmtId="4" fontId="8" fillId="0" borderId="0" xfId="0" applyNumberFormat="1" applyFont="1" applyFill="1" applyBorder="1" applyAlignment="1">
      <alignment vertical="center" wrapText="1"/>
    </xf>
    <xf numFmtId="164" fontId="8" fillId="0" borderId="1" xfId="0" applyNumberFormat="1" applyFont="1" applyFill="1" applyBorder="1" applyAlignment="1">
      <alignment vertical="center" wrapText="1"/>
    </xf>
    <xf numFmtId="0" fontId="9" fillId="0" borderId="0" xfId="0" applyFont="1"/>
    <xf numFmtId="0" fontId="9" fillId="0" borderId="1" xfId="0" applyFont="1" applyBorder="1"/>
    <xf numFmtId="164" fontId="3" fillId="0" borderId="0" xfId="0" applyNumberFormat="1" applyFont="1" applyFill="1" applyBorder="1" applyAlignment="1">
      <alignment horizontal="left" vertical="center" wrapText="1"/>
    </xf>
    <xf numFmtId="0" fontId="3" fillId="0" borderId="0" xfId="0" applyFont="1" applyFill="1" applyBorder="1" applyAlignment="1">
      <alignment horizontal="center" vertical="center" wrapText="1"/>
    </xf>
    <xf numFmtId="0" fontId="4" fillId="0" borderId="0" xfId="0" applyFont="1"/>
    <xf numFmtId="0" fontId="5" fillId="0" borderId="0" xfId="0" applyFont="1"/>
    <xf numFmtId="0" fontId="5" fillId="0" borderId="0" xfId="0" applyFont="1" applyAlignment="1">
      <alignment wrapText="1"/>
    </xf>
    <xf numFmtId="40" fontId="2" fillId="0" borderId="0" xfId="0" applyNumberFormat="1" applyFont="1" applyFill="1" applyAlignment="1">
      <alignment vertical="center"/>
    </xf>
    <xf numFmtId="0" fontId="5" fillId="0" borderId="0" xfId="0" applyFont="1" applyFill="1"/>
    <xf numFmtId="14" fontId="5" fillId="0" borderId="0" xfId="0" applyNumberFormat="1" applyFont="1" applyFill="1"/>
    <xf numFmtId="14" fontId="5" fillId="0" borderId="0" xfId="0" applyNumberFormat="1" applyFont="1" applyFill="1" applyBorder="1" applyAlignment="1">
      <alignment vertical="center"/>
    </xf>
    <xf numFmtId="14" fontId="5" fillId="0" borderId="0" xfId="0" applyNumberFormat="1" applyFont="1" applyFill="1" applyBorder="1" applyAlignment="1">
      <alignment vertical="center" wrapText="1"/>
    </xf>
    <xf numFmtId="0" fontId="5" fillId="0" borderId="0" xfId="0" applyFont="1" applyFill="1" applyBorder="1" applyAlignment="1">
      <alignment vertical="center" wrapText="1"/>
    </xf>
    <xf numFmtId="8" fontId="5" fillId="0" borderId="0" xfId="0" applyNumberFormat="1" applyFont="1" applyAlignment="1">
      <alignment vertical="center"/>
    </xf>
    <xf numFmtId="0" fontId="5" fillId="0" borderId="0" xfId="0" applyFont="1" applyFill="1" applyAlignment="1">
      <alignment wrapText="1"/>
    </xf>
    <xf numFmtId="8" fontId="5" fillId="0" borderId="0" xfId="0" applyNumberFormat="1" applyFont="1" applyFill="1"/>
    <xf numFmtId="8" fontId="5" fillId="0" borderId="0" xfId="0" applyNumberFormat="1" applyFont="1" applyFill="1" applyAlignment="1">
      <alignment vertical="center"/>
    </xf>
    <xf numFmtId="4" fontId="5" fillId="0" borderId="0" xfId="0" applyNumberFormat="1" applyFont="1" applyFill="1" applyBorder="1" applyAlignment="1">
      <alignment horizontal="right" vertical="center" wrapText="1"/>
    </xf>
    <xf numFmtId="0" fontId="5" fillId="0" borderId="0" xfId="0" applyFont="1" applyFill="1" applyAlignment="1">
      <alignment horizontal="center"/>
    </xf>
    <xf numFmtId="0" fontId="4" fillId="0" borderId="0" xfId="0" applyFont="1" applyAlignment="1">
      <alignment horizontal="left" vertical="center"/>
    </xf>
    <xf numFmtId="0" fontId="4"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Alignment="1">
      <alignment vertical="center"/>
    </xf>
    <xf numFmtId="14" fontId="5" fillId="0" borderId="0" xfId="0" applyNumberFormat="1" applyFont="1" applyAlignment="1">
      <alignment vertical="center"/>
    </xf>
    <xf numFmtId="0" fontId="1"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2" fillId="2" borderId="0" xfId="0" applyNumberFormat="1" applyFont="1" applyFill="1" applyBorder="1" applyAlignment="1">
      <alignment vertical="center" wrapText="1"/>
    </xf>
    <xf numFmtId="0" fontId="10" fillId="0" borderId="0" xfId="0" applyFont="1" applyBorder="1" applyAlignment="1">
      <alignment horizontal="center" vertical="center" wrapText="1"/>
    </xf>
    <xf numFmtId="164" fontId="2" fillId="0" borderId="0" xfId="0" applyNumberFormat="1" applyFont="1" applyFill="1" applyAlignment="1">
      <alignment horizontal="center" vertical="center" wrapText="1"/>
    </xf>
    <xf numFmtId="164" fontId="2" fillId="0" borderId="0" xfId="0" applyNumberFormat="1" applyFont="1" applyFill="1" applyAlignment="1">
      <alignment horizontal="left" vertical="center" wrapText="1"/>
    </xf>
    <xf numFmtId="0" fontId="4" fillId="0" borderId="0" xfId="0" applyFont="1" applyFill="1" applyBorder="1" applyAlignment="1">
      <alignment vertical="top" wrapText="1"/>
    </xf>
    <xf numFmtId="43" fontId="1" fillId="0" borderId="0" xfId="0" applyNumberFormat="1" applyFont="1" applyFill="1" applyBorder="1" applyAlignment="1">
      <alignment vertical="center" wrapText="1"/>
    </xf>
    <xf numFmtId="43" fontId="2" fillId="0" borderId="0" xfId="0" applyNumberFormat="1" applyFont="1" applyFill="1" applyBorder="1" applyAlignment="1">
      <alignment vertical="center" wrapText="1"/>
    </xf>
    <xf numFmtId="43" fontId="2" fillId="0" borderId="0" xfId="0" applyNumberFormat="1" applyFont="1" applyFill="1" applyAlignment="1">
      <alignment vertical="center" wrapText="1"/>
    </xf>
    <xf numFmtId="43" fontId="3" fillId="0" borderId="0" xfId="0" applyNumberFormat="1" applyFont="1" applyFill="1" applyBorder="1" applyAlignment="1">
      <alignment vertical="center" wrapText="1"/>
    </xf>
    <xf numFmtId="43" fontId="2" fillId="0" borderId="0" xfId="0" applyNumberFormat="1" applyFont="1" applyFill="1" applyAlignment="1">
      <alignment vertical="center"/>
    </xf>
    <xf numFmtId="43" fontId="2" fillId="0" borderId="0" xfId="0" applyNumberFormat="1" applyFont="1" applyFill="1" applyBorder="1" applyAlignment="1">
      <alignment vertical="center"/>
    </xf>
    <xf numFmtId="0" fontId="5" fillId="0" borderId="0" xfId="0" applyFont="1" applyFill="1" applyBorder="1" applyAlignment="1">
      <alignment vertical="top" wrapText="1"/>
    </xf>
    <xf numFmtId="0" fontId="0" fillId="0" borderId="0" xfId="0" applyAlignment="1">
      <alignment vertical="center"/>
    </xf>
    <xf numFmtId="40" fontId="0" fillId="0" borderId="0" xfId="0" applyNumberFormat="1" applyAlignment="1">
      <alignment vertical="center"/>
    </xf>
    <xf numFmtId="164" fontId="0" fillId="0" borderId="0" xfId="0" applyNumberFormat="1" applyAlignment="1">
      <alignment vertical="center"/>
    </xf>
    <xf numFmtId="4" fontId="0" fillId="0" borderId="0" xfId="0" applyNumberFormat="1" applyAlignment="1">
      <alignment vertical="center"/>
    </xf>
    <xf numFmtId="164" fontId="0" fillId="0" borderId="0" xfId="0" applyNumberFormat="1" applyFill="1" applyAlignment="1">
      <alignment vertical="center"/>
    </xf>
    <xf numFmtId="0" fontId="0" fillId="0" borderId="0" xfId="0" applyFill="1" applyAlignment="1">
      <alignment vertical="center"/>
    </xf>
    <xf numFmtId="164" fontId="6" fillId="0" borderId="0" xfId="0" applyNumberFormat="1" applyFont="1" applyAlignment="1">
      <alignment vertical="center"/>
    </xf>
    <xf numFmtId="0" fontId="6" fillId="0" borderId="0" xfId="0" applyFont="1" applyAlignment="1">
      <alignment vertical="center"/>
    </xf>
    <xf numFmtId="7" fontId="0" fillId="0" borderId="0" xfId="0" applyNumberFormat="1" applyAlignment="1">
      <alignment vertical="center"/>
    </xf>
    <xf numFmtId="164" fontId="10" fillId="0" borderId="0" xfId="0" applyNumberFormat="1" applyFont="1" applyFill="1" applyBorder="1" applyAlignment="1">
      <alignment horizontal="center" vertical="center" wrapText="1"/>
    </xf>
    <xf numFmtId="164" fontId="6" fillId="0" borderId="0" xfId="0" applyNumberFormat="1" applyFont="1" applyFill="1" applyAlignment="1">
      <alignment vertical="center"/>
    </xf>
    <xf numFmtId="167" fontId="0" fillId="0" borderId="0" xfId="0" applyNumberFormat="1"/>
    <xf numFmtId="4" fontId="1" fillId="0" borderId="0" xfId="0" applyNumberFormat="1" applyFont="1" applyFill="1" applyBorder="1" applyAlignment="1">
      <alignment horizontal="center" vertical="center" wrapText="1"/>
    </xf>
    <xf numFmtId="4" fontId="1" fillId="0" borderId="0" xfId="0" applyNumberFormat="1" applyFont="1" applyFill="1" applyBorder="1" applyAlignment="1">
      <alignment vertical="center" wrapText="1"/>
    </xf>
    <xf numFmtId="0" fontId="2" fillId="0" borderId="0" xfId="0" applyFont="1" applyFill="1"/>
    <xf numFmtId="4" fontId="2" fillId="0" borderId="0" xfId="0" applyNumberFormat="1" applyFont="1" applyFill="1"/>
    <xf numFmtId="0" fontId="2" fillId="0" borderId="0" xfId="0" applyFont="1" applyFill="1" applyAlignment="1">
      <alignment wrapText="1"/>
    </xf>
    <xf numFmtId="0" fontId="8" fillId="0" borderId="0" xfId="0" applyFont="1" applyFill="1" applyBorder="1" applyAlignment="1">
      <alignment vertical="center" wrapText="1"/>
    </xf>
    <xf numFmtId="0" fontId="8" fillId="0" borderId="0" xfId="0" applyFont="1" applyFill="1"/>
    <xf numFmtId="0" fontId="11" fillId="0" borderId="0" xfId="0" applyFont="1" applyFill="1" applyBorder="1" applyAlignment="1">
      <alignment vertical="center" wrapText="1"/>
    </xf>
    <xf numFmtId="0" fontId="12" fillId="0" borderId="0" xfId="0" applyFont="1" applyFill="1"/>
    <xf numFmtId="4" fontId="12" fillId="0" borderId="0" xfId="0" applyNumberFormat="1" applyFont="1" applyFill="1"/>
    <xf numFmtId="0" fontId="12" fillId="0" borderId="0" xfId="0" applyFont="1" applyFill="1" applyAlignment="1">
      <alignment wrapText="1"/>
    </xf>
    <xf numFmtId="0" fontId="8" fillId="0" borderId="0" xfId="0" applyFont="1"/>
    <xf numFmtId="164" fontId="8" fillId="0" borderId="0" xfId="0" applyNumberFormat="1" applyFont="1" applyFill="1" applyBorder="1" applyAlignment="1">
      <alignment vertical="center" wrapText="1"/>
    </xf>
    <xf numFmtId="164" fontId="2" fillId="0" borderId="0" xfId="0" applyNumberFormat="1" applyFont="1" applyFill="1"/>
    <xf numFmtId="40" fontId="2" fillId="0" borderId="0" xfId="0" applyNumberFormat="1" applyFont="1" applyFill="1"/>
    <xf numFmtId="0" fontId="5" fillId="0" borderId="2" xfId="0" applyFont="1" applyFill="1" applyBorder="1" applyAlignment="1">
      <alignment vertical="top" wrapText="1"/>
    </xf>
    <xf numFmtId="0" fontId="0" fillId="0" borderId="0" xfId="0" applyFill="1" applyAlignment="1">
      <alignment horizontal="left" vertical="center"/>
    </xf>
    <xf numFmtId="0" fontId="10" fillId="0" borderId="0" xfId="0" applyFont="1" applyFill="1" applyBorder="1" applyAlignment="1">
      <alignment horizontal="left" vertical="center" wrapText="1"/>
    </xf>
    <xf numFmtId="0" fontId="6" fillId="0" borderId="0" xfId="0" applyFont="1" applyFill="1" applyAlignment="1">
      <alignment horizontal="left" vertical="center"/>
    </xf>
    <xf numFmtId="164" fontId="0" fillId="3" borderId="0" xfId="0" applyNumberFormat="1" applyFill="1" applyAlignment="1">
      <alignment vertical="center"/>
    </xf>
    <xf numFmtId="164" fontId="6" fillId="3" borderId="0" xfId="0" applyNumberFormat="1" applyFont="1" applyFill="1" applyAlignment="1">
      <alignment vertical="center"/>
    </xf>
    <xf numFmtId="40" fontId="1" fillId="3" borderId="0" xfId="0" applyNumberFormat="1" applyFont="1" applyFill="1" applyBorder="1" applyAlignment="1">
      <alignment horizontal="center" vertical="center" wrapText="1"/>
    </xf>
    <xf numFmtId="43" fontId="8" fillId="0" borderId="0" xfId="0" applyNumberFormat="1" applyFont="1" applyFill="1" applyAlignment="1">
      <alignment vertical="center" wrapText="1"/>
    </xf>
    <xf numFmtId="164" fontId="1" fillId="0" borderId="0" xfId="0" applyNumberFormat="1" applyFont="1" applyFill="1" applyBorder="1" applyAlignment="1">
      <alignment vertical="center" wrapText="1"/>
    </xf>
    <xf numFmtId="164" fontId="8" fillId="0" borderId="0" xfId="0" applyNumberFormat="1" applyFont="1" applyFill="1" applyAlignment="1">
      <alignment vertical="center" wrapText="1"/>
    </xf>
    <xf numFmtId="164" fontId="10" fillId="0" borderId="0"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E9-44AC-9531-C449182C74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E9-44AC-9531-C449182C74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9E9-44AC-9531-C449182C74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9E9-44AC-9531-C449182C74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9E9-44AC-9531-C449182C74F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9E9-44AC-9531-C449182C74F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9E9-44AC-9531-C449182C74F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9E9-44AC-9531-C449182C74F0}"/>
              </c:ext>
            </c:extLst>
          </c:dPt>
          <c:cat>
            <c:strRef>
              <c:f>'Group by theme etc'!$E$1:$L$1</c:f>
              <c:strCache>
                <c:ptCount val="8"/>
                <c:pt idx="0">
                  <c:v>Programme for Research in Third-Level Institutions </c:v>
                </c:pt>
                <c:pt idx="1">
                  <c:v>Development of the Region’s Research, Technology Development and Innovation Capacity</c:v>
                </c:pt>
                <c:pt idx="2">
                  <c:v>Micro-enterprise Support</c:v>
                </c:pt>
                <c:pt idx="3">
                  <c:v>Renewable Energy</c:v>
                </c:pt>
                <c:pt idx="4">
                  <c:v>Broadband</c:v>
                </c:pt>
                <c:pt idx="5">
                  <c:v>Smarter Travel</c:v>
                </c:pt>
                <c:pt idx="6">
                  <c:v>Sustainable Urban Development </c:v>
                </c:pt>
                <c:pt idx="7">
                  <c:v>Total Public Expenditure</c:v>
                </c:pt>
              </c:strCache>
            </c:strRef>
          </c:cat>
          <c:val>
            <c:numRef>
              <c:f>'Group by theme etc'!$E$2:$L$2</c:f>
              <c:numCache>
                <c:formatCode>#,##0.00</c:formatCode>
                <c:ptCount val="8"/>
                <c:pt idx="0">
                  <c:v>149628703.02999997</c:v>
                </c:pt>
                <c:pt idx="1">
                  <c:v>64013409.086000033</c:v>
                </c:pt>
                <c:pt idx="2">
                  <c:v>79688188.239999995</c:v>
                </c:pt>
                <c:pt idx="3">
                  <c:v>16370727.469999999</c:v>
                </c:pt>
                <c:pt idx="4" formatCode="#,##0.00_);[Red]\(#,##0.00\)">
                  <c:v>38349239.659999996</c:v>
                </c:pt>
                <c:pt idx="5" formatCode="#,##0.00_ ;[Red]\-#,##0.00\ ">
                  <c:v>5526378.29</c:v>
                </c:pt>
                <c:pt idx="6">
                  <c:v>20179286.609999999</c:v>
                </c:pt>
                <c:pt idx="7">
                  <c:v>373755932.38599998</c:v>
                </c:pt>
              </c:numCache>
            </c:numRef>
          </c:val>
          <c:extLst>
            <c:ext xmlns:c16="http://schemas.microsoft.com/office/drawing/2014/chart" uri="{C3380CC4-5D6E-409C-BE32-E72D297353CC}">
              <c16:uniqueId val="{00000000-3C6F-4F01-A7D7-87E9C5E63A9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9D39-4762-B4B1-0323A0974201}"/>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3-9D39-4762-B4B1-0323A0974201}"/>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5-9D39-4762-B4B1-0323A0974201}"/>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7-9D39-4762-B4B1-0323A0974201}"/>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9-9D39-4762-B4B1-0323A0974201}"/>
              </c:ext>
            </c:extLst>
          </c:dPt>
          <c:dPt>
            <c:idx val="5"/>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B-9D39-4762-B4B1-0323A0974201}"/>
              </c:ext>
            </c:extLst>
          </c:dPt>
          <c:dPt>
            <c:idx val="6"/>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D-9D39-4762-B4B1-0323A0974201}"/>
              </c:ext>
            </c:extLst>
          </c:dPt>
          <c:dPt>
            <c:idx val="7"/>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F-9D39-4762-B4B1-0323A0974201}"/>
              </c:ext>
            </c:extLst>
          </c:dPt>
          <c:dPt>
            <c:idx val="8"/>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1-9D39-4762-B4B1-0323A0974201}"/>
              </c:ext>
            </c:extLst>
          </c:dPt>
          <c:dPt>
            <c:idx val="9"/>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3-9D39-4762-B4B1-0323A0974201}"/>
              </c:ext>
            </c:extLst>
          </c:dPt>
          <c:dPt>
            <c:idx val="1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5-9D39-4762-B4B1-0323A0974201}"/>
              </c:ext>
            </c:extLst>
          </c:dPt>
          <c:dPt>
            <c:idx val="1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7-9D39-4762-B4B1-0323A0974201}"/>
              </c:ext>
            </c:extLst>
          </c:dPt>
          <c:dPt>
            <c:idx val="1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9-9D39-4762-B4B1-0323A0974201}"/>
              </c:ext>
            </c:extLst>
          </c:dPt>
          <c:dPt>
            <c:idx val="1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1B-9D39-4762-B4B1-0323A0974201}"/>
              </c:ext>
            </c:extLst>
          </c:dPt>
          <c:cat>
            <c:strRef>
              <c:f>PieChart!$A$2:$A$15</c:f>
              <c:strCache>
                <c:ptCount val="14"/>
                <c:pt idx="0">
                  <c:v>ARE</c:v>
                </c:pt>
                <c:pt idx="1">
                  <c:v>CommF</c:v>
                </c:pt>
                <c:pt idx="2">
                  <c:v>IncubC</c:v>
                </c:pt>
                <c:pt idx="3">
                  <c:v>PRTLI Cap</c:v>
                </c:pt>
                <c:pt idx="4">
                  <c:v>PRTLI Curr</c:v>
                </c:pt>
                <c:pt idx="5">
                  <c:v>MicroE</c:v>
                </c:pt>
                <c:pt idx="6">
                  <c:v>Research Equip</c:v>
                </c:pt>
                <c:pt idx="7">
                  <c:v>CHP</c:v>
                </c:pt>
                <c:pt idx="8">
                  <c:v>EforB</c:v>
                </c:pt>
                <c:pt idx="9">
                  <c:v>RER</c:v>
                </c:pt>
                <c:pt idx="10">
                  <c:v>Broadband</c:v>
                </c:pt>
                <c:pt idx="11">
                  <c:v>Smarter T</c:v>
                </c:pt>
                <c:pt idx="12">
                  <c:v>Gateways</c:v>
                </c:pt>
                <c:pt idx="13">
                  <c:v>TA</c:v>
                </c:pt>
              </c:strCache>
            </c:strRef>
          </c:cat>
          <c:val>
            <c:numRef>
              <c:f>PieChart!$B$2:$B$15</c:f>
              <c:numCache>
                <c:formatCode>"€"#,##0.00</c:formatCode>
                <c:ptCount val="14"/>
                <c:pt idx="0">
                  <c:v>6460341.4400000004</c:v>
                </c:pt>
                <c:pt idx="1">
                  <c:v>54505534.270000026</c:v>
                </c:pt>
                <c:pt idx="2">
                  <c:v>7042150.0800000001</c:v>
                </c:pt>
                <c:pt idx="3">
                  <c:v>95709703.280000001</c:v>
                </c:pt>
                <c:pt idx="4">
                  <c:v>33583825.219999999</c:v>
                </c:pt>
                <c:pt idx="5">
                  <c:v>101229342.13</c:v>
                </c:pt>
                <c:pt idx="6">
                  <c:v>18427012.700000003</c:v>
                </c:pt>
                <c:pt idx="7">
                  <c:v>25379109.139999993</c:v>
                </c:pt>
                <c:pt idx="8">
                  <c:v>31331472.93</c:v>
                </c:pt>
                <c:pt idx="9">
                  <c:v>6220105.9199999999</c:v>
                </c:pt>
                <c:pt idx="10">
                  <c:v>38349239.659999996</c:v>
                </c:pt>
                <c:pt idx="11">
                  <c:v>5526378.29</c:v>
                </c:pt>
                <c:pt idx="12">
                  <c:v>20179286.600000001</c:v>
                </c:pt>
                <c:pt idx="13">
                  <c:v>2173743.37</c:v>
                </c:pt>
              </c:numCache>
            </c:numRef>
          </c:val>
          <c:extLst>
            <c:ext xmlns:c16="http://schemas.microsoft.com/office/drawing/2014/chart" uri="{C3380CC4-5D6E-409C-BE32-E72D297353CC}">
              <c16:uniqueId val="{00000000-FFF4-4142-B17A-07E64C61D3DE}"/>
            </c:ext>
          </c:extLst>
        </c:ser>
        <c:dLbls>
          <c:showLegendKey val="0"/>
          <c:showVal val="0"/>
          <c:showCatName val="0"/>
          <c:showSerName val="0"/>
          <c:showPercent val="0"/>
          <c:showBubbleSize val="0"/>
        </c:dLbls>
        <c:gapWidth val="100"/>
        <c:axId val="435634376"/>
        <c:axId val="435633064"/>
      </c:barChart>
      <c:catAx>
        <c:axId val="435634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33064"/>
        <c:crosses val="autoZero"/>
        <c:auto val="1"/>
        <c:lblAlgn val="ctr"/>
        <c:lblOffset val="100"/>
        <c:noMultiLvlLbl val="0"/>
      </c:catAx>
      <c:valAx>
        <c:axId val="4356330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634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plotArea>
      <cx:plotAreaRegion>
        <cx:series layoutId="funnel" uniqueId="{0A2D8F61-8306-417A-832D-46DF61A398C3}">
          <cx:dataLabels>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876300</xdr:colOff>
      <xdr:row>7</xdr:row>
      <xdr:rowOff>28575</xdr:rowOff>
    </xdr:from>
    <xdr:to>
      <xdr:col>8</xdr:col>
      <xdr:colOff>1771650</xdr:colOff>
      <xdr:row>24</xdr:row>
      <xdr:rowOff>19050</xdr:rowOff>
    </xdr:to>
    <xdr:graphicFrame macro="">
      <xdr:nvGraphicFramePr>
        <xdr:cNvPr id="2" name="Chart 1">
          <a:extLst>
            <a:ext uri="{FF2B5EF4-FFF2-40B4-BE49-F238E27FC236}">
              <a16:creationId xmlns:a16="http://schemas.microsoft.com/office/drawing/2014/main" id="{ED529D68-5974-498C-9DBE-4E1D9FEAA0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1552575</xdr:colOff>
      <xdr:row>7</xdr:row>
      <xdr:rowOff>28575</xdr:rowOff>
    </xdr:from>
    <xdr:to>
      <xdr:col>10</xdr:col>
      <xdr:colOff>609600</xdr:colOff>
      <xdr:row>24</xdr:row>
      <xdr:rowOff>19050</xdr:rowOff>
    </xdr:to>
    <mc:AlternateContent xmlns:mc="http://schemas.openxmlformats.org/markup-compatibility/2006">
      <mc:Choice xmlns:cx2="http://schemas.microsoft.com/office/drawing/2015/10/21/chartex" Requires="cx2">
        <xdr:graphicFrame macro="">
          <xdr:nvGraphicFramePr>
            <xdr:cNvPr id="3" name="Chart 2">
              <a:extLst>
                <a:ext uri="{FF2B5EF4-FFF2-40B4-BE49-F238E27FC236}">
                  <a16:creationId xmlns:a16="http://schemas.microsoft.com/office/drawing/2014/main" id="{27040DF3-38AC-41B7-9C27-7B605C0C6B8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3258800" y="1323975"/>
              <a:ext cx="4572000" cy="2743200"/>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xdr:colOff>
      <xdr:row>0</xdr:row>
      <xdr:rowOff>19049</xdr:rowOff>
    </xdr:from>
    <xdr:to>
      <xdr:col>9</xdr:col>
      <xdr:colOff>438150</xdr:colOff>
      <xdr:row>29</xdr:row>
      <xdr:rowOff>85725</xdr:rowOff>
    </xdr:to>
    <xdr:graphicFrame macro="">
      <xdr:nvGraphicFramePr>
        <xdr:cNvPr id="2" name="Chart 1">
          <a:extLst>
            <a:ext uri="{FF2B5EF4-FFF2-40B4-BE49-F238E27FC236}">
              <a16:creationId xmlns:a16="http://schemas.microsoft.com/office/drawing/2014/main" id="{639D50F3-595D-49A8-95DA-113CC3114C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P/S&amp;EROP07-13/Fin%20Mgt&amp;Ctrl07-13/ALL%20B%20Declarations%20to%20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Master"/>
      <sheetName val="P1 Breakdown"/>
      <sheetName val="B3 9"/>
      <sheetName val="B3 10"/>
      <sheetName val="B3 11"/>
      <sheetName val="B3 19"/>
      <sheetName val="B3 20"/>
      <sheetName val="B3 21"/>
      <sheetName val="B3 25"/>
      <sheetName val="B3 30"/>
      <sheetName val="B3 33"/>
      <sheetName val="B3 34"/>
      <sheetName val="B3 35"/>
      <sheetName val="B3 43"/>
      <sheetName val="B3 48"/>
      <sheetName val="B3 49"/>
      <sheetName val="B3 54"/>
      <sheetName val="B3 55"/>
      <sheetName val="B3 58"/>
      <sheetName val="B3 59"/>
      <sheetName val="B3 62"/>
      <sheetName val="B3  63"/>
      <sheetName val="B3  65"/>
      <sheetName val="B3  66"/>
      <sheetName val="B3  67"/>
      <sheetName val="B3 75"/>
      <sheetName val="B3 79"/>
      <sheetName val="B3 86"/>
      <sheetName val="B3 87"/>
      <sheetName val="B3  104"/>
      <sheetName val="B3  105"/>
      <sheetName val="B3 112"/>
      <sheetName val="B3  113"/>
      <sheetName val="B3 115"/>
      <sheetName val="B3 116"/>
      <sheetName val="Summary by Priority"/>
      <sheetName val="TO NUTS 4"/>
      <sheetName val="Sheet2"/>
    </sheetNames>
    <sheetDataSet>
      <sheetData sheetId="0">
        <row r="6">
          <cell r="B6">
            <v>443870886.14999998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H6028"/>
  <sheetViews>
    <sheetView topLeftCell="A6003" zoomScaleNormal="100" workbookViewId="0">
      <selection activeCell="E16" sqref="E16"/>
    </sheetView>
  </sheetViews>
  <sheetFormatPr defaultRowHeight="14.25" customHeight="1" x14ac:dyDescent="0.25"/>
  <cols>
    <col min="1" max="1" width="41.7109375" style="13" customWidth="1"/>
    <col min="2" max="2" width="22.7109375" style="13" hidden="1" customWidth="1"/>
    <col min="3" max="3" width="12.5703125" style="13" hidden="1" customWidth="1"/>
    <col min="4" max="4" width="15.140625" style="19" customWidth="1"/>
    <col min="5" max="5" width="46.7109375" style="13" customWidth="1"/>
    <col min="6" max="6" width="15.140625" style="13" hidden="1" customWidth="1"/>
    <col min="7" max="7" width="14.140625" style="13" hidden="1" customWidth="1"/>
    <col min="8" max="8" width="14.5703125" style="13" customWidth="1"/>
    <col min="9" max="9" width="18.85546875" style="13" customWidth="1"/>
    <col min="10" max="10" width="18" style="13" customWidth="1"/>
    <col min="11" max="11" width="12.28515625" style="20" customWidth="1"/>
    <col min="12" max="12" width="20.7109375" style="120" customWidth="1"/>
    <col min="13" max="13" width="18.5703125" style="13" customWidth="1"/>
    <col min="14" max="14" width="24.42578125" style="13" customWidth="1"/>
    <col min="15" max="16384" width="9.140625" style="13"/>
  </cols>
  <sheetData>
    <row r="1" spans="1:13" s="4" customFormat="1" ht="44.25" customHeight="1" x14ac:dyDescent="0.25">
      <c r="A1" s="1" t="s">
        <v>0</v>
      </c>
      <c r="B1" s="1" t="s">
        <v>1</v>
      </c>
      <c r="C1" s="1" t="s">
        <v>2</v>
      </c>
      <c r="D1" s="1" t="s">
        <v>3</v>
      </c>
      <c r="E1" s="1" t="s">
        <v>4</v>
      </c>
      <c r="F1" s="1" t="s">
        <v>5</v>
      </c>
      <c r="G1" s="1" t="s">
        <v>6</v>
      </c>
      <c r="H1" s="1" t="s">
        <v>7</v>
      </c>
      <c r="I1" s="2" t="s">
        <v>8</v>
      </c>
      <c r="J1" s="2" t="s">
        <v>9</v>
      </c>
      <c r="K1" s="111" t="s">
        <v>10</v>
      </c>
      <c r="L1" s="118" t="s">
        <v>11</v>
      </c>
      <c r="M1" s="3"/>
    </row>
    <row r="2" spans="1:13" s="4" customFormat="1" ht="14.25" customHeight="1" x14ac:dyDescent="0.25">
      <c r="A2" s="4" t="s">
        <v>12</v>
      </c>
      <c r="B2" s="4" t="s">
        <v>13</v>
      </c>
      <c r="C2" s="4" t="s">
        <v>14</v>
      </c>
      <c r="D2" s="35">
        <v>3605</v>
      </c>
      <c r="E2" s="4" t="s">
        <v>15</v>
      </c>
      <c r="F2" s="5">
        <v>39562</v>
      </c>
      <c r="G2" s="5">
        <v>39721</v>
      </c>
      <c r="H2" s="4" t="s">
        <v>16</v>
      </c>
      <c r="I2" s="6">
        <v>10863</v>
      </c>
      <c r="J2" s="6">
        <v>2700</v>
      </c>
      <c r="K2" s="37" t="s">
        <v>17</v>
      </c>
      <c r="L2" s="119"/>
      <c r="M2" s="3"/>
    </row>
    <row r="3" spans="1:13" s="4" customFormat="1" ht="14.25" customHeight="1" x14ac:dyDescent="0.25">
      <c r="A3" s="4" t="s">
        <v>18</v>
      </c>
      <c r="B3" s="4" t="s">
        <v>13</v>
      </c>
      <c r="C3" s="4" t="s">
        <v>14</v>
      </c>
      <c r="D3" s="35">
        <v>3606</v>
      </c>
      <c r="E3" s="7" t="s">
        <v>19</v>
      </c>
      <c r="F3" s="5">
        <v>39380</v>
      </c>
      <c r="G3" s="5">
        <v>39507</v>
      </c>
      <c r="H3" s="4" t="s">
        <v>16</v>
      </c>
      <c r="I3" s="6">
        <v>10389</v>
      </c>
      <c r="J3" s="6">
        <v>3116.7</v>
      </c>
      <c r="K3" s="37" t="s">
        <v>17</v>
      </c>
      <c r="L3" s="119"/>
      <c r="M3" s="3"/>
    </row>
    <row r="4" spans="1:13" s="4" customFormat="1" ht="14.25" customHeight="1" x14ac:dyDescent="0.25">
      <c r="A4" s="4" t="s">
        <v>20</v>
      </c>
      <c r="B4" s="4" t="s">
        <v>13</v>
      </c>
      <c r="C4" s="4" t="s">
        <v>14</v>
      </c>
      <c r="D4" s="35">
        <v>3607</v>
      </c>
      <c r="E4" s="7" t="s">
        <v>21</v>
      </c>
      <c r="F4" s="5">
        <v>39342</v>
      </c>
      <c r="G4" s="5">
        <v>39624</v>
      </c>
      <c r="H4" s="4" t="s">
        <v>16</v>
      </c>
      <c r="I4" s="6">
        <v>58950</v>
      </c>
      <c r="J4" s="6">
        <v>15000</v>
      </c>
      <c r="K4" s="37" t="s">
        <v>17</v>
      </c>
      <c r="L4" s="119"/>
      <c r="M4" s="3"/>
    </row>
    <row r="5" spans="1:13" s="4" customFormat="1" ht="14.25" customHeight="1" x14ac:dyDescent="0.25">
      <c r="A5" s="4" t="s">
        <v>22</v>
      </c>
      <c r="B5" s="4" t="s">
        <v>13</v>
      </c>
      <c r="C5" s="4" t="s">
        <v>14</v>
      </c>
      <c r="D5" s="35">
        <v>3619</v>
      </c>
      <c r="E5" s="4" t="s">
        <v>23</v>
      </c>
      <c r="F5" s="5">
        <v>39583</v>
      </c>
      <c r="G5" s="5">
        <v>39721</v>
      </c>
      <c r="H5" s="4" t="s">
        <v>16</v>
      </c>
      <c r="I5" s="6">
        <v>274534.5</v>
      </c>
      <c r="J5" s="6">
        <v>54000</v>
      </c>
      <c r="K5" s="37" t="s">
        <v>17</v>
      </c>
      <c r="L5" s="119"/>
      <c r="M5" s="3"/>
    </row>
    <row r="6" spans="1:13" s="4" customFormat="1" ht="14.25" customHeight="1" x14ac:dyDescent="0.25">
      <c r="A6" s="4" t="s">
        <v>24</v>
      </c>
      <c r="B6" s="4" t="s">
        <v>13</v>
      </c>
      <c r="C6" s="4" t="s">
        <v>14</v>
      </c>
      <c r="D6" s="35">
        <v>3625</v>
      </c>
      <c r="E6" s="4" t="s">
        <v>25</v>
      </c>
      <c r="F6" s="5">
        <v>39206</v>
      </c>
      <c r="G6" s="5">
        <v>39508</v>
      </c>
      <c r="H6" s="4" t="s">
        <v>16</v>
      </c>
      <c r="I6" s="6">
        <v>73940</v>
      </c>
      <c r="J6" s="6">
        <v>15000</v>
      </c>
      <c r="K6" s="37" t="s">
        <v>17</v>
      </c>
      <c r="L6" s="119"/>
      <c r="M6" s="3"/>
    </row>
    <row r="7" spans="1:13" s="4" customFormat="1" ht="14.25" customHeight="1" x14ac:dyDescent="0.25">
      <c r="A7" s="4" t="s">
        <v>26</v>
      </c>
      <c r="B7" s="4" t="s">
        <v>13</v>
      </c>
      <c r="C7" s="4" t="s">
        <v>14</v>
      </c>
      <c r="D7" s="35">
        <v>3626</v>
      </c>
      <c r="E7" s="4" t="s">
        <v>27</v>
      </c>
      <c r="F7" s="5">
        <v>39636</v>
      </c>
      <c r="G7" s="5">
        <v>39791</v>
      </c>
      <c r="H7" s="4" t="s">
        <v>16</v>
      </c>
      <c r="I7" s="6">
        <v>194215.4</v>
      </c>
      <c r="J7" s="6">
        <v>50970</v>
      </c>
      <c r="K7" s="37" t="s">
        <v>17</v>
      </c>
      <c r="L7" s="119"/>
      <c r="M7" s="3"/>
    </row>
    <row r="8" spans="1:13" s="4" customFormat="1" ht="14.25" customHeight="1" x14ac:dyDescent="0.25">
      <c r="A8" s="4" t="s">
        <v>28</v>
      </c>
      <c r="B8" s="4" t="s">
        <v>13</v>
      </c>
      <c r="C8" s="4" t="s">
        <v>14</v>
      </c>
      <c r="D8" s="35">
        <v>3638</v>
      </c>
      <c r="E8" s="4" t="s">
        <v>29</v>
      </c>
      <c r="F8" s="5">
        <v>39694</v>
      </c>
      <c r="G8" s="5">
        <v>39933</v>
      </c>
      <c r="H8" s="4" t="s">
        <v>16</v>
      </c>
      <c r="I8" s="6">
        <v>62037</v>
      </c>
      <c r="J8" s="6">
        <v>18611.099999999999</v>
      </c>
      <c r="K8" s="37" t="s">
        <v>17</v>
      </c>
      <c r="L8" s="119"/>
      <c r="M8" s="3"/>
    </row>
    <row r="9" spans="1:13" s="4" customFormat="1" ht="14.25" customHeight="1" x14ac:dyDescent="0.25">
      <c r="A9" s="4" t="s">
        <v>30</v>
      </c>
      <c r="B9" s="4" t="s">
        <v>13</v>
      </c>
      <c r="C9" s="4" t="s">
        <v>14</v>
      </c>
      <c r="D9" s="35">
        <v>3639</v>
      </c>
      <c r="E9" s="4" t="s">
        <v>31</v>
      </c>
      <c r="F9" s="5">
        <v>39832</v>
      </c>
      <c r="G9" s="5">
        <v>39994</v>
      </c>
      <c r="H9" s="4" t="s">
        <v>16</v>
      </c>
      <c r="I9" s="6">
        <v>7034.2</v>
      </c>
      <c r="J9" s="6">
        <v>2110.2600000000002</v>
      </c>
      <c r="K9" s="37" t="s">
        <v>17</v>
      </c>
      <c r="L9" s="119"/>
      <c r="M9" s="3"/>
    </row>
    <row r="10" spans="1:13" s="4" customFormat="1" ht="14.25" customHeight="1" x14ac:dyDescent="0.25">
      <c r="A10" s="4" t="s">
        <v>32</v>
      </c>
      <c r="B10" s="4" t="s">
        <v>13</v>
      </c>
      <c r="C10" s="4" t="s">
        <v>14</v>
      </c>
      <c r="D10" s="35">
        <v>10046</v>
      </c>
      <c r="E10" s="4" t="s">
        <v>33</v>
      </c>
      <c r="F10" s="5">
        <v>40470</v>
      </c>
      <c r="G10" s="5">
        <v>40533</v>
      </c>
      <c r="H10" s="4" t="s">
        <v>16</v>
      </c>
      <c r="I10" s="6">
        <v>9614.6</v>
      </c>
      <c r="J10" s="6">
        <v>2884.2</v>
      </c>
      <c r="K10" s="37" t="s">
        <v>17</v>
      </c>
      <c r="L10" s="119"/>
      <c r="M10" s="3"/>
    </row>
    <row r="11" spans="1:13" s="4" customFormat="1" ht="14.25" customHeight="1" x14ac:dyDescent="0.25">
      <c r="A11" s="4" t="s">
        <v>32</v>
      </c>
      <c r="B11" s="4" t="s">
        <v>13</v>
      </c>
      <c r="C11" s="4" t="s">
        <v>14</v>
      </c>
      <c r="D11" s="35">
        <v>10052</v>
      </c>
      <c r="E11" s="4" t="s">
        <v>34</v>
      </c>
      <c r="F11" s="5">
        <v>40448</v>
      </c>
      <c r="G11" s="5">
        <v>40513</v>
      </c>
      <c r="H11" s="4" t="s">
        <v>16</v>
      </c>
      <c r="I11" s="6">
        <v>18010</v>
      </c>
      <c r="J11" s="6">
        <v>5403</v>
      </c>
      <c r="K11" s="37" t="s">
        <v>17</v>
      </c>
      <c r="L11" s="119"/>
    </row>
    <row r="12" spans="1:13" s="4" customFormat="1" ht="14.25" customHeight="1" x14ac:dyDescent="0.25">
      <c r="A12" s="4" t="s">
        <v>35</v>
      </c>
      <c r="B12" s="4" t="s">
        <v>13</v>
      </c>
      <c r="C12" s="4" t="s">
        <v>14</v>
      </c>
      <c r="D12" s="35">
        <v>10214</v>
      </c>
      <c r="E12" s="4" t="s">
        <v>36</v>
      </c>
      <c r="F12" s="5">
        <v>40470</v>
      </c>
      <c r="G12" s="5">
        <v>40598</v>
      </c>
      <c r="H12" s="4" t="s">
        <v>16</v>
      </c>
      <c r="I12" s="6">
        <v>7800</v>
      </c>
      <c r="J12" s="6">
        <v>2340</v>
      </c>
      <c r="K12" s="37" t="s">
        <v>17</v>
      </c>
      <c r="L12" s="119"/>
      <c r="M12" s="3"/>
    </row>
    <row r="13" spans="1:13" s="4" customFormat="1" ht="14.25" customHeight="1" x14ac:dyDescent="0.25">
      <c r="A13" s="4" t="s">
        <v>37</v>
      </c>
      <c r="B13" s="4" t="s">
        <v>38</v>
      </c>
      <c r="C13" s="4" t="s">
        <v>14</v>
      </c>
      <c r="D13" s="35">
        <v>388</v>
      </c>
      <c r="E13" s="4" t="s">
        <v>39</v>
      </c>
      <c r="F13" s="5">
        <v>40179</v>
      </c>
      <c r="G13" s="5">
        <v>41639</v>
      </c>
      <c r="H13" s="4" t="s">
        <v>40</v>
      </c>
      <c r="I13" s="6">
        <v>255712.4</v>
      </c>
      <c r="J13" s="6">
        <v>255712.4</v>
      </c>
      <c r="K13" s="37" t="s">
        <v>17</v>
      </c>
      <c r="L13" s="119"/>
      <c r="M13" s="3"/>
    </row>
    <row r="14" spans="1:13" s="4" customFormat="1" ht="14.25" customHeight="1" x14ac:dyDescent="0.25">
      <c r="A14" s="4" t="s">
        <v>41</v>
      </c>
      <c r="B14" s="4" t="s">
        <v>38</v>
      </c>
      <c r="C14" s="4" t="s">
        <v>14</v>
      </c>
      <c r="D14" s="35">
        <v>914</v>
      </c>
      <c r="E14" s="4" t="s">
        <v>42</v>
      </c>
      <c r="F14" s="5">
        <v>39083</v>
      </c>
      <c r="G14" s="5">
        <v>39813</v>
      </c>
      <c r="H14" s="4" t="s">
        <v>40</v>
      </c>
      <c r="I14" s="6">
        <v>73853.63</v>
      </c>
      <c r="J14" s="6">
        <v>73853.63</v>
      </c>
      <c r="K14" s="37" t="s">
        <v>17</v>
      </c>
      <c r="L14" s="119"/>
      <c r="M14" s="3"/>
    </row>
    <row r="15" spans="1:13" s="4" customFormat="1" ht="14.25" customHeight="1" x14ac:dyDescent="0.25">
      <c r="A15" s="4" t="s">
        <v>43</v>
      </c>
      <c r="B15" s="4" t="s">
        <v>38</v>
      </c>
      <c r="C15" s="4" t="s">
        <v>14</v>
      </c>
      <c r="D15" s="35">
        <v>915</v>
      </c>
      <c r="E15" s="4" t="s">
        <v>44</v>
      </c>
      <c r="F15" s="5">
        <v>39083</v>
      </c>
      <c r="G15" s="5">
        <v>39813</v>
      </c>
      <c r="H15" s="4" t="s">
        <v>40</v>
      </c>
      <c r="I15" s="6">
        <v>169094.62</v>
      </c>
      <c r="J15" s="6">
        <v>169094.62</v>
      </c>
      <c r="K15" s="37" t="s">
        <v>17</v>
      </c>
      <c r="L15" s="119"/>
      <c r="M15" s="3"/>
    </row>
    <row r="16" spans="1:13" s="4" customFormat="1" ht="14.25" customHeight="1" x14ac:dyDescent="0.25">
      <c r="A16" s="4" t="s">
        <v>45</v>
      </c>
      <c r="B16" s="4" t="s">
        <v>38</v>
      </c>
      <c r="C16" s="4" t="s">
        <v>14</v>
      </c>
      <c r="D16" s="35">
        <v>916</v>
      </c>
      <c r="E16" s="4" t="s">
        <v>46</v>
      </c>
      <c r="F16" s="5">
        <v>40179</v>
      </c>
      <c r="G16" s="5">
        <v>41639</v>
      </c>
      <c r="H16" s="4" t="s">
        <v>40</v>
      </c>
      <c r="I16" s="6">
        <v>123312.07</v>
      </c>
      <c r="J16" s="6">
        <v>123312.07</v>
      </c>
      <c r="K16" s="37" t="s">
        <v>17</v>
      </c>
      <c r="L16" s="119"/>
      <c r="M16" s="3"/>
    </row>
    <row r="17" spans="1:13" s="4" customFormat="1" ht="14.25" customHeight="1" x14ac:dyDescent="0.25">
      <c r="A17" s="4" t="s">
        <v>47</v>
      </c>
      <c r="B17" s="4" t="s">
        <v>38</v>
      </c>
      <c r="C17" s="4" t="s">
        <v>14</v>
      </c>
      <c r="D17" s="35">
        <v>956</v>
      </c>
      <c r="E17" s="7" t="s">
        <v>48</v>
      </c>
      <c r="F17" s="5">
        <v>39083</v>
      </c>
      <c r="G17" s="5">
        <v>39813</v>
      </c>
      <c r="H17" s="4" t="s">
        <v>40</v>
      </c>
      <c r="I17" s="6">
        <v>91062.57</v>
      </c>
      <c r="J17" s="6">
        <v>91062.57</v>
      </c>
      <c r="K17" s="37" t="s">
        <v>17</v>
      </c>
      <c r="L17" s="119"/>
      <c r="M17" s="3"/>
    </row>
    <row r="18" spans="1:13" s="4" customFormat="1" ht="14.25" customHeight="1" x14ac:dyDescent="0.25">
      <c r="A18" s="4" t="s">
        <v>49</v>
      </c>
      <c r="B18" s="4" t="s">
        <v>50</v>
      </c>
      <c r="C18" s="4" t="s">
        <v>14</v>
      </c>
      <c r="D18" s="35">
        <v>1020</v>
      </c>
      <c r="E18" s="4" t="s">
        <v>51</v>
      </c>
      <c r="F18" s="5">
        <v>39132</v>
      </c>
      <c r="G18" s="5">
        <v>39435</v>
      </c>
      <c r="H18" s="4" t="s">
        <v>40</v>
      </c>
      <c r="I18" s="6">
        <v>47641.24</v>
      </c>
      <c r="J18" s="6">
        <v>23820.62</v>
      </c>
      <c r="K18" s="37" t="s">
        <v>17</v>
      </c>
      <c r="L18" s="119"/>
      <c r="M18" s="3"/>
    </row>
    <row r="19" spans="1:13" s="4" customFormat="1" ht="14.25" customHeight="1" x14ac:dyDescent="0.25">
      <c r="A19" s="4" t="s">
        <v>52</v>
      </c>
      <c r="B19" s="4" t="s">
        <v>50</v>
      </c>
      <c r="C19" s="4" t="s">
        <v>14</v>
      </c>
      <c r="D19" s="35">
        <v>1023</v>
      </c>
      <c r="E19" s="4" t="s">
        <v>53</v>
      </c>
      <c r="F19" s="5">
        <v>39132</v>
      </c>
      <c r="G19" s="5">
        <v>39287</v>
      </c>
      <c r="H19" s="4" t="s">
        <v>40</v>
      </c>
      <c r="I19" s="6">
        <v>60000</v>
      </c>
      <c r="J19" s="6">
        <v>30000</v>
      </c>
      <c r="K19" s="37" t="s">
        <v>17</v>
      </c>
      <c r="L19" s="119"/>
      <c r="M19" s="3"/>
    </row>
    <row r="20" spans="1:13" s="4" customFormat="1" ht="14.25" customHeight="1" x14ac:dyDescent="0.25">
      <c r="A20" s="4" t="s">
        <v>56</v>
      </c>
      <c r="B20" s="4" t="s">
        <v>50</v>
      </c>
      <c r="C20" s="4" t="s">
        <v>14</v>
      </c>
      <c r="D20" s="35">
        <v>1042</v>
      </c>
      <c r="E20" s="4" t="s">
        <v>57</v>
      </c>
      <c r="F20" s="5">
        <v>39132</v>
      </c>
      <c r="G20" s="5">
        <v>39385</v>
      </c>
      <c r="H20" s="4" t="s">
        <v>40</v>
      </c>
      <c r="I20" s="6">
        <v>26312</v>
      </c>
      <c r="J20" s="6">
        <v>13156</v>
      </c>
      <c r="K20" s="37" t="s">
        <v>17</v>
      </c>
      <c r="L20" s="119"/>
      <c r="M20" s="3"/>
    </row>
    <row r="21" spans="1:13" s="4" customFormat="1" ht="14.25" customHeight="1" x14ac:dyDescent="0.25">
      <c r="A21" s="4" t="s">
        <v>58</v>
      </c>
      <c r="B21" s="4" t="s">
        <v>59</v>
      </c>
      <c r="C21" s="4" t="s">
        <v>14</v>
      </c>
      <c r="D21" s="35">
        <v>1046</v>
      </c>
      <c r="E21" s="4" t="s">
        <v>60</v>
      </c>
      <c r="F21" s="5">
        <v>39343</v>
      </c>
      <c r="G21" s="5"/>
      <c r="H21" s="4" t="s">
        <v>40</v>
      </c>
      <c r="I21" s="6">
        <v>7000</v>
      </c>
      <c r="J21" s="6">
        <v>7000</v>
      </c>
      <c r="K21" s="37" t="s">
        <v>17</v>
      </c>
      <c r="L21" s="119"/>
      <c r="M21" s="3"/>
    </row>
    <row r="22" spans="1:13" s="4" customFormat="1" ht="14.25" customHeight="1" x14ac:dyDescent="0.25">
      <c r="A22" s="4" t="s">
        <v>61</v>
      </c>
      <c r="B22" s="4" t="s">
        <v>50</v>
      </c>
      <c r="C22" s="4" t="s">
        <v>14</v>
      </c>
      <c r="D22" s="35">
        <v>1503</v>
      </c>
      <c r="E22" s="4" t="s">
        <v>62</v>
      </c>
      <c r="F22" s="5">
        <v>39132</v>
      </c>
      <c r="G22" s="4">
        <v>39328</v>
      </c>
      <c r="H22" s="4" t="s">
        <v>40</v>
      </c>
      <c r="I22" s="6">
        <v>35288</v>
      </c>
      <c r="J22" s="6">
        <v>17644</v>
      </c>
      <c r="K22" s="37" t="s">
        <v>17</v>
      </c>
      <c r="L22" s="119"/>
      <c r="M22" s="3"/>
    </row>
    <row r="23" spans="1:13" s="4" customFormat="1" ht="14.25" customHeight="1" x14ac:dyDescent="0.25">
      <c r="A23" s="4" t="s">
        <v>63</v>
      </c>
      <c r="B23" s="4" t="s">
        <v>59</v>
      </c>
      <c r="C23" s="4" t="s">
        <v>14</v>
      </c>
      <c r="D23" s="35">
        <v>1514</v>
      </c>
      <c r="E23" s="4" t="s">
        <v>64</v>
      </c>
      <c r="F23" s="5">
        <v>39343</v>
      </c>
      <c r="G23" s="5">
        <v>39709</v>
      </c>
      <c r="H23" s="4" t="s">
        <v>40</v>
      </c>
      <c r="I23" s="6">
        <v>14000</v>
      </c>
      <c r="J23" s="6">
        <v>14000</v>
      </c>
      <c r="K23" s="37" t="s">
        <v>17</v>
      </c>
      <c r="L23" s="119"/>
      <c r="M23" s="3"/>
    </row>
    <row r="24" spans="1:13" s="4" customFormat="1" ht="14.25" customHeight="1" x14ac:dyDescent="0.25">
      <c r="A24" s="4" t="s">
        <v>65</v>
      </c>
      <c r="B24" s="4" t="s">
        <v>50</v>
      </c>
      <c r="C24" s="4" t="s">
        <v>14</v>
      </c>
      <c r="D24" s="35">
        <v>1532</v>
      </c>
      <c r="E24" s="7" t="s">
        <v>66</v>
      </c>
      <c r="F24" s="5">
        <v>39490</v>
      </c>
      <c r="G24" s="5">
        <v>39797</v>
      </c>
      <c r="H24" s="4" t="s">
        <v>40</v>
      </c>
      <c r="I24" s="6">
        <v>39685.18</v>
      </c>
      <c r="J24" s="6">
        <v>19842.59</v>
      </c>
      <c r="K24" s="37" t="s">
        <v>17</v>
      </c>
      <c r="L24" s="119"/>
      <c r="M24" s="3"/>
    </row>
    <row r="25" spans="1:13" s="4" customFormat="1" ht="14.25" customHeight="1" x14ac:dyDescent="0.25">
      <c r="A25" s="4" t="s">
        <v>67</v>
      </c>
      <c r="B25" s="4" t="s">
        <v>59</v>
      </c>
      <c r="C25" s="4" t="s">
        <v>14</v>
      </c>
      <c r="D25" s="35">
        <v>1540</v>
      </c>
      <c r="E25" s="7" t="s">
        <v>68</v>
      </c>
      <c r="F25" s="5">
        <v>39261</v>
      </c>
      <c r="G25" s="5">
        <v>39533</v>
      </c>
      <c r="H25" s="4" t="s">
        <v>40</v>
      </c>
      <c r="I25" s="6">
        <v>5000</v>
      </c>
      <c r="J25" s="6">
        <v>5000</v>
      </c>
      <c r="K25" s="37" t="s">
        <v>17</v>
      </c>
      <c r="L25" s="119"/>
      <c r="M25" s="3"/>
    </row>
    <row r="26" spans="1:13" s="4" customFormat="1" ht="14.25" customHeight="1" x14ac:dyDescent="0.25">
      <c r="A26" s="4" t="s">
        <v>69</v>
      </c>
      <c r="B26" s="4" t="s">
        <v>59</v>
      </c>
      <c r="C26" s="4" t="s">
        <v>14</v>
      </c>
      <c r="D26" s="35">
        <v>1542</v>
      </c>
      <c r="E26" s="4" t="s">
        <v>70</v>
      </c>
      <c r="F26" s="5">
        <v>39490</v>
      </c>
      <c r="G26" s="5">
        <v>39734</v>
      </c>
      <c r="H26" s="4" t="s">
        <v>40</v>
      </c>
      <c r="I26" s="6">
        <v>5000</v>
      </c>
      <c r="J26" s="6">
        <v>5000</v>
      </c>
      <c r="K26" s="37" t="s">
        <v>17</v>
      </c>
      <c r="L26" s="119"/>
      <c r="M26" s="3"/>
    </row>
    <row r="27" spans="1:13" s="4" customFormat="1" ht="14.25" customHeight="1" x14ac:dyDescent="0.25">
      <c r="A27" s="4" t="s">
        <v>71</v>
      </c>
      <c r="B27" s="4" t="s">
        <v>59</v>
      </c>
      <c r="C27" s="4" t="s">
        <v>14</v>
      </c>
      <c r="D27" s="35">
        <v>1546</v>
      </c>
      <c r="E27" s="4" t="s">
        <v>72</v>
      </c>
      <c r="F27" s="5">
        <v>39343</v>
      </c>
      <c r="G27" s="5">
        <v>39567</v>
      </c>
      <c r="H27" s="4" t="s">
        <v>40</v>
      </c>
      <c r="I27" s="6">
        <v>5000</v>
      </c>
      <c r="J27" s="6">
        <v>5000</v>
      </c>
      <c r="K27" s="37" t="s">
        <v>17</v>
      </c>
      <c r="L27" s="119"/>
      <c r="M27" s="3"/>
    </row>
    <row r="28" spans="1:13" s="4" customFormat="1" ht="14.25" customHeight="1" x14ac:dyDescent="0.25">
      <c r="A28" s="4" t="s">
        <v>73</v>
      </c>
      <c r="B28" s="4" t="s">
        <v>59</v>
      </c>
      <c r="C28" s="4" t="s">
        <v>14</v>
      </c>
      <c r="D28" s="35">
        <v>1547</v>
      </c>
      <c r="E28" s="4" t="s">
        <v>74</v>
      </c>
      <c r="F28" s="5">
        <v>39654</v>
      </c>
      <c r="G28" s="5">
        <v>39681</v>
      </c>
      <c r="H28" s="4" t="s">
        <v>40</v>
      </c>
      <c r="I28" s="6">
        <v>3000</v>
      </c>
      <c r="J28" s="6">
        <v>3000</v>
      </c>
      <c r="K28" s="37" t="s">
        <v>17</v>
      </c>
      <c r="L28" s="119"/>
      <c r="M28" s="3"/>
    </row>
    <row r="29" spans="1:13" s="4" customFormat="1" ht="14.25" customHeight="1" x14ac:dyDescent="0.25">
      <c r="A29" s="4" t="s">
        <v>75</v>
      </c>
      <c r="B29" s="4" t="s">
        <v>50</v>
      </c>
      <c r="C29" s="4" t="s">
        <v>14</v>
      </c>
      <c r="D29" s="35">
        <v>1554</v>
      </c>
      <c r="E29" s="4" t="s">
        <v>76</v>
      </c>
      <c r="F29" s="5">
        <v>39184</v>
      </c>
      <c r="G29" s="5">
        <v>39435</v>
      </c>
      <c r="H29" s="4" t="s">
        <v>40</v>
      </c>
      <c r="I29" s="6">
        <v>30000</v>
      </c>
      <c r="J29" s="6">
        <v>15000</v>
      </c>
      <c r="K29" s="37" t="s">
        <v>17</v>
      </c>
      <c r="L29" s="119"/>
      <c r="M29" s="3"/>
    </row>
    <row r="30" spans="1:13" s="4" customFormat="1" ht="14.25" customHeight="1" x14ac:dyDescent="0.25">
      <c r="A30" s="4" t="s">
        <v>79</v>
      </c>
      <c r="B30" s="4" t="s">
        <v>59</v>
      </c>
      <c r="C30" s="4" t="s">
        <v>14</v>
      </c>
      <c r="D30" s="35">
        <v>1569</v>
      </c>
      <c r="E30" s="4" t="s">
        <v>80</v>
      </c>
      <c r="F30" s="5">
        <v>39184</v>
      </c>
      <c r="G30" s="5">
        <v>39688</v>
      </c>
      <c r="H30" s="4" t="s">
        <v>40</v>
      </c>
      <c r="I30" s="6">
        <v>2884</v>
      </c>
      <c r="J30" s="6">
        <v>2884</v>
      </c>
      <c r="K30" s="37" t="s">
        <v>17</v>
      </c>
      <c r="L30" s="119"/>
      <c r="M30" s="3"/>
    </row>
    <row r="31" spans="1:13" s="4" customFormat="1" ht="14.25" customHeight="1" x14ac:dyDescent="0.25">
      <c r="A31" s="4" t="s">
        <v>81</v>
      </c>
      <c r="B31" s="4" t="s">
        <v>59</v>
      </c>
      <c r="C31" s="4" t="s">
        <v>14</v>
      </c>
      <c r="D31" s="35">
        <v>1577</v>
      </c>
      <c r="E31" s="4" t="s">
        <v>82</v>
      </c>
      <c r="F31" s="5">
        <v>39490</v>
      </c>
      <c r="G31" s="5">
        <v>39856</v>
      </c>
      <c r="H31" s="4" t="s">
        <v>40</v>
      </c>
      <c r="I31" s="6">
        <v>3000</v>
      </c>
      <c r="J31" s="6">
        <v>3000</v>
      </c>
      <c r="K31" s="37" t="s">
        <v>17</v>
      </c>
      <c r="L31" s="119"/>
      <c r="M31" s="3"/>
    </row>
    <row r="32" spans="1:13" s="4" customFormat="1" ht="14.25" customHeight="1" x14ac:dyDescent="0.25">
      <c r="A32" s="4" t="s">
        <v>83</v>
      </c>
      <c r="B32" s="4" t="s">
        <v>59</v>
      </c>
      <c r="C32" s="4" t="s">
        <v>14</v>
      </c>
      <c r="D32" s="35">
        <v>1600</v>
      </c>
      <c r="E32" s="4" t="s">
        <v>84</v>
      </c>
      <c r="F32" s="5">
        <v>39490</v>
      </c>
      <c r="G32" s="5">
        <v>39856</v>
      </c>
      <c r="H32" s="4" t="s">
        <v>40</v>
      </c>
      <c r="I32" s="6">
        <v>10000</v>
      </c>
      <c r="J32" s="6">
        <v>10000</v>
      </c>
      <c r="K32" s="37" t="s">
        <v>17</v>
      </c>
      <c r="L32" s="119"/>
      <c r="M32" s="3"/>
    </row>
    <row r="33" spans="1:13" s="4" customFormat="1" ht="14.25" customHeight="1" x14ac:dyDescent="0.25">
      <c r="A33" s="4" t="s">
        <v>85</v>
      </c>
      <c r="B33" s="4" t="s">
        <v>59</v>
      </c>
      <c r="C33" s="4" t="s">
        <v>14</v>
      </c>
      <c r="D33" s="35">
        <v>1642</v>
      </c>
      <c r="E33" s="4" t="s">
        <v>86</v>
      </c>
      <c r="F33" s="5">
        <v>39490</v>
      </c>
      <c r="G33" s="5">
        <v>39791</v>
      </c>
      <c r="H33" s="4" t="s">
        <v>40</v>
      </c>
      <c r="I33" s="6">
        <v>9000</v>
      </c>
      <c r="J33" s="6">
        <v>9000</v>
      </c>
      <c r="K33" s="37" t="s">
        <v>17</v>
      </c>
      <c r="L33" s="119"/>
      <c r="M33" s="3"/>
    </row>
    <row r="34" spans="1:13" s="4" customFormat="1" ht="14.25" customHeight="1" x14ac:dyDescent="0.25">
      <c r="A34" s="4" t="s">
        <v>87</v>
      </c>
      <c r="B34" s="4" t="s">
        <v>50</v>
      </c>
      <c r="C34" s="4" t="s">
        <v>14</v>
      </c>
      <c r="D34" s="35">
        <v>1643</v>
      </c>
      <c r="E34" s="4" t="s">
        <v>88</v>
      </c>
      <c r="F34" s="5">
        <v>39343</v>
      </c>
      <c r="G34" s="5">
        <v>39645</v>
      </c>
      <c r="H34" s="4" t="s">
        <v>40</v>
      </c>
      <c r="I34" s="6">
        <v>20000</v>
      </c>
      <c r="J34" s="6">
        <v>10000</v>
      </c>
      <c r="K34" s="37" t="s">
        <v>17</v>
      </c>
      <c r="L34" s="119"/>
      <c r="M34" s="3"/>
    </row>
    <row r="35" spans="1:13" s="4" customFormat="1" ht="14.25" customHeight="1" x14ac:dyDescent="0.25">
      <c r="A35" s="4" t="s">
        <v>89</v>
      </c>
      <c r="B35" s="4" t="s">
        <v>90</v>
      </c>
      <c r="C35" s="4" t="s">
        <v>14</v>
      </c>
      <c r="D35" s="35">
        <v>1644</v>
      </c>
      <c r="E35" s="4" t="s">
        <v>91</v>
      </c>
      <c r="F35" s="5">
        <v>39490</v>
      </c>
      <c r="G35" s="5">
        <v>39668</v>
      </c>
      <c r="H35" s="4" t="s">
        <v>40</v>
      </c>
      <c r="I35" s="6">
        <v>5093.96</v>
      </c>
      <c r="J35" s="6">
        <v>2546.98</v>
      </c>
      <c r="K35" s="37" t="s">
        <v>17</v>
      </c>
      <c r="L35" s="119"/>
      <c r="M35" s="3"/>
    </row>
    <row r="36" spans="1:13" s="4" customFormat="1" ht="14.25" customHeight="1" x14ac:dyDescent="0.25">
      <c r="A36" s="4" t="s">
        <v>92</v>
      </c>
      <c r="B36" s="4" t="s">
        <v>59</v>
      </c>
      <c r="C36" s="4" t="s">
        <v>14</v>
      </c>
      <c r="D36" s="35">
        <v>1645</v>
      </c>
      <c r="E36" s="4" t="s">
        <v>93</v>
      </c>
      <c r="F36" s="5">
        <v>39343</v>
      </c>
      <c r="G36" s="5">
        <v>39681</v>
      </c>
      <c r="H36" s="4" t="s">
        <v>40</v>
      </c>
      <c r="I36" s="6">
        <v>2500</v>
      </c>
      <c r="J36" s="6">
        <v>2500</v>
      </c>
      <c r="K36" s="37" t="s">
        <v>17</v>
      </c>
      <c r="L36" s="119"/>
      <c r="M36" s="3"/>
    </row>
    <row r="37" spans="1:13" s="4" customFormat="1" ht="14.25" customHeight="1" x14ac:dyDescent="0.25">
      <c r="A37" s="4" t="s">
        <v>94</v>
      </c>
      <c r="B37" s="4" t="s">
        <v>50</v>
      </c>
      <c r="C37" s="4" t="s">
        <v>14</v>
      </c>
      <c r="D37" s="35">
        <v>1649</v>
      </c>
      <c r="E37" s="4" t="s">
        <v>95</v>
      </c>
      <c r="F37" s="5">
        <v>39654</v>
      </c>
      <c r="G37" s="5">
        <v>39791</v>
      </c>
      <c r="H37" s="4" t="s">
        <v>40</v>
      </c>
      <c r="I37" s="6">
        <v>8449.64</v>
      </c>
      <c r="J37" s="6">
        <v>4224.82</v>
      </c>
      <c r="K37" s="37" t="s">
        <v>17</v>
      </c>
      <c r="L37" s="119"/>
      <c r="M37" s="3"/>
    </row>
    <row r="38" spans="1:13" s="4" customFormat="1" ht="14.25" customHeight="1" x14ac:dyDescent="0.25">
      <c r="A38" s="4" t="s">
        <v>96</v>
      </c>
      <c r="B38" s="4" t="s">
        <v>50</v>
      </c>
      <c r="C38" s="4" t="s">
        <v>14</v>
      </c>
      <c r="D38" s="35">
        <v>1653</v>
      </c>
      <c r="E38" s="4" t="s">
        <v>97</v>
      </c>
      <c r="F38" s="5">
        <v>39569</v>
      </c>
      <c r="G38" s="5">
        <v>39769</v>
      </c>
      <c r="H38" s="4" t="s">
        <v>40</v>
      </c>
      <c r="I38" s="6">
        <v>98170.32</v>
      </c>
      <c r="J38" s="6">
        <v>49085.16</v>
      </c>
      <c r="K38" s="37" t="s">
        <v>17</v>
      </c>
      <c r="L38" s="119"/>
      <c r="M38" s="3"/>
    </row>
    <row r="39" spans="1:13" s="4" customFormat="1" ht="14.25" customHeight="1" x14ac:dyDescent="0.25">
      <c r="A39" s="4" t="s">
        <v>98</v>
      </c>
      <c r="B39" s="4" t="s">
        <v>90</v>
      </c>
      <c r="C39" s="4" t="s">
        <v>14</v>
      </c>
      <c r="D39" s="35">
        <v>1659</v>
      </c>
      <c r="E39" s="4" t="s">
        <v>99</v>
      </c>
      <c r="F39" s="5">
        <v>39569</v>
      </c>
      <c r="G39" s="5">
        <v>39790</v>
      </c>
      <c r="H39" s="4" t="s">
        <v>40</v>
      </c>
      <c r="I39" s="6">
        <v>10200</v>
      </c>
      <c r="J39" s="6">
        <v>5100</v>
      </c>
      <c r="K39" s="37" t="s">
        <v>17</v>
      </c>
      <c r="L39" s="119"/>
      <c r="M39" s="3"/>
    </row>
    <row r="40" spans="1:13" s="4" customFormat="1" ht="14.25" customHeight="1" x14ac:dyDescent="0.25">
      <c r="A40" s="4" t="s">
        <v>100</v>
      </c>
      <c r="B40" s="4" t="s">
        <v>50</v>
      </c>
      <c r="C40" s="4" t="s">
        <v>14</v>
      </c>
      <c r="D40" s="35">
        <v>1662</v>
      </c>
      <c r="E40" s="4" t="s">
        <v>101</v>
      </c>
      <c r="F40" s="5">
        <v>39569</v>
      </c>
      <c r="G40" s="5">
        <v>39790</v>
      </c>
      <c r="H40" s="4" t="s">
        <v>40</v>
      </c>
      <c r="I40" s="6">
        <v>8489</v>
      </c>
      <c r="J40" s="6">
        <v>4244.5</v>
      </c>
      <c r="K40" s="37" t="s">
        <v>17</v>
      </c>
      <c r="L40" s="119"/>
      <c r="M40" s="3"/>
    </row>
    <row r="41" spans="1:13" s="4" customFormat="1" ht="14.25" customHeight="1" x14ac:dyDescent="0.25">
      <c r="A41" s="4" t="s">
        <v>102</v>
      </c>
      <c r="B41" s="4" t="s">
        <v>59</v>
      </c>
      <c r="C41" s="4" t="s">
        <v>14</v>
      </c>
      <c r="D41" s="35">
        <v>1667</v>
      </c>
      <c r="E41" s="4" t="s">
        <v>103</v>
      </c>
      <c r="F41" s="5">
        <v>39490</v>
      </c>
      <c r="G41" s="5">
        <v>39813</v>
      </c>
      <c r="H41" s="4" t="s">
        <v>40</v>
      </c>
      <c r="I41" s="6">
        <v>3000</v>
      </c>
      <c r="J41" s="6">
        <v>3000</v>
      </c>
      <c r="K41" s="37" t="s">
        <v>17</v>
      </c>
      <c r="L41" s="119"/>
      <c r="M41" s="3"/>
    </row>
    <row r="42" spans="1:13" s="4" customFormat="1" ht="14.25" customHeight="1" x14ac:dyDescent="0.25">
      <c r="A42" s="4" t="s">
        <v>104</v>
      </c>
      <c r="B42" s="4" t="s">
        <v>38</v>
      </c>
      <c r="C42" s="4" t="s">
        <v>14</v>
      </c>
      <c r="D42" s="35">
        <v>1724</v>
      </c>
      <c r="E42" s="4" t="s">
        <v>105</v>
      </c>
      <c r="F42" s="5">
        <v>40179</v>
      </c>
      <c r="G42" s="5">
        <v>40908</v>
      </c>
      <c r="H42" s="4" t="s">
        <v>40</v>
      </c>
      <c r="I42" s="6">
        <v>263748.88</v>
      </c>
      <c r="J42" s="6">
        <v>263748.88</v>
      </c>
      <c r="K42" s="37" t="s">
        <v>17</v>
      </c>
      <c r="L42" s="119"/>
      <c r="M42" s="3"/>
    </row>
    <row r="43" spans="1:13" s="4" customFormat="1" ht="14.25" customHeight="1" x14ac:dyDescent="0.25">
      <c r="A43" s="4" t="s">
        <v>106</v>
      </c>
      <c r="B43" s="4" t="s">
        <v>38</v>
      </c>
      <c r="C43" s="4" t="s">
        <v>14</v>
      </c>
      <c r="D43" s="35">
        <v>3269</v>
      </c>
      <c r="E43" s="4" t="s">
        <v>107</v>
      </c>
      <c r="F43" s="5">
        <v>39083</v>
      </c>
      <c r="G43" s="5">
        <v>39813</v>
      </c>
      <c r="H43" s="4" t="s">
        <v>40</v>
      </c>
      <c r="I43" s="6">
        <v>3794.9</v>
      </c>
      <c r="J43" s="6">
        <v>3794.9</v>
      </c>
      <c r="K43" s="37" t="s">
        <v>17</v>
      </c>
      <c r="L43" s="119"/>
      <c r="M43" s="3"/>
    </row>
    <row r="44" spans="1:13" s="4" customFormat="1" ht="14.25" customHeight="1" x14ac:dyDescent="0.25">
      <c r="A44" s="4" t="s">
        <v>108</v>
      </c>
      <c r="B44" s="4" t="s">
        <v>38</v>
      </c>
      <c r="C44" s="4" t="s">
        <v>14</v>
      </c>
      <c r="D44" s="35">
        <v>3270</v>
      </c>
      <c r="E44" s="4" t="s">
        <v>108</v>
      </c>
      <c r="F44" s="5">
        <v>39083</v>
      </c>
      <c r="G44" s="5">
        <v>39813</v>
      </c>
      <c r="H44" s="4" t="s">
        <v>40</v>
      </c>
      <c r="I44" s="6">
        <v>48639.65</v>
      </c>
      <c r="J44" s="6">
        <v>48639.65</v>
      </c>
      <c r="K44" s="37" t="s">
        <v>17</v>
      </c>
      <c r="L44" s="119"/>
      <c r="M44" s="3"/>
    </row>
    <row r="45" spans="1:13" s="4" customFormat="1" ht="14.25" customHeight="1" x14ac:dyDescent="0.25">
      <c r="A45" s="4" t="s">
        <v>109</v>
      </c>
      <c r="B45" s="4" t="s">
        <v>38</v>
      </c>
      <c r="C45" s="4" t="s">
        <v>14</v>
      </c>
      <c r="D45" s="35">
        <v>3271</v>
      </c>
      <c r="E45" s="4" t="s">
        <v>109</v>
      </c>
      <c r="F45" s="5">
        <v>40179</v>
      </c>
      <c r="G45" s="5">
        <v>40543</v>
      </c>
      <c r="H45" s="4" t="s">
        <v>40</v>
      </c>
      <c r="I45" s="6">
        <v>17742.900000000001</v>
      </c>
      <c r="J45" s="6">
        <v>17742.900000000001</v>
      </c>
      <c r="K45" s="37" t="s">
        <v>17</v>
      </c>
      <c r="L45" s="119"/>
      <c r="M45" s="3"/>
    </row>
    <row r="46" spans="1:13" s="4" customFormat="1" ht="14.25" customHeight="1" x14ac:dyDescent="0.25">
      <c r="A46" s="4" t="s">
        <v>110</v>
      </c>
      <c r="B46" s="4" t="s">
        <v>50</v>
      </c>
      <c r="C46" s="4" t="s">
        <v>14</v>
      </c>
      <c r="D46" s="35">
        <v>3272</v>
      </c>
      <c r="E46" s="4" t="s">
        <v>111</v>
      </c>
      <c r="F46" s="5">
        <v>39744</v>
      </c>
      <c r="G46" s="5">
        <v>39892</v>
      </c>
      <c r="H46" s="4" t="s">
        <v>40</v>
      </c>
      <c r="I46" s="6">
        <v>30000</v>
      </c>
      <c r="J46" s="6">
        <v>15000</v>
      </c>
      <c r="K46" s="37" t="s">
        <v>17</v>
      </c>
      <c r="L46" s="119"/>
      <c r="M46" s="3"/>
    </row>
    <row r="47" spans="1:13" s="4" customFormat="1" ht="14.25" customHeight="1" x14ac:dyDescent="0.25">
      <c r="A47" s="4" t="s">
        <v>112</v>
      </c>
      <c r="B47" s="4" t="s">
        <v>38</v>
      </c>
      <c r="C47" s="4" t="s">
        <v>14</v>
      </c>
      <c r="D47" s="35">
        <v>3273</v>
      </c>
      <c r="E47" s="4" t="s">
        <v>113</v>
      </c>
      <c r="F47" s="5">
        <v>39083</v>
      </c>
      <c r="G47" s="5">
        <v>39813</v>
      </c>
      <c r="H47" s="4" t="s">
        <v>40</v>
      </c>
      <c r="I47" s="6">
        <v>6460.06</v>
      </c>
      <c r="J47" s="6">
        <v>6460.06</v>
      </c>
      <c r="K47" s="37" t="s">
        <v>17</v>
      </c>
      <c r="L47" s="119"/>
      <c r="M47" s="3"/>
    </row>
    <row r="48" spans="1:13" s="4" customFormat="1" ht="14.25" customHeight="1" x14ac:dyDescent="0.25">
      <c r="A48" s="4" t="s">
        <v>114</v>
      </c>
      <c r="B48" s="4" t="s">
        <v>38</v>
      </c>
      <c r="C48" s="4" t="s">
        <v>14</v>
      </c>
      <c r="D48" s="35">
        <v>3274</v>
      </c>
      <c r="E48" s="7" t="s">
        <v>115</v>
      </c>
      <c r="F48" s="5">
        <v>39448</v>
      </c>
      <c r="G48" s="5">
        <v>39813</v>
      </c>
      <c r="H48" s="4" t="s">
        <v>40</v>
      </c>
      <c r="I48" s="6">
        <v>0</v>
      </c>
      <c r="J48" s="6">
        <v>0</v>
      </c>
      <c r="K48" s="37" t="s">
        <v>17</v>
      </c>
      <c r="L48" s="119"/>
      <c r="M48" s="3"/>
    </row>
    <row r="49" spans="1:13" s="4" customFormat="1" ht="14.25" customHeight="1" x14ac:dyDescent="0.25">
      <c r="A49" s="4" t="s">
        <v>116</v>
      </c>
      <c r="B49" s="4" t="s">
        <v>38</v>
      </c>
      <c r="C49" s="4" t="s">
        <v>14</v>
      </c>
      <c r="D49" s="35">
        <v>3275</v>
      </c>
      <c r="E49" s="4" t="s">
        <v>117</v>
      </c>
      <c r="F49" s="5">
        <v>39083</v>
      </c>
      <c r="G49" s="5">
        <v>39813</v>
      </c>
      <c r="H49" s="4" t="s">
        <v>40</v>
      </c>
      <c r="I49" s="6">
        <v>9441.33</v>
      </c>
      <c r="J49" s="6">
        <v>9441.33</v>
      </c>
      <c r="K49" s="37" t="s">
        <v>17</v>
      </c>
      <c r="L49" s="119"/>
      <c r="M49" s="3"/>
    </row>
    <row r="50" spans="1:13" s="4" customFormat="1" ht="14.25" customHeight="1" x14ac:dyDescent="0.25">
      <c r="A50" s="4" t="s">
        <v>118</v>
      </c>
      <c r="B50" s="4" t="s">
        <v>38</v>
      </c>
      <c r="C50" s="4" t="s">
        <v>14</v>
      </c>
      <c r="D50" s="35">
        <v>3276</v>
      </c>
      <c r="E50" s="4" t="s">
        <v>119</v>
      </c>
      <c r="F50" s="5">
        <v>39083</v>
      </c>
      <c r="G50" s="5">
        <v>39813</v>
      </c>
      <c r="H50" s="4" t="s">
        <v>40</v>
      </c>
      <c r="I50" s="6">
        <v>11158.05</v>
      </c>
      <c r="J50" s="6">
        <v>11158.05</v>
      </c>
      <c r="K50" s="37" t="s">
        <v>17</v>
      </c>
      <c r="L50" s="119"/>
      <c r="M50" s="3"/>
    </row>
    <row r="51" spans="1:13" s="4" customFormat="1" ht="14.25" customHeight="1" x14ac:dyDescent="0.25">
      <c r="A51" s="4" t="s">
        <v>120</v>
      </c>
      <c r="B51" s="4" t="s">
        <v>38</v>
      </c>
      <c r="C51" s="4" t="s">
        <v>14</v>
      </c>
      <c r="D51" s="35">
        <v>3277</v>
      </c>
      <c r="E51" s="4" t="s">
        <v>121</v>
      </c>
      <c r="F51" s="5">
        <v>39083</v>
      </c>
      <c r="G51" s="5">
        <v>39813</v>
      </c>
      <c r="H51" s="4" t="s">
        <v>40</v>
      </c>
      <c r="I51" s="6">
        <v>22334.92</v>
      </c>
      <c r="J51" s="6">
        <v>22334.92</v>
      </c>
      <c r="K51" s="37" t="s">
        <v>17</v>
      </c>
      <c r="L51" s="119"/>
      <c r="M51" s="3"/>
    </row>
    <row r="52" spans="1:13" s="4" customFormat="1" ht="14.25" customHeight="1" x14ac:dyDescent="0.25">
      <c r="A52" s="4" t="s">
        <v>122</v>
      </c>
      <c r="B52" s="4" t="s">
        <v>50</v>
      </c>
      <c r="C52" s="4" t="s">
        <v>14</v>
      </c>
      <c r="D52" s="35">
        <v>4725</v>
      </c>
      <c r="E52" s="4" t="s">
        <v>123</v>
      </c>
      <c r="F52" s="5">
        <v>39834</v>
      </c>
      <c r="G52" s="5">
        <v>39868</v>
      </c>
      <c r="H52" s="4" t="s">
        <v>40</v>
      </c>
      <c r="I52" s="6">
        <v>50000</v>
      </c>
      <c r="J52" s="6">
        <v>25000</v>
      </c>
      <c r="K52" s="37" t="s">
        <v>17</v>
      </c>
      <c r="L52" s="119"/>
      <c r="M52" s="3"/>
    </row>
    <row r="53" spans="1:13" s="4" customFormat="1" ht="14.25" customHeight="1" x14ac:dyDescent="0.25">
      <c r="A53" s="4" t="s">
        <v>124</v>
      </c>
      <c r="B53" s="4" t="s">
        <v>59</v>
      </c>
      <c r="C53" s="4" t="s">
        <v>14</v>
      </c>
      <c r="D53" s="35">
        <v>4726</v>
      </c>
      <c r="E53" s="4" t="s">
        <v>125</v>
      </c>
      <c r="F53" s="5">
        <v>39654</v>
      </c>
      <c r="G53" s="5">
        <v>39884</v>
      </c>
      <c r="H53" s="4" t="s">
        <v>40</v>
      </c>
      <c r="I53" s="6">
        <v>6000</v>
      </c>
      <c r="J53" s="6">
        <v>6000</v>
      </c>
      <c r="K53" s="37" t="s">
        <v>17</v>
      </c>
      <c r="L53" s="119"/>
      <c r="M53" s="3"/>
    </row>
    <row r="54" spans="1:13" s="4" customFormat="1" ht="14.25" customHeight="1" x14ac:dyDescent="0.25">
      <c r="A54" s="4" t="s">
        <v>126</v>
      </c>
      <c r="B54" s="4" t="s">
        <v>50</v>
      </c>
      <c r="C54" s="4" t="s">
        <v>14</v>
      </c>
      <c r="D54" s="35">
        <v>4729</v>
      </c>
      <c r="E54" s="7" t="s">
        <v>127</v>
      </c>
      <c r="F54" s="5">
        <v>39569</v>
      </c>
      <c r="G54" s="5">
        <v>39953</v>
      </c>
      <c r="H54" s="4" t="s">
        <v>40</v>
      </c>
      <c r="I54" s="6">
        <v>8300.68</v>
      </c>
      <c r="J54" s="6">
        <v>4150.34</v>
      </c>
      <c r="K54" s="37" t="s">
        <v>17</v>
      </c>
      <c r="L54" s="119"/>
      <c r="M54" s="3"/>
    </row>
    <row r="55" spans="1:13" s="4" customFormat="1" ht="14.25" customHeight="1" x14ac:dyDescent="0.25">
      <c r="A55" s="4" t="s">
        <v>128</v>
      </c>
      <c r="B55" s="4" t="s">
        <v>59</v>
      </c>
      <c r="C55" s="4" t="s">
        <v>14</v>
      </c>
      <c r="D55" s="35">
        <v>5225</v>
      </c>
      <c r="E55" s="7" t="s">
        <v>129</v>
      </c>
      <c r="F55" s="5">
        <v>40179</v>
      </c>
      <c r="G55" s="5">
        <v>40543</v>
      </c>
      <c r="H55" s="4" t="s">
        <v>40</v>
      </c>
      <c r="I55" s="6">
        <v>13500</v>
      </c>
      <c r="J55" s="6">
        <v>13500</v>
      </c>
      <c r="K55" s="37" t="s">
        <v>17</v>
      </c>
      <c r="L55" s="119"/>
      <c r="M55" s="3"/>
    </row>
    <row r="56" spans="1:13" s="4" customFormat="1" ht="14.25" customHeight="1" x14ac:dyDescent="0.25">
      <c r="A56" s="4" t="s">
        <v>130</v>
      </c>
      <c r="B56" s="4" t="s">
        <v>59</v>
      </c>
      <c r="C56" s="4" t="s">
        <v>14</v>
      </c>
      <c r="D56" s="35">
        <v>5248</v>
      </c>
      <c r="E56" s="4" t="s">
        <v>131</v>
      </c>
      <c r="F56" s="5">
        <v>39897</v>
      </c>
      <c r="G56" s="5">
        <v>40121</v>
      </c>
      <c r="H56" s="4" t="s">
        <v>40</v>
      </c>
      <c r="I56" s="6">
        <v>8000</v>
      </c>
      <c r="J56" s="6">
        <v>8000</v>
      </c>
      <c r="K56" s="37" t="s">
        <v>17</v>
      </c>
      <c r="L56" s="119"/>
      <c r="M56" s="3"/>
    </row>
    <row r="57" spans="1:13" s="4" customFormat="1" ht="14.25" customHeight="1" x14ac:dyDescent="0.25">
      <c r="A57" s="4" t="s">
        <v>132</v>
      </c>
      <c r="B57" s="4" t="s">
        <v>50</v>
      </c>
      <c r="C57" s="4" t="s">
        <v>14</v>
      </c>
      <c r="D57" s="35">
        <v>5278</v>
      </c>
      <c r="E57" s="7" t="s">
        <v>133</v>
      </c>
      <c r="F57" s="5">
        <v>39744</v>
      </c>
      <c r="G57" s="5">
        <v>40109</v>
      </c>
      <c r="H57" s="4" t="s">
        <v>40</v>
      </c>
      <c r="I57" s="6">
        <v>14000</v>
      </c>
      <c r="J57" s="6">
        <v>7000</v>
      </c>
      <c r="K57" s="37" t="s">
        <v>17</v>
      </c>
      <c r="L57" s="119"/>
      <c r="M57" s="3"/>
    </row>
    <row r="58" spans="1:13" s="4" customFormat="1" ht="14.25" customHeight="1" x14ac:dyDescent="0.25">
      <c r="A58" s="4" t="s">
        <v>134</v>
      </c>
      <c r="B58" s="4" t="s">
        <v>50</v>
      </c>
      <c r="C58" s="4" t="s">
        <v>14</v>
      </c>
      <c r="D58" s="35">
        <v>5285</v>
      </c>
      <c r="E58" s="7" t="s">
        <v>135</v>
      </c>
      <c r="F58" s="5">
        <v>39828</v>
      </c>
      <c r="G58" s="5">
        <v>40009</v>
      </c>
      <c r="H58" s="4" t="s">
        <v>40</v>
      </c>
      <c r="I58" s="6">
        <v>140000</v>
      </c>
      <c r="J58" s="6">
        <v>70000</v>
      </c>
      <c r="K58" s="37" t="s">
        <v>17</v>
      </c>
      <c r="L58" s="119"/>
      <c r="M58" s="3"/>
    </row>
    <row r="59" spans="1:13" s="4" customFormat="1" ht="14.25" customHeight="1" x14ac:dyDescent="0.25">
      <c r="A59" s="4" t="s">
        <v>136</v>
      </c>
      <c r="B59" s="4" t="s">
        <v>50</v>
      </c>
      <c r="C59" s="4" t="s">
        <v>14</v>
      </c>
      <c r="D59" s="35">
        <v>5288</v>
      </c>
      <c r="E59" s="7" t="s">
        <v>137</v>
      </c>
      <c r="F59" s="5">
        <v>39654</v>
      </c>
      <c r="G59" s="5">
        <v>40019</v>
      </c>
      <c r="H59" s="4" t="s">
        <v>40</v>
      </c>
      <c r="I59" s="6">
        <v>13364.92</v>
      </c>
      <c r="J59" s="6">
        <v>6682.46</v>
      </c>
      <c r="K59" s="37" t="s">
        <v>17</v>
      </c>
      <c r="L59" s="119"/>
      <c r="M59" s="3"/>
    </row>
    <row r="60" spans="1:13" s="4" customFormat="1" ht="14.25" customHeight="1" x14ac:dyDescent="0.25">
      <c r="A60" s="4" t="s">
        <v>138</v>
      </c>
      <c r="B60" s="4" t="s">
        <v>59</v>
      </c>
      <c r="C60" s="4" t="s">
        <v>14</v>
      </c>
      <c r="D60" s="35">
        <v>5289</v>
      </c>
      <c r="E60" s="7" t="s">
        <v>139</v>
      </c>
      <c r="F60" s="5">
        <v>39897</v>
      </c>
      <c r="G60" s="5">
        <v>40262</v>
      </c>
      <c r="H60" s="4" t="s">
        <v>40</v>
      </c>
      <c r="I60" s="6">
        <v>2000</v>
      </c>
      <c r="J60" s="6">
        <v>2000</v>
      </c>
      <c r="K60" s="37" t="s">
        <v>17</v>
      </c>
      <c r="L60" s="119"/>
      <c r="M60" s="3"/>
    </row>
    <row r="61" spans="1:13" s="4" customFormat="1" ht="14.25" customHeight="1" x14ac:dyDescent="0.25">
      <c r="A61" s="4" t="s">
        <v>140</v>
      </c>
      <c r="B61" s="4" t="s">
        <v>90</v>
      </c>
      <c r="C61" s="4" t="s">
        <v>14</v>
      </c>
      <c r="D61" s="35">
        <v>5291</v>
      </c>
      <c r="E61" s="7" t="s">
        <v>141</v>
      </c>
      <c r="F61" s="5">
        <v>39988</v>
      </c>
      <c r="G61" s="5">
        <v>40049</v>
      </c>
      <c r="H61" s="4" t="s">
        <v>40</v>
      </c>
      <c r="I61" s="6">
        <v>6000</v>
      </c>
      <c r="J61" s="6">
        <v>3000</v>
      </c>
      <c r="K61" s="37" t="s">
        <v>17</v>
      </c>
      <c r="L61" s="119"/>
      <c r="M61" s="3"/>
    </row>
    <row r="62" spans="1:13" s="4" customFormat="1" ht="14.25" customHeight="1" x14ac:dyDescent="0.25">
      <c r="A62" s="4" t="s">
        <v>142</v>
      </c>
      <c r="B62" s="4" t="s">
        <v>59</v>
      </c>
      <c r="C62" s="4" t="s">
        <v>14</v>
      </c>
      <c r="D62" s="35">
        <v>5303</v>
      </c>
      <c r="E62" s="4" t="s">
        <v>143</v>
      </c>
      <c r="F62" s="5">
        <v>39988</v>
      </c>
      <c r="G62" s="5">
        <v>40543</v>
      </c>
      <c r="H62" s="4" t="s">
        <v>40</v>
      </c>
      <c r="I62" s="6">
        <v>7500</v>
      </c>
      <c r="J62" s="6">
        <v>7500</v>
      </c>
      <c r="K62" s="37" t="s">
        <v>17</v>
      </c>
      <c r="L62" s="119"/>
      <c r="M62" s="3"/>
    </row>
    <row r="63" spans="1:13" s="4" customFormat="1" ht="14.25" customHeight="1" x14ac:dyDescent="0.25">
      <c r="A63" s="4" t="s">
        <v>144</v>
      </c>
      <c r="B63" s="4" t="s">
        <v>59</v>
      </c>
      <c r="C63" s="4" t="s">
        <v>14</v>
      </c>
      <c r="D63" s="35">
        <v>5307</v>
      </c>
      <c r="E63" s="7" t="s">
        <v>145</v>
      </c>
      <c r="F63" s="5">
        <v>39988</v>
      </c>
      <c r="G63" s="5">
        <v>40543</v>
      </c>
      <c r="H63" s="4" t="s">
        <v>40</v>
      </c>
      <c r="I63" s="6">
        <v>3000</v>
      </c>
      <c r="J63" s="6">
        <v>3000</v>
      </c>
      <c r="K63" s="37" t="s">
        <v>17</v>
      </c>
      <c r="L63" s="119"/>
      <c r="M63" s="3"/>
    </row>
    <row r="64" spans="1:13" s="4" customFormat="1" ht="14.25" customHeight="1" x14ac:dyDescent="0.25">
      <c r="A64" s="4" t="s">
        <v>148</v>
      </c>
      <c r="B64" s="4" t="s">
        <v>50</v>
      </c>
      <c r="C64" s="4" t="s">
        <v>14</v>
      </c>
      <c r="D64" s="35">
        <v>5339</v>
      </c>
      <c r="E64" s="7" t="s">
        <v>149</v>
      </c>
      <c r="F64" s="5">
        <v>39744</v>
      </c>
      <c r="G64" s="5">
        <v>40163</v>
      </c>
      <c r="H64" s="4" t="s">
        <v>40</v>
      </c>
      <c r="I64" s="6">
        <v>19448.14</v>
      </c>
      <c r="J64" s="6">
        <v>9724.07</v>
      </c>
      <c r="K64" s="37" t="s">
        <v>17</v>
      </c>
      <c r="L64" s="119"/>
      <c r="M64" s="3"/>
    </row>
    <row r="65" spans="1:13" s="4" customFormat="1" ht="14.25" customHeight="1" x14ac:dyDescent="0.25">
      <c r="A65" s="4" t="s">
        <v>150</v>
      </c>
      <c r="B65" s="4" t="s">
        <v>59</v>
      </c>
      <c r="C65" s="4" t="s">
        <v>14</v>
      </c>
      <c r="D65" s="35">
        <v>5340</v>
      </c>
      <c r="E65" s="4" t="s">
        <v>151</v>
      </c>
      <c r="F65" s="5">
        <v>40155</v>
      </c>
      <c r="G65" s="5"/>
      <c r="H65" s="4" t="s">
        <v>40</v>
      </c>
      <c r="I65" s="6">
        <v>10000</v>
      </c>
      <c r="J65" s="6">
        <v>10000</v>
      </c>
      <c r="K65" s="37" t="s">
        <v>17</v>
      </c>
      <c r="L65" s="119"/>
      <c r="M65" s="3"/>
    </row>
    <row r="66" spans="1:13" s="4" customFormat="1" ht="14.25" customHeight="1" x14ac:dyDescent="0.25">
      <c r="A66" s="4" t="s">
        <v>152</v>
      </c>
      <c r="B66" s="4" t="s">
        <v>50</v>
      </c>
      <c r="C66" s="4" t="s">
        <v>14</v>
      </c>
      <c r="D66" s="35">
        <v>5341</v>
      </c>
      <c r="E66" s="4" t="s">
        <v>153</v>
      </c>
      <c r="F66" s="5">
        <v>40179</v>
      </c>
      <c r="G66" s="5">
        <v>40543</v>
      </c>
      <c r="H66" s="4" t="s">
        <v>40</v>
      </c>
      <c r="I66" s="6">
        <v>40021.82</v>
      </c>
      <c r="J66" s="6">
        <v>20010.91</v>
      </c>
      <c r="K66" s="37" t="s">
        <v>17</v>
      </c>
      <c r="L66" s="119"/>
      <c r="M66" s="3"/>
    </row>
    <row r="67" spans="1:13" s="4" customFormat="1" ht="14.25" customHeight="1" x14ac:dyDescent="0.25">
      <c r="A67" s="4" t="s">
        <v>156</v>
      </c>
      <c r="B67" s="4" t="s">
        <v>59</v>
      </c>
      <c r="C67" s="4" t="s">
        <v>14</v>
      </c>
      <c r="D67" s="35">
        <v>5343</v>
      </c>
      <c r="E67" s="7" t="s">
        <v>157</v>
      </c>
      <c r="F67" s="5">
        <v>40155</v>
      </c>
      <c r="G67" s="5">
        <v>40178</v>
      </c>
      <c r="H67" s="4" t="s">
        <v>40</v>
      </c>
      <c r="I67" s="6">
        <v>2000</v>
      </c>
      <c r="J67" s="6">
        <v>2000</v>
      </c>
      <c r="K67" s="37" t="s">
        <v>17</v>
      </c>
      <c r="L67" s="119"/>
      <c r="M67" s="3"/>
    </row>
    <row r="68" spans="1:13" s="4" customFormat="1" ht="14.25" customHeight="1" x14ac:dyDescent="0.25">
      <c r="A68" s="4" t="s">
        <v>158</v>
      </c>
      <c r="B68" s="4" t="s">
        <v>59</v>
      </c>
      <c r="C68" s="4" t="s">
        <v>14</v>
      </c>
      <c r="D68" s="35">
        <v>5344</v>
      </c>
      <c r="E68" s="7" t="s">
        <v>159</v>
      </c>
      <c r="F68" s="5">
        <v>40073</v>
      </c>
      <c r="G68" s="4">
        <v>40438</v>
      </c>
      <c r="H68" s="4" t="s">
        <v>40</v>
      </c>
      <c r="I68" s="6">
        <v>5000</v>
      </c>
      <c r="J68" s="6">
        <v>5000</v>
      </c>
      <c r="K68" s="37" t="s">
        <v>17</v>
      </c>
      <c r="L68" s="119"/>
      <c r="M68" s="3"/>
    </row>
    <row r="69" spans="1:13" s="4" customFormat="1" ht="14.25" customHeight="1" x14ac:dyDescent="0.25">
      <c r="A69" s="4" t="s">
        <v>160</v>
      </c>
      <c r="B69" s="4" t="s">
        <v>38</v>
      </c>
      <c r="C69" s="4" t="s">
        <v>14</v>
      </c>
      <c r="D69" s="35">
        <v>5356</v>
      </c>
      <c r="E69" s="7" t="s">
        <v>161</v>
      </c>
      <c r="F69" s="5">
        <v>40179</v>
      </c>
      <c r="G69" s="5">
        <v>41639</v>
      </c>
      <c r="H69" s="4" t="s">
        <v>40</v>
      </c>
      <c r="I69" s="6">
        <v>273785.27</v>
      </c>
      <c r="J69" s="6">
        <v>273785.27</v>
      </c>
      <c r="K69" s="37" t="s">
        <v>17</v>
      </c>
      <c r="L69" s="119"/>
      <c r="M69" s="3"/>
    </row>
    <row r="70" spans="1:13" s="4" customFormat="1" ht="14.25" customHeight="1" x14ac:dyDescent="0.25">
      <c r="A70" s="4" t="s">
        <v>162</v>
      </c>
      <c r="B70" s="4" t="s">
        <v>38</v>
      </c>
      <c r="C70" s="4" t="s">
        <v>14</v>
      </c>
      <c r="D70" s="35">
        <v>5357</v>
      </c>
      <c r="E70" s="4" t="s">
        <v>163</v>
      </c>
      <c r="F70" s="5">
        <v>40179</v>
      </c>
      <c r="G70" s="5">
        <v>41639</v>
      </c>
      <c r="H70" s="4" t="s">
        <v>40</v>
      </c>
      <c r="I70" s="6">
        <v>177462.92</v>
      </c>
      <c r="J70" s="6">
        <v>177462.92</v>
      </c>
      <c r="K70" s="37" t="s">
        <v>17</v>
      </c>
      <c r="L70" s="119"/>
      <c r="M70" s="3"/>
    </row>
    <row r="71" spans="1:13" s="4" customFormat="1" ht="14.25" customHeight="1" x14ac:dyDescent="0.25">
      <c r="A71" s="4" t="s">
        <v>164</v>
      </c>
      <c r="B71" s="4" t="s">
        <v>38</v>
      </c>
      <c r="C71" s="4" t="s">
        <v>14</v>
      </c>
      <c r="D71" s="35">
        <v>5358</v>
      </c>
      <c r="E71" s="7" t="s">
        <v>165</v>
      </c>
      <c r="F71" s="5">
        <v>40179</v>
      </c>
      <c r="G71" s="5">
        <v>40543</v>
      </c>
      <c r="H71" s="4" t="s">
        <v>40</v>
      </c>
      <c r="I71" s="6">
        <v>10829.08</v>
      </c>
      <c r="J71" s="6">
        <v>10829.08</v>
      </c>
      <c r="K71" s="37" t="s">
        <v>17</v>
      </c>
      <c r="L71" s="119"/>
      <c r="M71" s="3"/>
    </row>
    <row r="72" spans="1:13" s="4" customFormat="1" ht="14.25" customHeight="1" x14ac:dyDescent="0.25">
      <c r="A72" s="4" t="s">
        <v>166</v>
      </c>
      <c r="B72" s="4" t="s">
        <v>38</v>
      </c>
      <c r="C72" s="4" t="s">
        <v>14</v>
      </c>
      <c r="D72" s="35">
        <v>5359</v>
      </c>
      <c r="E72" s="7" t="s">
        <v>167</v>
      </c>
      <c r="F72" s="5">
        <v>40179</v>
      </c>
      <c r="G72" s="5">
        <v>40908</v>
      </c>
      <c r="H72" s="4" t="s">
        <v>40</v>
      </c>
      <c r="I72" s="6">
        <v>49925.35</v>
      </c>
      <c r="J72" s="6">
        <v>49925.35</v>
      </c>
      <c r="K72" s="37" t="s">
        <v>17</v>
      </c>
      <c r="L72" s="119"/>
      <c r="M72" s="3"/>
    </row>
    <row r="73" spans="1:13" s="4" customFormat="1" ht="14.25" customHeight="1" x14ac:dyDescent="0.25">
      <c r="A73" s="4" t="s">
        <v>168</v>
      </c>
      <c r="B73" s="4" t="s">
        <v>38</v>
      </c>
      <c r="C73" s="4" t="s">
        <v>14</v>
      </c>
      <c r="D73" s="35">
        <v>5360</v>
      </c>
      <c r="E73" s="7" t="s">
        <v>169</v>
      </c>
      <c r="F73" s="5">
        <v>39814</v>
      </c>
      <c r="G73" s="5">
        <v>40543</v>
      </c>
      <c r="H73" s="4" t="s">
        <v>40</v>
      </c>
      <c r="I73" s="6">
        <v>20605.009999999998</v>
      </c>
      <c r="J73" s="6">
        <v>20605.009999999998</v>
      </c>
      <c r="K73" s="37" t="s">
        <v>17</v>
      </c>
      <c r="L73" s="119"/>
      <c r="M73" s="3"/>
    </row>
    <row r="74" spans="1:13" s="4" customFormat="1" ht="14.25" customHeight="1" x14ac:dyDescent="0.25">
      <c r="A74" s="4" t="s">
        <v>170</v>
      </c>
      <c r="B74" s="4" t="s">
        <v>38</v>
      </c>
      <c r="C74" s="4" t="s">
        <v>14</v>
      </c>
      <c r="D74" s="35">
        <v>5361</v>
      </c>
      <c r="E74" s="4" t="s">
        <v>171</v>
      </c>
      <c r="F74" s="5">
        <v>40087</v>
      </c>
      <c r="G74" s="5">
        <v>41639</v>
      </c>
      <c r="H74" s="4" t="s">
        <v>40</v>
      </c>
      <c r="I74" s="6">
        <v>58035.53</v>
      </c>
      <c r="J74" s="6">
        <v>58035.53</v>
      </c>
      <c r="K74" s="37" t="s">
        <v>17</v>
      </c>
      <c r="L74" s="119"/>
      <c r="M74" s="3"/>
    </row>
    <row r="75" spans="1:13" s="4" customFormat="1" ht="14.25" customHeight="1" x14ac:dyDescent="0.25">
      <c r="A75" s="4" t="s">
        <v>172</v>
      </c>
      <c r="B75" s="4" t="s">
        <v>38</v>
      </c>
      <c r="C75" s="4" t="s">
        <v>14</v>
      </c>
      <c r="D75" s="35">
        <v>5363</v>
      </c>
      <c r="E75" s="4" t="s">
        <v>173</v>
      </c>
      <c r="F75" s="5">
        <v>39814</v>
      </c>
      <c r="G75" s="5">
        <v>40543</v>
      </c>
      <c r="H75" s="4" t="s">
        <v>40</v>
      </c>
      <c r="I75" s="6">
        <v>16013.15</v>
      </c>
      <c r="J75" s="6">
        <v>16013.15</v>
      </c>
      <c r="K75" s="37" t="s">
        <v>17</v>
      </c>
      <c r="L75" s="119"/>
      <c r="M75" s="3"/>
    </row>
    <row r="76" spans="1:13" s="4" customFormat="1" ht="14.25" customHeight="1" x14ac:dyDescent="0.25">
      <c r="A76" s="4" t="s">
        <v>174</v>
      </c>
      <c r="B76" s="4" t="s">
        <v>38</v>
      </c>
      <c r="C76" s="4" t="s">
        <v>14</v>
      </c>
      <c r="D76" s="35">
        <v>5367</v>
      </c>
      <c r="E76" s="7" t="s">
        <v>175</v>
      </c>
      <c r="F76" s="5">
        <v>40179</v>
      </c>
      <c r="G76" s="5">
        <v>41639</v>
      </c>
      <c r="H76" s="4" t="s">
        <v>40</v>
      </c>
      <c r="I76" s="6">
        <v>38285.75</v>
      </c>
      <c r="J76" s="6">
        <v>38285.75</v>
      </c>
      <c r="K76" s="37" t="s">
        <v>17</v>
      </c>
      <c r="L76" s="119"/>
      <c r="M76" s="3"/>
    </row>
    <row r="77" spans="1:13" s="4" customFormat="1" ht="14.25" customHeight="1" x14ac:dyDescent="0.25">
      <c r="A77" s="4" t="s">
        <v>176</v>
      </c>
      <c r="B77" s="4" t="s">
        <v>38</v>
      </c>
      <c r="C77" s="4" t="s">
        <v>14</v>
      </c>
      <c r="D77" s="35">
        <v>5372</v>
      </c>
      <c r="E77" s="4" t="s">
        <v>177</v>
      </c>
      <c r="F77" s="5">
        <v>40179</v>
      </c>
      <c r="G77" s="5">
        <v>41639</v>
      </c>
      <c r="H77" s="4" t="s">
        <v>40</v>
      </c>
      <c r="I77" s="6">
        <v>37064.15</v>
      </c>
      <c r="J77" s="6">
        <v>37064.15</v>
      </c>
      <c r="K77" s="37" t="s">
        <v>17</v>
      </c>
      <c r="L77" s="119"/>
      <c r="M77" s="3"/>
    </row>
    <row r="78" spans="1:13" s="4" customFormat="1" ht="14.25" customHeight="1" x14ac:dyDescent="0.25">
      <c r="A78" s="4" t="s">
        <v>178</v>
      </c>
      <c r="B78" s="4" t="s">
        <v>38</v>
      </c>
      <c r="C78" s="4" t="s">
        <v>14</v>
      </c>
      <c r="D78" s="35">
        <v>5376</v>
      </c>
      <c r="E78" s="4" t="s">
        <v>179</v>
      </c>
      <c r="F78" s="5">
        <v>39814</v>
      </c>
      <c r="G78" s="5">
        <v>41639</v>
      </c>
      <c r="H78" s="4" t="s">
        <v>40</v>
      </c>
      <c r="I78" s="6">
        <v>59765.06</v>
      </c>
      <c r="J78" s="6">
        <v>59765.06</v>
      </c>
      <c r="K78" s="37" t="s">
        <v>17</v>
      </c>
      <c r="L78" s="119"/>
      <c r="M78" s="3"/>
    </row>
    <row r="79" spans="1:13" s="4" customFormat="1" ht="14.25" customHeight="1" x14ac:dyDescent="0.25">
      <c r="A79" s="4" t="s">
        <v>180</v>
      </c>
      <c r="B79" s="4" t="s">
        <v>38</v>
      </c>
      <c r="C79" s="4" t="s">
        <v>14</v>
      </c>
      <c r="D79" s="35">
        <v>5380</v>
      </c>
      <c r="E79" s="4" t="s">
        <v>181</v>
      </c>
      <c r="F79" s="5">
        <v>40179</v>
      </c>
      <c r="G79" s="5">
        <v>40543</v>
      </c>
      <c r="H79" s="4" t="s">
        <v>40</v>
      </c>
      <c r="I79" s="6">
        <v>10223.459999999999</v>
      </c>
      <c r="J79" s="6">
        <v>10223.459999999999</v>
      </c>
      <c r="K79" s="37" t="s">
        <v>17</v>
      </c>
      <c r="L79" s="119"/>
      <c r="M79" s="3"/>
    </row>
    <row r="80" spans="1:13" s="4" customFormat="1" ht="14.25" customHeight="1" x14ac:dyDescent="0.25">
      <c r="A80" s="4" t="s">
        <v>182</v>
      </c>
      <c r="B80" s="4" t="s">
        <v>183</v>
      </c>
      <c r="C80" s="4" t="s">
        <v>14</v>
      </c>
      <c r="D80" s="35">
        <v>7384</v>
      </c>
      <c r="E80" s="4" t="s">
        <v>184</v>
      </c>
      <c r="F80" s="5">
        <v>40374</v>
      </c>
      <c r="G80" s="5">
        <v>40908</v>
      </c>
      <c r="H80" s="4" t="s">
        <v>40</v>
      </c>
      <c r="I80" s="6">
        <v>9000</v>
      </c>
      <c r="J80" s="6">
        <v>9000</v>
      </c>
      <c r="K80" s="37" t="s">
        <v>17</v>
      </c>
      <c r="L80" s="119"/>
      <c r="M80" s="3"/>
    </row>
    <row r="81" spans="1:13" s="4" customFormat="1" ht="14.25" customHeight="1" x14ac:dyDescent="0.25">
      <c r="A81" s="4" t="s">
        <v>185</v>
      </c>
      <c r="B81" s="4" t="s">
        <v>50</v>
      </c>
      <c r="C81" s="4" t="s">
        <v>14</v>
      </c>
      <c r="D81" s="35">
        <v>7385</v>
      </c>
      <c r="E81" s="4" t="s">
        <v>186</v>
      </c>
      <c r="F81" s="5">
        <v>40179</v>
      </c>
      <c r="G81" s="5">
        <v>40543</v>
      </c>
      <c r="H81" s="4" t="s">
        <v>40</v>
      </c>
      <c r="I81" s="6">
        <v>20000</v>
      </c>
      <c r="J81" s="6">
        <v>10000</v>
      </c>
      <c r="K81" s="37" t="s">
        <v>17</v>
      </c>
      <c r="L81" s="119"/>
      <c r="M81" s="3"/>
    </row>
    <row r="82" spans="1:13" s="4" customFormat="1" ht="14.25" customHeight="1" x14ac:dyDescent="0.25">
      <c r="A82" s="4" t="s">
        <v>187</v>
      </c>
      <c r="B82" s="4" t="s">
        <v>183</v>
      </c>
      <c r="C82" s="4" t="s">
        <v>14</v>
      </c>
      <c r="D82" s="35">
        <v>7386</v>
      </c>
      <c r="E82" s="7" t="s">
        <v>188</v>
      </c>
      <c r="F82" s="5">
        <v>40284</v>
      </c>
      <c r="G82" s="5">
        <v>40543</v>
      </c>
      <c r="H82" s="4" t="s">
        <v>40</v>
      </c>
      <c r="I82" s="6">
        <v>7532.78</v>
      </c>
      <c r="J82" s="6">
        <v>7532.78</v>
      </c>
      <c r="K82" s="37" t="s">
        <v>17</v>
      </c>
      <c r="L82" s="119"/>
      <c r="M82" s="3"/>
    </row>
    <row r="83" spans="1:13" s="4" customFormat="1" ht="14.25" customHeight="1" x14ac:dyDescent="0.25">
      <c r="A83" s="4" t="s">
        <v>189</v>
      </c>
      <c r="B83" s="4" t="s">
        <v>190</v>
      </c>
      <c r="C83" s="4" t="s">
        <v>14</v>
      </c>
      <c r="D83" s="35">
        <v>7388</v>
      </c>
      <c r="E83" s="7" t="s">
        <v>191</v>
      </c>
      <c r="F83" s="5">
        <v>40284</v>
      </c>
      <c r="G83" s="5">
        <v>40543</v>
      </c>
      <c r="H83" s="4" t="s">
        <v>40</v>
      </c>
      <c r="I83" s="6">
        <v>15000</v>
      </c>
      <c r="J83" s="6">
        <v>10000</v>
      </c>
      <c r="K83" s="37" t="s">
        <v>17</v>
      </c>
      <c r="L83" s="119"/>
      <c r="M83" s="3"/>
    </row>
    <row r="84" spans="1:13" s="4" customFormat="1" ht="14.25" customHeight="1" x14ac:dyDescent="0.25">
      <c r="A84" s="4" t="s">
        <v>192</v>
      </c>
      <c r="B84" s="4" t="s">
        <v>190</v>
      </c>
      <c r="C84" s="4" t="s">
        <v>14</v>
      </c>
      <c r="D84" s="35">
        <v>7392</v>
      </c>
      <c r="E84" s="4" t="s">
        <v>193</v>
      </c>
      <c r="F84" s="5">
        <v>40179</v>
      </c>
      <c r="G84" s="5">
        <v>40543</v>
      </c>
      <c r="H84" s="4" t="s">
        <v>40</v>
      </c>
      <c r="I84" s="6">
        <v>8000</v>
      </c>
      <c r="J84" s="6">
        <v>8000</v>
      </c>
      <c r="K84" s="37" t="s">
        <v>17</v>
      </c>
      <c r="L84" s="119"/>
      <c r="M84" s="3"/>
    </row>
    <row r="85" spans="1:13" s="4" customFormat="1" ht="14.25" customHeight="1" x14ac:dyDescent="0.25">
      <c r="A85" s="4" t="s">
        <v>194</v>
      </c>
      <c r="B85" s="4" t="s">
        <v>90</v>
      </c>
      <c r="C85" s="4" t="s">
        <v>14</v>
      </c>
      <c r="D85" s="35">
        <v>7394</v>
      </c>
      <c r="E85" s="4" t="s">
        <v>195</v>
      </c>
      <c r="F85" s="5">
        <v>40374</v>
      </c>
      <c r="G85" s="5">
        <v>40543</v>
      </c>
      <c r="H85" s="4" t="s">
        <v>40</v>
      </c>
      <c r="I85" s="6">
        <v>15000</v>
      </c>
      <c r="J85" s="6">
        <v>7500</v>
      </c>
      <c r="K85" s="37" t="s">
        <v>17</v>
      </c>
      <c r="L85" s="119"/>
      <c r="M85" s="3"/>
    </row>
    <row r="86" spans="1:13" s="4" customFormat="1" ht="14.25" customHeight="1" x14ac:dyDescent="0.25">
      <c r="A86" s="4" t="s">
        <v>196</v>
      </c>
      <c r="B86" s="4" t="s">
        <v>50</v>
      </c>
      <c r="C86" s="4" t="s">
        <v>14</v>
      </c>
      <c r="D86" s="35">
        <v>7408</v>
      </c>
      <c r="E86" s="4" t="s">
        <v>197</v>
      </c>
      <c r="F86" s="5">
        <v>40179</v>
      </c>
      <c r="G86" s="5">
        <v>40543</v>
      </c>
      <c r="H86" s="4" t="s">
        <v>40</v>
      </c>
      <c r="I86" s="6">
        <v>20000</v>
      </c>
      <c r="J86" s="6">
        <v>10000</v>
      </c>
      <c r="K86" s="37" t="s">
        <v>17</v>
      </c>
      <c r="L86" s="119"/>
      <c r="M86" s="3"/>
    </row>
    <row r="87" spans="1:13" s="4" customFormat="1" ht="14.25" customHeight="1" x14ac:dyDescent="0.25">
      <c r="A87" s="4" t="s">
        <v>198</v>
      </c>
      <c r="B87" s="4" t="s">
        <v>190</v>
      </c>
      <c r="C87" s="4" t="s">
        <v>14</v>
      </c>
      <c r="D87" s="35">
        <v>7411</v>
      </c>
      <c r="E87" s="4" t="s">
        <v>199</v>
      </c>
      <c r="F87" s="5">
        <v>40179</v>
      </c>
      <c r="G87" s="5">
        <v>40908</v>
      </c>
      <c r="H87" s="4" t="s">
        <v>40</v>
      </c>
      <c r="I87" s="6">
        <v>10000</v>
      </c>
      <c r="J87" s="6">
        <v>10000</v>
      </c>
      <c r="K87" s="37" t="s">
        <v>17</v>
      </c>
      <c r="L87" s="119"/>
      <c r="M87" s="3"/>
    </row>
    <row r="88" spans="1:13" s="4" customFormat="1" ht="14.25" customHeight="1" x14ac:dyDescent="0.25">
      <c r="A88" s="4" t="s">
        <v>200</v>
      </c>
      <c r="B88" s="4" t="s">
        <v>190</v>
      </c>
      <c r="C88" s="4" t="s">
        <v>14</v>
      </c>
      <c r="D88" s="35">
        <v>7427</v>
      </c>
      <c r="E88" s="4" t="s">
        <v>201</v>
      </c>
      <c r="F88" s="5">
        <v>40179</v>
      </c>
      <c r="G88" s="5">
        <v>40543</v>
      </c>
      <c r="H88" s="4" t="s">
        <v>40</v>
      </c>
      <c r="I88" s="6">
        <v>38350</v>
      </c>
      <c r="J88" s="6">
        <v>19250</v>
      </c>
      <c r="K88" s="37" t="s">
        <v>17</v>
      </c>
      <c r="L88" s="119"/>
      <c r="M88" s="3"/>
    </row>
    <row r="89" spans="1:13" s="4" customFormat="1" ht="14.25" customHeight="1" x14ac:dyDescent="0.25">
      <c r="A89" s="4" t="s">
        <v>202</v>
      </c>
      <c r="B89" s="4" t="s">
        <v>190</v>
      </c>
      <c r="C89" s="4" t="s">
        <v>14</v>
      </c>
      <c r="D89" s="35">
        <v>7450</v>
      </c>
      <c r="E89" s="4" t="s">
        <v>203</v>
      </c>
      <c r="F89" s="5">
        <v>40179</v>
      </c>
      <c r="G89" s="5">
        <v>40543</v>
      </c>
      <c r="H89" s="4" t="s">
        <v>40</v>
      </c>
      <c r="I89" s="6">
        <v>35000</v>
      </c>
      <c r="J89" s="6">
        <v>17500</v>
      </c>
      <c r="K89" s="37" t="s">
        <v>17</v>
      </c>
      <c r="L89" s="119"/>
      <c r="M89" s="3"/>
    </row>
    <row r="90" spans="1:13" s="4" customFormat="1" ht="14.25" customHeight="1" x14ac:dyDescent="0.25">
      <c r="A90" s="4" t="s">
        <v>204</v>
      </c>
      <c r="B90" s="4" t="s">
        <v>183</v>
      </c>
      <c r="C90" s="4" t="s">
        <v>14</v>
      </c>
      <c r="D90" s="35">
        <v>7451</v>
      </c>
      <c r="E90" s="4" t="s">
        <v>205</v>
      </c>
      <c r="F90" s="5">
        <v>40179</v>
      </c>
      <c r="G90" s="5"/>
      <c r="H90" s="4" t="s">
        <v>40</v>
      </c>
      <c r="I90" s="6">
        <v>4000</v>
      </c>
      <c r="J90" s="6">
        <v>4000</v>
      </c>
      <c r="K90" s="37" t="s">
        <v>17</v>
      </c>
      <c r="L90" s="119"/>
      <c r="M90" s="3"/>
    </row>
    <row r="91" spans="1:13" s="4" customFormat="1" ht="14.25" customHeight="1" x14ac:dyDescent="0.25">
      <c r="A91" s="4" t="s">
        <v>206</v>
      </c>
      <c r="B91" s="4" t="s">
        <v>190</v>
      </c>
      <c r="C91" s="4" t="s">
        <v>14</v>
      </c>
      <c r="D91" s="35">
        <v>7458</v>
      </c>
      <c r="E91" s="4" t="s">
        <v>207</v>
      </c>
      <c r="F91" s="5">
        <v>40179</v>
      </c>
      <c r="G91" s="5"/>
      <c r="H91" s="4" t="s">
        <v>40</v>
      </c>
      <c r="I91" s="6">
        <v>13663.36</v>
      </c>
      <c r="J91" s="6">
        <v>8081.68</v>
      </c>
      <c r="K91" s="37" t="s">
        <v>17</v>
      </c>
      <c r="L91" s="119"/>
      <c r="M91" s="3"/>
    </row>
    <row r="92" spans="1:13" s="4" customFormat="1" ht="14.25" customHeight="1" x14ac:dyDescent="0.25">
      <c r="A92" s="4" t="s">
        <v>208</v>
      </c>
      <c r="B92" s="4" t="s">
        <v>190</v>
      </c>
      <c r="C92" s="4" t="s">
        <v>14</v>
      </c>
      <c r="D92" s="35">
        <v>7459</v>
      </c>
      <c r="E92" s="4" t="s">
        <v>209</v>
      </c>
      <c r="F92" s="5">
        <v>40514</v>
      </c>
      <c r="G92" s="5">
        <v>40908</v>
      </c>
      <c r="H92" s="4" t="s">
        <v>40</v>
      </c>
      <c r="I92" s="6">
        <v>5000</v>
      </c>
      <c r="J92" s="6">
        <v>5000</v>
      </c>
      <c r="K92" s="37" t="s">
        <v>17</v>
      </c>
      <c r="L92" s="119"/>
      <c r="M92" s="3"/>
    </row>
    <row r="93" spans="1:13" s="4" customFormat="1" ht="14.25" customHeight="1" x14ac:dyDescent="0.25">
      <c r="A93" s="4" t="s">
        <v>210</v>
      </c>
      <c r="B93" s="4" t="s">
        <v>50</v>
      </c>
      <c r="C93" s="4" t="s">
        <v>14</v>
      </c>
      <c r="D93" s="35">
        <v>7460</v>
      </c>
      <c r="E93" s="7" t="s">
        <v>211</v>
      </c>
      <c r="F93" s="5">
        <v>40374</v>
      </c>
      <c r="G93" s="5">
        <v>40543</v>
      </c>
      <c r="H93" s="4" t="s">
        <v>40</v>
      </c>
      <c r="I93" s="6">
        <v>28005.38</v>
      </c>
      <c r="J93" s="6">
        <v>14002.69</v>
      </c>
      <c r="K93" s="37" t="s">
        <v>17</v>
      </c>
      <c r="L93" s="119"/>
      <c r="M93" s="3"/>
    </row>
    <row r="94" spans="1:13" s="4" customFormat="1" ht="14.25" customHeight="1" x14ac:dyDescent="0.25">
      <c r="A94" s="4" t="s">
        <v>212</v>
      </c>
      <c r="B94" s="4" t="s">
        <v>183</v>
      </c>
      <c r="C94" s="4" t="s">
        <v>14</v>
      </c>
      <c r="D94" s="35">
        <v>7461</v>
      </c>
      <c r="E94" s="4" t="s">
        <v>213</v>
      </c>
      <c r="F94" s="5">
        <v>40221</v>
      </c>
      <c r="G94" s="4">
        <v>40543</v>
      </c>
      <c r="H94" s="4" t="s">
        <v>40</v>
      </c>
      <c r="I94" s="6">
        <v>4992.63</v>
      </c>
      <c r="J94" s="6">
        <v>4992.63</v>
      </c>
      <c r="K94" s="37" t="s">
        <v>17</v>
      </c>
      <c r="L94" s="119"/>
      <c r="M94" s="3"/>
    </row>
    <row r="95" spans="1:13" s="4" customFormat="1" ht="14.25" customHeight="1" x14ac:dyDescent="0.25">
      <c r="A95" s="4" t="s">
        <v>216</v>
      </c>
      <c r="B95" s="4" t="s">
        <v>190</v>
      </c>
      <c r="C95" s="4" t="s">
        <v>14</v>
      </c>
      <c r="D95" s="35">
        <v>7463</v>
      </c>
      <c r="E95" s="4" t="s">
        <v>217</v>
      </c>
      <c r="F95" s="5">
        <v>40221</v>
      </c>
      <c r="G95" s="4">
        <v>40543</v>
      </c>
      <c r="H95" s="4" t="s">
        <v>40</v>
      </c>
      <c r="I95" s="6">
        <v>13427.28</v>
      </c>
      <c r="J95" s="6">
        <v>7963.64</v>
      </c>
      <c r="K95" s="37" t="s">
        <v>17</v>
      </c>
      <c r="L95" s="119"/>
      <c r="M95" s="3"/>
    </row>
    <row r="96" spans="1:13" s="4" customFormat="1" ht="14.25" customHeight="1" x14ac:dyDescent="0.25">
      <c r="A96" s="4" t="s">
        <v>218</v>
      </c>
      <c r="B96" s="4" t="s">
        <v>183</v>
      </c>
      <c r="C96" s="4" t="s">
        <v>14</v>
      </c>
      <c r="D96" s="35">
        <v>7465</v>
      </c>
      <c r="E96" s="4" t="s">
        <v>219</v>
      </c>
      <c r="F96" s="5">
        <v>40221</v>
      </c>
      <c r="G96" s="5">
        <v>40543</v>
      </c>
      <c r="H96" s="4" t="s">
        <v>40</v>
      </c>
      <c r="I96" s="6">
        <v>5000</v>
      </c>
      <c r="J96" s="6">
        <v>5000</v>
      </c>
      <c r="K96" s="37" t="s">
        <v>17</v>
      </c>
      <c r="L96" s="119"/>
      <c r="M96" s="3"/>
    </row>
    <row r="97" spans="1:13" s="4" customFormat="1" ht="14.25" customHeight="1" x14ac:dyDescent="0.25">
      <c r="A97" s="4" t="s">
        <v>222</v>
      </c>
      <c r="B97" s="4" t="s">
        <v>183</v>
      </c>
      <c r="C97" s="4" t="s">
        <v>14</v>
      </c>
      <c r="D97" s="35">
        <v>7467</v>
      </c>
      <c r="E97" s="4" t="s">
        <v>223</v>
      </c>
      <c r="F97" s="5">
        <v>40514</v>
      </c>
      <c r="G97" s="5">
        <v>40908</v>
      </c>
      <c r="H97" s="4" t="s">
        <v>40</v>
      </c>
      <c r="I97" s="6">
        <v>5000</v>
      </c>
      <c r="J97" s="6">
        <v>5000</v>
      </c>
      <c r="K97" s="37" t="s">
        <v>17</v>
      </c>
      <c r="L97" s="119"/>
      <c r="M97" s="3"/>
    </row>
    <row r="98" spans="1:13" s="4" customFormat="1" ht="14.25" customHeight="1" x14ac:dyDescent="0.25">
      <c r="A98" s="4" t="s">
        <v>224</v>
      </c>
      <c r="B98" s="4" t="s">
        <v>183</v>
      </c>
      <c r="C98" s="4" t="s">
        <v>14</v>
      </c>
      <c r="D98" s="35">
        <v>7468</v>
      </c>
      <c r="E98" s="4" t="s">
        <v>225</v>
      </c>
      <c r="F98" s="5">
        <v>40221</v>
      </c>
      <c r="G98" s="5"/>
      <c r="H98" s="4" t="s">
        <v>40</v>
      </c>
      <c r="I98" s="6">
        <v>4285.7</v>
      </c>
      <c r="J98" s="6">
        <v>4285.7</v>
      </c>
      <c r="K98" s="37" t="s">
        <v>17</v>
      </c>
      <c r="L98" s="119"/>
      <c r="M98" s="3"/>
    </row>
    <row r="99" spans="1:13" s="4" customFormat="1" ht="14.25" customHeight="1" x14ac:dyDescent="0.25">
      <c r="A99" s="4" t="s">
        <v>226</v>
      </c>
      <c r="B99" s="4" t="s">
        <v>38</v>
      </c>
      <c r="C99" s="4" t="s">
        <v>14</v>
      </c>
      <c r="D99" s="35">
        <v>7470</v>
      </c>
      <c r="E99" s="4" t="s">
        <v>227</v>
      </c>
      <c r="F99" s="5">
        <v>40284</v>
      </c>
      <c r="G99" s="4">
        <v>40543</v>
      </c>
      <c r="H99" s="4" t="s">
        <v>40</v>
      </c>
      <c r="I99" s="6">
        <v>10974.6</v>
      </c>
      <c r="J99" s="6">
        <v>5487.3</v>
      </c>
      <c r="K99" s="37" t="s">
        <v>17</v>
      </c>
      <c r="L99" s="119"/>
      <c r="M99" s="3"/>
    </row>
    <row r="100" spans="1:13" s="4" customFormat="1" ht="14.25" customHeight="1" x14ac:dyDescent="0.25">
      <c r="A100" s="4" t="s">
        <v>228</v>
      </c>
      <c r="B100" s="4" t="s">
        <v>38</v>
      </c>
      <c r="C100" s="4" t="s">
        <v>14</v>
      </c>
      <c r="D100" s="35">
        <v>7527</v>
      </c>
      <c r="E100" s="4" t="s">
        <v>229</v>
      </c>
      <c r="F100" s="5">
        <v>40179</v>
      </c>
      <c r="G100" s="5">
        <v>40543</v>
      </c>
      <c r="H100" s="4" t="s">
        <v>40</v>
      </c>
      <c r="I100" s="6">
        <v>8000</v>
      </c>
      <c r="J100" s="6">
        <v>8000</v>
      </c>
      <c r="K100" s="37" t="s">
        <v>17</v>
      </c>
      <c r="L100" s="119"/>
      <c r="M100" s="3"/>
    </row>
    <row r="101" spans="1:13" s="4" customFormat="1" ht="14.25" customHeight="1" x14ac:dyDescent="0.25">
      <c r="A101" s="4" t="s">
        <v>230</v>
      </c>
      <c r="B101" s="4" t="s">
        <v>38</v>
      </c>
      <c r="C101" s="4" t="s">
        <v>14</v>
      </c>
      <c r="D101" s="35">
        <v>7528</v>
      </c>
      <c r="E101" s="4" t="s">
        <v>231</v>
      </c>
      <c r="F101" s="5">
        <v>40179</v>
      </c>
      <c r="G101" s="5">
        <v>40908</v>
      </c>
      <c r="H101" s="4" t="s">
        <v>40</v>
      </c>
      <c r="I101" s="6">
        <v>36089.279999999999</v>
      </c>
      <c r="J101" s="6">
        <v>36089.279999999999</v>
      </c>
      <c r="K101" s="37" t="s">
        <v>17</v>
      </c>
      <c r="L101" s="119"/>
      <c r="M101" s="3"/>
    </row>
    <row r="102" spans="1:13" s="4" customFormat="1" ht="14.25" customHeight="1" x14ac:dyDescent="0.25">
      <c r="A102" s="4" t="s">
        <v>232</v>
      </c>
      <c r="B102" s="4" t="s">
        <v>38</v>
      </c>
      <c r="C102" s="4" t="s">
        <v>14</v>
      </c>
      <c r="D102" s="35">
        <v>7529</v>
      </c>
      <c r="E102" s="4" t="s">
        <v>233</v>
      </c>
      <c r="F102" s="5">
        <v>40179</v>
      </c>
      <c r="G102" s="5">
        <v>40543</v>
      </c>
      <c r="H102" s="4" t="s">
        <v>40</v>
      </c>
      <c r="I102" s="6">
        <v>3325.22</v>
      </c>
      <c r="J102" s="6">
        <v>3325.22</v>
      </c>
      <c r="K102" s="37" t="s">
        <v>17</v>
      </c>
      <c r="L102" s="119"/>
      <c r="M102" s="3"/>
    </row>
    <row r="103" spans="1:13" s="4" customFormat="1" ht="14.25" customHeight="1" x14ac:dyDescent="0.25">
      <c r="A103" s="4" t="s">
        <v>234</v>
      </c>
      <c r="B103" s="4" t="s">
        <v>190</v>
      </c>
      <c r="C103" s="4" t="s">
        <v>14</v>
      </c>
      <c r="D103" s="35">
        <v>7553</v>
      </c>
      <c r="E103" s="7" t="s">
        <v>235</v>
      </c>
      <c r="F103" s="5">
        <v>40514</v>
      </c>
      <c r="G103" s="5">
        <v>40543</v>
      </c>
      <c r="H103" s="4" t="s">
        <v>40</v>
      </c>
      <c r="I103" s="6">
        <v>28350</v>
      </c>
      <c r="J103" s="6">
        <v>14175</v>
      </c>
      <c r="K103" s="37" t="s">
        <v>17</v>
      </c>
      <c r="L103" s="119"/>
      <c r="M103" s="3"/>
    </row>
    <row r="104" spans="1:13" s="4" customFormat="1" ht="14.25" customHeight="1" x14ac:dyDescent="0.25">
      <c r="A104" s="4" t="s">
        <v>236</v>
      </c>
      <c r="B104" s="4" t="s">
        <v>190</v>
      </c>
      <c r="C104" s="4" t="s">
        <v>14</v>
      </c>
      <c r="D104" s="35">
        <v>7554</v>
      </c>
      <c r="E104" s="4" t="s">
        <v>237</v>
      </c>
      <c r="F104" s="5">
        <v>40451</v>
      </c>
      <c r="G104" s="4">
        <v>40543</v>
      </c>
      <c r="H104" s="4" t="s">
        <v>40</v>
      </c>
      <c r="I104" s="6">
        <v>40000</v>
      </c>
      <c r="J104" s="6">
        <v>22500</v>
      </c>
      <c r="K104" s="37" t="s">
        <v>17</v>
      </c>
      <c r="L104" s="119"/>
      <c r="M104" s="3"/>
    </row>
    <row r="105" spans="1:13" s="4" customFormat="1" ht="14.25" customHeight="1" x14ac:dyDescent="0.25">
      <c r="A105" s="4" t="s">
        <v>238</v>
      </c>
      <c r="B105" s="4" t="s">
        <v>38</v>
      </c>
      <c r="C105" s="4" t="s">
        <v>14</v>
      </c>
      <c r="D105" s="35">
        <v>7853</v>
      </c>
      <c r="E105" s="4" t="s">
        <v>239</v>
      </c>
      <c r="F105" s="5">
        <v>40179</v>
      </c>
      <c r="G105" s="5">
        <v>40543</v>
      </c>
      <c r="H105" s="4" t="s">
        <v>40</v>
      </c>
      <c r="I105" s="6">
        <v>4398.3599999999997</v>
      </c>
      <c r="J105" s="6">
        <v>4398.3599999999997</v>
      </c>
      <c r="K105" s="37" t="s">
        <v>17</v>
      </c>
      <c r="L105" s="119"/>
      <c r="M105" s="3"/>
    </row>
    <row r="106" spans="1:13" s="4" customFormat="1" ht="14.25" customHeight="1" x14ac:dyDescent="0.25">
      <c r="A106" s="4" t="s">
        <v>240</v>
      </c>
      <c r="B106" s="4" t="s">
        <v>38</v>
      </c>
      <c r="C106" s="4" t="s">
        <v>14</v>
      </c>
      <c r="D106" s="35">
        <v>7854</v>
      </c>
      <c r="E106" s="7" t="s">
        <v>241</v>
      </c>
      <c r="F106" s="5">
        <v>40179</v>
      </c>
      <c r="G106" s="5">
        <v>41639</v>
      </c>
      <c r="H106" s="4" t="s">
        <v>40</v>
      </c>
      <c r="I106" s="6">
        <v>75011.679999999993</v>
      </c>
      <c r="J106" s="6">
        <v>75011.679999999993</v>
      </c>
      <c r="K106" s="37" t="s">
        <v>17</v>
      </c>
      <c r="L106" s="119"/>
      <c r="M106" s="3"/>
    </row>
    <row r="107" spans="1:13" s="4" customFormat="1" ht="14.25" customHeight="1" x14ac:dyDescent="0.25">
      <c r="A107" s="4" t="s">
        <v>242</v>
      </c>
      <c r="B107" s="4" t="s">
        <v>90</v>
      </c>
      <c r="C107" s="4" t="s">
        <v>14</v>
      </c>
      <c r="D107" s="35">
        <v>8644</v>
      </c>
      <c r="E107" s="4" t="s">
        <v>243</v>
      </c>
      <c r="F107" s="5">
        <v>40514</v>
      </c>
      <c r="G107" s="5">
        <v>40908</v>
      </c>
      <c r="H107" s="4" t="s">
        <v>40</v>
      </c>
      <c r="I107" s="6">
        <v>11732</v>
      </c>
      <c r="J107" s="6">
        <v>5866</v>
      </c>
      <c r="K107" s="37" t="s">
        <v>17</v>
      </c>
      <c r="L107" s="119"/>
      <c r="M107" s="3"/>
    </row>
    <row r="108" spans="1:13" s="4" customFormat="1" ht="14.25" customHeight="1" x14ac:dyDescent="0.25">
      <c r="A108" s="4" t="s">
        <v>244</v>
      </c>
      <c r="B108" s="4" t="s">
        <v>183</v>
      </c>
      <c r="C108" s="4" t="s">
        <v>14</v>
      </c>
      <c r="D108" s="35">
        <v>8645</v>
      </c>
      <c r="E108" s="4" t="s">
        <v>245</v>
      </c>
      <c r="F108" s="5">
        <v>40809</v>
      </c>
      <c r="G108" s="5">
        <v>41274</v>
      </c>
      <c r="H108" s="4" t="s">
        <v>40</v>
      </c>
      <c r="I108" s="6">
        <v>9000</v>
      </c>
      <c r="J108" s="6">
        <v>7000</v>
      </c>
      <c r="K108" s="37" t="s">
        <v>17</v>
      </c>
      <c r="L108" s="119"/>
      <c r="M108" s="3"/>
    </row>
    <row r="109" spans="1:13" s="4" customFormat="1" ht="14.25" customHeight="1" x14ac:dyDescent="0.25">
      <c r="A109" s="4" t="s">
        <v>246</v>
      </c>
      <c r="B109" s="4" t="s">
        <v>190</v>
      </c>
      <c r="C109" s="4" t="s">
        <v>14</v>
      </c>
      <c r="D109" s="35">
        <v>8658</v>
      </c>
      <c r="E109" s="7" t="s">
        <v>247</v>
      </c>
      <c r="F109" s="5">
        <v>40809</v>
      </c>
      <c r="G109" s="5">
        <v>41274</v>
      </c>
      <c r="H109" s="4" t="s">
        <v>40</v>
      </c>
      <c r="I109" s="6">
        <v>20000</v>
      </c>
      <c r="J109" s="6">
        <v>10000</v>
      </c>
      <c r="K109" s="37" t="s">
        <v>17</v>
      </c>
      <c r="L109" s="119"/>
      <c r="M109" s="3"/>
    </row>
    <row r="110" spans="1:13" s="4" customFormat="1" ht="14.25" customHeight="1" x14ac:dyDescent="0.25">
      <c r="A110" s="4" t="s">
        <v>248</v>
      </c>
      <c r="B110" s="4" t="s">
        <v>190</v>
      </c>
      <c r="C110" s="4" t="s">
        <v>14</v>
      </c>
      <c r="D110" s="35">
        <v>8664</v>
      </c>
      <c r="E110" s="4" t="s">
        <v>249</v>
      </c>
      <c r="F110" s="5">
        <v>40724</v>
      </c>
      <c r="G110" s="5">
        <v>40898</v>
      </c>
      <c r="H110" s="4" t="s">
        <v>40</v>
      </c>
      <c r="I110" s="6">
        <v>5000</v>
      </c>
      <c r="J110" s="6">
        <v>5000</v>
      </c>
      <c r="K110" s="37" t="s">
        <v>17</v>
      </c>
      <c r="L110" s="119"/>
      <c r="M110" s="3"/>
    </row>
    <row r="111" spans="1:13" s="4" customFormat="1" ht="14.25" customHeight="1" x14ac:dyDescent="0.25">
      <c r="A111" s="4" t="s">
        <v>250</v>
      </c>
      <c r="B111" s="4" t="s">
        <v>190</v>
      </c>
      <c r="C111" s="4" t="s">
        <v>14</v>
      </c>
      <c r="D111" s="35">
        <v>8665</v>
      </c>
      <c r="E111" s="4" t="s">
        <v>251</v>
      </c>
      <c r="F111" s="5">
        <v>40724</v>
      </c>
      <c r="G111" s="5">
        <v>41274</v>
      </c>
      <c r="H111" s="4" t="s">
        <v>40</v>
      </c>
      <c r="I111" s="6">
        <v>30000</v>
      </c>
      <c r="J111" s="6">
        <v>20000</v>
      </c>
      <c r="K111" s="37" t="s">
        <v>17</v>
      </c>
      <c r="L111" s="119"/>
      <c r="M111" s="3"/>
    </row>
    <row r="112" spans="1:13" s="4" customFormat="1" ht="14.25" customHeight="1" x14ac:dyDescent="0.25">
      <c r="A112" s="4" t="s">
        <v>252</v>
      </c>
      <c r="B112" s="4" t="s">
        <v>183</v>
      </c>
      <c r="C112" s="4" t="s">
        <v>14</v>
      </c>
      <c r="D112" s="35">
        <v>8666</v>
      </c>
      <c r="E112" s="4" t="s">
        <v>253</v>
      </c>
      <c r="F112" s="5">
        <v>40603</v>
      </c>
      <c r="G112" s="5">
        <v>40908</v>
      </c>
      <c r="H112" s="4" t="s">
        <v>40</v>
      </c>
      <c r="I112" s="6">
        <v>5000</v>
      </c>
      <c r="J112" s="6">
        <v>5000</v>
      </c>
      <c r="K112" s="37" t="s">
        <v>17</v>
      </c>
      <c r="L112" s="119"/>
      <c r="M112" s="3"/>
    </row>
    <row r="113" spans="1:13" s="4" customFormat="1" ht="14.25" customHeight="1" x14ac:dyDescent="0.25">
      <c r="A113" s="4" t="s">
        <v>254</v>
      </c>
      <c r="B113" s="4" t="s">
        <v>183</v>
      </c>
      <c r="C113" s="4" t="s">
        <v>14</v>
      </c>
      <c r="D113" s="35">
        <v>8668</v>
      </c>
      <c r="E113" s="4" t="s">
        <v>255</v>
      </c>
      <c r="F113" s="5">
        <v>40809</v>
      </c>
      <c r="G113" s="5">
        <v>41274</v>
      </c>
      <c r="H113" s="4" t="s">
        <v>40</v>
      </c>
      <c r="I113" s="6">
        <v>9000</v>
      </c>
      <c r="J113" s="6">
        <v>7000</v>
      </c>
      <c r="K113" s="37" t="s">
        <v>17</v>
      </c>
      <c r="L113" s="119"/>
      <c r="M113" s="3"/>
    </row>
    <row r="114" spans="1:13" s="4" customFormat="1" ht="14.25" customHeight="1" x14ac:dyDescent="0.25">
      <c r="A114" s="4" t="s">
        <v>200</v>
      </c>
      <c r="B114" s="4" t="s">
        <v>190</v>
      </c>
      <c r="C114" s="4" t="s">
        <v>14</v>
      </c>
      <c r="D114" s="35">
        <v>8674</v>
      </c>
      <c r="E114" s="4" t="s">
        <v>256</v>
      </c>
      <c r="F114" s="5">
        <v>40652</v>
      </c>
      <c r="G114" s="5">
        <v>40908</v>
      </c>
      <c r="H114" s="4" t="s">
        <v>40</v>
      </c>
      <c r="I114" s="6">
        <v>30000</v>
      </c>
      <c r="J114" s="6">
        <v>15000</v>
      </c>
      <c r="K114" s="37" t="s">
        <v>17</v>
      </c>
      <c r="L114" s="119"/>
      <c r="M114" s="3"/>
    </row>
    <row r="115" spans="1:13" s="4" customFormat="1" ht="14.25" customHeight="1" x14ac:dyDescent="0.25">
      <c r="A115" s="4" t="s">
        <v>257</v>
      </c>
      <c r="B115" s="4" t="s">
        <v>183</v>
      </c>
      <c r="C115" s="4" t="s">
        <v>14</v>
      </c>
      <c r="D115" s="35">
        <v>8676</v>
      </c>
      <c r="E115" s="4" t="s">
        <v>258</v>
      </c>
      <c r="F115" s="5">
        <v>40514</v>
      </c>
      <c r="G115" s="5">
        <v>40908</v>
      </c>
      <c r="H115" s="4" t="s">
        <v>40</v>
      </c>
      <c r="I115" s="6">
        <v>14500</v>
      </c>
      <c r="J115" s="6">
        <v>8500</v>
      </c>
      <c r="K115" s="37" t="s">
        <v>17</v>
      </c>
      <c r="L115" s="119"/>
      <c r="M115" s="3"/>
    </row>
    <row r="116" spans="1:13" s="4" customFormat="1" ht="14.25" customHeight="1" x14ac:dyDescent="0.25">
      <c r="A116" s="4" t="s">
        <v>261</v>
      </c>
      <c r="B116" s="4" t="s">
        <v>183</v>
      </c>
      <c r="C116" s="4" t="s">
        <v>14</v>
      </c>
      <c r="D116" s="35">
        <v>8679</v>
      </c>
      <c r="E116" s="7" t="s">
        <v>262</v>
      </c>
      <c r="F116" s="5">
        <v>40451</v>
      </c>
      <c r="G116" s="5">
        <v>40908</v>
      </c>
      <c r="H116" s="4" t="s">
        <v>40</v>
      </c>
      <c r="I116" s="6">
        <v>23547</v>
      </c>
      <c r="J116" s="6">
        <v>11773.5</v>
      </c>
      <c r="K116" s="37" t="s">
        <v>17</v>
      </c>
      <c r="L116" s="119"/>
      <c r="M116" s="3"/>
    </row>
    <row r="117" spans="1:13" s="4" customFormat="1" ht="14.25" customHeight="1" x14ac:dyDescent="0.25">
      <c r="A117" s="4" t="s">
        <v>263</v>
      </c>
      <c r="B117" s="4" t="s">
        <v>90</v>
      </c>
      <c r="C117" s="4" t="s">
        <v>14</v>
      </c>
      <c r="D117" s="35">
        <v>8682</v>
      </c>
      <c r="E117" s="4" t="s">
        <v>264</v>
      </c>
      <c r="F117" s="5">
        <v>40451</v>
      </c>
      <c r="G117" s="5">
        <v>40908</v>
      </c>
      <c r="H117" s="4" t="s">
        <v>40</v>
      </c>
      <c r="I117" s="6">
        <v>5234.74</v>
      </c>
      <c r="J117" s="6">
        <v>2617.37</v>
      </c>
      <c r="K117" s="37" t="s">
        <v>17</v>
      </c>
      <c r="L117" s="119"/>
      <c r="M117" s="3"/>
    </row>
    <row r="118" spans="1:13" s="4" customFormat="1" ht="14.25" customHeight="1" x14ac:dyDescent="0.25">
      <c r="A118" s="4" t="s">
        <v>265</v>
      </c>
      <c r="B118" s="4" t="s">
        <v>183</v>
      </c>
      <c r="C118" s="4" t="s">
        <v>14</v>
      </c>
      <c r="D118" s="35">
        <v>8683</v>
      </c>
      <c r="E118" s="4" t="s">
        <v>266</v>
      </c>
      <c r="F118" s="5">
        <v>40724</v>
      </c>
      <c r="G118" s="5">
        <v>41274</v>
      </c>
      <c r="H118" s="4" t="s">
        <v>40</v>
      </c>
      <c r="I118" s="6">
        <v>5000</v>
      </c>
      <c r="J118" s="6">
        <v>5000</v>
      </c>
      <c r="K118" s="37" t="s">
        <v>17</v>
      </c>
      <c r="L118" s="119"/>
      <c r="M118" s="3"/>
    </row>
    <row r="119" spans="1:13" s="4" customFormat="1" ht="14.25" customHeight="1" x14ac:dyDescent="0.25">
      <c r="A119" s="4" t="s">
        <v>267</v>
      </c>
      <c r="B119" s="4" t="s">
        <v>190</v>
      </c>
      <c r="C119" s="4" t="s">
        <v>14</v>
      </c>
      <c r="D119" s="35">
        <v>8688</v>
      </c>
      <c r="E119" s="4" t="s">
        <v>268</v>
      </c>
      <c r="F119" s="5">
        <v>40809</v>
      </c>
      <c r="G119" s="5">
        <v>41274</v>
      </c>
      <c r="H119" s="4" t="s">
        <v>40</v>
      </c>
      <c r="I119" s="6">
        <v>1500</v>
      </c>
      <c r="J119" s="6">
        <v>1500</v>
      </c>
      <c r="K119" s="37" t="s">
        <v>17</v>
      </c>
      <c r="L119" s="119"/>
      <c r="M119" s="3"/>
    </row>
    <row r="120" spans="1:13" s="4" customFormat="1" ht="14.25" customHeight="1" x14ac:dyDescent="0.25">
      <c r="A120" s="4" t="s">
        <v>236</v>
      </c>
      <c r="B120" s="4" t="s">
        <v>190</v>
      </c>
      <c r="C120" s="4" t="s">
        <v>14</v>
      </c>
      <c r="D120" s="35">
        <v>8689</v>
      </c>
      <c r="E120" s="4" t="s">
        <v>269</v>
      </c>
      <c r="F120" s="5">
        <v>40724</v>
      </c>
      <c r="G120" s="5">
        <v>40908</v>
      </c>
      <c r="H120" s="4" t="s">
        <v>40</v>
      </c>
      <c r="I120" s="6">
        <v>20000</v>
      </c>
      <c r="J120" s="6">
        <v>10000</v>
      </c>
      <c r="K120" s="37" t="s">
        <v>17</v>
      </c>
      <c r="L120" s="119"/>
      <c r="M120" s="3"/>
    </row>
    <row r="121" spans="1:13" s="4" customFormat="1" ht="14.25" customHeight="1" x14ac:dyDescent="0.25">
      <c r="A121" s="4" t="s">
        <v>270</v>
      </c>
      <c r="B121" s="4" t="s">
        <v>90</v>
      </c>
      <c r="C121" s="4" t="s">
        <v>14</v>
      </c>
      <c r="D121" s="35">
        <v>8692</v>
      </c>
      <c r="E121" s="4" t="s">
        <v>271</v>
      </c>
      <c r="F121" s="5">
        <v>40603</v>
      </c>
      <c r="G121" s="5">
        <v>41274</v>
      </c>
      <c r="H121" s="4" t="s">
        <v>40</v>
      </c>
      <c r="I121" s="6">
        <v>3770.08</v>
      </c>
      <c r="J121" s="6">
        <v>1885.04</v>
      </c>
      <c r="K121" s="37" t="s">
        <v>17</v>
      </c>
      <c r="L121" s="119"/>
      <c r="M121" s="3"/>
    </row>
    <row r="122" spans="1:13" s="4" customFormat="1" ht="14.25" customHeight="1" x14ac:dyDescent="0.25">
      <c r="A122" s="4" t="s">
        <v>272</v>
      </c>
      <c r="B122" s="4" t="s">
        <v>190</v>
      </c>
      <c r="C122" s="4" t="s">
        <v>14</v>
      </c>
      <c r="D122" s="35">
        <v>8693</v>
      </c>
      <c r="E122" s="4" t="s">
        <v>273</v>
      </c>
      <c r="F122" s="5">
        <v>40891</v>
      </c>
      <c r="G122" s="5">
        <v>40908</v>
      </c>
      <c r="H122" s="4" t="s">
        <v>40</v>
      </c>
      <c r="I122" s="6">
        <v>1408.61</v>
      </c>
      <c r="J122" s="6">
        <v>1408.61</v>
      </c>
      <c r="K122" s="37" t="s">
        <v>17</v>
      </c>
      <c r="L122" s="119"/>
      <c r="M122" s="3"/>
    </row>
    <row r="123" spans="1:13" s="4" customFormat="1" ht="14.25" customHeight="1" x14ac:dyDescent="0.25">
      <c r="A123" s="4" t="s">
        <v>274</v>
      </c>
      <c r="B123" s="4" t="s">
        <v>90</v>
      </c>
      <c r="C123" s="4" t="s">
        <v>14</v>
      </c>
      <c r="D123" s="35">
        <v>8694</v>
      </c>
      <c r="E123" s="4" t="s">
        <v>275</v>
      </c>
      <c r="F123" s="5">
        <v>40652</v>
      </c>
      <c r="G123" s="5">
        <v>40908</v>
      </c>
      <c r="H123" s="4" t="s">
        <v>40</v>
      </c>
      <c r="I123" s="6">
        <v>9808.7999999999993</v>
      </c>
      <c r="J123" s="6">
        <v>4904.3999999999996</v>
      </c>
      <c r="K123" s="37" t="s">
        <v>17</v>
      </c>
      <c r="L123" s="119"/>
      <c r="M123" s="3"/>
    </row>
    <row r="124" spans="1:13" s="4" customFormat="1" ht="14.25" customHeight="1" x14ac:dyDescent="0.25">
      <c r="A124" s="4" t="s">
        <v>276</v>
      </c>
      <c r="B124" s="4" t="s">
        <v>183</v>
      </c>
      <c r="C124" s="4" t="s">
        <v>14</v>
      </c>
      <c r="D124" s="35">
        <v>8722</v>
      </c>
      <c r="E124" s="7" t="s">
        <v>277</v>
      </c>
      <c r="F124" s="5">
        <v>40653</v>
      </c>
      <c r="G124" s="5">
        <v>40908</v>
      </c>
      <c r="H124" s="4" t="s">
        <v>40</v>
      </c>
      <c r="I124" s="6">
        <v>5000</v>
      </c>
      <c r="J124" s="6">
        <v>5000</v>
      </c>
      <c r="K124" s="37" t="s">
        <v>17</v>
      </c>
      <c r="L124" s="119"/>
      <c r="M124" s="3"/>
    </row>
    <row r="125" spans="1:13" s="4" customFormat="1" ht="14.25" customHeight="1" x14ac:dyDescent="0.25">
      <c r="A125" s="4" t="s">
        <v>278</v>
      </c>
      <c r="B125" s="4" t="s">
        <v>90</v>
      </c>
      <c r="C125" s="4" t="s">
        <v>14</v>
      </c>
      <c r="D125" s="35">
        <v>8724</v>
      </c>
      <c r="E125" s="7" t="s">
        <v>279</v>
      </c>
      <c r="F125" s="5">
        <v>40451</v>
      </c>
      <c r="G125" s="5">
        <v>40710</v>
      </c>
      <c r="H125" s="4" t="s">
        <v>40</v>
      </c>
      <c r="I125" s="6">
        <v>15000</v>
      </c>
      <c r="J125" s="6">
        <v>7500</v>
      </c>
      <c r="K125" s="37" t="s">
        <v>17</v>
      </c>
      <c r="L125" s="119"/>
      <c r="M125" s="3"/>
    </row>
    <row r="126" spans="1:13" s="4" customFormat="1" ht="14.25" customHeight="1" x14ac:dyDescent="0.25">
      <c r="A126" s="4" t="s">
        <v>216</v>
      </c>
      <c r="B126" s="4" t="s">
        <v>190</v>
      </c>
      <c r="C126" s="4" t="s">
        <v>14</v>
      </c>
      <c r="D126" s="35">
        <v>8726</v>
      </c>
      <c r="E126" s="4" t="s">
        <v>282</v>
      </c>
      <c r="F126" s="5">
        <v>40724</v>
      </c>
      <c r="G126" s="5">
        <v>40896</v>
      </c>
      <c r="H126" s="4" t="s">
        <v>40</v>
      </c>
      <c r="I126" s="6">
        <v>10000</v>
      </c>
      <c r="J126" s="6">
        <v>10000</v>
      </c>
      <c r="K126" s="37" t="s">
        <v>17</v>
      </c>
      <c r="L126" s="119"/>
      <c r="M126" s="3"/>
    </row>
    <row r="127" spans="1:13" s="4" customFormat="1" ht="14.25" customHeight="1" x14ac:dyDescent="0.25">
      <c r="A127" s="4" t="s">
        <v>283</v>
      </c>
      <c r="B127" s="4" t="s">
        <v>183</v>
      </c>
      <c r="C127" s="4" t="s">
        <v>14</v>
      </c>
      <c r="D127" s="35">
        <v>8727</v>
      </c>
      <c r="E127" s="4" t="s">
        <v>284</v>
      </c>
      <c r="F127" s="5">
        <v>40652</v>
      </c>
      <c r="G127" s="5">
        <v>40908</v>
      </c>
      <c r="H127" s="4" t="s">
        <v>40</v>
      </c>
      <c r="I127" s="6">
        <v>5000</v>
      </c>
      <c r="J127" s="6">
        <v>5000</v>
      </c>
      <c r="K127" s="37" t="s">
        <v>17</v>
      </c>
      <c r="L127" s="119"/>
      <c r="M127" s="3"/>
    </row>
    <row r="128" spans="1:13" s="4" customFormat="1" ht="14.25" customHeight="1" x14ac:dyDescent="0.25">
      <c r="A128" s="4" t="s">
        <v>285</v>
      </c>
      <c r="B128" s="4" t="s">
        <v>183</v>
      </c>
      <c r="C128" s="4" t="s">
        <v>14</v>
      </c>
      <c r="D128" s="35">
        <v>8728</v>
      </c>
      <c r="E128" s="4" t="s">
        <v>286</v>
      </c>
      <c r="F128" s="5">
        <v>40603</v>
      </c>
      <c r="G128" s="5">
        <v>40908</v>
      </c>
      <c r="H128" s="4" t="s">
        <v>40</v>
      </c>
      <c r="I128" s="6">
        <v>12000</v>
      </c>
      <c r="J128" s="6">
        <v>6000</v>
      </c>
      <c r="K128" s="37" t="s">
        <v>17</v>
      </c>
      <c r="L128" s="119"/>
      <c r="M128" s="3"/>
    </row>
    <row r="129" spans="1:13" s="4" customFormat="1" ht="14.25" customHeight="1" x14ac:dyDescent="0.25">
      <c r="A129" s="4" t="s">
        <v>287</v>
      </c>
      <c r="B129" s="4" t="s">
        <v>183</v>
      </c>
      <c r="C129" s="4" t="s">
        <v>14</v>
      </c>
      <c r="D129" s="35">
        <v>8729</v>
      </c>
      <c r="E129" s="7" t="s">
        <v>288</v>
      </c>
      <c r="F129" s="5">
        <v>40603</v>
      </c>
      <c r="G129" s="5">
        <v>41274</v>
      </c>
      <c r="H129" s="4" t="s">
        <v>40</v>
      </c>
      <c r="I129" s="6">
        <v>22296.92</v>
      </c>
      <c r="J129" s="6">
        <v>16148.46</v>
      </c>
      <c r="K129" s="37" t="s">
        <v>17</v>
      </c>
      <c r="L129" s="119"/>
      <c r="M129" s="3"/>
    </row>
    <row r="130" spans="1:13" s="4" customFormat="1" ht="14.25" customHeight="1" x14ac:dyDescent="0.25">
      <c r="A130" s="4" t="s">
        <v>291</v>
      </c>
      <c r="B130" s="4" t="s">
        <v>183</v>
      </c>
      <c r="C130" s="4" t="s">
        <v>14</v>
      </c>
      <c r="D130" s="35">
        <v>8743</v>
      </c>
      <c r="E130" s="4" t="s">
        <v>292</v>
      </c>
      <c r="F130" s="5">
        <v>40652</v>
      </c>
      <c r="G130" s="5">
        <v>40908</v>
      </c>
      <c r="H130" s="4" t="s">
        <v>40</v>
      </c>
      <c r="I130" s="6">
        <v>2500</v>
      </c>
      <c r="J130" s="6">
        <v>2500</v>
      </c>
      <c r="K130" s="37" t="s">
        <v>17</v>
      </c>
      <c r="L130" s="119"/>
      <c r="M130" s="3"/>
    </row>
    <row r="131" spans="1:13" s="4" customFormat="1" ht="14.25" customHeight="1" x14ac:dyDescent="0.25">
      <c r="A131" s="4" t="s">
        <v>293</v>
      </c>
      <c r="B131" s="4" t="s">
        <v>183</v>
      </c>
      <c r="C131" s="4" t="s">
        <v>14</v>
      </c>
      <c r="D131" s="35">
        <v>8749</v>
      </c>
      <c r="E131" s="7" t="s">
        <v>294</v>
      </c>
      <c r="F131" s="5">
        <v>40453</v>
      </c>
      <c r="G131" s="5">
        <v>40908</v>
      </c>
      <c r="H131" s="4" t="s">
        <v>40</v>
      </c>
      <c r="I131" s="6">
        <v>1250</v>
      </c>
      <c r="J131" s="6">
        <v>1250</v>
      </c>
      <c r="K131" s="37" t="s">
        <v>17</v>
      </c>
      <c r="L131" s="119"/>
      <c r="M131" s="3"/>
    </row>
    <row r="132" spans="1:13" s="4" customFormat="1" ht="14.25" customHeight="1" x14ac:dyDescent="0.25">
      <c r="A132" s="4" t="s">
        <v>297</v>
      </c>
      <c r="B132" s="4" t="s">
        <v>38</v>
      </c>
      <c r="C132" s="4" t="s">
        <v>14</v>
      </c>
      <c r="D132" s="35">
        <v>8938</v>
      </c>
      <c r="E132" s="4" t="s">
        <v>298</v>
      </c>
      <c r="F132" s="5">
        <v>40544</v>
      </c>
      <c r="G132" s="5">
        <v>41639</v>
      </c>
      <c r="H132" s="4" t="s">
        <v>40</v>
      </c>
      <c r="I132" s="6">
        <v>4790.4799999999996</v>
      </c>
      <c r="J132" s="6">
        <v>4790.4799999999996</v>
      </c>
      <c r="K132" s="37" t="s">
        <v>17</v>
      </c>
      <c r="L132" s="119"/>
      <c r="M132" s="3"/>
    </row>
    <row r="133" spans="1:13" s="4" customFormat="1" ht="14.25" customHeight="1" x14ac:dyDescent="0.25">
      <c r="A133" s="4" t="s">
        <v>299</v>
      </c>
      <c r="B133" s="4" t="s">
        <v>38</v>
      </c>
      <c r="C133" s="4" t="s">
        <v>14</v>
      </c>
      <c r="D133" s="35">
        <v>8940</v>
      </c>
      <c r="E133" s="4" t="s">
        <v>300</v>
      </c>
      <c r="F133" s="5">
        <v>40544</v>
      </c>
      <c r="G133" s="5">
        <v>40908</v>
      </c>
      <c r="H133" s="4" t="s">
        <v>40</v>
      </c>
      <c r="I133" s="6">
        <v>5270.26</v>
      </c>
      <c r="J133" s="6">
        <v>5270.26</v>
      </c>
      <c r="K133" s="37" t="s">
        <v>17</v>
      </c>
      <c r="L133" s="119"/>
      <c r="M133" s="3"/>
    </row>
    <row r="134" spans="1:13" s="4" customFormat="1" ht="14.25" customHeight="1" x14ac:dyDescent="0.25">
      <c r="A134" s="4" t="s">
        <v>301</v>
      </c>
      <c r="B134" s="4" t="s">
        <v>38</v>
      </c>
      <c r="C134" s="4" t="s">
        <v>14</v>
      </c>
      <c r="D134" s="35">
        <v>9204</v>
      </c>
      <c r="E134" s="4" t="s">
        <v>302</v>
      </c>
      <c r="F134" s="5">
        <v>40544</v>
      </c>
      <c r="G134" s="5">
        <v>41274</v>
      </c>
      <c r="H134" s="4" t="s">
        <v>40</v>
      </c>
      <c r="I134" s="6">
        <v>106269.16</v>
      </c>
      <c r="J134" s="6">
        <v>53134.58</v>
      </c>
      <c r="K134" s="37" t="s">
        <v>17</v>
      </c>
      <c r="L134" s="119"/>
      <c r="M134" s="3"/>
    </row>
    <row r="135" spans="1:13" s="4" customFormat="1" ht="14.25" customHeight="1" x14ac:dyDescent="0.25">
      <c r="A135" s="4" t="s">
        <v>303</v>
      </c>
      <c r="B135" s="4" t="s">
        <v>190</v>
      </c>
      <c r="C135" s="4" t="s">
        <v>14</v>
      </c>
      <c r="D135" s="35">
        <v>10570</v>
      </c>
      <c r="E135" s="4" t="s">
        <v>304</v>
      </c>
      <c r="F135" s="5">
        <v>40963</v>
      </c>
      <c r="G135" s="5">
        <v>41274</v>
      </c>
      <c r="H135" s="4" t="s">
        <v>40</v>
      </c>
      <c r="I135" s="6">
        <v>2500</v>
      </c>
      <c r="J135" s="6">
        <v>2500</v>
      </c>
      <c r="K135" s="37" t="s">
        <v>17</v>
      </c>
      <c r="L135" s="119"/>
      <c r="M135" s="3"/>
    </row>
    <row r="136" spans="1:13" s="4" customFormat="1" ht="14.25" customHeight="1" x14ac:dyDescent="0.25">
      <c r="A136" s="4" t="s">
        <v>305</v>
      </c>
      <c r="B136" s="4" t="s">
        <v>90</v>
      </c>
      <c r="C136" s="4" t="s">
        <v>14</v>
      </c>
      <c r="D136" s="35">
        <v>10573</v>
      </c>
      <c r="E136" s="4" t="s">
        <v>306</v>
      </c>
      <c r="F136" s="5">
        <v>40909</v>
      </c>
      <c r="G136" s="5">
        <v>41274</v>
      </c>
      <c r="H136" s="4" t="s">
        <v>40</v>
      </c>
      <c r="I136" s="6">
        <v>10000</v>
      </c>
      <c r="J136" s="6">
        <v>5000</v>
      </c>
      <c r="K136" s="37" t="s">
        <v>17</v>
      </c>
      <c r="L136" s="119"/>
      <c r="M136" s="3"/>
    </row>
    <row r="137" spans="1:13" s="4" customFormat="1" ht="14.25" customHeight="1" x14ac:dyDescent="0.25">
      <c r="A137" s="4" t="s">
        <v>307</v>
      </c>
      <c r="B137" s="4" t="s">
        <v>190</v>
      </c>
      <c r="C137" s="4" t="s">
        <v>14</v>
      </c>
      <c r="D137" s="35">
        <v>10574</v>
      </c>
      <c r="E137" s="7" t="s">
        <v>308</v>
      </c>
      <c r="F137" s="5">
        <v>40909</v>
      </c>
      <c r="G137" s="5">
        <v>41274</v>
      </c>
      <c r="H137" s="4" t="s">
        <v>40</v>
      </c>
      <c r="I137" s="6">
        <v>24523.84</v>
      </c>
      <c r="J137" s="6">
        <v>12261.92</v>
      </c>
      <c r="K137" s="37" t="s">
        <v>17</v>
      </c>
      <c r="L137" s="119"/>
      <c r="M137" s="3"/>
    </row>
    <row r="138" spans="1:13" s="4" customFormat="1" ht="14.25" customHeight="1" x14ac:dyDescent="0.25">
      <c r="A138" s="4" t="s">
        <v>315</v>
      </c>
      <c r="B138" s="4" t="s">
        <v>183</v>
      </c>
      <c r="C138" s="4" t="s">
        <v>14</v>
      </c>
      <c r="D138" s="35">
        <v>10578</v>
      </c>
      <c r="E138" s="4" t="s">
        <v>316</v>
      </c>
      <c r="F138" s="5">
        <v>40909</v>
      </c>
      <c r="G138" s="5">
        <v>41274</v>
      </c>
      <c r="H138" s="4" t="s">
        <v>40</v>
      </c>
      <c r="I138" s="6">
        <v>11000</v>
      </c>
      <c r="J138" s="6">
        <v>5500</v>
      </c>
      <c r="K138" s="37" t="s">
        <v>17</v>
      </c>
      <c r="L138" s="119"/>
      <c r="M138" s="3"/>
    </row>
    <row r="139" spans="1:13" s="4" customFormat="1" ht="14.25" customHeight="1" x14ac:dyDescent="0.25">
      <c r="A139" s="4" t="s">
        <v>317</v>
      </c>
      <c r="B139" s="4" t="s">
        <v>183</v>
      </c>
      <c r="C139" s="4" t="s">
        <v>14</v>
      </c>
      <c r="D139" s="35">
        <v>10579</v>
      </c>
      <c r="E139" s="7" t="s">
        <v>318</v>
      </c>
      <c r="F139" s="5">
        <v>41026</v>
      </c>
      <c r="G139" s="5">
        <v>41274</v>
      </c>
      <c r="H139" s="4" t="s">
        <v>40</v>
      </c>
      <c r="I139" s="6">
        <v>10000</v>
      </c>
      <c r="J139" s="6">
        <v>10000</v>
      </c>
      <c r="K139" s="37" t="s">
        <v>17</v>
      </c>
      <c r="L139" s="119"/>
      <c r="M139" s="3"/>
    </row>
    <row r="140" spans="1:13" s="4" customFormat="1" ht="14.25" customHeight="1" x14ac:dyDescent="0.25">
      <c r="A140" s="4" t="s">
        <v>319</v>
      </c>
      <c r="B140" s="4" t="s">
        <v>183</v>
      </c>
      <c r="C140" s="4" t="s">
        <v>14</v>
      </c>
      <c r="D140" s="35">
        <v>10580</v>
      </c>
      <c r="E140" s="4" t="s">
        <v>320</v>
      </c>
      <c r="F140" s="5">
        <v>40909</v>
      </c>
      <c r="G140" s="5">
        <v>41274</v>
      </c>
      <c r="H140" s="4" t="s">
        <v>40</v>
      </c>
      <c r="I140" s="6">
        <v>56700</v>
      </c>
      <c r="J140" s="6">
        <v>32100</v>
      </c>
      <c r="K140" s="37" t="s">
        <v>17</v>
      </c>
      <c r="L140" s="119"/>
      <c r="M140" s="3"/>
    </row>
    <row r="141" spans="1:13" s="4" customFormat="1" ht="14.25" customHeight="1" x14ac:dyDescent="0.25">
      <c r="A141" s="4" t="s">
        <v>321</v>
      </c>
      <c r="B141" s="4" t="s">
        <v>183</v>
      </c>
      <c r="C141" s="4" t="s">
        <v>14</v>
      </c>
      <c r="D141" s="35">
        <v>10581</v>
      </c>
      <c r="E141" s="4" t="s">
        <v>322</v>
      </c>
      <c r="F141" s="5">
        <v>41248</v>
      </c>
      <c r="G141" s="5">
        <v>41274</v>
      </c>
      <c r="H141" s="4" t="s">
        <v>40</v>
      </c>
      <c r="I141" s="6">
        <v>5000</v>
      </c>
      <c r="J141" s="6">
        <v>5000</v>
      </c>
      <c r="K141" s="37" t="s">
        <v>17</v>
      </c>
      <c r="L141" s="119"/>
      <c r="M141" s="3"/>
    </row>
    <row r="142" spans="1:13" s="4" customFormat="1" ht="14.25" customHeight="1" x14ac:dyDescent="0.25">
      <c r="A142" s="4" t="s">
        <v>323</v>
      </c>
      <c r="B142" s="4" t="s">
        <v>190</v>
      </c>
      <c r="C142" s="4" t="s">
        <v>14</v>
      </c>
      <c r="D142" s="35">
        <v>10582</v>
      </c>
      <c r="E142" s="4" t="s">
        <v>324</v>
      </c>
      <c r="F142" s="5">
        <v>41131</v>
      </c>
      <c r="G142" s="5">
        <v>41496</v>
      </c>
      <c r="H142" s="4" t="s">
        <v>40</v>
      </c>
      <c r="I142" s="6">
        <v>8214</v>
      </c>
      <c r="J142" s="6">
        <v>4107</v>
      </c>
      <c r="K142" s="37" t="s">
        <v>17</v>
      </c>
      <c r="L142" s="119"/>
      <c r="M142" s="3"/>
    </row>
    <row r="143" spans="1:13" s="4" customFormat="1" ht="14.25" customHeight="1" x14ac:dyDescent="0.25">
      <c r="A143" s="4" t="s">
        <v>321</v>
      </c>
      <c r="B143" s="4" t="s">
        <v>183</v>
      </c>
      <c r="C143" s="4" t="s">
        <v>14</v>
      </c>
      <c r="D143" s="35">
        <v>10583</v>
      </c>
      <c r="E143" s="4" t="s">
        <v>325</v>
      </c>
      <c r="F143" s="5">
        <v>40963</v>
      </c>
      <c r="G143" s="5">
        <v>41274</v>
      </c>
      <c r="H143" s="4" t="s">
        <v>40</v>
      </c>
      <c r="I143" s="6">
        <v>2500</v>
      </c>
      <c r="J143" s="6">
        <v>2500</v>
      </c>
      <c r="K143" s="37" t="s">
        <v>17</v>
      </c>
      <c r="L143" s="119"/>
      <c r="M143" s="3"/>
    </row>
    <row r="144" spans="1:13" s="4" customFormat="1" ht="14.25" customHeight="1" x14ac:dyDescent="0.25">
      <c r="A144" s="4" t="s">
        <v>326</v>
      </c>
      <c r="B144" s="4" t="s">
        <v>183</v>
      </c>
      <c r="C144" s="4" t="s">
        <v>14</v>
      </c>
      <c r="D144" s="35">
        <v>10595</v>
      </c>
      <c r="E144" s="4" t="s">
        <v>327</v>
      </c>
      <c r="F144" s="5">
        <v>40963</v>
      </c>
      <c r="G144" s="5">
        <v>41274</v>
      </c>
      <c r="H144" s="4" t="s">
        <v>40</v>
      </c>
      <c r="I144" s="6">
        <v>17849.54</v>
      </c>
      <c r="J144" s="6">
        <v>8924.77</v>
      </c>
      <c r="K144" s="37" t="s">
        <v>17</v>
      </c>
      <c r="L144" s="119"/>
      <c r="M144" s="3"/>
    </row>
    <row r="145" spans="1:13" s="4" customFormat="1" ht="14.25" customHeight="1" x14ac:dyDescent="0.25">
      <c r="A145" s="4" t="s">
        <v>330</v>
      </c>
      <c r="B145" s="4" t="s">
        <v>183</v>
      </c>
      <c r="C145" s="4" t="s">
        <v>14</v>
      </c>
      <c r="D145" s="35">
        <v>10597</v>
      </c>
      <c r="E145" s="7" t="s">
        <v>331</v>
      </c>
      <c r="F145" s="5">
        <v>40963</v>
      </c>
      <c r="G145" s="5">
        <v>41274</v>
      </c>
      <c r="H145" s="4" t="s">
        <v>40</v>
      </c>
      <c r="I145" s="6">
        <v>3000</v>
      </c>
      <c r="J145" s="6">
        <v>3000</v>
      </c>
      <c r="K145" s="37" t="s">
        <v>17</v>
      </c>
      <c r="L145" s="119"/>
      <c r="M145" s="3"/>
    </row>
    <row r="146" spans="1:13" s="4" customFormat="1" ht="14.25" customHeight="1" x14ac:dyDescent="0.25">
      <c r="A146" s="4" t="s">
        <v>334</v>
      </c>
      <c r="B146" s="4" t="s">
        <v>183</v>
      </c>
      <c r="C146" s="4" t="s">
        <v>14</v>
      </c>
      <c r="D146" s="35">
        <v>10599</v>
      </c>
      <c r="E146" s="4" t="s">
        <v>335</v>
      </c>
      <c r="F146" s="5">
        <v>40963</v>
      </c>
      <c r="G146" s="5">
        <v>41274</v>
      </c>
      <c r="H146" s="4" t="s">
        <v>40</v>
      </c>
      <c r="I146" s="6">
        <v>10000</v>
      </c>
      <c r="J146" s="6">
        <v>10000</v>
      </c>
      <c r="K146" s="37" t="s">
        <v>17</v>
      </c>
      <c r="L146" s="119"/>
      <c r="M146" s="3"/>
    </row>
    <row r="147" spans="1:13" s="4" customFormat="1" ht="14.25" customHeight="1" x14ac:dyDescent="0.25">
      <c r="A147" s="4" t="s">
        <v>336</v>
      </c>
      <c r="B147" s="4" t="s">
        <v>183</v>
      </c>
      <c r="C147" s="4" t="s">
        <v>14</v>
      </c>
      <c r="D147" s="35">
        <v>10600</v>
      </c>
      <c r="E147" s="7" t="s">
        <v>337</v>
      </c>
      <c r="F147" s="5">
        <v>40909</v>
      </c>
      <c r="G147" s="5">
        <v>41639</v>
      </c>
      <c r="H147" s="4" t="s">
        <v>40</v>
      </c>
      <c r="I147" s="6">
        <v>686</v>
      </c>
      <c r="J147" s="6">
        <v>343</v>
      </c>
      <c r="K147" s="37" t="s">
        <v>17</v>
      </c>
      <c r="L147" s="119"/>
      <c r="M147" s="3"/>
    </row>
    <row r="148" spans="1:13" s="4" customFormat="1" ht="14.25" customHeight="1" x14ac:dyDescent="0.25">
      <c r="A148" s="4" t="s">
        <v>289</v>
      </c>
      <c r="B148" s="4" t="s">
        <v>183</v>
      </c>
      <c r="C148" s="4" t="s">
        <v>14</v>
      </c>
      <c r="D148" s="35">
        <v>10602</v>
      </c>
      <c r="E148" s="4" t="s">
        <v>340</v>
      </c>
      <c r="F148" s="5">
        <v>40963</v>
      </c>
      <c r="G148" s="5">
        <v>41274</v>
      </c>
      <c r="H148" s="4" t="s">
        <v>40</v>
      </c>
      <c r="I148" s="6">
        <v>11700</v>
      </c>
      <c r="J148" s="6">
        <v>5850</v>
      </c>
      <c r="K148" s="37" t="s">
        <v>17</v>
      </c>
      <c r="L148" s="119"/>
      <c r="M148" s="3"/>
    </row>
    <row r="149" spans="1:13" s="4" customFormat="1" ht="14.25" customHeight="1" x14ac:dyDescent="0.25">
      <c r="A149" s="4" t="s">
        <v>341</v>
      </c>
      <c r="B149" s="4" t="s">
        <v>183</v>
      </c>
      <c r="C149" s="4" t="s">
        <v>14</v>
      </c>
      <c r="D149" s="35">
        <v>10603</v>
      </c>
      <c r="E149" s="7" t="s">
        <v>342</v>
      </c>
      <c r="F149" s="5">
        <v>41180</v>
      </c>
      <c r="G149" s="5">
        <v>41274</v>
      </c>
      <c r="H149" s="4" t="s">
        <v>40</v>
      </c>
      <c r="I149" s="6">
        <v>1500</v>
      </c>
      <c r="J149" s="6">
        <v>1500</v>
      </c>
      <c r="K149" s="37" t="s">
        <v>17</v>
      </c>
      <c r="L149" s="119"/>
      <c r="M149" s="3"/>
    </row>
    <row r="150" spans="1:13" s="4" customFormat="1" ht="14.25" customHeight="1" x14ac:dyDescent="0.25">
      <c r="A150" s="4" t="s">
        <v>343</v>
      </c>
      <c r="B150" s="4" t="s">
        <v>38</v>
      </c>
      <c r="C150" s="4" t="s">
        <v>14</v>
      </c>
      <c r="D150" s="35">
        <v>10614</v>
      </c>
      <c r="E150" s="4" t="s">
        <v>344</v>
      </c>
      <c r="F150" s="5">
        <v>40909</v>
      </c>
      <c r="G150" s="5">
        <v>41639</v>
      </c>
      <c r="H150" s="4" t="s">
        <v>40</v>
      </c>
      <c r="I150" s="6">
        <v>15160.51</v>
      </c>
      <c r="J150" s="6">
        <v>15160.51</v>
      </c>
      <c r="K150" s="37" t="s">
        <v>17</v>
      </c>
      <c r="L150" s="119"/>
      <c r="M150" s="3"/>
    </row>
    <row r="151" spans="1:13" s="4" customFormat="1" ht="14.25" customHeight="1" x14ac:dyDescent="0.25">
      <c r="A151" s="4" t="s">
        <v>345</v>
      </c>
      <c r="B151" s="4" t="s">
        <v>38</v>
      </c>
      <c r="C151" s="4" t="s">
        <v>14</v>
      </c>
      <c r="D151" s="35">
        <v>10615</v>
      </c>
      <c r="E151" s="4" t="s">
        <v>346</v>
      </c>
      <c r="F151" s="5">
        <v>40909</v>
      </c>
      <c r="G151" s="5">
        <v>41274</v>
      </c>
      <c r="H151" s="4" t="s">
        <v>40</v>
      </c>
      <c r="I151" s="6">
        <v>16264.16</v>
      </c>
      <c r="J151" s="6">
        <v>16264.16</v>
      </c>
      <c r="K151" s="37" t="s">
        <v>17</v>
      </c>
      <c r="L151" s="119"/>
      <c r="M151" s="3"/>
    </row>
    <row r="152" spans="1:13" s="4" customFormat="1" ht="14.25" customHeight="1" x14ac:dyDescent="0.25">
      <c r="A152" s="4" t="s">
        <v>347</v>
      </c>
      <c r="B152" s="4" t="s">
        <v>38</v>
      </c>
      <c r="C152" s="4" t="s">
        <v>14</v>
      </c>
      <c r="D152" s="35">
        <v>10616</v>
      </c>
      <c r="E152" s="4" t="s">
        <v>348</v>
      </c>
      <c r="F152" s="5">
        <v>40909</v>
      </c>
      <c r="G152" s="5">
        <v>41639</v>
      </c>
      <c r="H152" s="4" t="s">
        <v>40</v>
      </c>
      <c r="I152" s="6">
        <v>61569.57</v>
      </c>
      <c r="J152" s="6">
        <v>61419.770000000004</v>
      </c>
      <c r="K152" s="37" t="s">
        <v>17</v>
      </c>
      <c r="L152" s="119"/>
      <c r="M152" s="3"/>
    </row>
    <row r="153" spans="1:13" s="4" customFormat="1" ht="14.25" customHeight="1" x14ac:dyDescent="0.25">
      <c r="A153" s="4" t="s">
        <v>349</v>
      </c>
      <c r="B153" s="4" t="s">
        <v>38</v>
      </c>
      <c r="C153" s="4" t="s">
        <v>14</v>
      </c>
      <c r="D153" s="35">
        <v>10620</v>
      </c>
      <c r="E153" s="4" t="s">
        <v>350</v>
      </c>
      <c r="F153" s="5">
        <v>40909</v>
      </c>
      <c r="G153" s="5">
        <v>41274</v>
      </c>
      <c r="H153" s="4" t="s">
        <v>40</v>
      </c>
      <c r="I153" s="6">
        <v>14181.16</v>
      </c>
      <c r="J153" s="6">
        <v>14181.16</v>
      </c>
      <c r="K153" s="37" t="s">
        <v>17</v>
      </c>
      <c r="L153" s="119"/>
      <c r="M153" s="3"/>
    </row>
    <row r="154" spans="1:13" s="4" customFormat="1" ht="14.25" customHeight="1" x14ac:dyDescent="0.25">
      <c r="A154" s="4" t="s">
        <v>10191</v>
      </c>
      <c r="B154" s="4" t="s">
        <v>10192</v>
      </c>
      <c r="C154" s="4" t="s">
        <v>14</v>
      </c>
      <c r="D154" s="35">
        <v>12475</v>
      </c>
      <c r="E154" s="4" t="s">
        <v>10193</v>
      </c>
      <c r="F154" s="5">
        <v>41470</v>
      </c>
      <c r="G154" s="5"/>
      <c r="H154" s="4" t="s">
        <v>651</v>
      </c>
      <c r="I154" s="6">
        <v>2000</v>
      </c>
      <c r="J154" s="6">
        <v>2000</v>
      </c>
      <c r="K154" s="37" t="s">
        <v>17</v>
      </c>
      <c r="L154" s="119"/>
      <c r="M154" s="3"/>
    </row>
    <row r="155" spans="1:13" s="4" customFormat="1" ht="14.25" customHeight="1" x14ac:dyDescent="0.25">
      <c r="A155" s="4" t="s">
        <v>10194</v>
      </c>
      <c r="B155" s="4" t="s">
        <v>10195</v>
      </c>
      <c r="C155" s="4" t="s">
        <v>14</v>
      </c>
      <c r="D155" s="35">
        <v>12477</v>
      </c>
      <c r="E155" s="4" t="s">
        <v>10196</v>
      </c>
      <c r="F155" s="5">
        <v>41536</v>
      </c>
      <c r="G155" s="5"/>
      <c r="H155" s="4" t="s">
        <v>651</v>
      </c>
      <c r="I155" s="6">
        <v>375</v>
      </c>
      <c r="J155" s="6">
        <v>375</v>
      </c>
      <c r="K155" s="37" t="s">
        <v>17</v>
      </c>
      <c r="L155" s="119"/>
      <c r="M155" s="3"/>
    </row>
    <row r="156" spans="1:13" s="4" customFormat="1" ht="14.25" customHeight="1" x14ac:dyDescent="0.25">
      <c r="A156" s="4" t="s">
        <v>10197</v>
      </c>
      <c r="B156" s="4" t="s">
        <v>10195</v>
      </c>
      <c r="C156" s="4" t="s">
        <v>14</v>
      </c>
      <c r="D156" s="35">
        <v>12579</v>
      </c>
      <c r="E156" s="4" t="s">
        <v>10198</v>
      </c>
      <c r="F156" s="5">
        <v>41340</v>
      </c>
      <c r="G156" s="5">
        <v>41548</v>
      </c>
      <c r="H156" s="4" t="s">
        <v>651</v>
      </c>
      <c r="I156" s="6">
        <v>7500</v>
      </c>
      <c r="J156" s="6">
        <v>7500</v>
      </c>
      <c r="K156" s="37" t="s">
        <v>17</v>
      </c>
      <c r="L156" s="119"/>
      <c r="M156" s="3"/>
    </row>
    <row r="157" spans="1:13" s="4" customFormat="1" ht="14.25" customHeight="1" x14ac:dyDescent="0.25">
      <c r="A157" s="4" t="s">
        <v>10199</v>
      </c>
      <c r="B157" s="4" t="s">
        <v>10192</v>
      </c>
      <c r="C157" s="4" t="s">
        <v>14</v>
      </c>
      <c r="D157" s="35">
        <v>12580</v>
      </c>
      <c r="E157" s="7" t="s">
        <v>10200</v>
      </c>
      <c r="F157" s="5">
        <v>41340</v>
      </c>
      <c r="G157" s="5">
        <v>41639</v>
      </c>
      <c r="H157" s="4" t="s">
        <v>651</v>
      </c>
      <c r="I157" s="6">
        <v>7500</v>
      </c>
      <c r="J157" s="6">
        <v>7500</v>
      </c>
      <c r="K157" s="37" t="s">
        <v>17</v>
      </c>
      <c r="L157" s="119"/>
      <c r="M157" s="3"/>
    </row>
    <row r="158" spans="1:13" s="4" customFormat="1" ht="14.25" customHeight="1" x14ac:dyDescent="0.25">
      <c r="A158" s="4" t="s">
        <v>10201</v>
      </c>
      <c r="B158" s="4" t="s">
        <v>10195</v>
      </c>
      <c r="C158" s="4" t="s">
        <v>14</v>
      </c>
      <c r="D158" s="35">
        <v>12581</v>
      </c>
      <c r="E158" s="4" t="s">
        <v>10202</v>
      </c>
      <c r="F158" s="5">
        <v>41536</v>
      </c>
      <c r="G158" s="5">
        <v>41639</v>
      </c>
      <c r="H158" s="4" t="s">
        <v>651</v>
      </c>
      <c r="I158" s="6">
        <v>375</v>
      </c>
      <c r="J158" s="6">
        <v>375</v>
      </c>
      <c r="K158" s="37" t="s">
        <v>17</v>
      </c>
      <c r="L158" s="119"/>
      <c r="M158" s="3"/>
    </row>
    <row r="159" spans="1:13" s="4" customFormat="1" ht="14.25" customHeight="1" x14ac:dyDescent="0.25">
      <c r="A159" s="4" t="s">
        <v>10203</v>
      </c>
      <c r="B159" s="4" t="s">
        <v>10192</v>
      </c>
      <c r="C159" s="4" t="s">
        <v>14</v>
      </c>
      <c r="D159" s="35">
        <v>12582</v>
      </c>
      <c r="E159" s="7" t="s">
        <v>10204</v>
      </c>
      <c r="F159" s="5">
        <v>41536</v>
      </c>
      <c r="G159" s="5">
        <v>41639</v>
      </c>
      <c r="H159" s="4" t="s">
        <v>651</v>
      </c>
      <c r="I159" s="6">
        <v>375</v>
      </c>
      <c r="J159" s="6">
        <v>375</v>
      </c>
      <c r="K159" s="37" t="s">
        <v>17</v>
      </c>
      <c r="L159" s="119"/>
      <c r="M159" s="3"/>
    </row>
    <row r="160" spans="1:13" s="4" customFormat="1" ht="14.25" customHeight="1" x14ac:dyDescent="0.25">
      <c r="A160" s="4" t="s">
        <v>10205</v>
      </c>
      <c r="B160" s="4" t="s">
        <v>10195</v>
      </c>
      <c r="C160" s="4" t="s">
        <v>14</v>
      </c>
      <c r="D160" s="35">
        <v>12583</v>
      </c>
      <c r="E160" s="4" t="s">
        <v>10206</v>
      </c>
      <c r="F160" s="5">
        <v>41450</v>
      </c>
      <c r="G160" s="5"/>
      <c r="H160" s="4" t="s">
        <v>651</v>
      </c>
      <c r="I160" s="6">
        <v>10500</v>
      </c>
      <c r="J160" s="6">
        <v>10500</v>
      </c>
      <c r="K160" s="37" t="s">
        <v>17</v>
      </c>
      <c r="L160" s="119"/>
      <c r="M160" s="3"/>
    </row>
    <row r="161" spans="1:60" s="4" customFormat="1" ht="14.25" customHeight="1" x14ac:dyDescent="0.25">
      <c r="A161" s="4" t="s">
        <v>10207</v>
      </c>
      <c r="B161" s="4" t="s">
        <v>10192</v>
      </c>
      <c r="C161" s="4" t="s">
        <v>14</v>
      </c>
      <c r="D161" s="35">
        <v>12584</v>
      </c>
      <c r="E161" s="7" t="s">
        <v>10208</v>
      </c>
      <c r="F161" s="5">
        <v>41340</v>
      </c>
      <c r="G161" s="5">
        <v>41639</v>
      </c>
      <c r="H161" s="4" t="s">
        <v>651</v>
      </c>
      <c r="I161" s="6">
        <v>5000</v>
      </c>
      <c r="J161" s="6">
        <v>5000</v>
      </c>
      <c r="K161" s="37" t="s">
        <v>17</v>
      </c>
      <c r="L161" s="119"/>
      <c r="M161" s="3"/>
    </row>
    <row r="162" spans="1:60" s="4" customFormat="1" ht="14.25" customHeight="1" x14ac:dyDescent="0.25">
      <c r="A162" s="4" t="s">
        <v>10209</v>
      </c>
      <c r="B162" s="4" t="s">
        <v>10192</v>
      </c>
      <c r="C162" s="4" t="s">
        <v>14</v>
      </c>
      <c r="D162" s="35">
        <v>12586</v>
      </c>
      <c r="E162" s="7" t="s">
        <v>10210</v>
      </c>
      <c r="F162" s="5">
        <v>41193</v>
      </c>
      <c r="G162" s="5">
        <v>41639</v>
      </c>
      <c r="H162" s="4" t="s">
        <v>651</v>
      </c>
      <c r="I162" s="6">
        <v>7500</v>
      </c>
      <c r="J162" s="6">
        <v>7500</v>
      </c>
      <c r="K162" s="37" t="s">
        <v>17</v>
      </c>
      <c r="L162" s="119"/>
      <c r="M162" s="3"/>
    </row>
    <row r="163" spans="1:60" s="4" customFormat="1" ht="14.25" customHeight="1" x14ac:dyDescent="0.25">
      <c r="A163" s="4" t="s">
        <v>10211</v>
      </c>
      <c r="B163" s="4" t="s">
        <v>10192</v>
      </c>
      <c r="C163" s="4" t="s">
        <v>14</v>
      </c>
      <c r="D163" s="35">
        <v>12591</v>
      </c>
      <c r="E163" s="7" t="s">
        <v>10212</v>
      </c>
      <c r="F163" s="5">
        <v>41456</v>
      </c>
      <c r="G163" s="5"/>
      <c r="H163" s="4" t="s">
        <v>651</v>
      </c>
      <c r="I163" s="6">
        <v>10500</v>
      </c>
      <c r="J163" s="6">
        <v>10500</v>
      </c>
      <c r="K163" s="37" t="s">
        <v>17</v>
      </c>
      <c r="L163" s="119"/>
      <c r="M163" s="3"/>
    </row>
    <row r="164" spans="1:60" s="4" customFormat="1" ht="14.25" customHeight="1" x14ac:dyDescent="0.25">
      <c r="A164" s="4" t="s">
        <v>8331</v>
      </c>
      <c r="B164" s="4" t="s">
        <v>38</v>
      </c>
      <c r="C164" s="4" t="s">
        <v>14</v>
      </c>
      <c r="D164" s="35">
        <v>12727</v>
      </c>
      <c r="E164" s="4" t="s">
        <v>231</v>
      </c>
      <c r="F164" s="5">
        <v>41275</v>
      </c>
      <c r="G164" s="5">
        <v>41639</v>
      </c>
      <c r="H164" s="4" t="s">
        <v>651</v>
      </c>
      <c r="I164" s="6">
        <v>32811.980000000003</v>
      </c>
      <c r="J164" s="6">
        <v>32811.980000000003</v>
      </c>
      <c r="K164" s="37" t="s">
        <v>17</v>
      </c>
      <c r="L164" s="119"/>
      <c r="M164" s="3"/>
    </row>
    <row r="165" spans="1:60" s="4" customFormat="1" ht="14.25" customHeight="1" x14ac:dyDescent="0.25">
      <c r="A165" s="4" t="s">
        <v>11146</v>
      </c>
      <c r="B165" s="4" t="s">
        <v>38</v>
      </c>
      <c r="C165" s="4" t="s">
        <v>14</v>
      </c>
      <c r="D165" s="35">
        <v>12729</v>
      </c>
      <c r="E165" s="7" t="s">
        <v>11147</v>
      </c>
      <c r="F165" s="5">
        <v>41275</v>
      </c>
      <c r="G165" s="5"/>
      <c r="H165" s="4" t="s">
        <v>651</v>
      </c>
      <c r="I165" s="6">
        <v>11430.85</v>
      </c>
      <c r="J165" s="6">
        <v>11430.85</v>
      </c>
      <c r="K165" s="37" t="s">
        <v>17</v>
      </c>
      <c r="L165" s="119"/>
      <c r="M165" s="3"/>
    </row>
    <row r="166" spans="1:60" s="4" customFormat="1" ht="14.25" customHeight="1" x14ac:dyDescent="0.25">
      <c r="D166" s="35"/>
      <c r="E166" s="26" t="s">
        <v>351</v>
      </c>
      <c r="F166" s="28"/>
      <c r="G166" s="28"/>
      <c r="H166" s="26"/>
      <c r="I166" s="25">
        <f>SUM(I2:I12)</f>
        <v>727387.7</v>
      </c>
      <c r="J166" s="25">
        <f>SUM(J2:J12)</f>
        <v>172135.26000000004</v>
      </c>
      <c r="K166" s="20" t="s">
        <v>17</v>
      </c>
      <c r="L166" s="119"/>
      <c r="M166" s="3"/>
    </row>
    <row r="167" spans="1:60" s="4" customFormat="1" ht="14.25" customHeight="1" x14ac:dyDescent="0.25">
      <c r="D167" s="35"/>
      <c r="E167" s="26" t="s">
        <v>352</v>
      </c>
      <c r="F167" s="28"/>
      <c r="G167" s="28"/>
      <c r="H167" s="26"/>
      <c r="I167" s="25">
        <f>SUM(I13:I165)</f>
        <v>3924700.5399999986</v>
      </c>
      <c r="J167" s="25">
        <f>SUM(J13:J165)</f>
        <v>3216591.939999999</v>
      </c>
      <c r="K167" s="20" t="s">
        <v>17</v>
      </c>
      <c r="L167" s="119"/>
      <c r="M167" s="3"/>
    </row>
    <row r="168" spans="1:60" s="4" customFormat="1" ht="14.25" customHeight="1" x14ac:dyDescent="0.25">
      <c r="D168" s="35"/>
      <c r="E168" s="26" t="s">
        <v>353</v>
      </c>
      <c r="F168" s="28"/>
      <c r="G168" s="28"/>
      <c r="H168" s="26"/>
      <c r="I168" s="25">
        <f>SUM(I166:I167)</f>
        <v>4652088.2399999984</v>
      </c>
      <c r="J168" s="25">
        <f>SUM(J166:J167)</f>
        <v>3388727.1999999993</v>
      </c>
      <c r="K168" s="20" t="s">
        <v>17</v>
      </c>
      <c r="L168" s="119"/>
      <c r="M168" s="3"/>
    </row>
    <row r="169" spans="1:60" s="4" customFormat="1" ht="14.25" customHeight="1" x14ac:dyDescent="0.25">
      <c r="D169" s="35"/>
      <c r="F169" s="5"/>
      <c r="G169" s="5"/>
      <c r="I169" s="6"/>
      <c r="J169" s="6"/>
      <c r="K169" s="37"/>
      <c r="L169" s="119"/>
      <c r="M169" s="3"/>
    </row>
    <row r="170" spans="1:60" s="4" customFormat="1" ht="14.25" customHeight="1" x14ac:dyDescent="0.25">
      <c r="A170" s="4" t="s">
        <v>354</v>
      </c>
      <c r="B170" s="4" t="s">
        <v>13</v>
      </c>
      <c r="C170" s="4" t="s">
        <v>14</v>
      </c>
      <c r="D170" s="35">
        <v>3627</v>
      </c>
      <c r="E170" s="4" t="s">
        <v>355</v>
      </c>
      <c r="F170" s="5">
        <v>39118</v>
      </c>
      <c r="G170" s="5">
        <v>39507</v>
      </c>
      <c r="H170" s="4" t="s">
        <v>16</v>
      </c>
      <c r="I170" s="6">
        <v>103001.5</v>
      </c>
      <c r="J170" s="8">
        <v>30191</v>
      </c>
      <c r="K170" s="37" t="s">
        <v>356</v>
      </c>
      <c r="L170" s="119"/>
      <c r="M170" s="3"/>
    </row>
    <row r="171" spans="1:60" s="4" customFormat="1" ht="14.25" customHeight="1" x14ac:dyDescent="0.25">
      <c r="A171" s="4" t="s">
        <v>357</v>
      </c>
      <c r="B171" s="4" t="s">
        <v>13</v>
      </c>
      <c r="C171" s="4" t="s">
        <v>14</v>
      </c>
      <c r="D171" s="35">
        <v>3628</v>
      </c>
      <c r="E171" s="4" t="s">
        <v>358</v>
      </c>
      <c r="F171" s="5">
        <v>39328</v>
      </c>
      <c r="G171" s="5">
        <v>39776</v>
      </c>
      <c r="H171" s="4" t="s">
        <v>16</v>
      </c>
      <c r="I171" s="6">
        <v>471282</v>
      </c>
      <c r="J171" s="8">
        <v>63750</v>
      </c>
      <c r="K171" s="37" t="s">
        <v>356</v>
      </c>
      <c r="L171" s="119"/>
      <c r="M171" s="3"/>
    </row>
    <row r="172" spans="1:60" s="4" customFormat="1" ht="14.25" customHeight="1" x14ac:dyDescent="0.25">
      <c r="A172" s="4" t="s">
        <v>359</v>
      </c>
      <c r="B172" s="4" t="s">
        <v>13</v>
      </c>
      <c r="C172" s="4" t="s">
        <v>14</v>
      </c>
      <c r="D172" s="35">
        <v>3629</v>
      </c>
      <c r="E172" s="4" t="s">
        <v>360</v>
      </c>
      <c r="F172" s="5">
        <v>39468</v>
      </c>
      <c r="G172" s="5">
        <v>39598</v>
      </c>
      <c r="H172" s="4" t="s">
        <v>16</v>
      </c>
      <c r="I172" s="6">
        <v>61000</v>
      </c>
      <c r="J172" s="8">
        <v>18000</v>
      </c>
      <c r="K172" s="37" t="s">
        <v>356</v>
      </c>
      <c r="L172" s="119"/>
      <c r="M172" s="3"/>
    </row>
    <row r="173" spans="1:60" s="9" customFormat="1" ht="14.25" customHeight="1" x14ac:dyDescent="0.25">
      <c r="A173" s="4" t="s">
        <v>361</v>
      </c>
      <c r="B173" s="4" t="s">
        <v>13</v>
      </c>
      <c r="C173" s="4" t="s">
        <v>14</v>
      </c>
      <c r="D173" s="35">
        <v>3647</v>
      </c>
      <c r="E173" s="4" t="s">
        <v>362</v>
      </c>
      <c r="F173" s="5">
        <v>39821</v>
      </c>
      <c r="G173" s="5">
        <v>39933</v>
      </c>
      <c r="H173" s="4" t="s">
        <v>16</v>
      </c>
      <c r="I173" s="6">
        <v>10900</v>
      </c>
      <c r="J173" s="8">
        <v>3270</v>
      </c>
      <c r="K173" s="37" t="s">
        <v>356</v>
      </c>
      <c r="L173" s="119"/>
      <c r="M173" s="3"/>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1:60" s="9" customFormat="1" ht="14.25" customHeight="1" x14ac:dyDescent="0.25">
      <c r="A174" s="4" t="s">
        <v>363</v>
      </c>
      <c r="B174" s="4" t="s">
        <v>13</v>
      </c>
      <c r="C174" s="4" t="s">
        <v>14</v>
      </c>
      <c r="D174" s="35">
        <v>3649</v>
      </c>
      <c r="E174" s="4" t="s">
        <v>364</v>
      </c>
      <c r="F174" s="5">
        <v>39962</v>
      </c>
      <c r="G174" s="5">
        <v>40140</v>
      </c>
      <c r="H174" s="4" t="s">
        <v>16</v>
      </c>
      <c r="I174" s="6">
        <v>16940.57</v>
      </c>
      <c r="J174" s="8">
        <v>5082.17</v>
      </c>
      <c r="K174" s="37" t="s">
        <v>356</v>
      </c>
      <c r="L174" s="119"/>
      <c r="M174" s="3"/>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1:60" s="9" customFormat="1" ht="14.25" customHeight="1" x14ac:dyDescent="0.25">
      <c r="A175" s="4" t="s">
        <v>363</v>
      </c>
      <c r="B175" s="4" t="s">
        <v>13</v>
      </c>
      <c r="C175" s="4" t="s">
        <v>14</v>
      </c>
      <c r="D175" s="35">
        <v>3652</v>
      </c>
      <c r="E175" s="4" t="s">
        <v>365</v>
      </c>
      <c r="F175" s="5">
        <v>39961</v>
      </c>
      <c r="G175" s="5">
        <v>40140</v>
      </c>
      <c r="H175" s="4" t="s">
        <v>16</v>
      </c>
      <c r="I175" s="6">
        <v>8810.58</v>
      </c>
      <c r="J175" s="8">
        <v>2643.17</v>
      </c>
      <c r="K175" s="37" t="s">
        <v>356</v>
      </c>
      <c r="L175" s="119"/>
      <c r="M175" s="3"/>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1:60" s="9" customFormat="1" ht="14.25" customHeight="1" x14ac:dyDescent="0.25">
      <c r="A176" s="4" t="s">
        <v>366</v>
      </c>
      <c r="B176" s="4" t="s">
        <v>13</v>
      </c>
      <c r="C176" s="4" t="s">
        <v>14</v>
      </c>
      <c r="D176" s="35">
        <v>3655</v>
      </c>
      <c r="E176" s="7" t="s">
        <v>367</v>
      </c>
      <c r="F176" s="5">
        <v>39847</v>
      </c>
      <c r="G176" s="5">
        <v>40053</v>
      </c>
      <c r="H176" s="4" t="s">
        <v>16</v>
      </c>
      <c r="I176" s="6">
        <v>15682.33</v>
      </c>
      <c r="J176" s="8">
        <v>4704.7</v>
      </c>
      <c r="K176" s="37" t="s">
        <v>356</v>
      </c>
      <c r="L176" s="119"/>
      <c r="M176" s="3"/>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1:60" s="9" customFormat="1" ht="14.25" customHeight="1" x14ac:dyDescent="0.25">
      <c r="A177" s="4" t="s">
        <v>368</v>
      </c>
      <c r="B177" s="4" t="s">
        <v>13</v>
      </c>
      <c r="C177" s="4" t="s">
        <v>14</v>
      </c>
      <c r="D177" s="35">
        <v>3660</v>
      </c>
      <c r="E177" s="4" t="s">
        <v>369</v>
      </c>
      <c r="F177" s="5">
        <v>39328</v>
      </c>
      <c r="G177" s="5">
        <v>39566</v>
      </c>
      <c r="H177" s="4" t="s">
        <v>16</v>
      </c>
      <c r="I177" s="6">
        <v>7029.5</v>
      </c>
      <c r="J177" s="8">
        <v>2108.85</v>
      </c>
      <c r="K177" s="37" t="s">
        <v>356</v>
      </c>
      <c r="L177" s="119"/>
      <c r="M177" s="3"/>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1:60" s="9" customFormat="1" ht="14.25" customHeight="1" x14ac:dyDescent="0.25">
      <c r="A178" s="4" t="s">
        <v>370</v>
      </c>
      <c r="B178" s="4" t="s">
        <v>13</v>
      </c>
      <c r="C178" s="4" t="s">
        <v>14</v>
      </c>
      <c r="D178" s="35">
        <v>3670</v>
      </c>
      <c r="E178" s="4" t="s">
        <v>371</v>
      </c>
      <c r="F178" s="5">
        <v>39351</v>
      </c>
      <c r="G178" s="5">
        <v>39752</v>
      </c>
      <c r="H178" s="4" t="s">
        <v>16</v>
      </c>
      <c r="I178" s="6">
        <v>106292.55</v>
      </c>
      <c r="J178" s="8">
        <v>31500</v>
      </c>
      <c r="K178" s="37" t="s">
        <v>356</v>
      </c>
      <c r="L178" s="119"/>
      <c r="M178" s="3"/>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1:60" s="9" customFormat="1" ht="14.25" customHeight="1" x14ac:dyDescent="0.25">
      <c r="A179" s="4" t="s">
        <v>372</v>
      </c>
      <c r="B179" s="4" t="s">
        <v>13</v>
      </c>
      <c r="C179" s="4" t="s">
        <v>14</v>
      </c>
      <c r="D179" s="35">
        <v>3674</v>
      </c>
      <c r="E179" s="7" t="s">
        <v>373</v>
      </c>
      <c r="F179" s="5">
        <v>39484</v>
      </c>
      <c r="G179" s="5">
        <v>39598</v>
      </c>
      <c r="H179" s="4" t="s">
        <v>16</v>
      </c>
      <c r="I179" s="6">
        <v>18555</v>
      </c>
      <c r="J179" s="8">
        <v>5501</v>
      </c>
      <c r="K179" s="37" t="s">
        <v>356</v>
      </c>
      <c r="L179" s="119"/>
      <c r="M179" s="3"/>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1:60" s="9" customFormat="1" ht="14.25" customHeight="1" x14ac:dyDescent="0.25">
      <c r="A180" s="4" t="s">
        <v>374</v>
      </c>
      <c r="B180" s="4" t="s">
        <v>13</v>
      </c>
      <c r="C180" s="4" t="s">
        <v>14</v>
      </c>
      <c r="D180" s="35">
        <v>3677</v>
      </c>
      <c r="E180" s="4" t="s">
        <v>375</v>
      </c>
      <c r="F180" s="5">
        <v>39596</v>
      </c>
      <c r="G180" s="5">
        <v>39791</v>
      </c>
      <c r="H180" s="4" t="s">
        <v>16</v>
      </c>
      <c r="I180" s="6">
        <v>12335</v>
      </c>
      <c r="J180" s="8">
        <v>3700</v>
      </c>
      <c r="K180" s="37" t="s">
        <v>356</v>
      </c>
      <c r="L180" s="119"/>
      <c r="M180" s="3"/>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1:60" s="9" customFormat="1" ht="14.25" customHeight="1" x14ac:dyDescent="0.25">
      <c r="A181" s="4" t="s">
        <v>376</v>
      </c>
      <c r="B181" s="4" t="s">
        <v>13</v>
      </c>
      <c r="C181" s="4" t="s">
        <v>14</v>
      </c>
      <c r="D181" s="35">
        <v>3896</v>
      </c>
      <c r="E181" s="4" t="s">
        <v>377</v>
      </c>
      <c r="F181" s="5">
        <v>39821</v>
      </c>
      <c r="G181" s="5">
        <v>40116</v>
      </c>
      <c r="H181" s="4" t="s">
        <v>16</v>
      </c>
      <c r="I181" s="6">
        <v>52037</v>
      </c>
      <c r="J181" s="8">
        <v>20814.8</v>
      </c>
      <c r="K181" s="37" t="s">
        <v>356</v>
      </c>
      <c r="L181" s="119"/>
      <c r="M181" s="3"/>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1:60" s="9" customFormat="1" ht="14.25" customHeight="1" x14ac:dyDescent="0.25">
      <c r="A182" s="4" t="s">
        <v>378</v>
      </c>
      <c r="B182" s="4" t="s">
        <v>13</v>
      </c>
      <c r="C182" s="4" t="s">
        <v>14</v>
      </c>
      <c r="D182" s="35">
        <v>9465</v>
      </c>
      <c r="E182" s="4" t="s">
        <v>379</v>
      </c>
      <c r="F182" s="5">
        <v>40017</v>
      </c>
      <c r="G182" s="5">
        <v>40177</v>
      </c>
      <c r="H182" s="4" t="s">
        <v>16</v>
      </c>
      <c r="I182" s="6">
        <v>12110</v>
      </c>
      <c r="J182" s="8">
        <v>3633</v>
      </c>
      <c r="K182" s="37" t="s">
        <v>356</v>
      </c>
      <c r="L182" s="119"/>
      <c r="M182" s="3"/>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1:60" s="9" customFormat="1" ht="14.25" customHeight="1" x14ac:dyDescent="0.25">
      <c r="A183" s="4" t="s">
        <v>380</v>
      </c>
      <c r="B183" s="4" t="s">
        <v>13</v>
      </c>
      <c r="C183" s="4" t="s">
        <v>14</v>
      </c>
      <c r="D183" s="35">
        <v>9494</v>
      </c>
      <c r="E183" s="4" t="s">
        <v>381</v>
      </c>
      <c r="F183" s="5">
        <v>39847</v>
      </c>
      <c r="G183" s="5">
        <v>39933</v>
      </c>
      <c r="H183" s="4" t="s">
        <v>16</v>
      </c>
      <c r="I183" s="6">
        <v>47500</v>
      </c>
      <c r="J183" s="10">
        <v>12186</v>
      </c>
      <c r="K183" s="37" t="s">
        <v>356</v>
      </c>
      <c r="L183" s="119"/>
      <c r="M183" s="3"/>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1:60" s="9" customFormat="1" ht="14.25" customHeight="1" x14ac:dyDescent="0.25">
      <c r="A184" s="4" t="s">
        <v>382</v>
      </c>
      <c r="B184" s="4" t="s">
        <v>13</v>
      </c>
      <c r="C184" s="4" t="s">
        <v>14</v>
      </c>
      <c r="D184" s="35">
        <v>9992</v>
      </c>
      <c r="E184" s="4" t="s">
        <v>383</v>
      </c>
      <c r="F184" s="5">
        <v>40017</v>
      </c>
      <c r="G184" s="5">
        <v>40452</v>
      </c>
      <c r="H184" s="4" t="s">
        <v>16</v>
      </c>
      <c r="I184" s="6">
        <v>13500</v>
      </c>
      <c r="J184" s="8">
        <v>3900</v>
      </c>
      <c r="K184" s="37" t="s">
        <v>356</v>
      </c>
      <c r="L184" s="119"/>
      <c r="M184" s="3"/>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1:60" s="9" customFormat="1" ht="14.25" customHeight="1" x14ac:dyDescent="0.25">
      <c r="A185" s="4" t="s">
        <v>384</v>
      </c>
      <c r="B185" s="4" t="s">
        <v>13</v>
      </c>
      <c r="C185" s="4" t="s">
        <v>14</v>
      </c>
      <c r="D185" s="35">
        <v>9996</v>
      </c>
      <c r="E185" s="4" t="s">
        <v>385</v>
      </c>
      <c r="F185" s="5">
        <v>40240</v>
      </c>
      <c r="G185" s="5">
        <v>40364</v>
      </c>
      <c r="H185" s="4" t="s">
        <v>16</v>
      </c>
      <c r="I185" s="6">
        <v>6658</v>
      </c>
      <c r="J185" s="8">
        <v>1997.4</v>
      </c>
      <c r="K185" s="37" t="s">
        <v>356</v>
      </c>
      <c r="L185" s="119"/>
      <c r="M185" s="3"/>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1:60" s="9" customFormat="1" ht="14.25" customHeight="1" x14ac:dyDescent="0.25">
      <c r="A186" s="4" t="s">
        <v>378</v>
      </c>
      <c r="B186" s="4" t="s">
        <v>13</v>
      </c>
      <c r="C186" s="4" t="s">
        <v>14</v>
      </c>
      <c r="D186" s="35">
        <v>10222</v>
      </c>
      <c r="E186" s="4" t="s">
        <v>386</v>
      </c>
      <c r="F186" s="5">
        <v>40289</v>
      </c>
      <c r="G186" s="5">
        <v>40364</v>
      </c>
      <c r="H186" s="4" t="s">
        <v>16</v>
      </c>
      <c r="I186" s="6">
        <v>7312.77</v>
      </c>
      <c r="J186" s="8">
        <v>2192</v>
      </c>
      <c r="K186" s="37" t="s">
        <v>356</v>
      </c>
      <c r="L186" s="119"/>
      <c r="M186" s="3"/>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1:60" s="9" customFormat="1" ht="14.25" customHeight="1" x14ac:dyDescent="0.25">
      <c r="A187" s="4" t="s">
        <v>387</v>
      </c>
      <c r="B187" s="4" t="s">
        <v>13</v>
      </c>
      <c r="C187" s="4" t="s">
        <v>14</v>
      </c>
      <c r="D187" s="35">
        <v>9380</v>
      </c>
      <c r="E187" s="4" t="s">
        <v>388</v>
      </c>
      <c r="F187" s="5">
        <v>39267</v>
      </c>
      <c r="G187" s="5">
        <v>39598</v>
      </c>
      <c r="H187" s="4" t="s">
        <v>389</v>
      </c>
      <c r="I187" s="6">
        <v>86450.94</v>
      </c>
      <c r="J187" s="6">
        <v>34580.379999999997</v>
      </c>
      <c r="K187" s="37" t="s">
        <v>356</v>
      </c>
      <c r="L187" s="119"/>
      <c r="M187" s="3"/>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1:60" s="9" customFormat="1" ht="14.25" customHeight="1" x14ac:dyDescent="0.25">
      <c r="A188" s="4" t="s">
        <v>390</v>
      </c>
      <c r="B188" s="4" t="s">
        <v>13</v>
      </c>
      <c r="C188" s="4" t="s">
        <v>14</v>
      </c>
      <c r="D188" s="35">
        <v>9967</v>
      </c>
      <c r="E188" s="4" t="s">
        <v>391</v>
      </c>
      <c r="F188" s="5">
        <v>40108</v>
      </c>
      <c r="G188" s="5">
        <v>40217</v>
      </c>
      <c r="H188" s="4" t="s">
        <v>392</v>
      </c>
      <c r="I188" s="6">
        <v>23343.48</v>
      </c>
      <c r="J188" s="6">
        <v>7469.91</v>
      </c>
      <c r="K188" s="37" t="s">
        <v>356</v>
      </c>
      <c r="L188" s="119"/>
      <c r="M188" s="3"/>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1:60" s="9" customFormat="1" ht="14.25" customHeight="1" x14ac:dyDescent="0.25">
      <c r="A189" s="4" t="s">
        <v>393</v>
      </c>
      <c r="B189" s="4" t="s">
        <v>13</v>
      </c>
      <c r="C189" s="4" t="s">
        <v>14</v>
      </c>
      <c r="D189" s="35">
        <v>10172</v>
      </c>
      <c r="E189" s="4" t="s">
        <v>394</v>
      </c>
      <c r="F189" s="5">
        <v>41142</v>
      </c>
      <c r="G189" s="5">
        <v>41271</v>
      </c>
      <c r="H189" s="4" t="s">
        <v>392</v>
      </c>
      <c r="I189" s="6">
        <v>59974</v>
      </c>
      <c r="J189" s="6">
        <v>20990.9</v>
      </c>
      <c r="K189" s="37" t="s">
        <v>356</v>
      </c>
      <c r="L189" s="119"/>
      <c r="M189" s="3"/>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1:60" s="9" customFormat="1" ht="14.25" customHeight="1" x14ac:dyDescent="0.25">
      <c r="A190" s="4" t="s">
        <v>395</v>
      </c>
      <c r="B190" s="4" t="s">
        <v>38</v>
      </c>
      <c r="C190" s="4" t="s">
        <v>14</v>
      </c>
      <c r="D190" s="35">
        <v>1077</v>
      </c>
      <c r="E190" s="4" t="s">
        <v>396</v>
      </c>
      <c r="F190" s="5">
        <v>39083</v>
      </c>
      <c r="G190" s="5">
        <v>41639</v>
      </c>
      <c r="H190" s="4" t="s">
        <v>40</v>
      </c>
      <c r="I190" s="6">
        <f>75715.99+11046.19</f>
        <v>86762.180000000008</v>
      </c>
      <c r="J190" s="6">
        <f>75715.99+11046.19</f>
        <v>86762.180000000008</v>
      </c>
      <c r="K190" s="37" t="s">
        <v>356</v>
      </c>
      <c r="L190" s="119"/>
      <c r="M190" s="3"/>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1:60" s="9" customFormat="1" ht="14.25" customHeight="1" x14ac:dyDescent="0.25">
      <c r="A191" s="4" t="s">
        <v>397</v>
      </c>
      <c r="B191" s="4" t="s">
        <v>38</v>
      </c>
      <c r="C191" s="4" t="s">
        <v>14</v>
      </c>
      <c r="D191" s="35">
        <v>2143</v>
      </c>
      <c r="E191" s="4" t="s">
        <v>398</v>
      </c>
      <c r="F191" s="5">
        <v>39083</v>
      </c>
      <c r="G191" s="5">
        <v>40908</v>
      </c>
      <c r="H191" s="4" t="s">
        <v>40</v>
      </c>
      <c r="I191" s="6">
        <v>85000</v>
      </c>
      <c r="J191" s="6">
        <v>85000</v>
      </c>
      <c r="K191" s="37" t="s">
        <v>356</v>
      </c>
      <c r="L191" s="119"/>
      <c r="M191" s="3"/>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1:60" s="9" customFormat="1" ht="14.25" customHeight="1" x14ac:dyDescent="0.25">
      <c r="A192" s="4" t="s">
        <v>399</v>
      </c>
      <c r="B192" s="4" t="s">
        <v>38</v>
      </c>
      <c r="C192" s="4" t="s">
        <v>14</v>
      </c>
      <c r="D192" s="35">
        <v>2147</v>
      </c>
      <c r="E192" s="4" t="s">
        <v>400</v>
      </c>
      <c r="F192" s="5">
        <v>39083</v>
      </c>
      <c r="G192" s="5">
        <v>39813</v>
      </c>
      <c r="H192" s="4" t="s">
        <v>40</v>
      </c>
      <c r="I192" s="6">
        <v>1050</v>
      </c>
      <c r="J192" s="6">
        <v>1050</v>
      </c>
      <c r="K192" s="37" t="s">
        <v>356</v>
      </c>
      <c r="L192" s="119"/>
      <c r="M192" s="3"/>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1:60" s="9" customFormat="1" ht="14.25" customHeight="1" x14ac:dyDescent="0.25">
      <c r="A193" s="4" t="s">
        <v>401</v>
      </c>
      <c r="B193" s="4" t="s">
        <v>38</v>
      </c>
      <c r="C193" s="4" t="s">
        <v>14</v>
      </c>
      <c r="D193" s="35">
        <v>2149</v>
      </c>
      <c r="E193" s="4" t="s">
        <v>402</v>
      </c>
      <c r="F193" s="5">
        <v>39083</v>
      </c>
      <c r="G193" s="5">
        <v>41639</v>
      </c>
      <c r="H193" s="4" t="s">
        <v>40</v>
      </c>
      <c r="I193" s="6">
        <f>48583.66+3733.5</f>
        <v>52317.16</v>
      </c>
      <c r="J193" s="6">
        <f>48583.66+3733.5</f>
        <v>52317.16</v>
      </c>
      <c r="K193" s="37" t="s">
        <v>356</v>
      </c>
      <c r="L193" s="119"/>
      <c r="M193" s="3"/>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row r="194" spans="1:60" s="9" customFormat="1" ht="14.25" customHeight="1" x14ac:dyDescent="0.25">
      <c r="A194" s="4" t="s">
        <v>403</v>
      </c>
      <c r="B194" s="4" t="s">
        <v>38</v>
      </c>
      <c r="C194" s="4" t="s">
        <v>14</v>
      </c>
      <c r="D194" s="35">
        <v>2155</v>
      </c>
      <c r="E194" s="4" t="s">
        <v>404</v>
      </c>
      <c r="F194" s="5">
        <v>39083</v>
      </c>
      <c r="G194" s="5">
        <v>41639</v>
      </c>
      <c r="H194" s="4" t="s">
        <v>40</v>
      </c>
      <c r="I194" s="6">
        <f>27964.63+5327.6</f>
        <v>33292.230000000003</v>
      </c>
      <c r="J194" s="6">
        <f>27964.63+5327.6</f>
        <v>33292.230000000003</v>
      </c>
      <c r="K194" s="37" t="s">
        <v>356</v>
      </c>
      <c r="L194" s="119"/>
      <c r="M194" s="3"/>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row>
    <row r="195" spans="1:60" s="9" customFormat="1" ht="14.25" customHeight="1" x14ac:dyDescent="0.25">
      <c r="A195" s="4" t="s">
        <v>405</v>
      </c>
      <c r="B195" s="4" t="s">
        <v>38</v>
      </c>
      <c r="C195" s="4" t="s">
        <v>14</v>
      </c>
      <c r="D195" s="35">
        <v>2158</v>
      </c>
      <c r="E195" s="4" t="s">
        <v>406</v>
      </c>
      <c r="F195" s="5">
        <v>39083</v>
      </c>
      <c r="G195" s="5">
        <v>41639</v>
      </c>
      <c r="H195" s="4" t="s">
        <v>40</v>
      </c>
      <c r="I195" s="6">
        <f>81802+2250</f>
        <v>84052</v>
      </c>
      <c r="J195" s="6">
        <f>81802+2250</f>
        <v>84052</v>
      </c>
      <c r="K195" s="37" t="s">
        <v>356</v>
      </c>
      <c r="L195" s="119"/>
      <c r="M195" s="3"/>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row>
    <row r="196" spans="1:60" s="9" customFormat="1" ht="14.25" customHeight="1" x14ac:dyDescent="0.25">
      <c r="A196" s="4" t="s">
        <v>407</v>
      </c>
      <c r="B196" s="4" t="s">
        <v>38</v>
      </c>
      <c r="C196" s="4" t="s">
        <v>14</v>
      </c>
      <c r="D196" s="35">
        <v>2160</v>
      </c>
      <c r="E196" s="4" t="s">
        <v>408</v>
      </c>
      <c r="F196" s="5">
        <v>39083</v>
      </c>
      <c r="G196" s="5">
        <v>41639</v>
      </c>
      <c r="H196" s="4" t="s">
        <v>40</v>
      </c>
      <c r="I196" s="6">
        <f>44938.9+10490.81</f>
        <v>55429.71</v>
      </c>
      <c r="J196" s="6">
        <f>44938.9+10490.81</f>
        <v>55429.71</v>
      </c>
      <c r="K196" s="37" t="s">
        <v>356</v>
      </c>
      <c r="L196" s="119"/>
      <c r="M196" s="3"/>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row>
    <row r="197" spans="1:60" s="9" customFormat="1" ht="14.25" customHeight="1" x14ac:dyDescent="0.25">
      <c r="A197" s="4" t="s">
        <v>409</v>
      </c>
      <c r="B197" s="4" t="s">
        <v>38</v>
      </c>
      <c r="C197" s="4" t="s">
        <v>14</v>
      </c>
      <c r="D197" s="35">
        <v>2162</v>
      </c>
      <c r="E197" s="4" t="s">
        <v>410</v>
      </c>
      <c r="F197" s="5">
        <v>39083</v>
      </c>
      <c r="G197" s="5">
        <v>39813</v>
      </c>
      <c r="H197" s="4" t="s">
        <v>40</v>
      </c>
      <c r="I197" s="6">
        <v>1000</v>
      </c>
      <c r="J197" s="6">
        <v>1000</v>
      </c>
      <c r="K197" s="37" t="s">
        <v>356</v>
      </c>
      <c r="L197" s="119"/>
      <c r="M197" s="3"/>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row>
    <row r="198" spans="1:60" s="9" customFormat="1" ht="14.25" customHeight="1" x14ac:dyDescent="0.25">
      <c r="A198" s="4" t="s">
        <v>411</v>
      </c>
      <c r="B198" s="4" t="s">
        <v>38</v>
      </c>
      <c r="C198" s="4" t="s">
        <v>14</v>
      </c>
      <c r="D198" s="35">
        <v>2163</v>
      </c>
      <c r="E198" s="4" t="s">
        <v>412</v>
      </c>
      <c r="F198" s="5">
        <v>39083</v>
      </c>
      <c r="G198" s="5">
        <v>40908</v>
      </c>
      <c r="H198" s="4" t="s">
        <v>40</v>
      </c>
      <c r="I198" s="6">
        <v>10891.8</v>
      </c>
      <c r="J198" s="6">
        <v>10891.8</v>
      </c>
      <c r="K198" s="37" t="s">
        <v>356</v>
      </c>
      <c r="L198" s="119"/>
      <c r="M198" s="3"/>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row>
    <row r="199" spans="1:60" s="9" customFormat="1" ht="14.25" customHeight="1" x14ac:dyDescent="0.25">
      <c r="A199" s="4" t="s">
        <v>413</v>
      </c>
      <c r="B199" s="4" t="s">
        <v>38</v>
      </c>
      <c r="C199" s="4" t="s">
        <v>14</v>
      </c>
      <c r="D199" s="35">
        <v>2165</v>
      </c>
      <c r="E199" s="4" t="s">
        <v>414</v>
      </c>
      <c r="F199" s="5">
        <v>39083</v>
      </c>
      <c r="G199" s="5">
        <v>40178</v>
      </c>
      <c r="H199" s="4" t="s">
        <v>40</v>
      </c>
      <c r="I199" s="6">
        <v>7763</v>
      </c>
      <c r="J199" s="6">
        <v>7763</v>
      </c>
      <c r="K199" s="37" t="s">
        <v>356</v>
      </c>
      <c r="L199" s="119"/>
      <c r="M199" s="3"/>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row>
    <row r="200" spans="1:60" s="9" customFormat="1" ht="14.25" customHeight="1" x14ac:dyDescent="0.25">
      <c r="A200" s="4" t="s">
        <v>415</v>
      </c>
      <c r="B200" s="4" t="s">
        <v>38</v>
      </c>
      <c r="C200" s="4" t="s">
        <v>14</v>
      </c>
      <c r="D200" s="35">
        <v>2166</v>
      </c>
      <c r="E200" s="4" t="s">
        <v>416</v>
      </c>
      <c r="F200" s="5">
        <v>39083</v>
      </c>
      <c r="G200" s="5">
        <v>41639</v>
      </c>
      <c r="H200" s="4" t="s">
        <v>40</v>
      </c>
      <c r="I200" s="6">
        <f>35826.74+11259.25</f>
        <v>47085.99</v>
      </c>
      <c r="J200" s="6">
        <f>35826.74+11259.25</f>
        <v>47085.99</v>
      </c>
      <c r="K200" s="37" t="s">
        <v>356</v>
      </c>
      <c r="L200" s="119"/>
      <c r="M200" s="3"/>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row>
    <row r="201" spans="1:60" s="9" customFormat="1" ht="14.25" customHeight="1" x14ac:dyDescent="0.25">
      <c r="A201" s="4" t="s">
        <v>417</v>
      </c>
      <c r="B201" s="4" t="s">
        <v>38</v>
      </c>
      <c r="C201" s="4" t="s">
        <v>14</v>
      </c>
      <c r="D201" s="35">
        <v>2168</v>
      </c>
      <c r="E201" s="4" t="s">
        <v>418</v>
      </c>
      <c r="F201" s="5">
        <v>39083</v>
      </c>
      <c r="G201" s="5">
        <v>41274</v>
      </c>
      <c r="H201" s="4" t="s">
        <v>40</v>
      </c>
      <c r="I201" s="6">
        <v>8192.7800000000007</v>
      </c>
      <c r="J201" s="6">
        <v>8192.7800000000007</v>
      </c>
      <c r="K201" s="37" t="s">
        <v>356</v>
      </c>
      <c r="L201" s="119"/>
      <c r="M201" s="3"/>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row>
    <row r="202" spans="1:60" s="9" customFormat="1" ht="14.25" customHeight="1" x14ac:dyDescent="0.25">
      <c r="A202" s="4" t="s">
        <v>419</v>
      </c>
      <c r="B202" s="4" t="s">
        <v>38</v>
      </c>
      <c r="C202" s="4" t="s">
        <v>14</v>
      </c>
      <c r="D202" s="35">
        <v>2169</v>
      </c>
      <c r="E202" s="4" t="s">
        <v>420</v>
      </c>
      <c r="F202" s="5">
        <v>39083</v>
      </c>
      <c r="G202" s="5">
        <v>41639</v>
      </c>
      <c r="H202" s="4" t="s">
        <v>40</v>
      </c>
      <c r="I202" s="6">
        <f>203476.69+23264</f>
        <v>226740.69</v>
      </c>
      <c r="J202" s="6">
        <f>203476.69+23264</f>
        <v>226740.69</v>
      </c>
      <c r="K202" s="37" t="s">
        <v>356</v>
      </c>
      <c r="L202" s="119"/>
      <c r="M202" s="3"/>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row>
    <row r="203" spans="1:60" s="9" customFormat="1" ht="14.25" customHeight="1" x14ac:dyDescent="0.25">
      <c r="A203" s="4" t="s">
        <v>421</v>
      </c>
      <c r="B203" s="4" t="s">
        <v>38</v>
      </c>
      <c r="C203" s="4" t="s">
        <v>14</v>
      </c>
      <c r="D203" s="35">
        <v>2170</v>
      </c>
      <c r="E203" s="4" t="s">
        <v>422</v>
      </c>
      <c r="F203" s="5">
        <v>39083</v>
      </c>
      <c r="G203" s="5">
        <v>40543</v>
      </c>
      <c r="H203" s="4" t="s">
        <v>40</v>
      </c>
      <c r="I203" s="6">
        <v>9769.7000000000007</v>
      </c>
      <c r="J203" s="6">
        <v>9769.7000000000007</v>
      </c>
      <c r="K203" s="37" t="s">
        <v>356</v>
      </c>
      <c r="L203" s="119"/>
      <c r="M203" s="3"/>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row>
    <row r="204" spans="1:60" s="9" customFormat="1" ht="14.25" customHeight="1" x14ac:dyDescent="0.25">
      <c r="A204" s="4" t="s">
        <v>423</v>
      </c>
      <c r="B204" s="4" t="s">
        <v>38</v>
      </c>
      <c r="C204" s="4" t="s">
        <v>14</v>
      </c>
      <c r="D204" s="35">
        <v>2172</v>
      </c>
      <c r="E204" s="4" t="s">
        <v>424</v>
      </c>
      <c r="F204" s="5">
        <v>39083</v>
      </c>
      <c r="G204" s="5">
        <v>41639</v>
      </c>
      <c r="H204" s="4" t="s">
        <v>40</v>
      </c>
      <c r="I204" s="6">
        <f>35677.7+14457.79</f>
        <v>50135.49</v>
      </c>
      <c r="J204" s="6">
        <f>35677.7+14457.79</f>
        <v>50135.49</v>
      </c>
      <c r="K204" s="37" t="s">
        <v>356</v>
      </c>
      <c r="L204" s="119"/>
      <c r="M204" s="3"/>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row>
    <row r="205" spans="1:60" s="9" customFormat="1" ht="14.25" customHeight="1" x14ac:dyDescent="0.25">
      <c r="A205" s="4" t="s">
        <v>425</v>
      </c>
      <c r="B205" s="4" t="s">
        <v>38</v>
      </c>
      <c r="C205" s="4" t="s">
        <v>14</v>
      </c>
      <c r="D205" s="35">
        <v>2173</v>
      </c>
      <c r="E205" s="4" t="s">
        <v>426</v>
      </c>
      <c r="F205" s="5">
        <v>39083</v>
      </c>
      <c r="G205" s="5">
        <v>40543</v>
      </c>
      <c r="H205" s="4" t="s">
        <v>40</v>
      </c>
      <c r="I205" s="6">
        <v>41677.660000000003</v>
      </c>
      <c r="J205" s="6">
        <v>41677.660000000003</v>
      </c>
      <c r="K205" s="37" t="s">
        <v>356</v>
      </c>
      <c r="L205" s="119"/>
      <c r="M205" s="3"/>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row>
    <row r="206" spans="1:60" s="9" customFormat="1" ht="14.25" customHeight="1" x14ac:dyDescent="0.25">
      <c r="A206" s="4" t="s">
        <v>427</v>
      </c>
      <c r="B206" s="4" t="s">
        <v>38</v>
      </c>
      <c r="C206" s="4" t="s">
        <v>14</v>
      </c>
      <c r="D206" s="35">
        <v>2175</v>
      </c>
      <c r="E206" s="4" t="s">
        <v>428</v>
      </c>
      <c r="F206" s="5">
        <v>39083</v>
      </c>
      <c r="G206" s="5">
        <v>41274</v>
      </c>
      <c r="H206" s="4" t="s">
        <v>40</v>
      </c>
      <c r="I206" s="6">
        <v>54682.44</v>
      </c>
      <c r="J206" s="6">
        <v>54682.44</v>
      </c>
      <c r="K206" s="37" t="s">
        <v>356</v>
      </c>
      <c r="L206" s="119"/>
      <c r="M206" s="3"/>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row>
    <row r="207" spans="1:60" s="9" customFormat="1" ht="14.25" customHeight="1" x14ac:dyDescent="0.25">
      <c r="A207" s="4" t="s">
        <v>429</v>
      </c>
      <c r="B207" s="4" t="s">
        <v>38</v>
      </c>
      <c r="C207" s="4" t="s">
        <v>14</v>
      </c>
      <c r="D207" s="35">
        <v>2176</v>
      </c>
      <c r="E207" s="4" t="s">
        <v>430</v>
      </c>
      <c r="F207" s="5">
        <v>39083</v>
      </c>
      <c r="G207" s="5">
        <v>40908</v>
      </c>
      <c r="H207" s="4" t="s">
        <v>40</v>
      </c>
      <c r="I207" s="6">
        <v>37146.35</v>
      </c>
      <c r="J207" s="6">
        <v>37146.35</v>
      </c>
      <c r="K207" s="37" t="s">
        <v>356</v>
      </c>
      <c r="L207" s="119"/>
      <c r="M207" s="3"/>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row>
    <row r="208" spans="1:60" s="9" customFormat="1" ht="14.25" customHeight="1" x14ac:dyDescent="0.25">
      <c r="A208" s="4" t="s">
        <v>431</v>
      </c>
      <c r="B208" s="4" t="s">
        <v>38</v>
      </c>
      <c r="C208" s="4" t="s">
        <v>14</v>
      </c>
      <c r="D208" s="35">
        <v>2177</v>
      </c>
      <c r="E208" s="4" t="s">
        <v>432</v>
      </c>
      <c r="F208" s="5">
        <v>39083</v>
      </c>
      <c r="G208" s="5">
        <v>41274</v>
      </c>
      <c r="H208" s="4" t="s">
        <v>40</v>
      </c>
      <c r="I208" s="6">
        <v>17201.5</v>
      </c>
      <c r="J208" s="6">
        <v>17201.5</v>
      </c>
      <c r="K208" s="37" t="s">
        <v>356</v>
      </c>
      <c r="L208" s="119"/>
      <c r="M208" s="3"/>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row>
    <row r="209" spans="1:60" s="9" customFormat="1" ht="14.25" customHeight="1" x14ac:dyDescent="0.25">
      <c r="A209" s="4" t="s">
        <v>433</v>
      </c>
      <c r="B209" s="4" t="s">
        <v>38</v>
      </c>
      <c r="C209" s="4" t="s">
        <v>14</v>
      </c>
      <c r="D209" s="35">
        <v>2180</v>
      </c>
      <c r="E209" s="4" t="s">
        <v>434</v>
      </c>
      <c r="F209" s="5">
        <v>39083</v>
      </c>
      <c r="G209" s="5">
        <v>40908</v>
      </c>
      <c r="H209" s="4" t="s">
        <v>40</v>
      </c>
      <c r="I209" s="6">
        <v>28293.13</v>
      </c>
      <c r="J209" s="6">
        <v>28293.13</v>
      </c>
      <c r="K209" s="37" t="s">
        <v>356</v>
      </c>
      <c r="L209" s="119"/>
      <c r="M209" s="3"/>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row>
    <row r="210" spans="1:60" s="9" customFormat="1" ht="14.25" customHeight="1" x14ac:dyDescent="0.25">
      <c r="A210" s="4" t="s">
        <v>435</v>
      </c>
      <c r="B210" s="4" t="s">
        <v>38</v>
      </c>
      <c r="C210" s="4" t="s">
        <v>14</v>
      </c>
      <c r="D210" s="35">
        <v>2229</v>
      </c>
      <c r="E210" s="4" t="s">
        <v>436</v>
      </c>
      <c r="F210" s="5">
        <v>39083</v>
      </c>
      <c r="G210" s="5">
        <v>41639</v>
      </c>
      <c r="H210" s="4" t="s">
        <v>40</v>
      </c>
      <c r="I210" s="6">
        <f>112313.8+5702</f>
        <v>118015.8</v>
      </c>
      <c r="J210" s="6">
        <f>112313.8+5702</f>
        <v>118015.8</v>
      </c>
      <c r="K210" s="37" t="s">
        <v>356</v>
      </c>
      <c r="L210" s="119"/>
      <c r="M210" s="3"/>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row>
    <row r="211" spans="1:60" s="9" customFormat="1" ht="14.25" customHeight="1" x14ac:dyDescent="0.25">
      <c r="A211" s="4" t="s">
        <v>437</v>
      </c>
      <c r="B211" s="4" t="s">
        <v>38</v>
      </c>
      <c r="C211" s="4" t="s">
        <v>14</v>
      </c>
      <c r="D211" s="35">
        <v>2251</v>
      </c>
      <c r="E211" s="4" t="s">
        <v>438</v>
      </c>
      <c r="F211" s="5">
        <v>39083</v>
      </c>
      <c r="G211" s="5">
        <v>39813</v>
      </c>
      <c r="H211" s="4" t="s">
        <v>40</v>
      </c>
      <c r="I211" s="6">
        <v>1600</v>
      </c>
      <c r="J211" s="6">
        <v>1600</v>
      </c>
      <c r="K211" s="37" t="s">
        <v>356</v>
      </c>
      <c r="L211" s="119"/>
      <c r="M211" s="3"/>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row>
    <row r="212" spans="1:60" s="9" customFormat="1" ht="14.25" customHeight="1" x14ac:dyDescent="0.25">
      <c r="A212" s="4" t="s">
        <v>439</v>
      </c>
      <c r="B212" s="4" t="s">
        <v>38</v>
      </c>
      <c r="C212" s="4" t="s">
        <v>14</v>
      </c>
      <c r="D212" s="35">
        <v>2252</v>
      </c>
      <c r="E212" s="4" t="s">
        <v>440</v>
      </c>
      <c r="F212" s="5">
        <v>39083</v>
      </c>
      <c r="G212" s="5">
        <v>40178</v>
      </c>
      <c r="H212" s="4" t="s">
        <v>40</v>
      </c>
      <c r="I212" s="6">
        <v>9120.85</v>
      </c>
      <c r="J212" s="6">
        <v>9120.85</v>
      </c>
      <c r="K212" s="37" t="s">
        <v>356</v>
      </c>
      <c r="L212" s="119"/>
      <c r="M212" s="3"/>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row>
    <row r="213" spans="1:60" s="9" customFormat="1" ht="14.25" customHeight="1" x14ac:dyDescent="0.25">
      <c r="A213" s="4" t="s">
        <v>441</v>
      </c>
      <c r="B213" s="4" t="s">
        <v>38</v>
      </c>
      <c r="C213" s="4" t="s">
        <v>14</v>
      </c>
      <c r="D213" s="35">
        <v>2260</v>
      </c>
      <c r="E213" s="4" t="s">
        <v>442</v>
      </c>
      <c r="F213" s="5">
        <v>39083</v>
      </c>
      <c r="G213" s="5">
        <v>41639</v>
      </c>
      <c r="H213" s="4" t="s">
        <v>40</v>
      </c>
      <c r="I213" s="6">
        <f>20305.85+8242.5</f>
        <v>28548.35</v>
      </c>
      <c r="J213" s="6">
        <f>20305.85+8242.5</f>
        <v>28548.35</v>
      </c>
      <c r="K213" s="37" t="s">
        <v>356</v>
      </c>
      <c r="L213" s="119"/>
      <c r="M213" s="3"/>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row>
    <row r="214" spans="1:60" s="9" customFormat="1" ht="14.25" customHeight="1" x14ac:dyDescent="0.25">
      <c r="A214" s="4" t="s">
        <v>443</v>
      </c>
      <c r="B214" s="4" t="s">
        <v>38</v>
      </c>
      <c r="C214" s="4" t="s">
        <v>14</v>
      </c>
      <c r="D214" s="35">
        <v>2264</v>
      </c>
      <c r="E214" s="4" t="s">
        <v>444</v>
      </c>
      <c r="F214" s="5">
        <v>39083</v>
      </c>
      <c r="G214" s="5">
        <v>41639</v>
      </c>
      <c r="H214" s="4" t="s">
        <v>40</v>
      </c>
      <c r="I214" s="6">
        <f>42348.34+8105</f>
        <v>50453.34</v>
      </c>
      <c r="J214" s="6">
        <f>42348.34+8105</f>
        <v>50453.34</v>
      </c>
      <c r="K214" s="37" t="s">
        <v>356</v>
      </c>
      <c r="L214" s="119"/>
      <c r="M214" s="3"/>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row>
    <row r="215" spans="1:60" s="9" customFormat="1" ht="14.25" customHeight="1" x14ac:dyDescent="0.25">
      <c r="A215" s="4" t="s">
        <v>445</v>
      </c>
      <c r="B215" s="4" t="s">
        <v>38</v>
      </c>
      <c r="C215" s="4" t="s">
        <v>14</v>
      </c>
      <c r="D215" s="35">
        <v>2269</v>
      </c>
      <c r="E215" s="4" t="s">
        <v>446</v>
      </c>
      <c r="F215" s="5">
        <v>39083</v>
      </c>
      <c r="G215" s="5">
        <v>39813</v>
      </c>
      <c r="H215" s="4" t="s">
        <v>40</v>
      </c>
      <c r="I215" s="6">
        <v>2085.3200000000002</v>
      </c>
      <c r="J215" s="6">
        <v>2085.3200000000002</v>
      </c>
      <c r="K215" s="37" t="s">
        <v>356</v>
      </c>
      <c r="L215" s="119"/>
      <c r="M215" s="3"/>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row>
    <row r="216" spans="1:60" s="9" customFormat="1" ht="14.25" customHeight="1" x14ac:dyDescent="0.25">
      <c r="A216" s="4" t="s">
        <v>447</v>
      </c>
      <c r="B216" s="4" t="s">
        <v>38</v>
      </c>
      <c r="C216" s="4" t="s">
        <v>14</v>
      </c>
      <c r="D216" s="35">
        <v>2273</v>
      </c>
      <c r="E216" s="4" t="s">
        <v>448</v>
      </c>
      <c r="F216" s="5">
        <v>39083</v>
      </c>
      <c r="G216" s="5">
        <v>40908</v>
      </c>
      <c r="H216" s="4" t="s">
        <v>40</v>
      </c>
      <c r="I216" s="6">
        <v>4772.9399999999996</v>
      </c>
      <c r="J216" s="6">
        <v>4772.9399999999996</v>
      </c>
      <c r="K216" s="37" t="s">
        <v>356</v>
      </c>
      <c r="L216" s="119"/>
      <c r="M216" s="3"/>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row>
    <row r="217" spans="1:60" s="9" customFormat="1" ht="14.25" customHeight="1" x14ac:dyDescent="0.25">
      <c r="A217" s="4" t="s">
        <v>449</v>
      </c>
      <c r="B217" s="4" t="s">
        <v>38</v>
      </c>
      <c r="C217" s="4" t="s">
        <v>14</v>
      </c>
      <c r="D217" s="35">
        <v>2275</v>
      </c>
      <c r="E217" s="4" t="s">
        <v>450</v>
      </c>
      <c r="F217" s="5">
        <v>39083</v>
      </c>
      <c r="G217" s="5">
        <v>41639</v>
      </c>
      <c r="H217" s="4" t="s">
        <v>40</v>
      </c>
      <c r="I217" s="6">
        <v>17640</v>
      </c>
      <c r="J217" s="6">
        <v>17640</v>
      </c>
      <c r="K217" s="37" t="s">
        <v>356</v>
      </c>
      <c r="L217" s="119"/>
      <c r="M217" s="3"/>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row>
    <row r="218" spans="1:60" s="4" customFormat="1" ht="14.25" customHeight="1" x14ac:dyDescent="0.25">
      <c r="A218" s="4" t="s">
        <v>451</v>
      </c>
      <c r="B218" s="4" t="s">
        <v>38</v>
      </c>
      <c r="C218" s="4" t="s">
        <v>14</v>
      </c>
      <c r="D218" s="35">
        <v>2278</v>
      </c>
      <c r="E218" s="4" t="s">
        <v>452</v>
      </c>
      <c r="F218" s="5">
        <v>39083</v>
      </c>
      <c r="G218" s="5">
        <v>40543</v>
      </c>
      <c r="H218" s="4" t="s">
        <v>40</v>
      </c>
      <c r="I218" s="6">
        <v>34048.43</v>
      </c>
      <c r="J218" s="6">
        <v>34048.43</v>
      </c>
      <c r="K218" s="37" t="s">
        <v>356</v>
      </c>
      <c r="L218" s="119"/>
      <c r="M218" s="3"/>
    </row>
    <row r="219" spans="1:60" s="4" customFormat="1" ht="14.25" customHeight="1" x14ac:dyDescent="0.25">
      <c r="A219" s="4" t="s">
        <v>453</v>
      </c>
      <c r="B219" s="4" t="s">
        <v>38</v>
      </c>
      <c r="C219" s="4" t="s">
        <v>14</v>
      </c>
      <c r="D219" s="35">
        <v>2314</v>
      </c>
      <c r="E219" s="4" t="s">
        <v>454</v>
      </c>
      <c r="F219" s="5">
        <v>39083</v>
      </c>
      <c r="G219" s="5">
        <v>41639</v>
      </c>
      <c r="H219" s="4" t="s">
        <v>40</v>
      </c>
      <c r="I219" s="6">
        <f>49857.5+4715</f>
        <v>54572.5</v>
      </c>
      <c r="J219" s="6">
        <f>49857.5+4715</f>
        <v>54572.5</v>
      </c>
      <c r="K219" s="37" t="s">
        <v>356</v>
      </c>
      <c r="L219" s="119"/>
      <c r="M219" s="3"/>
    </row>
    <row r="220" spans="1:60" s="4" customFormat="1" ht="14.25" customHeight="1" x14ac:dyDescent="0.25">
      <c r="A220" s="4" t="s">
        <v>455</v>
      </c>
      <c r="B220" s="4" t="s">
        <v>38</v>
      </c>
      <c r="C220" s="4" t="s">
        <v>14</v>
      </c>
      <c r="D220" s="35">
        <v>2315</v>
      </c>
      <c r="E220" s="4" t="s">
        <v>456</v>
      </c>
      <c r="F220" s="5">
        <v>39083</v>
      </c>
      <c r="G220" s="5">
        <v>39813</v>
      </c>
      <c r="H220" s="4" t="s">
        <v>40</v>
      </c>
      <c r="I220" s="6">
        <v>1226.5</v>
      </c>
      <c r="J220" s="6">
        <v>1226.5</v>
      </c>
      <c r="K220" s="37" t="s">
        <v>356</v>
      </c>
      <c r="L220" s="119"/>
      <c r="M220" s="3"/>
    </row>
    <row r="221" spans="1:60" s="4" customFormat="1" ht="14.25" customHeight="1" x14ac:dyDescent="0.25">
      <c r="A221" s="4" t="s">
        <v>457</v>
      </c>
      <c r="B221" s="4" t="s">
        <v>38</v>
      </c>
      <c r="C221" s="4" t="s">
        <v>14</v>
      </c>
      <c r="D221" s="35">
        <v>2316</v>
      </c>
      <c r="E221" s="4" t="s">
        <v>458</v>
      </c>
      <c r="F221" s="5">
        <v>39083</v>
      </c>
      <c r="G221" s="5">
        <v>39813</v>
      </c>
      <c r="H221" s="4" t="s">
        <v>40</v>
      </c>
      <c r="I221" s="6">
        <v>1933</v>
      </c>
      <c r="J221" s="6">
        <v>1933</v>
      </c>
      <c r="K221" s="37" t="s">
        <v>356</v>
      </c>
      <c r="L221" s="119"/>
      <c r="M221" s="3"/>
    </row>
    <row r="222" spans="1:60" s="4" customFormat="1" ht="14.25" customHeight="1" x14ac:dyDescent="0.25">
      <c r="A222" s="4" t="s">
        <v>459</v>
      </c>
      <c r="B222" s="4" t="s">
        <v>38</v>
      </c>
      <c r="C222" s="4" t="s">
        <v>14</v>
      </c>
      <c r="D222" s="35">
        <v>2317</v>
      </c>
      <c r="E222" s="4" t="s">
        <v>460</v>
      </c>
      <c r="F222" s="5">
        <v>39448</v>
      </c>
      <c r="G222" s="5">
        <v>41639</v>
      </c>
      <c r="H222" s="4" t="s">
        <v>40</v>
      </c>
      <c r="I222" s="6">
        <v>2588.9</v>
      </c>
      <c r="J222" s="6">
        <v>2588.9</v>
      </c>
      <c r="K222" s="37" t="s">
        <v>356</v>
      </c>
      <c r="L222" s="119"/>
      <c r="M222" s="3"/>
    </row>
    <row r="223" spans="1:60" s="4" customFormat="1" ht="14.25" customHeight="1" x14ac:dyDescent="0.25">
      <c r="A223" s="4" t="s">
        <v>461</v>
      </c>
      <c r="B223" s="4" t="s">
        <v>38</v>
      </c>
      <c r="C223" s="4" t="s">
        <v>14</v>
      </c>
      <c r="D223" s="35">
        <v>2318</v>
      </c>
      <c r="E223" s="4" t="s">
        <v>462</v>
      </c>
      <c r="F223" s="5">
        <v>39448</v>
      </c>
      <c r="G223" s="5">
        <v>40908</v>
      </c>
      <c r="H223" s="4" t="s">
        <v>40</v>
      </c>
      <c r="I223" s="6">
        <v>1774</v>
      </c>
      <c r="J223" s="6">
        <v>1774</v>
      </c>
      <c r="K223" s="37" t="s">
        <v>356</v>
      </c>
      <c r="L223" s="119"/>
      <c r="M223" s="3"/>
    </row>
    <row r="224" spans="1:60" s="4" customFormat="1" ht="14.25" customHeight="1" x14ac:dyDescent="0.25">
      <c r="A224" s="4" t="s">
        <v>463</v>
      </c>
      <c r="B224" s="4" t="s">
        <v>38</v>
      </c>
      <c r="C224" s="4" t="s">
        <v>14</v>
      </c>
      <c r="D224" s="35">
        <v>2319</v>
      </c>
      <c r="E224" s="4" t="s">
        <v>464</v>
      </c>
      <c r="F224" s="5">
        <v>39448</v>
      </c>
      <c r="G224" s="5">
        <v>41639</v>
      </c>
      <c r="H224" s="4" t="s">
        <v>40</v>
      </c>
      <c r="I224" s="6">
        <f>21977.1+10159.4</f>
        <v>32136.5</v>
      </c>
      <c r="J224" s="6">
        <f>21977.1+10159.4</f>
        <v>32136.5</v>
      </c>
      <c r="K224" s="37" t="s">
        <v>356</v>
      </c>
      <c r="L224" s="119"/>
      <c r="M224" s="3"/>
    </row>
    <row r="225" spans="1:13" s="4" customFormat="1" ht="14.25" customHeight="1" x14ac:dyDescent="0.25">
      <c r="A225" s="4" t="s">
        <v>465</v>
      </c>
      <c r="B225" s="4" t="s">
        <v>38</v>
      </c>
      <c r="C225" s="4" t="s">
        <v>14</v>
      </c>
      <c r="D225" s="35">
        <v>2320</v>
      </c>
      <c r="E225" s="4" t="s">
        <v>466</v>
      </c>
      <c r="F225" s="5">
        <v>39448</v>
      </c>
      <c r="G225" s="5">
        <v>40908</v>
      </c>
      <c r="H225" s="4" t="s">
        <v>40</v>
      </c>
      <c r="I225" s="6">
        <v>2989.6</v>
      </c>
      <c r="J225" s="6">
        <v>2989.6</v>
      </c>
      <c r="K225" s="37" t="s">
        <v>356</v>
      </c>
      <c r="L225" s="119"/>
      <c r="M225" s="3"/>
    </row>
    <row r="226" spans="1:13" s="4" customFormat="1" ht="14.25" customHeight="1" x14ac:dyDescent="0.25">
      <c r="A226" s="4" t="s">
        <v>467</v>
      </c>
      <c r="B226" s="4" t="s">
        <v>38</v>
      </c>
      <c r="C226" s="4" t="s">
        <v>14</v>
      </c>
      <c r="D226" s="35">
        <v>2321</v>
      </c>
      <c r="E226" s="4" t="s">
        <v>468</v>
      </c>
      <c r="F226" s="5">
        <v>39448</v>
      </c>
      <c r="G226" s="5">
        <v>39813</v>
      </c>
      <c r="H226" s="4" t="s">
        <v>40</v>
      </c>
      <c r="I226" s="6">
        <v>268.60000000000002</v>
      </c>
      <c r="J226" s="6">
        <v>268.60000000000002</v>
      </c>
      <c r="K226" s="37" t="s">
        <v>356</v>
      </c>
      <c r="L226" s="119"/>
      <c r="M226" s="3"/>
    </row>
    <row r="227" spans="1:13" s="4" customFormat="1" ht="14.25" customHeight="1" x14ac:dyDescent="0.25">
      <c r="A227" s="4" t="s">
        <v>469</v>
      </c>
      <c r="B227" s="4" t="s">
        <v>38</v>
      </c>
      <c r="C227" s="4" t="s">
        <v>14</v>
      </c>
      <c r="D227" s="35">
        <v>2322</v>
      </c>
      <c r="E227" s="4" t="s">
        <v>470</v>
      </c>
      <c r="F227" s="5">
        <v>39448</v>
      </c>
      <c r="G227" s="5">
        <v>39813</v>
      </c>
      <c r="H227" s="4" t="s">
        <v>40</v>
      </c>
      <c r="I227" s="6">
        <v>4312.49</v>
      </c>
      <c r="J227" s="6">
        <v>4312.49</v>
      </c>
      <c r="K227" s="37" t="s">
        <v>356</v>
      </c>
      <c r="L227" s="119"/>
      <c r="M227" s="3"/>
    </row>
    <row r="228" spans="1:13" s="4" customFormat="1" ht="14.25" customHeight="1" x14ac:dyDescent="0.25">
      <c r="A228" s="4" t="s">
        <v>471</v>
      </c>
      <c r="B228" s="4" t="s">
        <v>38</v>
      </c>
      <c r="C228" s="4" t="s">
        <v>14</v>
      </c>
      <c r="D228" s="35">
        <v>2323</v>
      </c>
      <c r="E228" s="4" t="s">
        <v>472</v>
      </c>
      <c r="F228" s="5">
        <v>39448</v>
      </c>
      <c r="G228" s="5">
        <v>39813</v>
      </c>
      <c r="H228" s="4" t="s">
        <v>40</v>
      </c>
      <c r="I228" s="6">
        <v>1000</v>
      </c>
      <c r="J228" s="6">
        <v>1000</v>
      </c>
      <c r="K228" s="37" t="s">
        <v>356</v>
      </c>
      <c r="L228" s="119"/>
      <c r="M228" s="3"/>
    </row>
    <row r="229" spans="1:13" s="4" customFormat="1" ht="14.25" customHeight="1" x14ac:dyDescent="0.25">
      <c r="A229" s="4" t="s">
        <v>473</v>
      </c>
      <c r="B229" s="4" t="s">
        <v>59</v>
      </c>
      <c r="C229" s="4" t="s">
        <v>14</v>
      </c>
      <c r="D229" s="35">
        <v>2733</v>
      </c>
      <c r="E229" s="4" t="s">
        <v>474</v>
      </c>
      <c r="F229" s="5">
        <v>39126</v>
      </c>
      <c r="G229" s="5">
        <v>39491</v>
      </c>
      <c r="H229" s="4" t="s">
        <v>40</v>
      </c>
      <c r="I229" s="6">
        <v>7500</v>
      </c>
      <c r="J229" s="6">
        <v>7500</v>
      </c>
      <c r="K229" s="37" t="s">
        <v>356</v>
      </c>
      <c r="L229" s="119"/>
      <c r="M229" s="3"/>
    </row>
    <row r="230" spans="1:13" s="4" customFormat="1" ht="14.25" customHeight="1" x14ac:dyDescent="0.25">
      <c r="A230" s="4" t="s">
        <v>475</v>
      </c>
      <c r="B230" s="4" t="s">
        <v>50</v>
      </c>
      <c r="C230" s="4" t="s">
        <v>14</v>
      </c>
      <c r="D230" s="35">
        <v>2806</v>
      </c>
      <c r="E230" s="4" t="s">
        <v>476</v>
      </c>
      <c r="F230" s="5">
        <v>39245</v>
      </c>
      <c r="G230" s="5">
        <v>39813</v>
      </c>
      <c r="H230" s="4" t="s">
        <v>40</v>
      </c>
      <c r="I230" s="6">
        <v>30000</v>
      </c>
      <c r="J230" s="6">
        <v>15000</v>
      </c>
      <c r="K230" s="37" t="s">
        <v>356</v>
      </c>
      <c r="L230" s="119"/>
      <c r="M230" s="3"/>
    </row>
    <row r="231" spans="1:13" s="4" customFormat="1" ht="14.25" customHeight="1" x14ac:dyDescent="0.25">
      <c r="A231" s="4" t="s">
        <v>477</v>
      </c>
      <c r="B231" s="4" t="s">
        <v>50</v>
      </c>
      <c r="C231" s="4" t="s">
        <v>14</v>
      </c>
      <c r="D231" s="35">
        <v>2902</v>
      </c>
      <c r="E231" s="4" t="s">
        <v>478</v>
      </c>
      <c r="F231" s="5">
        <v>39245</v>
      </c>
      <c r="G231" s="5">
        <v>39813</v>
      </c>
      <c r="H231" s="4" t="s">
        <v>40</v>
      </c>
      <c r="I231" s="6">
        <v>23600</v>
      </c>
      <c r="J231" s="6">
        <v>11800</v>
      </c>
      <c r="K231" s="37" t="s">
        <v>356</v>
      </c>
      <c r="L231" s="119"/>
      <c r="M231" s="3"/>
    </row>
    <row r="232" spans="1:13" s="4" customFormat="1" ht="14.25" customHeight="1" x14ac:dyDescent="0.25">
      <c r="A232" s="4" t="s">
        <v>479</v>
      </c>
      <c r="B232" s="4" t="s">
        <v>59</v>
      </c>
      <c r="C232" s="4" t="s">
        <v>14</v>
      </c>
      <c r="D232" s="35">
        <v>2905</v>
      </c>
      <c r="E232" s="4" t="s">
        <v>480</v>
      </c>
      <c r="F232" s="5">
        <v>39126</v>
      </c>
      <c r="G232" s="5">
        <v>39813</v>
      </c>
      <c r="H232" s="4" t="s">
        <v>40</v>
      </c>
      <c r="I232" s="6">
        <v>7500</v>
      </c>
      <c r="J232" s="6">
        <v>7500</v>
      </c>
      <c r="K232" s="37" t="s">
        <v>356</v>
      </c>
      <c r="L232" s="119"/>
      <c r="M232" s="3"/>
    </row>
    <row r="233" spans="1:13" s="4" customFormat="1" ht="14.25" customHeight="1" x14ac:dyDescent="0.25">
      <c r="A233" s="4" t="s">
        <v>481</v>
      </c>
      <c r="B233" s="4" t="s">
        <v>59</v>
      </c>
      <c r="C233" s="4" t="s">
        <v>14</v>
      </c>
      <c r="D233" s="35">
        <v>2907</v>
      </c>
      <c r="E233" s="4" t="s">
        <v>482</v>
      </c>
      <c r="F233" s="5">
        <v>39245</v>
      </c>
      <c r="G233" s="5">
        <v>39813</v>
      </c>
      <c r="H233" s="4" t="s">
        <v>40</v>
      </c>
      <c r="I233" s="6">
        <v>7500</v>
      </c>
      <c r="J233" s="6">
        <v>7500</v>
      </c>
      <c r="K233" s="37" t="s">
        <v>356</v>
      </c>
      <c r="L233" s="119"/>
      <c r="M233" s="3"/>
    </row>
    <row r="234" spans="1:13" s="4" customFormat="1" ht="14.25" customHeight="1" x14ac:dyDescent="0.25">
      <c r="A234" s="4" t="s">
        <v>483</v>
      </c>
      <c r="B234" s="4" t="s">
        <v>90</v>
      </c>
      <c r="C234" s="4" t="s">
        <v>14</v>
      </c>
      <c r="D234" s="35">
        <v>2908</v>
      </c>
      <c r="E234" s="4" t="s">
        <v>484</v>
      </c>
      <c r="F234" s="5">
        <v>39245</v>
      </c>
      <c r="G234" s="5">
        <v>39611</v>
      </c>
      <c r="H234" s="4" t="s">
        <v>40</v>
      </c>
      <c r="I234" s="6">
        <v>10000</v>
      </c>
      <c r="J234" s="6">
        <v>5000</v>
      </c>
      <c r="K234" s="37" t="s">
        <v>356</v>
      </c>
      <c r="L234" s="119"/>
      <c r="M234" s="3"/>
    </row>
    <row r="235" spans="1:13" s="4" customFormat="1" ht="14.25" customHeight="1" x14ac:dyDescent="0.25">
      <c r="A235" s="4" t="s">
        <v>485</v>
      </c>
      <c r="B235" s="4" t="s">
        <v>50</v>
      </c>
      <c r="C235" s="4" t="s">
        <v>14</v>
      </c>
      <c r="D235" s="35">
        <v>2913</v>
      </c>
      <c r="E235" s="4" t="s">
        <v>486</v>
      </c>
      <c r="F235" s="5">
        <v>39182</v>
      </c>
      <c r="G235" s="5">
        <v>39813</v>
      </c>
      <c r="H235" s="4" t="s">
        <v>40</v>
      </c>
      <c r="I235" s="6">
        <v>16294</v>
      </c>
      <c r="J235" s="6">
        <v>8147</v>
      </c>
      <c r="K235" s="37" t="s">
        <v>356</v>
      </c>
      <c r="L235" s="119"/>
      <c r="M235" s="3"/>
    </row>
    <row r="236" spans="1:13" s="4" customFormat="1" ht="14.25" customHeight="1" x14ac:dyDescent="0.25">
      <c r="A236" s="4" t="s">
        <v>487</v>
      </c>
      <c r="B236" s="4" t="s">
        <v>50</v>
      </c>
      <c r="C236" s="4" t="s">
        <v>14</v>
      </c>
      <c r="D236" s="35">
        <v>2916</v>
      </c>
      <c r="E236" s="7" t="s">
        <v>488</v>
      </c>
      <c r="F236" s="5">
        <v>39083</v>
      </c>
      <c r="G236" s="5">
        <v>39813</v>
      </c>
      <c r="H236" s="4" t="s">
        <v>40</v>
      </c>
      <c r="I236" s="6">
        <v>45000</v>
      </c>
      <c r="J236" s="6">
        <v>22500</v>
      </c>
      <c r="K236" s="37" t="s">
        <v>356</v>
      </c>
      <c r="L236" s="119"/>
      <c r="M236" s="3"/>
    </row>
    <row r="237" spans="1:13" s="4" customFormat="1" ht="14.25" customHeight="1" x14ac:dyDescent="0.25">
      <c r="A237" s="4" t="s">
        <v>489</v>
      </c>
      <c r="B237" s="4" t="s">
        <v>59</v>
      </c>
      <c r="C237" s="4" t="s">
        <v>14</v>
      </c>
      <c r="D237" s="35">
        <v>2919</v>
      </c>
      <c r="E237" s="4" t="s">
        <v>490</v>
      </c>
      <c r="F237" s="5">
        <v>39182</v>
      </c>
      <c r="G237" s="5">
        <v>39447</v>
      </c>
      <c r="H237" s="4" t="s">
        <v>40</v>
      </c>
      <c r="I237" s="6">
        <v>3750</v>
      </c>
      <c r="J237" s="6">
        <v>3750</v>
      </c>
      <c r="K237" s="37" t="s">
        <v>356</v>
      </c>
      <c r="L237" s="119"/>
      <c r="M237" s="3"/>
    </row>
    <row r="238" spans="1:13" s="4" customFormat="1" ht="14.25" customHeight="1" x14ac:dyDescent="0.25">
      <c r="A238" s="4" t="s">
        <v>491</v>
      </c>
      <c r="B238" s="4" t="s">
        <v>50</v>
      </c>
      <c r="C238" s="4" t="s">
        <v>14</v>
      </c>
      <c r="D238" s="35">
        <v>2920</v>
      </c>
      <c r="E238" s="7" t="s">
        <v>492</v>
      </c>
      <c r="F238" s="5">
        <v>39245</v>
      </c>
      <c r="G238" s="5">
        <v>39813</v>
      </c>
      <c r="H238" s="4" t="s">
        <v>40</v>
      </c>
      <c r="I238" s="6">
        <v>70000</v>
      </c>
      <c r="J238" s="6">
        <v>35000</v>
      </c>
      <c r="K238" s="37" t="s">
        <v>356</v>
      </c>
      <c r="L238" s="119"/>
      <c r="M238" s="3"/>
    </row>
    <row r="239" spans="1:13" s="4" customFormat="1" ht="13.5" customHeight="1" x14ac:dyDescent="0.25">
      <c r="A239" s="4" t="s">
        <v>493</v>
      </c>
      <c r="B239" s="4" t="s">
        <v>50</v>
      </c>
      <c r="C239" s="4" t="s">
        <v>14</v>
      </c>
      <c r="D239" s="35">
        <v>2931</v>
      </c>
      <c r="E239" s="4" t="s">
        <v>494</v>
      </c>
      <c r="F239" s="5">
        <v>39245</v>
      </c>
      <c r="G239" s="5">
        <v>39813</v>
      </c>
      <c r="H239" s="4" t="s">
        <v>40</v>
      </c>
      <c r="I239" s="6">
        <v>2800</v>
      </c>
      <c r="J239" s="6">
        <v>1400</v>
      </c>
      <c r="K239" s="37" t="s">
        <v>356</v>
      </c>
      <c r="L239" s="119"/>
      <c r="M239" s="3"/>
    </row>
    <row r="240" spans="1:13" s="4" customFormat="1" ht="14.25" customHeight="1" x14ac:dyDescent="0.25">
      <c r="A240" s="4" t="s">
        <v>497</v>
      </c>
      <c r="B240" s="4" t="s">
        <v>50</v>
      </c>
      <c r="C240" s="4" t="s">
        <v>14</v>
      </c>
      <c r="D240" s="35">
        <v>2933</v>
      </c>
      <c r="E240" s="7" t="s">
        <v>498</v>
      </c>
      <c r="F240" s="5">
        <v>39245</v>
      </c>
      <c r="G240" s="5">
        <v>39813</v>
      </c>
      <c r="H240" s="4" t="s">
        <v>40</v>
      </c>
      <c r="I240" s="6">
        <v>40000</v>
      </c>
      <c r="J240" s="6">
        <v>20000</v>
      </c>
      <c r="K240" s="37" t="s">
        <v>356</v>
      </c>
      <c r="L240" s="119"/>
      <c r="M240" s="3"/>
    </row>
    <row r="241" spans="1:13" s="4" customFormat="1" ht="14.25" customHeight="1" x14ac:dyDescent="0.25">
      <c r="A241" s="4" t="s">
        <v>499</v>
      </c>
      <c r="B241" s="4" t="s">
        <v>50</v>
      </c>
      <c r="C241" s="4" t="s">
        <v>14</v>
      </c>
      <c r="D241" s="35">
        <v>2934</v>
      </c>
      <c r="E241" s="4" t="s">
        <v>500</v>
      </c>
      <c r="F241" s="5">
        <v>39245</v>
      </c>
      <c r="G241" s="5">
        <v>39813</v>
      </c>
      <c r="H241" s="4" t="s">
        <v>40</v>
      </c>
      <c r="I241" s="6">
        <v>17500</v>
      </c>
      <c r="J241" s="6">
        <v>8750</v>
      </c>
      <c r="K241" s="37" t="s">
        <v>356</v>
      </c>
      <c r="L241" s="119"/>
      <c r="M241" s="3"/>
    </row>
    <row r="242" spans="1:13" s="4" customFormat="1" ht="14.25" customHeight="1" x14ac:dyDescent="0.25">
      <c r="A242" s="4" t="s">
        <v>501</v>
      </c>
      <c r="B242" s="4" t="s">
        <v>50</v>
      </c>
      <c r="C242" s="4" t="s">
        <v>14</v>
      </c>
      <c r="D242" s="35">
        <v>2935</v>
      </c>
      <c r="E242" s="4" t="s">
        <v>502</v>
      </c>
      <c r="F242" s="5">
        <v>39182</v>
      </c>
      <c r="G242" s="5">
        <v>39813</v>
      </c>
      <c r="H242" s="4" t="s">
        <v>40</v>
      </c>
      <c r="I242" s="6">
        <v>13000</v>
      </c>
      <c r="J242" s="6">
        <v>6500</v>
      </c>
      <c r="K242" s="37" t="s">
        <v>356</v>
      </c>
      <c r="L242" s="119"/>
      <c r="M242" s="3"/>
    </row>
    <row r="243" spans="1:13" s="4" customFormat="1" ht="14.25" customHeight="1" x14ac:dyDescent="0.25">
      <c r="A243" s="4" t="s">
        <v>503</v>
      </c>
      <c r="B243" s="4" t="s">
        <v>59</v>
      </c>
      <c r="C243" s="4" t="s">
        <v>14</v>
      </c>
      <c r="D243" s="35">
        <v>2936</v>
      </c>
      <c r="E243" s="4" t="s">
        <v>504</v>
      </c>
      <c r="F243" s="5">
        <v>39126</v>
      </c>
      <c r="G243" s="5">
        <v>39813</v>
      </c>
      <c r="H243" s="4" t="s">
        <v>40</v>
      </c>
      <c r="I243" s="6">
        <v>7500</v>
      </c>
      <c r="J243" s="6">
        <v>7500</v>
      </c>
      <c r="K243" s="37" t="s">
        <v>356</v>
      </c>
      <c r="L243" s="119"/>
      <c r="M243" s="3"/>
    </row>
    <row r="244" spans="1:13" s="4" customFormat="1" ht="14.25" customHeight="1" x14ac:dyDescent="0.25">
      <c r="A244" s="4" t="s">
        <v>505</v>
      </c>
      <c r="B244" s="4" t="s">
        <v>50</v>
      </c>
      <c r="C244" s="4" t="s">
        <v>14</v>
      </c>
      <c r="D244" s="35">
        <v>2937</v>
      </c>
      <c r="E244" s="4" t="s">
        <v>506</v>
      </c>
      <c r="F244" s="5">
        <v>39336</v>
      </c>
      <c r="G244" s="5">
        <v>39813</v>
      </c>
      <c r="H244" s="4" t="s">
        <v>40</v>
      </c>
      <c r="I244" s="6">
        <v>11516</v>
      </c>
      <c r="J244" s="6">
        <v>5758</v>
      </c>
      <c r="K244" s="37" t="s">
        <v>356</v>
      </c>
      <c r="L244" s="119"/>
      <c r="M244" s="3"/>
    </row>
    <row r="245" spans="1:13" s="4" customFormat="1" ht="14.25" customHeight="1" x14ac:dyDescent="0.25">
      <c r="A245" s="4" t="s">
        <v>507</v>
      </c>
      <c r="B245" s="4" t="s">
        <v>59</v>
      </c>
      <c r="C245" s="4" t="s">
        <v>14</v>
      </c>
      <c r="D245" s="35">
        <v>2938</v>
      </c>
      <c r="E245" s="4" t="s">
        <v>508</v>
      </c>
      <c r="F245" s="5">
        <v>39245</v>
      </c>
      <c r="G245" s="5">
        <v>39813</v>
      </c>
      <c r="H245" s="4" t="s">
        <v>40</v>
      </c>
      <c r="I245" s="6">
        <v>7500</v>
      </c>
      <c r="J245" s="6">
        <v>7500</v>
      </c>
      <c r="K245" s="37" t="s">
        <v>356</v>
      </c>
      <c r="L245" s="119"/>
      <c r="M245" s="3"/>
    </row>
    <row r="246" spans="1:13" s="4" customFormat="1" ht="14.25" customHeight="1" x14ac:dyDescent="0.25">
      <c r="A246" s="4" t="s">
        <v>509</v>
      </c>
      <c r="B246" s="4" t="s">
        <v>50</v>
      </c>
      <c r="C246" s="4" t="s">
        <v>14</v>
      </c>
      <c r="D246" s="35">
        <v>2939</v>
      </c>
      <c r="E246" s="4" t="s">
        <v>510</v>
      </c>
      <c r="F246" s="5">
        <v>39336</v>
      </c>
      <c r="G246" s="5">
        <v>39813</v>
      </c>
      <c r="H246" s="4" t="s">
        <v>40</v>
      </c>
      <c r="I246" s="6">
        <v>10746</v>
      </c>
      <c r="J246" s="6">
        <v>5373</v>
      </c>
      <c r="K246" s="37" t="s">
        <v>356</v>
      </c>
      <c r="L246" s="119"/>
      <c r="M246" s="3"/>
    </row>
    <row r="247" spans="1:13" s="4" customFormat="1" ht="14.25" customHeight="1" x14ac:dyDescent="0.25">
      <c r="A247" s="4" t="s">
        <v>511</v>
      </c>
      <c r="B247" s="4" t="s">
        <v>59</v>
      </c>
      <c r="C247" s="4" t="s">
        <v>14</v>
      </c>
      <c r="D247" s="35">
        <v>2940</v>
      </c>
      <c r="E247" s="4" t="s">
        <v>512</v>
      </c>
      <c r="F247" s="5">
        <v>39427</v>
      </c>
      <c r="G247" s="5">
        <v>39813</v>
      </c>
      <c r="H247" s="4" t="s">
        <v>40</v>
      </c>
      <c r="I247" s="6">
        <v>7500</v>
      </c>
      <c r="J247" s="6">
        <v>7500</v>
      </c>
      <c r="K247" s="37" t="s">
        <v>356</v>
      </c>
      <c r="L247" s="119"/>
      <c r="M247" s="3"/>
    </row>
    <row r="248" spans="1:13" s="4" customFormat="1" ht="14.25" customHeight="1" x14ac:dyDescent="0.25">
      <c r="A248" s="4" t="s">
        <v>513</v>
      </c>
      <c r="B248" s="4" t="s">
        <v>50</v>
      </c>
      <c r="C248" s="4" t="s">
        <v>14</v>
      </c>
      <c r="D248" s="35">
        <v>2941</v>
      </c>
      <c r="E248" s="4" t="s">
        <v>514</v>
      </c>
      <c r="F248" s="5">
        <v>39336</v>
      </c>
      <c r="G248" s="5">
        <v>39813</v>
      </c>
      <c r="H248" s="4" t="s">
        <v>40</v>
      </c>
      <c r="I248" s="6">
        <v>14518</v>
      </c>
      <c r="J248" s="6">
        <v>7259</v>
      </c>
      <c r="K248" s="37" t="s">
        <v>356</v>
      </c>
      <c r="L248" s="119"/>
      <c r="M248" s="3"/>
    </row>
    <row r="249" spans="1:13" s="4" customFormat="1" ht="14.25" customHeight="1" x14ac:dyDescent="0.25">
      <c r="A249" s="4" t="s">
        <v>515</v>
      </c>
      <c r="B249" s="4" t="s">
        <v>59</v>
      </c>
      <c r="C249" s="4" t="s">
        <v>14</v>
      </c>
      <c r="D249" s="35">
        <v>2942</v>
      </c>
      <c r="E249" s="4" t="s">
        <v>516</v>
      </c>
      <c r="F249" s="5">
        <v>39215</v>
      </c>
      <c r="G249" s="5">
        <v>39813</v>
      </c>
      <c r="H249" s="4" t="s">
        <v>40</v>
      </c>
      <c r="I249" s="6">
        <v>7500</v>
      </c>
      <c r="J249" s="6">
        <v>7500</v>
      </c>
      <c r="K249" s="37" t="s">
        <v>356</v>
      </c>
      <c r="L249" s="119"/>
      <c r="M249" s="3"/>
    </row>
    <row r="250" spans="1:13" s="4" customFormat="1" ht="14.25" customHeight="1" x14ac:dyDescent="0.25">
      <c r="A250" s="4" t="s">
        <v>517</v>
      </c>
      <c r="B250" s="4" t="s">
        <v>50</v>
      </c>
      <c r="C250" s="4" t="s">
        <v>14</v>
      </c>
      <c r="D250" s="35">
        <v>2943</v>
      </c>
      <c r="E250" s="7" t="s">
        <v>518</v>
      </c>
      <c r="F250" s="5">
        <v>39399</v>
      </c>
      <c r="G250" s="5">
        <v>39813</v>
      </c>
      <c r="H250" s="4" t="s">
        <v>40</v>
      </c>
      <c r="I250" s="6">
        <v>14520</v>
      </c>
      <c r="J250" s="6">
        <v>7260</v>
      </c>
      <c r="K250" s="37" t="s">
        <v>356</v>
      </c>
      <c r="L250" s="119"/>
      <c r="M250" s="3"/>
    </row>
    <row r="251" spans="1:13" s="4" customFormat="1" ht="14.25" customHeight="1" x14ac:dyDescent="0.25">
      <c r="A251" s="4" t="s">
        <v>519</v>
      </c>
      <c r="B251" s="4" t="s">
        <v>50</v>
      </c>
      <c r="C251" s="4" t="s">
        <v>14</v>
      </c>
      <c r="D251" s="35">
        <v>2944</v>
      </c>
      <c r="E251" s="4" t="s">
        <v>520</v>
      </c>
      <c r="F251" s="5">
        <v>39532</v>
      </c>
      <c r="G251" s="5">
        <v>39897</v>
      </c>
      <c r="H251" s="4" t="s">
        <v>40</v>
      </c>
      <c r="I251" s="6">
        <v>6000</v>
      </c>
      <c r="J251" s="6">
        <v>3000</v>
      </c>
      <c r="K251" s="37" t="s">
        <v>356</v>
      </c>
      <c r="L251" s="119"/>
      <c r="M251" s="3"/>
    </row>
    <row r="252" spans="1:13" s="4" customFormat="1" ht="14.25" customHeight="1" x14ac:dyDescent="0.25">
      <c r="A252" s="4" t="s">
        <v>521</v>
      </c>
      <c r="B252" s="4" t="s">
        <v>50</v>
      </c>
      <c r="C252" s="4" t="s">
        <v>14</v>
      </c>
      <c r="D252" s="35">
        <v>2945</v>
      </c>
      <c r="E252" s="4" t="s">
        <v>522</v>
      </c>
      <c r="F252" s="5">
        <v>39427</v>
      </c>
      <c r="G252" s="5">
        <v>39793</v>
      </c>
      <c r="H252" s="4" t="s">
        <v>40</v>
      </c>
      <c r="I252" s="6">
        <v>24000</v>
      </c>
      <c r="J252" s="6">
        <v>12000</v>
      </c>
      <c r="K252" s="37" t="s">
        <v>356</v>
      </c>
      <c r="L252" s="119"/>
      <c r="M252" s="3"/>
    </row>
    <row r="253" spans="1:13" s="4" customFormat="1" ht="14.25" customHeight="1" x14ac:dyDescent="0.25">
      <c r="A253" s="4" t="s">
        <v>523</v>
      </c>
      <c r="B253" s="4" t="s">
        <v>50</v>
      </c>
      <c r="C253" s="4" t="s">
        <v>14</v>
      </c>
      <c r="D253" s="35">
        <v>2946</v>
      </c>
      <c r="E253" s="4" t="s">
        <v>524</v>
      </c>
      <c r="F253" s="5">
        <v>39399</v>
      </c>
      <c r="G253" s="5">
        <v>39813</v>
      </c>
      <c r="H253" s="4" t="s">
        <v>40</v>
      </c>
      <c r="I253" s="6">
        <v>7106</v>
      </c>
      <c r="J253" s="6">
        <v>3553</v>
      </c>
      <c r="K253" s="37" t="s">
        <v>356</v>
      </c>
      <c r="L253" s="119"/>
      <c r="M253" s="3"/>
    </row>
    <row r="254" spans="1:13" s="4" customFormat="1" ht="14.25" customHeight="1" x14ac:dyDescent="0.25">
      <c r="A254" s="4" t="s">
        <v>525</v>
      </c>
      <c r="B254" s="4" t="s">
        <v>50</v>
      </c>
      <c r="C254" s="4" t="s">
        <v>14</v>
      </c>
      <c r="D254" s="35">
        <v>2947</v>
      </c>
      <c r="E254" s="7" t="s">
        <v>526</v>
      </c>
      <c r="F254" s="5">
        <v>39245</v>
      </c>
      <c r="G254" s="5">
        <v>39813</v>
      </c>
      <c r="H254" s="4" t="s">
        <v>40</v>
      </c>
      <c r="I254" s="6">
        <v>12392</v>
      </c>
      <c r="J254" s="6">
        <v>6196</v>
      </c>
      <c r="K254" s="37" t="s">
        <v>356</v>
      </c>
      <c r="L254" s="119"/>
      <c r="M254" s="3"/>
    </row>
    <row r="255" spans="1:13" s="4" customFormat="1" ht="14.25" customHeight="1" x14ac:dyDescent="0.25">
      <c r="A255" s="4" t="s">
        <v>527</v>
      </c>
      <c r="B255" s="4" t="s">
        <v>59</v>
      </c>
      <c r="C255" s="4" t="s">
        <v>14</v>
      </c>
      <c r="D255" s="35">
        <v>2949</v>
      </c>
      <c r="E255" s="4" t="s">
        <v>528</v>
      </c>
      <c r="F255" s="5">
        <v>39623</v>
      </c>
      <c r="G255" s="5">
        <v>40178</v>
      </c>
      <c r="H255" s="4" t="s">
        <v>40</v>
      </c>
      <c r="I255" s="6">
        <v>7500</v>
      </c>
      <c r="J255" s="6">
        <v>7500</v>
      </c>
      <c r="K255" s="37" t="s">
        <v>356</v>
      </c>
      <c r="L255" s="119"/>
      <c r="M255" s="3"/>
    </row>
    <row r="256" spans="1:13" s="4" customFormat="1" ht="14.25" customHeight="1" x14ac:dyDescent="0.25">
      <c r="A256" s="4" t="s">
        <v>529</v>
      </c>
      <c r="B256" s="4" t="s">
        <v>50</v>
      </c>
      <c r="C256" s="4" t="s">
        <v>14</v>
      </c>
      <c r="D256" s="35">
        <v>2951</v>
      </c>
      <c r="E256" s="7" t="s">
        <v>530</v>
      </c>
      <c r="F256" s="5">
        <v>39623</v>
      </c>
      <c r="G256" s="5">
        <v>39988</v>
      </c>
      <c r="H256" s="4" t="s">
        <v>40</v>
      </c>
      <c r="I256" s="6">
        <v>20000</v>
      </c>
      <c r="J256" s="6">
        <v>10000</v>
      </c>
      <c r="K256" s="37" t="s">
        <v>356</v>
      </c>
      <c r="L256" s="119"/>
      <c r="M256" s="3"/>
    </row>
    <row r="257" spans="1:13" s="4" customFormat="1" ht="14.25" customHeight="1" x14ac:dyDescent="0.25">
      <c r="A257" s="4" t="s">
        <v>531</v>
      </c>
      <c r="B257" s="4" t="s">
        <v>90</v>
      </c>
      <c r="C257" s="4" t="s">
        <v>14</v>
      </c>
      <c r="D257" s="35">
        <v>2952</v>
      </c>
      <c r="E257" s="4" t="s">
        <v>532</v>
      </c>
      <c r="F257" s="5">
        <v>39532</v>
      </c>
      <c r="G257" s="5">
        <v>39897</v>
      </c>
      <c r="H257" s="4" t="s">
        <v>40</v>
      </c>
      <c r="I257" s="6">
        <v>9250</v>
      </c>
      <c r="J257" s="6">
        <v>4625</v>
      </c>
      <c r="K257" s="37" t="s">
        <v>356</v>
      </c>
      <c r="L257" s="119"/>
      <c r="M257" s="3"/>
    </row>
    <row r="258" spans="1:13" s="4" customFormat="1" ht="14.25" customHeight="1" x14ac:dyDescent="0.25">
      <c r="A258" s="4" t="s">
        <v>533</v>
      </c>
      <c r="B258" s="4" t="s">
        <v>50</v>
      </c>
      <c r="C258" s="4" t="s">
        <v>14</v>
      </c>
      <c r="D258" s="35">
        <v>2953</v>
      </c>
      <c r="E258" s="4" t="s">
        <v>534</v>
      </c>
      <c r="F258" s="5">
        <v>39581</v>
      </c>
      <c r="G258" s="5">
        <v>39946</v>
      </c>
      <c r="H258" s="4" t="s">
        <v>40</v>
      </c>
      <c r="I258" s="6">
        <v>30000</v>
      </c>
      <c r="J258" s="6">
        <v>15000</v>
      </c>
      <c r="K258" s="37" t="s">
        <v>356</v>
      </c>
      <c r="L258" s="119"/>
      <c r="M258" s="3"/>
    </row>
    <row r="259" spans="1:13" s="4" customFormat="1" ht="14.25" customHeight="1" x14ac:dyDescent="0.25">
      <c r="A259" s="4" t="s">
        <v>535</v>
      </c>
      <c r="B259" s="4" t="s">
        <v>50</v>
      </c>
      <c r="C259" s="4" t="s">
        <v>14</v>
      </c>
      <c r="D259" s="35">
        <v>2954</v>
      </c>
      <c r="E259" s="4" t="s">
        <v>536</v>
      </c>
      <c r="F259" s="5">
        <v>39623</v>
      </c>
      <c r="G259" s="5">
        <v>39988</v>
      </c>
      <c r="H259" s="4" t="s">
        <v>40</v>
      </c>
      <c r="I259" s="6">
        <v>19724</v>
      </c>
      <c r="J259" s="6">
        <v>9862</v>
      </c>
      <c r="K259" s="37" t="s">
        <v>356</v>
      </c>
      <c r="L259" s="119"/>
      <c r="M259" s="3"/>
    </row>
    <row r="260" spans="1:13" s="4" customFormat="1" ht="14.25" customHeight="1" x14ac:dyDescent="0.25">
      <c r="A260" s="4" t="s">
        <v>537</v>
      </c>
      <c r="B260" s="4" t="s">
        <v>50</v>
      </c>
      <c r="C260" s="4" t="s">
        <v>14</v>
      </c>
      <c r="D260" s="35">
        <v>2955</v>
      </c>
      <c r="E260" s="4" t="s">
        <v>538</v>
      </c>
      <c r="F260" s="5">
        <v>39581</v>
      </c>
      <c r="G260" s="5">
        <v>39946</v>
      </c>
      <c r="H260" s="4" t="s">
        <v>40</v>
      </c>
      <c r="I260" s="6">
        <v>24000</v>
      </c>
      <c r="J260" s="6">
        <v>12000</v>
      </c>
      <c r="K260" s="37" t="s">
        <v>356</v>
      </c>
      <c r="L260" s="119"/>
      <c r="M260" s="3"/>
    </row>
    <row r="261" spans="1:13" s="4" customFormat="1" ht="14.25" customHeight="1" x14ac:dyDescent="0.25">
      <c r="A261" s="4" t="s">
        <v>539</v>
      </c>
      <c r="B261" s="4" t="s">
        <v>90</v>
      </c>
      <c r="C261" s="4" t="s">
        <v>14</v>
      </c>
      <c r="D261" s="35">
        <v>2956</v>
      </c>
      <c r="E261" s="4" t="s">
        <v>540</v>
      </c>
      <c r="F261" s="5">
        <v>39532</v>
      </c>
      <c r="G261" s="5">
        <v>39897</v>
      </c>
      <c r="H261" s="4" t="s">
        <v>40</v>
      </c>
      <c r="I261" s="6">
        <v>6400</v>
      </c>
      <c r="J261" s="6">
        <v>4500</v>
      </c>
      <c r="K261" s="37" t="s">
        <v>356</v>
      </c>
      <c r="L261" s="119"/>
      <c r="M261" s="3"/>
    </row>
    <row r="262" spans="1:13" s="4" customFormat="1" ht="14.25" customHeight="1" x14ac:dyDescent="0.25">
      <c r="A262" s="4" t="s">
        <v>541</v>
      </c>
      <c r="B262" s="4" t="s">
        <v>90</v>
      </c>
      <c r="C262" s="4" t="s">
        <v>14</v>
      </c>
      <c r="D262" s="35">
        <v>2957</v>
      </c>
      <c r="E262" s="7" t="s">
        <v>542</v>
      </c>
      <c r="F262" s="5">
        <v>39532</v>
      </c>
      <c r="G262" s="5">
        <v>39897</v>
      </c>
      <c r="H262" s="4" t="s">
        <v>40</v>
      </c>
      <c r="I262" s="6">
        <v>5736.66</v>
      </c>
      <c r="J262" s="6">
        <v>2868.33</v>
      </c>
      <c r="K262" s="37" t="s">
        <v>356</v>
      </c>
      <c r="L262" s="119"/>
      <c r="M262" s="3"/>
    </row>
    <row r="263" spans="1:13" s="4" customFormat="1" ht="14.25" customHeight="1" x14ac:dyDescent="0.25">
      <c r="A263" s="4" t="s">
        <v>543</v>
      </c>
      <c r="B263" s="4" t="s">
        <v>59</v>
      </c>
      <c r="C263" s="4" t="s">
        <v>14</v>
      </c>
      <c r="D263" s="35">
        <v>2958</v>
      </c>
      <c r="E263" s="4" t="s">
        <v>544</v>
      </c>
      <c r="F263" s="5">
        <v>39581</v>
      </c>
      <c r="G263" s="5">
        <v>39946</v>
      </c>
      <c r="H263" s="4" t="s">
        <v>40</v>
      </c>
      <c r="I263" s="6">
        <v>5938</v>
      </c>
      <c r="J263" s="6">
        <v>2969</v>
      </c>
      <c r="K263" s="37" t="s">
        <v>356</v>
      </c>
      <c r="L263" s="119"/>
      <c r="M263" s="3"/>
    </row>
    <row r="264" spans="1:13" s="4" customFormat="1" ht="14.25" customHeight="1" x14ac:dyDescent="0.25">
      <c r="A264" s="4" t="s">
        <v>545</v>
      </c>
      <c r="B264" s="4" t="s">
        <v>50</v>
      </c>
      <c r="C264" s="4" t="s">
        <v>14</v>
      </c>
      <c r="D264" s="35">
        <v>2959</v>
      </c>
      <c r="E264" s="7" t="s">
        <v>546</v>
      </c>
      <c r="F264" s="5">
        <v>39581</v>
      </c>
      <c r="G264" s="5">
        <v>39946</v>
      </c>
      <c r="H264" s="4" t="s">
        <v>40</v>
      </c>
      <c r="I264" s="6">
        <v>35000</v>
      </c>
      <c r="J264" s="6">
        <v>17500</v>
      </c>
      <c r="K264" s="37" t="s">
        <v>356</v>
      </c>
      <c r="L264" s="119"/>
      <c r="M264" s="3"/>
    </row>
    <row r="265" spans="1:13" s="4" customFormat="1" ht="14.25" customHeight="1" x14ac:dyDescent="0.25">
      <c r="A265" s="4" t="s">
        <v>547</v>
      </c>
      <c r="B265" s="4" t="s">
        <v>50</v>
      </c>
      <c r="C265" s="4" t="s">
        <v>14</v>
      </c>
      <c r="D265" s="35">
        <v>2960</v>
      </c>
      <c r="E265" s="4" t="s">
        <v>548</v>
      </c>
      <c r="F265" s="5">
        <v>39623</v>
      </c>
      <c r="G265" s="5">
        <v>39988</v>
      </c>
      <c r="H265" s="4" t="s">
        <v>40</v>
      </c>
      <c r="I265" s="6">
        <v>28872</v>
      </c>
      <c r="J265" s="6">
        <v>14436</v>
      </c>
      <c r="K265" s="37" t="s">
        <v>356</v>
      </c>
      <c r="L265" s="119"/>
      <c r="M265" s="3"/>
    </row>
    <row r="266" spans="1:13" s="4" customFormat="1" ht="14.25" customHeight="1" x14ac:dyDescent="0.25">
      <c r="A266" s="4" t="s">
        <v>551</v>
      </c>
      <c r="B266" s="4" t="s">
        <v>59</v>
      </c>
      <c r="C266" s="4" t="s">
        <v>14</v>
      </c>
      <c r="D266" s="35">
        <v>2962</v>
      </c>
      <c r="E266" s="7" t="s">
        <v>552</v>
      </c>
      <c r="F266" s="5">
        <v>39532</v>
      </c>
      <c r="G266" s="5">
        <v>39897</v>
      </c>
      <c r="H266" s="4" t="s">
        <v>40</v>
      </c>
      <c r="I266" s="6">
        <v>7500</v>
      </c>
      <c r="J266" s="6">
        <v>7500</v>
      </c>
      <c r="K266" s="37" t="s">
        <v>356</v>
      </c>
      <c r="L266" s="119"/>
      <c r="M266" s="3"/>
    </row>
    <row r="267" spans="1:13" s="4" customFormat="1" ht="14.25" customHeight="1" x14ac:dyDescent="0.25">
      <c r="A267" s="4" t="s">
        <v>553</v>
      </c>
      <c r="B267" s="4" t="s">
        <v>50</v>
      </c>
      <c r="C267" s="4" t="s">
        <v>14</v>
      </c>
      <c r="D267" s="35">
        <v>2963</v>
      </c>
      <c r="E267" s="7" t="s">
        <v>554</v>
      </c>
      <c r="F267" s="5">
        <v>39427</v>
      </c>
      <c r="G267" s="5">
        <v>39793</v>
      </c>
      <c r="H267" s="4" t="s">
        <v>40</v>
      </c>
      <c r="I267" s="6">
        <v>9048</v>
      </c>
      <c r="J267" s="6">
        <v>4524</v>
      </c>
      <c r="K267" s="37" t="s">
        <v>356</v>
      </c>
      <c r="L267" s="119"/>
      <c r="M267" s="3"/>
    </row>
    <row r="268" spans="1:13" s="4" customFormat="1" ht="14.25" customHeight="1" x14ac:dyDescent="0.25">
      <c r="A268" s="4" t="s">
        <v>555</v>
      </c>
      <c r="B268" s="4" t="s">
        <v>50</v>
      </c>
      <c r="C268" s="4" t="s">
        <v>14</v>
      </c>
      <c r="D268" s="35">
        <v>2964</v>
      </c>
      <c r="E268" s="4" t="s">
        <v>556</v>
      </c>
      <c r="F268" s="5">
        <v>39581</v>
      </c>
      <c r="G268" s="5">
        <v>39946</v>
      </c>
      <c r="H268" s="4" t="s">
        <v>40</v>
      </c>
      <c r="I268" s="6">
        <v>27610</v>
      </c>
      <c r="J268" s="6">
        <v>13805</v>
      </c>
      <c r="K268" s="37" t="s">
        <v>356</v>
      </c>
      <c r="L268" s="119"/>
      <c r="M268" s="3"/>
    </row>
    <row r="269" spans="1:13" s="4" customFormat="1" ht="14.25" customHeight="1" x14ac:dyDescent="0.25">
      <c r="A269" s="4" t="s">
        <v>557</v>
      </c>
      <c r="B269" s="4" t="s">
        <v>50</v>
      </c>
      <c r="C269" s="4" t="s">
        <v>14</v>
      </c>
      <c r="D269" s="35">
        <v>2965</v>
      </c>
      <c r="E269" s="4" t="s">
        <v>558</v>
      </c>
      <c r="F269" s="5">
        <v>39707</v>
      </c>
      <c r="G269" s="5">
        <v>40072</v>
      </c>
      <c r="H269" s="4" t="s">
        <v>40</v>
      </c>
      <c r="I269" s="6">
        <v>15000</v>
      </c>
      <c r="J269" s="6">
        <v>7500</v>
      </c>
      <c r="K269" s="37" t="s">
        <v>356</v>
      </c>
      <c r="L269" s="119"/>
      <c r="M269" s="3"/>
    </row>
    <row r="270" spans="1:13" s="4" customFormat="1" ht="14.25" customHeight="1" x14ac:dyDescent="0.25">
      <c r="A270" s="4" t="s">
        <v>559</v>
      </c>
      <c r="B270" s="4" t="s">
        <v>50</v>
      </c>
      <c r="C270" s="4" t="s">
        <v>14</v>
      </c>
      <c r="D270" s="35">
        <v>2966</v>
      </c>
      <c r="E270" s="4" t="s">
        <v>560</v>
      </c>
      <c r="F270" s="5">
        <v>39623</v>
      </c>
      <c r="G270" s="5">
        <v>39988</v>
      </c>
      <c r="H270" s="4" t="s">
        <v>40</v>
      </c>
      <c r="I270" s="6">
        <v>4800</v>
      </c>
      <c r="J270" s="6">
        <v>2400</v>
      </c>
      <c r="K270" s="37" t="s">
        <v>356</v>
      </c>
      <c r="L270" s="119"/>
      <c r="M270" s="3"/>
    </row>
    <row r="271" spans="1:13" s="4" customFormat="1" ht="14.25" customHeight="1" x14ac:dyDescent="0.25">
      <c r="A271" s="4" t="s">
        <v>561</v>
      </c>
      <c r="B271" s="4" t="s">
        <v>59</v>
      </c>
      <c r="C271" s="4" t="s">
        <v>14</v>
      </c>
      <c r="D271" s="35">
        <v>2967</v>
      </c>
      <c r="E271" s="4" t="s">
        <v>562</v>
      </c>
      <c r="F271" s="5">
        <v>39707</v>
      </c>
      <c r="G271" s="5">
        <v>40178</v>
      </c>
      <c r="H271" s="4" t="s">
        <v>40</v>
      </c>
      <c r="I271" s="6">
        <v>45000</v>
      </c>
      <c r="J271" s="6">
        <v>45000</v>
      </c>
      <c r="K271" s="37" t="s">
        <v>356</v>
      </c>
      <c r="L271" s="119"/>
      <c r="M271" s="3"/>
    </row>
    <row r="272" spans="1:13" s="4" customFormat="1" ht="14.25" customHeight="1" x14ac:dyDescent="0.25">
      <c r="A272" s="4" t="s">
        <v>563</v>
      </c>
      <c r="B272" s="4" t="s">
        <v>50</v>
      </c>
      <c r="C272" s="4" t="s">
        <v>14</v>
      </c>
      <c r="D272" s="35">
        <v>5048</v>
      </c>
      <c r="E272" s="4" t="s">
        <v>564</v>
      </c>
      <c r="F272" s="5">
        <v>39749</v>
      </c>
      <c r="G272" s="5">
        <v>40114</v>
      </c>
      <c r="H272" s="4" t="s">
        <v>40</v>
      </c>
      <c r="I272" s="6">
        <v>14000</v>
      </c>
      <c r="J272" s="6">
        <v>7000</v>
      </c>
      <c r="K272" s="37" t="s">
        <v>356</v>
      </c>
      <c r="L272" s="119"/>
      <c r="M272" s="3"/>
    </row>
    <row r="273" spans="1:13" s="4" customFormat="1" ht="14.25" customHeight="1" x14ac:dyDescent="0.25">
      <c r="A273" s="4" t="s">
        <v>565</v>
      </c>
      <c r="B273" s="4" t="s">
        <v>50</v>
      </c>
      <c r="C273" s="4" t="s">
        <v>14</v>
      </c>
      <c r="D273" s="35">
        <v>5055</v>
      </c>
      <c r="E273" s="7" t="s">
        <v>566</v>
      </c>
      <c r="F273" s="5">
        <v>39506</v>
      </c>
      <c r="G273" s="5">
        <v>39872</v>
      </c>
      <c r="H273" s="4" t="s">
        <v>40</v>
      </c>
      <c r="I273" s="6">
        <v>10774</v>
      </c>
      <c r="J273" s="6">
        <v>5387</v>
      </c>
      <c r="K273" s="37" t="s">
        <v>356</v>
      </c>
      <c r="L273" s="119"/>
      <c r="M273" s="3"/>
    </row>
    <row r="274" spans="1:13" s="4" customFormat="1" ht="14.25" customHeight="1" x14ac:dyDescent="0.25">
      <c r="A274" s="4" t="s">
        <v>567</v>
      </c>
      <c r="B274" s="4" t="s">
        <v>50</v>
      </c>
      <c r="C274" s="4" t="s">
        <v>14</v>
      </c>
      <c r="D274" s="35">
        <v>5058</v>
      </c>
      <c r="E274" s="7" t="s">
        <v>568</v>
      </c>
      <c r="F274" s="5">
        <v>39791</v>
      </c>
      <c r="G274" s="5">
        <v>40156</v>
      </c>
      <c r="H274" s="4" t="s">
        <v>40</v>
      </c>
      <c r="I274" s="6">
        <v>2340</v>
      </c>
      <c r="J274" s="6">
        <v>1170</v>
      </c>
      <c r="K274" s="37" t="s">
        <v>356</v>
      </c>
      <c r="L274" s="119"/>
      <c r="M274" s="3"/>
    </row>
    <row r="275" spans="1:13" s="4" customFormat="1" ht="14.25" customHeight="1" x14ac:dyDescent="0.25">
      <c r="A275" s="4" t="s">
        <v>569</v>
      </c>
      <c r="B275" s="4" t="s">
        <v>50</v>
      </c>
      <c r="C275" s="4" t="s">
        <v>14</v>
      </c>
      <c r="D275" s="35">
        <v>5062</v>
      </c>
      <c r="E275" s="4" t="s">
        <v>570</v>
      </c>
      <c r="F275" s="5">
        <v>39791</v>
      </c>
      <c r="G275" s="5">
        <v>40156</v>
      </c>
      <c r="H275" s="4" t="s">
        <v>40</v>
      </c>
      <c r="I275" s="6">
        <v>30000</v>
      </c>
      <c r="J275" s="6">
        <v>15000</v>
      </c>
      <c r="K275" s="37" t="s">
        <v>356</v>
      </c>
      <c r="L275" s="119"/>
      <c r="M275" s="3"/>
    </row>
    <row r="276" spans="1:13" s="4" customFormat="1" ht="14.25" customHeight="1" x14ac:dyDescent="0.25">
      <c r="A276" s="4" t="s">
        <v>571</v>
      </c>
      <c r="B276" s="4" t="s">
        <v>90</v>
      </c>
      <c r="C276" s="4" t="s">
        <v>14</v>
      </c>
      <c r="D276" s="35">
        <v>5066</v>
      </c>
      <c r="E276" s="4" t="s">
        <v>572</v>
      </c>
      <c r="F276" s="5">
        <v>39791</v>
      </c>
      <c r="G276" s="5">
        <v>39973</v>
      </c>
      <c r="H276" s="4" t="s">
        <v>40</v>
      </c>
      <c r="I276" s="6">
        <v>2500</v>
      </c>
      <c r="J276" s="6">
        <v>1250</v>
      </c>
      <c r="K276" s="37" t="s">
        <v>356</v>
      </c>
      <c r="L276" s="119"/>
      <c r="M276" s="3"/>
    </row>
    <row r="277" spans="1:13" s="4" customFormat="1" ht="14.25" customHeight="1" x14ac:dyDescent="0.25">
      <c r="A277" s="4" t="s">
        <v>573</v>
      </c>
      <c r="B277" s="4" t="s">
        <v>59</v>
      </c>
      <c r="C277" s="4" t="s">
        <v>14</v>
      </c>
      <c r="D277" s="35">
        <v>5068</v>
      </c>
      <c r="E277" s="4" t="s">
        <v>574</v>
      </c>
      <c r="F277" s="5">
        <v>39932</v>
      </c>
      <c r="G277" s="5">
        <v>40297</v>
      </c>
      <c r="H277" s="4" t="s">
        <v>40</v>
      </c>
      <c r="I277" s="6">
        <v>7500</v>
      </c>
      <c r="J277" s="6">
        <v>7500</v>
      </c>
      <c r="K277" s="37" t="s">
        <v>356</v>
      </c>
      <c r="L277" s="119"/>
      <c r="M277" s="3"/>
    </row>
    <row r="278" spans="1:13" s="4" customFormat="1" ht="14.25" customHeight="1" x14ac:dyDescent="0.25">
      <c r="A278" s="4" t="s">
        <v>575</v>
      </c>
      <c r="B278" s="4" t="s">
        <v>50</v>
      </c>
      <c r="C278" s="4" t="s">
        <v>14</v>
      </c>
      <c r="D278" s="35">
        <v>5097</v>
      </c>
      <c r="E278" s="7" t="s">
        <v>576</v>
      </c>
      <c r="F278" s="5">
        <v>39988</v>
      </c>
      <c r="G278" s="5">
        <v>40353</v>
      </c>
      <c r="H278" s="4" t="s">
        <v>40</v>
      </c>
      <c r="I278" s="6">
        <v>45000</v>
      </c>
      <c r="J278" s="6">
        <v>22500</v>
      </c>
      <c r="K278" s="37" t="s">
        <v>356</v>
      </c>
      <c r="L278" s="119"/>
      <c r="M278" s="3"/>
    </row>
    <row r="279" spans="1:13" s="4" customFormat="1" ht="14.25" customHeight="1" x14ac:dyDescent="0.25">
      <c r="A279" s="4" t="s">
        <v>577</v>
      </c>
      <c r="B279" s="4" t="s">
        <v>38</v>
      </c>
      <c r="C279" s="4" t="s">
        <v>14</v>
      </c>
      <c r="D279" s="35">
        <v>5098</v>
      </c>
      <c r="E279" s="4" t="s">
        <v>578</v>
      </c>
      <c r="F279" s="5">
        <v>39814</v>
      </c>
      <c r="G279" s="5">
        <v>40178</v>
      </c>
      <c r="H279" s="4" t="s">
        <v>40</v>
      </c>
      <c r="I279" s="6">
        <v>1900.93</v>
      </c>
      <c r="J279" s="6">
        <v>1900.93</v>
      </c>
      <c r="K279" s="37" t="s">
        <v>356</v>
      </c>
      <c r="L279" s="119"/>
      <c r="M279" s="3"/>
    </row>
    <row r="280" spans="1:13" s="4" customFormat="1" ht="14.25" customHeight="1" x14ac:dyDescent="0.25">
      <c r="A280" s="4" t="s">
        <v>579</v>
      </c>
      <c r="B280" s="4" t="s">
        <v>50</v>
      </c>
      <c r="C280" s="4" t="s">
        <v>14</v>
      </c>
      <c r="D280" s="35">
        <v>5100</v>
      </c>
      <c r="E280" s="7" t="s">
        <v>580</v>
      </c>
      <c r="F280" s="5">
        <v>39749</v>
      </c>
      <c r="G280" s="5">
        <v>40479</v>
      </c>
      <c r="H280" s="4" t="s">
        <v>40</v>
      </c>
      <c r="I280" s="6">
        <v>3406</v>
      </c>
      <c r="J280" s="6">
        <v>1703</v>
      </c>
      <c r="K280" s="37" t="s">
        <v>356</v>
      </c>
      <c r="L280" s="119"/>
      <c r="M280" s="3"/>
    </row>
    <row r="281" spans="1:13" s="4" customFormat="1" ht="14.25" customHeight="1" x14ac:dyDescent="0.25">
      <c r="A281" s="4" t="s">
        <v>581</v>
      </c>
      <c r="B281" s="4" t="s">
        <v>38</v>
      </c>
      <c r="C281" s="4" t="s">
        <v>14</v>
      </c>
      <c r="D281" s="35">
        <v>5102</v>
      </c>
      <c r="E281" s="4" t="s">
        <v>582</v>
      </c>
      <c r="F281" s="5">
        <v>39814</v>
      </c>
      <c r="G281" s="5">
        <v>40908</v>
      </c>
      <c r="H281" s="4" t="s">
        <v>40</v>
      </c>
      <c r="I281" s="6">
        <v>17454.759999999998</v>
      </c>
      <c r="J281" s="6">
        <v>17454.759999999998</v>
      </c>
      <c r="K281" s="37" t="s">
        <v>356</v>
      </c>
      <c r="L281" s="119"/>
      <c r="M281" s="3"/>
    </row>
    <row r="282" spans="1:13" s="4" customFormat="1" ht="14.25" customHeight="1" x14ac:dyDescent="0.25">
      <c r="A282" s="4" t="s">
        <v>583</v>
      </c>
      <c r="B282" s="4" t="s">
        <v>90</v>
      </c>
      <c r="C282" s="4" t="s">
        <v>14</v>
      </c>
      <c r="D282" s="35">
        <v>5107</v>
      </c>
      <c r="E282" s="4" t="s">
        <v>584</v>
      </c>
      <c r="F282" s="5">
        <v>39707</v>
      </c>
      <c r="G282" s="5">
        <v>39888</v>
      </c>
      <c r="H282" s="4" t="s">
        <v>40</v>
      </c>
      <c r="I282" s="6">
        <v>10200</v>
      </c>
      <c r="J282" s="6">
        <v>5100</v>
      </c>
      <c r="K282" s="37" t="s">
        <v>356</v>
      </c>
      <c r="L282" s="119"/>
      <c r="M282" s="3"/>
    </row>
    <row r="283" spans="1:13" s="4" customFormat="1" ht="14.25" customHeight="1" x14ac:dyDescent="0.25">
      <c r="A283" s="4" t="s">
        <v>585</v>
      </c>
      <c r="B283" s="4" t="s">
        <v>59</v>
      </c>
      <c r="C283" s="4" t="s">
        <v>14</v>
      </c>
      <c r="D283" s="35">
        <v>5116</v>
      </c>
      <c r="E283" s="7" t="s">
        <v>586</v>
      </c>
      <c r="F283" s="5">
        <v>39981</v>
      </c>
      <c r="G283" s="5">
        <v>40346</v>
      </c>
      <c r="H283" s="4" t="s">
        <v>40</v>
      </c>
      <c r="I283" s="6">
        <v>7500</v>
      </c>
      <c r="J283" s="6">
        <v>7500</v>
      </c>
      <c r="K283" s="37" t="s">
        <v>356</v>
      </c>
      <c r="L283" s="119"/>
      <c r="M283" s="3"/>
    </row>
    <row r="284" spans="1:13" s="4" customFormat="1" ht="14.25" customHeight="1" x14ac:dyDescent="0.25">
      <c r="A284" s="4" t="s">
        <v>587</v>
      </c>
      <c r="B284" s="4" t="s">
        <v>38</v>
      </c>
      <c r="C284" s="4" t="s">
        <v>14</v>
      </c>
      <c r="D284" s="35">
        <v>5117</v>
      </c>
      <c r="E284" s="4" t="s">
        <v>588</v>
      </c>
      <c r="F284" s="5">
        <v>39814</v>
      </c>
      <c r="G284" s="5">
        <v>40178</v>
      </c>
      <c r="H284" s="4" t="s">
        <v>40</v>
      </c>
      <c r="I284" s="6">
        <v>984.15</v>
      </c>
      <c r="J284" s="6">
        <v>984.15</v>
      </c>
      <c r="K284" s="37" t="s">
        <v>356</v>
      </c>
      <c r="L284" s="119"/>
      <c r="M284" s="3"/>
    </row>
    <row r="285" spans="1:13" s="4" customFormat="1" ht="14.25" customHeight="1" x14ac:dyDescent="0.25">
      <c r="A285" s="4" t="s">
        <v>589</v>
      </c>
      <c r="B285" s="4" t="s">
        <v>59</v>
      </c>
      <c r="C285" s="4" t="s">
        <v>14</v>
      </c>
      <c r="D285" s="35">
        <v>5118</v>
      </c>
      <c r="E285" s="4" t="s">
        <v>590</v>
      </c>
      <c r="F285" s="5">
        <v>39932</v>
      </c>
      <c r="G285" s="5">
        <v>40297</v>
      </c>
      <c r="H285" s="4" t="s">
        <v>40</v>
      </c>
      <c r="I285" s="6">
        <v>3750</v>
      </c>
      <c r="J285" s="6">
        <v>3750</v>
      </c>
      <c r="K285" s="37" t="s">
        <v>356</v>
      </c>
      <c r="L285" s="119"/>
      <c r="M285" s="3"/>
    </row>
    <row r="286" spans="1:13" s="4" customFormat="1" ht="14.25" customHeight="1" x14ac:dyDescent="0.25">
      <c r="A286" s="4" t="s">
        <v>591</v>
      </c>
      <c r="B286" s="4" t="s">
        <v>50</v>
      </c>
      <c r="C286" s="4" t="s">
        <v>14</v>
      </c>
      <c r="D286" s="35">
        <v>5121</v>
      </c>
      <c r="E286" s="4" t="s">
        <v>592</v>
      </c>
      <c r="F286" s="5">
        <v>39932</v>
      </c>
      <c r="G286" s="5">
        <v>40297</v>
      </c>
      <c r="H286" s="4" t="s">
        <v>40</v>
      </c>
      <c r="I286" s="6">
        <v>20000</v>
      </c>
      <c r="J286" s="6">
        <v>10000</v>
      </c>
      <c r="K286" s="37" t="s">
        <v>356</v>
      </c>
      <c r="L286" s="119"/>
      <c r="M286" s="3"/>
    </row>
    <row r="287" spans="1:13" s="4" customFormat="1" ht="14.25" customHeight="1" x14ac:dyDescent="0.25">
      <c r="A287" s="4" t="s">
        <v>593</v>
      </c>
      <c r="B287" s="4" t="s">
        <v>50</v>
      </c>
      <c r="C287" s="4" t="s">
        <v>14</v>
      </c>
      <c r="D287" s="35">
        <v>5124</v>
      </c>
      <c r="E287" s="4" t="s">
        <v>594</v>
      </c>
      <c r="F287" s="5">
        <v>39981</v>
      </c>
      <c r="G287" s="5">
        <v>40346</v>
      </c>
      <c r="H287" s="4" t="s">
        <v>40</v>
      </c>
      <c r="I287" s="6">
        <v>101550</v>
      </c>
      <c r="J287" s="6">
        <v>50775</v>
      </c>
      <c r="K287" s="37" t="s">
        <v>356</v>
      </c>
      <c r="L287" s="119"/>
      <c r="M287" s="3"/>
    </row>
    <row r="288" spans="1:13" s="4" customFormat="1" ht="14.25" customHeight="1" x14ac:dyDescent="0.25">
      <c r="A288" s="4" t="s">
        <v>595</v>
      </c>
      <c r="B288" s="4" t="s">
        <v>50</v>
      </c>
      <c r="C288" s="4" t="s">
        <v>14</v>
      </c>
      <c r="D288" s="35">
        <v>5127</v>
      </c>
      <c r="E288" s="4" t="s">
        <v>596</v>
      </c>
      <c r="F288" s="5">
        <v>39981</v>
      </c>
      <c r="G288" s="5">
        <v>40346</v>
      </c>
      <c r="H288" s="4" t="s">
        <v>40</v>
      </c>
      <c r="I288" s="6">
        <v>40000</v>
      </c>
      <c r="J288" s="6">
        <v>20000</v>
      </c>
      <c r="K288" s="37" t="s">
        <v>356</v>
      </c>
      <c r="L288" s="119"/>
      <c r="M288" s="3"/>
    </row>
    <row r="289" spans="1:13" s="4" customFormat="1" ht="14.25" customHeight="1" x14ac:dyDescent="0.25">
      <c r="A289" s="4" t="s">
        <v>597</v>
      </c>
      <c r="B289" s="4" t="s">
        <v>59</v>
      </c>
      <c r="C289" s="4" t="s">
        <v>14</v>
      </c>
      <c r="D289" s="35">
        <v>5129</v>
      </c>
      <c r="E289" s="7" t="s">
        <v>598</v>
      </c>
      <c r="F289" s="5">
        <v>39981</v>
      </c>
      <c r="G289" s="5">
        <v>40346</v>
      </c>
      <c r="H289" s="4" t="s">
        <v>40</v>
      </c>
      <c r="I289" s="6">
        <v>7500</v>
      </c>
      <c r="J289" s="6">
        <v>7500</v>
      </c>
      <c r="K289" s="37" t="s">
        <v>356</v>
      </c>
      <c r="L289" s="119"/>
      <c r="M289" s="3"/>
    </row>
    <row r="290" spans="1:13" s="4" customFormat="1" ht="14.25" customHeight="1" x14ac:dyDescent="0.25">
      <c r="A290" s="4" t="s">
        <v>599</v>
      </c>
      <c r="B290" s="4" t="s">
        <v>38</v>
      </c>
      <c r="C290" s="4" t="s">
        <v>14</v>
      </c>
      <c r="D290" s="35">
        <v>5130</v>
      </c>
      <c r="E290" s="4" t="s">
        <v>600</v>
      </c>
      <c r="F290" s="5">
        <v>39814</v>
      </c>
      <c r="G290" s="5">
        <v>40178</v>
      </c>
      <c r="H290" s="4" t="s">
        <v>40</v>
      </c>
      <c r="I290" s="6">
        <v>2510</v>
      </c>
      <c r="J290" s="6">
        <v>2510</v>
      </c>
      <c r="K290" s="37" t="s">
        <v>356</v>
      </c>
      <c r="L290" s="119"/>
      <c r="M290" s="3"/>
    </row>
    <row r="291" spans="1:13" s="4" customFormat="1" ht="14.25" customHeight="1" x14ac:dyDescent="0.25">
      <c r="A291" s="4" t="s">
        <v>601</v>
      </c>
      <c r="B291" s="4" t="s">
        <v>50</v>
      </c>
      <c r="C291" s="4" t="s">
        <v>14</v>
      </c>
      <c r="D291" s="35">
        <v>5131</v>
      </c>
      <c r="E291" s="4" t="s">
        <v>602</v>
      </c>
      <c r="F291" s="5">
        <v>39981</v>
      </c>
      <c r="G291" s="5">
        <v>40346</v>
      </c>
      <c r="H291" s="4" t="s">
        <v>40</v>
      </c>
      <c r="I291" s="6">
        <v>46000</v>
      </c>
      <c r="J291" s="6">
        <v>23000</v>
      </c>
      <c r="K291" s="37" t="s">
        <v>356</v>
      </c>
      <c r="L291" s="119"/>
      <c r="M291" s="3"/>
    </row>
    <row r="292" spans="1:13" s="4" customFormat="1" ht="14.25" customHeight="1" x14ac:dyDescent="0.25">
      <c r="A292" s="4" t="s">
        <v>603</v>
      </c>
      <c r="B292" s="4" t="s">
        <v>59</v>
      </c>
      <c r="C292" s="4" t="s">
        <v>14</v>
      </c>
      <c r="D292" s="35">
        <v>5133</v>
      </c>
      <c r="E292" s="4" t="s">
        <v>604</v>
      </c>
      <c r="F292" s="5">
        <v>39861</v>
      </c>
      <c r="G292" s="5">
        <v>40226</v>
      </c>
      <c r="H292" s="4" t="s">
        <v>40</v>
      </c>
      <c r="I292" s="6">
        <v>7500</v>
      </c>
      <c r="J292" s="6">
        <v>7500</v>
      </c>
      <c r="K292" s="37" t="s">
        <v>356</v>
      </c>
      <c r="L292" s="119"/>
      <c r="M292" s="3"/>
    </row>
    <row r="293" spans="1:13" s="4" customFormat="1" ht="14.25" customHeight="1" x14ac:dyDescent="0.25">
      <c r="A293" s="4" t="s">
        <v>605</v>
      </c>
      <c r="B293" s="4" t="s">
        <v>50</v>
      </c>
      <c r="C293" s="4" t="s">
        <v>14</v>
      </c>
      <c r="D293" s="35">
        <v>5136</v>
      </c>
      <c r="E293" s="4" t="s">
        <v>606</v>
      </c>
      <c r="F293" s="5">
        <v>39861</v>
      </c>
      <c r="G293" s="5">
        <v>40226</v>
      </c>
      <c r="H293" s="4" t="s">
        <v>40</v>
      </c>
      <c r="I293" s="6">
        <v>30000</v>
      </c>
      <c r="J293" s="6">
        <v>15000</v>
      </c>
      <c r="K293" s="37" t="s">
        <v>356</v>
      </c>
      <c r="L293" s="119"/>
      <c r="M293" s="3"/>
    </row>
    <row r="294" spans="1:13" s="4" customFormat="1" ht="14.25" customHeight="1" x14ac:dyDescent="0.25">
      <c r="A294" s="4" t="s">
        <v>607</v>
      </c>
      <c r="B294" s="4" t="s">
        <v>59</v>
      </c>
      <c r="C294" s="4" t="s">
        <v>14</v>
      </c>
      <c r="D294" s="35">
        <v>5138</v>
      </c>
      <c r="E294" s="4" t="s">
        <v>608</v>
      </c>
      <c r="F294" s="5">
        <v>40065</v>
      </c>
      <c r="G294" s="5">
        <v>40430</v>
      </c>
      <c r="H294" s="4" t="s">
        <v>40</v>
      </c>
      <c r="I294" s="6">
        <v>26250</v>
      </c>
      <c r="J294" s="6">
        <v>26250</v>
      </c>
      <c r="K294" s="37" t="s">
        <v>356</v>
      </c>
      <c r="L294" s="119"/>
      <c r="M294" s="3"/>
    </row>
    <row r="295" spans="1:13" s="4" customFormat="1" ht="14.25" customHeight="1" x14ac:dyDescent="0.25">
      <c r="A295" s="4" t="s">
        <v>609</v>
      </c>
      <c r="B295" s="4" t="s">
        <v>50</v>
      </c>
      <c r="C295" s="4" t="s">
        <v>14</v>
      </c>
      <c r="D295" s="35">
        <v>5140</v>
      </c>
      <c r="E295" s="4" t="s">
        <v>610</v>
      </c>
      <c r="F295" s="5">
        <v>40114</v>
      </c>
      <c r="G295" s="5">
        <v>40479</v>
      </c>
      <c r="H295" s="4" t="s">
        <v>40</v>
      </c>
      <c r="I295" s="6">
        <v>1972</v>
      </c>
      <c r="J295" s="6">
        <v>986</v>
      </c>
      <c r="K295" s="37" t="s">
        <v>356</v>
      </c>
      <c r="L295" s="119"/>
      <c r="M295" s="3"/>
    </row>
    <row r="296" spans="1:13" s="4" customFormat="1" ht="14.25" customHeight="1" x14ac:dyDescent="0.25">
      <c r="A296" s="4" t="s">
        <v>611</v>
      </c>
      <c r="B296" s="4" t="s">
        <v>38</v>
      </c>
      <c r="C296" s="4" t="s">
        <v>14</v>
      </c>
      <c r="D296" s="35">
        <v>5152</v>
      </c>
      <c r="E296" s="4" t="s">
        <v>612</v>
      </c>
      <c r="F296" s="5">
        <v>39814</v>
      </c>
      <c r="G296" s="5">
        <v>40178</v>
      </c>
      <c r="H296" s="4" t="s">
        <v>40</v>
      </c>
      <c r="I296" s="6">
        <v>3750</v>
      </c>
      <c r="J296" s="6">
        <v>3750</v>
      </c>
      <c r="K296" s="37" t="s">
        <v>356</v>
      </c>
      <c r="L296" s="119"/>
      <c r="M296" s="3"/>
    </row>
    <row r="297" spans="1:13" s="4" customFormat="1" ht="14.25" customHeight="1" x14ac:dyDescent="0.25">
      <c r="A297" s="4" t="s">
        <v>613</v>
      </c>
      <c r="B297" s="4" t="s">
        <v>38</v>
      </c>
      <c r="C297" s="4" t="s">
        <v>14</v>
      </c>
      <c r="D297" s="35">
        <v>6924</v>
      </c>
      <c r="E297" s="4" t="s">
        <v>614</v>
      </c>
      <c r="F297" s="5">
        <v>40179</v>
      </c>
      <c r="G297" s="5">
        <v>40543</v>
      </c>
      <c r="H297" s="4" t="s">
        <v>40</v>
      </c>
      <c r="I297" s="6">
        <v>22632</v>
      </c>
      <c r="J297" s="6">
        <v>22632</v>
      </c>
      <c r="K297" s="37" t="s">
        <v>356</v>
      </c>
      <c r="L297" s="119"/>
      <c r="M297" s="3"/>
    </row>
    <row r="298" spans="1:13" s="4" customFormat="1" ht="14.25" customHeight="1" x14ac:dyDescent="0.25">
      <c r="A298" s="4" t="s">
        <v>615</v>
      </c>
      <c r="B298" s="4" t="s">
        <v>38</v>
      </c>
      <c r="C298" s="4" t="s">
        <v>14</v>
      </c>
      <c r="D298" s="35">
        <v>6956</v>
      </c>
      <c r="E298" s="4" t="s">
        <v>616</v>
      </c>
      <c r="F298" s="5">
        <v>40179</v>
      </c>
      <c r="G298" s="5">
        <v>40543</v>
      </c>
      <c r="H298" s="4" t="s">
        <v>40</v>
      </c>
      <c r="I298" s="6">
        <v>800</v>
      </c>
      <c r="J298" s="6">
        <v>800</v>
      </c>
      <c r="K298" s="37" t="s">
        <v>356</v>
      </c>
      <c r="L298" s="119"/>
      <c r="M298" s="3"/>
    </row>
    <row r="299" spans="1:13" s="4" customFormat="1" ht="14.25" customHeight="1" x14ac:dyDescent="0.25">
      <c r="A299" s="4" t="s">
        <v>617</v>
      </c>
      <c r="B299" s="4" t="s">
        <v>50</v>
      </c>
      <c r="C299" s="4" t="s">
        <v>14</v>
      </c>
      <c r="D299" s="35">
        <v>6960</v>
      </c>
      <c r="E299" s="4" t="s">
        <v>618</v>
      </c>
      <c r="F299" s="5">
        <v>39932</v>
      </c>
      <c r="G299" s="5">
        <v>40543</v>
      </c>
      <c r="H299" s="4" t="s">
        <v>40</v>
      </c>
      <c r="I299" s="6">
        <v>22000</v>
      </c>
      <c r="J299" s="6">
        <v>11000</v>
      </c>
      <c r="K299" s="37" t="s">
        <v>356</v>
      </c>
      <c r="L299" s="119"/>
      <c r="M299" s="3"/>
    </row>
    <row r="300" spans="1:13" s="4" customFormat="1" ht="14.25" customHeight="1" x14ac:dyDescent="0.25">
      <c r="A300" s="4" t="s">
        <v>619</v>
      </c>
      <c r="B300" s="4" t="s">
        <v>183</v>
      </c>
      <c r="C300" s="4" t="s">
        <v>14</v>
      </c>
      <c r="D300" s="35">
        <v>6962</v>
      </c>
      <c r="E300" s="4" t="s">
        <v>620</v>
      </c>
      <c r="F300" s="5">
        <v>40299</v>
      </c>
      <c r="G300" s="5">
        <v>40543</v>
      </c>
      <c r="H300" s="4" t="s">
        <v>40</v>
      </c>
      <c r="I300" s="6">
        <v>45128</v>
      </c>
      <c r="J300" s="6">
        <v>22564</v>
      </c>
      <c r="K300" s="37" t="s">
        <v>356</v>
      </c>
      <c r="L300" s="119"/>
      <c r="M300" s="3"/>
    </row>
    <row r="301" spans="1:13" s="4" customFormat="1" ht="14.25" customHeight="1" x14ac:dyDescent="0.25">
      <c r="A301" s="4" t="s">
        <v>621</v>
      </c>
      <c r="B301" s="4" t="s">
        <v>190</v>
      </c>
      <c r="C301" s="4" t="s">
        <v>14</v>
      </c>
      <c r="D301" s="35">
        <v>6991</v>
      </c>
      <c r="E301" s="4" t="s">
        <v>622</v>
      </c>
      <c r="F301" s="5">
        <v>40429</v>
      </c>
      <c r="G301" s="5">
        <v>40908</v>
      </c>
      <c r="H301" s="4" t="s">
        <v>40</v>
      </c>
      <c r="I301" s="6">
        <v>16000</v>
      </c>
      <c r="J301" s="6">
        <v>16000</v>
      </c>
      <c r="K301" s="37" t="s">
        <v>356</v>
      </c>
      <c r="L301" s="119"/>
      <c r="M301" s="3"/>
    </row>
    <row r="302" spans="1:13" s="4" customFormat="1" ht="14.25" customHeight="1" x14ac:dyDescent="0.25">
      <c r="A302" s="4" t="s">
        <v>623</v>
      </c>
      <c r="B302" s="4" t="s">
        <v>90</v>
      </c>
      <c r="C302" s="4" t="s">
        <v>14</v>
      </c>
      <c r="D302" s="35">
        <v>6992</v>
      </c>
      <c r="E302" s="4" t="s">
        <v>624</v>
      </c>
      <c r="F302" s="5">
        <v>40163</v>
      </c>
      <c r="G302" s="5">
        <v>40543</v>
      </c>
      <c r="H302" s="4" t="s">
        <v>40</v>
      </c>
      <c r="I302" s="6">
        <v>2579.9899999999998</v>
      </c>
      <c r="J302" s="6">
        <v>1290</v>
      </c>
      <c r="K302" s="37" t="s">
        <v>356</v>
      </c>
      <c r="L302" s="119"/>
      <c r="M302" s="3"/>
    </row>
    <row r="303" spans="1:13" s="4" customFormat="1" ht="14.25" customHeight="1" x14ac:dyDescent="0.25">
      <c r="A303" s="4" t="s">
        <v>625</v>
      </c>
      <c r="B303" s="4" t="s">
        <v>183</v>
      </c>
      <c r="C303" s="4" t="s">
        <v>14</v>
      </c>
      <c r="D303" s="35">
        <v>6993</v>
      </c>
      <c r="E303" s="4" t="s">
        <v>626</v>
      </c>
      <c r="F303" s="5">
        <v>40429</v>
      </c>
      <c r="G303" s="5">
        <v>40908</v>
      </c>
      <c r="H303" s="4" t="s">
        <v>40</v>
      </c>
      <c r="I303" s="6">
        <v>16000</v>
      </c>
      <c r="J303" s="6">
        <v>16000</v>
      </c>
      <c r="K303" s="37" t="s">
        <v>356</v>
      </c>
      <c r="L303" s="119"/>
      <c r="M303" s="3"/>
    </row>
    <row r="304" spans="1:13" s="4" customFormat="1" ht="14.25" customHeight="1" x14ac:dyDescent="0.25">
      <c r="A304" s="4" t="s">
        <v>627</v>
      </c>
      <c r="B304" s="4" t="s">
        <v>90</v>
      </c>
      <c r="C304" s="4" t="s">
        <v>14</v>
      </c>
      <c r="D304" s="35">
        <v>6994</v>
      </c>
      <c r="E304" s="4" t="s">
        <v>628</v>
      </c>
      <c r="F304" s="5">
        <v>40065</v>
      </c>
      <c r="G304" s="5">
        <v>40543</v>
      </c>
      <c r="H304" s="4" t="s">
        <v>40</v>
      </c>
      <c r="I304" s="6">
        <v>9216</v>
      </c>
      <c r="J304" s="6">
        <v>4608</v>
      </c>
      <c r="K304" s="37" t="s">
        <v>356</v>
      </c>
      <c r="L304" s="119"/>
      <c r="M304" s="3"/>
    </row>
    <row r="305" spans="1:60" s="4" customFormat="1" ht="14.25" customHeight="1" x14ac:dyDescent="0.25">
      <c r="A305" s="4" t="s">
        <v>629</v>
      </c>
      <c r="B305" s="4" t="s">
        <v>50</v>
      </c>
      <c r="C305" s="4" t="s">
        <v>14</v>
      </c>
      <c r="D305" s="35">
        <v>6995</v>
      </c>
      <c r="E305" s="7" t="s">
        <v>630</v>
      </c>
      <c r="F305" s="5">
        <v>39981</v>
      </c>
      <c r="G305" s="5">
        <v>40543</v>
      </c>
      <c r="H305" s="4" t="s">
        <v>40</v>
      </c>
      <c r="I305" s="6">
        <v>94494</v>
      </c>
      <c r="J305" s="6">
        <v>47247</v>
      </c>
      <c r="K305" s="37" t="s">
        <v>356</v>
      </c>
      <c r="L305" s="119"/>
      <c r="M305" s="3"/>
    </row>
    <row r="306" spans="1:60" s="4" customFormat="1" ht="14.25" customHeight="1" x14ac:dyDescent="0.25">
      <c r="A306" s="4" t="s">
        <v>631</v>
      </c>
      <c r="B306" s="4" t="s">
        <v>190</v>
      </c>
      <c r="C306" s="4" t="s">
        <v>14</v>
      </c>
      <c r="D306" s="35">
        <v>7000</v>
      </c>
      <c r="E306" s="4" t="s">
        <v>632</v>
      </c>
      <c r="F306" s="5">
        <v>40296</v>
      </c>
      <c r="G306" s="5">
        <v>40543</v>
      </c>
      <c r="H306" s="4" t="s">
        <v>40</v>
      </c>
      <c r="I306" s="6">
        <v>7500</v>
      </c>
      <c r="J306" s="6">
        <v>7500</v>
      </c>
      <c r="K306" s="37" t="s">
        <v>356</v>
      </c>
      <c r="L306" s="119"/>
      <c r="M306" s="3"/>
    </row>
    <row r="307" spans="1:60" s="4" customFormat="1" ht="14.25" customHeight="1" x14ac:dyDescent="0.25">
      <c r="A307" s="4" t="s">
        <v>633</v>
      </c>
      <c r="B307" s="4" t="s">
        <v>90</v>
      </c>
      <c r="C307" s="4" t="s">
        <v>14</v>
      </c>
      <c r="D307" s="35">
        <v>7002</v>
      </c>
      <c r="E307" s="7" t="s">
        <v>634</v>
      </c>
      <c r="F307" s="5">
        <v>40235</v>
      </c>
      <c r="G307" s="5">
        <v>40543</v>
      </c>
      <c r="H307" s="4" t="s">
        <v>40</v>
      </c>
      <c r="I307" s="6">
        <v>7780</v>
      </c>
      <c r="J307" s="6">
        <v>3890</v>
      </c>
      <c r="K307" s="37" t="s">
        <v>356</v>
      </c>
      <c r="L307" s="119"/>
      <c r="M307" s="3"/>
    </row>
    <row r="308" spans="1:60" s="4" customFormat="1" ht="14.25" customHeight="1" x14ac:dyDescent="0.25">
      <c r="A308" s="4" t="s">
        <v>637</v>
      </c>
      <c r="B308" s="4" t="s">
        <v>183</v>
      </c>
      <c r="C308" s="4" t="s">
        <v>14</v>
      </c>
      <c r="D308" s="35">
        <v>7007</v>
      </c>
      <c r="E308" s="7" t="s">
        <v>638</v>
      </c>
      <c r="F308" s="5">
        <v>40225</v>
      </c>
      <c r="G308" s="5">
        <v>40543</v>
      </c>
      <c r="H308" s="4" t="s">
        <v>40</v>
      </c>
      <c r="I308" s="6">
        <v>16782</v>
      </c>
      <c r="J308" s="6">
        <v>8391</v>
      </c>
      <c r="K308" s="37" t="s">
        <v>356</v>
      </c>
      <c r="L308" s="119"/>
      <c r="M308" s="3"/>
    </row>
    <row r="309" spans="1:60" s="4" customFormat="1" ht="14.25" customHeight="1" x14ac:dyDescent="0.25">
      <c r="A309" s="4" t="s">
        <v>641</v>
      </c>
      <c r="B309" s="4" t="s">
        <v>183</v>
      </c>
      <c r="C309" s="4" t="s">
        <v>14</v>
      </c>
      <c r="D309" s="35">
        <v>7009</v>
      </c>
      <c r="E309" s="4" t="s">
        <v>642</v>
      </c>
      <c r="F309" s="5">
        <v>40225</v>
      </c>
      <c r="G309" s="5">
        <v>40543</v>
      </c>
      <c r="H309" s="4" t="s">
        <v>40</v>
      </c>
      <c r="I309" s="6">
        <v>12000</v>
      </c>
      <c r="J309" s="6">
        <v>6000</v>
      </c>
      <c r="K309" s="37" t="s">
        <v>356</v>
      </c>
      <c r="L309" s="119"/>
      <c r="M309" s="3"/>
    </row>
    <row r="310" spans="1:60" s="4" customFormat="1" ht="14.25" customHeight="1" x14ac:dyDescent="0.25">
      <c r="A310" s="4" t="s">
        <v>643</v>
      </c>
      <c r="B310" s="4" t="s">
        <v>183</v>
      </c>
      <c r="C310" s="4" t="s">
        <v>14</v>
      </c>
      <c r="D310" s="35">
        <v>7010</v>
      </c>
      <c r="E310" s="4" t="s">
        <v>644</v>
      </c>
      <c r="F310" s="5">
        <v>40225</v>
      </c>
      <c r="G310" s="5">
        <v>40908</v>
      </c>
      <c r="H310" s="4" t="s">
        <v>40</v>
      </c>
      <c r="I310" s="6">
        <v>9996</v>
      </c>
      <c r="J310" s="6">
        <v>4998</v>
      </c>
      <c r="K310" s="37" t="s">
        <v>356</v>
      </c>
      <c r="L310" s="119"/>
      <c r="M310" s="3"/>
    </row>
    <row r="311" spans="1:60" s="4" customFormat="1" ht="14.25" customHeight="1" x14ac:dyDescent="0.25">
      <c r="A311" s="4" t="s">
        <v>645</v>
      </c>
      <c r="B311" s="4" t="s">
        <v>90</v>
      </c>
      <c r="C311" s="4" t="s">
        <v>14</v>
      </c>
      <c r="D311" s="35">
        <v>7011</v>
      </c>
      <c r="E311" s="7" t="s">
        <v>646</v>
      </c>
      <c r="F311" s="5">
        <v>40163</v>
      </c>
      <c r="G311" s="5">
        <v>40543</v>
      </c>
      <c r="H311" s="4" t="s">
        <v>40</v>
      </c>
      <c r="I311" s="6">
        <v>9200</v>
      </c>
      <c r="J311" s="6">
        <v>4600</v>
      </c>
      <c r="K311" s="37" t="s">
        <v>356</v>
      </c>
      <c r="L311" s="119"/>
      <c r="M311" s="3"/>
    </row>
    <row r="312" spans="1:60" s="4" customFormat="1" ht="14.25" customHeight="1" x14ac:dyDescent="0.25">
      <c r="A312" s="4" t="s">
        <v>647</v>
      </c>
      <c r="B312" s="4" t="s">
        <v>190</v>
      </c>
      <c r="C312" s="4" t="s">
        <v>14</v>
      </c>
      <c r="D312" s="35">
        <v>7012</v>
      </c>
      <c r="E312" s="4" t="s">
        <v>648</v>
      </c>
      <c r="F312" s="5">
        <v>40163</v>
      </c>
      <c r="G312" s="5">
        <v>40543</v>
      </c>
      <c r="H312" s="4" t="s">
        <v>40</v>
      </c>
      <c r="I312" s="6">
        <v>8782</v>
      </c>
      <c r="J312" s="6">
        <v>4391</v>
      </c>
      <c r="K312" s="37" t="s">
        <v>356</v>
      </c>
      <c r="L312" s="119"/>
      <c r="M312" s="3"/>
    </row>
    <row r="313" spans="1:60" s="4" customFormat="1" ht="14.25" customHeight="1" x14ac:dyDescent="0.25">
      <c r="A313" s="9" t="s">
        <v>649</v>
      </c>
      <c r="B313" s="9" t="s">
        <v>90</v>
      </c>
      <c r="C313" s="9" t="s">
        <v>14</v>
      </c>
      <c r="D313" s="90">
        <v>7013</v>
      </c>
      <c r="E313" s="9" t="s">
        <v>650</v>
      </c>
      <c r="F313" s="11">
        <v>40163</v>
      </c>
      <c r="G313" s="11">
        <v>40543</v>
      </c>
      <c r="H313" s="9" t="s">
        <v>651</v>
      </c>
      <c r="I313" s="8">
        <v>3752</v>
      </c>
      <c r="J313" s="8">
        <v>1876</v>
      </c>
      <c r="K313" s="89" t="s">
        <v>356</v>
      </c>
      <c r="L313" s="121"/>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row>
    <row r="314" spans="1:60" s="4" customFormat="1" ht="14.25" customHeight="1" x14ac:dyDescent="0.25">
      <c r="A314" s="4" t="s">
        <v>652</v>
      </c>
      <c r="B314" s="4" t="s">
        <v>59</v>
      </c>
      <c r="C314" s="4" t="s">
        <v>14</v>
      </c>
      <c r="D314" s="35">
        <v>7014</v>
      </c>
      <c r="E314" s="4" t="s">
        <v>653</v>
      </c>
      <c r="F314" s="5">
        <v>40114</v>
      </c>
      <c r="G314" s="5">
        <v>40543</v>
      </c>
      <c r="H314" s="4" t="s">
        <v>40</v>
      </c>
      <c r="I314" s="6">
        <v>3750</v>
      </c>
      <c r="J314" s="6">
        <v>3750</v>
      </c>
      <c r="K314" s="37" t="s">
        <v>356</v>
      </c>
      <c r="L314" s="119"/>
      <c r="M314" s="3"/>
    </row>
    <row r="315" spans="1:60" s="4" customFormat="1" ht="14.25" customHeight="1" x14ac:dyDescent="0.25">
      <c r="A315" s="4" t="s">
        <v>654</v>
      </c>
      <c r="B315" s="4" t="s">
        <v>190</v>
      </c>
      <c r="C315" s="4" t="s">
        <v>14</v>
      </c>
      <c r="D315" s="35">
        <v>7015</v>
      </c>
      <c r="E315" s="7" t="s">
        <v>655</v>
      </c>
      <c r="F315" s="5">
        <v>40296</v>
      </c>
      <c r="G315" s="5">
        <v>40908</v>
      </c>
      <c r="H315" s="4" t="s">
        <v>40</v>
      </c>
      <c r="I315" s="6">
        <v>17450</v>
      </c>
      <c r="J315" s="6">
        <v>8725</v>
      </c>
      <c r="K315" s="37" t="s">
        <v>356</v>
      </c>
      <c r="L315" s="119"/>
      <c r="M315" s="3"/>
    </row>
    <row r="316" spans="1:60" s="4" customFormat="1" ht="14.25" customHeight="1" x14ac:dyDescent="0.25">
      <c r="A316" s="4" t="s">
        <v>656</v>
      </c>
      <c r="B316" s="4" t="s">
        <v>59</v>
      </c>
      <c r="C316" s="4" t="s">
        <v>14</v>
      </c>
      <c r="D316" s="35">
        <v>7016</v>
      </c>
      <c r="E316" s="4" t="s">
        <v>657</v>
      </c>
      <c r="F316" s="5">
        <v>40114</v>
      </c>
      <c r="G316" s="5">
        <v>40543</v>
      </c>
      <c r="H316" s="4" t="s">
        <v>40</v>
      </c>
      <c r="I316" s="6">
        <v>7500</v>
      </c>
      <c r="J316" s="6">
        <v>7500</v>
      </c>
      <c r="K316" s="37" t="s">
        <v>356</v>
      </c>
      <c r="L316" s="119"/>
      <c r="M316" s="3"/>
    </row>
    <row r="317" spans="1:60" s="4" customFormat="1" ht="14.25" customHeight="1" x14ac:dyDescent="0.25">
      <c r="A317" s="4" t="s">
        <v>658</v>
      </c>
      <c r="B317" s="4" t="s">
        <v>38</v>
      </c>
      <c r="C317" s="4" t="s">
        <v>14</v>
      </c>
      <c r="D317" s="35">
        <v>8815</v>
      </c>
      <c r="E317" s="4" t="s">
        <v>659</v>
      </c>
      <c r="F317" s="5">
        <v>40544</v>
      </c>
      <c r="G317" s="5">
        <v>41639</v>
      </c>
      <c r="H317" s="4" t="s">
        <v>40</v>
      </c>
      <c r="I317" s="6">
        <v>11572</v>
      </c>
      <c r="J317" s="6">
        <f>5365+6207</f>
        <v>11572</v>
      </c>
      <c r="K317" s="37" t="s">
        <v>356</v>
      </c>
      <c r="L317" s="119"/>
      <c r="M317" s="3"/>
    </row>
    <row r="318" spans="1:60" s="4" customFormat="1" ht="14.25" customHeight="1" x14ac:dyDescent="0.25">
      <c r="A318" s="4" t="s">
        <v>660</v>
      </c>
      <c r="B318" s="4" t="s">
        <v>38</v>
      </c>
      <c r="C318" s="4" t="s">
        <v>14</v>
      </c>
      <c r="D318" s="35">
        <v>8816</v>
      </c>
      <c r="E318" s="4" t="s">
        <v>661</v>
      </c>
      <c r="F318" s="5">
        <v>40544</v>
      </c>
      <c r="G318" s="5">
        <v>40908</v>
      </c>
      <c r="H318" s="4" t="s">
        <v>40</v>
      </c>
      <c r="I318" s="6">
        <v>249</v>
      </c>
      <c r="J318" s="6">
        <v>249</v>
      </c>
      <c r="K318" s="37" t="s">
        <v>356</v>
      </c>
      <c r="L318" s="119"/>
      <c r="M318" s="3"/>
    </row>
    <row r="319" spans="1:60" s="4" customFormat="1" ht="14.25" customHeight="1" x14ac:dyDescent="0.25">
      <c r="A319" s="4" t="s">
        <v>662</v>
      </c>
      <c r="B319" s="4" t="s">
        <v>38</v>
      </c>
      <c r="C319" s="4" t="s">
        <v>14</v>
      </c>
      <c r="D319" s="35">
        <v>8817</v>
      </c>
      <c r="E319" s="4" t="s">
        <v>663</v>
      </c>
      <c r="F319" s="5">
        <v>40544</v>
      </c>
      <c r="G319" s="5">
        <v>41639</v>
      </c>
      <c r="H319" s="4" t="s">
        <v>40</v>
      </c>
      <c r="I319" s="6">
        <v>10675</v>
      </c>
      <c r="J319" s="6">
        <f>7682+2993.5</f>
        <v>10675.5</v>
      </c>
      <c r="K319" s="37" t="s">
        <v>356</v>
      </c>
      <c r="L319" s="119"/>
      <c r="M319" s="3"/>
    </row>
    <row r="320" spans="1:60" s="4" customFormat="1" ht="14.25" customHeight="1" x14ac:dyDescent="0.25">
      <c r="A320" s="4" t="s">
        <v>664</v>
      </c>
      <c r="B320" s="4" t="s">
        <v>38</v>
      </c>
      <c r="C320" s="4" t="s">
        <v>14</v>
      </c>
      <c r="D320" s="35">
        <v>8818</v>
      </c>
      <c r="E320" s="4" t="s">
        <v>665</v>
      </c>
      <c r="F320" s="5">
        <v>40544</v>
      </c>
      <c r="G320" s="5">
        <v>41639</v>
      </c>
      <c r="H320" s="4" t="s">
        <v>40</v>
      </c>
      <c r="I320" s="6">
        <v>4667.5</v>
      </c>
      <c r="J320" s="6">
        <f>3125+1542.5</f>
        <v>4667.5</v>
      </c>
      <c r="K320" s="37" t="s">
        <v>356</v>
      </c>
      <c r="L320" s="119"/>
      <c r="M320" s="3"/>
    </row>
    <row r="321" spans="1:13" s="4" customFormat="1" ht="14.25" customHeight="1" x14ac:dyDescent="0.25">
      <c r="A321" s="4" t="s">
        <v>666</v>
      </c>
      <c r="B321" s="4" t="s">
        <v>38</v>
      </c>
      <c r="C321" s="4" t="s">
        <v>14</v>
      </c>
      <c r="D321" s="35">
        <v>8821</v>
      </c>
      <c r="E321" s="4" t="s">
        <v>667</v>
      </c>
      <c r="F321" s="5">
        <v>40544</v>
      </c>
      <c r="G321" s="5">
        <v>40908</v>
      </c>
      <c r="H321" s="4" t="s">
        <v>40</v>
      </c>
      <c r="I321" s="6">
        <v>269</v>
      </c>
      <c r="J321" s="6">
        <v>269</v>
      </c>
      <c r="K321" s="37" t="s">
        <v>356</v>
      </c>
      <c r="L321" s="119"/>
      <c r="M321" s="3"/>
    </row>
    <row r="322" spans="1:13" s="4" customFormat="1" ht="14.25" customHeight="1" x14ac:dyDescent="0.25">
      <c r="A322" s="4" t="s">
        <v>668</v>
      </c>
      <c r="B322" s="4" t="s">
        <v>38</v>
      </c>
      <c r="C322" s="4" t="s">
        <v>14</v>
      </c>
      <c r="D322" s="35">
        <v>8822</v>
      </c>
      <c r="E322" s="4" t="s">
        <v>669</v>
      </c>
      <c r="F322" s="5">
        <v>40544</v>
      </c>
      <c r="G322" s="5">
        <v>40908</v>
      </c>
      <c r="H322" s="4" t="s">
        <v>40</v>
      </c>
      <c r="I322" s="6">
        <v>129</v>
      </c>
      <c r="J322" s="6">
        <v>129</v>
      </c>
      <c r="K322" s="37" t="s">
        <v>356</v>
      </c>
      <c r="L322" s="119"/>
      <c r="M322" s="3"/>
    </row>
    <row r="323" spans="1:13" s="4" customFormat="1" ht="14.25" customHeight="1" x14ac:dyDescent="0.25">
      <c r="A323" s="4" t="s">
        <v>670</v>
      </c>
      <c r="B323" s="4" t="s">
        <v>38</v>
      </c>
      <c r="C323" s="4" t="s">
        <v>14</v>
      </c>
      <c r="D323" s="35">
        <v>8823</v>
      </c>
      <c r="E323" s="4" t="s">
        <v>671</v>
      </c>
      <c r="F323" s="5">
        <v>40544</v>
      </c>
      <c r="G323" s="5">
        <v>40908</v>
      </c>
      <c r="H323" s="4" t="s">
        <v>40</v>
      </c>
      <c r="I323" s="6">
        <v>1165.4000000000001</v>
      </c>
      <c r="J323" s="6">
        <v>1165.4000000000001</v>
      </c>
      <c r="K323" s="37" t="s">
        <v>356</v>
      </c>
      <c r="L323" s="119"/>
      <c r="M323" s="3"/>
    </row>
    <row r="324" spans="1:13" s="4" customFormat="1" ht="14.25" customHeight="1" x14ac:dyDescent="0.25">
      <c r="A324" s="4" t="s">
        <v>672</v>
      </c>
      <c r="B324" s="4" t="s">
        <v>38</v>
      </c>
      <c r="C324" s="4" t="s">
        <v>14</v>
      </c>
      <c r="D324" s="35">
        <v>8824</v>
      </c>
      <c r="E324" s="4" t="s">
        <v>673</v>
      </c>
      <c r="F324" s="5">
        <v>40544</v>
      </c>
      <c r="G324" s="5">
        <v>40908</v>
      </c>
      <c r="H324" s="4" t="s">
        <v>40</v>
      </c>
      <c r="I324" s="6">
        <v>1753.15</v>
      </c>
      <c r="J324" s="6">
        <v>1753.15</v>
      </c>
      <c r="K324" s="37" t="s">
        <v>356</v>
      </c>
      <c r="L324" s="119"/>
      <c r="M324" s="3"/>
    </row>
    <row r="325" spans="1:13" s="4" customFormat="1" ht="14.25" customHeight="1" x14ac:dyDescent="0.25">
      <c r="A325" s="4" t="s">
        <v>674</v>
      </c>
      <c r="B325" s="4" t="s">
        <v>190</v>
      </c>
      <c r="C325" s="4" t="s">
        <v>14</v>
      </c>
      <c r="D325" s="35">
        <v>8825</v>
      </c>
      <c r="E325" s="4" t="s">
        <v>675</v>
      </c>
      <c r="F325" s="5">
        <v>40660</v>
      </c>
      <c r="G325" s="5">
        <v>40908</v>
      </c>
      <c r="H325" s="4" t="s">
        <v>40</v>
      </c>
      <c r="I325" s="6">
        <v>77642</v>
      </c>
      <c r="J325" s="6">
        <v>38822.199999999997</v>
      </c>
      <c r="K325" s="37" t="s">
        <v>356</v>
      </c>
      <c r="L325" s="119"/>
      <c r="M325" s="3"/>
    </row>
    <row r="326" spans="1:13" s="4" customFormat="1" ht="14.25" customHeight="1" x14ac:dyDescent="0.25">
      <c r="A326" s="4" t="s">
        <v>676</v>
      </c>
      <c r="B326" s="4" t="s">
        <v>183</v>
      </c>
      <c r="C326" s="4" t="s">
        <v>14</v>
      </c>
      <c r="D326" s="35">
        <v>8826</v>
      </c>
      <c r="E326" s="4" t="s">
        <v>677</v>
      </c>
      <c r="F326" s="5">
        <v>40478</v>
      </c>
      <c r="G326" s="5">
        <v>40908</v>
      </c>
      <c r="H326" s="4" t="s">
        <v>40</v>
      </c>
      <c r="I326" s="6">
        <v>10166</v>
      </c>
      <c r="J326" s="6">
        <v>5083</v>
      </c>
      <c r="K326" s="37" t="s">
        <v>356</v>
      </c>
      <c r="L326" s="119"/>
      <c r="M326" s="3"/>
    </row>
    <row r="327" spans="1:13" s="4" customFormat="1" ht="14.25" customHeight="1" x14ac:dyDescent="0.25">
      <c r="A327" s="4" t="s">
        <v>678</v>
      </c>
      <c r="B327" s="4" t="s">
        <v>183</v>
      </c>
      <c r="C327" s="4" t="s">
        <v>14</v>
      </c>
      <c r="D327" s="35">
        <v>8827</v>
      </c>
      <c r="E327" s="4" t="s">
        <v>679</v>
      </c>
      <c r="F327" s="5">
        <v>40527</v>
      </c>
      <c r="G327" s="5">
        <v>40908</v>
      </c>
      <c r="H327" s="4" t="s">
        <v>40</v>
      </c>
      <c r="I327" s="6">
        <v>8402</v>
      </c>
      <c r="J327" s="6">
        <v>4201</v>
      </c>
      <c r="K327" s="37" t="s">
        <v>356</v>
      </c>
      <c r="L327" s="119"/>
      <c r="M327" s="3"/>
    </row>
    <row r="328" spans="1:13" s="4" customFormat="1" ht="14.25" customHeight="1" x14ac:dyDescent="0.25">
      <c r="A328" s="4" t="s">
        <v>680</v>
      </c>
      <c r="B328" s="4" t="s">
        <v>190</v>
      </c>
      <c r="C328" s="4" t="s">
        <v>14</v>
      </c>
      <c r="D328" s="35">
        <v>8828</v>
      </c>
      <c r="E328" s="4" t="s">
        <v>681</v>
      </c>
      <c r="F328" s="5">
        <v>40478</v>
      </c>
      <c r="G328" s="5">
        <v>40908</v>
      </c>
      <c r="H328" s="4" t="s">
        <v>40</v>
      </c>
      <c r="I328" s="6">
        <v>7500</v>
      </c>
      <c r="J328" s="6">
        <v>7500</v>
      </c>
      <c r="K328" s="37" t="s">
        <v>356</v>
      </c>
      <c r="L328" s="119"/>
      <c r="M328" s="3"/>
    </row>
    <row r="329" spans="1:13" s="4" customFormat="1" ht="14.25" customHeight="1" x14ac:dyDescent="0.25">
      <c r="A329" s="4" t="s">
        <v>682</v>
      </c>
      <c r="B329" s="4" t="s">
        <v>183</v>
      </c>
      <c r="C329" s="4" t="s">
        <v>14</v>
      </c>
      <c r="D329" s="35">
        <v>8829</v>
      </c>
      <c r="E329" s="4" t="s">
        <v>683</v>
      </c>
      <c r="F329" s="5">
        <v>40604</v>
      </c>
      <c r="G329" s="5">
        <v>40908</v>
      </c>
      <c r="H329" s="4" t="s">
        <v>40</v>
      </c>
      <c r="I329" s="6">
        <v>10500</v>
      </c>
      <c r="J329" s="6">
        <v>5250</v>
      </c>
      <c r="K329" s="37" t="s">
        <v>356</v>
      </c>
      <c r="L329" s="119"/>
      <c r="M329" s="3"/>
    </row>
    <row r="330" spans="1:13" s="4" customFormat="1" ht="14.25" customHeight="1" x14ac:dyDescent="0.25">
      <c r="A330" s="4" t="s">
        <v>684</v>
      </c>
      <c r="B330" s="4" t="s">
        <v>183</v>
      </c>
      <c r="C330" s="4" t="s">
        <v>14</v>
      </c>
      <c r="D330" s="35">
        <v>8830</v>
      </c>
      <c r="E330" s="4" t="s">
        <v>685</v>
      </c>
      <c r="F330" s="5">
        <v>40296</v>
      </c>
      <c r="G330" s="5">
        <v>40908</v>
      </c>
      <c r="H330" s="4" t="s">
        <v>40</v>
      </c>
      <c r="I330" s="6">
        <v>712</v>
      </c>
      <c r="J330" s="6">
        <v>356</v>
      </c>
      <c r="K330" s="37" t="s">
        <v>356</v>
      </c>
      <c r="L330" s="119"/>
      <c r="M330" s="3"/>
    </row>
    <row r="331" spans="1:13" s="4" customFormat="1" ht="14.25" customHeight="1" x14ac:dyDescent="0.25">
      <c r="A331" s="4" t="s">
        <v>686</v>
      </c>
      <c r="B331" s="4" t="s">
        <v>183</v>
      </c>
      <c r="C331" s="4" t="s">
        <v>14</v>
      </c>
      <c r="D331" s="35">
        <v>8831</v>
      </c>
      <c r="E331" s="4" t="s">
        <v>687</v>
      </c>
      <c r="F331" s="5">
        <v>40716</v>
      </c>
      <c r="G331" s="5">
        <v>41274</v>
      </c>
      <c r="H331" s="4" t="s">
        <v>40</v>
      </c>
      <c r="I331" s="6">
        <v>4810</v>
      </c>
      <c r="J331" s="6">
        <v>3405</v>
      </c>
      <c r="K331" s="37" t="s">
        <v>356</v>
      </c>
      <c r="L331" s="119"/>
      <c r="M331" s="3"/>
    </row>
    <row r="332" spans="1:13" s="4" customFormat="1" ht="14.25" customHeight="1" x14ac:dyDescent="0.25">
      <c r="A332" s="4" t="s">
        <v>688</v>
      </c>
      <c r="B332" s="4" t="s">
        <v>183</v>
      </c>
      <c r="C332" s="4" t="s">
        <v>14</v>
      </c>
      <c r="D332" s="35">
        <v>8832</v>
      </c>
      <c r="E332" s="4" t="s">
        <v>689</v>
      </c>
      <c r="F332" s="5">
        <v>40429</v>
      </c>
      <c r="G332" s="5">
        <v>40908</v>
      </c>
      <c r="H332" s="4" t="s">
        <v>40</v>
      </c>
      <c r="I332" s="6">
        <v>10930</v>
      </c>
      <c r="J332" s="6">
        <v>9965</v>
      </c>
      <c r="K332" s="37" t="s">
        <v>356</v>
      </c>
      <c r="L332" s="119"/>
      <c r="M332" s="3"/>
    </row>
    <row r="333" spans="1:13" s="4" customFormat="1" ht="14.25" customHeight="1" x14ac:dyDescent="0.25">
      <c r="A333" s="4" t="s">
        <v>690</v>
      </c>
      <c r="B333" s="4" t="s">
        <v>183</v>
      </c>
      <c r="C333" s="4" t="s">
        <v>14</v>
      </c>
      <c r="D333" s="35">
        <v>8833</v>
      </c>
      <c r="E333" s="7" t="s">
        <v>691</v>
      </c>
      <c r="F333" s="5">
        <v>40604</v>
      </c>
      <c r="G333" s="5">
        <v>40908</v>
      </c>
      <c r="H333" s="4" t="s">
        <v>40</v>
      </c>
      <c r="I333" s="6">
        <v>21312</v>
      </c>
      <c r="J333" s="6">
        <v>14656</v>
      </c>
      <c r="K333" s="37" t="s">
        <v>356</v>
      </c>
      <c r="L333" s="119"/>
      <c r="M333" s="3"/>
    </row>
    <row r="334" spans="1:13" s="4" customFormat="1" ht="14.25" customHeight="1" x14ac:dyDescent="0.25">
      <c r="A334" s="4" t="s">
        <v>692</v>
      </c>
      <c r="B334" s="4" t="s">
        <v>183</v>
      </c>
      <c r="C334" s="4" t="s">
        <v>14</v>
      </c>
      <c r="D334" s="35">
        <v>8834</v>
      </c>
      <c r="E334" s="7" t="s">
        <v>693</v>
      </c>
      <c r="F334" s="5">
        <v>40660</v>
      </c>
      <c r="G334" s="5">
        <v>41274</v>
      </c>
      <c r="H334" s="4" t="s">
        <v>40</v>
      </c>
      <c r="I334" s="6">
        <v>8000</v>
      </c>
      <c r="J334" s="6">
        <v>8000</v>
      </c>
      <c r="K334" s="37" t="s">
        <v>356</v>
      </c>
      <c r="L334" s="119"/>
      <c r="M334" s="3"/>
    </row>
    <row r="335" spans="1:13" s="4" customFormat="1" ht="14.25" customHeight="1" x14ac:dyDescent="0.25">
      <c r="A335" s="4" t="s">
        <v>696</v>
      </c>
      <c r="B335" s="4" t="s">
        <v>183</v>
      </c>
      <c r="C335" s="4" t="s">
        <v>14</v>
      </c>
      <c r="D335" s="35">
        <v>8836</v>
      </c>
      <c r="E335" s="4" t="s">
        <v>697</v>
      </c>
      <c r="F335" s="5">
        <v>40478</v>
      </c>
      <c r="G335" s="5">
        <v>40908</v>
      </c>
      <c r="H335" s="4" t="s">
        <v>40</v>
      </c>
      <c r="I335" s="6">
        <v>22000</v>
      </c>
      <c r="J335" s="6">
        <v>20000</v>
      </c>
      <c r="K335" s="37" t="s">
        <v>356</v>
      </c>
      <c r="L335" s="119"/>
      <c r="M335" s="3"/>
    </row>
    <row r="336" spans="1:13" s="4" customFormat="1" ht="14.25" customHeight="1" x14ac:dyDescent="0.25">
      <c r="A336" s="4" t="s">
        <v>698</v>
      </c>
      <c r="B336" s="4" t="s">
        <v>190</v>
      </c>
      <c r="C336" s="4" t="s">
        <v>14</v>
      </c>
      <c r="D336" s="35">
        <v>8837</v>
      </c>
      <c r="E336" s="4" t="s">
        <v>699</v>
      </c>
      <c r="F336" s="5">
        <v>40800</v>
      </c>
      <c r="G336" s="5">
        <v>41274</v>
      </c>
      <c r="H336" s="4" t="s">
        <v>40</v>
      </c>
      <c r="I336" s="6">
        <v>25000</v>
      </c>
      <c r="J336" s="6">
        <v>25000</v>
      </c>
      <c r="K336" s="37" t="s">
        <v>356</v>
      </c>
      <c r="L336" s="119"/>
      <c r="M336" s="3"/>
    </row>
    <row r="337" spans="1:13" s="4" customFormat="1" ht="14.25" customHeight="1" x14ac:dyDescent="0.25">
      <c r="A337" s="4" t="s">
        <v>700</v>
      </c>
      <c r="B337" s="4" t="s">
        <v>183</v>
      </c>
      <c r="C337" s="4" t="s">
        <v>14</v>
      </c>
      <c r="D337" s="35">
        <v>8838</v>
      </c>
      <c r="E337" s="4" t="s">
        <v>701</v>
      </c>
      <c r="F337" s="5">
        <v>40716</v>
      </c>
      <c r="G337" s="5">
        <v>41274</v>
      </c>
      <c r="H337" s="4" t="s">
        <v>40</v>
      </c>
      <c r="I337" s="6">
        <v>91518</v>
      </c>
      <c r="J337" s="6">
        <v>55759</v>
      </c>
      <c r="K337" s="37" t="s">
        <v>356</v>
      </c>
      <c r="L337" s="119"/>
      <c r="M337" s="3"/>
    </row>
    <row r="338" spans="1:13" s="4" customFormat="1" ht="14.25" customHeight="1" x14ac:dyDescent="0.25">
      <c r="A338" s="4" t="s">
        <v>702</v>
      </c>
      <c r="B338" s="4" t="s">
        <v>183</v>
      </c>
      <c r="C338" s="4" t="s">
        <v>14</v>
      </c>
      <c r="D338" s="35">
        <v>8839</v>
      </c>
      <c r="E338" s="4" t="s">
        <v>703</v>
      </c>
      <c r="F338" s="5">
        <v>40544</v>
      </c>
      <c r="G338" s="5">
        <v>40908</v>
      </c>
      <c r="H338" s="4" t="s">
        <v>40</v>
      </c>
      <c r="I338" s="6">
        <v>35756</v>
      </c>
      <c r="J338" s="6">
        <v>17878</v>
      </c>
      <c r="K338" s="37" t="s">
        <v>356</v>
      </c>
      <c r="L338" s="119"/>
      <c r="M338" s="3"/>
    </row>
    <row r="339" spans="1:13" s="4" customFormat="1" ht="14.25" customHeight="1" x14ac:dyDescent="0.25">
      <c r="A339" s="4" t="s">
        <v>704</v>
      </c>
      <c r="B339" s="4" t="s">
        <v>190</v>
      </c>
      <c r="C339" s="4" t="s">
        <v>14</v>
      </c>
      <c r="D339" s="35">
        <v>8840</v>
      </c>
      <c r="E339" s="4" t="s">
        <v>705</v>
      </c>
      <c r="F339" s="5">
        <v>40544</v>
      </c>
      <c r="G339" s="5">
        <v>40908</v>
      </c>
      <c r="H339" s="4" t="s">
        <v>40</v>
      </c>
      <c r="I339" s="6">
        <v>20000</v>
      </c>
      <c r="J339" s="6">
        <v>10000</v>
      </c>
      <c r="K339" s="37" t="s">
        <v>356</v>
      </c>
      <c r="L339" s="119"/>
      <c r="M339" s="3"/>
    </row>
    <row r="340" spans="1:13" s="4" customFormat="1" ht="14.25" customHeight="1" x14ac:dyDescent="0.25">
      <c r="A340" s="4" t="s">
        <v>706</v>
      </c>
      <c r="B340" s="4" t="s">
        <v>183</v>
      </c>
      <c r="C340" s="4" t="s">
        <v>14</v>
      </c>
      <c r="D340" s="35">
        <v>8841</v>
      </c>
      <c r="E340" s="4" t="s">
        <v>707</v>
      </c>
      <c r="F340" s="5">
        <v>40544</v>
      </c>
      <c r="G340" s="5">
        <v>41274</v>
      </c>
      <c r="H340" s="4" t="s">
        <v>40</v>
      </c>
      <c r="I340" s="6">
        <v>28886</v>
      </c>
      <c r="J340" s="6">
        <v>14443</v>
      </c>
      <c r="K340" s="37" t="s">
        <v>356</v>
      </c>
      <c r="L340" s="119"/>
      <c r="M340" s="3"/>
    </row>
    <row r="341" spans="1:13" s="4" customFormat="1" ht="14.25" customHeight="1" x14ac:dyDescent="0.25">
      <c r="A341" s="4" t="s">
        <v>708</v>
      </c>
      <c r="B341" s="4" t="s">
        <v>183</v>
      </c>
      <c r="C341" s="4" t="s">
        <v>14</v>
      </c>
      <c r="D341" s="35">
        <v>8842</v>
      </c>
      <c r="E341" s="4" t="s">
        <v>709</v>
      </c>
      <c r="F341" s="5">
        <v>40544</v>
      </c>
      <c r="G341" s="5">
        <v>40908</v>
      </c>
      <c r="H341" s="4" t="s">
        <v>40</v>
      </c>
      <c r="I341" s="6">
        <v>18618</v>
      </c>
      <c r="J341" s="6">
        <v>9309</v>
      </c>
      <c r="K341" s="37" t="s">
        <v>356</v>
      </c>
      <c r="L341" s="119"/>
      <c r="M341" s="3"/>
    </row>
    <row r="342" spans="1:13" s="4" customFormat="1" ht="14.25" customHeight="1" x14ac:dyDescent="0.25">
      <c r="A342" s="4" t="s">
        <v>710</v>
      </c>
      <c r="B342" s="4" t="s">
        <v>183</v>
      </c>
      <c r="C342" s="4" t="s">
        <v>14</v>
      </c>
      <c r="D342" s="35">
        <v>8843</v>
      </c>
      <c r="E342" s="4" t="s">
        <v>711</v>
      </c>
      <c r="F342" s="5">
        <v>40544</v>
      </c>
      <c r="G342" s="5">
        <v>41274</v>
      </c>
      <c r="H342" s="4" t="s">
        <v>40</v>
      </c>
      <c r="I342" s="6">
        <v>9516</v>
      </c>
      <c r="J342" s="6">
        <v>8758</v>
      </c>
      <c r="K342" s="37" t="s">
        <v>356</v>
      </c>
      <c r="L342" s="119"/>
      <c r="M342" s="3"/>
    </row>
    <row r="343" spans="1:13" s="4" customFormat="1" ht="14.25" customHeight="1" x14ac:dyDescent="0.25">
      <c r="A343" s="4" t="s">
        <v>712</v>
      </c>
      <c r="B343" s="4" t="s">
        <v>183</v>
      </c>
      <c r="C343" s="4" t="s">
        <v>14</v>
      </c>
      <c r="D343" s="35">
        <v>8844</v>
      </c>
      <c r="E343" s="4" t="s">
        <v>713</v>
      </c>
      <c r="F343" s="5">
        <v>40544</v>
      </c>
      <c r="G343" s="5">
        <v>40908</v>
      </c>
      <c r="H343" s="4" t="s">
        <v>40</v>
      </c>
      <c r="I343" s="6">
        <v>10098</v>
      </c>
      <c r="J343" s="6">
        <v>6549</v>
      </c>
      <c r="K343" s="37" t="s">
        <v>356</v>
      </c>
      <c r="L343" s="119"/>
      <c r="M343" s="3"/>
    </row>
    <row r="344" spans="1:13" s="4" customFormat="1" ht="14.25" customHeight="1" x14ac:dyDescent="0.25">
      <c r="A344" s="4" t="s">
        <v>714</v>
      </c>
      <c r="B344" s="4" t="s">
        <v>183</v>
      </c>
      <c r="C344" s="4" t="s">
        <v>14</v>
      </c>
      <c r="D344" s="35">
        <v>8845</v>
      </c>
      <c r="E344" s="4" t="s">
        <v>715</v>
      </c>
      <c r="F344" s="5">
        <v>40544</v>
      </c>
      <c r="G344" s="5">
        <v>41274</v>
      </c>
      <c r="H344" s="4" t="s">
        <v>40</v>
      </c>
      <c r="I344" s="6">
        <v>39394</v>
      </c>
      <c r="J344" s="6">
        <v>23697</v>
      </c>
      <c r="K344" s="37" t="s">
        <v>356</v>
      </c>
      <c r="L344" s="119"/>
      <c r="M344" s="3"/>
    </row>
    <row r="345" spans="1:13" s="4" customFormat="1" ht="14.25" customHeight="1" x14ac:dyDescent="0.25">
      <c r="A345" s="4" t="s">
        <v>716</v>
      </c>
      <c r="B345" s="4" t="s">
        <v>90</v>
      </c>
      <c r="C345" s="4" t="s">
        <v>14</v>
      </c>
      <c r="D345" s="35">
        <v>8846</v>
      </c>
      <c r="E345" s="4" t="s">
        <v>717</v>
      </c>
      <c r="F345" s="5">
        <v>40544</v>
      </c>
      <c r="G345" s="5">
        <v>40908</v>
      </c>
      <c r="H345" s="4" t="s">
        <v>40</v>
      </c>
      <c r="I345" s="6">
        <v>7200</v>
      </c>
      <c r="J345" s="6">
        <v>3600</v>
      </c>
      <c r="K345" s="37" t="s">
        <v>356</v>
      </c>
      <c r="L345" s="119"/>
      <c r="M345" s="3"/>
    </row>
    <row r="346" spans="1:13" s="4" customFormat="1" ht="14.25" customHeight="1" x14ac:dyDescent="0.25">
      <c r="A346" s="4" t="s">
        <v>718</v>
      </c>
      <c r="B346" s="4" t="s">
        <v>183</v>
      </c>
      <c r="C346" s="4" t="s">
        <v>14</v>
      </c>
      <c r="D346" s="35">
        <v>8847</v>
      </c>
      <c r="E346" s="4" t="s">
        <v>719</v>
      </c>
      <c r="F346" s="5">
        <v>40544</v>
      </c>
      <c r="G346" s="5">
        <v>41274</v>
      </c>
      <c r="H346" s="4" t="s">
        <v>40</v>
      </c>
      <c r="I346" s="6">
        <v>18298</v>
      </c>
      <c r="J346" s="6">
        <v>13149</v>
      </c>
      <c r="K346" s="37" t="s">
        <v>356</v>
      </c>
      <c r="L346" s="119"/>
      <c r="M346" s="3"/>
    </row>
    <row r="347" spans="1:13" s="4" customFormat="1" ht="14.25" customHeight="1" x14ac:dyDescent="0.25">
      <c r="A347" s="4" t="s">
        <v>720</v>
      </c>
      <c r="B347" s="4" t="s">
        <v>190</v>
      </c>
      <c r="C347" s="4" t="s">
        <v>14</v>
      </c>
      <c r="D347" s="35">
        <v>8848</v>
      </c>
      <c r="E347" s="4" t="s">
        <v>721</v>
      </c>
      <c r="F347" s="5">
        <v>40544</v>
      </c>
      <c r="G347" s="5">
        <v>40908</v>
      </c>
      <c r="H347" s="4" t="s">
        <v>40</v>
      </c>
      <c r="I347" s="6">
        <v>16092</v>
      </c>
      <c r="J347" s="6">
        <v>8046</v>
      </c>
      <c r="K347" s="37" t="s">
        <v>356</v>
      </c>
      <c r="L347" s="119"/>
      <c r="M347" s="3"/>
    </row>
    <row r="348" spans="1:13" s="4" customFormat="1" ht="14.25" customHeight="1" x14ac:dyDescent="0.25">
      <c r="A348" s="4" t="s">
        <v>724</v>
      </c>
      <c r="B348" s="4" t="s">
        <v>183</v>
      </c>
      <c r="C348" s="4" t="s">
        <v>14</v>
      </c>
      <c r="D348" s="35">
        <v>8850</v>
      </c>
      <c r="E348" s="4" t="s">
        <v>725</v>
      </c>
      <c r="F348" s="5">
        <v>40478</v>
      </c>
      <c r="G348" s="5">
        <v>40908</v>
      </c>
      <c r="H348" s="4" t="s">
        <v>40</v>
      </c>
      <c r="I348" s="6">
        <v>40000</v>
      </c>
      <c r="J348" s="6">
        <v>20000</v>
      </c>
      <c r="K348" s="37" t="s">
        <v>356</v>
      </c>
      <c r="L348" s="119"/>
      <c r="M348" s="3"/>
    </row>
    <row r="349" spans="1:13" s="4" customFormat="1" ht="14.25" customHeight="1" x14ac:dyDescent="0.25">
      <c r="A349" s="4" t="s">
        <v>726</v>
      </c>
      <c r="B349" s="4" t="s">
        <v>90</v>
      </c>
      <c r="C349" s="4" t="s">
        <v>14</v>
      </c>
      <c r="D349" s="35">
        <v>8851</v>
      </c>
      <c r="E349" s="4" t="s">
        <v>727</v>
      </c>
      <c r="F349" s="5">
        <v>40345</v>
      </c>
      <c r="G349" s="5">
        <v>40908</v>
      </c>
      <c r="H349" s="4" t="s">
        <v>40</v>
      </c>
      <c r="I349" s="6">
        <v>4896</v>
      </c>
      <c r="J349" s="6">
        <v>2448</v>
      </c>
      <c r="K349" s="37" t="s">
        <v>356</v>
      </c>
      <c r="L349" s="119"/>
      <c r="M349" s="3"/>
    </row>
    <row r="350" spans="1:13" s="4" customFormat="1" ht="14.25" customHeight="1" x14ac:dyDescent="0.25">
      <c r="A350" s="4" t="s">
        <v>728</v>
      </c>
      <c r="B350" s="4" t="s">
        <v>183</v>
      </c>
      <c r="C350" s="4" t="s">
        <v>14</v>
      </c>
      <c r="D350" s="35">
        <v>8852</v>
      </c>
      <c r="E350" s="4" t="s">
        <v>729</v>
      </c>
      <c r="F350" s="5">
        <v>40800</v>
      </c>
      <c r="G350" s="5">
        <v>41274</v>
      </c>
      <c r="H350" s="4" t="s">
        <v>40</v>
      </c>
      <c r="I350" s="6">
        <v>17660</v>
      </c>
      <c r="J350" s="6">
        <v>8830</v>
      </c>
      <c r="K350" s="37" t="s">
        <v>356</v>
      </c>
      <c r="L350" s="119"/>
      <c r="M350" s="3"/>
    </row>
    <row r="351" spans="1:13" s="4" customFormat="1" ht="14.25" customHeight="1" x14ac:dyDescent="0.25">
      <c r="A351" s="4" t="s">
        <v>730</v>
      </c>
      <c r="B351" s="4" t="s">
        <v>190</v>
      </c>
      <c r="C351" s="4" t="s">
        <v>14</v>
      </c>
      <c r="D351" s="35">
        <v>8853</v>
      </c>
      <c r="E351" s="4" t="s">
        <v>731</v>
      </c>
      <c r="F351" s="5">
        <v>40429</v>
      </c>
      <c r="G351" s="5">
        <v>40908</v>
      </c>
      <c r="H351" s="4" t="s">
        <v>40</v>
      </c>
      <c r="I351" s="6">
        <v>3500</v>
      </c>
      <c r="J351" s="6">
        <v>3500</v>
      </c>
      <c r="K351" s="37" t="s">
        <v>356</v>
      </c>
      <c r="L351" s="119"/>
      <c r="M351" s="3"/>
    </row>
    <row r="352" spans="1:13" s="4" customFormat="1" ht="14.25" customHeight="1" x14ac:dyDescent="0.25">
      <c r="A352" s="4" t="s">
        <v>732</v>
      </c>
      <c r="B352" s="4" t="s">
        <v>38</v>
      </c>
      <c r="C352" s="4" t="s">
        <v>14</v>
      </c>
      <c r="D352" s="35">
        <v>9210</v>
      </c>
      <c r="E352" s="4" t="s">
        <v>733</v>
      </c>
      <c r="F352" s="5">
        <v>40544</v>
      </c>
      <c r="G352" s="5">
        <v>41639</v>
      </c>
      <c r="H352" s="4" t="s">
        <v>40</v>
      </c>
      <c r="I352" s="6">
        <v>49970</v>
      </c>
      <c r="J352" s="6">
        <f>16300+8685</f>
        <v>24985</v>
      </c>
      <c r="K352" s="37" t="s">
        <v>356</v>
      </c>
      <c r="L352" s="119"/>
      <c r="M352" s="3"/>
    </row>
    <row r="353" spans="1:13" s="4" customFormat="1" ht="14.25" customHeight="1" x14ac:dyDescent="0.25">
      <c r="A353" s="4" t="s">
        <v>734</v>
      </c>
      <c r="B353" s="4" t="s">
        <v>190</v>
      </c>
      <c r="C353" s="4" t="s">
        <v>14</v>
      </c>
      <c r="D353" s="35">
        <v>10818</v>
      </c>
      <c r="E353" s="4" t="s">
        <v>735</v>
      </c>
      <c r="F353" s="5">
        <v>40909</v>
      </c>
      <c r="G353" s="5">
        <v>41274</v>
      </c>
      <c r="H353" s="4" t="s">
        <v>40</v>
      </c>
      <c r="I353" s="6">
        <v>100000</v>
      </c>
      <c r="J353" s="6">
        <v>50000</v>
      </c>
      <c r="K353" s="37" t="s">
        <v>356</v>
      </c>
      <c r="L353" s="119"/>
      <c r="M353" s="3"/>
    </row>
    <row r="354" spans="1:13" s="4" customFormat="1" ht="14.25" customHeight="1" x14ac:dyDescent="0.25">
      <c r="A354" s="4" t="s">
        <v>736</v>
      </c>
      <c r="B354" s="4" t="s">
        <v>190</v>
      </c>
      <c r="C354" s="4" t="s">
        <v>14</v>
      </c>
      <c r="D354" s="35">
        <v>10820</v>
      </c>
      <c r="E354" s="4" t="s">
        <v>737</v>
      </c>
      <c r="F354" s="5">
        <v>40909</v>
      </c>
      <c r="G354" s="5">
        <v>41274</v>
      </c>
      <c r="H354" s="4" t="s">
        <v>40</v>
      </c>
      <c r="I354" s="6">
        <v>42516</v>
      </c>
      <c r="J354" s="6">
        <v>25008</v>
      </c>
      <c r="K354" s="37" t="s">
        <v>356</v>
      </c>
      <c r="L354" s="119"/>
      <c r="M354" s="3"/>
    </row>
    <row r="355" spans="1:13" s="4" customFormat="1" ht="14.25" customHeight="1" x14ac:dyDescent="0.25">
      <c r="A355" s="4" t="s">
        <v>738</v>
      </c>
      <c r="B355" s="4" t="s">
        <v>190</v>
      </c>
      <c r="C355" s="4" t="s">
        <v>14</v>
      </c>
      <c r="D355" s="35">
        <v>10822</v>
      </c>
      <c r="E355" s="4" t="s">
        <v>739</v>
      </c>
      <c r="F355" s="5">
        <v>40909</v>
      </c>
      <c r="G355" s="5">
        <v>41274</v>
      </c>
      <c r="H355" s="4" t="s">
        <v>40</v>
      </c>
      <c r="I355" s="6">
        <v>19062</v>
      </c>
      <c r="J355" s="6">
        <v>9531</v>
      </c>
      <c r="K355" s="37" t="s">
        <v>356</v>
      </c>
      <c r="L355" s="119"/>
      <c r="M355" s="3"/>
    </row>
    <row r="356" spans="1:13" s="4" customFormat="1" ht="14.25" customHeight="1" x14ac:dyDescent="0.25">
      <c r="A356" s="4" t="s">
        <v>740</v>
      </c>
      <c r="B356" s="4" t="s">
        <v>183</v>
      </c>
      <c r="C356" s="4" t="s">
        <v>14</v>
      </c>
      <c r="D356" s="35">
        <v>10823</v>
      </c>
      <c r="E356" s="4" t="s">
        <v>741</v>
      </c>
      <c r="F356" s="5">
        <v>40909</v>
      </c>
      <c r="G356" s="5">
        <v>41274</v>
      </c>
      <c r="H356" s="4" t="s">
        <v>40</v>
      </c>
      <c r="I356" s="6">
        <v>120000</v>
      </c>
      <c r="J356" s="6">
        <v>60000</v>
      </c>
      <c r="K356" s="37" t="s">
        <v>356</v>
      </c>
      <c r="L356" s="119"/>
      <c r="M356" s="3"/>
    </row>
    <row r="357" spans="1:13" s="4" customFormat="1" ht="14.25" customHeight="1" x14ac:dyDescent="0.25">
      <c r="A357" s="4" t="s">
        <v>742</v>
      </c>
      <c r="B357" s="4" t="s">
        <v>183</v>
      </c>
      <c r="C357" s="4" t="s">
        <v>14</v>
      </c>
      <c r="D357" s="35">
        <v>10824</v>
      </c>
      <c r="E357" s="4" t="s">
        <v>743</v>
      </c>
      <c r="F357" s="5">
        <v>40909</v>
      </c>
      <c r="G357" s="5">
        <v>41274</v>
      </c>
      <c r="H357" s="4" t="s">
        <v>40</v>
      </c>
      <c r="I357" s="6">
        <v>20000</v>
      </c>
      <c r="J357" s="6">
        <v>10000</v>
      </c>
      <c r="K357" s="37" t="s">
        <v>356</v>
      </c>
      <c r="L357" s="119"/>
      <c r="M357" s="3"/>
    </row>
    <row r="358" spans="1:13" s="4" customFormat="1" ht="14.25" customHeight="1" x14ac:dyDescent="0.25">
      <c r="A358" s="4" t="s">
        <v>746</v>
      </c>
      <c r="B358" s="4" t="s">
        <v>183</v>
      </c>
      <c r="C358" s="4" t="s">
        <v>14</v>
      </c>
      <c r="D358" s="35">
        <v>10826</v>
      </c>
      <c r="E358" s="4" t="s">
        <v>747</v>
      </c>
      <c r="F358" s="5">
        <v>40909</v>
      </c>
      <c r="G358" s="5">
        <v>41639</v>
      </c>
      <c r="H358" s="4" t="s">
        <v>40</v>
      </c>
      <c r="I358" s="6">
        <v>8632</v>
      </c>
      <c r="J358" s="6">
        <f>5316+250</f>
        <v>5566</v>
      </c>
      <c r="K358" s="37" t="s">
        <v>356</v>
      </c>
      <c r="L358" s="119"/>
      <c r="M358" s="3"/>
    </row>
    <row r="359" spans="1:13" s="4" customFormat="1" ht="14.25" customHeight="1" x14ac:dyDescent="0.25">
      <c r="A359" s="4" t="s">
        <v>748</v>
      </c>
      <c r="B359" s="4" t="s">
        <v>90</v>
      </c>
      <c r="C359" s="4" t="s">
        <v>14</v>
      </c>
      <c r="D359" s="35">
        <v>10827</v>
      </c>
      <c r="E359" s="4" t="s">
        <v>749</v>
      </c>
      <c r="F359" s="5">
        <v>40909</v>
      </c>
      <c r="G359" s="5">
        <v>41274</v>
      </c>
      <c r="H359" s="4" t="s">
        <v>40</v>
      </c>
      <c r="I359" s="6">
        <v>5468</v>
      </c>
      <c r="J359" s="6">
        <v>2734</v>
      </c>
      <c r="K359" s="37" t="s">
        <v>356</v>
      </c>
      <c r="L359" s="119"/>
      <c r="M359" s="3"/>
    </row>
    <row r="360" spans="1:13" s="4" customFormat="1" ht="14.25" customHeight="1" x14ac:dyDescent="0.25">
      <c r="A360" s="4" t="s">
        <v>750</v>
      </c>
      <c r="B360" s="4" t="s">
        <v>183</v>
      </c>
      <c r="C360" s="4" t="s">
        <v>14</v>
      </c>
      <c r="D360" s="35">
        <v>10829</v>
      </c>
      <c r="E360" s="4" t="s">
        <v>751</v>
      </c>
      <c r="F360" s="5">
        <v>40909</v>
      </c>
      <c r="G360" s="5">
        <v>41274</v>
      </c>
      <c r="H360" s="4" t="s">
        <v>40</v>
      </c>
      <c r="I360" s="6">
        <v>4040</v>
      </c>
      <c r="J360" s="6">
        <v>3520</v>
      </c>
      <c r="K360" s="37" t="s">
        <v>356</v>
      </c>
      <c r="L360" s="119"/>
      <c r="M360" s="3"/>
    </row>
    <row r="361" spans="1:13" s="4" customFormat="1" ht="14.25" customHeight="1" x14ac:dyDescent="0.25">
      <c r="A361" s="4" t="s">
        <v>752</v>
      </c>
      <c r="B361" s="4" t="s">
        <v>190</v>
      </c>
      <c r="C361" s="4" t="s">
        <v>14</v>
      </c>
      <c r="D361" s="35">
        <v>10834</v>
      </c>
      <c r="E361" s="4" t="s">
        <v>753</v>
      </c>
      <c r="F361" s="5">
        <v>40909</v>
      </c>
      <c r="G361" s="5">
        <v>41274</v>
      </c>
      <c r="H361" s="4" t="s">
        <v>40</v>
      </c>
      <c r="I361" s="6">
        <v>28000</v>
      </c>
      <c r="J361" s="6">
        <v>14000</v>
      </c>
      <c r="K361" s="37" t="s">
        <v>356</v>
      </c>
      <c r="L361" s="119"/>
      <c r="M361" s="3"/>
    </row>
    <row r="362" spans="1:13" s="4" customFormat="1" ht="14.25" customHeight="1" x14ac:dyDescent="0.25">
      <c r="A362" s="4" t="s">
        <v>754</v>
      </c>
      <c r="B362" s="4" t="s">
        <v>190</v>
      </c>
      <c r="C362" s="4" t="s">
        <v>14</v>
      </c>
      <c r="D362" s="35">
        <v>10835</v>
      </c>
      <c r="E362" s="4" t="s">
        <v>755</v>
      </c>
      <c r="F362" s="5">
        <v>40909</v>
      </c>
      <c r="G362" s="5">
        <v>41274</v>
      </c>
      <c r="H362" s="4" t="s">
        <v>40</v>
      </c>
      <c r="I362" s="6">
        <v>50000</v>
      </c>
      <c r="J362" s="6">
        <v>25000</v>
      </c>
      <c r="K362" s="37" t="s">
        <v>356</v>
      </c>
      <c r="L362" s="119"/>
      <c r="M362" s="3"/>
    </row>
    <row r="363" spans="1:13" s="4" customFormat="1" ht="14.25" customHeight="1" x14ac:dyDescent="0.25">
      <c r="A363" s="4" t="s">
        <v>756</v>
      </c>
      <c r="B363" s="4" t="s">
        <v>190</v>
      </c>
      <c r="C363" s="4" t="s">
        <v>14</v>
      </c>
      <c r="D363" s="35">
        <v>10836</v>
      </c>
      <c r="E363" s="4" t="s">
        <v>757</v>
      </c>
      <c r="F363" s="5">
        <v>40909</v>
      </c>
      <c r="G363" s="5">
        <v>41274</v>
      </c>
      <c r="H363" s="4" t="s">
        <v>40</v>
      </c>
      <c r="I363" s="6">
        <v>5000</v>
      </c>
      <c r="J363" s="6">
        <v>5000</v>
      </c>
      <c r="K363" s="37" t="s">
        <v>356</v>
      </c>
      <c r="L363" s="119"/>
      <c r="M363" s="3"/>
    </row>
    <row r="364" spans="1:13" s="4" customFormat="1" ht="14.25" customHeight="1" x14ac:dyDescent="0.25">
      <c r="A364" s="4" t="s">
        <v>758</v>
      </c>
      <c r="B364" s="4" t="s">
        <v>90</v>
      </c>
      <c r="C364" s="4" t="s">
        <v>14</v>
      </c>
      <c r="D364" s="35">
        <v>10837</v>
      </c>
      <c r="E364" s="4" t="s">
        <v>759</v>
      </c>
      <c r="F364" s="5">
        <v>40909</v>
      </c>
      <c r="G364" s="5">
        <v>41274</v>
      </c>
      <c r="H364" s="4" t="s">
        <v>40</v>
      </c>
      <c r="I364" s="6">
        <v>3960</v>
      </c>
      <c r="J364" s="6">
        <v>1980</v>
      </c>
      <c r="K364" s="37" t="s">
        <v>356</v>
      </c>
      <c r="L364" s="119"/>
      <c r="M364" s="3"/>
    </row>
    <row r="365" spans="1:13" s="4" customFormat="1" ht="14.25" customHeight="1" x14ac:dyDescent="0.25">
      <c r="A365" s="4" t="s">
        <v>760</v>
      </c>
      <c r="B365" s="4" t="s">
        <v>183</v>
      </c>
      <c r="C365" s="4" t="s">
        <v>14</v>
      </c>
      <c r="D365" s="35">
        <v>10838</v>
      </c>
      <c r="E365" s="4" t="s">
        <v>761</v>
      </c>
      <c r="F365" s="5">
        <v>40909</v>
      </c>
      <c r="G365" s="5">
        <v>41274</v>
      </c>
      <c r="H365" s="4" t="s">
        <v>40</v>
      </c>
      <c r="I365" s="6">
        <v>8692</v>
      </c>
      <c r="J365" s="6">
        <v>8346</v>
      </c>
      <c r="K365" s="37" t="s">
        <v>356</v>
      </c>
      <c r="L365" s="119"/>
      <c r="M365" s="3"/>
    </row>
    <row r="366" spans="1:13" s="4" customFormat="1" ht="14.25" customHeight="1" x14ac:dyDescent="0.25">
      <c r="A366" s="4" t="s">
        <v>762</v>
      </c>
      <c r="B366" s="4" t="s">
        <v>183</v>
      </c>
      <c r="C366" s="4" t="s">
        <v>14</v>
      </c>
      <c r="D366" s="35">
        <v>10846</v>
      </c>
      <c r="E366" s="4" t="s">
        <v>763</v>
      </c>
      <c r="F366" s="5">
        <v>40909</v>
      </c>
      <c r="G366" s="5">
        <v>41274</v>
      </c>
      <c r="H366" s="4" t="s">
        <v>40</v>
      </c>
      <c r="I366" s="6">
        <v>18790</v>
      </c>
      <c r="J366" s="6">
        <v>9395</v>
      </c>
      <c r="K366" s="37" t="s">
        <v>356</v>
      </c>
      <c r="L366" s="119"/>
      <c r="M366" s="3"/>
    </row>
    <row r="367" spans="1:13" s="4" customFormat="1" ht="14.25" customHeight="1" x14ac:dyDescent="0.25">
      <c r="A367" s="4" t="s">
        <v>764</v>
      </c>
      <c r="B367" s="4" t="s">
        <v>183</v>
      </c>
      <c r="C367" s="4" t="s">
        <v>14</v>
      </c>
      <c r="D367" s="35">
        <v>10847</v>
      </c>
      <c r="E367" s="4" t="s">
        <v>765</v>
      </c>
      <c r="F367" s="5">
        <v>40909</v>
      </c>
      <c r="G367" s="5">
        <v>41274</v>
      </c>
      <c r="H367" s="4" t="s">
        <v>40</v>
      </c>
      <c r="I367" s="6">
        <v>4000</v>
      </c>
      <c r="J367" s="6">
        <v>2000</v>
      </c>
      <c r="K367" s="37" t="s">
        <v>356</v>
      </c>
      <c r="L367" s="119"/>
      <c r="M367" s="3"/>
    </row>
    <row r="368" spans="1:13" s="4" customFormat="1" ht="14.25" customHeight="1" x14ac:dyDescent="0.25">
      <c r="A368" s="4" t="s">
        <v>768</v>
      </c>
      <c r="B368" s="4" t="s">
        <v>183</v>
      </c>
      <c r="C368" s="4" t="s">
        <v>14</v>
      </c>
      <c r="D368" s="35">
        <v>10849</v>
      </c>
      <c r="E368" s="4" t="s">
        <v>769</v>
      </c>
      <c r="F368" s="5">
        <v>40909</v>
      </c>
      <c r="G368" s="5">
        <v>41274</v>
      </c>
      <c r="H368" s="4" t="s">
        <v>40</v>
      </c>
      <c r="I368" s="6">
        <v>1500</v>
      </c>
      <c r="J368" s="6">
        <v>750</v>
      </c>
      <c r="K368" s="37" t="s">
        <v>356</v>
      </c>
      <c r="L368" s="119"/>
      <c r="M368" s="3"/>
    </row>
    <row r="369" spans="1:13" s="4" customFormat="1" ht="14.25" customHeight="1" x14ac:dyDescent="0.25">
      <c r="A369" s="4" t="s">
        <v>770</v>
      </c>
      <c r="B369" s="4" t="s">
        <v>183</v>
      </c>
      <c r="C369" s="4" t="s">
        <v>14</v>
      </c>
      <c r="D369" s="35">
        <v>10850</v>
      </c>
      <c r="E369" s="4" t="s">
        <v>771</v>
      </c>
      <c r="F369" s="5">
        <v>40909</v>
      </c>
      <c r="G369" s="5">
        <v>41274</v>
      </c>
      <c r="H369" s="4" t="s">
        <v>40</v>
      </c>
      <c r="I369" s="6">
        <v>5000</v>
      </c>
      <c r="J369" s="6">
        <v>5000</v>
      </c>
      <c r="K369" s="37" t="s">
        <v>356</v>
      </c>
      <c r="L369" s="119"/>
      <c r="M369" s="3"/>
    </row>
    <row r="370" spans="1:13" s="4" customFormat="1" ht="14.25" customHeight="1" x14ac:dyDescent="0.25">
      <c r="A370" s="4" t="s">
        <v>774</v>
      </c>
      <c r="B370" s="4" t="s">
        <v>38</v>
      </c>
      <c r="C370" s="4" t="s">
        <v>14</v>
      </c>
      <c r="D370" s="35">
        <v>10852</v>
      </c>
      <c r="E370" s="4" t="s">
        <v>775</v>
      </c>
      <c r="F370" s="5">
        <v>40909</v>
      </c>
      <c r="G370" s="5">
        <v>41639</v>
      </c>
      <c r="H370" s="4" t="s">
        <v>40</v>
      </c>
      <c r="I370" s="6">
        <v>11188</v>
      </c>
      <c r="J370" s="6">
        <f>8240+2948</f>
        <v>11188</v>
      </c>
      <c r="K370" s="37" t="s">
        <v>356</v>
      </c>
      <c r="L370" s="119"/>
      <c r="M370" s="3"/>
    </row>
    <row r="371" spans="1:13" s="4" customFormat="1" ht="14.25" customHeight="1" x14ac:dyDescent="0.25">
      <c r="A371" s="4" t="s">
        <v>776</v>
      </c>
      <c r="B371" s="4" t="s">
        <v>38</v>
      </c>
      <c r="C371" s="4" t="s">
        <v>14</v>
      </c>
      <c r="D371" s="35">
        <v>10853</v>
      </c>
      <c r="E371" s="4" t="s">
        <v>777</v>
      </c>
      <c r="F371" s="5">
        <v>40909</v>
      </c>
      <c r="G371" s="5">
        <v>41639</v>
      </c>
      <c r="H371" s="4" t="s">
        <v>40</v>
      </c>
      <c r="I371" s="6">
        <v>705</v>
      </c>
      <c r="J371" s="6">
        <f>255+450</f>
        <v>705</v>
      </c>
      <c r="K371" s="37" t="s">
        <v>356</v>
      </c>
      <c r="L371" s="119"/>
      <c r="M371" s="3"/>
    </row>
    <row r="372" spans="1:13" s="4" customFormat="1" ht="14.25" customHeight="1" x14ac:dyDescent="0.25">
      <c r="A372" s="4" t="s">
        <v>778</v>
      </c>
      <c r="B372" s="4" t="s">
        <v>38</v>
      </c>
      <c r="C372" s="4" t="s">
        <v>14</v>
      </c>
      <c r="D372" s="35">
        <v>10854</v>
      </c>
      <c r="E372" s="7" t="s">
        <v>779</v>
      </c>
      <c r="F372" s="5">
        <v>40909</v>
      </c>
      <c r="G372" s="5">
        <v>41274</v>
      </c>
      <c r="H372" s="4" t="s">
        <v>40</v>
      </c>
      <c r="I372" s="6">
        <v>920</v>
      </c>
      <c r="J372" s="6">
        <v>920</v>
      </c>
      <c r="K372" s="37" t="s">
        <v>356</v>
      </c>
      <c r="L372" s="119"/>
      <c r="M372" s="3"/>
    </row>
    <row r="373" spans="1:13" s="4" customFormat="1" ht="14.25" customHeight="1" x14ac:dyDescent="0.25">
      <c r="A373" s="4" t="s">
        <v>780</v>
      </c>
      <c r="B373" s="4" t="s">
        <v>38</v>
      </c>
      <c r="C373" s="4" t="s">
        <v>14</v>
      </c>
      <c r="D373" s="35">
        <v>10855</v>
      </c>
      <c r="E373" s="4" t="s">
        <v>781</v>
      </c>
      <c r="F373" s="5">
        <v>40909</v>
      </c>
      <c r="G373" s="5">
        <v>41274</v>
      </c>
      <c r="H373" s="4" t="s">
        <v>40</v>
      </c>
      <c r="I373" s="6">
        <v>766</v>
      </c>
      <c r="J373" s="6">
        <v>766</v>
      </c>
      <c r="K373" s="37" t="s">
        <v>356</v>
      </c>
      <c r="L373" s="119"/>
      <c r="M373" s="3"/>
    </row>
    <row r="374" spans="1:13" s="4" customFormat="1" ht="14.25" customHeight="1" x14ac:dyDescent="0.25">
      <c r="A374" s="4" t="s">
        <v>782</v>
      </c>
      <c r="B374" s="4" t="s">
        <v>38</v>
      </c>
      <c r="C374" s="4" t="s">
        <v>14</v>
      </c>
      <c r="D374" s="35">
        <v>10858</v>
      </c>
      <c r="E374" s="4" t="s">
        <v>783</v>
      </c>
      <c r="F374" s="5">
        <v>40909</v>
      </c>
      <c r="G374" s="5">
        <v>41639</v>
      </c>
      <c r="H374" s="4" t="s">
        <v>40</v>
      </c>
      <c r="I374" s="6">
        <v>16732.849999999999</v>
      </c>
      <c r="J374" s="6">
        <f>6920.95+9811.9</f>
        <v>16732.849999999999</v>
      </c>
      <c r="K374" s="37" t="s">
        <v>356</v>
      </c>
      <c r="L374" s="119"/>
      <c r="M374" s="3"/>
    </row>
    <row r="375" spans="1:13" s="4" customFormat="1" ht="14.25" customHeight="1" x14ac:dyDescent="0.25">
      <c r="A375" s="4" t="s">
        <v>784</v>
      </c>
      <c r="B375" s="4" t="s">
        <v>38</v>
      </c>
      <c r="C375" s="4" t="s">
        <v>14</v>
      </c>
      <c r="D375" s="35">
        <v>10884</v>
      </c>
      <c r="E375" s="4" t="s">
        <v>785</v>
      </c>
      <c r="F375" s="5">
        <v>40909</v>
      </c>
      <c r="G375" s="5">
        <v>41274</v>
      </c>
      <c r="H375" s="4" t="s">
        <v>40</v>
      </c>
      <c r="I375" s="6">
        <f>3406.97+1.7</f>
        <v>3408.6699999999996</v>
      </c>
      <c r="J375" s="6">
        <v>3406.97</v>
      </c>
      <c r="K375" s="37" t="s">
        <v>356</v>
      </c>
      <c r="L375" s="119"/>
      <c r="M375" s="3"/>
    </row>
    <row r="376" spans="1:13" ht="14.25" customHeight="1" x14ac:dyDescent="0.25">
      <c r="A376" s="13" t="s">
        <v>10213</v>
      </c>
      <c r="B376" s="13" t="s">
        <v>10192</v>
      </c>
      <c r="C376" s="13" t="s">
        <v>14</v>
      </c>
      <c r="D376" s="19">
        <v>12215</v>
      </c>
      <c r="E376" s="13" t="s">
        <v>10214</v>
      </c>
      <c r="F376" s="14">
        <v>41437</v>
      </c>
      <c r="G376" s="14">
        <v>41639</v>
      </c>
      <c r="H376" s="13" t="s">
        <v>651</v>
      </c>
      <c r="I376" s="18">
        <v>1302</v>
      </c>
      <c r="J376" s="18">
        <v>651</v>
      </c>
      <c r="K376" s="20" t="s">
        <v>356</v>
      </c>
    </row>
    <row r="377" spans="1:13" ht="14.25" customHeight="1" x14ac:dyDescent="0.25">
      <c r="A377" s="13" t="s">
        <v>10215</v>
      </c>
      <c r="B377" s="13" t="s">
        <v>10192</v>
      </c>
      <c r="C377" s="13" t="s">
        <v>14</v>
      </c>
      <c r="D377" s="19">
        <v>12217</v>
      </c>
      <c r="E377" s="13" t="s">
        <v>10216</v>
      </c>
      <c r="F377" s="14">
        <v>41388</v>
      </c>
      <c r="G377" s="14">
        <v>41639</v>
      </c>
      <c r="H377" s="13" t="s">
        <v>651</v>
      </c>
      <c r="I377" s="18">
        <v>6034</v>
      </c>
      <c r="J377" s="18">
        <v>3017</v>
      </c>
      <c r="K377" s="20" t="s">
        <v>356</v>
      </c>
    </row>
    <row r="378" spans="1:13" ht="14.25" customHeight="1" x14ac:dyDescent="0.25">
      <c r="A378" s="13" t="s">
        <v>10217</v>
      </c>
      <c r="B378" s="13" t="s">
        <v>10195</v>
      </c>
      <c r="C378" s="13" t="s">
        <v>14</v>
      </c>
      <c r="D378" s="19">
        <v>12221</v>
      </c>
      <c r="E378" s="13" t="s">
        <v>10218</v>
      </c>
      <c r="F378" s="14">
        <v>41388</v>
      </c>
      <c r="G378" s="14">
        <v>41639</v>
      </c>
      <c r="H378" s="13" t="s">
        <v>651</v>
      </c>
      <c r="I378" s="18">
        <v>24000</v>
      </c>
      <c r="J378" s="18">
        <v>12000</v>
      </c>
      <c r="K378" s="20" t="s">
        <v>356</v>
      </c>
    </row>
    <row r="379" spans="1:13" ht="14.25" customHeight="1" x14ac:dyDescent="0.25">
      <c r="A379" s="13" t="s">
        <v>10219</v>
      </c>
      <c r="B379" s="13" t="s">
        <v>10220</v>
      </c>
      <c r="C379" s="13" t="s">
        <v>14</v>
      </c>
      <c r="D379" s="19">
        <v>12224</v>
      </c>
      <c r="E379" s="13" t="s">
        <v>10221</v>
      </c>
      <c r="F379" s="14">
        <v>40968</v>
      </c>
      <c r="G379" s="14">
        <v>41379</v>
      </c>
      <c r="H379" s="13" t="s">
        <v>651</v>
      </c>
      <c r="I379" s="18">
        <v>30000</v>
      </c>
      <c r="J379" s="18">
        <v>15000</v>
      </c>
      <c r="K379" s="20" t="s">
        <v>356</v>
      </c>
    </row>
    <row r="380" spans="1:13" ht="14.25" customHeight="1" x14ac:dyDescent="0.25">
      <c r="A380" s="13" t="s">
        <v>10222</v>
      </c>
      <c r="B380" s="13" t="s">
        <v>10192</v>
      </c>
      <c r="C380" s="13" t="s">
        <v>14</v>
      </c>
      <c r="D380" s="19">
        <v>12225</v>
      </c>
      <c r="E380" s="13" t="s">
        <v>10223</v>
      </c>
      <c r="F380" s="14">
        <v>41388</v>
      </c>
      <c r="G380" s="14">
        <v>41639</v>
      </c>
      <c r="H380" s="13" t="s">
        <v>651</v>
      </c>
      <c r="I380" s="18">
        <v>50000</v>
      </c>
      <c r="J380" s="18">
        <v>50000</v>
      </c>
      <c r="K380" s="20" t="s">
        <v>356</v>
      </c>
    </row>
    <row r="381" spans="1:13" ht="14.25" customHeight="1" x14ac:dyDescent="0.25">
      <c r="A381" s="13" t="s">
        <v>10224</v>
      </c>
      <c r="B381" s="13" t="s">
        <v>10195</v>
      </c>
      <c r="C381" s="13" t="s">
        <v>14</v>
      </c>
      <c r="D381" s="19">
        <v>12227</v>
      </c>
      <c r="E381" s="13" t="s">
        <v>10225</v>
      </c>
      <c r="F381" s="14">
        <v>41388</v>
      </c>
      <c r="G381" s="14">
        <v>41639</v>
      </c>
      <c r="H381" s="13" t="s">
        <v>651</v>
      </c>
      <c r="I381" s="18">
        <v>8270</v>
      </c>
      <c r="J381" s="18">
        <v>4135</v>
      </c>
      <c r="K381" s="20" t="s">
        <v>356</v>
      </c>
    </row>
    <row r="382" spans="1:13" ht="14.25" customHeight="1" x14ac:dyDescent="0.25">
      <c r="A382" s="13" t="s">
        <v>10226</v>
      </c>
      <c r="B382" s="13" t="s">
        <v>10195</v>
      </c>
      <c r="C382" s="13" t="s">
        <v>14</v>
      </c>
      <c r="D382" s="19">
        <v>12228</v>
      </c>
      <c r="E382" s="13" t="s">
        <v>10227</v>
      </c>
      <c r="F382" s="14">
        <v>41339</v>
      </c>
      <c r="G382" s="14">
        <v>41639</v>
      </c>
      <c r="H382" s="13" t="s">
        <v>651</v>
      </c>
      <c r="I382" s="18">
        <v>12096</v>
      </c>
      <c r="J382" s="18">
        <v>11673</v>
      </c>
      <c r="K382" s="20" t="s">
        <v>356</v>
      </c>
    </row>
    <row r="383" spans="1:13" ht="14.25" customHeight="1" x14ac:dyDescent="0.25">
      <c r="A383" s="13" t="s">
        <v>10228</v>
      </c>
      <c r="B383" s="13" t="s">
        <v>10220</v>
      </c>
      <c r="C383" s="13" t="s">
        <v>14</v>
      </c>
      <c r="D383" s="19">
        <v>12229</v>
      </c>
      <c r="E383" s="13" t="s">
        <v>10229</v>
      </c>
      <c r="F383" s="14">
        <v>41275</v>
      </c>
      <c r="G383" s="14">
        <v>41639</v>
      </c>
      <c r="H383" s="13" t="s">
        <v>651</v>
      </c>
      <c r="I383" s="18">
        <v>8150</v>
      </c>
      <c r="J383" s="18">
        <v>4075</v>
      </c>
      <c r="K383" s="20" t="s">
        <v>356</v>
      </c>
    </row>
    <row r="384" spans="1:13" ht="14.25" customHeight="1" x14ac:dyDescent="0.25">
      <c r="A384" s="13" t="s">
        <v>10230</v>
      </c>
      <c r="B384" s="13" t="s">
        <v>10192</v>
      </c>
      <c r="C384" s="13" t="s">
        <v>14</v>
      </c>
      <c r="D384" s="19">
        <v>12230</v>
      </c>
      <c r="E384" s="13" t="s">
        <v>10231</v>
      </c>
      <c r="F384" s="14">
        <v>41275</v>
      </c>
      <c r="G384" s="14">
        <v>41639</v>
      </c>
      <c r="H384" s="13" t="s">
        <v>651</v>
      </c>
      <c r="I384" s="18">
        <v>10000</v>
      </c>
      <c r="J384" s="18">
        <v>5000</v>
      </c>
      <c r="K384" s="20" t="s">
        <v>356</v>
      </c>
    </row>
    <row r="385" spans="1:11" ht="14.25" customHeight="1" x14ac:dyDescent="0.25">
      <c r="A385" s="13" t="s">
        <v>10232</v>
      </c>
      <c r="B385" s="13" t="s">
        <v>10192</v>
      </c>
      <c r="C385" s="13" t="s">
        <v>14</v>
      </c>
      <c r="D385" s="19">
        <v>12231</v>
      </c>
      <c r="E385" s="13" t="s">
        <v>10233</v>
      </c>
      <c r="F385" s="14">
        <v>41275</v>
      </c>
      <c r="G385" s="14">
        <v>41639</v>
      </c>
      <c r="H385" s="13" t="s">
        <v>651</v>
      </c>
      <c r="I385" s="18">
        <v>10000</v>
      </c>
      <c r="J385" s="18">
        <v>5000</v>
      </c>
      <c r="K385" s="20" t="s">
        <v>356</v>
      </c>
    </row>
    <row r="386" spans="1:11" ht="14.25" customHeight="1" x14ac:dyDescent="0.25">
      <c r="A386" s="13" t="s">
        <v>10234</v>
      </c>
      <c r="B386" s="13" t="s">
        <v>10192</v>
      </c>
      <c r="C386" s="13" t="s">
        <v>14</v>
      </c>
      <c r="D386" s="19">
        <v>12232</v>
      </c>
      <c r="E386" s="13" t="s">
        <v>10235</v>
      </c>
      <c r="F386" s="14">
        <v>41388</v>
      </c>
      <c r="G386" s="14">
        <v>41639</v>
      </c>
      <c r="H386" s="13" t="s">
        <v>651</v>
      </c>
      <c r="I386" s="18">
        <v>4526</v>
      </c>
      <c r="J386" s="18">
        <v>2263</v>
      </c>
      <c r="K386" s="20" t="s">
        <v>356</v>
      </c>
    </row>
    <row r="387" spans="1:11" ht="14.25" customHeight="1" x14ac:dyDescent="0.25">
      <c r="A387" s="13" t="s">
        <v>10236</v>
      </c>
      <c r="B387" s="13" t="s">
        <v>10192</v>
      </c>
      <c r="C387" s="13" t="s">
        <v>14</v>
      </c>
      <c r="D387" s="19">
        <v>12233</v>
      </c>
      <c r="E387" s="13" t="s">
        <v>10237</v>
      </c>
      <c r="F387" s="14">
        <v>41528</v>
      </c>
      <c r="G387" s="14">
        <v>41639</v>
      </c>
      <c r="H387" s="13" t="s">
        <v>651</v>
      </c>
      <c r="I387" s="18">
        <v>15000</v>
      </c>
      <c r="J387" s="18">
        <v>15000</v>
      </c>
      <c r="K387" s="20" t="s">
        <v>356</v>
      </c>
    </row>
    <row r="388" spans="1:11" ht="14.25" customHeight="1" x14ac:dyDescent="0.25">
      <c r="A388" s="13" t="s">
        <v>10238</v>
      </c>
      <c r="B388" s="13" t="s">
        <v>10192</v>
      </c>
      <c r="C388" s="13" t="s">
        <v>14</v>
      </c>
      <c r="D388" s="19">
        <v>12234</v>
      </c>
      <c r="E388" s="13" t="s">
        <v>10239</v>
      </c>
      <c r="F388" s="14">
        <v>41437</v>
      </c>
      <c r="G388" s="14">
        <v>41639</v>
      </c>
      <c r="H388" s="13" t="s">
        <v>651</v>
      </c>
      <c r="I388" s="18">
        <v>59296</v>
      </c>
      <c r="J388" s="18">
        <v>31648</v>
      </c>
      <c r="K388" s="20" t="s">
        <v>356</v>
      </c>
    </row>
    <row r="389" spans="1:11" ht="14.25" customHeight="1" x14ac:dyDescent="0.25">
      <c r="A389" s="13" t="s">
        <v>10240</v>
      </c>
      <c r="B389" s="13" t="s">
        <v>10195</v>
      </c>
      <c r="C389" s="13" t="s">
        <v>14</v>
      </c>
      <c r="D389" s="19">
        <v>12235</v>
      </c>
      <c r="E389" s="13" t="s">
        <v>10241</v>
      </c>
      <c r="F389" s="14">
        <v>41339</v>
      </c>
      <c r="G389" s="14">
        <v>41639</v>
      </c>
      <c r="H389" s="13" t="s">
        <v>651</v>
      </c>
      <c r="I389" s="18">
        <v>8600</v>
      </c>
      <c r="J389" s="18">
        <v>4300</v>
      </c>
      <c r="K389" s="20" t="s">
        <v>356</v>
      </c>
    </row>
    <row r="390" spans="1:11" ht="14.25" customHeight="1" x14ac:dyDescent="0.25">
      <c r="A390" s="13" t="s">
        <v>10242</v>
      </c>
      <c r="B390" s="13" t="s">
        <v>10195</v>
      </c>
      <c r="C390" s="13" t="s">
        <v>14</v>
      </c>
      <c r="D390" s="19">
        <v>12236</v>
      </c>
      <c r="E390" s="13" t="s">
        <v>10243</v>
      </c>
      <c r="F390" s="14">
        <v>41528</v>
      </c>
      <c r="G390" s="14">
        <v>41639</v>
      </c>
      <c r="H390" s="13" t="s">
        <v>651</v>
      </c>
      <c r="I390" s="18">
        <v>60000</v>
      </c>
      <c r="J390" s="18">
        <v>30000</v>
      </c>
      <c r="K390" s="20" t="s">
        <v>356</v>
      </c>
    </row>
    <row r="391" spans="1:11" ht="14.25" customHeight="1" x14ac:dyDescent="0.25">
      <c r="A391" s="13" t="s">
        <v>10244</v>
      </c>
      <c r="B391" s="13" t="s">
        <v>10192</v>
      </c>
      <c r="C391" s="13" t="s">
        <v>14</v>
      </c>
      <c r="D391" s="19">
        <v>12237</v>
      </c>
      <c r="E391" s="13" t="s">
        <v>10245</v>
      </c>
      <c r="F391" s="14">
        <v>41275</v>
      </c>
      <c r="G391" s="14">
        <v>41639</v>
      </c>
      <c r="H391" s="13" t="s">
        <v>651</v>
      </c>
      <c r="I391" s="18">
        <v>1532</v>
      </c>
      <c r="J391" s="18">
        <v>766</v>
      </c>
      <c r="K391" s="20" t="s">
        <v>356</v>
      </c>
    </row>
    <row r="392" spans="1:11" ht="14.25" customHeight="1" x14ac:dyDescent="0.25">
      <c r="A392" s="13" t="s">
        <v>10246</v>
      </c>
      <c r="B392" s="13" t="s">
        <v>10192</v>
      </c>
      <c r="C392" s="13" t="s">
        <v>14</v>
      </c>
      <c r="D392" s="19">
        <v>12238</v>
      </c>
      <c r="E392" s="13" t="s">
        <v>10247</v>
      </c>
      <c r="F392" s="14">
        <v>41275</v>
      </c>
      <c r="G392" s="14">
        <v>41639</v>
      </c>
      <c r="H392" s="13" t="s">
        <v>651</v>
      </c>
      <c r="I392" s="18">
        <v>13558</v>
      </c>
      <c r="J392" s="18">
        <v>6779</v>
      </c>
      <c r="K392" s="20" t="s">
        <v>356</v>
      </c>
    </row>
    <row r="393" spans="1:11" ht="14.25" customHeight="1" x14ac:dyDescent="0.25">
      <c r="A393" s="13" t="s">
        <v>10248</v>
      </c>
      <c r="B393" s="13" t="s">
        <v>10192</v>
      </c>
      <c r="C393" s="13" t="s">
        <v>14</v>
      </c>
      <c r="D393" s="19">
        <v>12241</v>
      </c>
      <c r="E393" s="13" t="s">
        <v>10249</v>
      </c>
      <c r="F393" s="14">
        <v>41275</v>
      </c>
      <c r="G393" s="14">
        <v>41639</v>
      </c>
      <c r="H393" s="13" t="s">
        <v>651</v>
      </c>
      <c r="I393" s="18">
        <v>3616</v>
      </c>
      <c r="J393" s="18">
        <v>1808</v>
      </c>
      <c r="K393" s="20" t="s">
        <v>356</v>
      </c>
    </row>
    <row r="394" spans="1:11" ht="14.25" customHeight="1" x14ac:dyDescent="0.25">
      <c r="A394" s="13" t="s">
        <v>10250</v>
      </c>
      <c r="B394" s="13" t="s">
        <v>10192</v>
      </c>
      <c r="C394" s="13" t="s">
        <v>14</v>
      </c>
      <c r="D394" s="19">
        <v>12242</v>
      </c>
      <c r="E394" s="13" t="s">
        <v>10251</v>
      </c>
      <c r="F394" s="14">
        <v>41528</v>
      </c>
      <c r="G394" s="14">
        <v>41639</v>
      </c>
      <c r="H394" s="13" t="s">
        <v>651</v>
      </c>
      <c r="I394" s="18">
        <v>8742</v>
      </c>
      <c r="J394" s="18">
        <v>4371</v>
      </c>
      <c r="K394" s="20" t="s">
        <v>356</v>
      </c>
    </row>
    <row r="395" spans="1:11" ht="14.25" customHeight="1" x14ac:dyDescent="0.25">
      <c r="A395" s="13" t="s">
        <v>10252</v>
      </c>
      <c r="B395" s="13" t="s">
        <v>10192</v>
      </c>
      <c r="C395" s="13" t="s">
        <v>14</v>
      </c>
      <c r="D395" s="19">
        <v>12243</v>
      </c>
      <c r="E395" s="13" t="s">
        <v>10253</v>
      </c>
      <c r="F395" s="14">
        <v>41220</v>
      </c>
      <c r="G395" s="14">
        <v>41639</v>
      </c>
      <c r="H395" s="13" t="s">
        <v>651</v>
      </c>
      <c r="I395" s="18">
        <v>10450</v>
      </c>
      <c r="J395" s="18">
        <v>5225</v>
      </c>
      <c r="K395" s="20" t="s">
        <v>356</v>
      </c>
    </row>
    <row r="396" spans="1:11" ht="14.25" customHeight="1" x14ac:dyDescent="0.25">
      <c r="A396" s="13" t="s">
        <v>10254</v>
      </c>
      <c r="B396" s="13" t="s">
        <v>10220</v>
      </c>
      <c r="C396" s="13" t="s">
        <v>14</v>
      </c>
      <c r="D396" s="19">
        <v>12244</v>
      </c>
      <c r="E396" s="13" t="s">
        <v>10255</v>
      </c>
      <c r="F396" s="14">
        <v>41220</v>
      </c>
      <c r="G396" s="14">
        <v>41639</v>
      </c>
      <c r="H396" s="13" t="s">
        <v>651</v>
      </c>
      <c r="I396" s="18">
        <v>5408</v>
      </c>
      <c r="J396" s="18">
        <v>2704</v>
      </c>
      <c r="K396" s="20" t="s">
        <v>356</v>
      </c>
    </row>
    <row r="397" spans="1:11" ht="14.25" customHeight="1" x14ac:dyDescent="0.25">
      <c r="A397" s="13" t="s">
        <v>10256</v>
      </c>
      <c r="B397" s="13" t="s">
        <v>10192</v>
      </c>
      <c r="C397" s="13" t="s">
        <v>14</v>
      </c>
      <c r="D397" s="19">
        <v>12245</v>
      </c>
      <c r="E397" s="13" t="s">
        <v>10257</v>
      </c>
      <c r="F397" s="14">
        <v>41164</v>
      </c>
      <c r="G397" s="14">
        <v>41639</v>
      </c>
      <c r="H397" s="13" t="s">
        <v>651</v>
      </c>
      <c r="I397" s="18">
        <v>8306</v>
      </c>
      <c r="J397" s="18">
        <v>4153</v>
      </c>
      <c r="K397" s="20" t="s">
        <v>356</v>
      </c>
    </row>
    <row r="398" spans="1:11" ht="14.25" customHeight="1" x14ac:dyDescent="0.25">
      <c r="A398" s="13" t="s">
        <v>10260</v>
      </c>
      <c r="B398" s="13" t="s">
        <v>38</v>
      </c>
      <c r="C398" s="13" t="s">
        <v>14</v>
      </c>
      <c r="D398" s="19">
        <v>12248</v>
      </c>
      <c r="E398" s="13" t="s">
        <v>10261</v>
      </c>
      <c r="F398" s="14">
        <v>41275</v>
      </c>
      <c r="G398" s="14">
        <v>41639</v>
      </c>
      <c r="H398" s="13" t="s">
        <v>651</v>
      </c>
      <c r="I398" s="18">
        <v>1300</v>
      </c>
      <c r="J398" s="18">
        <v>1300</v>
      </c>
      <c r="K398" s="20" t="s">
        <v>356</v>
      </c>
    </row>
    <row r="399" spans="1:11" ht="14.25" customHeight="1" x14ac:dyDescent="0.25">
      <c r="A399" s="13" t="s">
        <v>10262</v>
      </c>
      <c r="B399" s="13" t="s">
        <v>38</v>
      </c>
      <c r="C399" s="13" t="s">
        <v>14</v>
      </c>
      <c r="D399" s="19">
        <v>12249</v>
      </c>
      <c r="E399" s="13" t="s">
        <v>10263</v>
      </c>
      <c r="F399" s="14">
        <v>41275</v>
      </c>
      <c r="G399" s="14">
        <v>41639</v>
      </c>
      <c r="H399" s="13" t="s">
        <v>651</v>
      </c>
      <c r="I399" s="18">
        <v>10060</v>
      </c>
      <c r="J399" s="18">
        <v>10060</v>
      </c>
      <c r="K399" s="20" t="s">
        <v>356</v>
      </c>
    </row>
    <row r="400" spans="1:11" ht="14.25" customHeight="1" x14ac:dyDescent="0.25">
      <c r="A400" s="13" t="s">
        <v>10264</v>
      </c>
      <c r="B400" s="13" t="s">
        <v>38</v>
      </c>
      <c r="C400" s="13" t="s">
        <v>14</v>
      </c>
      <c r="D400" s="19">
        <v>12250</v>
      </c>
      <c r="E400" s="13" t="s">
        <v>10265</v>
      </c>
      <c r="F400" s="14">
        <v>41275</v>
      </c>
      <c r="G400" s="14">
        <v>41639</v>
      </c>
      <c r="H400" s="13" t="s">
        <v>651</v>
      </c>
      <c r="I400" s="18">
        <v>7352.5</v>
      </c>
      <c r="J400" s="18">
        <v>7352.5</v>
      </c>
      <c r="K400" s="20" t="s">
        <v>356</v>
      </c>
    </row>
    <row r="401" spans="1:13" ht="14.25" customHeight="1" x14ac:dyDescent="0.25">
      <c r="A401" s="13" t="s">
        <v>10266</v>
      </c>
      <c r="B401" s="13" t="s">
        <v>38</v>
      </c>
      <c r="C401" s="13" t="s">
        <v>14</v>
      </c>
      <c r="D401" s="19">
        <v>12251</v>
      </c>
      <c r="E401" s="13" t="s">
        <v>10267</v>
      </c>
      <c r="F401" s="14">
        <v>41275</v>
      </c>
      <c r="G401" s="14">
        <v>41639</v>
      </c>
      <c r="H401" s="13" t="s">
        <v>651</v>
      </c>
      <c r="I401" s="18">
        <v>765.5</v>
      </c>
      <c r="J401" s="18">
        <v>765.5</v>
      </c>
      <c r="K401" s="20" t="s">
        <v>356</v>
      </c>
    </row>
    <row r="402" spans="1:13" ht="14.25" customHeight="1" x14ac:dyDescent="0.25">
      <c r="A402" s="13" t="s">
        <v>10268</v>
      </c>
      <c r="B402" s="13" t="s">
        <v>38</v>
      </c>
      <c r="C402" s="13" t="s">
        <v>14</v>
      </c>
      <c r="D402" s="19">
        <v>12252</v>
      </c>
      <c r="E402" s="13" t="s">
        <v>10269</v>
      </c>
      <c r="F402" s="14">
        <v>41275</v>
      </c>
      <c r="G402" s="14">
        <v>41639</v>
      </c>
      <c r="H402" s="13" t="s">
        <v>651</v>
      </c>
      <c r="I402" s="18">
        <v>450</v>
      </c>
      <c r="J402" s="18">
        <v>450</v>
      </c>
      <c r="K402" s="20" t="s">
        <v>356</v>
      </c>
    </row>
    <row r="403" spans="1:13" s="4" customFormat="1" ht="14.25" customHeight="1" x14ac:dyDescent="0.25">
      <c r="D403" s="35"/>
      <c r="E403" s="26" t="s">
        <v>351</v>
      </c>
      <c r="F403" s="28"/>
      <c r="G403" s="28"/>
      <c r="H403" s="26"/>
      <c r="I403" s="25">
        <f>SUM(I170:I186)</f>
        <v>970946.79999999993</v>
      </c>
      <c r="J403" s="25">
        <f>SUM(J170:J186)</f>
        <v>215174.09</v>
      </c>
      <c r="K403" s="20" t="s">
        <v>356</v>
      </c>
      <c r="L403" s="119"/>
      <c r="M403" s="3"/>
    </row>
    <row r="404" spans="1:13" s="4" customFormat="1" ht="14.25" customHeight="1" x14ac:dyDescent="0.25">
      <c r="D404" s="35"/>
      <c r="E404" s="26" t="s">
        <v>786</v>
      </c>
      <c r="F404" s="28"/>
      <c r="G404" s="28"/>
      <c r="H404" s="26"/>
      <c r="I404" s="25">
        <f>SUM(I187:I189)</f>
        <v>169768.41999999998</v>
      </c>
      <c r="J404" s="25">
        <f>SUM(J187:J189)</f>
        <v>63041.189999999995</v>
      </c>
      <c r="K404" s="20" t="s">
        <v>356</v>
      </c>
      <c r="L404" s="119"/>
      <c r="M404" s="3"/>
    </row>
    <row r="405" spans="1:13" s="4" customFormat="1" ht="14.25" customHeight="1" x14ac:dyDescent="0.25">
      <c r="D405" s="35"/>
      <c r="E405" s="26" t="s">
        <v>352</v>
      </c>
      <c r="F405" s="28"/>
      <c r="G405" s="28"/>
      <c r="H405" s="26"/>
      <c r="I405" s="25">
        <f>SUM(I190:I402)</f>
        <v>4317925.99</v>
      </c>
      <c r="J405" s="25">
        <f>SUM(J190:J402)</f>
        <v>3114253.6700000009</v>
      </c>
      <c r="K405" s="20" t="s">
        <v>356</v>
      </c>
      <c r="L405" s="119"/>
      <c r="M405" s="3"/>
    </row>
    <row r="406" spans="1:13" s="4" customFormat="1" ht="14.25" customHeight="1" x14ac:dyDescent="0.25">
      <c r="D406" s="35"/>
      <c r="E406" s="26" t="s">
        <v>787</v>
      </c>
      <c r="F406" s="28"/>
      <c r="G406" s="28"/>
      <c r="H406" s="26"/>
      <c r="I406" s="25">
        <f>SUM(I403:I405)</f>
        <v>5458641.21</v>
      </c>
      <c r="J406" s="25">
        <f>SUM(J403:J405)</f>
        <v>3392468.9500000007</v>
      </c>
      <c r="K406" s="20" t="s">
        <v>356</v>
      </c>
      <c r="L406" s="119"/>
      <c r="M406" s="3"/>
    </row>
    <row r="407" spans="1:13" s="4" customFormat="1" ht="14.25" customHeight="1" x14ac:dyDescent="0.25">
      <c r="D407" s="35"/>
      <c r="F407" s="5"/>
      <c r="G407" s="5"/>
      <c r="I407" s="6"/>
      <c r="J407" s="6"/>
      <c r="K407" s="37"/>
      <c r="L407" s="119"/>
      <c r="M407" s="3"/>
    </row>
    <row r="408" spans="1:13" s="4" customFormat="1" ht="14.25" customHeight="1" x14ac:dyDescent="0.25">
      <c r="A408" s="4" t="s">
        <v>788</v>
      </c>
      <c r="B408" s="4" t="s">
        <v>13</v>
      </c>
      <c r="C408" s="4" t="s">
        <v>14</v>
      </c>
      <c r="D408" s="35">
        <v>3681</v>
      </c>
      <c r="E408" s="7" t="s">
        <v>789</v>
      </c>
      <c r="F408" s="5">
        <v>39332</v>
      </c>
      <c r="G408" s="5">
        <v>39598</v>
      </c>
      <c r="H408" s="4" t="s">
        <v>16</v>
      </c>
      <c r="I408" s="6">
        <v>1827000</v>
      </c>
      <c r="J408" s="6">
        <v>255000</v>
      </c>
      <c r="K408" s="37" t="s">
        <v>790</v>
      </c>
      <c r="L408" s="119"/>
      <c r="M408" s="3"/>
    </row>
    <row r="409" spans="1:13" s="4" customFormat="1" ht="14.25" customHeight="1" x14ac:dyDescent="0.25">
      <c r="A409" s="4" t="s">
        <v>791</v>
      </c>
      <c r="B409" s="4" t="s">
        <v>13</v>
      </c>
      <c r="C409" s="4" t="s">
        <v>14</v>
      </c>
      <c r="D409" s="35">
        <v>3684</v>
      </c>
      <c r="E409" s="7" t="s">
        <v>792</v>
      </c>
      <c r="F409" s="5">
        <v>39468</v>
      </c>
      <c r="G409" s="5">
        <v>39797</v>
      </c>
      <c r="H409" s="4" t="s">
        <v>16</v>
      </c>
      <c r="I409" s="6">
        <v>24300</v>
      </c>
      <c r="J409" s="6">
        <v>7290</v>
      </c>
      <c r="K409" s="37" t="s">
        <v>790</v>
      </c>
      <c r="L409" s="119"/>
      <c r="M409" s="3"/>
    </row>
    <row r="410" spans="1:13" s="4" customFormat="1" ht="14.25" customHeight="1" x14ac:dyDescent="0.25">
      <c r="A410" s="4" t="s">
        <v>793</v>
      </c>
      <c r="B410" s="4" t="s">
        <v>13</v>
      </c>
      <c r="C410" s="4" t="s">
        <v>14</v>
      </c>
      <c r="D410" s="35">
        <v>3690</v>
      </c>
      <c r="E410" s="4" t="s">
        <v>794</v>
      </c>
      <c r="F410" s="5">
        <v>39562</v>
      </c>
      <c r="G410" s="5">
        <v>39812</v>
      </c>
      <c r="H410" s="4" t="s">
        <v>16</v>
      </c>
      <c r="I410" s="6">
        <v>17950</v>
      </c>
      <c r="J410" s="6">
        <v>5385</v>
      </c>
      <c r="K410" s="37" t="s">
        <v>790</v>
      </c>
      <c r="L410" s="119"/>
      <c r="M410" s="3"/>
    </row>
    <row r="411" spans="1:13" s="4" customFormat="1" ht="14.25" customHeight="1" x14ac:dyDescent="0.25">
      <c r="A411" s="4" t="s">
        <v>795</v>
      </c>
      <c r="B411" s="4" t="s">
        <v>13</v>
      </c>
      <c r="C411" s="4" t="s">
        <v>14</v>
      </c>
      <c r="D411" s="35">
        <v>3692</v>
      </c>
      <c r="E411" s="4" t="s">
        <v>796</v>
      </c>
      <c r="F411" s="5">
        <v>39477</v>
      </c>
      <c r="G411" s="5">
        <v>39629</v>
      </c>
      <c r="H411" s="4" t="s">
        <v>16</v>
      </c>
      <c r="I411" s="6">
        <v>22000</v>
      </c>
      <c r="J411" s="6">
        <v>5430</v>
      </c>
      <c r="K411" s="37" t="s">
        <v>790</v>
      </c>
      <c r="L411" s="119"/>
      <c r="M411" s="3"/>
    </row>
    <row r="412" spans="1:13" s="4" customFormat="1" ht="14.25" customHeight="1" x14ac:dyDescent="0.25">
      <c r="A412" s="4" t="s">
        <v>797</v>
      </c>
      <c r="B412" s="4" t="s">
        <v>13</v>
      </c>
      <c r="C412" s="4" t="s">
        <v>14</v>
      </c>
      <c r="D412" s="35">
        <v>3693</v>
      </c>
      <c r="E412" s="4" t="s">
        <v>798</v>
      </c>
      <c r="F412" s="5">
        <v>39555</v>
      </c>
      <c r="G412" s="5">
        <v>39721</v>
      </c>
      <c r="H412" s="4" t="s">
        <v>16</v>
      </c>
      <c r="I412" s="6">
        <v>13860</v>
      </c>
      <c r="J412" s="6">
        <v>4158</v>
      </c>
      <c r="K412" s="37" t="s">
        <v>790</v>
      </c>
      <c r="L412" s="119"/>
      <c r="M412" s="3"/>
    </row>
    <row r="413" spans="1:13" s="4" customFormat="1" ht="14.25" customHeight="1" x14ac:dyDescent="0.25">
      <c r="A413" s="4" t="s">
        <v>799</v>
      </c>
      <c r="B413" s="4" t="s">
        <v>13</v>
      </c>
      <c r="C413" s="4" t="s">
        <v>14</v>
      </c>
      <c r="D413" s="35">
        <v>3714</v>
      </c>
      <c r="E413" s="4" t="s">
        <v>800</v>
      </c>
      <c r="F413" s="5">
        <v>39961</v>
      </c>
      <c r="G413" s="5">
        <v>40267</v>
      </c>
      <c r="H413" s="4" t="s">
        <v>16</v>
      </c>
      <c r="I413" s="6">
        <v>34192.6</v>
      </c>
      <c r="J413" s="6">
        <v>7440</v>
      </c>
      <c r="K413" s="37" t="s">
        <v>790</v>
      </c>
      <c r="L413" s="119"/>
      <c r="M413" s="3"/>
    </row>
    <row r="414" spans="1:13" s="4" customFormat="1" ht="14.25" customHeight="1" x14ac:dyDescent="0.25">
      <c r="A414" s="4" t="s">
        <v>801</v>
      </c>
      <c r="B414" s="4" t="s">
        <v>13</v>
      </c>
      <c r="C414" s="4" t="s">
        <v>14</v>
      </c>
      <c r="D414" s="35">
        <v>3716</v>
      </c>
      <c r="E414" s="4" t="s">
        <v>802</v>
      </c>
      <c r="F414" s="5">
        <v>39671</v>
      </c>
      <c r="G414" s="5">
        <v>39876</v>
      </c>
      <c r="H414" s="4" t="s">
        <v>16</v>
      </c>
      <c r="I414" s="6">
        <v>28150</v>
      </c>
      <c r="J414" s="6">
        <v>8445</v>
      </c>
      <c r="K414" s="37" t="s">
        <v>790</v>
      </c>
      <c r="L414" s="119"/>
      <c r="M414" s="3"/>
    </row>
    <row r="415" spans="1:13" s="4" customFormat="1" ht="14.25" customHeight="1" x14ac:dyDescent="0.25">
      <c r="A415" s="4" t="s">
        <v>803</v>
      </c>
      <c r="B415" s="4" t="s">
        <v>13</v>
      </c>
      <c r="C415" s="4" t="s">
        <v>14</v>
      </c>
      <c r="D415" s="35">
        <v>3723</v>
      </c>
      <c r="E415" s="4" t="s">
        <v>804</v>
      </c>
      <c r="F415" s="5">
        <v>39380</v>
      </c>
      <c r="G415" s="5">
        <v>39776</v>
      </c>
      <c r="H415" s="4" t="s">
        <v>16</v>
      </c>
      <c r="I415" s="6">
        <v>39143.599999999999</v>
      </c>
      <c r="J415" s="6">
        <v>10560</v>
      </c>
      <c r="K415" s="37" t="s">
        <v>790</v>
      </c>
      <c r="L415" s="119"/>
      <c r="M415" s="3"/>
    </row>
    <row r="416" spans="1:13" s="4" customFormat="1" ht="14.25" customHeight="1" x14ac:dyDescent="0.25">
      <c r="A416" s="4" t="s">
        <v>805</v>
      </c>
      <c r="B416" s="4" t="s">
        <v>13</v>
      </c>
      <c r="C416" s="4" t="s">
        <v>14</v>
      </c>
      <c r="D416" s="35">
        <v>3739</v>
      </c>
      <c r="E416" s="4" t="s">
        <v>806</v>
      </c>
      <c r="F416" s="5">
        <v>39507</v>
      </c>
      <c r="G416" s="5">
        <v>39631</v>
      </c>
      <c r="H416" s="4" t="s">
        <v>16</v>
      </c>
      <c r="I416" s="6">
        <v>14977</v>
      </c>
      <c r="J416" s="6">
        <v>4493.1000000000004</v>
      </c>
      <c r="K416" s="37" t="s">
        <v>790</v>
      </c>
      <c r="L416" s="119"/>
      <c r="M416" s="3"/>
    </row>
    <row r="417" spans="1:13" s="4" customFormat="1" ht="14.25" customHeight="1" x14ac:dyDescent="0.25">
      <c r="A417" s="4" t="s">
        <v>807</v>
      </c>
      <c r="B417" s="4" t="s">
        <v>13</v>
      </c>
      <c r="C417" s="4" t="s">
        <v>14</v>
      </c>
      <c r="D417" s="35">
        <v>3740</v>
      </c>
      <c r="E417" s="4" t="s">
        <v>808</v>
      </c>
      <c r="F417" s="5">
        <v>39757</v>
      </c>
      <c r="G417" s="5">
        <v>39870</v>
      </c>
      <c r="H417" s="4" t="s">
        <v>16</v>
      </c>
      <c r="I417" s="6">
        <v>7300</v>
      </c>
      <c r="J417" s="6">
        <v>2160</v>
      </c>
      <c r="K417" s="37" t="s">
        <v>790</v>
      </c>
      <c r="L417" s="119"/>
      <c r="M417" s="3"/>
    </row>
    <row r="418" spans="1:13" s="4" customFormat="1" ht="14.25" customHeight="1" x14ac:dyDescent="0.25">
      <c r="A418" s="4" t="s">
        <v>809</v>
      </c>
      <c r="B418" s="4" t="s">
        <v>13</v>
      </c>
      <c r="C418" s="4" t="s">
        <v>14</v>
      </c>
      <c r="D418" s="35">
        <v>3741</v>
      </c>
      <c r="E418" s="4" t="s">
        <v>810</v>
      </c>
      <c r="F418" s="5">
        <v>39659</v>
      </c>
      <c r="G418" s="5">
        <v>40025</v>
      </c>
      <c r="H418" s="4" t="s">
        <v>16</v>
      </c>
      <c r="I418" s="6">
        <v>10140</v>
      </c>
      <c r="J418" s="6">
        <v>3000</v>
      </c>
      <c r="K418" s="37" t="s">
        <v>790</v>
      </c>
      <c r="L418" s="119"/>
      <c r="M418" s="3"/>
    </row>
    <row r="419" spans="1:13" s="4" customFormat="1" ht="14.25" customHeight="1" x14ac:dyDescent="0.25">
      <c r="A419" s="4" t="s">
        <v>811</v>
      </c>
      <c r="B419" s="4" t="s">
        <v>13</v>
      </c>
      <c r="C419" s="4" t="s">
        <v>14</v>
      </c>
      <c r="D419" s="35">
        <v>3743</v>
      </c>
      <c r="E419" s="4" t="s">
        <v>812</v>
      </c>
      <c r="F419" s="5">
        <v>39738</v>
      </c>
      <c r="G419" s="5">
        <v>40088</v>
      </c>
      <c r="H419" s="4" t="s">
        <v>16</v>
      </c>
      <c r="I419" s="6">
        <v>5900</v>
      </c>
      <c r="J419" s="6">
        <v>1770</v>
      </c>
      <c r="K419" s="37" t="s">
        <v>790</v>
      </c>
      <c r="L419" s="119"/>
      <c r="M419" s="3"/>
    </row>
    <row r="420" spans="1:13" s="4" customFormat="1" ht="14.25" customHeight="1" x14ac:dyDescent="0.25">
      <c r="A420" s="4" t="s">
        <v>813</v>
      </c>
      <c r="B420" s="4" t="s">
        <v>13</v>
      </c>
      <c r="C420" s="4" t="s">
        <v>14</v>
      </c>
      <c r="D420" s="35">
        <v>3744</v>
      </c>
      <c r="E420" s="4" t="s">
        <v>814</v>
      </c>
      <c r="F420" s="5">
        <v>39961</v>
      </c>
      <c r="G420" s="5">
        <v>40053</v>
      </c>
      <c r="H420" s="4" t="s">
        <v>16</v>
      </c>
      <c r="I420" s="6">
        <v>4879.29</v>
      </c>
      <c r="J420" s="6">
        <v>1461</v>
      </c>
      <c r="K420" s="37" t="s">
        <v>790</v>
      </c>
      <c r="L420" s="119"/>
      <c r="M420" s="3"/>
    </row>
    <row r="421" spans="1:13" s="4" customFormat="1" ht="14.25" customHeight="1" x14ac:dyDescent="0.25">
      <c r="A421" s="4" t="s">
        <v>815</v>
      </c>
      <c r="B421" s="4" t="s">
        <v>13</v>
      </c>
      <c r="C421" s="4" t="s">
        <v>14</v>
      </c>
      <c r="D421" s="35">
        <v>3747</v>
      </c>
      <c r="E421" s="7" t="s">
        <v>816</v>
      </c>
      <c r="F421" s="5">
        <v>39036</v>
      </c>
      <c r="G421" s="5">
        <v>39097</v>
      </c>
      <c r="H421" s="4" t="s">
        <v>16</v>
      </c>
      <c r="I421" s="6">
        <v>62800</v>
      </c>
      <c r="J421" s="6">
        <v>18840</v>
      </c>
      <c r="K421" s="37" t="s">
        <v>790</v>
      </c>
      <c r="L421" s="119"/>
      <c r="M421" s="3"/>
    </row>
    <row r="422" spans="1:13" s="4" customFormat="1" ht="14.25" customHeight="1" x14ac:dyDescent="0.25">
      <c r="A422" s="4" t="s">
        <v>817</v>
      </c>
      <c r="B422" s="4" t="s">
        <v>13</v>
      </c>
      <c r="C422" s="4" t="s">
        <v>14</v>
      </c>
      <c r="D422" s="35">
        <v>3752</v>
      </c>
      <c r="E422" s="4" t="s">
        <v>818</v>
      </c>
      <c r="F422" s="5">
        <v>39415</v>
      </c>
      <c r="G422" s="5">
        <v>39805</v>
      </c>
      <c r="H422" s="4" t="s">
        <v>16</v>
      </c>
      <c r="I422" s="6">
        <v>112792.44</v>
      </c>
      <c r="J422" s="6">
        <v>36837.730000000003</v>
      </c>
      <c r="K422" s="37" t="s">
        <v>790</v>
      </c>
      <c r="L422" s="119"/>
      <c r="M422" s="3"/>
    </row>
    <row r="423" spans="1:13" s="4" customFormat="1" ht="14.25" customHeight="1" x14ac:dyDescent="0.25">
      <c r="A423" s="4" t="s">
        <v>793</v>
      </c>
      <c r="B423" s="4" t="s">
        <v>13</v>
      </c>
      <c r="C423" s="4" t="s">
        <v>14</v>
      </c>
      <c r="D423" s="35">
        <v>3753</v>
      </c>
      <c r="E423" s="4" t="s">
        <v>819</v>
      </c>
      <c r="F423" s="5">
        <v>39545</v>
      </c>
      <c r="G423" s="5">
        <v>39813</v>
      </c>
      <c r="H423" s="4" t="s">
        <v>16</v>
      </c>
      <c r="I423" s="6">
        <v>6900</v>
      </c>
      <c r="J423" s="6">
        <v>2070</v>
      </c>
      <c r="K423" s="37" t="s">
        <v>790</v>
      </c>
      <c r="L423" s="119"/>
      <c r="M423" s="3"/>
    </row>
    <row r="424" spans="1:13" s="4" customFormat="1" ht="14.25" customHeight="1" x14ac:dyDescent="0.25">
      <c r="A424" s="4" t="s">
        <v>820</v>
      </c>
      <c r="B424" s="4" t="s">
        <v>13</v>
      </c>
      <c r="C424" s="4" t="s">
        <v>14</v>
      </c>
      <c r="D424" s="35">
        <v>3758</v>
      </c>
      <c r="E424" s="4" t="s">
        <v>821</v>
      </c>
      <c r="F424" s="5">
        <v>40058</v>
      </c>
      <c r="G424" s="5">
        <v>40269</v>
      </c>
      <c r="H424" s="4" t="s">
        <v>16</v>
      </c>
      <c r="I424" s="6">
        <v>5903</v>
      </c>
      <c r="J424" s="6">
        <v>1771</v>
      </c>
      <c r="K424" s="37" t="s">
        <v>790</v>
      </c>
      <c r="L424" s="119"/>
      <c r="M424" s="3"/>
    </row>
    <row r="425" spans="1:13" s="4" customFormat="1" ht="14.25" customHeight="1" x14ac:dyDescent="0.25">
      <c r="A425" s="4" t="s">
        <v>822</v>
      </c>
      <c r="B425" s="4" t="s">
        <v>13</v>
      </c>
      <c r="C425" s="4" t="s">
        <v>14</v>
      </c>
      <c r="D425" s="35">
        <v>3765</v>
      </c>
      <c r="E425" s="4" t="s">
        <v>823</v>
      </c>
      <c r="F425" s="5">
        <v>39972</v>
      </c>
      <c r="G425" s="5">
        <v>40217</v>
      </c>
      <c r="H425" s="4" t="s">
        <v>16</v>
      </c>
      <c r="I425" s="6">
        <v>14625.5</v>
      </c>
      <c r="J425" s="6">
        <v>4387.6499999999996</v>
      </c>
      <c r="K425" s="37" t="s">
        <v>790</v>
      </c>
      <c r="L425" s="119"/>
      <c r="M425" s="3"/>
    </row>
    <row r="426" spans="1:13" s="4" customFormat="1" ht="14.25" customHeight="1" x14ac:dyDescent="0.25">
      <c r="A426" s="4" t="s">
        <v>824</v>
      </c>
      <c r="B426" s="4" t="s">
        <v>13</v>
      </c>
      <c r="C426" s="4" t="s">
        <v>14</v>
      </c>
      <c r="D426" s="35">
        <v>3778</v>
      </c>
      <c r="E426" s="4" t="s">
        <v>825</v>
      </c>
      <c r="F426" s="5">
        <v>39468</v>
      </c>
      <c r="G426" s="5">
        <v>39631</v>
      </c>
      <c r="H426" s="4" t="s">
        <v>16</v>
      </c>
      <c r="I426" s="6">
        <v>25000</v>
      </c>
      <c r="J426" s="6">
        <v>4800</v>
      </c>
      <c r="K426" s="37" t="s">
        <v>790</v>
      </c>
      <c r="L426" s="119"/>
      <c r="M426" s="3"/>
    </row>
    <row r="427" spans="1:13" s="4" customFormat="1" ht="14.25" customHeight="1" x14ac:dyDescent="0.25">
      <c r="A427" s="4" t="s">
        <v>826</v>
      </c>
      <c r="B427" s="4" t="s">
        <v>13</v>
      </c>
      <c r="C427" s="4" t="s">
        <v>14</v>
      </c>
      <c r="D427" s="35">
        <v>3802</v>
      </c>
      <c r="E427" s="4" t="s">
        <v>827</v>
      </c>
      <c r="F427" s="5">
        <v>39234</v>
      </c>
      <c r="G427" s="5">
        <v>39258</v>
      </c>
      <c r="H427" s="4" t="s">
        <v>16</v>
      </c>
      <c r="I427" s="6">
        <v>25932.11</v>
      </c>
      <c r="J427" s="6">
        <v>5188</v>
      </c>
      <c r="K427" s="37" t="s">
        <v>790</v>
      </c>
      <c r="L427" s="119"/>
      <c r="M427" s="3"/>
    </row>
    <row r="428" spans="1:13" s="4" customFormat="1" ht="14.25" customHeight="1" x14ac:dyDescent="0.25">
      <c r="A428" s="4" t="s">
        <v>828</v>
      </c>
      <c r="B428" s="4" t="s">
        <v>13</v>
      </c>
      <c r="C428" s="4" t="s">
        <v>14</v>
      </c>
      <c r="D428" s="35">
        <v>3803</v>
      </c>
      <c r="E428" s="4" t="s">
        <v>829</v>
      </c>
      <c r="F428" s="5">
        <v>39336</v>
      </c>
      <c r="G428" s="5">
        <v>39626</v>
      </c>
      <c r="H428" s="4" t="s">
        <v>16</v>
      </c>
      <c r="I428" s="6">
        <v>60732.92</v>
      </c>
      <c r="J428" s="6">
        <v>14680</v>
      </c>
      <c r="K428" s="37" t="s">
        <v>790</v>
      </c>
      <c r="L428" s="119"/>
      <c r="M428" s="3"/>
    </row>
    <row r="429" spans="1:13" s="4" customFormat="1" ht="14.25" customHeight="1" x14ac:dyDescent="0.25">
      <c r="A429" s="4" t="s">
        <v>830</v>
      </c>
      <c r="B429" s="4" t="s">
        <v>13</v>
      </c>
      <c r="C429" s="4" t="s">
        <v>14</v>
      </c>
      <c r="D429" s="35">
        <v>3814</v>
      </c>
      <c r="E429" s="4" t="s">
        <v>831</v>
      </c>
      <c r="F429" s="5">
        <v>39357</v>
      </c>
      <c r="G429" s="5">
        <v>39797</v>
      </c>
      <c r="H429" s="4" t="s">
        <v>16</v>
      </c>
      <c r="I429" s="6">
        <v>7404.85</v>
      </c>
      <c r="J429" s="6">
        <v>2000</v>
      </c>
      <c r="K429" s="37" t="s">
        <v>790</v>
      </c>
      <c r="L429" s="119"/>
      <c r="M429" s="3"/>
    </row>
    <row r="430" spans="1:13" s="4" customFormat="1" ht="14.25" customHeight="1" x14ac:dyDescent="0.25">
      <c r="A430" s="4" t="s">
        <v>832</v>
      </c>
      <c r="B430" s="4" t="s">
        <v>13</v>
      </c>
      <c r="C430" s="4" t="s">
        <v>14</v>
      </c>
      <c r="D430" s="35">
        <v>3818</v>
      </c>
      <c r="E430" s="4" t="s">
        <v>833</v>
      </c>
      <c r="F430" s="5">
        <v>39415</v>
      </c>
      <c r="G430" s="5">
        <v>39511</v>
      </c>
      <c r="H430" s="4" t="s">
        <v>16</v>
      </c>
      <c r="I430" s="6">
        <v>101000</v>
      </c>
      <c r="J430" s="6">
        <v>30300</v>
      </c>
      <c r="K430" s="37" t="s">
        <v>790</v>
      </c>
      <c r="L430" s="119"/>
      <c r="M430" s="3"/>
    </row>
    <row r="431" spans="1:13" s="4" customFormat="1" ht="14.25" customHeight="1" x14ac:dyDescent="0.25">
      <c r="A431" s="4" t="s">
        <v>834</v>
      </c>
      <c r="B431" s="4" t="s">
        <v>13</v>
      </c>
      <c r="C431" s="4" t="s">
        <v>14</v>
      </c>
      <c r="D431" s="35">
        <v>3821</v>
      </c>
      <c r="E431" s="4" t="s">
        <v>835</v>
      </c>
      <c r="F431" s="5">
        <v>39568</v>
      </c>
      <c r="G431" s="5">
        <v>39871</v>
      </c>
      <c r="H431" s="4" t="s">
        <v>16</v>
      </c>
      <c r="I431" s="6">
        <v>28500</v>
      </c>
      <c r="J431" s="6">
        <v>8550</v>
      </c>
      <c r="K431" s="37" t="s">
        <v>790</v>
      </c>
      <c r="L431" s="119"/>
      <c r="M431" s="3"/>
    </row>
    <row r="432" spans="1:13" s="4" customFormat="1" ht="14.25" customHeight="1" x14ac:dyDescent="0.25">
      <c r="A432" s="4" t="s">
        <v>836</v>
      </c>
      <c r="B432" s="4" t="s">
        <v>13</v>
      </c>
      <c r="C432" s="4" t="s">
        <v>14</v>
      </c>
      <c r="D432" s="35">
        <v>3824</v>
      </c>
      <c r="E432" s="4" t="s">
        <v>837</v>
      </c>
      <c r="F432" s="5">
        <v>39724</v>
      </c>
      <c r="G432" s="5">
        <v>40087</v>
      </c>
      <c r="H432" s="4" t="s">
        <v>16</v>
      </c>
      <c r="I432" s="6">
        <v>5900</v>
      </c>
      <c r="J432" s="6">
        <v>1770</v>
      </c>
      <c r="K432" s="37" t="s">
        <v>790</v>
      </c>
      <c r="L432" s="119"/>
      <c r="M432" s="3"/>
    </row>
    <row r="433" spans="1:13" s="4" customFormat="1" ht="14.25" customHeight="1" x14ac:dyDescent="0.25">
      <c r="A433" s="4" t="s">
        <v>809</v>
      </c>
      <c r="B433" s="4" t="s">
        <v>13</v>
      </c>
      <c r="C433" s="4" t="s">
        <v>14</v>
      </c>
      <c r="D433" s="35">
        <v>3826</v>
      </c>
      <c r="E433" s="4" t="s">
        <v>838</v>
      </c>
      <c r="F433" s="5">
        <v>39659</v>
      </c>
      <c r="G433" s="5">
        <v>40025</v>
      </c>
      <c r="H433" s="4" t="s">
        <v>16</v>
      </c>
      <c r="I433" s="6">
        <v>14100</v>
      </c>
      <c r="J433" s="6">
        <v>4230</v>
      </c>
      <c r="K433" s="37" t="s">
        <v>790</v>
      </c>
      <c r="L433" s="119"/>
      <c r="M433" s="3"/>
    </row>
    <row r="434" spans="1:13" s="4" customFormat="1" ht="14.25" customHeight="1" x14ac:dyDescent="0.25">
      <c r="A434" s="4" t="s">
        <v>839</v>
      </c>
      <c r="B434" s="4" t="s">
        <v>13</v>
      </c>
      <c r="C434" s="4" t="s">
        <v>14</v>
      </c>
      <c r="D434" s="35">
        <v>3828</v>
      </c>
      <c r="E434" s="7" t="s">
        <v>840</v>
      </c>
      <c r="F434" s="5">
        <v>39568</v>
      </c>
      <c r="G434" s="5">
        <v>39972</v>
      </c>
      <c r="H434" s="4" t="s">
        <v>16</v>
      </c>
      <c r="I434" s="6">
        <v>44195</v>
      </c>
      <c r="J434" s="6">
        <v>11700</v>
      </c>
      <c r="K434" s="37" t="s">
        <v>790</v>
      </c>
      <c r="L434" s="119"/>
      <c r="M434" s="3"/>
    </row>
    <row r="435" spans="1:13" s="4" customFormat="1" ht="14.25" customHeight="1" x14ac:dyDescent="0.25">
      <c r="A435" s="4" t="s">
        <v>841</v>
      </c>
      <c r="B435" s="4" t="s">
        <v>13</v>
      </c>
      <c r="C435" s="4" t="s">
        <v>14</v>
      </c>
      <c r="D435" s="35">
        <v>3832</v>
      </c>
      <c r="E435" s="4" t="s">
        <v>842</v>
      </c>
      <c r="F435" s="5">
        <v>39687</v>
      </c>
      <c r="G435" s="5">
        <v>39721</v>
      </c>
      <c r="H435" s="4" t="s">
        <v>16</v>
      </c>
      <c r="I435" s="6">
        <v>9741.98</v>
      </c>
      <c r="J435" s="6">
        <v>2880</v>
      </c>
      <c r="K435" s="37" t="s">
        <v>790</v>
      </c>
      <c r="L435" s="119"/>
      <c r="M435" s="3"/>
    </row>
    <row r="436" spans="1:13" s="4" customFormat="1" ht="14.25" customHeight="1" x14ac:dyDescent="0.25">
      <c r="A436" s="4" t="s">
        <v>843</v>
      </c>
      <c r="B436" s="4" t="s">
        <v>13</v>
      </c>
      <c r="C436" s="4" t="s">
        <v>14</v>
      </c>
      <c r="D436" s="35">
        <v>3833</v>
      </c>
      <c r="E436" s="4" t="s">
        <v>844</v>
      </c>
      <c r="F436" s="5">
        <v>40003</v>
      </c>
      <c r="G436" s="5">
        <v>40256</v>
      </c>
      <c r="H436" s="4" t="s">
        <v>16</v>
      </c>
      <c r="I436" s="6">
        <v>12345</v>
      </c>
      <c r="J436" s="6">
        <v>3703.5</v>
      </c>
      <c r="K436" s="37" t="s">
        <v>790</v>
      </c>
      <c r="L436" s="119"/>
      <c r="M436" s="3"/>
    </row>
    <row r="437" spans="1:13" s="4" customFormat="1" ht="14.25" customHeight="1" x14ac:dyDescent="0.25">
      <c r="A437" s="4" t="s">
        <v>845</v>
      </c>
      <c r="B437" s="4" t="s">
        <v>13</v>
      </c>
      <c r="C437" s="4" t="s">
        <v>14</v>
      </c>
      <c r="D437" s="35">
        <v>3849</v>
      </c>
      <c r="E437" s="4" t="s">
        <v>846</v>
      </c>
      <c r="F437" s="5">
        <v>39183</v>
      </c>
      <c r="G437" s="5">
        <v>39776</v>
      </c>
      <c r="H437" s="4" t="s">
        <v>16</v>
      </c>
      <c r="I437" s="6">
        <v>34600</v>
      </c>
      <c r="J437" s="6">
        <v>10380</v>
      </c>
      <c r="K437" s="37" t="s">
        <v>790</v>
      </c>
      <c r="L437" s="119"/>
      <c r="M437" s="3"/>
    </row>
    <row r="438" spans="1:13" s="4" customFormat="1" ht="14.25" customHeight="1" x14ac:dyDescent="0.25">
      <c r="A438" s="4" t="s">
        <v>847</v>
      </c>
      <c r="B438" s="4" t="s">
        <v>13</v>
      </c>
      <c r="C438" s="4" t="s">
        <v>14</v>
      </c>
      <c r="D438" s="35">
        <v>3851</v>
      </c>
      <c r="E438" s="7" t="s">
        <v>848</v>
      </c>
      <c r="F438" s="5">
        <v>39596</v>
      </c>
      <c r="G438" s="5">
        <v>40054</v>
      </c>
      <c r="H438" s="4" t="s">
        <v>16</v>
      </c>
      <c r="I438" s="6">
        <v>6900</v>
      </c>
      <c r="J438" s="6">
        <v>2070</v>
      </c>
      <c r="K438" s="37" t="s">
        <v>790</v>
      </c>
      <c r="L438" s="119"/>
      <c r="M438" s="3"/>
    </row>
    <row r="439" spans="1:13" s="4" customFormat="1" ht="14.25" customHeight="1" x14ac:dyDescent="0.25">
      <c r="A439" s="4" t="s">
        <v>849</v>
      </c>
      <c r="B439" s="4" t="s">
        <v>13</v>
      </c>
      <c r="C439" s="4" t="s">
        <v>14</v>
      </c>
      <c r="D439" s="35">
        <v>3853</v>
      </c>
      <c r="E439" s="4" t="s">
        <v>850</v>
      </c>
      <c r="F439" s="5">
        <v>39545</v>
      </c>
      <c r="G439" s="5">
        <v>39812</v>
      </c>
      <c r="H439" s="4" t="s">
        <v>16</v>
      </c>
      <c r="I439" s="6">
        <v>17884</v>
      </c>
      <c r="J439" s="6">
        <v>5280</v>
      </c>
      <c r="K439" s="37" t="s">
        <v>790</v>
      </c>
      <c r="L439" s="119"/>
      <c r="M439" s="3"/>
    </row>
    <row r="440" spans="1:13" s="4" customFormat="1" ht="14.25" customHeight="1" x14ac:dyDescent="0.25">
      <c r="A440" s="4" t="s">
        <v>851</v>
      </c>
      <c r="B440" s="4" t="s">
        <v>13</v>
      </c>
      <c r="C440" s="4" t="s">
        <v>14</v>
      </c>
      <c r="D440" s="35">
        <v>3878</v>
      </c>
      <c r="E440" s="4" t="s">
        <v>852</v>
      </c>
      <c r="F440" s="5">
        <v>39188</v>
      </c>
      <c r="G440" s="5">
        <v>39507</v>
      </c>
      <c r="H440" s="4" t="s">
        <v>16</v>
      </c>
      <c r="I440" s="6">
        <v>38291.120000000003</v>
      </c>
      <c r="J440" s="6">
        <v>10962</v>
      </c>
      <c r="K440" s="37" t="s">
        <v>790</v>
      </c>
      <c r="L440" s="119"/>
      <c r="M440" s="3"/>
    </row>
    <row r="441" spans="1:13" s="4" customFormat="1" ht="14.25" customHeight="1" x14ac:dyDescent="0.25">
      <c r="A441" s="4" t="s">
        <v>853</v>
      </c>
      <c r="B441" s="4" t="s">
        <v>13</v>
      </c>
      <c r="C441" s="4" t="s">
        <v>14</v>
      </c>
      <c r="D441" s="35">
        <v>3879</v>
      </c>
      <c r="E441" s="4" t="s">
        <v>854</v>
      </c>
      <c r="F441" s="5">
        <v>39825</v>
      </c>
      <c r="G441" s="5">
        <v>40234</v>
      </c>
      <c r="H441" s="4" t="s">
        <v>16</v>
      </c>
      <c r="I441" s="6">
        <v>5900</v>
      </c>
      <c r="J441" s="6">
        <v>1747.2</v>
      </c>
      <c r="K441" s="37" t="s">
        <v>790</v>
      </c>
      <c r="L441" s="119"/>
      <c r="M441" s="3"/>
    </row>
    <row r="442" spans="1:13" s="4" customFormat="1" ht="14.25" customHeight="1" x14ac:dyDescent="0.25">
      <c r="A442" s="4" t="s">
        <v>855</v>
      </c>
      <c r="B442" s="4" t="s">
        <v>13</v>
      </c>
      <c r="C442" s="4" t="s">
        <v>14</v>
      </c>
      <c r="D442" s="35">
        <v>3883</v>
      </c>
      <c r="E442" s="4" t="s">
        <v>856</v>
      </c>
      <c r="F442" s="5">
        <v>39555</v>
      </c>
      <c r="G442" s="5">
        <v>39871</v>
      </c>
      <c r="H442" s="4" t="s">
        <v>16</v>
      </c>
      <c r="I442" s="6">
        <v>49995</v>
      </c>
      <c r="J442" s="6">
        <v>9000</v>
      </c>
      <c r="K442" s="37" t="s">
        <v>790</v>
      </c>
      <c r="L442" s="119"/>
      <c r="M442" s="3"/>
    </row>
    <row r="443" spans="1:13" s="4" customFormat="1" ht="14.25" customHeight="1" x14ac:dyDescent="0.25">
      <c r="A443" s="4" t="s">
        <v>857</v>
      </c>
      <c r="B443" s="4" t="s">
        <v>13</v>
      </c>
      <c r="C443" s="4" t="s">
        <v>14</v>
      </c>
      <c r="D443" s="35">
        <v>3884</v>
      </c>
      <c r="E443" s="4" t="s">
        <v>858</v>
      </c>
      <c r="F443" s="5">
        <v>39514</v>
      </c>
      <c r="G443" s="5">
        <v>39842</v>
      </c>
      <c r="H443" s="4" t="s">
        <v>16</v>
      </c>
      <c r="I443" s="6">
        <v>6600</v>
      </c>
      <c r="J443" s="6">
        <v>1980</v>
      </c>
      <c r="K443" s="37" t="s">
        <v>790</v>
      </c>
      <c r="L443" s="119"/>
      <c r="M443" s="3"/>
    </row>
    <row r="444" spans="1:13" s="4" customFormat="1" ht="14.25" customHeight="1" x14ac:dyDescent="0.25">
      <c r="A444" s="4" t="s">
        <v>859</v>
      </c>
      <c r="B444" s="4" t="s">
        <v>13</v>
      </c>
      <c r="C444" s="4" t="s">
        <v>14</v>
      </c>
      <c r="D444" s="35">
        <v>3885</v>
      </c>
      <c r="E444" s="4" t="s">
        <v>860</v>
      </c>
      <c r="F444" s="5">
        <v>39596</v>
      </c>
      <c r="G444" s="5">
        <v>39797</v>
      </c>
      <c r="H444" s="4" t="s">
        <v>16</v>
      </c>
      <c r="I444" s="6">
        <v>25000</v>
      </c>
      <c r="J444" s="6">
        <v>7500</v>
      </c>
      <c r="K444" s="37" t="s">
        <v>790</v>
      </c>
      <c r="L444" s="119"/>
      <c r="M444" s="3"/>
    </row>
    <row r="445" spans="1:13" s="4" customFormat="1" ht="14.25" customHeight="1" x14ac:dyDescent="0.25">
      <c r="A445" s="4" t="s">
        <v>861</v>
      </c>
      <c r="B445" s="4" t="s">
        <v>13</v>
      </c>
      <c r="C445" s="4" t="s">
        <v>14</v>
      </c>
      <c r="D445" s="35">
        <v>3886</v>
      </c>
      <c r="E445" s="4" t="s">
        <v>862</v>
      </c>
      <c r="F445" s="5">
        <v>39742</v>
      </c>
      <c r="G445" s="5">
        <v>39782</v>
      </c>
      <c r="H445" s="4" t="s">
        <v>16</v>
      </c>
      <c r="I445" s="6">
        <v>169236.18</v>
      </c>
      <c r="J445" s="6">
        <v>50770.85</v>
      </c>
      <c r="K445" s="37" t="s">
        <v>790</v>
      </c>
      <c r="L445" s="119"/>
      <c r="M445" s="3"/>
    </row>
    <row r="446" spans="1:13" s="4" customFormat="1" ht="14.25" customHeight="1" x14ac:dyDescent="0.25">
      <c r="A446" s="4" t="s">
        <v>863</v>
      </c>
      <c r="B446" s="4" t="s">
        <v>13</v>
      </c>
      <c r="C446" s="4" t="s">
        <v>14</v>
      </c>
      <c r="D446" s="35">
        <v>3887</v>
      </c>
      <c r="E446" s="4" t="s">
        <v>864</v>
      </c>
      <c r="F446" s="5">
        <v>39770</v>
      </c>
      <c r="G446" s="5">
        <v>39871</v>
      </c>
      <c r="H446" s="4" t="s">
        <v>16</v>
      </c>
      <c r="I446" s="6">
        <v>7300</v>
      </c>
      <c r="J446" s="6">
        <v>2160</v>
      </c>
      <c r="K446" s="37" t="s">
        <v>790</v>
      </c>
      <c r="L446" s="119"/>
      <c r="M446" s="3"/>
    </row>
    <row r="447" spans="1:13" s="4" customFormat="1" ht="14.25" customHeight="1" x14ac:dyDescent="0.25">
      <c r="A447" s="4" t="s">
        <v>865</v>
      </c>
      <c r="B447" s="4" t="s">
        <v>13</v>
      </c>
      <c r="C447" s="4" t="s">
        <v>14</v>
      </c>
      <c r="D447" s="35">
        <v>3888</v>
      </c>
      <c r="E447" s="4" t="s">
        <v>866</v>
      </c>
      <c r="F447" s="5">
        <v>39562</v>
      </c>
      <c r="G447" s="5">
        <v>39791</v>
      </c>
      <c r="H447" s="4" t="s">
        <v>16</v>
      </c>
      <c r="I447" s="6">
        <v>14508.8</v>
      </c>
      <c r="J447" s="6">
        <v>3600</v>
      </c>
      <c r="K447" s="37" t="s">
        <v>790</v>
      </c>
      <c r="L447" s="119"/>
      <c r="M447" s="3"/>
    </row>
    <row r="448" spans="1:13" s="4" customFormat="1" ht="14.25" customHeight="1" x14ac:dyDescent="0.25">
      <c r="A448" s="4" t="s">
        <v>867</v>
      </c>
      <c r="B448" s="4" t="s">
        <v>13</v>
      </c>
      <c r="C448" s="4" t="s">
        <v>14</v>
      </c>
      <c r="D448" s="35">
        <v>3889</v>
      </c>
      <c r="E448" s="4" t="s">
        <v>868</v>
      </c>
      <c r="F448" s="5">
        <v>39821</v>
      </c>
      <c r="G448" s="5">
        <v>39962</v>
      </c>
      <c r="H448" s="4" t="s">
        <v>16</v>
      </c>
      <c r="I448" s="6">
        <v>22400</v>
      </c>
      <c r="J448" s="6">
        <v>6720</v>
      </c>
      <c r="K448" s="37" t="s">
        <v>790</v>
      </c>
      <c r="L448" s="119"/>
      <c r="M448" s="3"/>
    </row>
    <row r="449" spans="1:13" s="4" customFormat="1" ht="14.25" customHeight="1" x14ac:dyDescent="0.25">
      <c r="A449" s="4" t="s">
        <v>839</v>
      </c>
      <c r="B449" s="4" t="s">
        <v>13</v>
      </c>
      <c r="C449" s="4" t="s">
        <v>14</v>
      </c>
      <c r="D449" s="35">
        <v>3892</v>
      </c>
      <c r="E449" s="4" t="s">
        <v>869</v>
      </c>
      <c r="F449" s="5">
        <v>39671</v>
      </c>
      <c r="G449" s="5">
        <v>39933</v>
      </c>
      <c r="H449" s="4" t="s">
        <v>16</v>
      </c>
      <c r="I449" s="6">
        <v>12460</v>
      </c>
      <c r="J449" s="6">
        <v>3341</v>
      </c>
      <c r="K449" s="37" t="s">
        <v>790</v>
      </c>
      <c r="L449" s="119"/>
      <c r="M449" s="3"/>
    </row>
    <row r="450" spans="1:13" s="4" customFormat="1" ht="14.25" customHeight="1" x14ac:dyDescent="0.25">
      <c r="A450" s="4" t="s">
        <v>870</v>
      </c>
      <c r="B450" s="4" t="s">
        <v>13</v>
      </c>
      <c r="C450" s="4" t="s">
        <v>14</v>
      </c>
      <c r="D450" s="35">
        <v>3899</v>
      </c>
      <c r="E450" s="7" t="s">
        <v>871</v>
      </c>
      <c r="F450" s="5">
        <v>39556</v>
      </c>
      <c r="G450" s="5">
        <v>39776</v>
      </c>
      <c r="H450" s="4" t="s">
        <v>16</v>
      </c>
      <c r="I450" s="6">
        <v>4800925.37</v>
      </c>
      <c r="J450" s="6">
        <v>1380000</v>
      </c>
      <c r="K450" s="37" t="s">
        <v>790</v>
      </c>
      <c r="L450" s="119"/>
      <c r="M450" s="3"/>
    </row>
    <row r="451" spans="1:13" s="4" customFormat="1" ht="14.25" customHeight="1" x14ac:dyDescent="0.25">
      <c r="A451" s="4" t="s">
        <v>872</v>
      </c>
      <c r="B451" s="4" t="s">
        <v>13</v>
      </c>
      <c r="C451" s="4" t="s">
        <v>14</v>
      </c>
      <c r="D451" s="35">
        <v>3904</v>
      </c>
      <c r="E451" s="4" t="s">
        <v>873</v>
      </c>
      <c r="F451" s="5">
        <v>39521</v>
      </c>
      <c r="G451" s="5">
        <v>40267</v>
      </c>
      <c r="H451" s="4" t="s">
        <v>16</v>
      </c>
      <c r="I451" s="6">
        <v>161670</v>
      </c>
      <c r="J451" s="6">
        <v>24764</v>
      </c>
      <c r="K451" s="37" t="s">
        <v>790</v>
      </c>
      <c r="L451" s="119"/>
      <c r="M451" s="3"/>
    </row>
    <row r="452" spans="1:13" s="4" customFormat="1" ht="14.25" customHeight="1" x14ac:dyDescent="0.25">
      <c r="A452" s="4" t="s">
        <v>874</v>
      </c>
      <c r="B452" s="4" t="s">
        <v>13</v>
      </c>
      <c r="C452" s="4" t="s">
        <v>14</v>
      </c>
      <c r="D452" s="35">
        <v>3906</v>
      </c>
      <c r="E452" s="4" t="s">
        <v>875</v>
      </c>
      <c r="F452" s="5">
        <v>39979</v>
      </c>
      <c r="G452" s="5">
        <v>40533</v>
      </c>
      <c r="H452" s="4" t="s">
        <v>16</v>
      </c>
      <c r="I452" s="6">
        <v>143020</v>
      </c>
      <c r="J452" s="6">
        <v>42906</v>
      </c>
      <c r="K452" s="37" t="s">
        <v>790</v>
      </c>
      <c r="L452" s="119"/>
      <c r="M452" s="3"/>
    </row>
    <row r="453" spans="1:13" s="4" customFormat="1" ht="14.25" customHeight="1" x14ac:dyDescent="0.25">
      <c r="A453" s="4" t="s">
        <v>876</v>
      </c>
      <c r="B453" s="4" t="s">
        <v>13</v>
      </c>
      <c r="C453" s="4" t="s">
        <v>14</v>
      </c>
      <c r="D453" s="35">
        <v>3908</v>
      </c>
      <c r="E453" s="4" t="s">
        <v>877</v>
      </c>
      <c r="F453" s="5">
        <v>39545</v>
      </c>
      <c r="G453" s="5">
        <v>40088</v>
      </c>
      <c r="H453" s="4" t="s">
        <v>16</v>
      </c>
      <c r="I453" s="6">
        <v>17000</v>
      </c>
      <c r="J453" s="6">
        <v>6000</v>
      </c>
      <c r="K453" s="37" t="s">
        <v>790</v>
      </c>
      <c r="L453" s="119"/>
      <c r="M453" s="3"/>
    </row>
    <row r="454" spans="1:13" s="4" customFormat="1" ht="14.25" customHeight="1" x14ac:dyDescent="0.25">
      <c r="A454" s="4" t="s">
        <v>878</v>
      </c>
      <c r="B454" s="4" t="s">
        <v>13</v>
      </c>
      <c r="C454" s="4" t="s">
        <v>14</v>
      </c>
      <c r="D454" s="35">
        <v>3943</v>
      </c>
      <c r="E454" s="4" t="s">
        <v>879</v>
      </c>
      <c r="F454" s="5">
        <v>39966</v>
      </c>
      <c r="G454" s="5">
        <v>40217</v>
      </c>
      <c r="H454" s="4" t="s">
        <v>16</v>
      </c>
      <c r="I454" s="6">
        <v>3461</v>
      </c>
      <c r="J454" s="6">
        <v>1038</v>
      </c>
      <c r="K454" s="37" t="s">
        <v>790</v>
      </c>
      <c r="L454" s="119"/>
      <c r="M454" s="3"/>
    </row>
    <row r="455" spans="1:13" s="4" customFormat="1" ht="14.25" customHeight="1" x14ac:dyDescent="0.25">
      <c r="A455" s="4" t="s">
        <v>880</v>
      </c>
      <c r="B455" s="4" t="s">
        <v>13</v>
      </c>
      <c r="C455" s="4" t="s">
        <v>14</v>
      </c>
      <c r="D455" s="35">
        <v>4141</v>
      </c>
      <c r="E455" s="4" t="s">
        <v>881</v>
      </c>
      <c r="F455" s="5">
        <v>39966</v>
      </c>
      <c r="G455" s="5">
        <v>40170</v>
      </c>
      <c r="H455" s="4" t="s">
        <v>16</v>
      </c>
      <c r="I455" s="6">
        <v>40500</v>
      </c>
      <c r="J455" s="6">
        <v>12150</v>
      </c>
      <c r="K455" s="37" t="s">
        <v>790</v>
      </c>
      <c r="L455" s="119"/>
      <c r="M455" s="3"/>
    </row>
    <row r="456" spans="1:13" s="4" customFormat="1" ht="14.25" customHeight="1" x14ac:dyDescent="0.25">
      <c r="A456" s="4" t="s">
        <v>882</v>
      </c>
      <c r="B456" s="4" t="s">
        <v>13</v>
      </c>
      <c r="C456" s="4" t="s">
        <v>14</v>
      </c>
      <c r="D456" s="35">
        <v>4146</v>
      </c>
      <c r="E456" s="4" t="s">
        <v>883</v>
      </c>
      <c r="F456" s="5">
        <v>39637</v>
      </c>
      <c r="G456" s="5">
        <v>39776</v>
      </c>
      <c r="H456" s="4" t="s">
        <v>16</v>
      </c>
      <c r="I456" s="6">
        <v>28193.83</v>
      </c>
      <c r="J456" s="6">
        <v>8458.15</v>
      </c>
      <c r="K456" s="37" t="s">
        <v>790</v>
      </c>
      <c r="L456" s="119"/>
      <c r="M456" s="3"/>
    </row>
    <row r="457" spans="1:13" s="4" customFormat="1" ht="14.25" customHeight="1" x14ac:dyDescent="0.25">
      <c r="A457" s="4" t="s">
        <v>884</v>
      </c>
      <c r="B457" s="4" t="s">
        <v>13</v>
      </c>
      <c r="C457" s="4" t="s">
        <v>14</v>
      </c>
      <c r="D457" s="35">
        <v>4147</v>
      </c>
      <c r="E457" s="4" t="s">
        <v>885</v>
      </c>
      <c r="F457" s="5">
        <v>39792</v>
      </c>
      <c r="G457" s="5">
        <v>40053</v>
      </c>
      <c r="H457" s="4" t="s">
        <v>16</v>
      </c>
      <c r="I457" s="6">
        <v>48000</v>
      </c>
      <c r="J457" s="6">
        <v>9600</v>
      </c>
      <c r="K457" s="37" t="s">
        <v>790</v>
      </c>
      <c r="L457" s="119"/>
      <c r="M457" s="3"/>
    </row>
    <row r="458" spans="1:13" s="4" customFormat="1" ht="14.25" customHeight="1" x14ac:dyDescent="0.25">
      <c r="A458" s="4" t="s">
        <v>886</v>
      </c>
      <c r="B458" s="4" t="s">
        <v>13</v>
      </c>
      <c r="C458" s="4" t="s">
        <v>14</v>
      </c>
      <c r="D458" s="35">
        <v>4148</v>
      </c>
      <c r="E458" s="4" t="s">
        <v>887</v>
      </c>
      <c r="F458" s="5">
        <v>39128</v>
      </c>
      <c r="G458" s="5">
        <v>39377</v>
      </c>
      <c r="H458" s="4" t="s">
        <v>16</v>
      </c>
      <c r="I458" s="6">
        <v>53312.69</v>
      </c>
      <c r="J458" s="6">
        <v>12580</v>
      </c>
      <c r="K458" s="37" t="s">
        <v>790</v>
      </c>
      <c r="L458" s="119"/>
      <c r="M458" s="3"/>
    </row>
    <row r="459" spans="1:13" s="4" customFormat="1" ht="14.25" customHeight="1" x14ac:dyDescent="0.25">
      <c r="A459" s="4" t="s">
        <v>828</v>
      </c>
      <c r="B459" s="4" t="s">
        <v>13</v>
      </c>
      <c r="C459" s="4" t="s">
        <v>14</v>
      </c>
      <c r="D459" s="35">
        <v>4149</v>
      </c>
      <c r="E459" s="4" t="s">
        <v>888</v>
      </c>
      <c r="F459" s="5">
        <v>39336</v>
      </c>
      <c r="G459" s="5">
        <v>39507</v>
      </c>
      <c r="H459" s="4" t="s">
        <v>16</v>
      </c>
      <c r="I459" s="6">
        <v>20000</v>
      </c>
      <c r="J459" s="6">
        <v>5760</v>
      </c>
      <c r="K459" s="37" t="s">
        <v>790</v>
      </c>
      <c r="L459" s="119"/>
      <c r="M459" s="3"/>
    </row>
    <row r="460" spans="1:13" s="4" customFormat="1" ht="14.25" customHeight="1" x14ac:dyDescent="0.25">
      <c r="A460" s="4" t="s">
        <v>889</v>
      </c>
      <c r="B460" s="4" t="s">
        <v>13</v>
      </c>
      <c r="C460" s="4" t="s">
        <v>14</v>
      </c>
      <c r="D460" s="35">
        <v>4154</v>
      </c>
      <c r="E460" s="4" t="s">
        <v>890</v>
      </c>
      <c r="F460" s="5">
        <v>39821</v>
      </c>
      <c r="G460" s="5">
        <v>40116</v>
      </c>
      <c r="H460" s="4" t="s">
        <v>16</v>
      </c>
      <c r="I460" s="6">
        <v>18012</v>
      </c>
      <c r="J460" s="6">
        <v>3861</v>
      </c>
      <c r="K460" s="37" t="s">
        <v>790</v>
      </c>
      <c r="L460" s="119"/>
      <c r="M460" s="3"/>
    </row>
    <row r="461" spans="1:13" s="4" customFormat="1" ht="14.25" customHeight="1" x14ac:dyDescent="0.25">
      <c r="A461" s="4" t="s">
        <v>867</v>
      </c>
      <c r="B461" s="4" t="s">
        <v>13</v>
      </c>
      <c r="C461" s="4" t="s">
        <v>14</v>
      </c>
      <c r="D461" s="35">
        <v>4156</v>
      </c>
      <c r="E461" s="4" t="s">
        <v>891</v>
      </c>
      <c r="F461" s="5">
        <v>39961</v>
      </c>
      <c r="G461" s="5">
        <v>40170</v>
      </c>
      <c r="H461" s="4" t="s">
        <v>16</v>
      </c>
      <c r="I461" s="6">
        <v>27942</v>
      </c>
      <c r="J461" s="6">
        <v>8382.6</v>
      </c>
      <c r="K461" s="37" t="s">
        <v>790</v>
      </c>
      <c r="L461" s="119"/>
      <c r="M461" s="3"/>
    </row>
    <row r="462" spans="1:13" s="4" customFormat="1" ht="14.25" customHeight="1" x14ac:dyDescent="0.25">
      <c r="A462" s="4" t="s">
        <v>892</v>
      </c>
      <c r="B462" s="4" t="s">
        <v>13</v>
      </c>
      <c r="C462" s="4" t="s">
        <v>14</v>
      </c>
      <c r="D462" s="35">
        <v>4159</v>
      </c>
      <c r="E462" s="4" t="s">
        <v>893</v>
      </c>
      <c r="F462" s="5">
        <v>39415</v>
      </c>
      <c r="G462" s="5">
        <v>39570</v>
      </c>
      <c r="H462" s="4" t="s">
        <v>16</v>
      </c>
      <c r="I462" s="6">
        <v>7800</v>
      </c>
      <c r="J462" s="6">
        <v>1920</v>
      </c>
      <c r="K462" s="37" t="s">
        <v>790</v>
      </c>
      <c r="L462" s="119"/>
      <c r="M462" s="3"/>
    </row>
    <row r="463" spans="1:13" s="4" customFormat="1" ht="14.25" customHeight="1" x14ac:dyDescent="0.25">
      <c r="A463" s="4" t="s">
        <v>894</v>
      </c>
      <c r="B463" s="4" t="s">
        <v>13</v>
      </c>
      <c r="C463" s="4" t="s">
        <v>14</v>
      </c>
      <c r="D463" s="35">
        <v>4160</v>
      </c>
      <c r="E463" s="4" t="s">
        <v>895</v>
      </c>
      <c r="F463" s="5">
        <v>39188</v>
      </c>
      <c r="G463" s="5">
        <v>39752</v>
      </c>
      <c r="H463" s="4" t="s">
        <v>16</v>
      </c>
      <c r="I463" s="6">
        <v>23646.799999999999</v>
      </c>
      <c r="J463" s="6">
        <v>7094.04</v>
      </c>
      <c r="K463" s="37" t="s">
        <v>790</v>
      </c>
      <c r="L463" s="119"/>
      <c r="M463" s="3"/>
    </row>
    <row r="464" spans="1:13" s="4" customFormat="1" ht="14.25" customHeight="1" x14ac:dyDescent="0.25">
      <c r="A464" s="4" t="s">
        <v>859</v>
      </c>
      <c r="B464" s="4" t="s">
        <v>13</v>
      </c>
      <c r="C464" s="4" t="s">
        <v>14</v>
      </c>
      <c r="D464" s="35">
        <v>4162</v>
      </c>
      <c r="E464" s="4" t="s">
        <v>896</v>
      </c>
      <c r="F464" s="5">
        <v>39582</v>
      </c>
      <c r="G464" s="5">
        <v>39776</v>
      </c>
      <c r="H464" s="4" t="s">
        <v>16</v>
      </c>
      <c r="I464" s="6">
        <v>6167.4</v>
      </c>
      <c r="J464" s="6">
        <v>1526</v>
      </c>
      <c r="K464" s="37" t="s">
        <v>790</v>
      </c>
      <c r="L464" s="119"/>
      <c r="M464" s="3"/>
    </row>
    <row r="465" spans="1:13" s="4" customFormat="1" ht="14.25" customHeight="1" x14ac:dyDescent="0.25">
      <c r="A465" s="4" t="s">
        <v>897</v>
      </c>
      <c r="B465" s="4" t="s">
        <v>13</v>
      </c>
      <c r="C465" s="4" t="s">
        <v>14</v>
      </c>
      <c r="D465" s="35">
        <v>4164</v>
      </c>
      <c r="E465" s="4" t="s">
        <v>898</v>
      </c>
      <c r="F465" s="5">
        <v>39961</v>
      </c>
      <c r="G465" s="5">
        <v>40087</v>
      </c>
      <c r="H465" s="4" t="s">
        <v>16</v>
      </c>
      <c r="I465" s="6">
        <v>6535</v>
      </c>
      <c r="J465" s="6">
        <v>1961</v>
      </c>
      <c r="K465" s="37" t="s">
        <v>790</v>
      </c>
      <c r="L465" s="119"/>
      <c r="M465" s="3"/>
    </row>
    <row r="466" spans="1:13" s="4" customFormat="1" ht="14.25" customHeight="1" x14ac:dyDescent="0.25">
      <c r="A466" s="4" t="s">
        <v>899</v>
      </c>
      <c r="B466" s="4" t="s">
        <v>13</v>
      </c>
      <c r="C466" s="4" t="s">
        <v>14</v>
      </c>
      <c r="D466" s="35">
        <v>4165</v>
      </c>
      <c r="E466" s="4" t="s">
        <v>900</v>
      </c>
      <c r="F466" s="5">
        <v>39759</v>
      </c>
      <c r="G466" s="5">
        <v>39962</v>
      </c>
      <c r="H466" s="4" t="s">
        <v>16</v>
      </c>
      <c r="I466" s="6">
        <v>5287</v>
      </c>
      <c r="J466" s="6">
        <v>1500</v>
      </c>
      <c r="K466" s="37" t="s">
        <v>790</v>
      </c>
      <c r="L466" s="119"/>
      <c r="M466" s="3"/>
    </row>
    <row r="467" spans="1:13" s="4" customFormat="1" ht="14.25" customHeight="1" x14ac:dyDescent="0.25">
      <c r="A467" s="4" t="s">
        <v>901</v>
      </c>
      <c r="B467" s="4" t="s">
        <v>13</v>
      </c>
      <c r="C467" s="4" t="s">
        <v>14</v>
      </c>
      <c r="D467" s="35">
        <v>4166</v>
      </c>
      <c r="E467" s="4" t="s">
        <v>902</v>
      </c>
      <c r="F467" s="5">
        <v>39921</v>
      </c>
      <c r="G467" s="5">
        <v>40330</v>
      </c>
      <c r="H467" s="4" t="s">
        <v>16</v>
      </c>
      <c r="I467" s="6">
        <v>63737</v>
      </c>
      <c r="J467" s="6">
        <v>17550</v>
      </c>
      <c r="K467" s="37" t="s">
        <v>790</v>
      </c>
      <c r="L467" s="119"/>
      <c r="M467" s="3"/>
    </row>
    <row r="468" spans="1:13" s="4" customFormat="1" ht="14.25" customHeight="1" x14ac:dyDescent="0.25">
      <c r="A468" s="4" t="s">
        <v>903</v>
      </c>
      <c r="B468" s="4" t="s">
        <v>13</v>
      </c>
      <c r="C468" s="4" t="s">
        <v>14</v>
      </c>
      <c r="D468" s="35">
        <v>4167</v>
      </c>
      <c r="E468" s="4" t="s">
        <v>904</v>
      </c>
      <c r="F468" s="5">
        <v>39962</v>
      </c>
      <c r="G468" s="5">
        <v>40025</v>
      </c>
      <c r="H468" s="4" t="s">
        <v>16</v>
      </c>
      <c r="I468" s="6">
        <v>3862.11</v>
      </c>
      <c r="J468" s="6">
        <v>1158</v>
      </c>
      <c r="K468" s="37" t="s">
        <v>790</v>
      </c>
      <c r="L468" s="119"/>
      <c r="M468" s="3"/>
    </row>
    <row r="469" spans="1:13" s="4" customFormat="1" ht="14.25" customHeight="1" x14ac:dyDescent="0.25">
      <c r="A469" s="4" t="s">
        <v>799</v>
      </c>
      <c r="B469" s="4" t="s">
        <v>13</v>
      </c>
      <c r="C469" s="4" t="s">
        <v>14</v>
      </c>
      <c r="D469" s="35">
        <v>4168</v>
      </c>
      <c r="E469" s="4" t="s">
        <v>905</v>
      </c>
      <c r="F469" s="5">
        <v>40017</v>
      </c>
      <c r="G469" s="5">
        <v>40269</v>
      </c>
      <c r="H469" s="4" t="s">
        <v>16</v>
      </c>
      <c r="I469" s="6">
        <v>13134</v>
      </c>
      <c r="J469" s="6">
        <v>3379</v>
      </c>
      <c r="K469" s="37" t="s">
        <v>790</v>
      </c>
      <c r="L469" s="119"/>
      <c r="M469" s="3"/>
    </row>
    <row r="470" spans="1:13" s="4" customFormat="1" ht="14.25" customHeight="1" x14ac:dyDescent="0.25">
      <c r="A470" s="4" t="s">
        <v>906</v>
      </c>
      <c r="B470" s="4" t="s">
        <v>13</v>
      </c>
      <c r="C470" s="4" t="s">
        <v>14</v>
      </c>
      <c r="D470" s="35">
        <v>9480</v>
      </c>
      <c r="E470" s="4" t="s">
        <v>907</v>
      </c>
      <c r="F470" s="5">
        <v>40017</v>
      </c>
      <c r="G470" s="5">
        <v>40147</v>
      </c>
      <c r="H470" s="4" t="s">
        <v>16</v>
      </c>
      <c r="I470" s="6">
        <v>12253</v>
      </c>
      <c r="J470" s="6">
        <v>3675</v>
      </c>
      <c r="K470" s="37" t="s">
        <v>790</v>
      </c>
      <c r="L470" s="119"/>
      <c r="M470" s="3"/>
    </row>
    <row r="471" spans="1:13" s="4" customFormat="1" ht="14.25" customHeight="1" x14ac:dyDescent="0.25">
      <c r="A471" s="4" t="s">
        <v>908</v>
      </c>
      <c r="B471" s="4" t="s">
        <v>13</v>
      </c>
      <c r="C471" s="4" t="s">
        <v>14</v>
      </c>
      <c r="D471" s="35">
        <v>9872</v>
      </c>
      <c r="E471" s="4" t="s">
        <v>909</v>
      </c>
      <c r="F471" s="5">
        <v>40035</v>
      </c>
      <c r="G471" s="5">
        <v>40217</v>
      </c>
      <c r="H471" s="4" t="s">
        <v>16</v>
      </c>
      <c r="I471" s="6">
        <f>44365.35+1.42</f>
        <v>44366.77</v>
      </c>
      <c r="J471" s="6">
        <v>7260</v>
      </c>
      <c r="K471" s="37" t="s">
        <v>790</v>
      </c>
      <c r="L471" s="119"/>
      <c r="M471" s="3"/>
    </row>
    <row r="472" spans="1:13" s="4" customFormat="1" ht="14.25" customHeight="1" x14ac:dyDescent="0.25">
      <c r="A472" s="4" t="s">
        <v>910</v>
      </c>
      <c r="B472" s="4" t="s">
        <v>13</v>
      </c>
      <c r="C472" s="4" t="s">
        <v>14</v>
      </c>
      <c r="D472" s="35">
        <v>9874</v>
      </c>
      <c r="E472" s="4" t="s">
        <v>911</v>
      </c>
      <c r="F472" s="5">
        <v>40354</v>
      </c>
      <c r="G472" s="5">
        <v>40466</v>
      </c>
      <c r="H472" s="4" t="s">
        <v>16</v>
      </c>
      <c r="I472" s="6">
        <v>47731.4</v>
      </c>
      <c r="J472" s="6">
        <v>14319</v>
      </c>
      <c r="K472" s="37" t="s">
        <v>790</v>
      </c>
      <c r="L472" s="119"/>
      <c r="M472" s="3"/>
    </row>
    <row r="473" spans="1:13" s="4" customFormat="1" ht="14.25" customHeight="1" x14ac:dyDescent="0.25">
      <c r="A473" s="4" t="s">
        <v>912</v>
      </c>
      <c r="B473" s="4" t="s">
        <v>13</v>
      </c>
      <c r="C473" s="4" t="s">
        <v>14</v>
      </c>
      <c r="D473" s="35">
        <v>9881</v>
      </c>
      <c r="E473" s="4" t="s">
        <v>913</v>
      </c>
      <c r="F473" s="5">
        <v>40318</v>
      </c>
      <c r="G473" s="5">
        <v>40542</v>
      </c>
      <c r="H473" s="4" t="s">
        <v>16</v>
      </c>
      <c r="I473" s="6">
        <v>18127</v>
      </c>
      <c r="J473" s="8">
        <v>5232</v>
      </c>
      <c r="K473" s="37" t="s">
        <v>790</v>
      </c>
      <c r="L473" s="119"/>
      <c r="M473" s="3"/>
    </row>
    <row r="474" spans="1:13" s="4" customFormat="1" ht="14.25" customHeight="1" x14ac:dyDescent="0.25">
      <c r="A474" s="4" t="s">
        <v>914</v>
      </c>
      <c r="B474" s="4" t="s">
        <v>13</v>
      </c>
      <c r="C474" s="4" t="s">
        <v>14</v>
      </c>
      <c r="D474" s="35">
        <v>9887</v>
      </c>
      <c r="E474" s="4" t="s">
        <v>915</v>
      </c>
      <c r="F474" s="5">
        <v>40424</v>
      </c>
      <c r="G474" s="5">
        <v>40494</v>
      </c>
      <c r="H474" s="4" t="s">
        <v>16</v>
      </c>
      <c r="I474" s="6">
        <v>10300</v>
      </c>
      <c r="J474" s="6">
        <v>3090</v>
      </c>
      <c r="K474" s="37" t="s">
        <v>790</v>
      </c>
      <c r="L474" s="119"/>
      <c r="M474" s="3"/>
    </row>
    <row r="475" spans="1:13" s="4" customFormat="1" ht="14.25" customHeight="1" x14ac:dyDescent="0.25">
      <c r="A475" s="4" t="s">
        <v>916</v>
      </c>
      <c r="B475" s="4" t="s">
        <v>13</v>
      </c>
      <c r="C475" s="4" t="s">
        <v>14</v>
      </c>
      <c r="D475" s="35">
        <v>9894</v>
      </c>
      <c r="E475" s="4" t="s">
        <v>917</v>
      </c>
      <c r="F475" s="5">
        <v>40302</v>
      </c>
      <c r="G475" s="5">
        <v>40508</v>
      </c>
      <c r="H475" s="4" t="s">
        <v>16</v>
      </c>
      <c r="I475" s="6">
        <v>189566</v>
      </c>
      <c r="J475" s="6">
        <v>36965</v>
      </c>
      <c r="K475" s="37" t="s">
        <v>790</v>
      </c>
      <c r="L475" s="119"/>
      <c r="M475" s="3"/>
    </row>
    <row r="476" spans="1:13" s="4" customFormat="1" ht="14.25" customHeight="1" x14ac:dyDescent="0.25">
      <c r="A476" s="4" t="s">
        <v>918</v>
      </c>
      <c r="B476" s="4" t="s">
        <v>13</v>
      </c>
      <c r="C476" s="4" t="s">
        <v>14</v>
      </c>
      <c r="D476" s="35">
        <v>9921</v>
      </c>
      <c r="E476" s="4" t="s">
        <v>919</v>
      </c>
      <c r="F476" s="5">
        <v>40347</v>
      </c>
      <c r="G476" s="5">
        <v>40500</v>
      </c>
      <c r="H476" s="4" t="s">
        <v>16</v>
      </c>
      <c r="I476" s="6">
        <v>24270</v>
      </c>
      <c r="J476" s="6">
        <v>3837.9</v>
      </c>
      <c r="K476" s="37" t="s">
        <v>790</v>
      </c>
      <c r="L476" s="119"/>
      <c r="M476" s="3"/>
    </row>
    <row r="477" spans="1:13" s="4" customFormat="1" ht="14.25" customHeight="1" x14ac:dyDescent="0.25">
      <c r="A477" s="4" t="s">
        <v>920</v>
      </c>
      <c r="B477" s="4" t="s">
        <v>13</v>
      </c>
      <c r="C477" s="4" t="s">
        <v>14</v>
      </c>
      <c r="D477" s="35">
        <v>9939</v>
      </c>
      <c r="E477" s="4" t="s">
        <v>921</v>
      </c>
      <c r="F477" s="5">
        <v>40003</v>
      </c>
      <c r="G477" s="5">
        <v>40269</v>
      </c>
      <c r="H477" s="4" t="s">
        <v>16</v>
      </c>
      <c r="I477" s="6">
        <v>7140.83</v>
      </c>
      <c r="J477" s="6">
        <v>2142.25</v>
      </c>
      <c r="K477" s="37" t="s">
        <v>790</v>
      </c>
      <c r="L477" s="119"/>
      <c r="M477" s="3"/>
    </row>
    <row r="478" spans="1:13" s="4" customFormat="1" ht="14.25" customHeight="1" x14ac:dyDescent="0.25">
      <c r="A478" s="4" t="s">
        <v>922</v>
      </c>
      <c r="B478" s="4" t="s">
        <v>13</v>
      </c>
      <c r="C478" s="4" t="s">
        <v>14</v>
      </c>
      <c r="D478" s="35">
        <v>9942</v>
      </c>
      <c r="E478" s="4" t="s">
        <v>923</v>
      </c>
      <c r="F478" s="5">
        <v>40204</v>
      </c>
      <c r="G478" s="5">
        <v>40269</v>
      </c>
      <c r="H478" s="4" t="s">
        <v>16</v>
      </c>
      <c r="I478" s="6">
        <v>3690</v>
      </c>
      <c r="J478" s="6">
        <v>1107</v>
      </c>
      <c r="K478" s="37" t="s">
        <v>790</v>
      </c>
      <c r="L478" s="119"/>
      <c r="M478" s="3"/>
    </row>
    <row r="479" spans="1:13" s="4" customFormat="1" ht="14.25" customHeight="1" x14ac:dyDescent="0.25">
      <c r="A479" s="4" t="s">
        <v>924</v>
      </c>
      <c r="B479" s="4" t="s">
        <v>13</v>
      </c>
      <c r="C479" s="4" t="s">
        <v>14</v>
      </c>
      <c r="D479" s="35">
        <v>9964</v>
      </c>
      <c r="E479" s="4" t="s">
        <v>385</v>
      </c>
      <c r="F479" s="5">
        <v>40493</v>
      </c>
      <c r="G479" s="5">
        <v>40533</v>
      </c>
      <c r="H479" s="4" t="s">
        <v>16</v>
      </c>
      <c r="I479" s="6">
        <v>6134.52</v>
      </c>
      <c r="J479" s="6">
        <v>1840</v>
      </c>
      <c r="K479" s="37" t="s">
        <v>790</v>
      </c>
      <c r="L479" s="119"/>
      <c r="M479" s="3"/>
    </row>
    <row r="480" spans="1:13" s="4" customFormat="1" ht="14.25" customHeight="1" x14ac:dyDescent="0.25">
      <c r="A480" s="4" t="s">
        <v>925</v>
      </c>
      <c r="B480" s="4" t="s">
        <v>13</v>
      </c>
      <c r="C480" s="4" t="s">
        <v>14</v>
      </c>
      <c r="D480" s="35">
        <v>9971</v>
      </c>
      <c r="E480" s="4" t="s">
        <v>926</v>
      </c>
      <c r="F480" s="5">
        <v>40526</v>
      </c>
      <c r="G480" s="5">
        <v>40709</v>
      </c>
      <c r="H480" s="4" t="s">
        <v>16</v>
      </c>
      <c r="I480" s="6">
        <v>9809.69</v>
      </c>
      <c r="J480" s="6">
        <v>2942.7</v>
      </c>
      <c r="K480" s="37" t="s">
        <v>790</v>
      </c>
      <c r="L480" s="119"/>
      <c r="M480" s="3"/>
    </row>
    <row r="481" spans="1:13" s="4" customFormat="1" ht="14.25" customHeight="1" x14ac:dyDescent="0.25">
      <c r="A481" s="4" t="s">
        <v>927</v>
      </c>
      <c r="B481" s="4" t="s">
        <v>13</v>
      </c>
      <c r="C481" s="4" t="s">
        <v>14</v>
      </c>
      <c r="D481" s="35">
        <v>9999</v>
      </c>
      <c r="E481" s="4" t="s">
        <v>928</v>
      </c>
      <c r="F481" s="5">
        <v>40221</v>
      </c>
      <c r="G481" s="5">
        <v>40309</v>
      </c>
      <c r="H481" s="4" t="s">
        <v>16</v>
      </c>
      <c r="I481" s="6">
        <v>4072.11</v>
      </c>
      <c r="J481" s="6">
        <v>1221</v>
      </c>
      <c r="K481" s="37" t="s">
        <v>790</v>
      </c>
      <c r="L481" s="119"/>
      <c r="M481" s="3"/>
    </row>
    <row r="482" spans="1:13" s="4" customFormat="1" ht="14.25" customHeight="1" x14ac:dyDescent="0.25">
      <c r="A482" s="4" t="s">
        <v>929</v>
      </c>
      <c r="B482" s="4" t="s">
        <v>13</v>
      </c>
      <c r="C482" s="4" t="s">
        <v>14</v>
      </c>
      <c r="D482" s="35">
        <v>10007</v>
      </c>
      <c r="E482" s="4" t="s">
        <v>930</v>
      </c>
      <c r="F482" s="5">
        <v>39833</v>
      </c>
      <c r="G482" s="5">
        <v>40364</v>
      </c>
      <c r="H482" s="4" t="s">
        <v>16</v>
      </c>
      <c r="I482" s="6">
        <v>35000</v>
      </c>
      <c r="J482" s="6">
        <v>14000</v>
      </c>
      <c r="K482" s="37" t="s">
        <v>790</v>
      </c>
      <c r="L482" s="119"/>
      <c r="M482" s="3"/>
    </row>
    <row r="483" spans="1:13" s="4" customFormat="1" ht="14.25" customHeight="1" x14ac:dyDescent="0.25">
      <c r="A483" s="4" t="s">
        <v>931</v>
      </c>
      <c r="B483" s="4" t="s">
        <v>13</v>
      </c>
      <c r="C483" s="4" t="s">
        <v>14</v>
      </c>
      <c r="D483" s="35">
        <v>10047</v>
      </c>
      <c r="E483" s="4" t="s">
        <v>932</v>
      </c>
      <c r="F483" s="5">
        <v>40387</v>
      </c>
      <c r="G483" s="5">
        <v>40494</v>
      </c>
      <c r="H483" s="4" t="s">
        <v>16</v>
      </c>
      <c r="I483" s="6">
        <v>4247.93</v>
      </c>
      <c r="J483" s="6">
        <v>1169</v>
      </c>
      <c r="K483" s="37" t="s">
        <v>790</v>
      </c>
      <c r="L483" s="119"/>
      <c r="M483" s="3"/>
    </row>
    <row r="484" spans="1:13" s="4" customFormat="1" ht="14.25" customHeight="1" x14ac:dyDescent="0.25">
      <c r="A484" s="4" t="s">
        <v>933</v>
      </c>
      <c r="B484" s="4" t="s">
        <v>13</v>
      </c>
      <c r="C484" s="4" t="s">
        <v>14</v>
      </c>
      <c r="D484" s="35">
        <v>10054</v>
      </c>
      <c r="E484" s="4" t="s">
        <v>934</v>
      </c>
      <c r="F484" s="5">
        <v>40059</v>
      </c>
      <c r="G484" s="5">
        <v>40269</v>
      </c>
      <c r="H484" s="4" t="s">
        <v>16</v>
      </c>
      <c r="I484" s="6">
        <v>7398.84</v>
      </c>
      <c r="J484" s="6">
        <v>2219.65</v>
      </c>
      <c r="K484" s="37" t="s">
        <v>790</v>
      </c>
      <c r="L484" s="119"/>
      <c r="M484" s="3"/>
    </row>
    <row r="485" spans="1:13" s="4" customFormat="1" ht="14.25" customHeight="1" x14ac:dyDescent="0.25">
      <c r="A485" s="4" t="s">
        <v>935</v>
      </c>
      <c r="B485" s="4" t="s">
        <v>13</v>
      </c>
      <c r="C485" s="4" t="s">
        <v>14</v>
      </c>
      <c r="D485" s="35">
        <v>10061</v>
      </c>
      <c r="E485" s="4" t="s">
        <v>936</v>
      </c>
      <c r="F485" s="5">
        <v>40534</v>
      </c>
      <c r="G485" s="5">
        <v>40717</v>
      </c>
      <c r="H485" s="4" t="s">
        <v>16</v>
      </c>
      <c r="I485" s="6">
        <v>34000</v>
      </c>
      <c r="J485" s="6">
        <v>9210</v>
      </c>
      <c r="K485" s="37" t="s">
        <v>790</v>
      </c>
      <c r="L485" s="119"/>
      <c r="M485" s="3"/>
    </row>
    <row r="486" spans="1:13" s="4" customFormat="1" ht="14.25" customHeight="1" x14ac:dyDescent="0.25">
      <c r="A486" s="4" t="s">
        <v>937</v>
      </c>
      <c r="B486" s="4" t="s">
        <v>13</v>
      </c>
      <c r="C486" s="4" t="s">
        <v>14</v>
      </c>
      <c r="D486" s="35">
        <v>10140</v>
      </c>
      <c r="E486" s="4" t="s">
        <v>938</v>
      </c>
      <c r="F486" s="5">
        <v>40534</v>
      </c>
      <c r="G486" s="5">
        <v>40640</v>
      </c>
      <c r="H486" s="4" t="s">
        <v>16</v>
      </c>
      <c r="I486" s="6">
        <v>45794.2</v>
      </c>
      <c r="J486" s="6">
        <v>13738.2</v>
      </c>
      <c r="K486" s="37" t="s">
        <v>790</v>
      </c>
      <c r="L486" s="119"/>
      <c r="M486" s="3"/>
    </row>
    <row r="487" spans="1:13" s="4" customFormat="1" ht="14.25" customHeight="1" x14ac:dyDescent="0.25">
      <c r="A487" s="4" t="s">
        <v>939</v>
      </c>
      <c r="B487" s="4" t="s">
        <v>13</v>
      </c>
      <c r="C487" s="4" t="s">
        <v>14</v>
      </c>
      <c r="D487" s="35">
        <v>10169</v>
      </c>
      <c r="E487" s="4" t="s">
        <v>940</v>
      </c>
      <c r="F487" s="5">
        <v>40017</v>
      </c>
      <c r="G487" s="5">
        <v>40309</v>
      </c>
      <c r="H487" s="4" t="s">
        <v>16</v>
      </c>
      <c r="I487" s="6">
        <v>6700</v>
      </c>
      <c r="J487" s="6">
        <v>2680</v>
      </c>
      <c r="K487" s="37" t="s">
        <v>790</v>
      </c>
      <c r="L487" s="119"/>
    </row>
    <row r="488" spans="1:13" s="4" customFormat="1" ht="14.25" customHeight="1" x14ac:dyDescent="0.25">
      <c r="A488" s="4" t="s">
        <v>941</v>
      </c>
      <c r="B488" s="4" t="s">
        <v>13</v>
      </c>
      <c r="C488" s="4" t="s">
        <v>14</v>
      </c>
      <c r="D488" s="35">
        <v>10198</v>
      </c>
      <c r="E488" s="7" t="s">
        <v>942</v>
      </c>
      <c r="F488" s="5">
        <v>40086</v>
      </c>
      <c r="G488" s="5">
        <v>40364</v>
      </c>
      <c r="H488" s="4" t="s">
        <v>16</v>
      </c>
      <c r="I488" s="6">
        <v>35549.019999999997</v>
      </c>
      <c r="J488" s="6">
        <v>14219.61</v>
      </c>
      <c r="K488" s="37" t="s">
        <v>790</v>
      </c>
      <c r="L488" s="119"/>
      <c r="M488" s="3"/>
    </row>
    <row r="489" spans="1:13" s="4" customFormat="1" ht="14.25" customHeight="1" x14ac:dyDescent="0.25">
      <c r="A489" s="4" t="s">
        <v>943</v>
      </c>
      <c r="B489" s="4" t="s">
        <v>13</v>
      </c>
      <c r="C489" s="4" t="s">
        <v>14</v>
      </c>
      <c r="D489" s="35">
        <v>9376</v>
      </c>
      <c r="E489" s="4" t="s">
        <v>944</v>
      </c>
      <c r="F489" s="5">
        <v>39267</v>
      </c>
      <c r="G489" s="5">
        <v>39433</v>
      </c>
      <c r="H489" s="4" t="s">
        <v>389</v>
      </c>
      <c r="I489" s="6">
        <v>164941.01</v>
      </c>
      <c r="J489" s="8">
        <v>60000</v>
      </c>
      <c r="K489" s="37" t="s">
        <v>790</v>
      </c>
      <c r="L489" s="119"/>
      <c r="M489" s="3"/>
    </row>
    <row r="490" spans="1:13" s="4" customFormat="1" ht="14.25" customHeight="1" x14ac:dyDescent="0.25">
      <c r="A490" s="4" t="s">
        <v>945</v>
      </c>
      <c r="B490" s="4" t="s">
        <v>13</v>
      </c>
      <c r="C490" s="4" t="s">
        <v>14</v>
      </c>
      <c r="D490" s="35">
        <v>9377</v>
      </c>
      <c r="E490" s="4" t="s">
        <v>946</v>
      </c>
      <c r="F490" s="5">
        <v>39370</v>
      </c>
      <c r="G490" s="5">
        <v>39446</v>
      </c>
      <c r="H490" s="4" t="s">
        <v>389</v>
      </c>
      <c r="I490" s="6">
        <v>29045</v>
      </c>
      <c r="J490" s="8">
        <v>11618</v>
      </c>
      <c r="K490" s="37" t="s">
        <v>790</v>
      </c>
      <c r="L490" s="119"/>
      <c r="M490" s="3"/>
    </row>
    <row r="491" spans="1:13" s="4" customFormat="1" ht="14.25" customHeight="1" x14ac:dyDescent="0.25">
      <c r="A491" s="4" t="s">
        <v>947</v>
      </c>
      <c r="B491" s="4" t="s">
        <v>13</v>
      </c>
      <c r="C491" s="4" t="s">
        <v>14</v>
      </c>
      <c r="D491" s="35">
        <v>9458</v>
      </c>
      <c r="E491" s="4" t="s">
        <v>948</v>
      </c>
      <c r="F491" s="5">
        <v>39302</v>
      </c>
      <c r="G491" s="5">
        <v>39446</v>
      </c>
      <c r="H491" s="4" t="s">
        <v>389</v>
      </c>
      <c r="I491" s="6">
        <v>112524.08</v>
      </c>
      <c r="J491" s="8">
        <v>45009.63</v>
      </c>
      <c r="K491" s="37" t="s">
        <v>790</v>
      </c>
      <c r="L491" s="119"/>
      <c r="M491" s="3"/>
    </row>
    <row r="492" spans="1:13" s="4" customFormat="1" ht="14.25" customHeight="1" x14ac:dyDescent="0.25">
      <c r="A492" s="4" t="s">
        <v>799</v>
      </c>
      <c r="B492" s="4" t="s">
        <v>13</v>
      </c>
      <c r="C492" s="4" t="s">
        <v>14</v>
      </c>
      <c r="D492" s="35">
        <v>9469</v>
      </c>
      <c r="E492" s="4" t="s">
        <v>949</v>
      </c>
      <c r="F492" s="5">
        <v>40085</v>
      </c>
      <c r="G492" s="5">
        <v>40158</v>
      </c>
      <c r="H492" s="4" t="s">
        <v>389</v>
      </c>
      <c r="I492" s="6">
        <v>131187.04999999999</v>
      </c>
      <c r="J492" s="8">
        <v>45915.46</v>
      </c>
      <c r="K492" s="37" t="s">
        <v>790</v>
      </c>
      <c r="L492" s="119"/>
      <c r="M492" s="3"/>
    </row>
    <row r="493" spans="1:13" s="4" customFormat="1" ht="14.25" customHeight="1" x14ac:dyDescent="0.25">
      <c r="A493" s="4" t="s">
        <v>950</v>
      </c>
      <c r="B493" s="4" t="s">
        <v>13</v>
      </c>
      <c r="C493" s="4" t="s">
        <v>14</v>
      </c>
      <c r="D493" s="35">
        <v>9487</v>
      </c>
      <c r="E493" s="4" t="s">
        <v>951</v>
      </c>
      <c r="F493" s="5">
        <v>39434</v>
      </c>
      <c r="G493" s="5">
        <v>39932</v>
      </c>
      <c r="H493" s="4" t="s">
        <v>389</v>
      </c>
      <c r="I493" s="6">
        <v>68000</v>
      </c>
      <c r="J493" s="8">
        <v>25050</v>
      </c>
      <c r="K493" s="37" t="s">
        <v>790</v>
      </c>
      <c r="L493" s="119"/>
      <c r="M493" s="3"/>
    </row>
    <row r="494" spans="1:13" s="4" customFormat="1" ht="14.25" customHeight="1" x14ac:dyDescent="0.25">
      <c r="A494" s="4" t="s">
        <v>952</v>
      </c>
      <c r="B494" s="4" t="s">
        <v>13</v>
      </c>
      <c r="C494" s="4" t="s">
        <v>14</v>
      </c>
      <c r="D494" s="35">
        <v>9489</v>
      </c>
      <c r="E494" s="4" t="s">
        <v>953</v>
      </c>
      <c r="F494" s="5">
        <v>40081</v>
      </c>
      <c r="G494" s="5">
        <v>40140</v>
      </c>
      <c r="H494" s="4" t="s">
        <v>389</v>
      </c>
      <c r="I494" s="6">
        <v>50895</v>
      </c>
      <c r="J494" s="8">
        <v>17813.25</v>
      </c>
      <c r="K494" s="37" t="s">
        <v>790</v>
      </c>
      <c r="L494" s="119"/>
      <c r="M494" s="3"/>
    </row>
    <row r="495" spans="1:13" s="4" customFormat="1" ht="14.25" customHeight="1" x14ac:dyDescent="0.25">
      <c r="A495" s="4" t="s">
        <v>954</v>
      </c>
      <c r="B495" s="4" t="s">
        <v>13</v>
      </c>
      <c r="C495" s="4" t="s">
        <v>14</v>
      </c>
      <c r="D495" s="35">
        <v>9491</v>
      </c>
      <c r="E495" s="4" t="s">
        <v>955</v>
      </c>
      <c r="F495" s="5">
        <v>40081</v>
      </c>
      <c r="G495" s="5">
        <v>40140</v>
      </c>
      <c r="H495" s="4" t="s">
        <v>389</v>
      </c>
      <c r="I495" s="6">
        <v>33645</v>
      </c>
      <c r="J495" s="8">
        <v>11745</v>
      </c>
      <c r="K495" s="37" t="s">
        <v>790</v>
      </c>
      <c r="L495" s="119"/>
      <c r="M495" s="3"/>
    </row>
    <row r="496" spans="1:13" s="4" customFormat="1" ht="14.25" customHeight="1" x14ac:dyDescent="0.25">
      <c r="A496" s="4" t="s">
        <v>954</v>
      </c>
      <c r="B496" s="4" t="s">
        <v>13</v>
      </c>
      <c r="C496" s="4" t="s">
        <v>14</v>
      </c>
      <c r="D496" s="35">
        <v>9858</v>
      </c>
      <c r="E496" s="4" t="s">
        <v>956</v>
      </c>
      <c r="F496" s="5">
        <v>40394</v>
      </c>
      <c r="G496" s="5">
        <v>40522</v>
      </c>
      <c r="H496" s="4" t="s">
        <v>392</v>
      </c>
      <c r="I496" s="6">
        <v>1527788</v>
      </c>
      <c r="J496" s="8">
        <v>500000</v>
      </c>
      <c r="K496" s="37" t="s">
        <v>790</v>
      </c>
      <c r="L496" s="119"/>
      <c r="M496" s="3"/>
    </row>
    <row r="497" spans="1:13" s="4" customFormat="1" ht="14.25" customHeight="1" x14ac:dyDescent="0.25">
      <c r="A497" s="4" t="s">
        <v>957</v>
      </c>
      <c r="B497" s="4" t="s">
        <v>13</v>
      </c>
      <c r="C497" s="4" t="s">
        <v>14</v>
      </c>
      <c r="D497" s="35">
        <v>9864</v>
      </c>
      <c r="E497" s="4" t="s">
        <v>958</v>
      </c>
      <c r="F497" s="5">
        <v>40448</v>
      </c>
      <c r="G497" s="5">
        <v>40542</v>
      </c>
      <c r="H497" s="4" t="s">
        <v>392</v>
      </c>
      <c r="I497" s="6">
        <v>271038.31</v>
      </c>
      <c r="J497" s="8">
        <v>67759.58</v>
      </c>
      <c r="K497" s="37" t="s">
        <v>790</v>
      </c>
      <c r="L497" s="119"/>
      <c r="M497" s="3"/>
    </row>
    <row r="498" spans="1:13" s="4" customFormat="1" ht="14.25" customHeight="1" x14ac:dyDescent="0.25">
      <c r="A498" s="4" t="s">
        <v>959</v>
      </c>
      <c r="B498" s="4" t="s">
        <v>13</v>
      </c>
      <c r="C498" s="4" t="s">
        <v>14</v>
      </c>
      <c r="D498" s="35">
        <v>9896</v>
      </c>
      <c r="E498" s="4" t="s">
        <v>960</v>
      </c>
      <c r="F498" s="5">
        <v>40836</v>
      </c>
      <c r="G498" s="5">
        <v>40897</v>
      </c>
      <c r="H498" s="4" t="s">
        <v>392</v>
      </c>
      <c r="I498" s="6">
        <v>839533</v>
      </c>
      <c r="J498" s="8">
        <v>100744</v>
      </c>
      <c r="K498" s="37" t="s">
        <v>790</v>
      </c>
      <c r="L498" s="119"/>
      <c r="M498" s="3"/>
    </row>
    <row r="499" spans="1:13" s="4" customFormat="1" ht="14.25" customHeight="1" x14ac:dyDescent="0.25">
      <c r="A499" s="4" t="s">
        <v>961</v>
      </c>
      <c r="B499" s="4" t="s">
        <v>13</v>
      </c>
      <c r="C499" s="4" t="s">
        <v>14</v>
      </c>
      <c r="D499" s="35">
        <v>9900</v>
      </c>
      <c r="E499" s="4" t="s">
        <v>962</v>
      </c>
      <c r="F499" s="5">
        <v>40785</v>
      </c>
      <c r="G499" s="5">
        <v>40897</v>
      </c>
      <c r="H499" s="4" t="s">
        <v>392</v>
      </c>
      <c r="I499" s="6">
        <v>1345109.08</v>
      </c>
      <c r="J499" s="8">
        <v>470788.18</v>
      </c>
      <c r="K499" s="37" t="s">
        <v>790</v>
      </c>
      <c r="L499" s="119"/>
      <c r="M499" s="3"/>
    </row>
    <row r="500" spans="1:13" s="4" customFormat="1" ht="14.25" customHeight="1" x14ac:dyDescent="0.25">
      <c r="A500" s="4" t="s">
        <v>963</v>
      </c>
      <c r="B500" s="4" t="s">
        <v>13</v>
      </c>
      <c r="C500" s="4" t="s">
        <v>14</v>
      </c>
      <c r="D500" s="35">
        <v>9903</v>
      </c>
      <c r="E500" s="7" t="s">
        <v>964</v>
      </c>
      <c r="F500" s="5">
        <v>40400</v>
      </c>
      <c r="G500" s="5">
        <v>40522</v>
      </c>
      <c r="H500" s="4" t="s">
        <v>392</v>
      </c>
      <c r="I500" s="6">
        <v>56470.400000000001</v>
      </c>
      <c r="J500" s="8">
        <v>19764.64</v>
      </c>
      <c r="K500" s="37" t="s">
        <v>790</v>
      </c>
      <c r="L500" s="119"/>
      <c r="M500" s="3"/>
    </row>
    <row r="501" spans="1:13" s="4" customFormat="1" ht="14.25" customHeight="1" x14ac:dyDescent="0.25">
      <c r="A501" s="4" t="s">
        <v>954</v>
      </c>
      <c r="B501" s="4" t="s">
        <v>13</v>
      </c>
      <c r="C501" s="4" t="s">
        <v>14</v>
      </c>
      <c r="D501" s="35">
        <v>9913</v>
      </c>
      <c r="E501" s="4" t="s">
        <v>965</v>
      </c>
      <c r="F501" s="5">
        <v>40766</v>
      </c>
      <c r="G501" s="5">
        <v>40899</v>
      </c>
      <c r="H501" s="4" t="s">
        <v>392</v>
      </c>
      <c r="I501" s="6">
        <v>427986.84</v>
      </c>
      <c r="J501" s="8">
        <v>149795.39000000001</v>
      </c>
      <c r="K501" s="37" t="s">
        <v>790</v>
      </c>
      <c r="L501" s="119"/>
      <c r="M501" s="3"/>
    </row>
    <row r="502" spans="1:13" s="4" customFormat="1" ht="14.25" customHeight="1" x14ac:dyDescent="0.25">
      <c r="A502" s="4" t="s">
        <v>959</v>
      </c>
      <c r="B502" s="4" t="s">
        <v>13</v>
      </c>
      <c r="C502" s="4" t="s">
        <v>14</v>
      </c>
      <c r="D502" s="35">
        <v>9985</v>
      </c>
      <c r="E502" s="4" t="s">
        <v>966</v>
      </c>
      <c r="F502" s="5">
        <v>40428</v>
      </c>
      <c r="G502" s="5">
        <v>40542</v>
      </c>
      <c r="H502" s="4" t="s">
        <v>392</v>
      </c>
      <c r="I502" s="6">
        <v>1347757</v>
      </c>
      <c r="J502" s="8">
        <v>471714.95</v>
      </c>
      <c r="K502" s="37" t="s">
        <v>790</v>
      </c>
      <c r="L502" s="119"/>
      <c r="M502" s="3"/>
    </row>
    <row r="503" spans="1:13" s="4" customFormat="1" ht="14.25" customHeight="1" x14ac:dyDescent="0.25">
      <c r="A503" s="4" t="s">
        <v>967</v>
      </c>
      <c r="B503" s="4" t="s">
        <v>13</v>
      </c>
      <c r="C503" s="4" t="s">
        <v>14</v>
      </c>
      <c r="D503" s="35">
        <v>10008</v>
      </c>
      <c r="E503" s="4" t="s">
        <v>968</v>
      </c>
      <c r="F503" s="5">
        <v>41106</v>
      </c>
      <c r="G503" s="5">
        <v>41593</v>
      </c>
      <c r="H503" s="4" t="s">
        <v>392</v>
      </c>
      <c r="I503" s="6">
        <v>530049.19999999995</v>
      </c>
      <c r="J503" s="8">
        <v>132512.29999999999</v>
      </c>
      <c r="K503" s="37" t="s">
        <v>790</v>
      </c>
      <c r="L503" s="119"/>
      <c r="M503" s="3"/>
    </row>
    <row r="504" spans="1:13" s="4" customFormat="1" ht="14.25" customHeight="1" x14ac:dyDescent="0.25">
      <c r="A504" s="4" t="s">
        <v>969</v>
      </c>
      <c r="B504" s="4" t="s">
        <v>13</v>
      </c>
      <c r="C504" s="4" t="s">
        <v>14</v>
      </c>
      <c r="D504" s="35">
        <v>10027</v>
      </c>
      <c r="E504" s="4" t="s">
        <v>970</v>
      </c>
      <c r="F504" s="5">
        <v>40406</v>
      </c>
      <c r="G504" s="5">
        <v>40512</v>
      </c>
      <c r="H504" s="4" t="s">
        <v>392</v>
      </c>
      <c r="I504" s="6">
        <v>62798</v>
      </c>
      <c r="J504" s="8">
        <v>21979.3</v>
      </c>
      <c r="K504" s="37" t="s">
        <v>790</v>
      </c>
      <c r="L504" s="119"/>
      <c r="M504" s="3"/>
    </row>
    <row r="505" spans="1:13" s="4" customFormat="1" ht="14.25" customHeight="1" x14ac:dyDescent="0.25">
      <c r="A505" s="4" t="s">
        <v>971</v>
      </c>
      <c r="B505" s="4" t="s">
        <v>13</v>
      </c>
      <c r="C505" s="4" t="s">
        <v>14</v>
      </c>
      <c r="D505" s="35">
        <v>10065</v>
      </c>
      <c r="E505" s="4" t="s">
        <v>972</v>
      </c>
      <c r="F505" s="5">
        <v>40844</v>
      </c>
      <c r="G505" s="5">
        <v>40897</v>
      </c>
      <c r="H505" s="4" t="s">
        <v>392</v>
      </c>
      <c r="I505" s="6">
        <v>5986.36</v>
      </c>
      <c r="J505" s="8">
        <v>2095.23</v>
      </c>
      <c r="K505" s="37" t="s">
        <v>790</v>
      </c>
      <c r="L505" s="119"/>
      <c r="M505" s="3"/>
    </row>
    <row r="506" spans="1:13" s="4" customFormat="1" ht="14.25" customHeight="1" x14ac:dyDescent="0.25">
      <c r="A506" s="4" t="s">
        <v>973</v>
      </c>
      <c r="B506" s="4" t="s">
        <v>13</v>
      </c>
      <c r="C506" s="4" t="s">
        <v>14</v>
      </c>
      <c r="D506" s="35">
        <v>10066</v>
      </c>
      <c r="E506" s="4" t="s">
        <v>974</v>
      </c>
      <c r="F506" s="5">
        <v>40793</v>
      </c>
      <c r="H506" s="4" t="s">
        <v>392</v>
      </c>
      <c r="I506" s="6">
        <v>77868.7</v>
      </c>
      <c r="J506" s="8">
        <v>27254.04</v>
      </c>
      <c r="K506" s="37" t="s">
        <v>790</v>
      </c>
      <c r="L506" s="119"/>
      <c r="M506" s="3"/>
    </row>
    <row r="507" spans="1:13" s="4" customFormat="1" ht="14.25" customHeight="1" x14ac:dyDescent="0.25">
      <c r="A507" s="4" t="s">
        <v>975</v>
      </c>
      <c r="B507" s="4" t="s">
        <v>13</v>
      </c>
      <c r="C507" s="4" t="s">
        <v>14</v>
      </c>
      <c r="D507" s="35">
        <v>10073</v>
      </c>
      <c r="E507" s="4" t="s">
        <v>976</v>
      </c>
      <c r="F507" s="5">
        <v>40779</v>
      </c>
      <c r="G507" s="5">
        <v>40897</v>
      </c>
      <c r="H507" s="4" t="s">
        <v>392</v>
      </c>
      <c r="I507" s="6">
        <v>105287</v>
      </c>
      <c r="J507" s="8">
        <v>26321.75</v>
      </c>
      <c r="K507" s="37" t="s">
        <v>790</v>
      </c>
      <c r="L507" s="119"/>
      <c r="M507" s="3"/>
    </row>
    <row r="508" spans="1:13" s="4" customFormat="1" ht="14.25" customHeight="1" x14ac:dyDescent="0.25">
      <c r="A508" s="4" t="s">
        <v>977</v>
      </c>
      <c r="B508" s="4" t="s">
        <v>13</v>
      </c>
      <c r="C508" s="4" t="s">
        <v>14</v>
      </c>
      <c r="D508" s="35">
        <v>10181</v>
      </c>
      <c r="E508" s="4" t="s">
        <v>978</v>
      </c>
      <c r="F508" s="5">
        <v>41114</v>
      </c>
      <c r="G508" s="5">
        <v>41248</v>
      </c>
      <c r="H508" s="4" t="s">
        <v>392</v>
      </c>
      <c r="I508" s="6">
        <v>869043.69</v>
      </c>
      <c r="J508" s="8">
        <v>273748.76</v>
      </c>
      <c r="K508" s="37" t="s">
        <v>790</v>
      </c>
      <c r="L508" s="119"/>
      <c r="M508" s="3"/>
    </row>
    <row r="509" spans="1:13" s="4" customFormat="1" ht="14.25" customHeight="1" x14ac:dyDescent="0.25">
      <c r="A509" s="4" t="s">
        <v>979</v>
      </c>
      <c r="B509" s="4" t="s">
        <v>13</v>
      </c>
      <c r="C509" s="4" t="s">
        <v>14</v>
      </c>
      <c r="D509" s="35">
        <v>10186</v>
      </c>
      <c r="E509" s="4" t="s">
        <v>980</v>
      </c>
      <c r="F509" s="5">
        <v>41142</v>
      </c>
      <c r="G509" s="5">
        <v>41246</v>
      </c>
      <c r="H509" s="4" t="s">
        <v>392</v>
      </c>
      <c r="I509" s="6">
        <v>140753</v>
      </c>
      <c r="J509" s="8">
        <v>49263.55</v>
      </c>
      <c r="K509" s="37" t="s">
        <v>790</v>
      </c>
      <c r="L509" s="119"/>
      <c r="M509" s="3"/>
    </row>
    <row r="510" spans="1:13" s="4" customFormat="1" ht="14.25" customHeight="1" x14ac:dyDescent="0.25">
      <c r="A510" s="4" t="s">
        <v>981</v>
      </c>
      <c r="B510" s="4" t="s">
        <v>13</v>
      </c>
      <c r="C510" s="4" t="s">
        <v>14</v>
      </c>
      <c r="D510" s="35">
        <v>10215</v>
      </c>
      <c r="E510" s="7" t="s">
        <v>982</v>
      </c>
      <c r="F510" s="5">
        <v>41116</v>
      </c>
      <c r="G510" s="5">
        <v>41271</v>
      </c>
      <c r="H510" s="4" t="s">
        <v>392</v>
      </c>
      <c r="I510" s="6">
        <v>637236</v>
      </c>
      <c r="J510" s="8">
        <v>223032.6</v>
      </c>
      <c r="K510" s="37" t="s">
        <v>790</v>
      </c>
      <c r="L510" s="119"/>
      <c r="M510" s="3"/>
    </row>
    <row r="511" spans="1:13" s="4" customFormat="1" ht="14.25" customHeight="1" x14ac:dyDescent="0.25">
      <c r="A511" s="4" t="s">
        <v>983</v>
      </c>
      <c r="B511" s="4" t="s">
        <v>13</v>
      </c>
      <c r="C511" s="4" t="s">
        <v>14</v>
      </c>
      <c r="D511" s="35">
        <v>10216</v>
      </c>
      <c r="E511" s="4" t="s">
        <v>984</v>
      </c>
      <c r="F511" s="5">
        <v>41185</v>
      </c>
      <c r="G511" s="5">
        <v>41250</v>
      </c>
      <c r="H511" s="4" t="s">
        <v>392</v>
      </c>
      <c r="I511" s="6">
        <v>39667.31</v>
      </c>
      <c r="J511" s="8">
        <v>13883.56</v>
      </c>
      <c r="K511" s="37" t="s">
        <v>790</v>
      </c>
      <c r="L511" s="119"/>
      <c r="M511" s="3"/>
    </row>
    <row r="512" spans="1:13" s="4" customFormat="1" ht="14.25" customHeight="1" x14ac:dyDescent="0.25">
      <c r="A512" s="4" t="s">
        <v>985</v>
      </c>
      <c r="B512" s="4" t="s">
        <v>13</v>
      </c>
      <c r="C512" s="4" t="s">
        <v>14</v>
      </c>
      <c r="D512" s="35">
        <v>10218</v>
      </c>
      <c r="E512" s="7" t="s">
        <v>986</v>
      </c>
      <c r="F512" s="5">
        <v>41114</v>
      </c>
      <c r="G512" s="5">
        <v>41250</v>
      </c>
      <c r="H512" s="4" t="s">
        <v>392</v>
      </c>
      <c r="I512" s="6">
        <v>193385.91</v>
      </c>
      <c r="J512" s="8">
        <v>64494.2</v>
      </c>
      <c r="K512" s="37" t="s">
        <v>790</v>
      </c>
      <c r="L512" s="119"/>
      <c r="M512" s="3"/>
    </row>
    <row r="513" spans="1:13" s="4" customFormat="1" ht="14.25" customHeight="1" x14ac:dyDescent="0.25">
      <c r="A513" s="4" t="s">
        <v>987</v>
      </c>
      <c r="B513" s="4" t="s">
        <v>50</v>
      </c>
      <c r="C513" s="4" t="s">
        <v>14</v>
      </c>
      <c r="D513" s="35">
        <v>496</v>
      </c>
      <c r="E513" s="4" t="s">
        <v>988</v>
      </c>
      <c r="F513" s="5">
        <v>39176</v>
      </c>
      <c r="H513" s="4" t="s">
        <v>40</v>
      </c>
      <c r="I513" s="6">
        <v>47000</v>
      </c>
      <c r="J513" s="6">
        <v>23500</v>
      </c>
      <c r="K513" s="37" t="s">
        <v>790</v>
      </c>
      <c r="L513" s="119"/>
      <c r="M513" s="3"/>
    </row>
    <row r="514" spans="1:13" s="4" customFormat="1" ht="14.25" customHeight="1" x14ac:dyDescent="0.25">
      <c r="A514" s="4" t="s">
        <v>989</v>
      </c>
      <c r="B514" s="4" t="s">
        <v>11764</v>
      </c>
      <c r="C514" s="4" t="s">
        <v>14</v>
      </c>
      <c r="D514" s="35">
        <v>498</v>
      </c>
      <c r="E514" s="4" t="s">
        <v>991</v>
      </c>
      <c r="F514" s="5">
        <v>39349</v>
      </c>
      <c r="H514" s="4" t="s">
        <v>40</v>
      </c>
      <c r="I514" s="6">
        <v>40000</v>
      </c>
      <c r="J514" s="6">
        <v>20000</v>
      </c>
      <c r="K514" s="37" t="s">
        <v>790</v>
      </c>
      <c r="L514" s="119"/>
      <c r="M514" s="3"/>
    </row>
    <row r="515" spans="1:13" s="4" customFormat="1" ht="14.25" customHeight="1" x14ac:dyDescent="0.25">
      <c r="A515" s="4" t="s">
        <v>992</v>
      </c>
      <c r="B515" s="4" t="s">
        <v>50</v>
      </c>
      <c r="C515" s="4" t="s">
        <v>14</v>
      </c>
      <c r="D515" s="35">
        <v>499</v>
      </c>
      <c r="E515" s="4" t="s">
        <v>993</v>
      </c>
      <c r="F515" s="5">
        <v>39176</v>
      </c>
      <c r="H515" s="4" t="s">
        <v>40</v>
      </c>
      <c r="I515" s="6">
        <v>150000</v>
      </c>
      <c r="J515" s="6">
        <v>75000</v>
      </c>
      <c r="K515" s="37" t="s">
        <v>790</v>
      </c>
      <c r="L515" s="119"/>
      <c r="M515" s="3"/>
    </row>
    <row r="516" spans="1:13" s="4" customFormat="1" ht="14.25" customHeight="1" x14ac:dyDescent="0.25">
      <c r="A516" s="4" t="s">
        <v>994</v>
      </c>
      <c r="B516" s="4" t="s">
        <v>50</v>
      </c>
      <c r="C516" s="4" t="s">
        <v>14</v>
      </c>
      <c r="D516" s="35">
        <v>501</v>
      </c>
      <c r="E516" s="4" t="s">
        <v>995</v>
      </c>
      <c r="F516" s="5">
        <v>39168</v>
      </c>
      <c r="H516" s="4" t="s">
        <v>40</v>
      </c>
      <c r="I516" s="6">
        <v>63372</v>
      </c>
      <c r="J516" s="6">
        <v>31686</v>
      </c>
      <c r="K516" s="37" t="s">
        <v>790</v>
      </c>
      <c r="L516" s="119"/>
      <c r="M516" s="3"/>
    </row>
    <row r="517" spans="1:13" s="4" customFormat="1" ht="14.25" customHeight="1" x14ac:dyDescent="0.25">
      <c r="A517" s="4" t="s">
        <v>996</v>
      </c>
      <c r="B517" s="4" t="s">
        <v>50</v>
      </c>
      <c r="C517" s="4" t="s">
        <v>14</v>
      </c>
      <c r="D517" s="35">
        <v>502</v>
      </c>
      <c r="E517" s="4" t="s">
        <v>997</v>
      </c>
      <c r="F517" s="5">
        <v>39337</v>
      </c>
      <c r="H517" s="4" t="s">
        <v>40</v>
      </c>
      <c r="I517" s="6">
        <v>12178</v>
      </c>
      <c r="J517" s="6">
        <v>6089</v>
      </c>
      <c r="K517" s="37" t="s">
        <v>790</v>
      </c>
      <c r="L517" s="119"/>
      <c r="M517" s="3"/>
    </row>
    <row r="518" spans="1:13" s="4" customFormat="1" ht="14.25" customHeight="1" x14ac:dyDescent="0.25">
      <c r="A518" s="4" t="s">
        <v>998</v>
      </c>
      <c r="B518" s="4" t="s">
        <v>11764</v>
      </c>
      <c r="C518" s="4" t="s">
        <v>14</v>
      </c>
      <c r="D518" s="35">
        <v>504</v>
      </c>
      <c r="E518" s="4" t="s">
        <v>999</v>
      </c>
      <c r="F518" s="5">
        <v>39176</v>
      </c>
      <c r="H518" s="4" t="s">
        <v>40</v>
      </c>
      <c r="I518" s="6">
        <v>80000</v>
      </c>
      <c r="J518" s="6">
        <v>40000</v>
      </c>
      <c r="K518" s="37" t="s">
        <v>790</v>
      </c>
      <c r="L518" s="119"/>
      <c r="M518" s="3"/>
    </row>
    <row r="519" spans="1:13" s="4" customFormat="1" ht="14.25" customHeight="1" x14ac:dyDescent="0.25">
      <c r="A519" s="4" t="s">
        <v>1000</v>
      </c>
      <c r="B519" s="4" t="s">
        <v>59</v>
      </c>
      <c r="C519" s="4" t="s">
        <v>14</v>
      </c>
      <c r="D519" s="35">
        <v>507</v>
      </c>
      <c r="E519" s="4" t="s">
        <v>1001</v>
      </c>
      <c r="F519" s="5">
        <v>39511</v>
      </c>
      <c r="H519" s="4" t="s">
        <v>40</v>
      </c>
      <c r="I519" s="6">
        <v>18750</v>
      </c>
      <c r="J519" s="6">
        <v>18750</v>
      </c>
      <c r="K519" s="37" t="s">
        <v>790</v>
      </c>
      <c r="L519" s="119"/>
      <c r="M519" s="3"/>
    </row>
    <row r="520" spans="1:13" s="4" customFormat="1" ht="14.25" customHeight="1" x14ac:dyDescent="0.25">
      <c r="A520" s="4" t="s">
        <v>1002</v>
      </c>
      <c r="B520" s="4" t="s">
        <v>59</v>
      </c>
      <c r="C520" s="4" t="s">
        <v>14</v>
      </c>
      <c r="D520" s="35">
        <v>508</v>
      </c>
      <c r="E520" s="4" t="s">
        <v>1003</v>
      </c>
      <c r="F520" s="5">
        <v>39518</v>
      </c>
      <c r="H520" s="4" t="s">
        <v>40</v>
      </c>
      <c r="I520" s="6">
        <v>7500</v>
      </c>
      <c r="J520" s="6">
        <v>7500</v>
      </c>
      <c r="K520" s="37" t="s">
        <v>790</v>
      </c>
      <c r="L520" s="119"/>
      <c r="M520" s="3"/>
    </row>
    <row r="521" spans="1:13" s="4" customFormat="1" ht="14.25" customHeight="1" x14ac:dyDescent="0.25">
      <c r="A521" s="4" t="s">
        <v>1004</v>
      </c>
      <c r="B521" s="4" t="s">
        <v>11764</v>
      </c>
      <c r="C521" s="4" t="s">
        <v>14</v>
      </c>
      <c r="D521" s="35">
        <v>509</v>
      </c>
      <c r="E521" s="4" t="s">
        <v>1005</v>
      </c>
      <c r="F521" s="5">
        <v>39496</v>
      </c>
      <c r="H521" s="4" t="s">
        <v>40</v>
      </c>
      <c r="I521" s="6">
        <v>90000</v>
      </c>
      <c r="J521" s="6">
        <v>45000</v>
      </c>
      <c r="K521" s="37" t="s">
        <v>790</v>
      </c>
      <c r="L521" s="119"/>
      <c r="M521" s="3"/>
    </row>
    <row r="522" spans="1:13" s="4" customFormat="1" ht="14.25" customHeight="1" x14ac:dyDescent="0.25">
      <c r="A522" s="4" t="s">
        <v>1006</v>
      </c>
      <c r="B522" s="4" t="s">
        <v>11764</v>
      </c>
      <c r="C522" s="4" t="s">
        <v>14</v>
      </c>
      <c r="D522" s="35">
        <v>510</v>
      </c>
      <c r="E522" s="4" t="s">
        <v>1007</v>
      </c>
      <c r="F522" s="5">
        <v>39611</v>
      </c>
      <c r="H522" s="4" t="s">
        <v>40</v>
      </c>
      <c r="I522" s="6">
        <v>132120</v>
      </c>
      <c r="J522" s="6">
        <v>66060</v>
      </c>
      <c r="K522" s="37" t="s">
        <v>790</v>
      </c>
      <c r="L522" s="119"/>
      <c r="M522" s="3"/>
    </row>
    <row r="523" spans="1:13" s="4" customFormat="1" ht="14.25" customHeight="1" x14ac:dyDescent="0.25">
      <c r="A523" s="4" t="s">
        <v>1008</v>
      </c>
      <c r="B523" s="4" t="s">
        <v>59</v>
      </c>
      <c r="C523" s="4" t="s">
        <v>14</v>
      </c>
      <c r="D523" s="35">
        <v>511</v>
      </c>
      <c r="E523" s="4" t="s">
        <v>1009</v>
      </c>
      <c r="F523" s="5">
        <v>39496</v>
      </c>
      <c r="H523" s="4" t="s">
        <v>40</v>
      </c>
      <c r="I523" s="6">
        <v>22500</v>
      </c>
      <c r="J523" s="6">
        <v>22500</v>
      </c>
      <c r="K523" s="37" t="s">
        <v>790</v>
      </c>
      <c r="L523" s="119"/>
      <c r="M523" s="3"/>
    </row>
    <row r="524" spans="1:13" s="4" customFormat="1" ht="14.25" customHeight="1" x14ac:dyDescent="0.25">
      <c r="A524" s="4" t="s">
        <v>1010</v>
      </c>
      <c r="B524" s="4" t="s">
        <v>190</v>
      </c>
      <c r="C524" s="4" t="s">
        <v>14</v>
      </c>
      <c r="D524" s="35">
        <v>513</v>
      </c>
      <c r="E524" s="4" t="s">
        <v>1011</v>
      </c>
      <c r="F524" s="5">
        <v>39611</v>
      </c>
      <c r="G524" s="5">
        <v>41274</v>
      </c>
      <c r="H524" s="4" t="s">
        <v>40</v>
      </c>
      <c r="I524" s="6">
        <v>74079.240000000005</v>
      </c>
      <c r="J524" s="6">
        <v>53079.24</v>
      </c>
      <c r="K524" s="37" t="s">
        <v>790</v>
      </c>
      <c r="L524" s="119"/>
      <c r="M524" s="3"/>
    </row>
    <row r="525" spans="1:13" s="4" customFormat="1" ht="14.25" customHeight="1" x14ac:dyDescent="0.25">
      <c r="A525" s="4" t="s">
        <v>1012</v>
      </c>
      <c r="B525" s="4" t="s">
        <v>11764</v>
      </c>
      <c r="C525" s="4" t="s">
        <v>14</v>
      </c>
      <c r="D525" s="35">
        <v>514</v>
      </c>
      <c r="E525" s="4" t="s">
        <v>1013</v>
      </c>
      <c r="F525" s="5">
        <v>39611</v>
      </c>
      <c r="H525" s="4" t="s">
        <v>40</v>
      </c>
      <c r="I525" s="6">
        <v>90000</v>
      </c>
      <c r="J525" s="6">
        <v>45000</v>
      </c>
      <c r="K525" s="37" t="s">
        <v>790</v>
      </c>
      <c r="L525" s="119"/>
      <c r="M525" s="3"/>
    </row>
    <row r="526" spans="1:13" s="4" customFormat="1" ht="14.25" customHeight="1" x14ac:dyDescent="0.25">
      <c r="A526" s="4" t="s">
        <v>1014</v>
      </c>
      <c r="B526" s="4" t="s">
        <v>13</v>
      </c>
      <c r="C526" s="4" t="s">
        <v>14</v>
      </c>
      <c r="D526" s="35">
        <v>521</v>
      </c>
      <c r="E526" s="4" t="s">
        <v>1015</v>
      </c>
      <c r="F526" s="5">
        <v>39553</v>
      </c>
      <c r="H526" s="4" t="s">
        <v>40</v>
      </c>
      <c r="I526" s="6">
        <v>46158.76</v>
      </c>
      <c r="J526" s="6">
        <v>23079.38</v>
      </c>
      <c r="K526" s="37" t="s">
        <v>790</v>
      </c>
      <c r="L526" s="119"/>
      <c r="M526" s="3"/>
    </row>
    <row r="527" spans="1:13" s="4" customFormat="1" ht="14.25" customHeight="1" x14ac:dyDescent="0.25">
      <c r="A527" s="4" t="s">
        <v>1016</v>
      </c>
      <c r="B527" s="4" t="s">
        <v>50</v>
      </c>
      <c r="C527" s="4" t="s">
        <v>14</v>
      </c>
      <c r="D527" s="35">
        <v>522</v>
      </c>
      <c r="E527" s="4" t="s">
        <v>1017</v>
      </c>
      <c r="F527" s="5">
        <v>39518</v>
      </c>
      <c r="H527" s="4" t="s">
        <v>40</v>
      </c>
      <c r="I527" s="6">
        <f>3751+21527.52</f>
        <v>25278.52</v>
      </c>
      <c r="J527" s="6">
        <f>1875.5+18263.76</f>
        <v>20139.259999999998</v>
      </c>
      <c r="K527" s="37" t="s">
        <v>790</v>
      </c>
      <c r="L527" s="119"/>
      <c r="M527" s="3"/>
    </row>
    <row r="528" spans="1:13" s="4" customFormat="1" ht="14.25" customHeight="1" x14ac:dyDescent="0.25">
      <c r="A528" s="4" t="s">
        <v>1018</v>
      </c>
      <c r="B528" s="4" t="s">
        <v>50</v>
      </c>
      <c r="C528" s="4" t="s">
        <v>14</v>
      </c>
      <c r="D528" s="35">
        <v>608</v>
      </c>
      <c r="E528" s="4" t="s">
        <v>1019</v>
      </c>
      <c r="F528" s="5">
        <v>39370</v>
      </c>
      <c r="G528" s="5">
        <v>39736</v>
      </c>
      <c r="H528" s="4" t="s">
        <v>40</v>
      </c>
      <c r="I528" s="6">
        <v>10553.8</v>
      </c>
      <c r="J528" s="6">
        <v>5276.9</v>
      </c>
      <c r="K528" s="37" t="s">
        <v>790</v>
      </c>
      <c r="L528" s="119"/>
      <c r="M528" s="3"/>
    </row>
    <row r="529" spans="1:13" s="4" customFormat="1" ht="14.25" customHeight="1" x14ac:dyDescent="0.25">
      <c r="A529" s="4" t="s">
        <v>1020</v>
      </c>
      <c r="B529" s="4" t="s">
        <v>59</v>
      </c>
      <c r="C529" s="4" t="s">
        <v>14</v>
      </c>
      <c r="D529" s="35">
        <v>609</v>
      </c>
      <c r="E529" s="4" t="s">
        <v>1021</v>
      </c>
      <c r="F529" s="5">
        <v>39223</v>
      </c>
      <c r="G529" s="5">
        <v>39589</v>
      </c>
      <c r="H529" s="4" t="s">
        <v>40</v>
      </c>
      <c r="I529" s="6">
        <v>3750</v>
      </c>
      <c r="J529" s="6">
        <v>3750</v>
      </c>
      <c r="K529" s="37" t="s">
        <v>790</v>
      </c>
      <c r="L529" s="119"/>
      <c r="M529" s="3"/>
    </row>
    <row r="530" spans="1:13" s="4" customFormat="1" ht="14.25" customHeight="1" x14ac:dyDescent="0.25">
      <c r="A530" s="4" t="s">
        <v>1022</v>
      </c>
      <c r="B530" s="4" t="s">
        <v>59</v>
      </c>
      <c r="C530" s="4" t="s">
        <v>14</v>
      </c>
      <c r="D530" s="35">
        <v>610</v>
      </c>
      <c r="E530" s="4" t="s">
        <v>1023</v>
      </c>
      <c r="F530" s="5">
        <v>39132</v>
      </c>
      <c r="G530" s="5">
        <v>39497</v>
      </c>
      <c r="H530" s="4" t="s">
        <v>40</v>
      </c>
      <c r="I530" s="6">
        <v>7500</v>
      </c>
      <c r="J530" s="6">
        <v>7500</v>
      </c>
      <c r="K530" s="37" t="s">
        <v>790</v>
      </c>
      <c r="L530" s="119"/>
      <c r="M530" s="3"/>
    </row>
    <row r="531" spans="1:13" s="4" customFormat="1" ht="14.25" customHeight="1" x14ac:dyDescent="0.25">
      <c r="A531" s="4" t="s">
        <v>1024</v>
      </c>
      <c r="B531" s="4" t="s">
        <v>59</v>
      </c>
      <c r="C531" s="4" t="s">
        <v>14</v>
      </c>
      <c r="D531" s="35">
        <v>611</v>
      </c>
      <c r="E531" s="4" t="s">
        <v>1025</v>
      </c>
      <c r="F531" s="5">
        <v>39741</v>
      </c>
      <c r="G531" s="5">
        <v>40106</v>
      </c>
      <c r="H531" s="4" t="s">
        <v>40</v>
      </c>
      <c r="I531" s="6">
        <v>7500</v>
      </c>
      <c r="J531" s="6">
        <v>7500</v>
      </c>
      <c r="K531" s="37" t="s">
        <v>790</v>
      </c>
      <c r="L531" s="119"/>
      <c r="M531" s="3"/>
    </row>
    <row r="532" spans="1:13" s="4" customFormat="1" ht="14.25" customHeight="1" x14ac:dyDescent="0.25">
      <c r="A532" s="4" t="s">
        <v>1026</v>
      </c>
      <c r="B532" s="4" t="s">
        <v>59</v>
      </c>
      <c r="C532" s="4" t="s">
        <v>14</v>
      </c>
      <c r="D532" s="35">
        <v>612</v>
      </c>
      <c r="E532" s="4" t="s">
        <v>1027</v>
      </c>
      <c r="F532" s="5">
        <v>39741</v>
      </c>
      <c r="G532" s="5">
        <v>40106</v>
      </c>
      <c r="H532" s="4" t="s">
        <v>40</v>
      </c>
      <c r="I532" s="6">
        <v>15000</v>
      </c>
      <c r="J532" s="6">
        <v>15000</v>
      </c>
      <c r="K532" s="37" t="s">
        <v>790</v>
      </c>
      <c r="L532" s="119"/>
      <c r="M532" s="3"/>
    </row>
    <row r="533" spans="1:13" s="4" customFormat="1" ht="14.25" customHeight="1" x14ac:dyDescent="0.25">
      <c r="A533" s="4" t="s">
        <v>1028</v>
      </c>
      <c r="B533" s="4" t="s">
        <v>59</v>
      </c>
      <c r="C533" s="4" t="s">
        <v>14</v>
      </c>
      <c r="D533" s="35">
        <v>614</v>
      </c>
      <c r="E533" s="4" t="s">
        <v>1029</v>
      </c>
      <c r="F533" s="5">
        <v>39741</v>
      </c>
      <c r="G533" s="5">
        <v>40106</v>
      </c>
      <c r="H533" s="4" t="s">
        <v>40</v>
      </c>
      <c r="I533" s="6">
        <v>7500</v>
      </c>
      <c r="J533" s="6">
        <v>7500</v>
      </c>
      <c r="K533" s="37" t="s">
        <v>790</v>
      </c>
      <c r="L533" s="119"/>
      <c r="M533" s="3"/>
    </row>
    <row r="534" spans="1:13" s="4" customFormat="1" ht="14.25" customHeight="1" x14ac:dyDescent="0.25">
      <c r="A534" s="4" t="s">
        <v>1030</v>
      </c>
      <c r="B534" s="4" t="s">
        <v>59</v>
      </c>
      <c r="C534" s="4" t="s">
        <v>14</v>
      </c>
      <c r="D534" s="35">
        <v>616</v>
      </c>
      <c r="E534" s="4" t="s">
        <v>1031</v>
      </c>
      <c r="F534" s="5">
        <v>39741</v>
      </c>
      <c r="G534" s="5">
        <v>40106</v>
      </c>
      <c r="H534" s="4" t="s">
        <v>40</v>
      </c>
      <c r="I534" s="6">
        <v>7500</v>
      </c>
      <c r="J534" s="6">
        <v>7500</v>
      </c>
      <c r="K534" s="37" t="s">
        <v>790</v>
      </c>
      <c r="L534" s="119"/>
      <c r="M534" s="3"/>
    </row>
    <row r="535" spans="1:13" s="4" customFormat="1" ht="14.25" customHeight="1" x14ac:dyDescent="0.25">
      <c r="A535" s="4" t="s">
        <v>1032</v>
      </c>
      <c r="B535" s="4" t="s">
        <v>90</v>
      </c>
      <c r="C535" s="4" t="s">
        <v>14</v>
      </c>
      <c r="D535" s="35">
        <v>617</v>
      </c>
      <c r="E535" s="4" t="s">
        <v>1033</v>
      </c>
      <c r="F535" s="5">
        <v>39279</v>
      </c>
      <c r="G535" s="5">
        <v>39447</v>
      </c>
      <c r="H535" s="4" t="s">
        <v>40</v>
      </c>
      <c r="I535" s="6">
        <v>17200</v>
      </c>
      <c r="J535" s="6">
        <v>8600</v>
      </c>
      <c r="K535" s="37" t="s">
        <v>790</v>
      </c>
      <c r="L535" s="119"/>
      <c r="M535" s="3"/>
    </row>
    <row r="536" spans="1:13" s="4" customFormat="1" ht="14.25" customHeight="1" x14ac:dyDescent="0.25">
      <c r="A536" s="4" t="s">
        <v>1034</v>
      </c>
      <c r="B536" s="4" t="s">
        <v>50</v>
      </c>
      <c r="C536" s="4" t="s">
        <v>14</v>
      </c>
      <c r="D536" s="35">
        <v>618</v>
      </c>
      <c r="E536" s="4" t="s">
        <v>1035</v>
      </c>
      <c r="F536" s="5">
        <v>39615</v>
      </c>
      <c r="G536" s="5">
        <v>39813</v>
      </c>
      <c r="H536" s="4" t="s">
        <v>40</v>
      </c>
      <c r="I536" s="6">
        <v>30120</v>
      </c>
      <c r="J536" s="6">
        <v>15060</v>
      </c>
      <c r="K536" s="37" t="s">
        <v>790</v>
      </c>
      <c r="L536" s="119"/>
      <c r="M536" s="3"/>
    </row>
    <row r="537" spans="1:13" s="4" customFormat="1" ht="14.25" customHeight="1" x14ac:dyDescent="0.25">
      <c r="A537" s="4" t="s">
        <v>1036</v>
      </c>
      <c r="B537" s="4" t="s">
        <v>50</v>
      </c>
      <c r="C537" s="4" t="s">
        <v>14</v>
      </c>
      <c r="D537" s="35">
        <v>619</v>
      </c>
      <c r="E537" s="4" t="s">
        <v>1037</v>
      </c>
      <c r="F537" s="5">
        <v>39132</v>
      </c>
      <c r="G537" s="5">
        <v>39497</v>
      </c>
      <c r="H537" s="4" t="s">
        <v>40</v>
      </c>
      <c r="I537" s="6">
        <v>24577.38</v>
      </c>
      <c r="J537" s="6">
        <v>12288.69</v>
      </c>
      <c r="K537" s="37" t="s">
        <v>790</v>
      </c>
      <c r="L537" s="119"/>
      <c r="M537" s="3"/>
    </row>
    <row r="538" spans="1:13" s="4" customFormat="1" ht="14.25" customHeight="1" x14ac:dyDescent="0.25">
      <c r="A538" s="4" t="s">
        <v>1038</v>
      </c>
      <c r="B538" s="4" t="s">
        <v>59</v>
      </c>
      <c r="C538" s="4" t="s">
        <v>14</v>
      </c>
      <c r="D538" s="35">
        <v>620</v>
      </c>
      <c r="E538" s="4" t="s">
        <v>1039</v>
      </c>
      <c r="F538" s="5">
        <v>39496</v>
      </c>
      <c r="G538" s="5">
        <v>39813</v>
      </c>
      <c r="H538" s="4" t="s">
        <v>40</v>
      </c>
      <c r="I538" s="6">
        <v>7500</v>
      </c>
      <c r="J538" s="6">
        <v>7500</v>
      </c>
      <c r="K538" s="37" t="s">
        <v>790</v>
      </c>
      <c r="L538" s="119"/>
      <c r="M538" s="3"/>
    </row>
    <row r="539" spans="1:13" s="4" customFormat="1" ht="14.25" customHeight="1" x14ac:dyDescent="0.25">
      <c r="A539" s="4" t="s">
        <v>1040</v>
      </c>
      <c r="B539" s="4" t="s">
        <v>90</v>
      </c>
      <c r="C539" s="4" t="s">
        <v>14</v>
      </c>
      <c r="D539" s="35">
        <v>621</v>
      </c>
      <c r="E539" s="4" t="s">
        <v>1041</v>
      </c>
      <c r="F539" s="5">
        <v>39741</v>
      </c>
      <c r="G539" s="5">
        <v>39813</v>
      </c>
      <c r="H539" s="4" t="s">
        <v>40</v>
      </c>
      <c r="I539" s="6">
        <v>4000</v>
      </c>
      <c r="J539" s="6">
        <v>2000</v>
      </c>
      <c r="K539" s="37" t="s">
        <v>790</v>
      </c>
      <c r="L539" s="119"/>
      <c r="M539" s="3"/>
    </row>
    <row r="540" spans="1:13" s="4" customFormat="1" ht="14.25" customHeight="1" x14ac:dyDescent="0.25">
      <c r="A540" s="4" t="s">
        <v>1042</v>
      </c>
      <c r="B540" s="4" t="s">
        <v>50</v>
      </c>
      <c r="C540" s="4" t="s">
        <v>14</v>
      </c>
      <c r="D540" s="35">
        <v>623</v>
      </c>
      <c r="E540" s="4" t="s">
        <v>1043</v>
      </c>
      <c r="F540" s="5">
        <v>39426</v>
      </c>
      <c r="G540" s="5">
        <v>39792</v>
      </c>
      <c r="H540" s="4" t="s">
        <v>40</v>
      </c>
      <c r="I540" s="6">
        <v>9390</v>
      </c>
      <c r="J540" s="6">
        <v>4695</v>
      </c>
      <c r="K540" s="37" t="s">
        <v>790</v>
      </c>
      <c r="L540" s="119"/>
      <c r="M540" s="3"/>
    </row>
    <row r="541" spans="1:13" s="4" customFormat="1" ht="14.25" customHeight="1" x14ac:dyDescent="0.25">
      <c r="A541" s="4" t="s">
        <v>1044</v>
      </c>
      <c r="B541" s="4" t="s">
        <v>59</v>
      </c>
      <c r="C541" s="4" t="s">
        <v>14</v>
      </c>
      <c r="D541" s="35">
        <v>625</v>
      </c>
      <c r="E541" s="4" t="s">
        <v>1045</v>
      </c>
      <c r="F541" s="5">
        <v>39426</v>
      </c>
      <c r="G541" s="5">
        <v>39792</v>
      </c>
      <c r="H541" s="4" t="s">
        <v>40</v>
      </c>
      <c r="I541" s="6">
        <v>7500</v>
      </c>
      <c r="J541" s="6">
        <v>7500</v>
      </c>
      <c r="K541" s="37" t="s">
        <v>790</v>
      </c>
      <c r="L541" s="119"/>
      <c r="M541" s="3"/>
    </row>
    <row r="542" spans="1:13" s="4" customFormat="1" ht="14.25" customHeight="1" x14ac:dyDescent="0.25">
      <c r="A542" s="4" t="s">
        <v>1046</v>
      </c>
      <c r="B542" s="4" t="s">
        <v>59</v>
      </c>
      <c r="C542" s="4" t="s">
        <v>14</v>
      </c>
      <c r="D542" s="35">
        <v>626</v>
      </c>
      <c r="E542" s="4" t="s">
        <v>1047</v>
      </c>
      <c r="F542" s="5">
        <v>39496</v>
      </c>
      <c r="G542" s="5">
        <v>39813</v>
      </c>
      <c r="H542" s="4" t="s">
        <v>40</v>
      </c>
      <c r="I542" s="6">
        <v>15000</v>
      </c>
      <c r="J542" s="6">
        <v>15000</v>
      </c>
      <c r="K542" s="37" t="s">
        <v>790</v>
      </c>
      <c r="L542" s="119"/>
      <c r="M542" s="3"/>
    </row>
    <row r="543" spans="1:13" s="4" customFormat="1" ht="14.25" customHeight="1" x14ac:dyDescent="0.25">
      <c r="A543" s="4" t="s">
        <v>1048</v>
      </c>
      <c r="B543" s="4" t="s">
        <v>50</v>
      </c>
      <c r="C543" s="4" t="s">
        <v>14</v>
      </c>
      <c r="D543" s="35">
        <v>628</v>
      </c>
      <c r="E543" s="4" t="s">
        <v>1049</v>
      </c>
      <c r="F543" s="5">
        <v>39615</v>
      </c>
      <c r="G543" s="5">
        <v>39813</v>
      </c>
      <c r="H543" s="4" t="s">
        <v>40</v>
      </c>
      <c r="I543" s="6">
        <v>33369.760000000002</v>
      </c>
      <c r="J543" s="6">
        <v>16684.88</v>
      </c>
      <c r="K543" s="37" t="s">
        <v>790</v>
      </c>
      <c r="L543" s="119"/>
      <c r="M543" s="3"/>
    </row>
    <row r="544" spans="1:13" s="4" customFormat="1" ht="14.25" customHeight="1" x14ac:dyDescent="0.25">
      <c r="A544" s="4" t="s">
        <v>1050</v>
      </c>
      <c r="B544" s="4" t="s">
        <v>50</v>
      </c>
      <c r="C544" s="4" t="s">
        <v>14</v>
      </c>
      <c r="D544" s="35">
        <v>631</v>
      </c>
      <c r="E544" s="4" t="s">
        <v>1051</v>
      </c>
      <c r="F544" s="5">
        <v>39426</v>
      </c>
      <c r="G544" s="5">
        <v>39792</v>
      </c>
      <c r="H544" s="4" t="s">
        <v>40</v>
      </c>
      <c r="I544" s="6">
        <v>134098.57999999999</v>
      </c>
      <c r="J544" s="6">
        <v>67049.289999999994</v>
      </c>
      <c r="K544" s="37" t="s">
        <v>790</v>
      </c>
      <c r="L544" s="119"/>
      <c r="M544" s="3"/>
    </row>
    <row r="545" spans="1:13" s="4" customFormat="1" ht="14.25" customHeight="1" x14ac:dyDescent="0.25">
      <c r="A545" s="4" t="s">
        <v>1052</v>
      </c>
      <c r="B545" s="4" t="s">
        <v>90</v>
      </c>
      <c r="C545" s="4" t="s">
        <v>14</v>
      </c>
      <c r="D545" s="35">
        <v>633</v>
      </c>
      <c r="E545" s="4" t="s">
        <v>1053</v>
      </c>
      <c r="F545" s="5">
        <v>39426</v>
      </c>
      <c r="G545" s="5">
        <v>39639</v>
      </c>
      <c r="H545" s="4" t="s">
        <v>40</v>
      </c>
      <c r="I545" s="6">
        <v>5500</v>
      </c>
      <c r="J545" s="6">
        <v>2750</v>
      </c>
      <c r="K545" s="37" t="s">
        <v>790</v>
      </c>
      <c r="L545" s="119"/>
      <c r="M545" s="3"/>
    </row>
    <row r="546" spans="1:13" s="4" customFormat="1" ht="14.25" customHeight="1" x14ac:dyDescent="0.25">
      <c r="A546" s="4" t="s">
        <v>1054</v>
      </c>
      <c r="B546" s="4" t="s">
        <v>50</v>
      </c>
      <c r="C546" s="4" t="s">
        <v>14</v>
      </c>
      <c r="D546" s="35">
        <v>635</v>
      </c>
      <c r="E546" s="4" t="s">
        <v>1055</v>
      </c>
      <c r="F546" s="5">
        <v>39279</v>
      </c>
      <c r="G546" s="5">
        <v>39768</v>
      </c>
      <c r="H546" s="4" t="s">
        <v>40</v>
      </c>
      <c r="I546" s="6">
        <v>137220</v>
      </c>
      <c r="J546" s="6">
        <v>68610</v>
      </c>
      <c r="K546" s="37" t="s">
        <v>790</v>
      </c>
      <c r="L546" s="119"/>
      <c r="M546" s="3"/>
    </row>
    <row r="547" spans="1:13" s="4" customFormat="1" ht="14.25" customHeight="1" x14ac:dyDescent="0.25">
      <c r="A547" s="4" t="s">
        <v>1056</v>
      </c>
      <c r="B547" s="4" t="s">
        <v>90</v>
      </c>
      <c r="C547" s="4" t="s">
        <v>14</v>
      </c>
      <c r="D547" s="35">
        <v>638</v>
      </c>
      <c r="E547" s="4" t="s">
        <v>1057</v>
      </c>
      <c r="F547" s="5">
        <v>39615</v>
      </c>
      <c r="G547" s="5">
        <v>39798</v>
      </c>
      <c r="H547" s="4" t="s">
        <v>40</v>
      </c>
      <c r="I547" s="6">
        <v>10200</v>
      </c>
      <c r="J547" s="6">
        <v>5100</v>
      </c>
      <c r="K547" s="37" t="s">
        <v>790</v>
      </c>
      <c r="L547" s="119"/>
      <c r="M547" s="3"/>
    </row>
    <row r="548" spans="1:13" s="4" customFormat="1" ht="14.25" customHeight="1" x14ac:dyDescent="0.25">
      <c r="A548" s="4" t="s">
        <v>1058</v>
      </c>
      <c r="B548" s="4" t="s">
        <v>90</v>
      </c>
      <c r="C548" s="4" t="s">
        <v>14</v>
      </c>
      <c r="D548" s="35">
        <v>639</v>
      </c>
      <c r="E548" s="4" t="s">
        <v>1059</v>
      </c>
      <c r="F548" s="5">
        <v>39615</v>
      </c>
      <c r="G548" s="5">
        <v>39798</v>
      </c>
      <c r="H548" s="4" t="s">
        <v>40</v>
      </c>
      <c r="I548" s="6">
        <v>8430</v>
      </c>
      <c r="J548" s="6">
        <v>4215</v>
      </c>
      <c r="K548" s="37" t="s">
        <v>790</v>
      </c>
      <c r="L548" s="119"/>
      <c r="M548" s="3"/>
    </row>
    <row r="549" spans="1:13" s="4" customFormat="1" ht="14.25" customHeight="1" x14ac:dyDescent="0.25">
      <c r="A549" s="4" t="s">
        <v>1060</v>
      </c>
      <c r="B549" s="4" t="s">
        <v>59</v>
      </c>
      <c r="C549" s="4" t="s">
        <v>14</v>
      </c>
      <c r="D549" s="35">
        <v>641</v>
      </c>
      <c r="E549" s="4" t="s">
        <v>1061</v>
      </c>
      <c r="F549" s="5">
        <v>39223</v>
      </c>
      <c r="G549" s="5">
        <v>39650</v>
      </c>
      <c r="H549" s="4" t="s">
        <v>40</v>
      </c>
      <c r="I549" s="6">
        <v>15000</v>
      </c>
      <c r="J549" s="6">
        <v>15000</v>
      </c>
      <c r="K549" s="37" t="s">
        <v>790</v>
      </c>
      <c r="L549" s="119"/>
      <c r="M549" s="3"/>
    </row>
    <row r="550" spans="1:13" s="4" customFormat="1" ht="14.25" customHeight="1" x14ac:dyDescent="0.25">
      <c r="A550" s="4" t="s">
        <v>1062</v>
      </c>
      <c r="B550" s="4" t="s">
        <v>38</v>
      </c>
      <c r="C550" s="4" t="s">
        <v>14</v>
      </c>
      <c r="D550" s="35">
        <v>701</v>
      </c>
      <c r="E550" s="4" t="s">
        <v>1063</v>
      </c>
      <c r="F550" s="5">
        <v>39083</v>
      </c>
      <c r="G550" s="5">
        <v>39447</v>
      </c>
      <c r="H550" s="4" t="s">
        <v>40</v>
      </c>
      <c r="I550" s="6">
        <v>9485.85</v>
      </c>
      <c r="J550" s="6">
        <v>9485.85</v>
      </c>
      <c r="K550" s="37" t="s">
        <v>790</v>
      </c>
      <c r="L550" s="119"/>
      <c r="M550" s="3"/>
    </row>
    <row r="551" spans="1:13" s="4" customFormat="1" ht="14.25" customHeight="1" x14ac:dyDescent="0.25">
      <c r="A551" s="4" t="s">
        <v>1064</v>
      </c>
      <c r="B551" s="4" t="s">
        <v>38</v>
      </c>
      <c r="C551" s="4" t="s">
        <v>14</v>
      </c>
      <c r="D551" s="35">
        <v>702</v>
      </c>
      <c r="E551" s="4" t="s">
        <v>1065</v>
      </c>
      <c r="F551" s="5">
        <v>39448</v>
      </c>
      <c r="G551" s="5">
        <v>39813</v>
      </c>
      <c r="H551" s="4" t="s">
        <v>40</v>
      </c>
      <c r="I551" s="6">
        <v>16077.02</v>
      </c>
      <c r="J551" s="6">
        <v>16077.02</v>
      </c>
      <c r="K551" s="37" t="s">
        <v>790</v>
      </c>
      <c r="L551" s="119"/>
      <c r="M551" s="3"/>
    </row>
    <row r="552" spans="1:13" s="4" customFormat="1" ht="14.25" customHeight="1" x14ac:dyDescent="0.25">
      <c r="A552" s="4" t="s">
        <v>1066</v>
      </c>
      <c r="B552" s="4" t="s">
        <v>38</v>
      </c>
      <c r="C552" s="4" t="s">
        <v>14</v>
      </c>
      <c r="D552" s="35">
        <v>703</v>
      </c>
      <c r="E552" s="4" t="s">
        <v>1067</v>
      </c>
      <c r="F552" s="5">
        <v>39083</v>
      </c>
      <c r="G552" s="5">
        <v>39813</v>
      </c>
      <c r="H552" s="4" t="s">
        <v>40</v>
      </c>
      <c r="I552" s="6">
        <v>3226.02</v>
      </c>
      <c r="J552" s="6">
        <v>3226.02</v>
      </c>
      <c r="K552" s="37" t="s">
        <v>790</v>
      </c>
      <c r="L552" s="119"/>
      <c r="M552" s="3"/>
    </row>
    <row r="553" spans="1:13" s="4" customFormat="1" ht="14.25" customHeight="1" x14ac:dyDescent="0.25">
      <c r="A553" s="4" t="s">
        <v>1068</v>
      </c>
      <c r="B553" s="4" t="s">
        <v>38</v>
      </c>
      <c r="C553" s="4" t="s">
        <v>14</v>
      </c>
      <c r="D553" s="35">
        <v>704</v>
      </c>
      <c r="E553" s="4" t="s">
        <v>1069</v>
      </c>
      <c r="F553" s="5">
        <v>39083</v>
      </c>
      <c r="G553" s="5">
        <v>39813</v>
      </c>
      <c r="H553" s="4" t="s">
        <v>40</v>
      </c>
      <c r="I553" s="6">
        <v>9610.93</v>
      </c>
      <c r="J553" s="6">
        <v>9610.93</v>
      </c>
      <c r="K553" s="37" t="s">
        <v>790</v>
      </c>
      <c r="L553" s="119"/>
      <c r="M553" s="3"/>
    </row>
    <row r="554" spans="1:13" s="4" customFormat="1" ht="14.25" customHeight="1" x14ac:dyDescent="0.25">
      <c r="A554" s="4" t="s">
        <v>1070</v>
      </c>
      <c r="B554" s="4" t="s">
        <v>38</v>
      </c>
      <c r="C554" s="4" t="s">
        <v>14</v>
      </c>
      <c r="D554" s="35">
        <v>705</v>
      </c>
      <c r="E554" s="4" t="s">
        <v>1071</v>
      </c>
      <c r="F554" s="5">
        <v>39083</v>
      </c>
      <c r="G554" s="5">
        <v>39447</v>
      </c>
      <c r="H554" s="4" t="s">
        <v>40</v>
      </c>
      <c r="I554" s="6">
        <v>2914.92</v>
      </c>
      <c r="J554" s="6">
        <v>2914.92</v>
      </c>
      <c r="K554" s="37" t="s">
        <v>790</v>
      </c>
      <c r="L554" s="119"/>
      <c r="M554" s="3"/>
    </row>
    <row r="555" spans="1:13" s="4" customFormat="1" ht="14.25" customHeight="1" x14ac:dyDescent="0.25">
      <c r="A555" s="4" t="s">
        <v>1072</v>
      </c>
      <c r="B555" s="4" t="s">
        <v>38</v>
      </c>
      <c r="C555" s="4" t="s">
        <v>14</v>
      </c>
      <c r="D555" s="35">
        <v>706</v>
      </c>
      <c r="E555" s="4" t="s">
        <v>1073</v>
      </c>
      <c r="F555" s="5">
        <v>39083</v>
      </c>
      <c r="G555" s="5">
        <v>39813</v>
      </c>
      <c r="H555" s="4" t="s">
        <v>40</v>
      </c>
      <c r="I555" s="6">
        <v>10418.290000000001</v>
      </c>
      <c r="J555" s="6">
        <v>10418.290000000001</v>
      </c>
      <c r="K555" s="37" t="s">
        <v>790</v>
      </c>
      <c r="L555" s="119"/>
      <c r="M555" s="3"/>
    </row>
    <row r="556" spans="1:13" s="4" customFormat="1" ht="14.25" customHeight="1" x14ac:dyDescent="0.25">
      <c r="A556" s="4" t="s">
        <v>1074</v>
      </c>
      <c r="B556" s="4" t="s">
        <v>38</v>
      </c>
      <c r="C556" s="4" t="s">
        <v>14</v>
      </c>
      <c r="D556" s="35">
        <v>707</v>
      </c>
      <c r="E556" s="4" t="s">
        <v>1075</v>
      </c>
      <c r="F556" s="5">
        <v>39448</v>
      </c>
      <c r="G556" s="5">
        <v>39813</v>
      </c>
      <c r="H556" s="4" t="s">
        <v>40</v>
      </c>
      <c r="I556" s="6">
        <v>4644.8500000000004</v>
      </c>
      <c r="J556" s="6">
        <v>4644.8500000000004</v>
      </c>
      <c r="K556" s="37" t="s">
        <v>790</v>
      </c>
      <c r="L556" s="119"/>
      <c r="M556" s="3"/>
    </row>
    <row r="557" spans="1:13" s="4" customFormat="1" ht="14.25" customHeight="1" x14ac:dyDescent="0.25">
      <c r="A557" s="4" t="s">
        <v>1076</v>
      </c>
      <c r="B557" s="4" t="s">
        <v>38</v>
      </c>
      <c r="C557" s="4" t="s">
        <v>14</v>
      </c>
      <c r="D557" s="35">
        <v>709</v>
      </c>
      <c r="E557" s="4" t="s">
        <v>1077</v>
      </c>
      <c r="F557" s="5">
        <v>39264</v>
      </c>
      <c r="G557" s="5">
        <v>40359</v>
      </c>
      <c r="H557" s="4" t="s">
        <v>40</v>
      </c>
      <c r="I557" s="6">
        <v>17556.25</v>
      </c>
      <c r="J557" s="6">
        <v>17556.25</v>
      </c>
      <c r="K557" s="37" t="s">
        <v>790</v>
      </c>
      <c r="L557" s="119"/>
      <c r="M557" s="3"/>
    </row>
    <row r="558" spans="1:13" s="4" customFormat="1" ht="14.25" customHeight="1" x14ac:dyDescent="0.25">
      <c r="A558" s="4" t="s">
        <v>1078</v>
      </c>
      <c r="B558" s="4" t="s">
        <v>38</v>
      </c>
      <c r="C558" s="4" t="s">
        <v>14</v>
      </c>
      <c r="D558" s="35">
        <v>710</v>
      </c>
      <c r="E558" s="4" t="s">
        <v>1079</v>
      </c>
      <c r="F558" s="5">
        <v>39630</v>
      </c>
      <c r="G558" s="5">
        <v>39994</v>
      </c>
      <c r="H558" s="4" t="s">
        <v>40</v>
      </c>
      <c r="I558" s="6">
        <v>18943.099999999999</v>
      </c>
      <c r="J558" s="6">
        <v>18943.099999999999</v>
      </c>
      <c r="K558" s="37" t="s">
        <v>790</v>
      </c>
      <c r="L558" s="119"/>
      <c r="M558" s="3"/>
    </row>
    <row r="559" spans="1:13" s="4" customFormat="1" ht="14.25" customHeight="1" x14ac:dyDescent="0.25">
      <c r="A559" s="4" t="s">
        <v>1080</v>
      </c>
      <c r="B559" s="4" t="s">
        <v>38</v>
      </c>
      <c r="C559" s="4" t="s">
        <v>14</v>
      </c>
      <c r="D559" s="35">
        <v>711</v>
      </c>
      <c r="E559" s="4" t="s">
        <v>1081</v>
      </c>
      <c r="F559" s="5">
        <v>39448</v>
      </c>
      <c r="G559" s="5">
        <v>39813</v>
      </c>
      <c r="H559" s="4" t="s">
        <v>40</v>
      </c>
      <c r="I559" s="6">
        <v>1893.28</v>
      </c>
      <c r="J559" s="6">
        <v>1893.28</v>
      </c>
      <c r="K559" s="37" t="s">
        <v>790</v>
      </c>
      <c r="L559" s="119"/>
      <c r="M559" s="3"/>
    </row>
    <row r="560" spans="1:13" s="4" customFormat="1" ht="14.25" customHeight="1" x14ac:dyDescent="0.25">
      <c r="A560" s="4" t="s">
        <v>1082</v>
      </c>
      <c r="B560" s="4" t="s">
        <v>38</v>
      </c>
      <c r="C560" s="4" t="s">
        <v>14</v>
      </c>
      <c r="D560" s="35">
        <v>712</v>
      </c>
      <c r="E560" s="4" t="s">
        <v>1083</v>
      </c>
      <c r="F560" s="5">
        <v>39083</v>
      </c>
      <c r="G560" s="5">
        <v>39813</v>
      </c>
      <c r="H560" s="4" t="s">
        <v>40</v>
      </c>
      <c r="I560" s="6">
        <v>11630.17</v>
      </c>
      <c r="J560" s="6">
        <v>11630.17</v>
      </c>
      <c r="K560" s="37" t="s">
        <v>790</v>
      </c>
      <c r="L560" s="119"/>
      <c r="M560" s="3"/>
    </row>
    <row r="561" spans="1:13" s="4" customFormat="1" ht="14.25" customHeight="1" x14ac:dyDescent="0.25">
      <c r="A561" s="4" t="s">
        <v>1084</v>
      </c>
      <c r="B561" s="4" t="s">
        <v>38</v>
      </c>
      <c r="C561" s="4" t="s">
        <v>14</v>
      </c>
      <c r="D561" s="35">
        <v>714</v>
      </c>
      <c r="E561" s="4" t="s">
        <v>1085</v>
      </c>
      <c r="F561" s="5">
        <v>39448</v>
      </c>
      <c r="G561" s="5">
        <v>39813</v>
      </c>
      <c r="H561" s="4" t="s">
        <v>40</v>
      </c>
      <c r="I561" s="6">
        <v>3843.22</v>
      </c>
      <c r="J561" s="6">
        <v>3843.22</v>
      </c>
      <c r="K561" s="37" t="s">
        <v>790</v>
      </c>
      <c r="L561" s="119"/>
      <c r="M561" s="3"/>
    </row>
    <row r="562" spans="1:13" s="4" customFormat="1" ht="14.25" customHeight="1" x14ac:dyDescent="0.25">
      <c r="A562" s="4" t="s">
        <v>1086</v>
      </c>
      <c r="B562" s="4" t="s">
        <v>38</v>
      </c>
      <c r="C562" s="4" t="s">
        <v>14</v>
      </c>
      <c r="D562" s="35">
        <v>728</v>
      </c>
      <c r="E562" s="4" t="s">
        <v>1087</v>
      </c>
      <c r="F562" s="5">
        <v>39448</v>
      </c>
      <c r="G562" s="5">
        <v>39813</v>
      </c>
      <c r="H562" s="4" t="s">
        <v>40</v>
      </c>
      <c r="I562" s="6">
        <v>2050</v>
      </c>
      <c r="J562" s="6">
        <v>2050</v>
      </c>
      <c r="K562" s="37" t="s">
        <v>790</v>
      </c>
      <c r="L562" s="119"/>
      <c r="M562" s="3"/>
    </row>
    <row r="563" spans="1:13" s="4" customFormat="1" ht="14.25" customHeight="1" x14ac:dyDescent="0.25">
      <c r="A563" s="4" t="s">
        <v>1088</v>
      </c>
      <c r="B563" s="4" t="s">
        <v>38</v>
      </c>
      <c r="C563" s="4" t="s">
        <v>14</v>
      </c>
      <c r="D563" s="35">
        <v>729</v>
      </c>
      <c r="E563" s="4" t="s">
        <v>1089</v>
      </c>
      <c r="F563" s="5">
        <v>39448</v>
      </c>
      <c r="G563" s="5">
        <v>39813</v>
      </c>
      <c r="H563" s="4" t="s">
        <v>40</v>
      </c>
      <c r="I563" s="6">
        <v>19572.900000000001</v>
      </c>
      <c r="J563" s="6">
        <v>19572.900000000001</v>
      </c>
      <c r="K563" s="37" t="s">
        <v>790</v>
      </c>
      <c r="L563" s="119"/>
      <c r="M563" s="3"/>
    </row>
    <row r="564" spans="1:13" s="4" customFormat="1" ht="14.25" customHeight="1" x14ac:dyDescent="0.25">
      <c r="A564" s="4" t="s">
        <v>1090</v>
      </c>
      <c r="B564" s="4" t="s">
        <v>38</v>
      </c>
      <c r="C564" s="4" t="s">
        <v>14</v>
      </c>
      <c r="D564" s="35">
        <v>730</v>
      </c>
      <c r="E564" s="4" t="s">
        <v>1091</v>
      </c>
      <c r="F564" s="5">
        <v>39448</v>
      </c>
      <c r="G564" s="5">
        <v>39813</v>
      </c>
      <c r="H564" s="4" t="s">
        <v>40</v>
      </c>
      <c r="I564" s="6">
        <v>6747.33</v>
      </c>
      <c r="J564" s="6">
        <v>6747.33</v>
      </c>
      <c r="K564" s="37" t="s">
        <v>790</v>
      </c>
      <c r="L564" s="119"/>
      <c r="M564" s="3"/>
    </row>
    <row r="565" spans="1:13" s="4" customFormat="1" ht="14.25" customHeight="1" x14ac:dyDescent="0.25">
      <c r="A565" s="4" t="s">
        <v>1092</v>
      </c>
      <c r="B565" s="4" t="s">
        <v>38</v>
      </c>
      <c r="C565" s="4" t="s">
        <v>14</v>
      </c>
      <c r="D565" s="35">
        <v>731</v>
      </c>
      <c r="E565" s="4" t="s">
        <v>1093</v>
      </c>
      <c r="F565" s="5">
        <v>39448</v>
      </c>
      <c r="G565" s="5">
        <v>40178</v>
      </c>
      <c r="H565" s="4" t="s">
        <v>40</v>
      </c>
      <c r="I565" s="6">
        <v>5170.8500000000004</v>
      </c>
      <c r="J565" s="6">
        <v>5170.8500000000004</v>
      </c>
      <c r="K565" s="37" t="s">
        <v>790</v>
      </c>
      <c r="L565" s="119"/>
      <c r="M565" s="3"/>
    </row>
    <row r="566" spans="1:13" s="4" customFormat="1" ht="14.25" customHeight="1" x14ac:dyDescent="0.25">
      <c r="A566" s="4" t="s">
        <v>1094</v>
      </c>
      <c r="B566" s="4" t="s">
        <v>38</v>
      </c>
      <c r="C566" s="4" t="s">
        <v>14</v>
      </c>
      <c r="D566" s="35">
        <v>732</v>
      </c>
      <c r="E566" s="4" t="s">
        <v>1095</v>
      </c>
      <c r="F566" s="5">
        <v>39083</v>
      </c>
      <c r="G566" s="5">
        <v>39813</v>
      </c>
      <c r="H566" s="4" t="s">
        <v>40</v>
      </c>
      <c r="I566" s="6">
        <v>6500</v>
      </c>
      <c r="J566" s="6">
        <v>6500</v>
      </c>
      <c r="K566" s="37" t="s">
        <v>790</v>
      </c>
      <c r="L566" s="119"/>
      <c r="M566" s="3"/>
    </row>
    <row r="567" spans="1:13" s="4" customFormat="1" ht="14.25" customHeight="1" x14ac:dyDescent="0.25">
      <c r="A567" s="4" t="s">
        <v>1096</v>
      </c>
      <c r="B567" s="4" t="s">
        <v>38</v>
      </c>
      <c r="C567" s="4" t="s">
        <v>14</v>
      </c>
      <c r="D567" s="35">
        <v>733</v>
      </c>
      <c r="E567" s="4" t="s">
        <v>1097</v>
      </c>
      <c r="F567" s="5">
        <v>39083</v>
      </c>
      <c r="G567" s="5">
        <v>39447</v>
      </c>
      <c r="H567" s="4" t="s">
        <v>40</v>
      </c>
      <c r="I567" s="6">
        <v>425</v>
      </c>
      <c r="J567" s="6">
        <v>425</v>
      </c>
      <c r="K567" s="37" t="s">
        <v>790</v>
      </c>
      <c r="L567" s="119"/>
      <c r="M567" s="3"/>
    </row>
    <row r="568" spans="1:13" s="4" customFormat="1" ht="14.25" customHeight="1" x14ac:dyDescent="0.25">
      <c r="A568" s="4" t="s">
        <v>1098</v>
      </c>
      <c r="B568" s="4" t="s">
        <v>38</v>
      </c>
      <c r="C568" s="4" t="s">
        <v>14</v>
      </c>
      <c r="D568" s="35">
        <v>735</v>
      </c>
      <c r="E568" s="4" t="s">
        <v>1099</v>
      </c>
      <c r="F568" s="5">
        <v>39083</v>
      </c>
      <c r="G568" s="5">
        <v>39447</v>
      </c>
      <c r="H568" s="4" t="s">
        <v>40</v>
      </c>
      <c r="I568" s="6">
        <v>1140</v>
      </c>
      <c r="J568" s="6">
        <v>1140</v>
      </c>
      <c r="K568" s="37" t="s">
        <v>790</v>
      </c>
      <c r="L568" s="119"/>
      <c r="M568" s="3"/>
    </row>
    <row r="569" spans="1:13" s="4" customFormat="1" ht="14.25" customHeight="1" x14ac:dyDescent="0.25">
      <c r="A569" s="4" t="s">
        <v>1100</v>
      </c>
      <c r="B569" s="4" t="s">
        <v>38</v>
      </c>
      <c r="C569" s="4" t="s">
        <v>14</v>
      </c>
      <c r="D569" s="35">
        <v>736</v>
      </c>
      <c r="E569" s="4" t="s">
        <v>1101</v>
      </c>
      <c r="F569" s="5">
        <v>39083</v>
      </c>
      <c r="G569" s="5">
        <v>39447</v>
      </c>
      <c r="H569" s="4" t="s">
        <v>40</v>
      </c>
      <c r="I569" s="6">
        <v>1144.8900000000001</v>
      </c>
      <c r="J569" s="6">
        <v>1144.8900000000001</v>
      </c>
      <c r="K569" s="37" t="s">
        <v>790</v>
      </c>
      <c r="L569" s="119"/>
      <c r="M569" s="3"/>
    </row>
    <row r="570" spans="1:13" s="4" customFormat="1" ht="14.25" customHeight="1" x14ac:dyDescent="0.25">
      <c r="A570" s="4" t="s">
        <v>1102</v>
      </c>
      <c r="B570" s="4" t="s">
        <v>38</v>
      </c>
      <c r="C570" s="4" t="s">
        <v>14</v>
      </c>
      <c r="D570" s="35">
        <v>737</v>
      </c>
      <c r="E570" s="4" t="s">
        <v>1103</v>
      </c>
      <c r="F570" s="5">
        <v>39083</v>
      </c>
      <c r="G570" s="5">
        <v>39447</v>
      </c>
      <c r="H570" s="4" t="s">
        <v>40</v>
      </c>
      <c r="I570" s="6">
        <v>17616.240000000002</v>
      </c>
      <c r="J570" s="6">
        <v>17616.240000000002</v>
      </c>
      <c r="K570" s="37" t="s">
        <v>790</v>
      </c>
      <c r="L570" s="119"/>
      <c r="M570" s="3"/>
    </row>
    <row r="571" spans="1:13" s="4" customFormat="1" ht="14.25" customHeight="1" x14ac:dyDescent="0.25">
      <c r="A571" s="4" t="s">
        <v>1104</v>
      </c>
      <c r="B571" s="4" t="s">
        <v>38</v>
      </c>
      <c r="C571" s="4" t="s">
        <v>14</v>
      </c>
      <c r="D571" s="35">
        <v>738</v>
      </c>
      <c r="E571" s="4" t="s">
        <v>1105</v>
      </c>
      <c r="F571" s="5">
        <v>39448</v>
      </c>
      <c r="G571" s="5">
        <v>39813</v>
      </c>
      <c r="H571" s="4" t="s">
        <v>40</v>
      </c>
      <c r="I571" s="6">
        <v>7540.02</v>
      </c>
      <c r="J571" s="6">
        <v>7540.02</v>
      </c>
      <c r="K571" s="37" t="s">
        <v>790</v>
      </c>
      <c r="L571" s="119"/>
      <c r="M571" s="3"/>
    </row>
    <row r="572" spans="1:13" s="4" customFormat="1" ht="14.25" customHeight="1" x14ac:dyDescent="0.25">
      <c r="A572" s="4" t="s">
        <v>1106</v>
      </c>
      <c r="B572" s="4" t="s">
        <v>38</v>
      </c>
      <c r="C572" s="4" t="s">
        <v>14</v>
      </c>
      <c r="D572" s="35">
        <v>739</v>
      </c>
      <c r="E572" s="4" t="s">
        <v>1107</v>
      </c>
      <c r="F572" s="5">
        <v>39448</v>
      </c>
      <c r="G572" s="5">
        <v>39813</v>
      </c>
      <c r="H572" s="4" t="s">
        <v>40</v>
      </c>
      <c r="I572" s="6">
        <v>1000</v>
      </c>
      <c r="J572" s="6">
        <v>1000</v>
      </c>
      <c r="K572" s="37" t="s">
        <v>790</v>
      </c>
      <c r="L572" s="119"/>
      <c r="M572" s="3"/>
    </row>
    <row r="573" spans="1:13" s="4" customFormat="1" ht="14.25" customHeight="1" x14ac:dyDescent="0.25">
      <c r="A573" s="4" t="s">
        <v>1108</v>
      </c>
      <c r="B573" s="4" t="s">
        <v>38</v>
      </c>
      <c r="C573" s="4" t="s">
        <v>14</v>
      </c>
      <c r="D573" s="35">
        <v>740</v>
      </c>
      <c r="E573" s="4" t="s">
        <v>1109</v>
      </c>
      <c r="F573" s="5">
        <v>39083</v>
      </c>
      <c r="G573" s="5">
        <v>39538</v>
      </c>
      <c r="H573" s="4" t="s">
        <v>40</v>
      </c>
      <c r="I573" s="6">
        <v>17737.75</v>
      </c>
      <c r="J573" s="6">
        <v>17737.75</v>
      </c>
      <c r="K573" s="37" t="s">
        <v>790</v>
      </c>
      <c r="L573" s="119"/>
      <c r="M573" s="3"/>
    </row>
    <row r="574" spans="1:13" s="4" customFormat="1" ht="14.25" customHeight="1" x14ac:dyDescent="0.25">
      <c r="A574" s="4" t="s">
        <v>1110</v>
      </c>
      <c r="B574" s="4" t="s">
        <v>38</v>
      </c>
      <c r="C574" s="4" t="s">
        <v>14</v>
      </c>
      <c r="D574" s="35">
        <v>741</v>
      </c>
      <c r="E574" s="4" t="s">
        <v>1111</v>
      </c>
      <c r="F574" s="5">
        <v>39448</v>
      </c>
      <c r="G574" s="5">
        <v>39903</v>
      </c>
      <c r="H574" s="4" t="s">
        <v>40</v>
      </c>
      <c r="I574" s="6">
        <v>18063.849999999999</v>
      </c>
      <c r="J574" s="6">
        <v>18063.849999999999</v>
      </c>
      <c r="K574" s="37" t="s">
        <v>790</v>
      </c>
      <c r="L574" s="119"/>
      <c r="M574" s="3"/>
    </row>
    <row r="575" spans="1:13" s="4" customFormat="1" ht="14.25" customHeight="1" x14ac:dyDescent="0.25">
      <c r="A575" s="4" t="s">
        <v>1112</v>
      </c>
      <c r="B575" s="4" t="s">
        <v>38</v>
      </c>
      <c r="C575" s="4" t="s">
        <v>14</v>
      </c>
      <c r="D575" s="35">
        <v>742</v>
      </c>
      <c r="E575" s="4" t="s">
        <v>1113</v>
      </c>
      <c r="F575" s="5">
        <v>39448</v>
      </c>
      <c r="G575" s="5">
        <v>39813</v>
      </c>
      <c r="H575" s="4" t="s">
        <v>40</v>
      </c>
      <c r="I575" s="6">
        <v>505.78</v>
      </c>
      <c r="J575" s="6">
        <v>505.78</v>
      </c>
      <c r="K575" s="37" t="s">
        <v>790</v>
      </c>
      <c r="L575" s="119"/>
      <c r="M575" s="3"/>
    </row>
    <row r="576" spans="1:13" s="4" customFormat="1" ht="14.25" customHeight="1" x14ac:dyDescent="0.25">
      <c r="A576" s="4" t="s">
        <v>1114</v>
      </c>
      <c r="B576" s="4" t="s">
        <v>38</v>
      </c>
      <c r="C576" s="4" t="s">
        <v>14</v>
      </c>
      <c r="D576" s="35">
        <v>743</v>
      </c>
      <c r="E576" s="4" t="s">
        <v>1115</v>
      </c>
      <c r="F576" s="5">
        <v>39448</v>
      </c>
      <c r="G576" s="5">
        <v>39813</v>
      </c>
      <c r="H576" s="4" t="s">
        <v>40</v>
      </c>
      <c r="I576" s="6">
        <v>2200.9299999999998</v>
      </c>
      <c r="J576" s="6">
        <v>2200.9299999999998</v>
      </c>
      <c r="K576" s="37" t="s">
        <v>790</v>
      </c>
      <c r="L576" s="119"/>
      <c r="M576" s="3"/>
    </row>
    <row r="577" spans="1:13" s="4" customFormat="1" ht="14.25" customHeight="1" x14ac:dyDescent="0.25">
      <c r="A577" s="4" t="s">
        <v>1116</v>
      </c>
      <c r="B577" s="4" t="s">
        <v>38</v>
      </c>
      <c r="C577" s="4" t="s">
        <v>14</v>
      </c>
      <c r="D577" s="35">
        <v>745</v>
      </c>
      <c r="E577" s="4" t="s">
        <v>1117</v>
      </c>
      <c r="F577" s="5">
        <v>39083</v>
      </c>
      <c r="G577" s="5">
        <v>39447</v>
      </c>
      <c r="H577" s="4" t="s">
        <v>40</v>
      </c>
      <c r="I577" s="6">
        <v>560</v>
      </c>
      <c r="J577" s="6">
        <v>560</v>
      </c>
      <c r="K577" s="37" t="s">
        <v>790</v>
      </c>
      <c r="L577" s="119"/>
      <c r="M577" s="3"/>
    </row>
    <row r="578" spans="1:13" s="4" customFormat="1" ht="14.25" customHeight="1" x14ac:dyDescent="0.25">
      <c r="A578" s="4" t="s">
        <v>1118</v>
      </c>
      <c r="B578" s="4" t="s">
        <v>38</v>
      </c>
      <c r="C578" s="4" t="s">
        <v>14</v>
      </c>
      <c r="D578" s="35">
        <v>764</v>
      </c>
      <c r="E578" s="4" t="s">
        <v>1119</v>
      </c>
      <c r="F578" s="5">
        <v>39448</v>
      </c>
      <c r="G578" s="5">
        <v>39813</v>
      </c>
      <c r="H578" s="4" t="s">
        <v>40</v>
      </c>
      <c r="I578" s="6">
        <v>998.28</v>
      </c>
      <c r="J578" s="6">
        <v>998.28</v>
      </c>
      <c r="K578" s="37" t="s">
        <v>790</v>
      </c>
      <c r="L578" s="119"/>
      <c r="M578" s="3"/>
    </row>
    <row r="579" spans="1:13" s="4" customFormat="1" ht="14.25" customHeight="1" x14ac:dyDescent="0.25">
      <c r="A579" s="4" t="s">
        <v>1120</v>
      </c>
      <c r="B579" s="4" t="s">
        <v>38</v>
      </c>
      <c r="C579" s="4" t="s">
        <v>14</v>
      </c>
      <c r="D579" s="35">
        <v>768</v>
      </c>
      <c r="E579" s="4" t="s">
        <v>1121</v>
      </c>
      <c r="F579" s="5">
        <v>39083</v>
      </c>
      <c r="G579" s="5">
        <v>39813</v>
      </c>
      <c r="H579" s="4" t="s">
        <v>40</v>
      </c>
      <c r="I579" s="6">
        <v>6296.38</v>
      </c>
      <c r="J579" s="6">
        <v>6296.38</v>
      </c>
      <c r="K579" s="37" t="s">
        <v>790</v>
      </c>
      <c r="L579" s="119"/>
      <c r="M579" s="3"/>
    </row>
    <row r="580" spans="1:13" s="4" customFormat="1" ht="14.25" customHeight="1" x14ac:dyDescent="0.25">
      <c r="A580" s="4" t="s">
        <v>1122</v>
      </c>
      <c r="B580" s="4" t="s">
        <v>38</v>
      </c>
      <c r="C580" s="4" t="s">
        <v>14</v>
      </c>
      <c r="D580" s="35">
        <v>769</v>
      </c>
      <c r="E580" s="4" t="s">
        <v>1123</v>
      </c>
      <c r="F580" s="5">
        <v>39083</v>
      </c>
      <c r="G580" s="5">
        <v>39813</v>
      </c>
      <c r="H580" s="4" t="s">
        <v>40</v>
      </c>
      <c r="I580" s="6">
        <v>46673.5</v>
      </c>
      <c r="J580" s="6">
        <v>46673.5</v>
      </c>
      <c r="K580" s="37" t="s">
        <v>790</v>
      </c>
      <c r="L580" s="119"/>
      <c r="M580" s="3"/>
    </row>
    <row r="581" spans="1:13" s="4" customFormat="1" ht="14.25" customHeight="1" x14ac:dyDescent="0.25">
      <c r="A581" s="4" t="s">
        <v>1124</v>
      </c>
      <c r="B581" s="4" t="s">
        <v>38</v>
      </c>
      <c r="C581" s="4" t="s">
        <v>14</v>
      </c>
      <c r="D581" s="35">
        <v>771</v>
      </c>
      <c r="E581" s="4" t="s">
        <v>1125</v>
      </c>
      <c r="F581" s="5">
        <v>39448</v>
      </c>
      <c r="G581" s="5">
        <v>40178</v>
      </c>
      <c r="H581" s="4" t="s">
        <v>40</v>
      </c>
      <c r="I581" s="6">
        <v>33763.050000000003</v>
      </c>
      <c r="J581" s="6">
        <v>33763.050000000003</v>
      </c>
      <c r="K581" s="37" t="s">
        <v>790</v>
      </c>
      <c r="L581" s="119"/>
      <c r="M581" s="3"/>
    </row>
    <row r="582" spans="1:13" s="4" customFormat="1" ht="14.25" customHeight="1" x14ac:dyDescent="0.25">
      <c r="A582" s="4" t="s">
        <v>1126</v>
      </c>
      <c r="B582" s="4" t="s">
        <v>38</v>
      </c>
      <c r="C582" s="4" t="s">
        <v>14</v>
      </c>
      <c r="D582" s="35">
        <v>778</v>
      </c>
      <c r="E582" s="4" t="s">
        <v>1127</v>
      </c>
      <c r="F582" s="5">
        <v>39083</v>
      </c>
      <c r="G582" s="5">
        <v>39447</v>
      </c>
      <c r="H582" s="4" t="s">
        <v>40</v>
      </c>
      <c r="I582" s="6">
        <v>14914.65</v>
      </c>
      <c r="J582" s="6">
        <v>14914.65</v>
      </c>
      <c r="K582" s="37" t="s">
        <v>790</v>
      </c>
      <c r="L582" s="119"/>
      <c r="M582" s="3"/>
    </row>
    <row r="583" spans="1:13" s="4" customFormat="1" ht="14.25" customHeight="1" x14ac:dyDescent="0.25">
      <c r="A583" s="4" t="s">
        <v>1128</v>
      </c>
      <c r="B583" s="4" t="s">
        <v>38</v>
      </c>
      <c r="C583" s="4" t="s">
        <v>14</v>
      </c>
      <c r="D583" s="35">
        <v>780</v>
      </c>
      <c r="E583" s="4" t="s">
        <v>1129</v>
      </c>
      <c r="F583" s="5">
        <v>39083</v>
      </c>
      <c r="G583" s="5">
        <v>39447</v>
      </c>
      <c r="H583" s="4" t="s">
        <v>40</v>
      </c>
      <c r="I583" s="6">
        <v>2500</v>
      </c>
      <c r="J583" s="6">
        <v>2500</v>
      </c>
      <c r="K583" s="37" t="s">
        <v>790</v>
      </c>
      <c r="L583" s="119"/>
      <c r="M583" s="3"/>
    </row>
    <row r="584" spans="1:13" s="4" customFormat="1" ht="14.25" customHeight="1" x14ac:dyDescent="0.25">
      <c r="A584" s="4" t="s">
        <v>1130</v>
      </c>
      <c r="B584" s="4" t="s">
        <v>38</v>
      </c>
      <c r="C584" s="4" t="s">
        <v>14</v>
      </c>
      <c r="D584" s="35">
        <v>782</v>
      </c>
      <c r="E584" s="4" t="s">
        <v>1131</v>
      </c>
      <c r="F584" s="5">
        <v>39083</v>
      </c>
      <c r="G584" s="5">
        <v>39447</v>
      </c>
      <c r="H584" s="4" t="s">
        <v>40</v>
      </c>
      <c r="I584" s="6">
        <v>14070.85</v>
      </c>
      <c r="J584" s="6">
        <v>14070.85</v>
      </c>
      <c r="K584" s="37" t="s">
        <v>790</v>
      </c>
      <c r="L584" s="119"/>
      <c r="M584" s="3"/>
    </row>
    <row r="585" spans="1:13" s="4" customFormat="1" ht="14.25" customHeight="1" x14ac:dyDescent="0.25">
      <c r="A585" s="4" t="s">
        <v>1132</v>
      </c>
      <c r="B585" s="4" t="s">
        <v>38</v>
      </c>
      <c r="C585" s="4" t="s">
        <v>14</v>
      </c>
      <c r="D585" s="35">
        <v>786</v>
      </c>
      <c r="E585" s="4" t="s">
        <v>1133</v>
      </c>
      <c r="F585" s="5">
        <v>39083</v>
      </c>
      <c r="G585" s="5">
        <v>40178</v>
      </c>
      <c r="H585" s="4" t="s">
        <v>40</v>
      </c>
      <c r="I585" s="6">
        <v>9234.4</v>
      </c>
      <c r="J585" s="6">
        <v>9234.4</v>
      </c>
      <c r="K585" s="37" t="s">
        <v>790</v>
      </c>
      <c r="L585" s="119"/>
      <c r="M585" s="3"/>
    </row>
    <row r="586" spans="1:13" s="4" customFormat="1" ht="14.25" customHeight="1" x14ac:dyDescent="0.25">
      <c r="A586" s="4" t="s">
        <v>1134</v>
      </c>
      <c r="B586" s="4" t="s">
        <v>38</v>
      </c>
      <c r="C586" s="4" t="s">
        <v>14</v>
      </c>
      <c r="D586" s="35">
        <v>790</v>
      </c>
      <c r="E586" s="4" t="s">
        <v>1135</v>
      </c>
      <c r="F586" s="5">
        <v>39083</v>
      </c>
      <c r="G586" s="5">
        <v>39447</v>
      </c>
      <c r="H586" s="4" t="s">
        <v>40</v>
      </c>
      <c r="I586" s="6">
        <v>26910.75</v>
      </c>
      <c r="J586" s="6">
        <v>26910.75</v>
      </c>
      <c r="K586" s="37" t="s">
        <v>790</v>
      </c>
      <c r="L586" s="119"/>
      <c r="M586" s="3"/>
    </row>
    <row r="587" spans="1:13" s="4" customFormat="1" ht="14.25" customHeight="1" x14ac:dyDescent="0.25">
      <c r="A587" s="4" t="s">
        <v>1136</v>
      </c>
      <c r="B587" s="4" t="s">
        <v>38</v>
      </c>
      <c r="C587" s="4" t="s">
        <v>14</v>
      </c>
      <c r="D587" s="35">
        <v>793</v>
      </c>
      <c r="E587" s="4" t="s">
        <v>1137</v>
      </c>
      <c r="F587" s="5">
        <v>39448</v>
      </c>
      <c r="G587" s="5">
        <v>39813</v>
      </c>
      <c r="H587" s="4" t="s">
        <v>40</v>
      </c>
      <c r="I587" s="6">
        <v>13293.21</v>
      </c>
      <c r="J587" s="6">
        <v>13293.21</v>
      </c>
      <c r="K587" s="37" t="s">
        <v>790</v>
      </c>
      <c r="L587" s="119"/>
      <c r="M587" s="3"/>
    </row>
    <row r="588" spans="1:13" s="4" customFormat="1" ht="14.25" customHeight="1" x14ac:dyDescent="0.25">
      <c r="A588" s="4" t="s">
        <v>1138</v>
      </c>
      <c r="B588" s="4" t="s">
        <v>38</v>
      </c>
      <c r="C588" s="4" t="s">
        <v>14</v>
      </c>
      <c r="D588" s="35">
        <v>796</v>
      </c>
      <c r="E588" s="4" t="s">
        <v>1139</v>
      </c>
      <c r="F588" s="5">
        <v>39083</v>
      </c>
      <c r="G588" s="5">
        <v>39813</v>
      </c>
      <c r="H588" s="4" t="s">
        <v>40</v>
      </c>
      <c r="I588" s="6">
        <v>7443.13</v>
      </c>
      <c r="J588" s="6">
        <v>7443.13</v>
      </c>
      <c r="K588" s="37" t="s">
        <v>790</v>
      </c>
      <c r="L588" s="119"/>
      <c r="M588" s="3"/>
    </row>
    <row r="589" spans="1:13" s="4" customFormat="1" ht="14.25" customHeight="1" x14ac:dyDescent="0.25">
      <c r="A589" s="4" t="s">
        <v>1140</v>
      </c>
      <c r="B589" s="4" t="s">
        <v>38</v>
      </c>
      <c r="C589" s="4" t="s">
        <v>14</v>
      </c>
      <c r="D589" s="35">
        <v>798</v>
      </c>
      <c r="E589" s="4" t="s">
        <v>1141</v>
      </c>
      <c r="F589" s="5">
        <v>39083</v>
      </c>
      <c r="G589" s="5">
        <v>39813</v>
      </c>
      <c r="H589" s="4" t="s">
        <v>40</v>
      </c>
      <c r="I589" s="6">
        <v>3574.85</v>
      </c>
      <c r="J589" s="6">
        <v>3574.85</v>
      </c>
      <c r="K589" s="37" t="s">
        <v>790</v>
      </c>
      <c r="L589" s="119"/>
      <c r="M589" s="3"/>
    </row>
    <row r="590" spans="1:13" s="4" customFormat="1" ht="14.25" customHeight="1" x14ac:dyDescent="0.25">
      <c r="A590" s="4" t="s">
        <v>1142</v>
      </c>
      <c r="B590" s="4" t="s">
        <v>38</v>
      </c>
      <c r="C590" s="4" t="s">
        <v>14</v>
      </c>
      <c r="D590" s="35">
        <v>799</v>
      </c>
      <c r="E590" s="4" t="s">
        <v>1143</v>
      </c>
      <c r="F590" s="5">
        <v>39083</v>
      </c>
      <c r="G590" s="5">
        <v>40178</v>
      </c>
      <c r="H590" s="4" t="s">
        <v>40</v>
      </c>
      <c r="I590" s="6">
        <v>9617.41</v>
      </c>
      <c r="J590" s="6">
        <v>9617.41</v>
      </c>
      <c r="K590" s="37" t="s">
        <v>790</v>
      </c>
      <c r="L590" s="119"/>
      <c r="M590" s="3"/>
    </row>
    <row r="591" spans="1:13" s="4" customFormat="1" ht="14.25" customHeight="1" x14ac:dyDescent="0.25">
      <c r="A591" s="4" t="s">
        <v>1144</v>
      </c>
      <c r="B591" s="4" t="s">
        <v>38</v>
      </c>
      <c r="C591" s="4" t="s">
        <v>14</v>
      </c>
      <c r="D591" s="35">
        <v>800</v>
      </c>
      <c r="E591" s="4" t="s">
        <v>1145</v>
      </c>
      <c r="F591" s="5">
        <v>39083</v>
      </c>
      <c r="G591" s="5">
        <v>39813</v>
      </c>
      <c r="H591" s="4" t="s">
        <v>40</v>
      </c>
      <c r="I591" s="6">
        <v>2634.85</v>
      </c>
      <c r="J591" s="6">
        <v>2634.85</v>
      </c>
      <c r="K591" s="37" t="s">
        <v>790</v>
      </c>
      <c r="L591" s="119"/>
      <c r="M591" s="3"/>
    </row>
    <row r="592" spans="1:13" s="4" customFormat="1" ht="14.25" customHeight="1" x14ac:dyDescent="0.25">
      <c r="A592" s="4" t="s">
        <v>1146</v>
      </c>
      <c r="B592" s="4" t="s">
        <v>38</v>
      </c>
      <c r="C592" s="4" t="s">
        <v>14</v>
      </c>
      <c r="D592" s="35">
        <v>804</v>
      </c>
      <c r="E592" s="4" t="s">
        <v>1147</v>
      </c>
      <c r="F592" s="5">
        <v>39083</v>
      </c>
      <c r="G592" s="5">
        <v>39447</v>
      </c>
      <c r="H592" s="4" t="s">
        <v>40</v>
      </c>
      <c r="I592" s="6">
        <v>1700</v>
      </c>
      <c r="J592" s="6">
        <v>1700</v>
      </c>
      <c r="K592" s="37" t="s">
        <v>790</v>
      </c>
      <c r="L592" s="119"/>
      <c r="M592" s="3"/>
    </row>
    <row r="593" spans="1:13" s="4" customFormat="1" ht="14.25" customHeight="1" x14ac:dyDescent="0.25">
      <c r="A593" s="4" t="s">
        <v>1148</v>
      </c>
      <c r="B593" s="4" t="s">
        <v>38</v>
      </c>
      <c r="C593" s="4" t="s">
        <v>14</v>
      </c>
      <c r="D593" s="35">
        <v>805</v>
      </c>
      <c r="E593" s="4" t="s">
        <v>1149</v>
      </c>
      <c r="F593" s="5">
        <v>39448</v>
      </c>
      <c r="G593" s="5">
        <v>39813</v>
      </c>
      <c r="H593" s="4" t="s">
        <v>40</v>
      </c>
      <c r="I593" s="6">
        <v>6600</v>
      </c>
      <c r="J593" s="6">
        <v>6600</v>
      </c>
      <c r="K593" s="37" t="s">
        <v>790</v>
      </c>
      <c r="L593" s="119"/>
      <c r="M593" s="3"/>
    </row>
    <row r="594" spans="1:13" s="4" customFormat="1" ht="14.25" customHeight="1" x14ac:dyDescent="0.25">
      <c r="A594" s="4" t="s">
        <v>1150</v>
      </c>
      <c r="B594" s="4" t="s">
        <v>38</v>
      </c>
      <c r="C594" s="4" t="s">
        <v>14</v>
      </c>
      <c r="D594" s="35">
        <v>810</v>
      </c>
      <c r="E594" s="4" t="s">
        <v>1151</v>
      </c>
      <c r="F594" s="5">
        <v>39083</v>
      </c>
      <c r="G594" s="5">
        <v>39447</v>
      </c>
      <c r="H594" s="4" t="s">
        <v>40</v>
      </c>
      <c r="I594" s="6">
        <v>2796.65</v>
      </c>
      <c r="J594" s="6">
        <v>2796.65</v>
      </c>
      <c r="K594" s="37" t="s">
        <v>790</v>
      </c>
      <c r="L594" s="119"/>
      <c r="M594" s="3"/>
    </row>
    <row r="595" spans="1:13" s="4" customFormat="1" ht="14.25" customHeight="1" x14ac:dyDescent="0.25">
      <c r="A595" s="4" t="s">
        <v>1152</v>
      </c>
      <c r="B595" s="4" t="s">
        <v>38</v>
      </c>
      <c r="C595" s="4" t="s">
        <v>14</v>
      </c>
      <c r="D595" s="35">
        <v>811</v>
      </c>
      <c r="E595" s="4" t="s">
        <v>1151</v>
      </c>
      <c r="F595" s="5">
        <v>39448</v>
      </c>
      <c r="G595" s="5">
        <v>39813</v>
      </c>
      <c r="H595" s="4" t="s">
        <v>40</v>
      </c>
      <c r="I595" s="6">
        <v>4959.3100000000004</v>
      </c>
      <c r="J595" s="6">
        <v>4959.3100000000004</v>
      </c>
      <c r="K595" s="37" t="s">
        <v>790</v>
      </c>
      <c r="L595" s="119"/>
      <c r="M595" s="3"/>
    </row>
    <row r="596" spans="1:13" s="4" customFormat="1" ht="14.25" customHeight="1" x14ac:dyDescent="0.25">
      <c r="A596" s="4" t="s">
        <v>1153</v>
      </c>
      <c r="B596" s="4" t="s">
        <v>38</v>
      </c>
      <c r="C596" s="4" t="s">
        <v>14</v>
      </c>
      <c r="D596" s="35">
        <v>813</v>
      </c>
      <c r="E596" s="7" t="s">
        <v>1154</v>
      </c>
      <c r="F596" s="5">
        <v>39083</v>
      </c>
      <c r="G596" s="5">
        <v>40178</v>
      </c>
      <c r="H596" s="4" t="s">
        <v>40</v>
      </c>
      <c r="I596" s="6">
        <v>15981</v>
      </c>
      <c r="J596" s="6">
        <v>15981</v>
      </c>
      <c r="K596" s="37" t="s">
        <v>790</v>
      </c>
      <c r="L596" s="119"/>
      <c r="M596" s="3"/>
    </row>
    <row r="597" spans="1:13" s="4" customFormat="1" ht="14.25" customHeight="1" x14ac:dyDescent="0.25">
      <c r="A597" s="4" t="s">
        <v>1155</v>
      </c>
      <c r="B597" s="4" t="s">
        <v>38</v>
      </c>
      <c r="C597" s="4" t="s">
        <v>14</v>
      </c>
      <c r="D597" s="35">
        <v>815</v>
      </c>
      <c r="E597" s="4" t="s">
        <v>1156</v>
      </c>
      <c r="F597" s="5">
        <v>39083</v>
      </c>
      <c r="G597" s="5">
        <v>39813</v>
      </c>
      <c r="H597" s="4" t="s">
        <v>40</v>
      </c>
      <c r="I597" s="6">
        <v>5000</v>
      </c>
      <c r="J597" s="6">
        <v>5000</v>
      </c>
      <c r="K597" s="37" t="s">
        <v>790</v>
      </c>
      <c r="L597" s="119"/>
      <c r="M597" s="3"/>
    </row>
    <row r="598" spans="1:13" s="4" customFormat="1" ht="14.25" customHeight="1" x14ac:dyDescent="0.25">
      <c r="A598" s="4" t="s">
        <v>1157</v>
      </c>
      <c r="B598" s="4" t="s">
        <v>38</v>
      </c>
      <c r="C598" s="4" t="s">
        <v>14</v>
      </c>
      <c r="D598" s="35">
        <v>816</v>
      </c>
      <c r="E598" s="4" t="s">
        <v>1158</v>
      </c>
      <c r="F598" s="5">
        <v>39083</v>
      </c>
      <c r="G598" s="5">
        <v>40178</v>
      </c>
      <c r="H598" s="4" t="s">
        <v>40</v>
      </c>
      <c r="I598" s="6">
        <v>38126.300000000003</v>
      </c>
      <c r="J598" s="6">
        <v>38126.300000000003</v>
      </c>
      <c r="K598" s="37" t="s">
        <v>790</v>
      </c>
      <c r="L598" s="119"/>
      <c r="M598" s="3"/>
    </row>
    <row r="599" spans="1:13" s="4" customFormat="1" ht="14.25" customHeight="1" x14ac:dyDescent="0.25">
      <c r="A599" s="4" t="s">
        <v>1159</v>
      </c>
      <c r="B599" s="4" t="s">
        <v>38</v>
      </c>
      <c r="C599" s="4" t="s">
        <v>14</v>
      </c>
      <c r="D599" s="35">
        <v>818</v>
      </c>
      <c r="E599" s="4" t="s">
        <v>1160</v>
      </c>
      <c r="F599" s="5">
        <v>39448</v>
      </c>
      <c r="G599" s="5">
        <v>39813</v>
      </c>
      <c r="H599" s="4" t="s">
        <v>40</v>
      </c>
      <c r="I599" s="6">
        <v>38112.239999999998</v>
      </c>
      <c r="J599" s="6">
        <v>38112.239999999998</v>
      </c>
      <c r="K599" s="37" t="s">
        <v>790</v>
      </c>
      <c r="L599" s="119"/>
      <c r="M599" s="3"/>
    </row>
    <row r="600" spans="1:13" s="4" customFormat="1" ht="14.25" customHeight="1" x14ac:dyDescent="0.25">
      <c r="A600" s="4" t="s">
        <v>1161</v>
      </c>
      <c r="B600" s="4" t="s">
        <v>38</v>
      </c>
      <c r="C600" s="4" t="s">
        <v>14</v>
      </c>
      <c r="D600" s="35">
        <v>820</v>
      </c>
      <c r="E600" s="4" t="s">
        <v>1162</v>
      </c>
      <c r="F600" s="5">
        <v>39083</v>
      </c>
      <c r="G600" s="5">
        <v>39813</v>
      </c>
      <c r="H600" s="4" t="s">
        <v>40</v>
      </c>
      <c r="I600" s="6">
        <v>5570</v>
      </c>
      <c r="J600" s="6">
        <v>5570</v>
      </c>
      <c r="K600" s="37" t="s">
        <v>790</v>
      </c>
      <c r="L600" s="119"/>
      <c r="M600" s="3"/>
    </row>
    <row r="601" spans="1:13" s="4" customFormat="1" ht="14.25" customHeight="1" x14ac:dyDescent="0.25">
      <c r="A601" s="4" t="s">
        <v>1163</v>
      </c>
      <c r="B601" s="4" t="s">
        <v>90</v>
      </c>
      <c r="C601" s="4" t="s">
        <v>14</v>
      </c>
      <c r="D601" s="35">
        <v>826</v>
      </c>
      <c r="E601" s="4" t="s">
        <v>1164</v>
      </c>
      <c r="F601" s="5">
        <v>39083</v>
      </c>
      <c r="G601" s="5">
        <v>39447</v>
      </c>
      <c r="H601" s="4" t="s">
        <v>40</v>
      </c>
      <c r="I601" s="6">
        <v>873.34</v>
      </c>
      <c r="J601" s="6">
        <v>873.34</v>
      </c>
      <c r="K601" s="37" t="s">
        <v>790</v>
      </c>
      <c r="L601" s="119"/>
      <c r="M601" s="3"/>
    </row>
    <row r="602" spans="1:13" s="4" customFormat="1" ht="14.25" customHeight="1" x14ac:dyDescent="0.25">
      <c r="A602" s="4" t="s">
        <v>1165</v>
      </c>
      <c r="B602" s="4" t="s">
        <v>38</v>
      </c>
      <c r="C602" s="4" t="s">
        <v>14</v>
      </c>
      <c r="D602" s="35">
        <v>829</v>
      </c>
      <c r="E602" s="4" t="s">
        <v>1166</v>
      </c>
      <c r="F602" s="5">
        <v>39448</v>
      </c>
      <c r="G602" s="5">
        <v>39813</v>
      </c>
      <c r="H602" s="4" t="s">
        <v>40</v>
      </c>
      <c r="I602" s="6">
        <v>2334.1999999999998</v>
      </c>
      <c r="J602" s="6">
        <v>2334.1999999999998</v>
      </c>
      <c r="K602" s="37" t="s">
        <v>790</v>
      </c>
      <c r="L602" s="119"/>
      <c r="M602" s="3"/>
    </row>
    <row r="603" spans="1:13" s="4" customFormat="1" ht="14.25" customHeight="1" x14ac:dyDescent="0.25">
      <c r="A603" s="4" t="s">
        <v>1167</v>
      </c>
      <c r="B603" s="4" t="s">
        <v>38</v>
      </c>
      <c r="C603" s="4" t="s">
        <v>14</v>
      </c>
      <c r="D603" s="35">
        <v>830</v>
      </c>
      <c r="E603" s="4" t="s">
        <v>1168</v>
      </c>
      <c r="F603" s="5">
        <v>39083</v>
      </c>
      <c r="G603" s="5">
        <v>39447</v>
      </c>
      <c r="H603" s="4" t="s">
        <v>40</v>
      </c>
      <c r="I603" s="6">
        <v>2070.58</v>
      </c>
      <c r="J603" s="6">
        <v>2070.58</v>
      </c>
      <c r="K603" s="37" t="s">
        <v>790</v>
      </c>
      <c r="L603" s="119"/>
      <c r="M603" s="3"/>
    </row>
    <row r="604" spans="1:13" s="4" customFormat="1" ht="14.25" customHeight="1" x14ac:dyDescent="0.25">
      <c r="A604" s="4" t="s">
        <v>1169</v>
      </c>
      <c r="B604" s="4" t="s">
        <v>38</v>
      </c>
      <c r="C604" s="4" t="s">
        <v>14</v>
      </c>
      <c r="D604" s="35">
        <v>833</v>
      </c>
      <c r="E604" s="4" t="s">
        <v>1170</v>
      </c>
      <c r="F604" s="5">
        <v>39448</v>
      </c>
      <c r="G604" s="5">
        <v>39813</v>
      </c>
      <c r="H604" s="4" t="s">
        <v>40</v>
      </c>
      <c r="I604" s="6">
        <v>1504</v>
      </c>
      <c r="J604" s="6">
        <v>1504</v>
      </c>
      <c r="K604" s="37" t="s">
        <v>790</v>
      </c>
      <c r="L604" s="119"/>
      <c r="M604" s="3"/>
    </row>
    <row r="605" spans="1:13" s="4" customFormat="1" ht="14.25" customHeight="1" x14ac:dyDescent="0.25">
      <c r="A605" s="4" t="s">
        <v>1171</v>
      </c>
      <c r="B605" s="4" t="s">
        <v>38</v>
      </c>
      <c r="C605" s="4" t="s">
        <v>14</v>
      </c>
      <c r="D605" s="35">
        <v>835</v>
      </c>
      <c r="E605" s="4" t="s">
        <v>1172</v>
      </c>
      <c r="F605" s="5">
        <v>39448</v>
      </c>
      <c r="G605" s="5">
        <v>39813</v>
      </c>
      <c r="H605" s="4" t="s">
        <v>40</v>
      </c>
      <c r="I605" s="6">
        <v>0</v>
      </c>
      <c r="J605" s="6">
        <v>0</v>
      </c>
      <c r="K605" s="37" t="s">
        <v>790</v>
      </c>
      <c r="L605" s="119"/>
      <c r="M605" s="3"/>
    </row>
    <row r="606" spans="1:13" s="4" customFormat="1" ht="14.25" customHeight="1" x14ac:dyDescent="0.25">
      <c r="A606" s="4" t="s">
        <v>1173</v>
      </c>
      <c r="B606" s="4" t="s">
        <v>38</v>
      </c>
      <c r="C606" s="4" t="s">
        <v>14</v>
      </c>
      <c r="D606" s="35">
        <v>840</v>
      </c>
      <c r="E606" s="4" t="s">
        <v>1174</v>
      </c>
      <c r="F606" s="5">
        <v>39448</v>
      </c>
      <c r="G606" s="5">
        <v>39813</v>
      </c>
      <c r="H606" s="4" t="s">
        <v>40</v>
      </c>
      <c r="I606" s="6">
        <v>3630</v>
      </c>
      <c r="J606" s="6">
        <v>3630</v>
      </c>
      <c r="K606" s="37" t="s">
        <v>790</v>
      </c>
      <c r="L606" s="119"/>
      <c r="M606" s="3"/>
    </row>
    <row r="607" spans="1:13" s="4" customFormat="1" ht="14.25" customHeight="1" x14ac:dyDescent="0.25">
      <c r="A607" s="4" t="s">
        <v>1175</v>
      </c>
      <c r="B607" s="4" t="s">
        <v>38</v>
      </c>
      <c r="C607" s="4" t="s">
        <v>14</v>
      </c>
      <c r="D607" s="35">
        <v>842</v>
      </c>
      <c r="E607" s="4" t="s">
        <v>1176</v>
      </c>
      <c r="F607" s="5">
        <v>39083</v>
      </c>
      <c r="G607" s="5">
        <v>40543</v>
      </c>
      <c r="H607" s="4" t="s">
        <v>40</v>
      </c>
      <c r="I607" s="6">
        <v>16655</v>
      </c>
      <c r="J607" s="6">
        <v>16655</v>
      </c>
      <c r="K607" s="37" t="s">
        <v>790</v>
      </c>
      <c r="L607" s="119"/>
      <c r="M607" s="3"/>
    </row>
    <row r="608" spans="1:13" s="4" customFormat="1" ht="14.25" customHeight="1" x14ac:dyDescent="0.25">
      <c r="A608" s="4" t="s">
        <v>1177</v>
      </c>
      <c r="B608" s="4" t="s">
        <v>38</v>
      </c>
      <c r="C608" s="4" t="s">
        <v>14</v>
      </c>
      <c r="D608" s="35">
        <v>844</v>
      </c>
      <c r="E608" s="7" t="s">
        <v>1178</v>
      </c>
      <c r="F608" s="5">
        <v>39083</v>
      </c>
      <c r="G608" s="5">
        <v>40178</v>
      </c>
      <c r="H608" s="4" t="s">
        <v>40</v>
      </c>
      <c r="I608" s="6">
        <v>6143.34</v>
      </c>
      <c r="J608" s="6">
        <v>6143.34</v>
      </c>
      <c r="K608" s="37" t="s">
        <v>790</v>
      </c>
      <c r="L608" s="119"/>
      <c r="M608" s="3"/>
    </row>
    <row r="609" spans="1:13" s="4" customFormat="1" ht="14.25" customHeight="1" x14ac:dyDescent="0.25">
      <c r="A609" s="4" t="s">
        <v>1179</v>
      </c>
      <c r="B609" s="4" t="s">
        <v>38</v>
      </c>
      <c r="C609" s="4" t="s">
        <v>14</v>
      </c>
      <c r="D609" s="35">
        <v>846</v>
      </c>
      <c r="E609" s="4" t="s">
        <v>1180</v>
      </c>
      <c r="F609" s="5">
        <v>39083</v>
      </c>
      <c r="G609" s="5">
        <v>39447</v>
      </c>
      <c r="H609" s="4" t="s">
        <v>40</v>
      </c>
      <c r="I609" s="6">
        <v>4080</v>
      </c>
      <c r="J609" s="6">
        <v>4080</v>
      </c>
      <c r="K609" s="37" t="s">
        <v>790</v>
      </c>
      <c r="L609" s="119"/>
      <c r="M609" s="3"/>
    </row>
    <row r="610" spans="1:13" s="4" customFormat="1" ht="14.25" customHeight="1" x14ac:dyDescent="0.25">
      <c r="A610" s="4" t="s">
        <v>1181</v>
      </c>
      <c r="B610" s="4" t="s">
        <v>38</v>
      </c>
      <c r="C610" s="4" t="s">
        <v>14</v>
      </c>
      <c r="D610" s="35">
        <v>849</v>
      </c>
      <c r="E610" s="4" t="s">
        <v>1182</v>
      </c>
      <c r="F610" s="5">
        <v>39083</v>
      </c>
      <c r="G610" s="5">
        <v>39813</v>
      </c>
      <c r="H610" s="4" t="s">
        <v>40</v>
      </c>
      <c r="I610" s="6">
        <v>6346.92</v>
      </c>
      <c r="J610" s="6">
        <v>6346.92</v>
      </c>
      <c r="K610" s="37" t="s">
        <v>790</v>
      </c>
      <c r="L610" s="119"/>
      <c r="M610" s="3"/>
    </row>
    <row r="611" spans="1:13" s="4" customFormat="1" ht="14.25" customHeight="1" x14ac:dyDescent="0.25">
      <c r="A611" s="4" t="s">
        <v>1183</v>
      </c>
      <c r="B611" s="4" t="s">
        <v>38</v>
      </c>
      <c r="C611" s="4" t="s">
        <v>14</v>
      </c>
      <c r="D611" s="35">
        <v>850</v>
      </c>
      <c r="E611" s="4" t="s">
        <v>1184</v>
      </c>
      <c r="F611" s="5">
        <v>39083</v>
      </c>
      <c r="G611" s="5">
        <v>39447</v>
      </c>
      <c r="H611" s="4" t="s">
        <v>40</v>
      </c>
      <c r="I611" s="6">
        <v>1128.9000000000001</v>
      </c>
      <c r="J611" s="6">
        <v>1128.9000000000001</v>
      </c>
      <c r="K611" s="37" t="s">
        <v>790</v>
      </c>
      <c r="L611" s="119"/>
      <c r="M611" s="3"/>
    </row>
    <row r="612" spans="1:13" s="4" customFormat="1" ht="14.25" customHeight="1" x14ac:dyDescent="0.25">
      <c r="A612" s="4" t="s">
        <v>1185</v>
      </c>
      <c r="B612" s="4" t="s">
        <v>38</v>
      </c>
      <c r="C612" s="4" t="s">
        <v>14</v>
      </c>
      <c r="D612" s="35">
        <v>852</v>
      </c>
      <c r="E612" s="4" t="s">
        <v>1186</v>
      </c>
      <c r="F612" s="5">
        <v>39448</v>
      </c>
      <c r="G612" s="5">
        <v>39813</v>
      </c>
      <c r="H612" s="4" t="s">
        <v>40</v>
      </c>
      <c r="I612" s="6">
        <v>3532.82</v>
      </c>
      <c r="J612" s="6">
        <v>3532.82</v>
      </c>
      <c r="K612" s="37" t="s">
        <v>790</v>
      </c>
      <c r="L612" s="119"/>
      <c r="M612" s="3"/>
    </row>
    <row r="613" spans="1:13" s="4" customFormat="1" ht="14.25" customHeight="1" x14ac:dyDescent="0.25">
      <c r="A613" s="4" t="s">
        <v>1187</v>
      </c>
      <c r="B613" s="4" t="s">
        <v>38</v>
      </c>
      <c r="C613" s="4" t="s">
        <v>14</v>
      </c>
      <c r="D613" s="35">
        <v>853</v>
      </c>
      <c r="E613" s="4" t="s">
        <v>1188</v>
      </c>
      <c r="F613" s="5">
        <v>39448</v>
      </c>
      <c r="G613" s="5">
        <v>39813</v>
      </c>
      <c r="H613" s="4" t="s">
        <v>40</v>
      </c>
      <c r="I613" s="6">
        <v>300</v>
      </c>
      <c r="J613" s="6">
        <v>300</v>
      </c>
      <c r="K613" s="37" t="s">
        <v>790</v>
      </c>
      <c r="L613" s="119"/>
      <c r="M613" s="3"/>
    </row>
    <row r="614" spans="1:13" s="4" customFormat="1" ht="14.25" customHeight="1" x14ac:dyDescent="0.25">
      <c r="A614" s="4" t="s">
        <v>1189</v>
      </c>
      <c r="B614" s="4" t="s">
        <v>38</v>
      </c>
      <c r="C614" s="4" t="s">
        <v>14</v>
      </c>
      <c r="D614" s="35">
        <v>854</v>
      </c>
      <c r="E614" s="4" t="s">
        <v>1190</v>
      </c>
      <c r="F614" s="5">
        <v>39083</v>
      </c>
      <c r="G614" s="5">
        <v>39447</v>
      </c>
      <c r="H614" s="4" t="s">
        <v>40</v>
      </c>
      <c r="I614" s="6">
        <v>2000</v>
      </c>
      <c r="J614" s="6">
        <v>2000</v>
      </c>
      <c r="K614" s="37" t="s">
        <v>790</v>
      </c>
      <c r="L614" s="119"/>
      <c r="M614" s="3"/>
    </row>
    <row r="615" spans="1:13" s="4" customFormat="1" ht="14.25" customHeight="1" x14ac:dyDescent="0.25">
      <c r="A615" s="4" t="s">
        <v>1191</v>
      </c>
      <c r="B615" s="4" t="s">
        <v>38</v>
      </c>
      <c r="C615" s="4" t="s">
        <v>14</v>
      </c>
      <c r="D615" s="35">
        <v>856</v>
      </c>
      <c r="E615" s="4" t="s">
        <v>1192</v>
      </c>
      <c r="F615" s="5">
        <v>39083</v>
      </c>
      <c r="G615" s="5">
        <v>39447</v>
      </c>
      <c r="H615" s="4" t="s">
        <v>40</v>
      </c>
      <c r="I615" s="6">
        <v>19620.400000000001</v>
      </c>
      <c r="J615" s="6">
        <v>19620.400000000001</v>
      </c>
      <c r="K615" s="37" t="s">
        <v>790</v>
      </c>
      <c r="L615" s="119"/>
      <c r="M615" s="3"/>
    </row>
    <row r="616" spans="1:13" s="4" customFormat="1" ht="14.25" customHeight="1" x14ac:dyDescent="0.25">
      <c r="A616" s="4" t="s">
        <v>1193</v>
      </c>
      <c r="B616" s="4" t="s">
        <v>38</v>
      </c>
      <c r="C616" s="4" t="s">
        <v>14</v>
      </c>
      <c r="D616" s="35">
        <v>858</v>
      </c>
      <c r="E616" s="7" t="s">
        <v>1194</v>
      </c>
      <c r="F616" s="5">
        <v>39448</v>
      </c>
      <c r="G616" s="5">
        <v>40178</v>
      </c>
      <c r="H616" s="4" t="s">
        <v>40</v>
      </c>
      <c r="I616" s="6">
        <v>25256.66</v>
      </c>
      <c r="J616" s="6">
        <v>25256.66</v>
      </c>
      <c r="K616" s="37" t="s">
        <v>790</v>
      </c>
      <c r="L616" s="119"/>
      <c r="M616" s="3"/>
    </row>
    <row r="617" spans="1:13" s="4" customFormat="1" ht="14.25" customHeight="1" x14ac:dyDescent="0.25">
      <c r="A617" s="4" t="s">
        <v>1195</v>
      </c>
      <c r="B617" s="4" t="s">
        <v>38</v>
      </c>
      <c r="C617" s="4" t="s">
        <v>14</v>
      </c>
      <c r="D617" s="35">
        <v>860</v>
      </c>
      <c r="E617" s="4" t="s">
        <v>1196</v>
      </c>
      <c r="F617" s="5">
        <v>39083</v>
      </c>
      <c r="G617" s="5">
        <v>39447</v>
      </c>
      <c r="H617" s="4" t="s">
        <v>40</v>
      </c>
      <c r="I617" s="6">
        <v>8212.66</v>
      </c>
      <c r="J617" s="6">
        <v>8212.66</v>
      </c>
      <c r="K617" s="37" t="s">
        <v>790</v>
      </c>
      <c r="L617" s="119"/>
      <c r="M617" s="3"/>
    </row>
    <row r="618" spans="1:13" s="4" customFormat="1" ht="14.25" customHeight="1" x14ac:dyDescent="0.25">
      <c r="A618" s="4" t="s">
        <v>1197</v>
      </c>
      <c r="B618" s="4" t="s">
        <v>38</v>
      </c>
      <c r="C618" s="4" t="s">
        <v>14</v>
      </c>
      <c r="D618" s="35">
        <v>862</v>
      </c>
      <c r="E618" s="4" t="s">
        <v>1198</v>
      </c>
      <c r="F618" s="5">
        <v>39083</v>
      </c>
      <c r="G618" s="5">
        <v>39447</v>
      </c>
      <c r="H618" s="4" t="s">
        <v>40</v>
      </c>
      <c r="I618" s="6">
        <v>2117.5</v>
      </c>
      <c r="J618" s="6">
        <v>2117.5</v>
      </c>
      <c r="K618" s="37" t="s">
        <v>790</v>
      </c>
      <c r="L618" s="119"/>
      <c r="M618" s="3"/>
    </row>
    <row r="619" spans="1:13" s="4" customFormat="1" ht="14.25" customHeight="1" x14ac:dyDescent="0.25">
      <c r="A619" s="4" t="s">
        <v>1201</v>
      </c>
      <c r="B619" s="4" t="s">
        <v>59</v>
      </c>
      <c r="C619" s="4" t="s">
        <v>14</v>
      </c>
      <c r="D619" s="35">
        <v>2969</v>
      </c>
      <c r="E619" s="4" t="s">
        <v>1202</v>
      </c>
      <c r="F619" s="5">
        <v>39176</v>
      </c>
      <c r="H619" s="4" t="s">
        <v>40</v>
      </c>
      <c r="I619" s="6">
        <v>22500</v>
      </c>
      <c r="J619" s="6">
        <v>22500</v>
      </c>
      <c r="K619" s="37" t="s">
        <v>790</v>
      </c>
      <c r="L619" s="119"/>
      <c r="M619" s="3"/>
    </row>
    <row r="620" spans="1:13" s="4" customFormat="1" ht="14.25" customHeight="1" x14ac:dyDescent="0.25">
      <c r="A620" s="4" t="s">
        <v>1203</v>
      </c>
      <c r="B620" s="4" t="s">
        <v>50</v>
      </c>
      <c r="C620" s="4" t="s">
        <v>14</v>
      </c>
      <c r="D620" s="35">
        <v>2970</v>
      </c>
      <c r="E620" s="4" t="s">
        <v>1204</v>
      </c>
      <c r="F620" s="5">
        <v>39119</v>
      </c>
      <c r="H620" s="4" t="s">
        <v>40</v>
      </c>
      <c r="I620" s="6">
        <v>148727.56</v>
      </c>
      <c r="J620" s="6">
        <v>74363.78</v>
      </c>
      <c r="K620" s="37" t="s">
        <v>790</v>
      </c>
      <c r="L620" s="119"/>
      <c r="M620" s="3"/>
    </row>
    <row r="621" spans="1:13" s="4" customFormat="1" ht="14.25" customHeight="1" x14ac:dyDescent="0.25">
      <c r="A621" s="4" t="s">
        <v>1205</v>
      </c>
      <c r="B621" s="4" t="s">
        <v>11764</v>
      </c>
      <c r="C621" s="4" t="s">
        <v>14</v>
      </c>
      <c r="D621" s="35">
        <v>2971</v>
      </c>
      <c r="E621" s="4" t="s">
        <v>1206</v>
      </c>
      <c r="F621" s="5">
        <v>39611</v>
      </c>
      <c r="H621" s="4" t="s">
        <v>40</v>
      </c>
      <c r="I621" s="6">
        <v>40000</v>
      </c>
      <c r="J621" s="6">
        <v>20000</v>
      </c>
      <c r="K621" s="37" t="s">
        <v>790</v>
      </c>
      <c r="L621" s="119"/>
      <c r="M621" s="3"/>
    </row>
    <row r="622" spans="1:13" s="4" customFormat="1" ht="14.25" customHeight="1" x14ac:dyDescent="0.25">
      <c r="A622" s="4" t="s">
        <v>1207</v>
      </c>
      <c r="B622" s="4" t="s">
        <v>38</v>
      </c>
      <c r="C622" s="4" t="s">
        <v>14</v>
      </c>
      <c r="D622" s="35">
        <v>3132</v>
      </c>
      <c r="E622" s="4" t="s">
        <v>1208</v>
      </c>
      <c r="F622" s="5">
        <v>39083</v>
      </c>
      <c r="G622" s="5">
        <v>41639</v>
      </c>
      <c r="H622" s="4" t="s">
        <v>40</v>
      </c>
      <c r="I622" s="6">
        <v>7862.66</v>
      </c>
      <c r="J622" s="6">
        <v>7862.66</v>
      </c>
      <c r="K622" s="37" t="s">
        <v>790</v>
      </c>
      <c r="L622" s="119"/>
      <c r="M622" s="3"/>
    </row>
    <row r="623" spans="1:13" s="4" customFormat="1" ht="14.25" customHeight="1" x14ac:dyDescent="0.25">
      <c r="A623" s="4" t="s">
        <v>1209</v>
      </c>
      <c r="B623" s="4" t="s">
        <v>59</v>
      </c>
      <c r="C623" s="4" t="s">
        <v>14</v>
      </c>
      <c r="D623" s="35">
        <v>3134</v>
      </c>
      <c r="E623" s="4" t="s">
        <v>999</v>
      </c>
      <c r="F623" s="5">
        <v>39083</v>
      </c>
      <c r="G623" s="5">
        <v>41639</v>
      </c>
      <c r="H623" s="4" t="s">
        <v>40</v>
      </c>
      <c r="I623" s="6">
        <v>7500</v>
      </c>
      <c r="J623" s="6">
        <v>7500</v>
      </c>
      <c r="K623" s="37" t="s">
        <v>790</v>
      </c>
      <c r="L623" s="119"/>
      <c r="M623" s="3"/>
    </row>
    <row r="624" spans="1:13" s="4" customFormat="1" ht="14.25" customHeight="1" x14ac:dyDescent="0.25">
      <c r="A624" s="4" t="s">
        <v>1210</v>
      </c>
      <c r="B624" s="4" t="s">
        <v>38</v>
      </c>
      <c r="C624" s="4" t="s">
        <v>14</v>
      </c>
      <c r="D624" s="35">
        <v>3135</v>
      </c>
      <c r="E624" s="4" t="s">
        <v>1211</v>
      </c>
      <c r="F624" s="5">
        <v>39083</v>
      </c>
      <c r="G624" s="5">
        <v>41639</v>
      </c>
      <c r="H624" s="4" t="s">
        <v>40</v>
      </c>
      <c r="I624" s="6">
        <v>118027.69</v>
      </c>
      <c r="J624" s="6">
        <v>118027.69</v>
      </c>
      <c r="K624" s="37" t="s">
        <v>790</v>
      </c>
      <c r="L624" s="119"/>
      <c r="M624" s="3"/>
    </row>
    <row r="625" spans="1:13" s="4" customFormat="1" ht="14.25" customHeight="1" x14ac:dyDescent="0.25">
      <c r="A625" s="4" t="s">
        <v>1212</v>
      </c>
      <c r="B625" s="4" t="s">
        <v>38</v>
      </c>
      <c r="C625" s="4" t="s">
        <v>14</v>
      </c>
      <c r="D625" s="35">
        <v>3136</v>
      </c>
      <c r="E625" s="4" t="s">
        <v>1213</v>
      </c>
      <c r="F625" s="5">
        <v>39083</v>
      </c>
      <c r="G625" s="5">
        <v>41639</v>
      </c>
      <c r="H625" s="4" t="s">
        <v>40</v>
      </c>
      <c r="I625" s="6">
        <v>53057.21</v>
      </c>
      <c r="J625" s="6">
        <v>53057.21</v>
      </c>
      <c r="K625" s="37" t="s">
        <v>790</v>
      </c>
      <c r="L625" s="119"/>
      <c r="M625" s="3"/>
    </row>
    <row r="626" spans="1:13" s="4" customFormat="1" ht="14.25" customHeight="1" x14ac:dyDescent="0.25">
      <c r="A626" s="4" t="s">
        <v>1214</v>
      </c>
      <c r="B626" s="4" t="s">
        <v>38</v>
      </c>
      <c r="C626" s="4" t="s">
        <v>14</v>
      </c>
      <c r="D626" s="35">
        <v>3137</v>
      </c>
      <c r="E626" s="4" t="s">
        <v>1215</v>
      </c>
      <c r="F626" s="5">
        <v>39083</v>
      </c>
      <c r="G626" s="5">
        <v>41274</v>
      </c>
      <c r="H626" s="4" t="s">
        <v>40</v>
      </c>
      <c r="I626" s="6">
        <f>48885.51+55693.94+12700.25+22987.05+21025</f>
        <v>161291.75</v>
      </c>
      <c r="J626" s="6">
        <f>148591.5+12700.25</f>
        <v>161291.75</v>
      </c>
      <c r="K626" s="37" t="s">
        <v>790</v>
      </c>
      <c r="L626" s="119"/>
      <c r="M626" s="3"/>
    </row>
    <row r="627" spans="1:13" s="4" customFormat="1" ht="14.25" customHeight="1" x14ac:dyDescent="0.25">
      <c r="A627" s="4" t="s">
        <v>1216</v>
      </c>
      <c r="B627" s="4" t="s">
        <v>38</v>
      </c>
      <c r="C627" s="4" t="s">
        <v>14</v>
      </c>
      <c r="D627" s="35">
        <v>3138</v>
      </c>
      <c r="E627" s="4" t="s">
        <v>1217</v>
      </c>
      <c r="F627" s="5">
        <v>39083</v>
      </c>
      <c r="G627" s="5">
        <v>41639</v>
      </c>
      <c r="H627" s="4" t="s">
        <v>40</v>
      </c>
      <c r="I627" s="6">
        <v>117488</v>
      </c>
      <c r="J627" s="6">
        <v>117488</v>
      </c>
      <c r="K627" s="37" t="s">
        <v>790</v>
      </c>
      <c r="L627" s="119"/>
      <c r="M627" s="3"/>
    </row>
    <row r="628" spans="1:13" s="4" customFormat="1" ht="14.25" customHeight="1" x14ac:dyDescent="0.25">
      <c r="A628" s="4" t="s">
        <v>1218</v>
      </c>
      <c r="B628" s="4" t="s">
        <v>38</v>
      </c>
      <c r="C628" s="4" t="s">
        <v>14</v>
      </c>
      <c r="D628" s="35">
        <v>3139</v>
      </c>
      <c r="E628" s="4" t="s">
        <v>1219</v>
      </c>
      <c r="F628" s="5">
        <v>39083</v>
      </c>
      <c r="G628" s="5">
        <v>41639</v>
      </c>
      <c r="H628" s="4" t="s">
        <v>40</v>
      </c>
      <c r="I628" s="6">
        <v>14322</v>
      </c>
      <c r="J628" s="6">
        <v>14322</v>
      </c>
      <c r="K628" s="37" t="s">
        <v>790</v>
      </c>
      <c r="L628" s="119"/>
      <c r="M628" s="3"/>
    </row>
    <row r="629" spans="1:13" s="4" customFormat="1" ht="14.25" customHeight="1" x14ac:dyDescent="0.25">
      <c r="A629" s="4" t="s">
        <v>1222</v>
      </c>
      <c r="B629" s="4" t="s">
        <v>38</v>
      </c>
      <c r="C629" s="4" t="s">
        <v>14</v>
      </c>
      <c r="D629" s="35">
        <v>3143</v>
      </c>
      <c r="E629" s="4" t="s">
        <v>1223</v>
      </c>
      <c r="F629" s="5">
        <v>39083</v>
      </c>
      <c r="G629" s="5">
        <v>41274</v>
      </c>
      <c r="H629" s="4" t="s">
        <v>40</v>
      </c>
      <c r="I629" s="6">
        <v>326936.98</v>
      </c>
      <c r="J629" s="6">
        <f>288512.95+38424.03</f>
        <v>326936.98</v>
      </c>
      <c r="K629" s="37" t="s">
        <v>790</v>
      </c>
      <c r="L629" s="119"/>
      <c r="M629" s="3"/>
    </row>
    <row r="630" spans="1:13" s="4" customFormat="1" ht="14.25" customHeight="1" x14ac:dyDescent="0.25">
      <c r="A630" s="4" t="s">
        <v>1224</v>
      </c>
      <c r="B630" s="4" t="s">
        <v>38</v>
      </c>
      <c r="C630" s="4" t="s">
        <v>14</v>
      </c>
      <c r="D630" s="35">
        <v>3144</v>
      </c>
      <c r="E630" s="4" t="s">
        <v>1225</v>
      </c>
      <c r="F630" s="5">
        <v>39083</v>
      </c>
      <c r="G630" s="5">
        <v>40909</v>
      </c>
      <c r="H630" s="4" t="s">
        <v>40</v>
      </c>
      <c r="I630" s="6">
        <v>247485.07</v>
      </c>
      <c r="J630" s="6">
        <f>209049.19+38435.88</f>
        <v>247485.07</v>
      </c>
      <c r="K630" s="37" t="s">
        <v>790</v>
      </c>
      <c r="L630" s="119"/>
      <c r="M630" s="3"/>
    </row>
    <row r="631" spans="1:13" s="4" customFormat="1" ht="14.25" customHeight="1" x14ac:dyDescent="0.25">
      <c r="A631" s="4" t="s">
        <v>1226</v>
      </c>
      <c r="B631" s="4" t="s">
        <v>38</v>
      </c>
      <c r="C631" s="4" t="s">
        <v>14</v>
      </c>
      <c r="D631" s="35">
        <v>3145</v>
      </c>
      <c r="E631" s="4" t="s">
        <v>1227</v>
      </c>
      <c r="F631" s="5">
        <v>39083</v>
      </c>
      <c r="G631" s="5">
        <v>41274</v>
      </c>
      <c r="H631" s="4" t="s">
        <v>40</v>
      </c>
      <c r="I631" s="6">
        <v>174268.97</v>
      </c>
      <c r="J631" s="6">
        <f>143819.26+30449.71</f>
        <v>174268.97</v>
      </c>
      <c r="K631" s="37" t="s">
        <v>790</v>
      </c>
      <c r="L631" s="119"/>
      <c r="M631" s="3"/>
    </row>
    <row r="632" spans="1:13" s="4" customFormat="1" ht="14.25" customHeight="1" x14ac:dyDescent="0.25">
      <c r="A632" s="4" t="s">
        <v>1228</v>
      </c>
      <c r="B632" s="4" t="s">
        <v>38</v>
      </c>
      <c r="C632" s="4" t="s">
        <v>14</v>
      </c>
      <c r="D632" s="35">
        <v>3146</v>
      </c>
      <c r="E632" s="4" t="s">
        <v>1229</v>
      </c>
      <c r="F632" s="5">
        <v>39083</v>
      </c>
      <c r="G632" s="5">
        <v>41274</v>
      </c>
      <c r="H632" s="4" t="s">
        <v>40</v>
      </c>
      <c r="I632" s="6">
        <v>29725.3</v>
      </c>
      <c r="J632" s="6">
        <f>27640.3+2085</f>
        <v>29725.3</v>
      </c>
      <c r="K632" s="37" t="s">
        <v>790</v>
      </c>
      <c r="L632" s="119"/>
      <c r="M632" s="3"/>
    </row>
    <row r="633" spans="1:13" s="4" customFormat="1" ht="14.25" customHeight="1" x14ac:dyDescent="0.25">
      <c r="A633" s="4" t="s">
        <v>1230</v>
      </c>
      <c r="B633" s="4" t="s">
        <v>38</v>
      </c>
      <c r="C633" s="4" t="s">
        <v>14</v>
      </c>
      <c r="D633" s="35">
        <v>3147</v>
      </c>
      <c r="E633" s="4" t="s">
        <v>1231</v>
      </c>
      <c r="F633" s="5">
        <v>39083</v>
      </c>
      <c r="G633" s="5">
        <v>41639</v>
      </c>
      <c r="H633" s="4" t="s">
        <v>40</v>
      </c>
      <c r="I633" s="6">
        <v>72511.600000000006</v>
      </c>
      <c r="J633" s="6">
        <f>70011.6+2500</f>
        <v>72511.600000000006</v>
      </c>
      <c r="K633" s="37" t="s">
        <v>790</v>
      </c>
      <c r="L633" s="119"/>
      <c r="M633" s="3"/>
    </row>
    <row r="634" spans="1:13" s="4" customFormat="1" ht="14.25" customHeight="1" x14ac:dyDescent="0.25">
      <c r="A634" s="4" t="s">
        <v>1232</v>
      </c>
      <c r="B634" s="4" t="s">
        <v>38</v>
      </c>
      <c r="C634" s="4" t="s">
        <v>14</v>
      </c>
      <c r="D634" s="35">
        <v>3148</v>
      </c>
      <c r="E634" s="4" t="s">
        <v>1233</v>
      </c>
      <c r="F634" s="5">
        <v>39083</v>
      </c>
      <c r="G634" s="5">
        <v>41639</v>
      </c>
      <c r="H634" s="4" t="s">
        <v>40</v>
      </c>
      <c r="I634" s="6">
        <v>76165.98</v>
      </c>
      <c r="J634" s="6">
        <v>76165.98</v>
      </c>
      <c r="K634" s="37" t="s">
        <v>790</v>
      </c>
      <c r="L634" s="119"/>
      <c r="M634" s="3"/>
    </row>
    <row r="635" spans="1:13" s="4" customFormat="1" ht="14.25" customHeight="1" x14ac:dyDescent="0.25">
      <c r="A635" s="4" t="s">
        <v>1234</v>
      </c>
      <c r="B635" s="4" t="s">
        <v>11764</v>
      </c>
      <c r="C635" s="4" t="s">
        <v>14</v>
      </c>
      <c r="D635" s="35">
        <v>3149</v>
      </c>
      <c r="E635" s="4" t="s">
        <v>1235</v>
      </c>
      <c r="F635" s="5">
        <v>39083</v>
      </c>
      <c r="G635" s="5">
        <v>41639</v>
      </c>
      <c r="H635" s="4" t="s">
        <v>40</v>
      </c>
      <c r="I635" s="6">
        <v>50000</v>
      </c>
      <c r="J635" s="6">
        <v>25000</v>
      </c>
      <c r="K635" s="37" t="s">
        <v>790</v>
      </c>
      <c r="L635" s="119"/>
      <c r="M635" s="3"/>
    </row>
    <row r="636" spans="1:13" s="4" customFormat="1" ht="14.25" customHeight="1" x14ac:dyDescent="0.25">
      <c r="A636" s="4" t="s">
        <v>1236</v>
      </c>
      <c r="B636" s="4" t="s">
        <v>38</v>
      </c>
      <c r="C636" s="4" t="s">
        <v>14</v>
      </c>
      <c r="D636" s="35">
        <v>3150</v>
      </c>
      <c r="E636" s="4" t="s">
        <v>1237</v>
      </c>
      <c r="F636" s="5">
        <v>39083</v>
      </c>
      <c r="G636" s="5">
        <v>41274</v>
      </c>
      <c r="H636" s="4" t="s">
        <v>40</v>
      </c>
      <c r="I636" s="6">
        <v>178756.35</v>
      </c>
      <c r="J636" s="6">
        <v>178756.35</v>
      </c>
      <c r="K636" s="37" t="s">
        <v>790</v>
      </c>
      <c r="L636" s="119"/>
      <c r="M636" s="3"/>
    </row>
    <row r="637" spans="1:13" s="4" customFormat="1" ht="14.25" customHeight="1" x14ac:dyDescent="0.25">
      <c r="A637" s="4" t="s">
        <v>1238</v>
      </c>
      <c r="B637" s="4" t="s">
        <v>38</v>
      </c>
      <c r="C637" s="4" t="s">
        <v>14</v>
      </c>
      <c r="D637" s="35">
        <v>3151</v>
      </c>
      <c r="E637" s="4" t="s">
        <v>1239</v>
      </c>
      <c r="F637" s="5">
        <v>39083</v>
      </c>
      <c r="G637" s="5">
        <v>41639</v>
      </c>
      <c r="H637" s="4" t="s">
        <v>40</v>
      </c>
      <c r="I637" s="6">
        <v>58981.24</v>
      </c>
      <c r="J637" s="6">
        <v>58981.24</v>
      </c>
      <c r="K637" s="37" t="s">
        <v>790</v>
      </c>
      <c r="L637" s="119"/>
      <c r="M637" s="3"/>
    </row>
    <row r="638" spans="1:13" s="4" customFormat="1" ht="14.25" customHeight="1" x14ac:dyDescent="0.25">
      <c r="A638" s="4" t="s">
        <v>1240</v>
      </c>
      <c r="B638" s="4" t="s">
        <v>38</v>
      </c>
      <c r="C638" s="4" t="s">
        <v>14</v>
      </c>
      <c r="D638" s="35">
        <v>3152</v>
      </c>
      <c r="E638" s="4" t="s">
        <v>1241</v>
      </c>
      <c r="F638" s="5">
        <v>39083</v>
      </c>
      <c r="G638" s="5">
        <v>41639</v>
      </c>
      <c r="H638" s="4" t="s">
        <v>40</v>
      </c>
      <c r="I638" s="6">
        <v>231640.97</v>
      </c>
      <c r="J638" s="6">
        <v>231640.97</v>
      </c>
      <c r="K638" s="37" t="s">
        <v>790</v>
      </c>
      <c r="L638" s="119"/>
      <c r="M638" s="3"/>
    </row>
    <row r="639" spans="1:13" s="4" customFormat="1" ht="14.25" customHeight="1" x14ac:dyDescent="0.25">
      <c r="A639" s="4" t="s">
        <v>1242</v>
      </c>
      <c r="B639" s="4" t="s">
        <v>11764</v>
      </c>
      <c r="C639" s="4" t="s">
        <v>14</v>
      </c>
      <c r="D639" s="35">
        <v>3153</v>
      </c>
      <c r="E639" s="4" t="s">
        <v>1243</v>
      </c>
      <c r="F639" s="5">
        <v>39083</v>
      </c>
      <c r="G639" s="5">
        <v>41639</v>
      </c>
      <c r="H639" s="4" t="s">
        <v>40</v>
      </c>
      <c r="I639" s="6">
        <v>100000</v>
      </c>
      <c r="J639" s="6">
        <v>50000</v>
      </c>
      <c r="K639" s="37" t="s">
        <v>790</v>
      </c>
      <c r="L639" s="119"/>
      <c r="M639" s="3"/>
    </row>
    <row r="640" spans="1:13" s="4" customFormat="1" ht="14.25" customHeight="1" x14ac:dyDescent="0.25">
      <c r="A640" s="4" t="s">
        <v>1244</v>
      </c>
      <c r="B640" s="4" t="s">
        <v>59</v>
      </c>
      <c r="C640" s="4" t="s">
        <v>14</v>
      </c>
      <c r="D640" s="35">
        <v>3154</v>
      </c>
      <c r="E640" s="4" t="s">
        <v>1245</v>
      </c>
      <c r="F640" s="5">
        <v>39083</v>
      </c>
      <c r="G640" s="5">
        <v>41639</v>
      </c>
      <c r="H640" s="4" t="s">
        <v>40</v>
      </c>
      <c r="I640" s="6">
        <v>7500</v>
      </c>
      <c r="J640" s="6">
        <v>7500</v>
      </c>
      <c r="K640" s="37" t="s">
        <v>790</v>
      </c>
      <c r="L640" s="119"/>
      <c r="M640" s="3"/>
    </row>
    <row r="641" spans="1:13" s="4" customFormat="1" ht="14.25" customHeight="1" x14ac:dyDescent="0.25">
      <c r="A641" s="4" t="s">
        <v>1246</v>
      </c>
      <c r="B641" s="4" t="s">
        <v>50</v>
      </c>
      <c r="C641" s="4" t="s">
        <v>14</v>
      </c>
      <c r="D641" s="35">
        <v>3155</v>
      </c>
      <c r="E641" s="4" t="s">
        <v>1247</v>
      </c>
      <c r="F641" s="5">
        <v>39083</v>
      </c>
      <c r="G641" s="5">
        <v>41639</v>
      </c>
      <c r="H641" s="4" t="s">
        <v>40</v>
      </c>
      <c r="I641" s="6">
        <v>150000</v>
      </c>
      <c r="J641" s="6">
        <v>75000</v>
      </c>
      <c r="K641" s="37" t="s">
        <v>790</v>
      </c>
      <c r="L641" s="119"/>
      <c r="M641" s="3"/>
    </row>
    <row r="642" spans="1:13" s="4" customFormat="1" ht="14.25" customHeight="1" x14ac:dyDescent="0.25">
      <c r="A642" s="4" t="s">
        <v>1248</v>
      </c>
      <c r="B642" s="4" t="s">
        <v>38</v>
      </c>
      <c r="C642" s="4" t="s">
        <v>14</v>
      </c>
      <c r="D642" s="35">
        <v>3156</v>
      </c>
      <c r="E642" s="4" t="s">
        <v>1249</v>
      </c>
      <c r="F642" s="5">
        <v>39083</v>
      </c>
      <c r="G642" s="5">
        <v>41274</v>
      </c>
      <c r="H642" s="4" t="s">
        <v>40</v>
      </c>
      <c r="I642" s="6">
        <v>164825.04999999999</v>
      </c>
      <c r="J642" s="6">
        <f>119871.16+44953.89</f>
        <v>164825.04999999999</v>
      </c>
      <c r="K642" s="37" t="s">
        <v>790</v>
      </c>
      <c r="L642" s="119"/>
      <c r="M642" s="3"/>
    </row>
    <row r="643" spans="1:13" s="4" customFormat="1" ht="14.25" customHeight="1" x14ac:dyDescent="0.25">
      <c r="A643" s="4" t="s">
        <v>1250</v>
      </c>
      <c r="B643" s="4" t="s">
        <v>38</v>
      </c>
      <c r="C643" s="4" t="s">
        <v>14</v>
      </c>
      <c r="D643" s="35">
        <v>3157</v>
      </c>
      <c r="E643" s="4" t="s">
        <v>1251</v>
      </c>
      <c r="F643" s="5">
        <v>39083</v>
      </c>
      <c r="G643" s="5">
        <v>41639</v>
      </c>
      <c r="H643" s="4" t="s">
        <v>40</v>
      </c>
      <c r="I643" s="6">
        <v>24439.09</v>
      </c>
      <c r="J643" s="6">
        <v>24439.09</v>
      </c>
      <c r="K643" s="37" t="s">
        <v>790</v>
      </c>
      <c r="L643" s="119"/>
      <c r="M643" s="3"/>
    </row>
    <row r="644" spans="1:13" s="4" customFormat="1" ht="14.25" customHeight="1" x14ac:dyDescent="0.25">
      <c r="A644" s="4" t="s">
        <v>1252</v>
      </c>
      <c r="B644" s="4" t="s">
        <v>50</v>
      </c>
      <c r="C644" s="4" t="s">
        <v>14</v>
      </c>
      <c r="D644" s="35">
        <v>3158</v>
      </c>
      <c r="E644" s="4" t="s">
        <v>1253</v>
      </c>
      <c r="F644" s="5">
        <v>39083</v>
      </c>
      <c r="G644" s="5">
        <v>41639</v>
      </c>
      <c r="H644" s="4" t="s">
        <v>40</v>
      </c>
      <c r="I644" s="6">
        <v>60363.839999999997</v>
      </c>
      <c r="J644" s="6">
        <v>30181.96</v>
      </c>
      <c r="K644" s="37" t="s">
        <v>790</v>
      </c>
      <c r="L644" s="119"/>
      <c r="M644" s="3"/>
    </row>
    <row r="645" spans="1:13" s="4" customFormat="1" ht="14.25" customHeight="1" x14ac:dyDescent="0.25">
      <c r="A645" s="4" t="s">
        <v>1255</v>
      </c>
      <c r="B645" s="4" t="s">
        <v>59</v>
      </c>
      <c r="C645" s="4" t="s">
        <v>14</v>
      </c>
      <c r="D645" s="35">
        <v>3327</v>
      </c>
      <c r="E645" s="4" t="s">
        <v>1256</v>
      </c>
      <c r="F645" s="5">
        <v>39496</v>
      </c>
      <c r="H645" s="4" t="s">
        <v>40</v>
      </c>
      <c r="I645" s="6">
        <v>7500</v>
      </c>
      <c r="J645" s="6">
        <v>7500</v>
      </c>
      <c r="K645" s="37" t="s">
        <v>790</v>
      </c>
      <c r="L645" s="119"/>
      <c r="M645" s="3"/>
    </row>
    <row r="646" spans="1:13" s="4" customFormat="1" ht="14.25" customHeight="1" x14ac:dyDescent="0.25">
      <c r="A646" s="4" t="s">
        <v>1257</v>
      </c>
      <c r="B646" s="4" t="s">
        <v>59</v>
      </c>
      <c r="C646" s="4" t="s">
        <v>14</v>
      </c>
      <c r="D646" s="35">
        <v>3328</v>
      </c>
      <c r="E646" s="4" t="s">
        <v>1258</v>
      </c>
      <c r="F646" s="5">
        <v>39349</v>
      </c>
      <c r="H646" s="4" t="s">
        <v>40</v>
      </c>
      <c r="I646" s="6">
        <v>3750</v>
      </c>
      <c r="J646" s="6">
        <v>3750</v>
      </c>
      <c r="K646" s="37" t="s">
        <v>790</v>
      </c>
      <c r="L646" s="119"/>
      <c r="M646" s="3"/>
    </row>
    <row r="647" spans="1:13" s="4" customFormat="1" ht="14.25" customHeight="1" x14ac:dyDescent="0.25">
      <c r="A647" s="4" t="s">
        <v>1259</v>
      </c>
      <c r="B647" s="4" t="s">
        <v>59</v>
      </c>
      <c r="C647" s="4" t="s">
        <v>14</v>
      </c>
      <c r="D647" s="35">
        <v>3329</v>
      </c>
      <c r="E647" s="4" t="s">
        <v>1260</v>
      </c>
      <c r="F647" s="5">
        <v>39611</v>
      </c>
      <c r="H647" s="4" t="s">
        <v>40</v>
      </c>
      <c r="I647" s="6">
        <v>7500</v>
      </c>
      <c r="J647" s="6">
        <v>7500</v>
      </c>
      <c r="K647" s="37" t="s">
        <v>790</v>
      </c>
      <c r="L647" s="119"/>
      <c r="M647" s="3"/>
    </row>
    <row r="648" spans="1:13" s="4" customFormat="1" ht="14.25" customHeight="1" x14ac:dyDescent="0.25">
      <c r="A648" s="4" t="s">
        <v>1261</v>
      </c>
      <c r="B648" s="4" t="s">
        <v>59</v>
      </c>
      <c r="C648" s="4" t="s">
        <v>14</v>
      </c>
      <c r="D648" s="35">
        <v>3331</v>
      </c>
      <c r="E648" s="4" t="s">
        <v>1007</v>
      </c>
      <c r="F648" s="5">
        <v>39611</v>
      </c>
      <c r="H648" s="4" t="s">
        <v>40</v>
      </c>
      <c r="I648" s="6">
        <v>7500</v>
      </c>
      <c r="J648" s="6">
        <v>7500</v>
      </c>
      <c r="K648" s="37" t="s">
        <v>790</v>
      </c>
      <c r="L648" s="119"/>
      <c r="M648" s="3"/>
    </row>
    <row r="649" spans="1:13" s="4" customFormat="1" ht="14.25" customHeight="1" x14ac:dyDescent="0.25">
      <c r="A649" s="4" t="s">
        <v>1262</v>
      </c>
      <c r="B649" s="4" t="s">
        <v>59</v>
      </c>
      <c r="C649" s="4" t="s">
        <v>14</v>
      </c>
      <c r="D649" s="35">
        <v>3332</v>
      </c>
      <c r="E649" s="4" t="s">
        <v>1206</v>
      </c>
      <c r="F649" s="5">
        <v>39611</v>
      </c>
      <c r="H649" s="4" t="s">
        <v>40</v>
      </c>
      <c r="I649" s="6">
        <v>3750</v>
      </c>
      <c r="J649" s="6">
        <v>3750</v>
      </c>
      <c r="K649" s="37" t="s">
        <v>790</v>
      </c>
      <c r="L649" s="119"/>
      <c r="M649" s="3"/>
    </row>
    <row r="650" spans="1:13" s="4" customFormat="1" ht="14.25" customHeight="1" x14ac:dyDescent="0.25">
      <c r="A650" s="4" t="s">
        <v>1263</v>
      </c>
      <c r="B650" s="4" t="s">
        <v>38</v>
      </c>
      <c r="C650" s="4" t="s">
        <v>14</v>
      </c>
      <c r="D650" s="35">
        <v>3385</v>
      </c>
      <c r="E650" s="4" t="s">
        <v>1264</v>
      </c>
      <c r="F650" s="5">
        <v>39083</v>
      </c>
      <c r="G650" s="5">
        <v>39447</v>
      </c>
      <c r="H650" s="4" t="s">
        <v>40</v>
      </c>
      <c r="I650" s="6">
        <v>4972.24</v>
      </c>
      <c r="J650" s="6">
        <v>4972.24</v>
      </c>
      <c r="K650" s="37" t="s">
        <v>790</v>
      </c>
      <c r="L650" s="119"/>
      <c r="M650" s="3"/>
    </row>
    <row r="651" spans="1:13" s="4" customFormat="1" ht="14.25" customHeight="1" x14ac:dyDescent="0.25">
      <c r="A651" s="4" t="s">
        <v>1265</v>
      </c>
      <c r="B651" s="4" t="s">
        <v>38</v>
      </c>
      <c r="C651" s="4" t="s">
        <v>14</v>
      </c>
      <c r="D651" s="35">
        <v>3386</v>
      </c>
      <c r="E651" s="7" t="s">
        <v>1266</v>
      </c>
      <c r="F651" s="5">
        <v>39448</v>
      </c>
      <c r="G651" s="5">
        <v>39813</v>
      </c>
      <c r="H651" s="4" t="s">
        <v>40</v>
      </c>
      <c r="I651" s="6">
        <v>294.02999999999997</v>
      </c>
      <c r="J651" s="6">
        <v>294.02999999999997</v>
      </c>
      <c r="K651" s="37" t="s">
        <v>790</v>
      </c>
      <c r="L651" s="119"/>
      <c r="M651" s="3"/>
    </row>
    <row r="652" spans="1:13" s="4" customFormat="1" ht="14.25" customHeight="1" x14ac:dyDescent="0.25">
      <c r="A652" s="4" t="s">
        <v>1267</v>
      </c>
      <c r="B652" s="4" t="s">
        <v>38</v>
      </c>
      <c r="C652" s="4" t="s">
        <v>14</v>
      </c>
      <c r="D652" s="35">
        <v>3387</v>
      </c>
      <c r="E652" s="4" t="s">
        <v>1268</v>
      </c>
      <c r="F652" s="5">
        <v>39083</v>
      </c>
      <c r="G652" s="5">
        <v>39813</v>
      </c>
      <c r="H652" s="4" t="s">
        <v>40</v>
      </c>
      <c r="I652" s="6">
        <v>800</v>
      </c>
      <c r="J652" s="6">
        <v>800</v>
      </c>
      <c r="K652" s="37" t="s">
        <v>790</v>
      </c>
      <c r="L652" s="119"/>
      <c r="M652" s="3"/>
    </row>
    <row r="653" spans="1:13" s="4" customFormat="1" ht="14.25" customHeight="1" x14ac:dyDescent="0.25">
      <c r="A653" s="4" t="s">
        <v>1269</v>
      </c>
      <c r="B653" s="4" t="s">
        <v>38</v>
      </c>
      <c r="C653" s="4" t="s">
        <v>14</v>
      </c>
      <c r="D653" s="35">
        <v>3388</v>
      </c>
      <c r="E653" s="4" t="s">
        <v>1270</v>
      </c>
      <c r="F653" s="5">
        <v>39083</v>
      </c>
      <c r="G653" s="5">
        <v>41639</v>
      </c>
      <c r="H653" s="4" t="s">
        <v>40</v>
      </c>
      <c r="I653" s="6">
        <f>114999.9+118969.43+56288.98+48308+35531.17</f>
        <v>374097.48</v>
      </c>
      <c r="J653" s="6">
        <f>325789.48+48308</f>
        <v>374097.48</v>
      </c>
      <c r="K653" s="37" t="s">
        <v>790</v>
      </c>
      <c r="L653" s="119"/>
      <c r="M653" s="3"/>
    </row>
    <row r="654" spans="1:13" s="4" customFormat="1" ht="14.25" customHeight="1" x14ac:dyDescent="0.25">
      <c r="A654" s="4" t="s">
        <v>1273</v>
      </c>
      <c r="B654" s="4" t="s">
        <v>50</v>
      </c>
      <c r="C654" s="4" t="s">
        <v>14</v>
      </c>
      <c r="D654" s="35">
        <v>4536</v>
      </c>
      <c r="E654" s="4" t="s">
        <v>1274</v>
      </c>
      <c r="F654" s="5">
        <v>39741</v>
      </c>
      <c r="G654" s="5">
        <v>40106</v>
      </c>
      <c r="H654" s="4" t="s">
        <v>40</v>
      </c>
      <c r="I654" s="6">
        <v>22288</v>
      </c>
      <c r="J654" s="6">
        <v>11144</v>
      </c>
      <c r="K654" s="37" t="s">
        <v>790</v>
      </c>
      <c r="L654" s="119"/>
      <c r="M654" s="3"/>
    </row>
    <row r="655" spans="1:13" s="4" customFormat="1" ht="14.25" customHeight="1" x14ac:dyDescent="0.25">
      <c r="A655" s="4" t="s">
        <v>1275</v>
      </c>
      <c r="B655" s="4" t="s">
        <v>90</v>
      </c>
      <c r="C655" s="4" t="s">
        <v>14</v>
      </c>
      <c r="D655" s="35">
        <v>4538</v>
      </c>
      <c r="E655" s="4" t="s">
        <v>1276</v>
      </c>
      <c r="F655" s="5">
        <v>39791</v>
      </c>
      <c r="G655" s="5">
        <v>39973</v>
      </c>
      <c r="H655" s="4" t="s">
        <v>40</v>
      </c>
      <c r="I655" s="6">
        <v>9565.7999999999993</v>
      </c>
      <c r="J655" s="6">
        <v>4782.8999999999996</v>
      </c>
      <c r="K655" s="37" t="s">
        <v>790</v>
      </c>
      <c r="L655" s="119"/>
      <c r="M655" s="3"/>
    </row>
    <row r="656" spans="1:13" s="4" customFormat="1" ht="14.25" customHeight="1" x14ac:dyDescent="0.25">
      <c r="A656" s="4" t="s">
        <v>1277</v>
      </c>
      <c r="B656" s="4" t="s">
        <v>59</v>
      </c>
      <c r="C656" s="4" t="s">
        <v>14</v>
      </c>
      <c r="D656" s="35">
        <v>4540</v>
      </c>
      <c r="E656" s="4" t="s">
        <v>1278</v>
      </c>
      <c r="F656" s="5">
        <v>39979</v>
      </c>
      <c r="G656" s="5">
        <v>40344</v>
      </c>
      <c r="H656" s="4" t="s">
        <v>40</v>
      </c>
      <c r="I656" s="6">
        <v>3750</v>
      </c>
      <c r="J656" s="6">
        <v>3750</v>
      </c>
      <c r="K656" s="37" t="s">
        <v>790</v>
      </c>
      <c r="L656" s="119"/>
      <c r="M656" s="3"/>
    </row>
    <row r="657" spans="1:13" s="4" customFormat="1" ht="14.25" customHeight="1" x14ac:dyDescent="0.25">
      <c r="A657" s="4" t="s">
        <v>1279</v>
      </c>
      <c r="B657" s="4" t="s">
        <v>59</v>
      </c>
      <c r="C657" s="4" t="s">
        <v>14</v>
      </c>
      <c r="D657" s="35">
        <v>4541</v>
      </c>
      <c r="E657" s="4" t="s">
        <v>1280</v>
      </c>
      <c r="F657" s="5">
        <v>39923</v>
      </c>
      <c r="G657" s="5">
        <v>40543</v>
      </c>
      <c r="H657" s="4" t="s">
        <v>40</v>
      </c>
      <c r="I657" s="6">
        <v>37500</v>
      </c>
      <c r="J657" s="6">
        <v>37500</v>
      </c>
      <c r="K657" s="37" t="s">
        <v>790</v>
      </c>
      <c r="L657" s="119"/>
      <c r="M657" s="3"/>
    </row>
    <row r="658" spans="1:13" s="4" customFormat="1" ht="14.25" customHeight="1" x14ac:dyDescent="0.25">
      <c r="A658" s="4" t="s">
        <v>1281</v>
      </c>
      <c r="B658" s="4" t="s">
        <v>90</v>
      </c>
      <c r="C658" s="4" t="s">
        <v>14</v>
      </c>
      <c r="D658" s="35">
        <v>4542</v>
      </c>
      <c r="E658" s="4" t="s">
        <v>1282</v>
      </c>
      <c r="F658" s="5">
        <v>39741</v>
      </c>
      <c r="G658" s="5">
        <v>39923</v>
      </c>
      <c r="H658" s="4" t="s">
        <v>40</v>
      </c>
      <c r="I658" s="6">
        <v>2537.2399999999998</v>
      </c>
      <c r="J658" s="6">
        <v>1268.6199999999999</v>
      </c>
      <c r="K658" s="37" t="s">
        <v>790</v>
      </c>
      <c r="L658" s="119"/>
      <c r="M658" s="3"/>
    </row>
    <row r="659" spans="1:13" s="4" customFormat="1" ht="14.25" customHeight="1" x14ac:dyDescent="0.25">
      <c r="A659" s="4" t="s">
        <v>1283</v>
      </c>
      <c r="B659" s="4" t="s">
        <v>90</v>
      </c>
      <c r="C659" s="4" t="s">
        <v>14</v>
      </c>
      <c r="D659" s="35">
        <v>4544</v>
      </c>
      <c r="E659" s="4" t="s">
        <v>1284</v>
      </c>
      <c r="F659" s="5">
        <v>39791</v>
      </c>
      <c r="G659" s="5">
        <v>40079</v>
      </c>
      <c r="H659" s="4" t="s">
        <v>40</v>
      </c>
      <c r="I659" s="6">
        <v>5800</v>
      </c>
      <c r="J659" s="6">
        <v>2900</v>
      </c>
      <c r="K659" s="37" t="s">
        <v>790</v>
      </c>
      <c r="L659" s="119"/>
      <c r="M659" s="3"/>
    </row>
    <row r="660" spans="1:13" s="4" customFormat="1" ht="14.25" customHeight="1" x14ac:dyDescent="0.25">
      <c r="A660" s="4" t="s">
        <v>1285</v>
      </c>
      <c r="B660" s="4" t="s">
        <v>38</v>
      </c>
      <c r="C660" s="4" t="s">
        <v>14</v>
      </c>
      <c r="D660" s="35">
        <v>4709</v>
      </c>
      <c r="E660" s="4" t="s">
        <v>1286</v>
      </c>
      <c r="F660" s="5">
        <v>39814</v>
      </c>
      <c r="G660" s="5">
        <v>40178</v>
      </c>
      <c r="H660" s="4" t="s">
        <v>40</v>
      </c>
      <c r="I660" s="6">
        <v>2875.17</v>
      </c>
      <c r="J660" s="6">
        <v>2875.17</v>
      </c>
      <c r="K660" s="37" t="s">
        <v>790</v>
      </c>
      <c r="L660" s="119"/>
      <c r="M660" s="3"/>
    </row>
    <row r="661" spans="1:13" s="4" customFormat="1" ht="14.25" customHeight="1" x14ac:dyDescent="0.25">
      <c r="A661" s="4" t="s">
        <v>1287</v>
      </c>
      <c r="B661" s="4" t="s">
        <v>38</v>
      </c>
      <c r="C661" s="4" t="s">
        <v>14</v>
      </c>
      <c r="D661" s="35">
        <v>4711</v>
      </c>
      <c r="E661" s="4" t="s">
        <v>1288</v>
      </c>
      <c r="F661" s="5">
        <v>39814</v>
      </c>
      <c r="G661" s="5">
        <v>40178</v>
      </c>
      <c r="H661" s="4" t="s">
        <v>40</v>
      </c>
      <c r="I661" s="6">
        <v>9144.2900000000009</v>
      </c>
      <c r="J661" s="6">
        <v>9144.2900000000009</v>
      </c>
      <c r="K661" s="37" t="s">
        <v>790</v>
      </c>
      <c r="L661" s="119"/>
      <c r="M661" s="3"/>
    </row>
    <row r="662" spans="1:13" s="4" customFormat="1" ht="14.25" customHeight="1" x14ac:dyDescent="0.25">
      <c r="A662" s="4" t="s">
        <v>1289</v>
      </c>
      <c r="B662" s="4" t="s">
        <v>38</v>
      </c>
      <c r="C662" s="4" t="s">
        <v>14</v>
      </c>
      <c r="D662" s="35">
        <v>4731</v>
      </c>
      <c r="E662" s="4" t="s">
        <v>1290</v>
      </c>
      <c r="F662" s="5">
        <v>39701</v>
      </c>
      <c r="G662" s="5">
        <v>39706</v>
      </c>
      <c r="H662" s="4" t="s">
        <v>40</v>
      </c>
      <c r="I662" s="6">
        <v>3295</v>
      </c>
      <c r="J662" s="6">
        <v>3295</v>
      </c>
      <c r="K662" s="37" t="s">
        <v>790</v>
      </c>
      <c r="L662" s="119"/>
      <c r="M662" s="3"/>
    </row>
    <row r="663" spans="1:13" s="4" customFormat="1" ht="14.25" customHeight="1" x14ac:dyDescent="0.25">
      <c r="A663" s="4" t="s">
        <v>1291</v>
      </c>
      <c r="B663" s="4" t="s">
        <v>38</v>
      </c>
      <c r="C663" s="4" t="s">
        <v>14</v>
      </c>
      <c r="D663" s="35">
        <v>4735</v>
      </c>
      <c r="E663" s="4" t="s">
        <v>1292</v>
      </c>
      <c r="F663" s="5">
        <v>39995</v>
      </c>
      <c r="G663" s="5">
        <v>40359</v>
      </c>
      <c r="H663" s="4" t="s">
        <v>40</v>
      </c>
      <c r="I663" s="6">
        <v>16119.68</v>
      </c>
      <c r="J663" s="6">
        <v>16119.68</v>
      </c>
      <c r="K663" s="37" t="s">
        <v>790</v>
      </c>
      <c r="L663" s="119"/>
      <c r="M663" s="3"/>
    </row>
    <row r="664" spans="1:13" s="4" customFormat="1" ht="14.25" customHeight="1" x14ac:dyDescent="0.25">
      <c r="A664" s="4" t="s">
        <v>1293</v>
      </c>
      <c r="B664" s="4" t="s">
        <v>38</v>
      </c>
      <c r="C664" s="4" t="s">
        <v>14</v>
      </c>
      <c r="D664" s="35">
        <v>4738</v>
      </c>
      <c r="E664" s="4" t="s">
        <v>1294</v>
      </c>
      <c r="F664" s="5">
        <v>39814</v>
      </c>
      <c r="G664" s="5">
        <v>40178</v>
      </c>
      <c r="H664" s="4" t="s">
        <v>40</v>
      </c>
      <c r="I664" s="6">
        <v>12712.68</v>
      </c>
      <c r="J664" s="6">
        <v>12712.68</v>
      </c>
      <c r="K664" s="37" t="s">
        <v>790</v>
      </c>
      <c r="L664" s="119"/>
      <c r="M664" s="3"/>
    </row>
    <row r="665" spans="1:13" s="4" customFormat="1" ht="14.25" customHeight="1" x14ac:dyDescent="0.25">
      <c r="A665" s="4" t="s">
        <v>1295</v>
      </c>
      <c r="B665" s="4" t="s">
        <v>38</v>
      </c>
      <c r="C665" s="4" t="s">
        <v>14</v>
      </c>
      <c r="D665" s="35">
        <v>4740</v>
      </c>
      <c r="E665" s="4" t="s">
        <v>1296</v>
      </c>
      <c r="F665" s="5">
        <v>39814</v>
      </c>
      <c r="G665" s="5">
        <v>40178</v>
      </c>
      <c r="H665" s="4" t="s">
        <v>40</v>
      </c>
      <c r="I665" s="6">
        <v>5000</v>
      </c>
      <c r="J665" s="6">
        <v>5000</v>
      </c>
      <c r="K665" s="37" t="s">
        <v>790</v>
      </c>
      <c r="L665" s="119"/>
      <c r="M665" s="3"/>
    </row>
    <row r="666" spans="1:13" s="4" customFormat="1" ht="14.25" customHeight="1" x14ac:dyDescent="0.25">
      <c r="A666" s="4" t="s">
        <v>1297</v>
      </c>
      <c r="B666" s="4" t="s">
        <v>38</v>
      </c>
      <c r="C666" s="4" t="s">
        <v>14</v>
      </c>
      <c r="D666" s="35">
        <v>4769</v>
      </c>
      <c r="E666" s="7" t="s">
        <v>1298</v>
      </c>
      <c r="F666" s="5">
        <v>39814</v>
      </c>
      <c r="G666" s="5">
        <v>40178</v>
      </c>
      <c r="H666" s="4" t="s">
        <v>40</v>
      </c>
      <c r="I666" s="6">
        <v>4625</v>
      </c>
      <c r="J666" s="6">
        <v>4625</v>
      </c>
      <c r="K666" s="37" t="s">
        <v>790</v>
      </c>
      <c r="L666" s="119"/>
      <c r="M666" s="3"/>
    </row>
    <row r="667" spans="1:13" s="4" customFormat="1" ht="14.25" customHeight="1" x14ac:dyDescent="0.25">
      <c r="A667" s="4" t="s">
        <v>1299</v>
      </c>
      <c r="B667" s="4" t="s">
        <v>38</v>
      </c>
      <c r="C667" s="4" t="s">
        <v>14</v>
      </c>
      <c r="D667" s="35">
        <v>4770</v>
      </c>
      <c r="E667" s="4" t="s">
        <v>1300</v>
      </c>
      <c r="F667" s="5">
        <v>39814</v>
      </c>
      <c r="G667" s="5">
        <v>40178</v>
      </c>
      <c r="H667" s="4" t="s">
        <v>40</v>
      </c>
      <c r="I667" s="6">
        <v>12653.76</v>
      </c>
      <c r="J667" s="6">
        <v>12653.76</v>
      </c>
      <c r="K667" s="37" t="s">
        <v>790</v>
      </c>
      <c r="L667" s="119"/>
      <c r="M667" s="3"/>
    </row>
    <row r="668" spans="1:13" s="4" customFormat="1" ht="14.25" customHeight="1" x14ac:dyDescent="0.25">
      <c r="A668" s="4" t="s">
        <v>1301</v>
      </c>
      <c r="B668" s="4" t="s">
        <v>38</v>
      </c>
      <c r="C668" s="4" t="s">
        <v>14</v>
      </c>
      <c r="D668" s="35">
        <v>4771</v>
      </c>
      <c r="E668" s="4" t="s">
        <v>1302</v>
      </c>
      <c r="F668" s="5">
        <v>39814</v>
      </c>
      <c r="G668" s="5">
        <v>40178</v>
      </c>
      <c r="H668" s="4" t="s">
        <v>40</v>
      </c>
      <c r="I668" s="6">
        <v>4197.07</v>
      </c>
      <c r="J668" s="6">
        <v>4197.07</v>
      </c>
      <c r="K668" s="37" t="s">
        <v>790</v>
      </c>
      <c r="L668" s="119"/>
      <c r="M668" s="3"/>
    </row>
    <row r="669" spans="1:13" s="4" customFormat="1" ht="14.25" customHeight="1" x14ac:dyDescent="0.25">
      <c r="A669" s="4" t="s">
        <v>1303</v>
      </c>
      <c r="B669" s="4" t="s">
        <v>38</v>
      </c>
      <c r="C669" s="4" t="s">
        <v>14</v>
      </c>
      <c r="D669" s="35">
        <v>4773</v>
      </c>
      <c r="E669" s="4" t="s">
        <v>1304</v>
      </c>
      <c r="F669" s="5">
        <v>39814</v>
      </c>
      <c r="G669" s="5">
        <v>40178</v>
      </c>
      <c r="H669" s="4" t="s">
        <v>40</v>
      </c>
      <c r="I669" s="6">
        <v>318.74</v>
      </c>
      <c r="J669" s="6">
        <v>318.74</v>
      </c>
      <c r="K669" s="37" t="s">
        <v>790</v>
      </c>
      <c r="L669" s="119"/>
      <c r="M669" s="3"/>
    </row>
    <row r="670" spans="1:13" s="4" customFormat="1" ht="14.25" customHeight="1" x14ac:dyDescent="0.25">
      <c r="A670" s="4" t="s">
        <v>1305</v>
      </c>
      <c r="B670" s="4" t="s">
        <v>38</v>
      </c>
      <c r="C670" s="4" t="s">
        <v>14</v>
      </c>
      <c r="D670" s="35">
        <v>4774</v>
      </c>
      <c r="E670" s="4" t="s">
        <v>1306</v>
      </c>
      <c r="F670" s="5">
        <v>39814</v>
      </c>
      <c r="G670" s="5">
        <v>40178</v>
      </c>
      <c r="H670" s="4" t="s">
        <v>40</v>
      </c>
      <c r="I670" s="6">
        <v>946.08</v>
      </c>
      <c r="J670" s="6">
        <v>946.08</v>
      </c>
      <c r="K670" s="37" t="s">
        <v>790</v>
      </c>
      <c r="L670" s="119"/>
      <c r="M670" s="3"/>
    </row>
    <row r="671" spans="1:13" s="4" customFormat="1" ht="14.25" customHeight="1" x14ac:dyDescent="0.25">
      <c r="A671" s="4" t="s">
        <v>1307</v>
      </c>
      <c r="B671" s="4" t="s">
        <v>38</v>
      </c>
      <c r="C671" s="4" t="s">
        <v>14</v>
      </c>
      <c r="D671" s="35">
        <v>4776</v>
      </c>
      <c r="E671" s="4" t="s">
        <v>1308</v>
      </c>
      <c r="F671" s="5">
        <v>39814</v>
      </c>
      <c r="G671" s="5">
        <v>40178</v>
      </c>
      <c r="H671" s="4" t="s">
        <v>40</v>
      </c>
      <c r="I671" s="6">
        <v>8255.74</v>
      </c>
      <c r="J671" s="6">
        <v>8255.74</v>
      </c>
      <c r="K671" s="37" t="s">
        <v>790</v>
      </c>
      <c r="L671" s="119"/>
      <c r="M671" s="3"/>
    </row>
    <row r="672" spans="1:13" s="4" customFormat="1" ht="14.25" customHeight="1" x14ac:dyDescent="0.25">
      <c r="A672" s="4" t="s">
        <v>1309</v>
      </c>
      <c r="B672" s="4" t="s">
        <v>38</v>
      </c>
      <c r="C672" s="4" t="s">
        <v>14</v>
      </c>
      <c r="D672" s="35">
        <v>4778</v>
      </c>
      <c r="E672" s="4" t="s">
        <v>1310</v>
      </c>
      <c r="F672" s="5">
        <v>39814</v>
      </c>
      <c r="G672" s="5">
        <v>40178</v>
      </c>
      <c r="H672" s="4" t="s">
        <v>40</v>
      </c>
      <c r="I672" s="6">
        <v>1250</v>
      </c>
      <c r="J672" s="6">
        <v>1250</v>
      </c>
      <c r="K672" s="37" t="s">
        <v>790</v>
      </c>
      <c r="L672" s="119"/>
      <c r="M672" s="3"/>
    </row>
    <row r="673" spans="1:13" s="4" customFormat="1" ht="14.25" customHeight="1" x14ac:dyDescent="0.25">
      <c r="A673" s="4" t="s">
        <v>1311</v>
      </c>
      <c r="B673" s="4" t="s">
        <v>38</v>
      </c>
      <c r="C673" s="4" t="s">
        <v>14</v>
      </c>
      <c r="D673" s="35">
        <v>4779</v>
      </c>
      <c r="E673" s="4" t="s">
        <v>1312</v>
      </c>
      <c r="F673" s="5">
        <v>39814</v>
      </c>
      <c r="G673" s="5">
        <v>40178</v>
      </c>
      <c r="H673" s="4" t="s">
        <v>40</v>
      </c>
      <c r="I673" s="6">
        <v>226.38</v>
      </c>
      <c r="J673" s="6">
        <v>226.38</v>
      </c>
      <c r="K673" s="37" t="s">
        <v>790</v>
      </c>
      <c r="L673" s="119"/>
      <c r="M673" s="3"/>
    </row>
    <row r="674" spans="1:13" s="4" customFormat="1" ht="14.25" customHeight="1" x14ac:dyDescent="0.25">
      <c r="A674" s="4" t="s">
        <v>1313</v>
      </c>
      <c r="B674" s="4" t="s">
        <v>38</v>
      </c>
      <c r="C674" s="4" t="s">
        <v>14</v>
      </c>
      <c r="D674" s="35">
        <v>4780</v>
      </c>
      <c r="E674" s="4" t="s">
        <v>1314</v>
      </c>
      <c r="F674" s="5">
        <v>39814</v>
      </c>
      <c r="G674" s="5">
        <v>40178</v>
      </c>
      <c r="H674" s="4" t="s">
        <v>40</v>
      </c>
      <c r="I674" s="6">
        <v>2385.86</v>
      </c>
      <c r="J674" s="6">
        <v>2385.86</v>
      </c>
      <c r="K674" s="37" t="s">
        <v>790</v>
      </c>
      <c r="L674" s="119"/>
      <c r="M674" s="3"/>
    </row>
    <row r="675" spans="1:13" s="4" customFormat="1" ht="14.25" customHeight="1" x14ac:dyDescent="0.25">
      <c r="A675" s="4" t="s">
        <v>1315</v>
      </c>
      <c r="B675" s="4" t="s">
        <v>38</v>
      </c>
      <c r="C675" s="4" t="s">
        <v>14</v>
      </c>
      <c r="D675" s="35">
        <v>4781</v>
      </c>
      <c r="E675" s="4" t="s">
        <v>1316</v>
      </c>
      <c r="F675" s="5">
        <v>40148</v>
      </c>
      <c r="G675" s="5">
        <v>40178</v>
      </c>
      <c r="H675" s="4" t="s">
        <v>40</v>
      </c>
      <c r="I675" s="6">
        <v>2208.4</v>
      </c>
      <c r="J675" s="6">
        <v>2208.4</v>
      </c>
      <c r="K675" s="37" t="s">
        <v>790</v>
      </c>
      <c r="L675" s="119"/>
      <c r="M675" s="3"/>
    </row>
    <row r="676" spans="1:13" s="4" customFormat="1" ht="14.25" customHeight="1" x14ac:dyDescent="0.25">
      <c r="A676" s="4" t="s">
        <v>1317</v>
      </c>
      <c r="B676" s="4" t="s">
        <v>38</v>
      </c>
      <c r="C676" s="4" t="s">
        <v>14</v>
      </c>
      <c r="D676" s="35">
        <v>4785</v>
      </c>
      <c r="E676" s="4" t="s">
        <v>1318</v>
      </c>
      <c r="F676" s="5">
        <v>39814</v>
      </c>
      <c r="G676" s="5">
        <v>40178</v>
      </c>
      <c r="H676" s="4" t="s">
        <v>40</v>
      </c>
      <c r="I676" s="6">
        <v>10263.030000000001</v>
      </c>
      <c r="J676" s="6">
        <v>10263.030000000001</v>
      </c>
      <c r="K676" s="37" t="s">
        <v>790</v>
      </c>
      <c r="L676" s="119"/>
      <c r="M676" s="3"/>
    </row>
    <row r="677" spans="1:13" s="4" customFormat="1" ht="14.25" customHeight="1" x14ac:dyDescent="0.25">
      <c r="A677" s="4" t="s">
        <v>1319</v>
      </c>
      <c r="B677" s="4" t="s">
        <v>38</v>
      </c>
      <c r="C677" s="4" t="s">
        <v>14</v>
      </c>
      <c r="D677" s="35">
        <v>4786</v>
      </c>
      <c r="E677" s="4" t="s">
        <v>1320</v>
      </c>
      <c r="F677" s="5">
        <v>39814</v>
      </c>
      <c r="G677" s="5">
        <v>40178</v>
      </c>
      <c r="H677" s="4" t="s">
        <v>40</v>
      </c>
      <c r="I677" s="6">
        <v>2298.59</v>
      </c>
      <c r="J677" s="6">
        <v>2298.59</v>
      </c>
      <c r="K677" s="37" t="s">
        <v>790</v>
      </c>
      <c r="L677" s="119"/>
      <c r="M677" s="3"/>
    </row>
    <row r="678" spans="1:13" s="4" customFormat="1" ht="14.25" customHeight="1" x14ac:dyDescent="0.25">
      <c r="A678" s="4" t="s">
        <v>1321</v>
      </c>
      <c r="B678" s="4" t="s">
        <v>38</v>
      </c>
      <c r="C678" s="4" t="s">
        <v>14</v>
      </c>
      <c r="D678" s="35">
        <v>4787</v>
      </c>
      <c r="E678" s="4" t="s">
        <v>1322</v>
      </c>
      <c r="F678" s="5">
        <v>39814</v>
      </c>
      <c r="G678" s="5">
        <v>40178</v>
      </c>
      <c r="H678" s="4" t="s">
        <v>40</v>
      </c>
      <c r="I678" s="6">
        <v>1569.67</v>
      </c>
      <c r="J678" s="6">
        <v>1569.67</v>
      </c>
      <c r="K678" s="37" t="s">
        <v>790</v>
      </c>
      <c r="L678" s="119"/>
      <c r="M678" s="3"/>
    </row>
    <row r="679" spans="1:13" s="4" customFormat="1" ht="14.25" customHeight="1" x14ac:dyDescent="0.25">
      <c r="A679" s="4" t="s">
        <v>1323</v>
      </c>
      <c r="B679" s="4" t="s">
        <v>38</v>
      </c>
      <c r="C679" s="4" t="s">
        <v>14</v>
      </c>
      <c r="D679" s="35">
        <v>4789</v>
      </c>
      <c r="E679" s="4" t="s">
        <v>1324</v>
      </c>
      <c r="F679" s="5">
        <v>39814</v>
      </c>
      <c r="G679" s="5">
        <v>40178</v>
      </c>
      <c r="H679" s="4" t="s">
        <v>40</v>
      </c>
      <c r="I679" s="6">
        <v>2364.25</v>
      </c>
      <c r="J679" s="6">
        <v>4364.25</v>
      </c>
      <c r="K679" s="37" t="s">
        <v>790</v>
      </c>
      <c r="L679" s="119"/>
      <c r="M679" s="3"/>
    </row>
    <row r="680" spans="1:13" s="4" customFormat="1" ht="14.25" customHeight="1" x14ac:dyDescent="0.25">
      <c r="A680" s="4" t="s">
        <v>1325</v>
      </c>
      <c r="B680" s="4" t="s">
        <v>38</v>
      </c>
      <c r="C680" s="4" t="s">
        <v>14</v>
      </c>
      <c r="D680" s="35">
        <v>4791</v>
      </c>
      <c r="E680" s="4" t="s">
        <v>1326</v>
      </c>
      <c r="F680" s="5">
        <v>39814</v>
      </c>
      <c r="G680" s="5">
        <v>40178</v>
      </c>
      <c r="H680" s="4" t="s">
        <v>40</v>
      </c>
      <c r="I680" s="6">
        <v>2778.47</v>
      </c>
      <c r="J680" s="6">
        <v>2778.47</v>
      </c>
      <c r="K680" s="37" t="s">
        <v>790</v>
      </c>
      <c r="L680" s="119"/>
      <c r="M680" s="3"/>
    </row>
    <row r="681" spans="1:13" s="4" customFormat="1" ht="14.25" customHeight="1" x14ac:dyDescent="0.25">
      <c r="A681" s="4" t="s">
        <v>1327</v>
      </c>
      <c r="B681" s="4" t="s">
        <v>38</v>
      </c>
      <c r="C681" s="4" t="s">
        <v>14</v>
      </c>
      <c r="D681" s="35">
        <v>4792</v>
      </c>
      <c r="E681" s="4" t="s">
        <v>1125</v>
      </c>
      <c r="F681" s="5">
        <v>39814</v>
      </c>
      <c r="G681" s="5">
        <v>40178</v>
      </c>
      <c r="H681" s="4" t="s">
        <v>40</v>
      </c>
      <c r="I681" s="6">
        <v>20156.09</v>
      </c>
      <c r="J681" s="6">
        <v>20156.09</v>
      </c>
      <c r="K681" s="37" t="s">
        <v>790</v>
      </c>
      <c r="L681" s="119"/>
      <c r="M681" s="3"/>
    </row>
    <row r="682" spans="1:13" s="4" customFormat="1" ht="14.25" customHeight="1" x14ac:dyDescent="0.25">
      <c r="A682" s="4" t="s">
        <v>1328</v>
      </c>
      <c r="B682" s="4" t="s">
        <v>38</v>
      </c>
      <c r="C682" s="4" t="s">
        <v>14</v>
      </c>
      <c r="D682" s="35">
        <v>4793</v>
      </c>
      <c r="E682" s="7" t="s">
        <v>1194</v>
      </c>
      <c r="F682" s="5">
        <v>39814</v>
      </c>
      <c r="G682" s="5">
        <v>40543</v>
      </c>
      <c r="H682" s="4" t="s">
        <v>40</v>
      </c>
      <c r="I682" s="6">
        <v>22038.080000000002</v>
      </c>
      <c r="J682" s="6">
        <v>22038.080000000002</v>
      </c>
      <c r="K682" s="37" t="s">
        <v>790</v>
      </c>
      <c r="L682" s="119"/>
      <c r="M682" s="3"/>
    </row>
    <row r="683" spans="1:13" s="4" customFormat="1" ht="14.25" customHeight="1" x14ac:dyDescent="0.25">
      <c r="A683" s="4" t="s">
        <v>1329</v>
      </c>
      <c r="B683" s="4" t="s">
        <v>38</v>
      </c>
      <c r="C683" s="4" t="s">
        <v>14</v>
      </c>
      <c r="D683" s="35">
        <v>4794</v>
      </c>
      <c r="E683" s="4" t="s">
        <v>1330</v>
      </c>
      <c r="F683" s="5">
        <v>39814</v>
      </c>
      <c r="G683" s="5">
        <v>40178</v>
      </c>
      <c r="H683" s="4" t="s">
        <v>40</v>
      </c>
      <c r="I683" s="6">
        <v>666.49</v>
      </c>
      <c r="J683" s="6">
        <v>666.49</v>
      </c>
      <c r="K683" s="37" t="s">
        <v>790</v>
      </c>
      <c r="L683" s="119"/>
      <c r="M683" s="3"/>
    </row>
    <row r="684" spans="1:13" s="4" customFormat="1" ht="14.25" customHeight="1" x14ac:dyDescent="0.25">
      <c r="A684" s="4" t="s">
        <v>1331</v>
      </c>
      <c r="B684" s="4" t="s">
        <v>38</v>
      </c>
      <c r="C684" s="4" t="s">
        <v>14</v>
      </c>
      <c r="D684" s="35">
        <v>4795</v>
      </c>
      <c r="E684" s="4" t="s">
        <v>1332</v>
      </c>
      <c r="F684" s="5">
        <v>39814</v>
      </c>
      <c r="G684" s="5">
        <v>40543</v>
      </c>
      <c r="H684" s="4" t="s">
        <v>40</v>
      </c>
      <c r="I684" s="6">
        <v>13860</v>
      </c>
      <c r="J684" s="6">
        <v>13860</v>
      </c>
      <c r="K684" s="37" t="s">
        <v>790</v>
      </c>
      <c r="L684" s="119"/>
      <c r="M684" s="3"/>
    </row>
    <row r="685" spans="1:13" s="4" customFormat="1" ht="14.25" customHeight="1" x14ac:dyDescent="0.25">
      <c r="A685" s="4" t="s">
        <v>1333</v>
      </c>
      <c r="B685" s="4" t="s">
        <v>38</v>
      </c>
      <c r="C685" s="4" t="s">
        <v>14</v>
      </c>
      <c r="D685" s="35">
        <v>4823</v>
      </c>
      <c r="E685" s="4" t="s">
        <v>1334</v>
      </c>
      <c r="F685" s="5">
        <v>39814</v>
      </c>
      <c r="G685" s="5">
        <v>40178</v>
      </c>
      <c r="H685" s="4" t="s">
        <v>40</v>
      </c>
      <c r="I685" s="6">
        <v>1206.8</v>
      </c>
      <c r="J685" s="6">
        <v>1206.8</v>
      </c>
      <c r="K685" s="37" t="s">
        <v>790</v>
      </c>
      <c r="L685" s="119"/>
      <c r="M685" s="3"/>
    </row>
    <row r="686" spans="1:13" s="4" customFormat="1" ht="14.25" customHeight="1" x14ac:dyDescent="0.25">
      <c r="A686" s="4" t="s">
        <v>1335</v>
      </c>
      <c r="B686" s="4" t="s">
        <v>38</v>
      </c>
      <c r="C686" s="4" t="s">
        <v>14</v>
      </c>
      <c r="D686" s="35">
        <v>4829</v>
      </c>
      <c r="E686" s="4" t="s">
        <v>1336</v>
      </c>
      <c r="F686" s="5">
        <v>39814</v>
      </c>
      <c r="G686" s="5">
        <v>40178</v>
      </c>
      <c r="H686" s="4" t="s">
        <v>40</v>
      </c>
      <c r="I686" s="6">
        <v>3282.35</v>
      </c>
      <c r="J686" s="6">
        <v>3282.35</v>
      </c>
      <c r="K686" s="37" t="s">
        <v>790</v>
      </c>
      <c r="L686" s="119"/>
      <c r="M686" s="3"/>
    </row>
    <row r="687" spans="1:13" s="4" customFormat="1" ht="14.25" customHeight="1" x14ac:dyDescent="0.25">
      <c r="A687" s="4" t="s">
        <v>1337</v>
      </c>
      <c r="B687" s="4" t="s">
        <v>38</v>
      </c>
      <c r="C687" s="4" t="s">
        <v>14</v>
      </c>
      <c r="D687" s="35">
        <v>4830</v>
      </c>
      <c r="E687" s="4" t="s">
        <v>1338</v>
      </c>
      <c r="F687" s="5">
        <v>39814</v>
      </c>
      <c r="G687" s="5">
        <v>40178</v>
      </c>
      <c r="H687" s="4" t="s">
        <v>40</v>
      </c>
      <c r="I687" s="6">
        <v>3416.89</v>
      </c>
      <c r="J687" s="6">
        <v>3416.89</v>
      </c>
      <c r="K687" s="37" t="s">
        <v>790</v>
      </c>
      <c r="L687" s="119"/>
      <c r="M687" s="3"/>
    </row>
    <row r="688" spans="1:13" s="4" customFormat="1" ht="14.25" customHeight="1" x14ac:dyDescent="0.25">
      <c r="A688" s="4" t="s">
        <v>1339</v>
      </c>
      <c r="B688" s="4" t="s">
        <v>38</v>
      </c>
      <c r="C688" s="4" t="s">
        <v>14</v>
      </c>
      <c r="D688" s="35">
        <v>4832</v>
      </c>
      <c r="E688" s="4" t="s">
        <v>1340</v>
      </c>
      <c r="F688" s="5">
        <v>39814</v>
      </c>
      <c r="G688" s="5">
        <v>40543</v>
      </c>
      <c r="H688" s="4" t="s">
        <v>40</v>
      </c>
      <c r="I688" s="6">
        <v>18507.22</v>
      </c>
      <c r="J688" s="6">
        <v>18507.22</v>
      </c>
      <c r="K688" s="37" t="s">
        <v>790</v>
      </c>
      <c r="L688" s="119"/>
      <c r="M688" s="3"/>
    </row>
    <row r="689" spans="1:13" s="4" customFormat="1" ht="14.25" customHeight="1" x14ac:dyDescent="0.25">
      <c r="A689" s="4" t="s">
        <v>1341</v>
      </c>
      <c r="B689" s="4" t="s">
        <v>38</v>
      </c>
      <c r="C689" s="4" t="s">
        <v>14</v>
      </c>
      <c r="D689" s="35">
        <v>4834</v>
      </c>
      <c r="E689" s="4" t="s">
        <v>1342</v>
      </c>
      <c r="F689" s="5">
        <v>39814</v>
      </c>
      <c r="G689" s="5">
        <v>40908</v>
      </c>
      <c r="H689" s="4" t="s">
        <v>40</v>
      </c>
      <c r="I689" s="6">
        <v>15194.66</v>
      </c>
      <c r="J689" s="6">
        <v>15194.66</v>
      </c>
      <c r="K689" s="37" t="s">
        <v>790</v>
      </c>
      <c r="L689" s="119"/>
      <c r="M689" s="3"/>
    </row>
    <row r="690" spans="1:13" s="4" customFormat="1" ht="14.25" customHeight="1" x14ac:dyDescent="0.25">
      <c r="A690" s="4" t="s">
        <v>1343</v>
      </c>
      <c r="B690" s="4" t="s">
        <v>38</v>
      </c>
      <c r="C690" s="4" t="s">
        <v>14</v>
      </c>
      <c r="D690" s="35">
        <v>4844</v>
      </c>
      <c r="E690" s="4" t="s">
        <v>1344</v>
      </c>
      <c r="F690" s="5">
        <v>39814</v>
      </c>
      <c r="G690" s="5">
        <v>40178</v>
      </c>
      <c r="H690" s="4" t="s">
        <v>40</v>
      </c>
      <c r="I690" s="6">
        <v>1521.3</v>
      </c>
      <c r="J690" s="6">
        <v>1521.3</v>
      </c>
      <c r="K690" s="37" t="s">
        <v>790</v>
      </c>
      <c r="L690" s="119"/>
      <c r="M690" s="3"/>
    </row>
    <row r="691" spans="1:13" s="4" customFormat="1" ht="14.25" customHeight="1" x14ac:dyDescent="0.25">
      <c r="A691" s="4" t="s">
        <v>1345</v>
      </c>
      <c r="B691" s="4" t="s">
        <v>38</v>
      </c>
      <c r="C691" s="4" t="s">
        <v>14</v>
      </c>
      <c r="D691" s="35">
        <v>4845</v>
      </c>
      <c r="E691" s="4" t="s">
        <v>1346</v>
      </c>
      <c r="F691" s="5">
        <v>39814</v>
      </c>
      <c r="G691" s="5">
        <v>40178</v>
      </c>
      <c r="H691" s="4" t="s">
        <v>40</v>
      </c>
      <c r="I691" s="6">
        <v>3014.54</v>
      </c>
      <c r="J691" s="6">
        <v>3014.54</v>
      </c>
      <c r="K691" s="37" t="s">
        <v>790</v>
      </c>
      <c r="L691" s="119"/>
      <c r="M691" s="3"/>
    </row>
    <row r="692" spans="1:13" s="4" customFormat="1" ht="14.25" customHeight="1" x14ac:dyDescent="0.25">
      <c r="A692" s="4" t="s">
        <v>1347</v>
      </c>
      <c r="B692" s="4" t="s">
        <v>38</v>
      </c>
      <c r="C692" s="4" t="s">
        <v>14</v>
      </c>
      <c r="D692" s="35">
        <v>4855</v>
      </c>
      <c r="E692" s="4" t="s">
        <v>1348</v>
      </c>
      <c r="F692" s="5">
        <v>39814</v>
      </c>
      <c r="G692" s="5">
        <v>40178</v>
      </c>
      <c r="H692" s="4" t="s">
        <v>40</v>
      </c>
      <c r="I692" s="6">
        <v>960.09</v>
      </c>
      <c r="J692" s="6">
        <v>960.09</v>
      </c>
      <c r="K692" s="37" t="s">
        <v>790</v>
      </c>
      <c r="L692" s="119"/>
      <c r="M692" s="3"/>
    </row>
    <row r="693" spans="1:13" s="4" customFormat="1" ht="14.25" customHeight="1" x14ac:dyDescent="0.25">
      <c r="A693" s="4" t="s">
        <v>1349</v>
      </c>
      <c r="B693" s="4" t="s">
        <v>38</v>
      </c>
      <c r="C693" s="4" t="s">
        <v>14</v>
      </c>
      <c r="D693" s="35">
        <v>4856</v>
      </c>
      <c r="E693" s="4" t="s">
        <v>1350</v>
      </c>
      <c r="F693" s="5">
        <v>39814</v>
      </c>
      <c r="G693" s="5">
        <v>40178</v>
      </c>
      <c r="H693" s="4" t="s">
        <v>40</v>
      </c>
      <c r="I693" s="6">
        <v>4366</v>
      </c>
      <c r="J693" s="6">
        <v>4366</v>
      </c>
      <c r="K693" s="37" t="s">
        <v>790</v>
      </c>
      <c r="L693" s="119"/>
      <c r="M693" s="3"/>
    </row>
    <row r="694" spans="1:13" s="4" customFormat="1" ht="14.25" customHeight="1" x14ac:dyDescent="0.25">
      <c r="A694" s="4" t="s">
        <v>1351</v>
      </c>
      <c r="B694" s="4" t="s">
        <v>38</v>
      </c>
      <c r="C694" s="4" t="s">
        <v>14</v>
      </c>
      <c r="D694" s="35">
        <v>4857</v>
      </c>
      <c r="E694" s="4" t="s">
        <v>1352</v>
      </c>
      <c r="F694" s="5">
        <v>39814</v>
      </c>
      <c r="G694" s="5">
        <v>40178</v>
      </c>
      <c r="H694" s="4" t="s">
        <v>40</v>
      </c>
      <c r="I694" s="6">
        <v>2500</v>
      </c>
      <c r="J694" s="6">
        <v>2500</v>
      </c>
      <c r="K694" s="37" t="s">
        <v>790</v>
      </c>
      <c r="L694" s="119"/>
      <c r="M694" s="3"/>
    </row>
    <row r="695" spans="1:13" s="4" customFormat="1" ht="14.25" customHeight="1" x14ac:dyDescent="0.25">
      <c r="A695" s="4" t="s">
        <v>1353</v>
      </c>
      <c r="B695" s="4" t="s">
        <v>38</v>
      </c>
      <c r="C695" s="4" t="s">
        <v>14</v>
      </c>
      <c r="D695" s="35">
        <v>4858</v>
      </c>
      <c r="E695" s="4" t="s">
        <v>1354</v>
      </c>
      <c r="F695" s="5">
        <v>39814</v>
      </c>
      <c r="G695" s="5">
        <v>40178</v>
      </c>
      <c r="H695" s="4" t="s">
        <v>40</v>
      </c>
      <c r="I695" s="6">
        <v>403.38</v>
      </c>
      <c r="J695" s="6">
        <v>403.38</v>
      </c>
      <c r="K695" s="37" t="s">
        <v>790</v>
      </c>
      <c r="L695" s="119"/>
      <c r="M695" s="3"/>
    </row>
    <row r="696" spans="1:13" s="4" customFormat="1" ht="14.25" customHeight="1" x14ac:dyDescent="0.25">
      <c r="A696" s="4" t="s">
        <v>1355</v>
      </c>
      <c r="B696" s="4" t="s">
        <v>38</v>
      </c>
      <c r="C696" s="4" t="s">
        <v>14</v>
      </c>
      <c r="D696" s="35">
        <v>4859</v>
      </c>
      <c r="E696" s="4" t="s">
        <v>1356</v>
      </c>
      <c r="F696" s="5">
        <v>39814</v>
      </c>
      <c r="G696" s="5">
        <v>40543</v>
      </c>
      <c r="H696" s="4" t="s">
        <v>40</v>
      </c>
      <c r="I696" s="6">
        <v>1495.1</v>
      </c>
      <c r="J696" s="6">
        <v>1495.1</v>
      </c>
      <c r="K696" s="37" t="s">
        <v>790</v>
      </c>
      <c r="L696" s="119"/>
      <c r="M696" s="3"/>
    </row>
    <row r="697" spans="1:13" s="4" customFormat="1" ht="14.25" customHeight="1" x14ac:dyDescent="0.25">
      <c r="A697" s="4" t="s">
        <v>1357</v>
      </c>
      <c r="B697" s="4" t="s">
        <v>38</v>
      </c>
      <c r="C697" s="4" t="s">
        <v>14</v>
      </c>
      <c r="D697" s="35">
        <v>4860</v>
      </c>
      <c r="E697" s="4" t="s">
        <v>1358</v>
      </c>
      <c r="F697" s="5">
        <v>39814</v>
      </c>
      <c r="G697" s="5">
        <v>40178</v>
      </c>
      <c r="H697" s="4" t="s">
        <v>40</v>
      </c>
      <c r="I697" s="6">
        <v>20881.88</v>
      </c>
      <c r="J697" s="6">
        <v>20881.88</v>
      </c>
      <c r="K697" s="37" t="s">
        <v>790</v>
      </c>
      <c r="L697" s="119"/>
      <c r="M697" s="3"/>
    </row>
    <row r="698" spans="1:13" s="4" customFormat="1" ht="14.25" customHeight="1" x14ac:dyDescent="0.25">
      <c r="A698" s="4" t="s">
        <v>1359</v>
      </c>
      <c r="B698" s="4" t="s">
        <v>38</v>
      </c>
      <c r="C698" s="4" t="s">
        <v>14</v>
      </c>
      <c r="D698" s="35">
        <v>4861</v>
      </c>
      <c r="E698" s="4" t="s">
        <v>1360</v>
      </c>
      <c r="F698" s="5">
        <v>39814</v>
      </c>
      <c r="G698" s="5">
        <v>40178</v>
      </c>
      <c r="H698" s="4" t="s">
        <v>40</v>
      </c>
      <c r="I698" s="6">
        <v>2500</v>
      </c>
      <c r="J698" s="6">
        <v>2500</v>
      </c>
      <c r="K698" s="37" t="s">
        <v>790</v>
      </c>
      <c r="L698" s="119"/>
      <c r="M698" s="3"/>
    </row>
    <row r="699" spans="1:13" s="4" customFormat="1" ht="14.25" customHeight="1" x14ac:dyDescent="0.25">
      <c r="A699" s="4" t="s">
        <v>1361</v>
      </c>
      <c r="B699" s="4" t="s">
        <v>38</v>
      </c>
      <c r="C699" s="4" t="s">
        <v>14</v>
      </c>
      <c r="D699" s="35">
        <v>4862</v>
      </c>
      <c r="E699" s="4" t="s">
        <v>1362</v>
      </c>
      <c r="F699" s="5">
        <v>39814</v>
      </c>
      <c r="G699" s="5">
        <v>40543</v>
      </c>
      <c r="H699" s="4" t="s">
        <v>40</v>
      </c>
      <c r="I699" s="6">
        <v>37972.550000000003</v>
      </c>
      <c r="J699" s="6">
        <v>37972.550000000003</v>
      </c>
      <c r="K699" s="37" t="s">
        <v>790</v>
      </c>
      <c r="L699" s="119"/>
      <c r="M699" s="3"/>
    </row>
    <row r="700" spans="1:13" s="4" customFormat="1" ht="14.25" customHeight="1" x14ac:dyDescent="0.25">
      <c r="A700" s="4" t="s">
        <v>1363</v>
      </c>
      <c r="B700" s="4" t="s">
        <v>38</v>
      </c>
      <c r="C700" s="4" t="s">
        <v>14</v>
      </c>
      <c r="D700" s="35">
        <v>4900</v>
      </c>
      <c r="E700" s="4" t="s">
        <v>1364</v>
      </c>
      <c r="F700" s="5">
        <v>39814</v>
      </c>
      <c r="G700" s="5">
        <v>40178</v>
      </c>
      <c r="H700" s="4" t="s">
        <v>40</v>
      </c>
      <c r="I700" s="6">
        <v>1856.12</v>
      </c>
      <c r="J700" s="6">
        <v>1856.12</v>
      </c>
      <c r="K700" s="37" t="s">
        <v>790</v>
      </c>
      <c r="L700" s="119"/>
      <c r="M700" s="3"/>
    </row>
    <row r="701" spans="1:13" s="4" customFormat="1" ht="14.25" customHeight="1" x14ac:dyDescent="0.25">
      <c r="A701" s="4" t="s">
        <v>1365</v>
      </c>
      <c r="B701" s="4" t="s">
        <v>38</v>
      </c>
      <c r="C701" s="4" t="s">
        <v>14</v>
      </c>
      <c r="D701" s="35">
        <v>4901</v>
      </c>
      <c r="E701" s="4" t="s">
        <v>1366</v>
      </c>
      <c r="F701" s="5">
        <v>39814</v>
      </c>
      <c r="G701" s="5">
        <v>40178</v>
      </c>
      <c r="H701" s="4" t="s">
        <v>40</v>
      </c>
      <c r="I701" s="6">
        <v>1447.97</v>
      </c>
      <c r="J701" s="6">
        <v>1447.97</v>
      </c>
      <c r="K701" s="37" t="s">
        <v>790</v>
      </c>
      <c r="L701" s="119"/>
      <c r="M701" s="3"/>
    </row>
    <row r="702" spans="1:13" s="4" customFormat="1" ht="14.25" customHeight="1" x14ac:dyDescent="0.25">
      <c r="A702" s="4" t="s">
        <v>1297</v>
      </c>
      <c r="B702" s="4" t="s">
        <v>38</v>
      </c>
      <c r="C702" s="4" t="s">
        <v>14</v>
      </c>
      <c r="D702" s="35">
        <v>4955</v>
      </c>
      <c r="E702" s="7" t="s">
        <v>1298</v>
      </c>
      <c r="F702" s="5">
        <v>39814</v>
      </c>
      <c r="G702" s="5">
        <v>40178</v>
      </c>
      <c r="H702" s="4" t="s">
        <v>40</v>
      </c>
      <c r="I702" s="6">
        <v>4625</v>
      </c>
      <c r="J702" s="6">
        <v>4625</v>
      </c>
      <c r="K702" s="37" t="s">
        <v>790</v>
      </c>
      <c r="L702" s="119"/>
      <c r="M702" s="3"/>
    </row>
    <row r="703" spans="1:13" s="4" customFormat="1" ht="14.25" customHeight="1" x14ac:dyDescent="0.25">
      <c r="A703" s="4" t="s">
        <v>1367</v>
      </c>
      <c r="B703" s="4" t="s">
        <v>38</v>
      </c>
      <c r="C703" s="4" t="s">
        <v>14</v>
      </c>
      <c r="D703" s="35">
        <v>4959</v>
      </c>
      <c r="E703" s="4" t="s">
        <v>1368</v>
      </c>
      <c r="F703" s="5">
        <v>39814</v>
      </c>
      <c r="G703" s="5">
        <v>40543</v>
      </c>
      <c r="H703" s="4" t="s">
        <v>40</v>
      </c>
      <c r="I703" s="6">
        <v>41275.75</v>
      </c>
      <c r="J703" s="6">
        <v>41275.75</v>
      </c>
      <c r="K703" s="37" t="s">
        <v>790</v>
      </c>
      <c r="L703" s="119"/>
      <c r="M703" s="3"/>
    </row>
    <row r="704" spans="1:13" s="4" customFormat="1" ht="14.25" customHeight="1" x14ac:dyDescent="0.25">
      <c r="A704" s="4" t="s">
        <v>1291</v>
      </c>
      <c r="B704" s="4" t="s">
        <v>38</v>
      </c>
      <c r="C704" s="4" t="s">
        <v>14</v>
      </c>
      <c r="D704" s="35">
        <v>4962</v>
      </c>
      <c r="E704" s="4" t="s">
        <v>1369</v>
      </c>
      <c r="F704" s="5">
        <v>39995</v>
      </c>
      <c r="G704" s="5">
        <v>40359</v>
      </c>
      <c r="H704" s="4" t="s">
        <v>40</v>
      </c>
      <c r="I704" s="6">
        <v>25283.279999999999</v>
      </c>
      <c r="J704" s="6">
        <v>25283.279999999999</v>
      </c>
      <c r="K704" s="37" t="s">
        <v>790</v>
      </c>
      <c r="L704" s="119"/>
      <c r="M704" s="3"/>
    </row>
    <row r="705" spans="1:13" s="4" customFormat="1" ht="14.25" customHeight="1" x14ac:dyDescent="0.25">
      <c r="A705" s="4" t="s">
        <v>1309</v>
      </c>
      <c r="B705" s="4" t="s">
        <v>38</v>
      </c>
      <c r="C705" s="4" t="s">
        <v>14</v>
      </c>
      <c r="D705" s="35">
        <v>4963</v>
      </c>
      <c r="E705" s="7" t="s">
        <v>1370</v>
      </c>
      <c r="F705" s="5">
        <v>39814</v>
      </c>
      <c r="G705" s="5">
        <v>40178</v>
      </c>
      <c r="H705" s="4" t="s">
        <v>40</v>
      </c>
      <c r="I705" s="6">
        <v>1250</v>
      </c>
      <c r="J705" s="6">
        <v>1250</v>
      </c>
      <c r="K705" s="37" t="s">
        <v>790</v>
      </c>
      <c r="L705" s="119"/>
      <c r="M705" s="3"/>
    </row>
    <row r="706" spans="1:13" s="4" customFormat="1" ht="14.25" customHeight="1" x14ac:dyDescent="0.25">
      <c r="A706" s="4" t="s">
        <v>1371</v>
      </c>
      <c r="B706" s="4" t="s">
        <v>38</v>
      </c>
      <c r="C706" s="4" t="s">
        <v>14</v>
      </c>
      <c r="D706" s="35">
        <v>4966</v>
      </c>
      <c r="E706" s="4" t="s">
        <v>1372</v>
      </c>
      <c r="F706" s="5">
        <v>39814</v>
      </c>
      <c r="G706" s="5">
        <v>40178</v>
      </c>
      <c r="H706" s="4" t="s">
        <v>40</v>
      </c>
      <c r="I706" s="6">
        <v>25000</v>
      </c>
      <c r="J706" s="6">
        <v>25000</v>
      </c>
      <c r="K706" s="37" t="s">
        <v>790</v>
      </c>
      <c r="L706" s="119"/>
      <c r="M706" s="3"/>
    </row>
    <row r="707" spans="1:13" s="4" customFormat="1" ht="14.25" customHeight="1" x14ac:dyDescent="0.25">
      <c r="A707" s="4" t="s">
        <v>1373</v>
      </c>
      <c r="B707" s="4" t="s">
        <v>38</v>
      </c>
      <c r="C707" s="4" t="s">
        <v>14</v>
      </c>
      <c r="D707" s="35">
        <v>4968</v>
      </c>
      <c r="E707" s="4" t="s">
        <v>1374</v>
      </c>
      <c r="F707" s="5">
        <v>39814</v>
      </c>
      <c r="G707" s="5">
        <v>40178</v>
      </c>
      <c r="H707" s="4" t="s">
        <v>40</v>
      </c>
      <c r="I707" s="6">
        <v>1725</v>
      </c>
      <c r="J707" s="6">
        <v>1725</v>
      </c>
      <c r="K707" s="37" t="s">
        <v>790</v>
      </c>
      <c r="L707" s="119"/>
      <c r="M707" s="3"/>
    </row>
    <row r="708" spans="1:13" s="4" customFormat="1" ht="14.25" customHeight="1" x14ac:dyDescent="0.25">
      <c r="A708" s="4" t="s">
        <v>1327</v>
      </c>
      <c r="B708" s="4" t="s">
        <v>38</v>
      </c>
      <c r="C708" s="4" t="s">
        <v>14</v>
      </c>
      <c r="D708" s="35">
        <v>4972</v>
      </c>
      <c r="E708" s="4" t="s">
        <v>1375</v>
      </c>
      <c r="F708" s="5">
        <v>39814</v>
      </c>
      <c r="G708" s="5">
        <v>40178</v>
      </c>
      <c r="H708" s="4" t="s">
        <v>40</v>
      </c>
      <c r="I708" s="6">
        <v>2141.21</v>
      </c>
      <c r="J708" s="6">
        <v>2141.21</v>
      </c>
      <c r="K708" s="37" t="s">
        <v>790</v>
      </c>
      <c r="L708" s="119"/>
      <c r="M708" s="3"/>
    </row>
    <row r="709" spans="1:13" s="4" customFormat="1" ht="14.25" customHeight="1" x14ac:dyDescent="0.25">
      <c r="A709" s="4" t="s">
        <v>1376</v>
      </c>
      <c r="B709" s="4" t="s">
        <v>38</v>
      </c>
      <c r="C709" s="4" t="s">
        <v>14</v>
      </c>
      <c r="D709" s="35">
        <v>4974</v>
      </c>
      <c r="E709" s="4" t="s">
        <v>1377</v>
      </c>
      <c r="F709" s="5">
        <v>39814</v>
      </c>
      <c r="G709" s="5">
        <v>40178</v>
      </c>
      <c r="H709" s="4" t="s">
        <v>40</v>
      </c>
      <c r="I709" s="6">
        <v>4634.05</v>
      </c>
      <c r="J709" s="6">
        <v>4634.05</v>
      </c>
      <c r="K709" s="37" t="s">
        <v>790</v>
      </c>
      <c r="L709" s="119"/>
      <c r="M709" s="3"/>
    </row>
    <row r="710" spans="1:13" s="4" customFormat="1" ht="14.25" customHeight="1" x14ac:dyDescent="0.25">
      <c r="A710" s="4" t="s">
        <v>1378</v>
      </c>
      <c r="B710" s="4" t="s">
        <v>38</v>
      </c>
      <c r="C710" s="4" t="s">
        <v>14</v>
      </c>
      <c r="D710" s="35">
        <v>4977</v>
      </c>
      <c r="E710" s="7" t="s">
        <v>1379</v>
      </c>
      <c r="F710" s="5">
        <v>39814</v>
      </c>
      <c r="G710" s="5">
        <v>40178</v>
      </c>
      <c r="H710" s="4" t="s">
        <v>40</v>
      </c>
      <c r="I710" s="6">
        <v>17268.55</v>
      </c>
      <c r="J710" s="6">
        <v>17268.55</v>
      </c>
      <c r="K710" s="37" t="s">
        <v>790</v>
      </c>
      <c r="L710" s="119"/>
      <c r="M710" s="3"/>
    </row>
    <row r="711" spans="1:13" s="4" customFormat="1" ht="14.25" customHeight="1" x14ac:dyDescent="0.25">
      <c r="A711" s="4" t="s">
        <v>1351</v>
      </c>
      <c r="B711" s="4" t="s">
        <v>38</v>
      </c>
      <c r="C711" s="4" t="s">
        <v>14</v>
      </c>
      <c r="D711" s="35">
        <v>4979</v>
      </c>
      <c r="E711" s="4" t="s">
        <v>1352</v>
      </c>
      <c r="F711" s="5">
        <v>39814</v>
      </c>
      <c r="G711" s="5">
        <v>40178</v>
      </c>
      <c r="H711" s="4" t="s">
        <v>40</v>
      </c>
      <c r="I711" s="6">
        <v>2500</v>
      </c>
      <c r="J711" s="6">
        <v>2500</v>
      </c>
      <c r="K711" s="37" t="s">
        <v>790</v>
      </c>
      <c r="L711" s="119"/>
      <c r="M711" s="3"/>
    </row>
    <row r="712" spans="1:13" s="4" customFormat="1" ht="14.25" customHeight="1" x14ac:dyDescent="0.25">
      <c r="A712" s="4" t="s">
        <v>1357</v>
      </c>
      <c r="B712" s="4" t="s">
        <v>38</v>
      </c>
      <c r="C712" s="4" t="s">
        <v>14</v>
      </c>
      <c r="D712" s="35">
        <v>4981</v>
      </c>
      <c r="E712" s="4" t="s">
        <v>1358</v>
      </c>
      <c r="F712" s="5">
        <v>39814</v>
      </c>
      <c r="G712" s="5">
        <v>40178</v>
      </c>
      <c r="H712" s="4" t="s">
        <v>40</v>
      </c>
      <c r="I712" s="6">
        <v>9071.5300000000007</v>
      </c>
      <c r="J712" s="6">
        <v>9071.5300000000007</v>
      </c>
      <c r="K712" s="37" t="s">
        <v>790</v>
      </c>
      <c r="L712" s="119"/>
      <c r="M712" s="3"/>
    </row>
    <row r="713" spans="1:13" s="4" customFormat="1" ht="14.25" customHeight="1" x14ac:dyDescent="0.25">
      <c r="A713" s="4" t="s">
        <v>1380</v>
      </c>
      <c r="B713" s="4" t="s">
        <v>38</v>
      </c>
      <c r="C713" s="4" t="s">
        <v>14</v>
      </c>
      <c r="D713" s="35">
        <v>4984</v>
      </c>
      <c r="E713" s="4" t="s">
        <v>1362</v>
      </c>
      <c r="F713" s="5">
        <v>39814</v>
      </c>
      <c r="G713" s="5">
        <v>40178</v>
      </c>
      <c r="H713" s="4" t="s">
        <v>40</v>
      </c>
      <c r="I713" s="6">
        <v>34334.410000000003</v>
      </c>
      <c r="J713" s="6">
        <v>32334.41</v>
      </c>
      <c r="K713" s="37" t="s">
        <v>790</v>
      </c>
      <c r="L713" s="119"/>
      <c r="M713" s="3"/>
    </row>
    <row r="714" spans="1:13" s="4" customFormat="1" ht="14.25" customHeight="1" x14ac:dyDescent="0.25">
      <c r="A714" s="4" t="s">
        <v>1381</v>
      </c>
      <c r="B714" s="4" t="s">
        <v>38</v>
      </c>
      <c r="C714" s="4" t="s">
        <v>14</v>
      </c>
      <c r="D714" s="35">
        <v>5226</v>
      </c>
      <c r="E714" s="4" t="s">
        <v>1382</v>
      </c>
      <c r="F714" s="5">
        <v>39814</v>
      </c>
      <c r="G714" s="5">
        <v>41274</v>
      </c>
      <c r="H714" s="4" t="s">
        <v>40</v>
      </c>
      <c r="I714" s="6">
        <f>86849.19+57666.07+59934.67</f>
        <v>204449.93</v>
      </c>
      <c r="J714" s="6">
        <v>204449.93</v>
      </c>
      <c r="K714" s="37" t="s">
        <v>790</v>
      </c>
      <c r="L714" s="119"/>
      <c r="M714" s="3"/>
    </row>
    <row r="715" spans="1:13" s="4" customFormat="1" ht="14.25" customHeight="1" x14ac:dyDescent="0.25">
      <c r="A715" s="4" t="s">
        <v>1315</v>
      </c>
      <c r="B715" s="4" t="s">
        <v>38</v>
      </c>
      <c r="C715" s="4" t="s">
        <v>14</v>
      </c>
      <c r="D715" s="35">
        <v>5237</v>
      </c>
      <c r="E715" s="4" t="s">
        <v>1383</v>
      </c>
      <c r="F715" s="5">
        <v>39814</v>
      </c>
      <c r="G715" s="5">
        <v>40178</v>
      </c>
      <c r="H715" s="4" t="s">
        <v>40</v>
      </c>
      <c r="I715" s="6">
        <v>928.36</v>
      </c>
      <c r="J715" s="6">
        <v>928.36</v>
      </c>
      <c r="K715" s="37" t="s">
        <v>790</v>
      </c>
      <c r="L715" s="119"/>
      <c r="M715" s="3"/>
    </row>
    <row r="716" spans="1:13" s="4" customFormat="1" ht="14.25" customHeight="1" x14ac:dyDescent="0.25">
      <c r="A716" s="4" t="s">
        <v>1384</v>
      </c>
      <c r="B716" s="4" t="s">
        <v>38</v>
      </c>
      <c r="C716" s="4" t="s">
        <v>14</v>
      </c>
      <c r="D716" s="35">
        <v>5238</v>
      </c>
      <c r="E716" s="4" t="s">
        <v>1385</v>
      </c>
      <c r="F716" s="5">
        <v>39814</v>
      </c>
      <c r="G716" s="5">
        <v>40543</v>
      </c>
      <c r="H716" s="4" t="s">
        <v>40</v>
      </c>
      <c r="I716" s="6">
        <v>13860</v>
      </c>
      <c r="J716" s="6">
        <v>13860</v>
      </c>
      <c r="K716" s="37" t="s">
        <v>790</v>
      </c>
      <c r="L716" s="119"/>
      <c r="M716" s="3"/>
    </row>
    <row r="717" spans="1:13" s="4" customFormat="1" ht="14.25" customHeight="1" x14ac:dyDescent="0.25">
      <c r="A717" s="4" t="s">
        <v>1386</v>
      </c>
      <c r="B717" s="4" t="s">
        <v>38</v>
      </c>
      <c r="C717" s="4" t="s">
        <v>14</v>
      </c>
      <c r="D717" s="35">
        <v>5239</v>
      </c>
      <c r="E717" s="4" t="s">
        <v>1387</v>
      </c>
      <c r="F717" s="5">
        <v>39814</v>
      </c>
      <c r="G717" s="5">
        <v>40543</v>
      </c>
      <c r="H717" s="4" t="s">
        <v>40</v>
      </c>
      <c r="I717" s="6">
        <v>13860</v>
      </c>
      <c r="J717" s="6">
        <v>13860</v>
      </c>
      <c r="K717" s="37" t="s">
        <v>790</v>
      </c>
      <c r="L717" s="119"/>
      <c r="M717" s="3"/>
    </row>
    <row r="718" spans="1:13" s="4" customFormat="1" ht="14.25" customHeight="1" x14ac:dyDescent="0.25">
      <c r="A718" s="4" t="s">
        <v>1388</v>
      </c>
      <c r="B718" s="4" t="s">
        <v>38</v>
      </c>
      <c r="C718" s="4" t="s">
        <v>14</v>
      </c>
      <c r="D718" s="35">
        <v>5240</v>
      </c>
      <c r="E718" s="4" t="s">
        <v>1389</v>
      </c>
      <c r="F718" s="5">
        <v>39814</v>
      </c>
      <c r="G718" s="5">
        <v>40178</v>
      </c>
      <c r="H718" s="4" t="s">
        <v>40</v>
      </c>
      <c r="I718" s="6">
        <v>10000</v>
      </c>
      <c r="J718" s="6">
        <v>10000</v>
      </c>
      <c r="K718" s="37" t="s">
        <v>790</v>
      </c>
      <c r="L718" s="119"/>
      <c r="M718" s="3"/>
    </row>
    <row r="719" spans="1:13" s="4" customFormat="1" ht="14.25" customHeight="1" x14ac:dyDescent="0.25">
      <c r="A719" s="4" t="s">
        <v>1390</v>
      </c>
      <c r="B719" s="4" t="s">
        <v>38</v>
      </c>
      <c r="C719" s="4" t="s">
        <v>14</v>
      </c>
      <c r="D719" s="35">
        <v>5242</v>
      </c>
      <c r="E719" s="4" t="s">
        <v>1391</v>
      </c>
      <c r="F719" s="5">
        <v>39814</v>
      </c>
      <c r="G719" s="5">
        <v>40178</v>
      </c>
      <c r="H719" s="4" t="s">
        <v>40</v>
      </c>
      <c r="I719" s="6">
        <v>2775.23</v>
      </c>
      <c r="J719" s="6">
        <v>2775.23</v>
      </c>
      <c r="K719" s="37" t="s">
        <v>790</v>
      </c>
      <c r="L719" s="119"/>
      <c r="M719" s="3"/>
    </row>
    <row r="720" spans="1:13" s="4" customFormat="1" ht="14.25" customHeight="1" x14ac:dyDescent="0.25">
      <c r="A720" s="4" t="s">
        <v>1289</v>
      </c>
      <c r="B720" s="4" t="s">
        <v>38</v>
      </c>
      <c r="C720" s="4" t="s">
        <v>14</v>
      </c>
      <c r="D720" s="35">
        <v>5255</v>
      </c>
      <c r="E720" s="4" t="s">
        <v>1290</v>
      </c>
      <c r="F720" s="5">
        <v>39448</v>
      </c>
      <c r="G720" s="5">
        <v>40178</v>
      </c>
      <c r="H720" s="4" t="s">
        <v>40</v>
      </c>
      <c r="I720" s="6">
        <v>3295</v>
      </c>
      <c r="J720" s="6">
        <v>3295</v>
      </c>
      <c r="K720" s="37" t="s">
        <v>790</v>
      </c>
      <c r="L720" s="119"/>
      <c r="M720" s="3"/>
    </row>
    <row r="721" spans="1:13" s="4" customFormat="1" ht="14.25" customHeight="1" x14ac:dyDescent="0.25">
      <c r="A721" s="4" t="s">
        <v>1359</v>
      </c>
      <c r="B721" s="4" t="s">
        <v>38</v>
      </c>
      <c r="C721" s="4" t="s">
        <v>14</v>
      </c>
      <c r="D721" s="35">
        <v>5257</v>
      </c>
      <c r="E721" s="4" t="s">
        <v>1360</v>
      </c>
      <c r="F721" s="5">
        <v>39814</v>
      </c>
      <c r="G721" s="5">
        <v>40178</v>
      </c>
      <c r="H721" s="4" t="s">
        <v>40</v>
      </c>
      <c r="I721" s="6">
        <v>2500</v>
      </c>
      <c r="J721" s="6">
        <v>2500</v>
      </c>
      <c r="K721" s="37" t="s">
        <v>790</v>
      </c>
      <c r="L721" s="119"/>
      <c r="M721" s="3"/>
    </row>
    <row r="722" spans="1:13" s="4" customFormat="1" ht="14.25" customHeight="1" x14ac:dyDescent="0.25">
      <c r="A722" s="4" t="s">
        <v>1392</v>
      </c>
      <c r="B722" s="4" t="s">
        <v>11764</v>
      </c>
      <c r="C722" s="4" t="s">
        <v>14</v>
      </c>
      <c r="D722" s="35">
        <v>5594</v>
      </c>
      <c r="E722" s="4" t="s">
        <v>1393</v>
      </c>
      <c r="F722" s="5">
        <v>39814</v>
      </c>
      <c r="G722" s="5">
        <v>41639</v>
      </c>
      <c r="H722" s="4" t="s">
        <v>40</v>
      </c>
      <c r="I722" s="6">
        <v>51000</v>
      </c>
      <c r="J722" s="6">
        <v>25500</v>
      </c>
      <c r="K722" s="37" t="s">
        <v>790</v>
      </c>
      <c r="L722" s="119"/>
      <c r="M722" s="3"/>
    </row>
    <row r="723" spans="1:13" s="4" customFormat="1" ht="14.25" customHeight="1" x14ac:dyDescent="0.25">
      <c r="A723" s="4" t="s">
        <v>1394</v>
      </c>
      <c r="B723" s="4" t="s">
        <v>50</v>
      </c>
      <c r="C723" s="4" t="s">
        <v>14</v>
      </c>
      <c r="D723" s="35">
        <v>5596</v>
      </c>
      <c r="E723" s="4" t="s">
        <v>1395</v>
      </c>
      <c r="F723" s="5">
        <v>39814</v>
      </c>
      <c r="G723" s="5">
        <v>41639</v>
      </c>
      <c r="H723" s="4" t="s">
        <v>40</v>
      </c>
      <c r="I723" s="6">
        <v>19001.04</v>
      </c>
      <c r="J723" s="6">
        <v>9500.52</v>
      </c>
      <c r="K723" s="37" t="s">
        <v>790</v>
      </c>
      <c r="L723" s="119"/>
      <c r="M723" s="3"/>
    </row>
    <row r="724" spans="1:13" s="4" customFormat="1" ht="14.25" customHeight="1" x14ac:dyDescent="0.25">
      <c r="A724" s="4" t="s">
        <v>1396</v>
      </c>
      <c r="B724" s="4" t="s">
        <v>11764</v>
      </c>
      <c r="C724" s="4" t="s">
        <v>14</v>
      </c>
      <c r="D724" s="35">
        <v>5599</v>
      </c>
      <c r="E724" s="4" t="s">
        <v>1001</v>
      </c>
      <c r="F724" s="5">
        <v>39448</v>
      </c>
      <c r="G724" s="5">
        <v>41639</v>
      </c>
      <c r="H724" s="4" t="s">
        <v>40</v>
      </c>
      <c r="I724" s="6">
        <v>50000</v>
      </c>
      <c r="J724" s="6">
        <v>25000</v>
      </c>
      <c r="K724" s="37" t="s">
        <v>790</v>
      </c>
      <c r="L724" s="119"/>
      <c r="M724" s="3"/>
    </row>
    <row r="725" spans="1:13" s="4" customFormat="1" ht="14.25" customHeight="1" x14ac:dyDescent="0.25">
      <c r="A725" s="4" t="s">
        <v>1397</v>
      </c>
      <c r="B725" s="4" t="s">
        <v>190</v>
      </c>
      <c r="C725" s="4" t="s">
        <v>14</v>
      </c>
      <c r="D725" s="35">
        <v>5656</v>
      </c>
      <c r="E725" s="4" t="s">
        <v>1398</v>
      </c>
      <c r="F725" s="5">
        <v>39814</v>
      </c>
      <c r="G725" s="5">
        <v>41274</v>
      </c>
      <c r="H725" s="4" t="s">
        <v>40</v>
      </c>
      <c r="I725" s="6">
        <v>26699.64</v>
      </c>
      <c r="J725" s="6">
        <v>15548.91</v>
      </c>
      <c r="K725" s="37" t="s">
        <v>790</v>
      </c>
      <c r="L725" s="119"/>
      <c r="M725" s="3"/>
    </row>
    <row r="726" spans="1:13" s="4" customFormat="1" ht="14.25" customHeight="1" x14ac:dyDescent="0.25">
      <c r="A726" s="4" t="s">
        <v>1399</v>
      </c>
      <c r="B726" s="4" t="s">
        <v>183</v>
      </c>
      <c r="C726" s="4" t="s">
        <v>14</v>
      </c>
      <c r="D726" s="35">
        <v>5658</v>
      </c>
      <c r="E726" s="4" t="s">
        <v>1400</v>
      </c>
      <c r="F726" s="5">
        <v>39814</v>
      </c>
      <c r="G726" s="5">
        <v>41639</v>
      </c>
      <c r="H726" s="4" t="s">
        <v>40</v>
      </c>
      <c r="I726" s="6">
        <v>10000</v>
      </c>
      <c r="J726" s="6">
        <v>10000</v>
      </c>
      <c r="K726" s="37" t="s">
        <v>790</v>
      </c>
      <c r="L726" s="119"/>
      <c r="M726" s="3"/>
    </row>
    <row r="727" spans="1:13" s="4" customFormat="1" ht="14.25" customHeight="1" x14ac:dyDescent="0.25">
      <c r="A727" s="4" t="s">
        <v>1401</v>
      </c>
      <c r="B727" s="4" t="s">
        <v>190</v>
      </c>
      <c r="C727" s="4" t="s">
        <v>14</v>
      </c>
      <c r="D727" s="35">
        <v>5659</v>
      </c>
      <c r="E727" s="4" t="s">
        <v>1402</v>
      </c>
      <c r="F727" s="5">
        <v>40708</v>
      </c>
      <c r="G727" s="5">
        <v>41274</v>
      </c>
      <c r="H727" s="4" t="s">
        <v>40</v>
      </c>
      <c r="I727" s="6">
        <v>37240.9</v>
      </c>
      <c r="J727" s="6">
        <v>25689.759999999998</v>
      </c>
      <c r="K727" s="37" t="s">
        <v>790</v>
      </c>
      <c r="L727" s="119"/>
      <c r="M727" s="3"/>
    </row>
    <row r="728" spans="1:13" s="4" customFormat="1" ht="14.25" customHeight="1" x14ac:dyDescent="0.25">
      <c r="A728" s="4" t="s">
        <v>1403</v>
      </c>
      <c r="B728" s="4" t="s">
        <v>190</v>
      </c>
      <c r="C728" s="4" t="s">
        <v>14</v>
      </c>
      <c r="D728" s="35">
        <v>5660</v>
      </c>
      <c r="E728" s="4" t="s">
        <v>1404</v>
      </c>
      <c r="F728" s="5">
        <v>39814</v>
      </c>
      <c r="G728" s="5">
        <v>41639</v>
      </c>
      <c r="H728" s="4" t="s">
        <v>40</v>
      </c>
      <c r="I728" s="6">
        <v>150000</v>
      </c>
      <c r="J728" s="6">
        <v>75000</v>
      </c>
      <c r="K728" s="37" t="s">
        <v>790</v>
      </c>
      <c r="L728" s="119"/>
      <c r="M728" s="3"/>
    </row>
    <row r="729" spans="1:13" s="4" customFormat="1" ht="14.25" customHeight="1" x14ac:dyDescent="0.25">
      <c r="A729" s="4" t="s">
        <v>1405</v>
      </c>
      <c r="B729" s="4" t="s">
        <v>183</v>
      </c>
      <c r="C729" s="4" t="s">
        <v>14</v>
      </c>
      <c r="D729" s="35">
        <v>5661</v>
      </c>
      <c r="E729" s="4" t="s">
        <v>1406</v>
      </c>
      <c r="F729" s="5">
        <v>39814</v>
      </c>
      <c r="G729" s="5">
        <v>41639</v>
      </c>
      <c r="H729" s="4" t="s">
        <v>40</v>
      </c>
      <c r="I729" s="6">
        <v>18029.669999999998</v>
      </c>
      <c r="J729" s="6">
        <v>16932.669999999998</v>
      </c>
      <c r="K729" s="37" t="s">
        <v>790</v>
      </c>
      <c r="L729" s="119"/>
      <c r="M729" s="3"/>
    </row>
    <row r="730" spans="1:13" s="4" customFormat="1" ht="14.25" customHeight="1" x14ac:dyDescent="0.25">
      <c r="A730" s="4" t="s">
        <v>1407</v>
      </c>
      <c r="B730" s="4" t="s">
        <v>183</v>
      </c>
      <c r="C730" s="4" t="s">
        <v>14</v>
      </c>
      <c r="D730" s="35">
        <v>5662</v>
      </c>
      <c r="E730" s="7" t="s">
        <v>1408</v>
      </c>
      <c r="F730" s="5">
        <v>39814</v>
      </c>
      <c r="G730" s="5">
        <v>41639</v>
      </c>
      <c r="H730" s="4" t="s">
        <v>40</v>
      </c>
      <c r="I730" s="6">
        <v>5000</v>
      </c>
      <c r="J730" s="6">
        <v>5000</v>
      </c>
      <c r="K730" s="37" t="s">
        <v>790</v>
      </c>
      <c r="L730" s="119"/>
      <c r="M730" s="3"/>
    </row>
    <row r="731" spans="1:13" s="4" customFormat="1" ht="14.25" customHeight="1" x14ac:dyDescent="0.25">
      <c r="A731" s="4" t="s">
        <v>1409</v>
      </c>
      <c r="B731" s="4" t="s">
        <v>38</v>
      </c>
      <c r="C731" s="4" t="s">
        <v>14</v>
      </c>
      <c r="D731" s="35">
        <v>6151</v>
      </c>
      <c r="E731" s="4" t="s">
        <v>1410</v>
      </c>
      <c r="F731" s="5">
        <v>39814</v>
      </c>
      <c r="G731" s="5">
        <v>41274</v>
      </c>
      <c r="H731" s="4" t="s">
        <v>40</v>
      </c>
      <c r="I731" s="6">
        <v>7947.27</v>
      </c>
      <c r="J731" s="6">
        <v>7947.27</v>
      </c>
      <c r="K731" s="37" t="s">
        <v>790</v>
      </c>
      <c r="L731" s="119"/>
      <c r="M731" s="3"/>
    </row>
    <row r="732" spans="1:13" s="4" customFormat="1" ht="14.25" customHeight="1" x14ac:dyDescent="0.25">
      <c r="A732" s="4" t="s">
        <v>1411</v>
      </c>
      <c r="B732" s="4" t="s">
        <v>38</v>
      </c>
      <c r="C732" s="4" t="s">
        <v>14</v>
      </c>
      <c r="D732" s="35">
        <v>6152</v>
      </c>
      <c r="E732" s="4" t="s">
        <v>1412</v>
      </c>
      <c r="F732" s="5">
        <v>40544</v>
      </c>
      <c r="G732" s="5">
        <v>41639</v>
      </c>
      <c r="H732" s="4" t="s">
        <v>40</v>
      </c>
      <c r="I732" s="6">
        <v>30165.35</v>
      </c>
      <c r="J732" s="6">
        <v>30165.35</v>
      </c>
      <c r="K732" s="37" t="s">
        <v>790</v>
      </c>
      <c r="L732" s="119"/>
      <c r="M732" s="3"/>
    </row>
    <row r="733" spans="1:13" s="4" customFormat="1" ht="14.25" customHeight="1" x14ac:dyDescent="0.25">
      <c r="A733" s="4" t="s">
        <v>1413</v>
      </c>
      <c r="B733" s="4" t="s">
        <v>38</v>
      </c>
      <c r="C733" s="4" t="s">
        <v>14</v>
      </c>
      <c r="D733" s="35">
        <v>6153</v>
      </c>
      <c r="E733" s="4" t="s">
        <v>1414</v>
      </c>
      <c r="F733" s="5">
        <v>39814</v>
      </c>
      <c r="G733" s="5">
        <v>41639</v>
      </c>
      <c r="H733" s="4" t="s">
        <v>40</v>
      </c>
      <c r="I733" s="6">
        <v>1286.5999999999999</v>
      </c>
      <c r="J733" s="6">
        <v>1286.5999999999999</v>
      </c>
      <c r="K733" s="37" t="s">
        <v>790</v>
      </c>
      <c r="L733" s="119"/>
      <c r="M733" s="3"/>
    </row>
    <row r="734" spans="1:13" s="4" customFormat="1" ht="14.25" customHeight="1" x14ac:dyDescent="0.25">
      <c r="A734" s="4" t="s">
        <v>1415</v>
      </c>
      <c r="B734" s="4" t="s">
        <v>38</v>
      </c>
      <c r="C734" s="4" t="s">
        <v>14</v>
      </c>
      <c r="D734" s="35">
        <v>6154</v>
      </c>
      <c r="E734" s="4" t="s">
        <v>1416</v>
      </c>
      <c r="F734" s="5">
        <v>39814</v>
      </c>
      <c r="G734" s="5">
        <v>41639</v>
      </c>
      <c r="H734" s="4" t="s">
        <v>40</v>
      </c>
      <c r="I734" s="6">
        <v>1375</v>
      </c>
      <c r="J734" s="6">
        <v>1375</v>
      </c>
      <c r="K734" s="37" t="s">
        <v>790</v>
      </c>
      <c r="L734" s="119"/>
      <c r="M734" s="3"/>
    </row>
    <row r="735" spans="1:13" s="4" customFormat="1" ht="14.25" customHeight="1" x14ac:dyDescent="0.25">
      <c r="A735" s="4" t="s">
        <v>1417</v>
      </c>
      <c r="B735" s="4" t="s">
        <v>38</v>
      </c>
      <c r="C735" s="4" t="s">
        <v>14</v>
      </c>
      <c r="D735" s="35">
        <v>6155</v>
      </c>
      <c r="E735" s="4" t="s">
        <v>1418</v>
      </c>
      <c r="F735" s="5">
        <v>39814</v>
      </c>
      <c r="G735" s="5">
        <v>41639</v>
      </c>
      <c r="H735" s="4" t="s">
        <v>40</v>
      </c>
      <c r="I735" s="6">
        <v>4097.76</v>
      </c>
      <c r="J735" s="6">
        <v>4097.76</v>
      </c>
      <c r="K735" s="37" t="s">
        <v>790</v>
      </c>
      <c r="L735" s="119"/>
      <c r="M735" s="3"/>
    </row>
    <row r="736" spans="1:13" s="4" customFormat="1" ht="14.25" customHeight="1" x14ac:dyDescent="0.25">
      <c r="A736" s="4" t="s">
        <v>1419</v>
      </c>
      <c r="B736" s="4" t="s">
        <v>38</v>
      </c>
      <c r="C736" s="4" t="s">
        <v>14</v>
      </c>
      <c r="D736" s="35">
        <v>6156</v>
      </c>
      <c r="E736" s="4" t="s">
        <v>1420</v>
      </c>
      <c r="F736" s="5">
        <v>39814</v>
      </c>
      <c r="G736" s="5">
        <v>41639</v>
      </c>
      <c r="H736" s="4" t="s">
        <v>40</v>
      </c>
      <c r="I736" s="6">
        <v>238.8</v>
      </c>
      <c r="J736" s="6">
        <v>238.8</v>
      </c>
      <c r="K736" s="37" t="s">
        <v>790</v>
      </c>
      <c r="L736" s="119"/>
      <c r="M736" s="3"/>
    </row>
    <row r="737" spans="1:13" s="4" customFormat="1" ht="14.25" customHeight="1" x14ac:dyDescent="0.25">
      <c r="A737" s="4" t="s">
        <v>1421</v>
      </c>
      <c r="B737" s="4" t="s">
        <v>38</v>
      </c>
      <c r="C737" s="4" t="s">
        <v>14</v>
      </c>
      <c r="D737" s="35">
        <v>6158</v>
      </c>
      <c r="E737" s="4" t="s">
        <v>1422</v>
      </c>
      <c r="F737" s="5">
        <v>39814</v>
      </c>
      <c r="G737" s="5">
        <v>41639</v>
      </c>
      <c r="H737" s="4" t="s">
        <v>40</v>
      </c>
      <c r="I737" s="6">
        <v>1984.5</v>
      </c>
      <c r="J737" s="6">
        <v>1984.5</v>
      </c>
      <c r="K737" s="37" t="s">
        <v>790</v>
      </c>
      <c r="L737" s="119"/>
      <c r="M737" s="3"/>
    </row>
    <row r="738" spans="1:13" s="4" customFormat="1" ht="14.25" customHeight="1" x14ac:dyDescent="0.25">
      <c r="A738" s="4" t="s">
        <v>1423</v>
      </c>
      <c r="B738" s="4" t="s">
        <v>38</v>
      </c>
      <c r="C738" s="4" t="s">
        <v>14</v>
      </c>
      <c r="D738" s="35">
        <v>6159</v>
      </c>
      <c r="E738" s="4" t="s">
        <v>1424</v>
      </c>
      <c r="F738" s="5">
        <v>39814</v>
      </c>
      <c r="G738" s="5">
        <v>41639</v>
      </c>
      <c r="H738" s="4" t="s">
        <v>40</v>
      </c>
      <c r="I738" s="6">
        <v>2069.41</v>
      </c>
      <c r="J738" s="6">
        <v>2069.41</v>
      </c>
      <c r="K738" s="37" t="s">
        <v>790</v>
      </c>
      <c r="L738" s="119"/>
      <c r="M738" s="3"/>
    </row>
    <row r="739" spans="1:13" s="4" customFormat="1" ht="14.25" customHeight="1" x14ac:dyDescent="0.25">
      <c r="A739" s="4" t="s">
        <v>1425</v>
      </c>
      <c r="B739" s="4" t="s">
        <v>38</v>
      </c>
      <c r="C739" s="4" t="s">
        <v>14</v>
      </c>
      <c r="D739" s="35">
        <v>6160</v>
      </c>
      <c r="E739" s="4" t="s">
        <v>1426</v>
      </c>
      <c r="F739" s="5">
        <v>39814</v>
      </c>
      <c r="G739" s="5">
        <v>41639</v>
      </c>
      <c r="H739" s="4" t="s">
        <v>40</v>
      </c>
      <c r="I739" s="6">
        <v>2456.3200000000002</v>
      </c>
      <c r="J739" s="6">
        <f>1706.32+750</f>
        <v>2456.3199999999997</v>
      </c>
      <c r="K739" s="37" t="s">
        <v>790</v>
      </c>
      <c r="L739" s="119"/>
      <c r="M739" s="3"/>
    </row>
    <row r="740" spans="1:13" s="4" customFormat="1" ht="14.25" customHeight="1" x14ac:dyDescent="0.25">
      <c r="A740" s="4" t="s">
        <v>1427</v>
      </c>
      <c r="B740" s="4" t="s">
        <v>38</v>
      </c>
      <c r="C740" s="4" t="s">
        <v>14</v>
      </c>
      <c r="D740" s="35">
        <v>6161</v>
      </c>
      <c r="E740" s="4" t="s">
        <v>1428</v>
      </c>
      <c r="F740" s="5">
        <v>39814</v>
      </c>
      <c r="G740" s="5">
        <v>41639</v>
      </c>
      <c r="H740" s="4" t="s">
        <v>40</v>
      </c>
      <c r="I740" s="6">
        <v>624.4</v>
      </c>
      <c r="J740" s="6">
        <v>624.4</v>
      </c>
      <c r="K740" s="37" t="s">
        <v>790</v>
      </c>
      <c r="L740" s="119"/>
      <c r="M740" s="3"/>
    </row>
    <row r="741" spans="1:13" s="4" customFormat="1" ht="14.25" customHeight="1" x14ac:dyDescent="0.25">
      <c r="A741" s="4" t="s">
        <v>1429</v>
      </c>
      <c r="B741" s="4" t="s">
        <v>38</v>
      </c>
      <c r="C741" s="4" t="s">
        <v>14</v>
      </c>
      <c r="D741" s="35">
        <v>6163</v>
      </c>
      <c r="E741" s="4" t="s">
        <v>1430</v>
      </c>
      <c r="F741" s="5">
        <v>39814</v>
      </c>
      <c r="G741" s="5">
        <v>41274</v>
      </c>
      <c r="H741" s="4" t="s">
        <v>40</v>
      </c>
      <c r="I741" s="6">
        <v>35762.42</v>
      </c>
      <c r="J741" s="6">
        <f>26588.92+9173.5</f>
        <v>35762.42</v>
      </c>
      <c r="K741" s="37" t="s">
        <v>790</v>
      </c>
      <c r="L741" s="119"/>
      <c r="M741" s="3"/>
    </row>
    <row r="742" spans="1:13" s="4" customFormat="1" ht="14.25" customHeight="1" x14ac:dyDescent="0.25">
      <c r="A742" s="4" t="s">
        <v>1431</v>
      </c>
      <c r="B742" s="4" t="s">
        <v>38</v>
      </c>
      <c r="C742" s="4" t="s">
        <v>14</v>
      </c>
      <c r="D742" s="35">
        <v>6167</v>
      </c>
      <c r="E742" s="4" t="s">
        <v>1432</v>
      </c>
      <c r="F742" s="5">
        <v>39814</v>
      </c>
      <c r="G742" s="5">
        <v>41639</v>
      </c>
      <c r="H742" s="4" t="s">
        <v>40</v>
      </c>
      <c r="I742" s="6">
        <f>2975+1595</f>
        <v>4570</v>
      </c>
      <c r="J742" s="6">
        <f>2975+1595</f>
        <v>4570</v>
      </c>
      <c r="K742" s="37" t="s">
        <v>790</v>
      </c>
      <c r="L742" s="119"/>
      <c r="M742" s="3"/>
    </row>
    <row r="743" spans="1:13" s="4" customFormat="1" ht="14.25" customHeight="1" x14ac:dyDescent="0.25">
      <c r="A743" s="4" t="s">
        <v>1433</v>
      </c>
      <c r="B743" s="4" t="s">
        <v>38</v>
      </c>
      <c r="C743" s="4" t="s">
        <v>14</v>
      </c>
      <c r="D743" s="35">
        <v>6168</v>
      </c>
      <c r="E743" s="4" t="s">
        <v>1434</v>
      </c>
      <c r="F743" s="5">
        <v>39814</v>
      </c>
      <c r="G743" s="5">
        <v>41639</v>
      </c>
      <c r="H743" s="4" t="s">
        <v>40</v>
      </c>
      <c r="I743" s="6">
        <f>147579.16+68084.12</f>
        <v>215663.28</v>
      </c>
      <c r="J743" s="6">
        <f>147579.16+68084.12</f>
        <v>215663.28</v>
      </c>
      <c r="K743" s="37" t="s">
        <v>790</v>
      </c>
      <c r="L743" s="119"/>
      <c r="M743" s="3"/>
    </row>
    <row r="744" spans="1:13" s="4" customFormat="1" ht="14.25" customHeight="1" x14ac:dyDescent="0.25">
      <c r="A744" s="4" t="s">
        <v>1435</v>
      </c>
      <c r="B744" s="4" t="s">
        <v>38</v>
      </c>
      <c r="C744" s="4" t="s">
        <v>14</v>
      </c>
      <c r="D744" s="35">
        <v>6169</v>
      </c>
      <c r="E744" s="4" t="s">
        <v>1436</v>
      </c>
      <c r="F744" s="5">
        <v>39814</v>
      </c>
      <c r="G744" s="5">
        <v>41639</v>
      </c>
      <c r="H744" s="4" t="s">
        <v>40</v>
      </c>
      <c r="I744" s="6">
        <v>5987.26</v>
      </c>
      <c r="J744" s="6">
        <v>5987.26</v>
      </c>
      <c r="K744" s="37" t="s">
        <v>790</v>
      </c>
      <c r="L744" s="119"/>
      <c r="M744" s="3"/>
    </row>
    <row r="745" spans="1:13" s="4" customFormat="1" ht="14.25" customHeight="1" x14ac:dyDescent="0.25">
      <c r="A745" s="4" t="s">
        <v>1437</v>
      </c>
      <c r="B745" s="4" t="s">
        <v>38</v>
      </c>
      <c r="C745" s="4" t="s">
        <v>14</v>
      </c>
      <c r="D745" s="35">
        <v>6170</v>
      </c>
      <c r="E745" s="4" t="s">
        <v>1438</v>
      </c>
      <c r="F745" s="5">
        <v>39814</v>
      </c>
      <c r="G745" s="5">
        <v>41274</v>
      </c>
      <c r="H745" s="4" t="s">
        <v>40</v>
      </c>
      <c r="I745" s="6">
        <v>93917.87</v>
      </c>
      <c r="J745" s="6">
        <f>93609.4+308.47</f>
        <v>93917.87</v>
      </c>
      <c r="K745" s="37" t="s">
        <v>790</v>
      </c>
      <c r="L745" s="119"/>
      <c r="M745" s="3"/>
    </row>
    <row r="746" spans="1:13" s="4" customFormat="1" ht="14.25" customHeight="1" x14ac:dyDescent="0.25">
      <c r="A746" s="4" t="s">
        <v>1439</v>
      </c>
      <c r="B746" s="4" t="s">
        <v>38</v>
      </c>
      <c r="C746" s="4" t="s">
        <v>14</v>
      </c>
      <c r="D746" s="35">
        <v>6171</v>
      </c>
      <c r="E746" s="4" t="s">
        <v>1440</v>
      </c>
      <c r="F746" s="5">
        <v>39814</v>
      </c>
      <c r="G746" s="5">
        <v>41639</v>
      </c>
      <c r="H746" s="4" t="s">
        <v>40</v>
      </c>
      <c r="I746" s="6">
        <v>917.6</v>
      </c>
      <c r="J746" s="6">
        <v>917.6</v>
      </c>
      <c r="K746" s="37" t="s">
        <v>790</v>
      </c>
      <c r="L746" s="119"/>
      <c r="M746" s="3"/>
    </row>
    <row r="747" spans="1:13" s="4" customFormat="1" ht="14.25" customHeight="1" x14ac:dyDescent="0.25">
      <c r="A747" s="4" t="s">
        <v>1441</v>
      </c>
      <c r="B747" s="4" t="s">
        <v>38</v>
      </c>
      <c r="C747" s="4" t="s">
        <v>14</v>
      </c>
      <c r="D747" s="35">
        <v>6172</v>
      </c>
      <c r="E747" s="4" t="s">
        <v>1442</v>
      </c>
      <c r="F747" s="5">
        <v>39814</v>
      </c>
      <c r="G747" s="5">
        <v>41639</v>
      </c>
      <c r="H747" s="4" t="s">
        <v>40</v>
      </c>
      <c r="I747" s="6">
        <v>8981</v>
      </c>
      <c r="J747" s="6">
        <v>8981</v>
      </c>
      <c r="K747" s="37" t="s">
        <v>790</v>
      </c>
      <c r="L747" s="119"/>
      <c r="M747" s="3"/>
    </row>
    <row r="748" spans="1:13" s="4" customFormat="1" ht="14.25" customHeight="1" x14ac:dyDescent="0.25">
      <c r="A748" s="4" t="s">
        <v>1443</v>
      </c>
      <c r="B748" s="4" t="s">
        <v>38</v>
      </c>
      <c r="C748" s="4" t="s">
        <v>14</v>
      </c>
      <c r="D748" s="35">
        <v>6176</v>
      </c>
      <c r="E748" s="4" t="s">
        <v>1444</v>
      </c>
      <c r="F748" s="5">
        <v>39814</v>
      </c>
      <c r="G748" s="5">
        <v>41274</v>
      </c>
      <c r="H748" s="4" t="s">
        <v>40</v>
      </c>
      <c r="I748" s="6">
        <f>59596.83+7500</f>
        <v>67096.83</v>
      </c>
      <c r="J748" s="6">
        <f>59596.83+7500</f>
        <v>67096.83</v>
      </c>
      <c r="K748" s="37" t="s">
        <v>790</v>
      </c>
      <c r="L748" s="119"/>
      <c r="M748" s="3"/>
    </row>
    <row r="749" spans="1:13" s="4" customFormat="1" ht="14.25" customHeight="1" x14ac:dyDescent="0.25">
      <c r="A749" s="4" t="s">
        <v>1445</v>
      </c>
      <c r="B749" s="4" t="s">
        <v>38</v>
      </c>
      <c r="C749" s="4" t="s">
        <v>14</v>
      </c>
      <c r="D749" s="35">
        <v>6177</v>
      </c>
      <c r="E749" s="7" t="s">
        <v>1446</v>
      </c>
      <c r="F749" s="5">
        <v>39814</v>
      </c>
      <c r="G749" s="5">
        <v>41639</v>
      </c>
      <c r="H749" s="4" t="s">
        <v>40</v>
      </c>
      <c r="I749" s="6">
        <v>4686.93</v>
      </c>
      <c r="J749" s="6">
        <v>4686.93</v>
      </c>
      <c r="K749" s="37" t="s">
        <v>790</v>
      </c>
      <c r="L749" s="119"/>
      <c r="M749" s="3"/>
    </row>
    <row r="750" spans="1:13" s="4" customFormat="1" ht="14.25" customHeight="1" x14ac:dyDescent="0.25">
      <c r="A750" s="4" t="s">
        <v>1447</v>
      </c>
      <c r="B750" s="4" t="s">
        <v>38</v>
      </c>
      <c r="C750" s="4" t="s">
        <v>14</v>
      </c>
      <c r="D750" s="35">
        <v>6178</v>
      </c>
      <c r="E750" s="4" t="s">
        <v>1448</v>
      </c>
      <c r="F750" s="5">
        <v>39814</v>
      </c>
      <c r="G750" s="5">
        <v>41639</v>
      </c>
      <c r="H750" s="4" t="s">
        <v>40</v>
      </c>
      <c r="I750" s="6">
        <v>21646.720000000001</v>
      </c>
      <c r="J750" s="6">
        <f>10984.38+10662.34</f>
        <v>21646.720000000001</v>
      </c>
      <c r="K750" s="37" t="s">
        <v>790</v>
      </c>
      <c r="L750" s="119"/>
      <c r="M750" s="3"/>
    </row>
    <row r="751" spans="1:13" s="4" customFormat="1" ht="14.25" customHeight="1" x14ac:dyDescent="0.25">
      <c r="A751" s="4" t="s">
        <v>1449</v>
      </c>
      <c r="B751" s="4" t="s">
        <v>38</v>
      </c>
      <c r="C751" s="4" t="s">
        <v>14</v>
      </c>
      <c r="D751" s="35">
        <v>6481</v>
      </c>
      <c r="E751" s="4" t="s">
        <v>1211</v>
      </c>
      <c r="F751" s="5">
        <v>39814</v>
      </c>
      <c r="G751" s="5">
        <v>41639</v>
      </c>
      <c r="H751" s="4" t="s">
        <v>40</v>
      </c>
      <c r="I751" s="6">
        <f>204514.57+54842.84</f>
        <v>259357.41</v>
      </c>
      <c r="J751" s="6">
        <f>204514.57+54842.84</f>
        <v>259357.41</v>
      </c>
      <c r="K751" s="37" t="s">
        <v>790</v>
      </c>
      <c r="L751" s="119"/>
      <c r="M751" s="3"/>
    </row>
    <row r="752" spans="1:13" s="4" customFormat="1" ht="14.25" customHeight="1" x14ac:dyDescent="0.25">
      <c r="A752" s="4" t="s">
        <v>1450</v>
      </c>
      <c r="B752" s="4" t="s">
        <v>183</v>
      </c>
      <c r="C752" s="4" t="s">
        <v>14</v>
      </c>
      <c r="D752" s="35">
        <v>6707</v>
      </c>
      <c r="E752" s="4" t="s">
        <v>1451</v>
      </c>
      <c r="F752" s="5">
        <v>40179</v>
      </c>
      <c r="G752" s="5">
        <v>41639</v>
      </c>
      <c r="H752" s="4" t="s">
        <v>40</v>
      </c>
      <c r="I752" s="6">
        <v>30000</v>
      </c>
      <c r="J752" s="6">
        <v>27500</v>
      </c>
      <c r="K752" s="37" t="s">
        <v>790</v>
      </c>
      <c r="L752" s="119"/>
      <c r="M752" s="3"/>
    </row>
    <row r="753" spans="1:13" s="4" customFormat="1" ht="14.25" customHeight="1" x14ac:dyDescent="0.25">
      <c r="A753" s="4" t="s">
        <v>1454</v>
      </c>
      <c r="B753" s="4" t="s">
        <v>190</v>
      </c>
      <c r="C753" s="4" t="s">
        <v>14</v>
      </c>
      <c r="D753" s="35">
        <v>6731</v>
      </c>
      <c r="E753" s="4" t="s">
        <v>1455</v>
      </c>
      <c r="F753" s="5">
        <v>40179</v>
      </c>
      <c r="G753" s="5">
        <v>41639</v>
      </c>
      <c r="H753" s="4" t="s">
        <v>40</v>
      </c>
      <c r="I753" s="6">
        <v>9000</v>
      </c>
      <c r="J753" s="6">
        <v>9000</v>
      </c>
      <c r="K753" s="37" t="s">
        <v>790</v>
      </c>
      <c r="L753" s="119"/>
      <c r="M753" s="3"/>
    </row>
    <row r="754" spans="1:13" s="4" customFormat="1" ht="14.25" customHeight="1" x14ac:dyDescent="0.25">
      <c r="A754" s="4" t="s">
        <v>1456</v>
      </c>
      <c r="B754" s="4" t="s">
        <v>190</v>
      </c>
      <c r="C754" s="4" t="s">
        <v>14</v>
      </c>
      <c r="D754" s="35">
        <v>6732</v>
      </c>
      <c r="E754" s="4" t="s">
        <v>1457</v>
      </c>
      <c r="F754" s="5">
        <v>40179</v>
      </c>
      <c r="G754" s="5">
        <v>41639</v>
      </c>
      <c r="H754" s="4" t="s">
        <v>40</v>
      </c>
      <c r="I754" s="6">
        <v>60000</v>
      </c>
      <c r="J754" s="6">
        <v>30000</v>
      </c>
      <c r="K754" s="37" t="s">
        <v>790</v>
      </c>
      <c r="L754" s="119"/>
      <c r="M754" s="3"/>
    </row>
    <row r="755" spans="1:13" s="4" customFormat="1" ht="14.25" customHeight="1" x14ac:dyDescent="0.25">
      <c r="A755" s="4" t="s">
        <v>1458</v>
      </c>
      <c r="B755" s="4" t="s">
        <v>90</v>
      </c>
      <c r="C755" s="4" t="s">
        <v>14</v>
      </c>
      <c r="D755" s="35">
        <v>6770</v>
      </c>
      <c r="E755" s="4" t="s">
        <v>1459</v>
      </c>
      <c r="F755" s="5">
        <v>40179</v>
      </c>
      <c r="G755" s="5">
        <v>41639</v>
      </c>
      <c r="H755" s="4" t="s">
        <v>40</v>
      </c>
      <c r="I755" s="6">
        <v>12000</v>
      </c>
      <c r="J755" s="6">
        <v>6000</v>
      </c>
      <c r="K755" s="37" t="s">
        <v>790</v>
      </c>
      <c r="L755" s="119"/>
      <c r="M755" s="3"/>
    </row>
    <row r="756" spans="1:13" s="4" customFormat="1" ht="14.25" customHeight="1" x14ac:dyDescent="0.25">
      <c r="A756" s="4" t="s">
        <v>1460</v>
      </c>
      <c r="B756" s="4" t="s">
        <v>190</v>
      </c>
      <c r="C756" s="4" t="s">
        <v>14</v>
      </c>
      <c r="D756" s="35">
        <v>6772</v>
      </c>
      <c r="E756" s="4" t="s">
        <v>1461</v>
      </c>
      <c r="F756" s="5">
        <v>40179</v>
      </c>
      <c r="G756" s="5">
        <v>41639</v>
      </c>
      <c r="H756" s="4" t="s">
        <v>40</v>
      </c>
      <c r="I756" s="6">
        <v>15000</v>
      </c>
      <c r="J756" s="6">
        <v>15000</v>
      </c>
      <c r="K756" s="37" t="s">
        <v>790</v>
      </c>
      <c r="L756" s="119"/>
      <c r="M756" s="3"/>
    </row>
    <row r="757" spans="1:13" s="4" customFormat="1" ht="14.25" customHeight="1" x14ac:dyDescent="0.25">
      <c r="A757" s="4" t="s">
        <v>1462</v>
      </c>
      <c r="B757" s="4" t="s">
        <v>190</v>
      </c>
      <c r="C757" s="4" t="s">
        <v>14</v>
      </c>
      <c r="D757" s="35">
        <v>6797</v>
      </c>
      <c r="E757" s="4" t="s">
        <v>1463</v>
      </c>
      <c r="F757" s="5">
        <v>40708</v>
      </c>
      <c r="G757" s="5">
        <v>41274</v>
      </c>
      <c r="H757" s="4" t="s">
        <v>40</v>
      </c>
      <c r="I757" s="6">
        <v>32498.6</v>
      </c>
      <c r="J757" s="6">
        <v>25500</v>
      </c>
      <c r="K757" s="37" t="s">
        <v>790</v>
      </c>
      <c r="L757" s="119"/>
      <c r="M757" s="3"/>
    </row>
    <row r="758" spans="1:13" s="4" customFormat="1" ht="14.25" customHeight="1" x14ac:dyDescent="0.25">
      <c r="A758" s="4" t="s">
        <v>1464</v>
      </c>
      <c r="B758" s="4" t="s">
        <v>90</v>
      </c>
      <c r="C758" s="4" t="s">
        <v>14</v>
      </c>
      <c r="D758" s="35">
        <v>6834</v>
      </c>
      <c r="E758" s="4" t="s">
        <v>1465</v>
      </c>
      <c r="F758" s="5">
        <v>40179</v>
      </c>
      <c r="G758" s="5">
        <v>41639</v>
      </c>
      <c r="H758" s="4" t="s">
        <v>40</v>
      </c>
      <c r="I758" s="6">
        <v>1654.9</v>
      </c>
      <c r="J758" s="6">
        <v>827.53</v>
      </c>
      <c r="K758" s="37" t="s">
        <v>790</v>
      </c>
      <c r="L758" s="119"/>
      <c r="M758" s="3"/>
    </row>
    <row r="759" spans="1:13" s="4" customFormat="1" ht="14.25" customHeight="1" x14ac:dyDescent="0.25">
      <c r="A759" s="4" t="s">
        <v>1466</v>
      </c>
      <c r="B759" s="4" t="s">
        <v>183</v>
      </c>
      <c r="C759" s="4" t="s">
        <v>14</v>
      </c>
      <c r="D759" s="35">
        <v>6835</v>
      </c>
      <c r="E759" s="4" t="s">
        <v>1467</v>
      </c>
      <c r="F759" s="5">
        <v>40179</v>
      </c>
      <c r="G759" s="5">
        <v>41639</v>
      </c>
      <c r="H759" s="4" t="s">
        <v>40</v>
      </c>
      <c r="I759" s="6">
        <v>14390.7</v>
      </c>
      <c r="J759" s="6">
        <v>10917.6</v>
      </c>
      <c r="K759" s="37" t="s">
        <v>790</v>
      </c>
      <c r="L759" s="119"/>
      <c r="M759" s="3"/>
    </row>
    <row r="760" spans="1:13" s="4" customFormat="1" ht="14.25" customHeight="1" x14ac:dyDescent="0.25">
      <c r="A760" s="4" t="s">
        <v>1468</v>
      </c>
      <c r="B760" s="4" t="s">
        <v>90</v>
      </c>
      <c r="C760" s="4" t="s">
        <v>14</v>
      </c>
      <c r="D760" s="35">
        <v>6837</v>
      </c>
      <c r="E760" s="4" t="s">
        <v>1469</v>
      </c>
      <c r="F760" s="5">
        <v>40179</v>
      </c>
      <c r="G760" s="5">
        <v>41639</v>
      </c>
      <c r="H760" s="4" t="s">
        <v>40</v>
      </c>
      <c r="I760" s="6">
        <v>9828</v>
      </c>
      <c r="J760" s="6">
        <v>4914</v>
      </c>
      <c r="K760" s="37" t="s">
        <v>790</v>
      </c>
      <c r="L760" s="119"/>
      <c r="M760" s="3"/>
    </row>
    <row r="761" spans="1:13" s="4" customFormat="1" ht="14.25" customHeight="1" x14ac:dyDescent="0.25">
      <c r="A761" s="4" t="s">
        <v>1470</v>
      </c>
      <c r="B761" s="4" t="s">
        <v>90</v>
      </c>
      <c r="C761" s="4" t="s">
        <v>14</v>
      </c>
      <c r="D761" s="35">
        <v>6838</v>
      </c>
      <c r="E761" s="4" t="s">
        <v>1471</v>
      </c>
      <c r="F761" s="5">
        <v>40179</v>
      </c>
      <c r="G761" s="5">
        <v>41639</v>
      </c>
      <c r="H761" s="4" t="s">
        <v>40</v>
      </c>
      <c r="I761" s="6">
        <f>10000+20177.08</f>
        <v>30177.08</v>
      </c>
      <c r="J761" s="6">
        <f>5000+17588.54</f>
        <v>22588.54</v>
      </c>
      <c r="K761" s="37" t="s">
        <v>790</v>
      </c>
      <c r="L761" s="119"/>
      <c r="M761" s="3"/>
    </row>
    <row r="762" spans="1:13" s="4" customFormat="1" ht="14.25" customHeight="1" x14ac:dyDescent="0.25">
      <c r="A762" s="4" t="s">
        <v>1472</v>
      </c>
      <c r="B762" s="4" t="s">
        <v>190</v>
      </c>
      <c r="C762" s="4" t="s">
        <v>14</v>
      </c>
      <c r="D762" s="35">
        <v>6840</v>
      </c>
      <c r="E762" s="4" t="s">
        <v>1473</v>
      </c>
      <c r="F762" s="5">
        <v>40179</v>
      </c>
      <c r="G762" s="5">
        <v>41639</v>
      </c>
      <c r="H762" s="4" t="s">
        <v>40</v>
      </c>
      <c r="I762" s="6">
        <v>30000</v>
      </c>
      <c r="J762" s="6">
        <v>15000</v>
      </c>
      <c r="K762" s="37" t="s">
        <v>790</v>
      </c>
      <c r="L762" s="119"/>
      <c r="M762" s="3"/>
    </row>
    <row r="763" spans="1:13" s="4" customFormat="1" ht="14.25" customHeight="1" x14ac:dyDescent="0.25">
      <c r="A763" s="4" t="s">
        <v>1474</v>
      </c>
      <c r="B763" s="4" t="s">
        <v>190</v>
      </c>
      <c r="C763" s="4" t="s">
        <v>14</v>
      </c>
      <c r="D763" s="35">
        <v>6845</v>
      </c>
      <c r="E763" s="4" t="s">
        <v>1475</v>
      </c>
      <c r="F763" s="5">
        <v>40179</v>
      </c>
      <c r="G763" s="5">
        <v>41639</v>
      </c>
      <c r="H763" s="4" t="s">
        <v>40</v>
      </c>
      <c r="I763" s="6">
        <v>33181.879999999997</v>
      </c>
      <c r="J763" s="6">
        <v>16590.939999999999</v>
      </c>
      <c r="K763" s="37" t="s">
        <v>790</v>
      </c>
      <c r="L763" s="119"/>
      <c r="M763" s="3"/>
    </row>
    <row r="764" spans="1:13" s="4" customFormat="1" ht="14.25" customHeight="1" x14ac:dyDescent="0.25">
      <c r="A764" s="4" t="s">
        <v>1476</v>
      </c>
      <c r="B764" s="4" t="s">
        <v>183</v>
      </c>
      <c r="C764" s="4" t="s">
        <v>14</v>
      </c>
      <c r="D764" s="35">
        <v>6846</v>
      </c>
      <c r="E764" s="4" t="s">
        <v>1477</v>
      </c>
      <c r="F764" s="5">
        <v>40179</v>
      </c>
      <c r="G764" s="5">
        <v>41274</v>
      </c>
      <c r="H764" s="4" t="s">
        <v>40</v>
      </c>
      <c r="I764" s="6">
        <v>53000</v>
      </c>
      <c r="J764" s="6">
        <v>43000</v>
      </c>
      <c r="K764" s="37" t="s">
        <v>790</v>
      </c>
      <c r="L764" s="119"/>
      <c r="M764" s="3"/>
    </row>
    <row r="765" spans="1:13" s="4" customFormat="1" ht="14.25" customHeight="1" x14ac:dyDescent="0.25">
      <c r="A765" s="4" t="s">
        <v>1478</v>
      </c>
      <c r="B765" s="4" t="s">
        <v>183</v>
      </c>
      <c r="C765" s="4" t="s">
        <v>14</v>
      </c>
      <c r="D765" s="35">
        <v>6849</v>
      </c>
      <c r="E765" s="4" t="s">
        <v>1479</v>
      </c>
      <c r="F765" s="5">
        <v>40179</v>
      </c>
      <c r="G765" s="5">
        <v>41639</v>
      </c>
      <c r="H765" s="4" t="s">
        <v>40</v>
      </c>
      <c r="I765" s="6">
        <v>39996</v>
      </c>
      <c r="J765" s="6">
        <v>20000</v>
      </c>
      <c r="K765" s="37" t="s">
        <v>790</v>
      </c>
      <c r="L765" s="119"/>
      <c r="M765" s="3"/>
    </row>
    <row r="766" spans="1:13" s="4" customFormat="1" ht="14.25" customHeight="1" x14ac:dyDescent="0.25">
      <c r="A766" s="4" t="s">
        <v>1480</v>
      </c>
      <c r="B766" s="4" t="s">
        <v>190</v>
      </c>
      <c r="C766" s="4" t="s">
        <v>14</v>
      </c>
      <c r="D766" s="35">
        <v>6850</v>
      </c>
      <c r="E766" s="4" t="s">
        <v>1481</v>
      </c>
      <c r="F766" s="5">
        <v>40179</v>
      </c>
      <c r="G766" s="5">
        <v>41639</v>
      </c>
      <c r="H766" s="4" t="s">
        <v>40</v>
      </c>
      <c r="I766" s="6">
        <v>19878.52</v>
      </c>
      <c r="J766" s="6">
        <v>12424.26</v>
      </c>
      <c r="K766" s="37" t="s">
        <v>790</v>
      </c>
      <c r="L766" s="119"/>
      <c r="M766" s="3"/>
    </row>
    <row r="767" spans="1:13" s="4" customFormat="1" ht="14.25" customHeight="1" x14ac:dyDescent="0.25">
      <c r="A767" s="4" t="s">
        <v>1482</v>
      </c>
      <c r="B767" s="4" t="s">
        <v>190</v>
      </c>
      <c r="C767" s="4" t="s">
        <v>14</v>
      </c>
      <c r="D767" s="35">
        <v>6851</v>
      </c>
      <c r="E767" s="4" t="s">
        <v>1483</v>
      </c>
      <c r="F767" s="5">
        <v>40179</v>
      </c>
      <c r="G767" s="5">
        <v>41639</v>
      </c>
      <c r="H767" s="4" t="s">
        <v>40</v>
      </c>
      <c r="I767" s="6">
        <v>18598.150000000001</v>
      </c>
      <c r="J767" s="6">
        <v>15260.95</v>
      </c>
      <c r="K767" s="37" t="s">
        <v>790</v>
      </c>
      <c r="L767" s="119"/>
      <c r="M767" s="3"/>
    </row>
    <row r="768" spans="1:13" s="4" customFormat="1" ht="14.25" customHeight="1" x14ac:dyDescent="0.25">
      <c r="A768" s="4" t="s">
        <v>1484</v>
      </c>
      <c r="B768" s="4" t="s">
        <v>190</v>
      </c>
      <c r="C768" s="4" t="s">
        <v>14</v>
      </c>
      <c r="D768" s="35">
        <v>6852</v>
      </c>
      <c r="E768" s="4" t="s">
        <v>1485</v>
      </c>
      <c r="F768" s="5">
        <v>40179</v>
      </c>
      <c r="G768" s="5">
        <v>41274</v>
      </c>
      <c r="H768" s="4" t="s">
        <v>40</v>
      </c>
      <c r="I768" s="6">
        <f>61110.74+8478.26</f>
        <v>69589</v>
      </c>
      <c r="J768" s="6">
        <f>37878.64+4239.13</f>
        <v>42117.77</v>
      </c>
      <c r="K768" s="37" t="s">
        <v>790</v>
      </c>
      <c r="L768" s="119"/>
      <c r="M768" s="3"/>
    </row>
    <row r="769" spans="1:13" s="4" customFormat="1" ht="14.25" customHeight="1" x14ac:dyDescent="0.25">
      <c r="A769" s="4" t="s">
        <v>1486</v>
      </c>
      <c r="B769" s="4" t="s">
        <v>183</v>
      </c>
      <c r="C769" s="4" t="s">
        <v>14</v>
      </c>
      <c r="D769" s="35">
        <v>6853</v>
      </c>
      <c r="E769" s="4" t="s">
        <v>1487</v>
      </c>
      <c r="F769" s="5">
        <v>40179</v>
      </c>
      <c r="G769" s="5">
        <v>41639</v>
      </c>
      <c r="H769" s="4" t="s">
        <v>40</v>
      </c>
      <c r="I769" s="6">
        <v>33869.480000000003</v>
      </c>
      <c r="J769" s="6">
        <v>24434.74</v>
      </c>
      <c r="K769" s="37" t="s">
        <v>790</v>
      </c>
      <c r="L769" s="119"/>
      <c r="M769" s="3"/>
    </row>
    <row r="770" spans="1:13" s="4" customFormat="1" ht="14.25" customHeight="1" x14ac:dyDescent="0.25">
      <c r="A770" s="4" t="s">
        <v>1488</v>
      </c>
      <c r="B770" s="4" t="s">
        <v>90</v>
      </c>
      <c r="C770" s="4" t="s">
        <v>14</v>
      </c>
      <c r="D770" s="35">
        <v>6854</v>
      </c>
      <c r="E770" s="4" t="s">
        <v>1489</v>
      </c>
      <c r="F770" s="5">
        <v>40179</v>
      </c>
      <c r="G770" s="5">
        <v>41639</v>
      </c>
      <c r="H770" s="4" t="s">
        <v>40</v>
      </c>
      <c r="I770" s="6">
        <v>11900</v>
      </c>
      <c r="J770" s="6">
        <v>5950</v>
      </c>
      <c r="K770" s="37" t="s">
        <v>790</v>
      </c>
      <c r="L770" s="119"/>
      <c r="M770" s="3"/>
    </row>
    <row r="771" spans="1:13" s="4" customFormat="1" ht="14.25" customHeight="1" x14ac:dyDescent="0.25">
      <c r="A771" s="4" t="s">
        <v>1407</v>
      </c>
      <c r="B771" s="4" t="s">
        <v>183</v>
      </c>
      <c r="C771" s="4" t="s">
        <v>14</v>
      </c>
      <c r="D771" s="35">
        <v>6855</v>
      </c>
      <c r="E771" s="4" t="s">
        <v>1490</v>
      </c>
      <c r="F771" s="5">
        <v>40179</v>
      </c>
      <c r="G771" s="5">
        <v>41639</v>
      </c>
      <c r="H771" s="4" t="s">
        <v>40</v>
      </c>
      <c r="I771" s="6">
        <v>8349.4</v>
      </c>
      <c r="J771" s="6">
        <v>7174.4</v>
      </c>
      <c r="K771" s="37" t="s">
        <v>790</v>
      </c>
      <c r="L771" s="119"/>
      <c r="M771" s="3"/>
    </row>
    <row r="772" spans="1:13" s="4" customFormat="1" ht="14.25" customHeight="1" x14ac:dyDescent="0.25">
      <c r="A772" s="4" t="s">
        <v>1491</v>
      </c>
      <c r="B772" s="4" t="s">
        <v>190</v>
      </c>
      <c r="C772" s="4" t="s">
        <v>14</v>
      </c>
      <c r="D772" s="35">
        <v>6856</v>
      </c>
      <c r="E772" s="4" t="s">
        <v>1492</v>
      </c>
      <c r="F772" s="5">
        <v>40179</v>
      </c>
      <c r="G772" s="5">
        <v>41639</v>
      </c>
      <c r="H772" s="4" t="s">
        <v>40</v>
      </c>
      <c r="I772" s="6">
        <v>20000</v>
      </c>
      <c r="J772" s="6">
        <v>20000</v>
      </c>
      <c r="K772" s="37" t="s">
        <v>790</v>
      </c>
      <c r="L772" s="119"/>
      <c r="M772" s="3"/>
    </row>
    <row r="773" spans="1:13" s="4" customFormat="1" ht="14.25" customHeight="1" x14ac:dyDescent="0.25">
      <c r="A773" s="4" t="s">
        <v>1493</v>
      </c>
      <c r="B773" s="4" t="s">
        <v>183</v>
      </c>
      <c r="C773" s="4" t="s">
        <v>14</v>
      </c>
      <c r="D773" s="35">
        <v>6857</v>
      </c>
      <c r="E773" s="4" t="s">
        <v>1494</v>
      </c>
      <c r="F773" s="5">
        <v>40179</v>
      </c>
      <c r="G773" s="5">
        <v>41639</v>
      </c>
      <c r="H773" s="4" t="s">
        <v>40</v>
      </c>
      <c r="I773" s="6">
        <v>12000</v>
      </c>
      <c r="J773" s="6">
        <v>12000</v>
      </c>
      <c r="K773" s="37" t="s">
        <v>790</v>
      </c>
      <c r="L773" s="119"/>
      <c r="M773" s="3"/>
    </row>
    <row r="774" spans="1:13" s="4" customFormat="1" ht="14.25" customHeight="1" x14ac:dyDescent="0.25">
      <c r="A774" s="4" t="s">
        <v>1495</v>
      </c>
      <c r="B774" s="4" t="s">
        <v>190</v>
      </c>
      <c r="C774" s="4" t="s">
        <v>14</v>
      </c>
      <c r="D774" s="35">
        <v>6858</v>
      </c>
      <c r="E774" s="4" t="s">
        <v>1496</v>
      </c>
      <c r="F774" s="5">
        <v>40179</v>
      </c>
      <c r="G774" s="5">
        <v>41639</v>
      </c>
      <c r="H774" s="4" t="s">
        <v>40</v>
      </c>
      <c r="I774" s="6">
        <v>19846</v>
      </c>
      <c r="J774" s="6">
        <v>9923.5</v>
      </c>
      <c r="K774" s="37" t="s">
        <v>790</v>
      </c>
      <c r="L774" s="119"/>
      <c r="M774" s="3"/>
    </row>
    <row r="775" spans="1:13" s="4" customFormat="1" ht="14.25" customHeight="1" x14ac:dyDescent="0.25">
      <c r="A775" s="4" t="s">
        <v>1060</v>
      </c>
      <c r="B775" s="4" t="s">
        <v>59</v>
      </c>
      <c r="C775" s="4" t="s">
        <v>14</v>
      </c>
      <c r="D775" s="35">
        <v>7061</v>
      </c>
      <c r="E775" s="4" t="s">
        <v>1497</v>
      </c>
      <c r="F775" s="5">
        <v>39979</v>
      </c>
      <c r="G775" s="5">
        <v>40344</v>
      </c>
      <c r="H775" s="4" t="s">
        <v>40</v>
      </c>
      <c r="I775" s="6">
        <v>7500</v>
      </c>
      <c r="J775" s="6">
        <v>7500</v>
      </c>
      <c r="K775" s="37" t="s">
        <v>790</v>
      </c>
      <c r="L775" s="119"/>
      <c r="M775" s="3"/>
    </row>
    <row r="776" spans="1:13" s="4" customFormat="1" ht="14.25" customHeight="1" x14ac:dyDescent="0.25">
      <c r="A776" s="4" t="s">
        <v>1498</v>
      </c>
      <c r="B776" s="4" t="s">
        <v>59</v>
      </c>
      <c r="C776" s="4" t="s">
        <v>14</v>
      </c>
      <c r="D776" s="35">
        <v>7062</v>
      </c>
      <c r="E776" s="4" t="s">
        <v>1499</v>
      </c>
      <c r="F776" s="5">
        <v>39923</v>
      </c>
      <c r="G776" s="5">
        <v>40288</v>
      </c>
      <c r="H776" s="4" t="s">
        <v>40</v>
      </c>
      <c r="I776" s="6">
        <v>7500</v>
      </c>
      <c r="J776" s="6">
        <v>7500</v>
      </c>
      <c r="K776" s="37" t="s">
        <v>790</v>
      </c>
      <c r="L776" s="119"/>
      <c r="M776" s="3"/>
    </row>
    <row r="777" spans="1:13" s="4" customFormat="1" ht="14.25" customHeight="1" x14ac:dyDescent="0.25">
      <c r="A777" s="4" t="s">
        <v>1500</v>
      </c>
      <c r="B777" s="4" t="s">
        <v>50</v>
      </c>
      <c r="C777" s="4" t="s">
        <v>14</v>
      </c>
      <c r="D777" s="35">
        <v>7063</v>
      </c>
      <c r="E777" s="4" t="s">
        <v>1501</v>
      </c>
      <c r="F777" s="5">
        <v>39979</v>
      </c>
      <c r="G777" s="5">
        <v>40344</v>
      </c>
      <c r="H777" s="4" t="s">
        <v>40</v>
      </c>
      <c r="I777" s="6">
        <v>38411.75</v>
      </c>
      <c r="J777" s="6">
        <v>19205.75</v>
      </c>
      <c r="K777" s="37" t="s">
        <v>790</v>
      </c>
      <c r="L777" s="119"/>
      <c r="M777" s="3"/>
    </row>
    <row r="778" spans="1:13" s="4" customFormat="1" ht="14.25" customHeight="1" x14ac:dyDescent="0.25">
      <c r="A778" s="4" t="s">
        <v>1502</v>
      </c>
      <c r="B778" s="4" t="s">
        <v>90</v>
      </c>
      <c r="C778" s="4" t="s">
        <v>14</v>
      </c>
      <c r="D778" s="35">
        <v>7138</v>
      </c>
      <c r="E778" s="4" t="s">
        <v>1503</v>
      </c>
      <c r="F778" s="5">
        <v>40441</v>
      </c>
      <c r="G778" s="5">
        <v>40543</v>
      </c>
      <c r="H778" s="4" t="s">
        <v>40</v>
      </c>
      <c r="I778" s="6">
        <v>40000</v>
      </c>
      <c r="J778" s="6">
        <v>20000</v>
      </c>
      <c r="K778" s="37" t="s">
        <v>790</v>
      </c>
      <c r="L778" s="119"/>
      <c r="M778" s="3"/>
    </row>
    <row r="779" spans="1:13" s="4" customFormat="1" ht="14.25" customHeight="1" x14ac:dyDescent="0.25">
      <c r="A779" s="4" t="s">
        <v>1504</v>
      </c>
      <c r="B779" s="4" t="s">
        <v>183</v>
      </c>
      <c r="C779" s="4" t="s">
        <v>14</v>
      </c>
      <c r="D779" s="35">
        <v>7139</v>
      </c>
      <c r="E779" s="4" t="s">
        <v>1505</v>
      </c>
      <c r="F779" s="5">
        <v>40322</v>
      </c>
      <c r="G779" s="5">
        <v>40908</v>
      </c>
      <c r="H779" s="4" t="s">
        <v>40</v>
      </c>
      <c r="I779" s="6">
        <v>18000</v>
      </c>
      <c r="J779" s="6">
        <v>18000</v>
      </c>
      <c r="K779" s="37" t="s">
        <v>790</v>
      </c>
      <c r="L779" s="119"/>
      <c r="M779" s="3"/>
    </row>
    <row r="780" spans="1:13" s="4" customFormat="1" ht="14.25" customHeight="1" x14ac:dyDescent="0.25">
      <c r="A780" s="4" t="s">
        <v>1506</v>
      </c>
      <c r="B780" s="4" t="s">
        <v>190</v>
      </c>
      <c r="C780" s="4" t="s">
        <v>14</v>
      </c>
      <c r="D780" s="35">
        <v>7140</v>
      </c>
      <c r="E780" s="4" t="s">
        <v>1507</v>
      </c>
      <c r="F780" s="5">
        <v>40322</v>
      </c>
      <c r="G780" s="5">
        <v>40543</v>
      </c>
      <c r="H780" s="4" t="s">
        <v>40</v>
      </c>
      <c r="I780" s="6">
        <v>22726.880000000001</v>
      </c>
      <c r="J780" s="6">
        <v>11363.44</v>
      </c>
      <c r="K780" s="37" t="s">
        <v>790</v>
      </c>
      <c r="L780" s="119"/>
      <c r="M780" s="3"/>
    </row>
    <row r="781" spans="1:13" s="4" customFormat="1" ht="14.25" customHeight="1" x14ac:dyDescent="0.25">
      <c r="A781" s="4" t="s">
        <v>1508</v>
      </c>
      <c r="B781" s="4" t="s">
        <v>90</v>
      </c>
      <c r="C781" s="4" t="s">
        <v>14</v>
      </c>
      <c r="D781" s="35">
        <v>7141</v>
      </c>
      <c r="E781" s="4" t="s">
        <v>1509</v>
      </c>
      <c r="F781" s="5">
        <v>40154</v>
      </c>
      <c r="G781" s="5">
        <v>40519</v>
      </c>
      <c r="H781" s="4" t="s">
        <v>40</v>
      </c>
      <c r="I781" s="6">
        <v>40000</v>
      </c>
      <c r="J781" s="6">
        <v>20000</v>
      </c>
      <c r="K781" s="37" t="s">
        <v>790</v>
      </c>
      <c r="L781" s="119"/>
      <c r="M781" s="3"/>
    </row>
    <row r="782" spans="1:13" s="4" customFormat="1" ht="14.25" customHeight="1" x14ac:dyDescent="0.25">
      <c r="A782" s="4" t="s">
        <v>1510</v>
      </c>
      <c r="B782" s="4" t="s">
        <v>190</v>
      </c>
      <c r="C782" s="4" t="s">
        <v>14</v>
      </c>
      <c r="D782" s="35">
        <v>7142</v>
      </c>
      <c r="E782" s="4" t="s">
        <v>1511</v>
      </c>
      <c r="F782" s="5">
        <v>40154</v>
      </c>
      <c r="G782" s="5">
        <v>40908</v>
      </c>
      <c r="H782" s="4" t="s">
        <v>40</v>
      </c>
      <c r="I782" s="6">
        <v>63164.82</v>
      </c>
      <c r="J782" s="6">
        <v>41338.75</v>
      </c>
      <c r="K782" s="37" t="s">
        <v>790</v>
      </c>
      <c r="L782" s="119"/>
      <c r="M782" s="3"/>
    </row>
    <row r="783" spans="1:13" s="4" customFormat="1" ht="14.25" customHeight="1" x14ac:dyDescent="0.25">
      <c r="A783" s="4" t="s">
        <v>1512</v>
      </c>
      <c r="B783" s="4" t="s">
        <v>183</v>
      </c>
      <c r="C783" s="4" t="s">
        <v>14</v>
      </c>
      <c r="D783" s="35">
        <v>7143</v>
      </c>
      <c r="E783" s="4" t="s">
        <v>1513</v>
      </c>
      <c r="F783" s="5">
        <v>40322</v>
      </c>
      <c r="G783" s="5">
        <v>40543</v>
      </c>
      <c r="H783" s="4" t="s">
        <v>40</v>
      </c>
      <c r="I783" s="6">
        <v>2350.06</v>
      </c>
      <c r="J783" s="6">
        <v>1175.03</v>
      </c>
      <c r="K783" s="37" t="s">
        <v>790</v>
      </c>
      <c r="L783" s="119"/>
      <c r="M783" s="3"/>
    </row>
    <row r="784" spans="1:13" s="4" customFormat="1" ht="14.25" customHeight="1" x14ac:dyDescent="0.25">
      <c r="A784" s="4" t="s">
        <v>1514</v>
      </c>
      <c r="B784" s="4" t="s">
        <v>190</v>
      </c>
      <c r="C784" s="4" t="s">
        <v>14</v>
      </c>
      <c r="D784" s="35">
        <v>7144</v>
      </c>
      <c r="E784" s="4" t="s">
        <v>1515</v>
      </c>
      <c r="F784" s="5">
        <v>40077</v>
      </c>
      <c r="G784" s="5">
        <v>40442</v>
      </c>
      <c r="H784" s="4" t="s">
        <v>40</v>
      </c>
      <c r="I784" s="6">
        <v>9250</v>
      </c>
      <c r="J784" s="6">
        <v>4625</v>
      </c>
      <c r="K784" s="37" t="s">
        <v>790</v>
      </c>
      <c r="L784" s="119"/>
      <c r="M784" s="3"/>
    </row>
    <row r="785" spans="1:13" s="4" customFormat="1" ht="14.25" customHeight="1" x14ac:dyDescent="0.25">
      <c r="A785" s="4" t="s">
        <v>1514</v>
      </c>
      <c r="B785" s="4" t="s">
        <v>190</v>
      </c>
      <c r="C785" s="4" t="s">
        <v>14</v>
      </c>
      <c r="D785" s="35">
        <v>7145</v>
      </c>
      <c r="E785" s="4" t="s">
        <v>1515</v>
      </c>
      <c r="F785" s="5">
        <v>40105</v>
      </c>
      <c r="G785" s="5">
        <v>40470</v>
      </c>
      <c r="H785" s="4" t="s">
        <v>40</v>
      </c>
      <c r="I785" s="6">
        <v>2900.32</v>
      </c>
      <c r="J785" s="6">
        <v>1450.16</v>
      </c>
      <c r="K785" s="37" t="s">
        <v>790</v>
      </c>
      <c r="L785" s="119"/>
      <c r="M785" s="3"/>
    </row>
    <row r="786" spans="1:13" s="4" customFormat="1" ht="14.25" customHeight="1" x14ac:dyDescent="0.25">
      <c r="A786" s="4" t="s">
        <v>1518</v>
      </c>
      <c r="B786" s="4" t="s">
        <v>190</v>
      </c>
      <c r="C786" s="4" t="s">
        <v>14</v>
      </c>
      <c r="D786" s="35">
        <v>7147</v>
      </c>
      <c r="E786" s="4" t="s">
        <v>1519</v>
      </c>
      <c r="F786" s="5">
        <v>40154</v>
      </c>
      <c r="G786" s="5">
        <v>40519</v>
      </c>
      <c r="H786" s="4" t="s">
        <v>40</v>
      </c>
      <c r="I786" s="6">
        <v>0</v>
      </c>
      <c r="J786" s="6">
        <v>0</v>
      </c>
      <c r="K786" s="37" t="s">
        <v>790</v>
      </c>
      <c r="L786" s="119"/>
      <c r="M786" s="3"/>
    </row>
    <row r="787" spans="1:13" s="4" customFormat="1" ht="14.25" customHeight="1" x14ac:dyDescent="0.25">
      <c r="A787" s="4" t="s">
        <v>1520</v>
      </c>
      <c r="B787" s="4" t="s">
        <v>38</v>
      </c>
      <c r="C787" s="4" t="s">
        <v>14</v>
      </c>
      <c r="D787" s="35">
        <v>7148</v>
      </c>
      <c r="E787" s="4" t="s">
        <v>1368</v>
      </c>
      <c r="F787" s="5">
        <v>39814</v>
      </c>
      <c r="G787" s="5">
        <v>40543</v>
      </c>
      <c r="H787" s="4" t="s">
        <v>40</v>
      </c>
      <c r="I787" s="6">
        <v>30000</v>
      </c>
      <c r="J787" s="6">
        <v>30000</v>
      </c>
      <c r="K787" s="37" t="s">
        <v>790</v>
      </c>
      <c r="L787" s="119"/>
      <c r="M787" s="3"/>
    </row>
    <row r="788" spans="1:13" s="4" customFormat="1" ht="14.25" customHeight="1" x14ac:dyDescent="0.25">
      <c r="A788" s="4" t="s">
        <v>1521</v>
      </c>
      <c r="B788" s="4" t="s">
        <v>38</v>
      </c>
      <c r="C788" s="4" t="s">
        <v>14</v>
      </c>
      <c r="D788" s="35">
        <v>7149</v>
      </c>
      <c r="E788" s="4" t="s">
        <v>1151</v>
      </c>
      <c r="F788" s="5">
        <v>39814</v>
      </c>
      <c r="G788" s="5">
        <v>40543</v>
      </c>
      <c r="H788" s="4" t="s">
        <v>40</v>
      </c>
      <c r="I788" s="6">
        <v>2000</v>
      </c>
      <c r="J788" s="6">
        <v>2000</v>
      </c>
      <c r="K788" s="37" t="s">
        <v>790</v>
      </c>
      <c r="L788" s="119"/>
      <c r="M788" s="3"/>
    </row>
    <row r="789" spans="1:13" s="4" customFormat="1" ht="14.25" customHeight="1" x14ac:dyDescent="0.25">
      <c r="A789" s="4" t="s">
        <v>1522</v>
      </c>
      <c r="B789" s="4" t="s">
        <v>38</v>
      </c>
      <c r="C789" s="4" t="s">
        <v>14</v>
      </c>
      <c r="D789" s="35">
        <v>7150</v>
      </c>
      <c r="E789" s="4" t="s">
        <v>1292</v>
      </c>
      <c r="F789" s="5">
        <v>40360</v>
      </c>
      <c r="G789" s="5">
        <v>40908</v>
      </c>
      <c r="H789" s="4" t="s">
        <v>40</v>
      </c>
      <c r="I789" s="6">
        <v>15702.35</v>
      </c>
      <c r="J789" s="6">
        <v>15702.35</v>
      </c>
      <c r="K789" s="37" t="s">
        <v>790</v>
      </c>
      <c r="L789" s="119"/>
      <c r="M789" s="3"/>
    </row>
    <row r="790" spans="1:13" s="4" customFormat="1" ht="14.25" customHeight="1" x14ac:dyDescent="0.25">
      <c r="A790" s="4" t="s">
        <v>1523</v>
      </c>
      <c r="B790" s="4" t="s">
        <v>38</v>
      </c>
      <c r="C790" s="4" t="s">
        <v>14</v>
      </c>
      <c r="D790" s="35">
        <v>7151</v>
      </c>
      <c r="E790" s="4" t="s">
        <v>1294</v>
      </c>
      <c r="F790" s="5">
        <v>40179</v>
      </c>
      <c r="G790" s="5">
        <v>40543</v>
      </c>
      <c r="H790" s="4" t="s">
        <v>40</v>
      </c>
      <c r="I790" s="6">
        <v>6951.14</v>
      </c>
      <c r="J790" s="6">
        <v>6951.14</v>
      </c>
      <c r="K790" s="37" t="s">
        <v>790</v>
      </c>
      <c r="L790" s="119"/>
      <c r="M790" s="3"/>
    </row>
    <row r="791" spans="1:13" s="4" customFormat="1" ht="14.25" customHeight="1" x14ac:dyDescent="0.25">
      <c r="A791" s="4" t="s">
        <v>1524</v>
      </c>
      <c r="B791" s="4" t="s">
        <v>38</v>
      </c>
      <c r="C791" s="4" t="s">
        <v>14</v>
      </c>
      <c r="D791" s="35">
        <v>7152</v>
      </c>
      <c r="E791" s="4" t="s">
        <v>1525</v>
      </c>
      <c r="F791" s="5">
        <v>40179</v>
      </c>
      <c r="G791" s="5">
        <v>40543</v>
      </c>
      <c r="H791" s="4" t="s">
        <v>40</v>
      </c>
      <c r="I791" s="6">
        <v>1069.7</v>
      </c>
      <c r="J791" s="6">
        <v>1069.7</v>
      </c>
      <c r="K791" s="37" t="s">
        <v>790</v>
      </c>
      <c r="L791" s="119"/>
      <c r="M791" s="3"/>
    </row>
    <row r="792" spans="1:13" s="4" customFormat="1" ht="14.25" customHeight="1" x14ac:dyDescent="0.25">
      <c r="A792" s="4" t="s">
        <v>1526</v>
      </c>
      <c r="B792" s="4" t="s">
        <v>38</v>
      </c>
      <c r="C792" s="4" t="s">
        <v>14</v>
      </c>
      <c r="D792" s="35">
        <v>7153</v>
      </c>
      <c r="E792" s="7" t="s">
        <v>1527</v>
      </c>
      <c r="F792" s="5">
        <v>40179</v>
      </c>
      <c r="G792" s="5">
        <v>40543</v>
      </c>
      <c r="H792" s="4" t="s">
        <v>40</v>
      </c>
      <c r="I792" s="6">
        <v>5000</v>
      </c>
      <c r="J792" s="6">
        <v>5000</v>
      </c>
      <c r="K792" s="37" t="s">
        <v>790</v>
      </c>
      <c r="L792" s="119"/>
      <c r="M792" s="3"/>
    </row>
    <row r="793" spans="1:13" s="4" customFormat="1" ht="14.25" customHeight="1" x14ac:dyDescent="0.25">
      <c r="A793" s="4" t="s">
        <v>1528</v>
      </c>
      <c r="B793" s="4" t="s">
        <v>38</v>
      </c>
      <c r="C793" s="4" t="s">
        <v>14</v>
      </c>
      <c r="D793" s="35">
        <v>7154</v>
      </c>
      <c r="E793" s="7" t="s">
        <v>1298</v>
      </c>
      <c r="F793" s="5">
        <v>40179</v>
      </c>
      <c r="G793" s="5">
        <v>40543</v>
      </c>
      <c r="H793" s="4" t="s">
        <v>40</v>
      </c>
      <c r="I793" s="6">
        <v>4500</v>
      </c>
      <c r="J793" s="6">
        <v>4500</v>
      </c>
      <c r="K793" s="37" t="s">
        <v>790</v>
      </c>
      <c r="L793" s="119"/>
      <c r="M793" s="3"/>
    </row>
    <row r="794" spans="1:13" s="4" customFormat="1" ht="14.25" customHeight="1" x14ac:dyDescent="0.25">
      <c r="A794" s="4" t="s">
        <v>1529</v>
      </c>
      <c r="B794" s="4" t="s">
        <v>38</v>
      </c>
      <c r="C794" s="4" t="s">
        <v>14</v>
      </c>
      <c r="D794" s="35">
        <v>7155</v>
      </c>
      <c r="E794" s="4" t="s">
        <v>1316</v>
      </c>
      <c r="F794" s="5">
        <v>40179</v>
      </c>
      <c r="G794" s="5">
        <v>40543</v>
      </c>
      <c r="H794" s="4" t="s">
        <v>40</v>
      </c>
      <c r="I794" s="6">
        <v>2408.67</v>
      </c>
      <c r="J794" s="6">
        <v>2408.67</v>
      </c>
      <c r="K794" s="37" t="s">
        <v>790</v>
      </c>
      <c r="L794" s="119"/>
      <c r="M794" s="3"/>
    </row>
    <row r="795" spans="1:13" s="4" customFormat="1" ht="14.25" customHeight="1" x14ac:dyDescent="0.25">
      <c r="A795" s="4" t="s">
        <v>1530</v>
      </c>
      <c r="B795" s="4" t="s">
        <v>38</v>
      </c>
      <c r="C795" s="4" t="s">
        <v>14</v>
      </c>
      <c r="D795" s="35">
        <v>7156</v>
      </c>
      <c r="E795" s="4" t="s">
        <v>1531</v>
      </c>
      <c r="F795" s="5">
        <v>40179</v>
      </c>
      <c r="G795" s="5">
        <v>40908</v>
      </c>
      <c r="H795" s="4" t="s">
        <v>40</v>
      </c>
      <c r="I795" s="6">
        <v>10154.4</v>
      </c>
      <c r="J795" s="6">
        <v>10154.4</v>
      </c>
      <c r="K795" s="37" t="s">
        <v>790</v>
      </c>
      <c r="L795" s="119"/>
      <c r="M795" s="3"/>
    </row>
    <row r="796" spans="1:13" s="4" customFormat="1" ht="14.25" customHeight="1" x14ac:dyDescent="0.25">
      <c r="A796" s="4" t="s">
        <v>1532</v>
      </c>
      <c r="B796" s="4" t="s">
        <v>38</v>
      </c>
      <c r="C796" s="4" t="s">
        <v>14</v>
      </c>
      <c r="D796" s="35">
        <v>7178</v>
      </c>
      <c r="E796" s="7" t="s">
        <v>1533</v>
      </c>
      <c r="F796" s="5">
        <v>40179</v>
      </c>
      <c r="G796" s="5">
        <v>40543</v>
      </c>
      <c r="H796" s="4" t="s">
        <v>40</v>
      </c>
      <c r="I796" s="6">
        <v>699.62</v>
      </c>
      <c r="J796" s="6">
        <v>699.62</v>
      </c>
      <c r="K796" s="37" t="s">
        <v>790</v>
      </c>
      <c r="L796" s="119"/>
      <c r="M796" s="3"/>
    </row>
    <row r="797" spans="1:13" s="4" customFormat="1" ht="14.25" customHeight="1" x14ac:dyDescent="0.25">
      <c r="A797" s="4" t="s">
        <v>1534</v>
      </c>
      <c r="B797" s="4" t="s">
        <v>38</v>
      </c>
      <c r="C797" s="4" t="s">
        <v>14</v>
      </c>
      <c r="D797" s="35">
        <v>7179</v>
      </c>
      <c r="E797" s="4" t="s">
        <v>1105</v>
      </c>
      <c r="F797" s="5">
        <v>40179</v>
      </c>
      <c r="G797" s="5">
        <v>40543</v>
      </c>
      <c r="H797" s="4" t="s">
        <v>40</v>
      </c>
      <c r="I797" s="6">
        <v>1300</v>
      </c>
      <c r="J797" s="6">
        <v>1300</v>
      </c>
      <c r="K797" s="37" t="s">
        <v>790</v>
      </c>
      <c r="L797" s="119"/>
      <c r="M797" s="3"/>
    </row>
    <row r="798" spans="1:13" s="4" customFormat="1" ht="14.25" customHeight="1" x14ac:dyDescent="0.25">
      <c r="A798" s="4" t="s">
        <v>1535</v>
      </c>
      <c r="B798" s="4" t="s">
        <v>38</v>
      </c>
      <c r="C798" s="4" t="s">
        <v>14</v>
      </c>
      <c r="D798" s="35">
        <v>7180</v>
      </c>
      <c r="E798" s="4" t="s">
        <v>1125</v>
      </c>
      <c r="F798" s="5">
        <v>40179</v>
      </c>
      <c r="G798" s="5">
        <v>40908</v>
      </c>
      <c r="H798" s="4" t="s">
        <v>40</v>
      </c>
      <c r="I798" s="6">
        <v>38520.730000000003</v>
      </c>
      <c r="J798" s="6">
        <v>38520.730000000003</v>
      </c>
      <c r="K798" s="37" t="s">
        <v>790</v>
      </c>
      <c r="L798" s="119"/>
      <c r="M798" s="3"/>
    </row>
    <row r="799" spans="1:13" s="4" customFormat="1" ht="14.25" customHeight="1" x14ac:dyDescent="0.25">
      <c r="A799" s="4" t="s">
        <v>1536</v>
      </c>
      <c r="B799" s="4" t="s">
        <v>38</v>
      </c>
      <c r="C799" s="4" t="s">
        <v>14</v>
      </c>
      <c r="D799" s="35">
        <v>7181</v>
      </c>
      <c r="E799" s="4" t="s">
        <v>1537</v>
      </c>
      <c r="F799" s="5">
        <v>40179</v>
      </c>
      <c r="G799" s="5">
        <v>40908</v>
      </c>
      <c r="H799" s="4" t="s">
        <v>40</v>
      </c>
      <c r="I799" s="6">
        <v>591.37</v>
      </c>
      <c r="J799" s="6">
        <v>591.37</v>
      </c>
      <c r="K799" s="37" t="s">
        <v>790</v>
      </c>
      <c r="L799" s="119"/>
      <c r="M799" s="3"/>
    </row>
    <row r="800" spans="1:13" s="4" customFormat="1" ht="14.25" customHeight="1" x14ac:dyDescent="0.25">
      <c r="A800" s="4" t="s">
        <v>1538</v>
      </c>
      <c r="B800" s="4" t="s">
        <v>38</v>
      </c>
      <c r="C800" s="4" t="s">
        <v>14</v>
      </c>
      <c r="D800" s="35">
        <v>7182</v>
      </c>
      <c r="E800" s="7" t="s">
        <v>1539</v>
      </c>
      <c r="F800" s="5">
        <v>40179</v>
      </c>
      <c r="G800" s="5">
        <v>40908</v>
      </c>
      <c r="H800" s="4" t="s">
        <v>40</v>
      </c>
      <c r="I800" s="6">
        <v>9495.75</v>
      </c>
      <c r="J800" s="6">
        <v>9495.75</v>
      </c>
      <c r="K800" s="37" t="s">
        <v>790</v>
      </c>
      <c r="L800" s="119"/>
      <c r="M800" s="3"/>
    </row>
    <row r="801" spans="1:13" s="4" customFormat="1" ht="14.25" customHeight="1" x14ac:dyDescent="0.25">
      <c r="A801" s="4" t="s">
        <v>1540</v>
      </c>
      <c r="B801" s="4" t="s">
        <v>38</v>
      </c>
      <c r="C801" s="4" t="s">
        <v>14</v>
      </c>
      <c r="D801" s="35">
        <v>7183</v>
      </c>
      <c r="E801" s="7" t="s">
        <v>1541</v>
      </c>
      <c r="F801" s="5">
        <v>40179</v>
      </c>
      <c r="G801" s="5">
        <v>40543</v>
      </c>
      <c r="H801" s="4" t="s">
        <v>40</v>
      </c>
      <c r="I801" s="6">
        <v>5222.16</v>
      </c>
      <c r="J801" s="6">
        <v>5222.16</v>
      </c>
      <c r="K801" s="37" t="s">
        <v>790</v>
      </c>
      <c r="L801" s="119"/>
      <c r="M801" s="3"/>
    </row>
    <row r="802" spans="1:13" s="4" customFormat="1" ht="14.25" customHeight="1" x14ac:dyDescent="0.25">
      <c r="A802" s="4" t="s">
        <v>1542</v>
      </c>
      <c r="B802" s="4" t="s">
        <v>38</v>
      </c>
      <c r="C802" s="4" t="s">
        <v>14</v>
      </c>
      <c r="D802" s="35">
        <v>7184</v>
      </c>
      <c r="E802" s="4" t="s">
        <v>1543</v>
      </c>
      <c r="F802" s="5">
        <v>40179</v>
      </c>
      <c r="G802" s="5">
        <v>40908</v>
      </c>
      <c r="H802" s="4" t="s">
        <v>40</v>
      </c>
      <c r="I802" s="6">
        <v>5049.34</v>
      </c>
      <c r="J802" s="6">
        <v>5049.34</v>
      </c>
      <c r="K802" s="37" t="s">
        <v>790</v>
      </c>
      <c r="L802" s="119"/>
      <c r="M802" s="3"/>
    </row>
    <row r="803" spans="1:13" s="4" customFormat="1" ht="14.25" customHeight="1" x14ac:dyDescent="0.25">
      <c r="A803" s="4" t="s">
        <v>1544</v>
      </c>
      <c r="B803" s="4" t="s">
        <v>38</v>
      </c>
      <c r="C803" s="4" t="s">
        <v>14</v>
      </c>
      <c r="D803" s="35">
        <v>7185</v>
      </c>
      <c r="E803" s="4" t="s">
        <v>1545</v>
      </c>
      <c r="F803" s="5">
        <v>40179</v>
      </c>
      <c r="G803" s="5">
        <v>40543</v>
      </c>
      <c r="H803" s="4" t="s">
        <v>40</v>
      </c>
      <c r="I803" s="6">
        <v>2584.56</v>
      </c>
      <c r="J803" s="6">
        <v>2584.56</v>
      </c>
      <c r="K803" s="37" t="s">
        <v>790</v>
      </c>
      <c r="L803" s="119"/>
      <c r="M803" s="3"/>
    </row>
    <row r="804" spans="1:13" s="4" customFormat="1" ht="14.25" customHeight="1" x14ac:dyDescent="0.25">
      <c r="A804" s="4" t="s">
        <v>1546</v>
      </c>
      <c r="B804" s="4" t="s">
        <v>38</v>
      </c>
      <c r="C804" s="4" t="s">
        <v>14</v>
      </c>
      <c r="D804" s="35">
        <v>7186</v>
      </c>
      <c r="E804" s="4" t="s">
        <v>1547</v>
      </c>
      <c r="F804" s="5">
        <v>40179</v>
      </c>
      <c r="G804" s="5">
        <v>40543</v>
      </c>
      <c r="H804" s="4" t="s">
        <v>40</v>
      </c>
      <c r="I804" s="6">
        <v>7015.67</v>
      </c>
      <c r="J804" s="6">
        <v>7015.67</v>
      </c>
      <c r="K804" s="37" t="s">
        <v>790</v>
      </c>
      <c r="L804" s="119"/>
      <c r="M804" s="3"/>
    </row>
    <row r="805" spans="1:13" s="4" customFormat="1" ht="14.25" customHeight="1" x14ac:dyDescent="0.25">
      <c r="A805" s="4" t="s">
        <v>1548</v>
      </c>
      <c r="B805" s="4" t="s">
        <v>38</v>
      </c>
      <c r="C805" s="4" t="s">
        <v>14</v>
      </c>
      <c r="D805" s="35">
        <v>7187</v>
      </c>
      <c r="E805" s="7" t="s">
        <v>1549</v>
      </c>
      <c r="F805" s="5">
        <v>40179</v>
      </c>
      <c r="G805" s="5">
        <v>40543</v>
      </c>
      <c r="H805" s="4" t="s">
        <v>40</v>
      </c>
      <c r="I805" s="6">
        <v>1735.5</v>
      </c>
      <c r="J805" s="6">
        <v>1735.5</v>
      </c>
      <c r="K805" s="37" t="s">
        <v>790</v>
      </c>
      <c r="L805" s="119"/>
      <c r="M805" s="3"/>
    </row>
    <row r="806" spans="1:13" s="4" customFormat="1" ht="14.25" customHeight="1" x14ac:dyDescent="0.25">
      <c r="A806" s="4" t="s">
        <v>1550</v>
      </c>
      <c r="B806" s="4" t="s">
        <v>38</v>
      </c>
      <c r="C806" s="4" t="s">
        <v>14</v>
      </c>
      <c r="D806" s="35">
        <v>7188</v>
      </c>
      <c r="E806" s="7" t="s">
        <v>1551</v>
      </c>
      <c r="F806" s="5">
        <v>40179</v>
      </c>
      <c r="G806" s="5">
        <v>40543</v>
      </c>
      <c r="H806" s="4" t="s">
        <v>40</v>
      </c>
      <c r="I806" s="6">
        <v>809.2</v>
      </c>
      <c r="J806" s="6">
        <v>809.2</v>
      </c>
      <c r="K806" s="37" t="s">
        <v>790</v>
      </c>
      <c r="L806" s="119"/>
      <c r="M806" s="3"/>
    </row>
    <row r="807" spans="1:13" s="4" customFormat="1" ht="14.25" customHeight="1" x14ac:dyDescent="0.25">
      <c r="A807" s="4" t="s">
        <v>1552</v>
      </c>
      <c r="B807" s="4" t="s">
        <v>38</v>
      </c>
      <c r="C807" s="4" t="s">
        <v>14</v>
      </c>
      <c r="D807" s="35">
        <v>7189</v>
      </c>
      <c r="E807" s="4" t="s">
        <v>1362</v>
      </c>
      <c r="F807" s="5">
        <v>40179</v>
      </c>
      <c r="G807" s="5">
        <v>40543</v>
      </c>
      <c r="H807" s="4" t="s">
        <v>40</v>
      </c>
      <c r="I807" s="6">
        <v>29838.71</v>
      </c>
      <c r="J807" s="6">
        <v>29838.71</v>
      </c>
      <c r="K807" s="37" t="s">
        <v>790</v>
      </c>
      <c r="L807" s="119"/>
      <c r="M807" s="3"/>
    </row>
    <row r="808" spans="1:13" s="4" customFormat="1" ht="14.25" customHeight="1" x14ac:dyDescent="0.25">
      <c r="A808" s="4" t="s">
        <v>1553</v>
      </c>
      <c r="B808" s="4" t="s">
        <v>183</v>
      </c>
      <c r="C808" s="4" t="s">
        <v>14</v>
      </c>
      <c r="D808" s="35">
        <v>7403</v>
      </c>
      <c r="E808" s="4" t="s">
        <v>1554</v>
      </c>
      <c r="F808" s="5">
        <v>40323</v>
      </c>
      <c r="G808" s="5">
        <v>40908</v>
      </c>
      <c r="H808" s="4" t="s">
        <v>40</v>
      </c>
      <c r="I808" s="6">
        <v>11278</v>
      </c>
      <c r="J808" s="6">
        <v>5639</v>
      </c>
      <c r="K808" s="37" t="s">
        <v>790</v>
      </c>
      <c r="L808" s="119"/>
      <c r="M808" s="3"/>
    </row>
    <row r="809" spans="1:13" s="4" customFormat="1" ht="14.25" customHeight="1" x14ac:dyDescent="0.25">
      <c r="A809" s="4" t="s">
        <v>1561</v>
      </c>
      <c r="B809" s="4" t="s">
        <v>183</v>
      </c>
      <c r="C809" s="4" t="s">
        <v>14</v>
      </c>
      <c r="D809" s="35">
        <v>7407</v>
      </c>
      <c r="E809" s="4" t="s">
        <v>1562</v>
      </c>
      <c r="F809" s="5">
        <v>40259</v>
      </c>
      <c r="G809" s="5">
        <v>40908</v>
      </c>
      <c r="H809" s="4" t="s">
        <v>40</v>
      </c>
      <c r="I809" s="6">
        <v>18000</v>
      </c>
      <c r="J809" s="6">
        <v>18000</v>
      </c>
      <c r="K809" s="37" t="s">
        <v>790</v>
      </c>
      <c r="L809" s="119"/>
      <c r="M809" s="3"/>
    </row>
    <row r="810" spans="1:13" s="4" customFormat="1" ht="14.25" customHeight="1" x14ac:dyDescent="0.25">
      <c r="A810" s="4" t="s">
        <v>1563</v>
      </c>
      <c r="B810" s="4" t="s">
        <v>90</v>
      </c>
      <c r="C810" s="4" t="s">
        <v>14</v>
      </c>
      <c r="D810" s="35">
        <v>7409</v>
      </c>
      <c r="E810" s="4" t="s">
        <v>1564</v>
      </c>
      <c r="F810" s="5">
        <v>40259</v>
      </c>
      <c r="G810" s="5">
        <v>40543</v>
      </c>
      <c r="H810" s="4" t="s">
        <v>40</v>
      </c>
      <c r="I810" s="6">
        <v>4476</v>
      </c>
      <c r="J810" s="6">
        <v>2238</v>
      </c>
      <c r="K810" s="37" t="s">
        <v>790</v>
      </c>
      <c r="L810" s="119"/>
      <c r="M810" s="3"/>
    </row>
    <row r="811" spans="1:13" s="4" customFormat="1" ht="14.25" customHeight="1" x14ac:dyDescent="0.25">
      <c r="A811" s="4" t="s">
        <v>1565</v>
      </c>
      <c r="B811" s="4" t="s">
        <v>183</v>
      </c>
      <c r="C811" s="4" t="s">
        <v>14</v>
      </c>
      <c r="D811" s="35">
        <v>7410</v>
      </c>
      <c r="E811" s="4" t="s">
        <v>1566</v>
      </c>
      <c r="F811" s="5">
        <v>40323</v>
      </c>
      <c r="G811" s="5">
        <v>40908</v>
      </c>
      <c r="H811" s="4" t="s">
        <v>40</v>
      </c>
      <c r="I811" s="6">
        <v>27000</v>
      </c>
      <c r="J811" s="6">
        <v>27000</v>
      </c>
      <c r="K811" s="37" t="s">
        <v>790</v>
      </c>
      <c r="L811" s="119"/>
      <c r="M811" s="3"/>
    </row>
    <row r="812" spans="1:13" s="4" customFormat="1" ht="14.25" customHeight="1" x14ac:dyDescent="0.25">
      <c r="A812" s="4" t="s">
        <v>1567</v>
      </c>
      <c r="B812" s="4" t="s">
        <v>38</v>
      </c>
      <c r="C812" s="4" t="s">
        <v>14</v>
      </c>
      <c r="D812" s="35">
        <v>7412</v>
      </c>
      <c r="E812" s="4" t="s">
        <v>1568</v>
      </c>
      <c r="F812" s="5">
        <v>40506</v>
      </c>
      <c r="G812" s="5">
        <v>40543</v>
      </c>
      <c r="H812" s="4" t="s">
        <v>40</v>
      </c>
      <c r="I812" s="6">
        <v>2665</v>
      </c>
      <c r="J812" s="6">
        <v>2665</v>
      </c>
      <c r="K812" s="37" t="s">
        <v>790</v>
      </c>
      <c r="L812" s="119"/>
      <c r="M812" s="3"/>
    </row>
    <row r="813" spans="1:13" s="4" customFormat="1" ht="14.25" customHeight="1" x14ac:dyDescent="0.25">
      <c r="A813" s="4" t="s">
        <v>1569</v>
      </c>
      <c r="B813" s="4" t="s">
        <v>38</v>
      </c>
      <c r="C813" s="4" t="s">
        <v>14</v>
      </c>
      <c r="D813" s="35">
        <v>7413</v>
      </c>
      <c r="E813" s="4" t="s">
        <v>1570</v>
      </c>
      <c r="F813" s="5">
        <v>40179</v>
      </c>
      <c r="G813" s="5">
        <v>40908</v>
      </c>
      <c r="H813" s="4" t="s">
        <v>40</v>
      </c>
      <c r="I813" s="6">
        <v>9400</v>
      </c>
      <c r="J813" s="6">
        <v>9400</v>
      </c>
      <c r="K813" s="37" t="s">
        <v>790</v>
      </c>
      <c r="L813" s="119"/>
      <c r="M813" s="3"/>
    </row>
    <row r="814" spans="1:13" s="4" customFormat="1" ht="14.25" customHeight="1" x14ac:dyDescent="0.25">
      <c r="A814" s="4" t="s">
        <v>1571</v>
      </c>
      <c r="B814" s="4" t="s">
        <v>38</v>
      </c>
      <c r="C814" s="4" t="s">
        <v>14</v>
      </c>
      <c r="D814" s="35">
        <v>7414</v>
      </c>
      <c r="E814" s="7" t="s">
        <v>1298</v>
      </c>
      <c r="F814" s="5">
        <v>40179</v>
      </c>
      <c r="G814" s="5">
        <v>40209</v>
      </c>
      <c r="H814" s="4" t="s">
        <v>40</v>
      </c>
      <c r="I814" s="6">
        <v>4500</v>
      </c>
      <c r="J814" s="6">
        <v>4500</v>
      </c>
      <c r="K814" s="37" t="s">
        <v>790</v>
      </c>
      <c r="L814" s="119"/>
      <c r="M814" s="3"/>
    </row>
    <row r="815" spans="1:13" s="4" customFormat="1" ht="14.25" customHeight="1" x14ac:dyDescent="0.25">
      <c r="A815" s="4" t="s">
        <v>1572</v>
      </c>
      <c r="B815" s="4" t="s">
        <v>38</v>
      </c>
      <c r="C815" s="4" t="s">
        <v>14</v>
      </c>
      <c r="D815" s="35">
        <v>7415</v>
      </c>
      <c r="E815" s="4" t="s">
        <v>1573</v>
      </c>
      <c r="F815" s="5">
        <v>40179</v>
      </c>
      <c r="G815" s="5">
        <v>40543</v>
      </c>
      <c r="H815" s="4" t="s">
        <v>40</v>
      </c>
      <c r="I815" s="6">
        <v>912</v>
      </c>
      <c r="J815" s="6">
        <v>912</v>
      </c>
      <c r="K815" s="37" t="s">
        <v>790</v>
      </c>
      <c r="L815" s="119"/>
      <c r="M815" s="3"/>
    </row>
    <row r="816" spans="1:13" s="4" customFormat="1" ht="14.25" customHeight="1" x14ac:dyDescent="0.25">
      <c r="A816" s="4" t="s">
        <v>1529</v>
      </c>
      <c r="B816" s="4" t="s">
        <v>38</v>
      </c>
      <c r="C816" s="4" t="s">
        <v>14</v>
      </c>
      <c r="D816" s="35">
        <v>7416</v>
      </c>
      <c r="E816" s="4" t="s">
        <v>1574</v>
      </c>
      <c r="F816" s="5">
        <v>40179</v>
      </c>
      <c r="G816" s="5">
        <v>40543</v>
      </c>
      <c r="H816" s="4" t="s">
        <v>40</v>
      </c>
      <c r="I816" s="6">
        <v>2507.25</v>
      </c>
      <c r="J816" s="6">
        <v>2507.25</v>
      </c>
      <c r="K816" s="37" t="s">
        <v>790</v>
      </c>
      <c r="L816" s="119"/>
      <c r="M816" s="3"/>
    </row>
    <row r="817" spans="1:13" s="4" customFormat="1" ht="14.25" customHeight="1" x14ac:dyDescent="0.25">
      <c r="A817" s="4" t="s">
        <v>1522</v>
      </c>
      <c r="B817" s="4" t="s">
        <v>38</v>
      </c>
      <c r="C817" s="4" t="s">
        <v>14</v>
      </c>
      <c r="D817" s="35">
        <v>7417</v>
      </c>
      <c r="E817" s="4" t="s">
        <v>1575</v>
      </c>
      <c r="F817" s="5">
        <v>40330</v>
      </c>
      <c r="G817" s="5">
        <v>41060</v>
      </c>
      <c r="H817" s="4" t="s">
        <v>40</v>
      </c>
      <c r="I817" s="6">
        <v>21323.35</v>
      </c>
      <c r="J817" s="6">
        <v>21323.35</v>
      </c>
      <c r="K817" s="37" t="s">
        <v>790</v>
      </c>
      <c r="L817" s="119"/>
      <c r="M817" s="3"/>
    </row>
    <row r="818" spans="1:13" s="4" customFormat="1" ht="14.25" customHeight="1" x14ac:dyDescent="0.25">
      <c r="A818" s="4" t="s">
        <v>1576</v>
      </c>
      <c r="B818" s="4" t="s">
        <v>38</v>
      </c>
      <c r="C818" s="4" t="s">
        <v>14</v>
      </c>
      <c r="D818" s="35">
        <v>7418</v>
      </c>
      <c r="E818" s="4" t="s">
        <v>1577</v>
      </c>
      <c r="F818" s="5">
        <v>40179</v>
      </c>
      <c r="G818" s="5">
        <v>40543</v>
      </c>
      <c r="H818" s="4" t="s">
        <v>40</v>
      </c>
      <c r="I818" s="6">
        <v>314.60000000000002</v>
      </c>
      <c r="J818" s="6">
        <v>314.60000000000002</v>
      </c>
      <c r="K818" s="37" t="s">
        <v>790</v>
      </c>
      <c r="L818" s="119"/>
      <c r="M818" s="3"/>
    </row>
    <row r="819" spans="1:13" s="4" customFormat="1" ht="14.25" customHeight="1" x14ac:dyDescent="0.25">
      <c r="A819" s="4" t="s">
        <v>1578</v>
      </c>
      <c r="B819" s="4" t="s">
        <v>38</v>
      </c>
      <c r="C819" s="4" t="s">
        <v>14</v>
      </c>
      <c r="D819" s="35">
        <v>7419</v>
      </c>
      <c r="E819" s="4" t="s">
        <v>1579</v>
      </c>
      <c r="F819" s="5">
        <v>40179</v>
      </c>
      <c r="G819" s="5">
        <v>40543</v>
      </c>
      <c r="H819" s="4" t="s">
        <v>40</v>
      </c>
      <c r="I819" s="6">
        <v>2077</v>
      </c>
      <c r="J819" s="6">
        <v>2077</v>
      </c>
      <c r="K819" s="37" t="s">
        <v>790</v>
      </c>
      <c r="L819" s="119"/>
      <c r="M819" s="3"/>
    </row>
    <row r="820" spans="1:13" s="4" customFormat="1" ht="14.25" customHeight="1" x14ac:dyDescent="0.25">
      <c r="A820" s="4" t="s">
        <v>1580</v>
      </c>
      <c r="B820" s="4" t="s">
        <v>38</v>
      </c>
      <c r="C820" s="4" t="s">
        <v>14</v>
      </c>
      <c r="D820" s="35">
        <v>7420</v>
      </c>
      <c r="E820" s="4" t="s">
        <v>1581</v>
      </c>
      <c r="F820" s="5">
        <v>40179</v>
      </c>
      <c r="G820" s="5">
        <v>40543</v>
      </c>
      <c r="H820" s="4" t="s">
        <v>40</v>
      </c>
      <c r="I820" s="6">
        <v>699.62</v>
      </c>
      <c r="J820" s="6">
        <v>699.62</v>
      </c>
      <c r="K820" s="37" t="s">
        <v>790</v>
      </c>
      <c r="L820" s="119"/>
      <c r="M820" s="3"/>
    </row>
    <row r="821" spans="1:13" s="4" customFormat="1" ht="14.25" customHeight="1" x14ac:dyDescent="0.25">
      <c r="A821" s="4" t="s">
        <v>1582</v>
      </c>
      <c r="B821" s="4" t="s">
        <v>38</v>
      </c>
      <c r="C821" s="4" t="s">
        <v>14</v>
      </c>
      <c r="D821" s="35">
        <v>7421</v>
      </c>
      <c r="E821" s="4" t="s">
        <v>1583</v>
      </c>
      <c r="F821" s="5">
        <v>40179</v>
      </c>
      <c r="G821" s="5">
        <v>40209</v>
      </c>
      <c r="H821" s="4" t="s">
        <v>40</v>
      </c>
      <c r="I821" s="6">
        <v>2769.4</v>
      </c>
      <c r="J821" s="6">
        <v>2769.4</v>
      </c>
      <c r="K821" s="37" t="s">
        <v>790</v>
      </c>
      <c r="L821" s="119"/>
      <c r="M821" s="3"/>
    </row>
    <row r="822" spans="1:13" s="4" customFormat="1" ht="14.25" customHeight="1" x14ac:dyDescent="0.25">
      <c r="A822" s="4" t="s">
        <v>1584</v>
      </c>
      <c r="B822" s="4" t="s">
        <v>38</v>
      </c>
      <c r="C822" s="4" t="s">
        <v>14</v>
      </c>
      <c r="D822" s="35">
        <v>7422</v>
      </c>
      <c r="E822" s="4" t="s">
        <v>1585</v>
      </c>
      <c r="F822" s="5">
        <v>40179</v>
      </c>
      <c r="G822" s="5">
        <v>40543</v>
      </c>
      <c r="H822" s="4" t="s">
        <v>40</v>
      </c>
      <c r="I822" s="6">
        <v>2935.5</v>
      </c>
      <c r="J822" s="6">
        <v>2935.5</v>
      </c>
      <c r="K822" s="37" t="s">
        <v>790</v>
      </c>
      <c r="L822" s="119"/>
      <c r="M822" s="3"/>
    </row>
    <row r="823" spans="1:13" s="4" customFormat="1" ht="14.25" customHeight="1" x14ac:dyDescent="0.25">
      <c r="A823" s="4" t="s">
        <v>1586</v>
      </c>
      <c r="B823" s="4" t="s">
        <v>38</v>
      </c>
      <c r="C823" s="4" t="s">
        <v>14</v>
      </c>
      <c r="D823" s="35">
        <v>7424</v>
      </c>
      <c r="E823" s="4" t="s">
        <v>1587</v>
      </c>
      <c r="F823" s="5">
        <v>40179</v>
      </c>
      <c r="G823" s="5">
        <v>40908</v>
      </c>
      <c r="H823" s="4" t="s">
        <v>40</v>
      </c>
      <c r="I823" s="6">
        <v>36530.5</v>
      </c>
      <c r="J823" s="6">
        <v>36530.5</v>
      </c>
      <c r="K823" s="37" t="s">
        <v>790</v>
      </c>
      <c r="L823" s="119"/>
      <c r="M823" s="3"/>
    </row>
    <row r="824" spans="1:13" s="4" customFormat="1" ht="14.25" customHeight="1" x14ac:dyDescent="0.25">
      <c r="A824" s="4" t="s">
        <v>1588</v>
      </c>
      <c r="B824" s="4" t="s">
        <v>38</v>
      </c>
      <c r="C824" s="4" t="s">
        <v>14</v>
      </c>
      <c r="D824" s="35">
        <v>7425</v>
      </c>
      <c r="E824" s="4" t="s">
        <v>1589</v>
      </c>
      <c r="F824" s="5">
        <v>40179</v>
      </c>
      <c r="G824" s="5">
        <v>40543</v>
      </c>
      <c r="H824" s="4" t="s">
        <v>40</v>
      </c>
      <c r="I824" s="6">
        <v>5907</v>
      </c>
      <c r="J824" s="6">
        <v>5907.37</v>
      </c>
      <c r="K824" s="37" t="s">
        <v>790</v>
      </c>
      <c r="L824" s="119"/>
      <c r="M824" s="3"/>
    </row>
    <row r="825" spans="1:13" s="4" customFormat="1" ht="14.25" customHeight="1" x14ac:dyDescent="0.25">
      <c r="A825" s="4" t="s">
        <v>1535</v>
      </c>
      <c r="B825" s="4" t="s">
        <v>38</v>
      </c>
      <c r="C825" s="4" t="s">
        <v>14</v>
      </c>
      <c r="D825" s="35">
        <v>7438</v>
      </c>
      <c r="E825" s="4" t="s">
        <v>1590</v>
      </c>
      <c r="F825" s="5">
        <v>40179</v>
      </c>
      <c r="G825" s="5">
        <v>40908</v>
      </c>
      <c r="H825" s="4" t="s">
        <v>40</v>
      </c>
      <c r="I825" s="6">
        <v>9175</v>
      </c>
      <c r="J825" s="6">
        <v>9175</v>
      </c>
      <c r="K825" s="37" t="s">
        <v>790</v>
      </c>
      <c r="L825" s="119"/>
      <c r="M825" s="3"/>
    </row>
    <row r="826" spans="1:13" s="4" customFormat="1" ht="14.25" customHeight="1" x14ac:dyDescent="0.25">
      <c r="A826" s="4" t="s">
        <v>1591</v>
      </c>
      <c r="B826" s="4" t="s">
        <v>38</v>
      </c>
      <c r="C826" s="4" t="s">
        <v>14</v>
      </c>
      <c r="D826" s="35">
        <v>7439</v>
      </c>
      <c r="E826" s="4" t="s">
        <v>1592</v>
      </c>
      <c r="F826" s="5">
        <v>40179</v>
      </c>
      <c r="H826" s="4" t="s">
        <v>40</v>
      </c>
      <c r="I826" s="6">
        <v>1030.25</v>
      </c>
      <c r="J826" s="6">
        <v>1030.25</v>
      </c>
      <c r="K826" s="37" t="s">
        <v>790</v>
      </c>
      <c r="L826" s="119"/>
      <c r="M826" s="3"/>
    </row>
    <row r="827" spans="1:13" s="4" customFormat="1" ht="14.25" customHeight="1" x14ac:dyDescent="0.25">
      <c r="A827" s="4" t="s">
        <v>1593</v>
      </c>
      <c r="B827" s="4" t="s">
        <v>38</v>
      </c>
      <c r="C827" s="4" t="s">
        <v>14</v>
      </c>
      <c r="D827" s="35">
        <v>7440</v>
      </c>
      <c r="E827" s="4" t="s">
        <v>1594</v>
      </c>
      <c r="F827" s="5">
        <v>40179</v>
      </c>
      <c r="G827" s="5">
        <v>40543</v>
      </c>
      <c r="H827" s="4" t="s">
        <v>40</v>
      </c>
      <c r="I827" s="6">
        <v>7056.75</v>
      </c>
      <c r="J827" s="6">
        <v>7056.75</v>
      </c>
      <c r="K827" s="37" t="s">
        <v>790</v>
      </c>
      <c r="L827" s="119"/>
      <c r="M827" s="3"/>
    </row>
    <row r="828" spans="1:13" s="4" customFormat="1" ht="14.25" customHeight="1" x14ac:dyDescent="0.25">
      <c r="A828" s="4" t="s">
        <v>1595</v>
      </c>
      <c r="B828" s="4" t="s">
        <v>38</v>
      </c>
      <c r="C828" s="4" t="s">
        <v>14</v>
      </c>
      <c r="D828" s="35">
        <v>7442</v>
      </c>
      <c r="E828" s="4" t="s">
        <v>1596</v>
      </c>
      <c r="F828" s="5">
        <v>40179</v>
      </c>
      <c r="G828" s="5">
        <v>40543</v>
      </c>
      <c r="H828" s="4" t="s">
        <v>40</v>
      </c>
      <c r="I828" s="6">
        <v>615</v>
      </c>
      <c r="J828" s="6">
        <v>615</v>
      </c>
      <c r="K828" s="37" t="s">
        <v>790</v>
      </c>
      <c r="L828" s="119"/>
      <c r="M828" s="3"/>
    </row>
    <row r="829" spans="1:13" s="4" customFormat="1" ht="14.25" customHeight="1" x14ac:dyDescent="0.25">
      <c r="A829" s="4" t="s">
        <v>1597</v>
      </c>
      <c r="B829" s="4" t="s">
        <v>38</v>
      </c>
      <c r="C829" s="4" t="s">
        <v>14</v>
      </c>
      <c r="D829" s="35">
        <v>7443</v>
      </c>
      <c r="E829" s="4" t="s">
        <v>1598</v>
      </c>
      <c r="F829" s="5">
        <v>40179</v>
      </c>
      <c r="G829" s="5">
        <v>40543</v>
      </c>
      <c r="H829" s="4" t="s">
        <v>40</v>
      </c>
      <c r="I829" s="6">
        <v>3478.32</v>
      </c>
      <c r="J829" s="6">
        <v>3478.32</v>
      </c>
      <c r="K829" s="37" t="s">
        <v>790</v>
      </c>
      <c r="L829" s="119"/>
      <c r="M829" s="3"/>
    </row>
    <row r="830" spans="1:13" s="4" customFormat="1" ht="14.25" customHeight="1" x14ac:dyDescent="0.25">
      <c r="A830" s="4" t="s">
        <v>1599</v>
      </c>
      <c r="B830" s="4" t="s">
        <v>38</v>
      </c>
      <c r="C830" s="4" t="s">
        <v>14</v>
      </c>
      <c r="D830" s="35">
        <v>7444</v>
      </c>
      <c r="E830" s="4" t="s">
        <v>1600</v>
      </c>
      <c r="F830" s="5">
        <v>40179</v>
      </c>
      <c r="G830" s="5">
        <v>40543</v>
      </c>
      <c r="H830" s="4" t="s">
        <v>40</v>
      </c>
      <c r="I830" s="6">
        <v>1310</v>
      </c>
      <c r="J830" s="6">
        <v>1310</v>
      </c>
      <c r="K830" s="37" t="s">
        <v>790</v>
      </c>
      <c r="L830" s="119"/>
      <c r="M830" s="3"/>
    </row>
    <row r="831" spans="1:13" s="4" customFormat="1" ht="14.25" customHeight="1" x14ac:dyDescent="0.25">
      <c r="A831" s="4" t="s">
        <v>1601</v>
      </c>
      <c r="B831" s="4" t="s">
        <v>38</v>
      </c>
      <c r="C831" s="4" t="s">
        <v>14</v>
      </c>
      <c r="D831" s="35">
        <v>7446</v>
      </c>
      <c r="E831" s="4" t="s">
        <v>1602</v>
      </c>
      <c r="F831" s="5">
        <v>40179</v>
      </c>
      <c r="G831" s="5">
        <v>40543</v>
      </c>
      <c r="H831" s="4" t="s">
        <v>40</v>
      </c>
      <c r="I831" s="6">
        <v>16984.82</v>
      </c>
      <c r="J831" s="6">
        <v>16984.82</v>
      </c>
      <c r="K831" s="37" t="s">
        <v>790</v>
      </c>
      <c r="L831" s="119"/>
      <c r="M831" s="3"/>
    </row>
    <row r="832" spans="1:13" s="4" customFormat="1" ht="14.25" customHeight="1" x14ac:dyDescent="0.25">
      <c r="A832" s="4" t="s">
        <v>1603</v>
      </c>
      <c r="B832" s="4" t="s">
        <v>38</v>
      </c>
      <c r="C832" s="4" t="s">
        <v>14</v>
      </c>
      <c r="D832" s="35">
        <v>7447</v>
      </c>
      <c r="E832" s="4" t="s">
        <v>1604</v>
      </c>
      <c r="F832" s="5">
        <v>40179</v>
      </c>
      <c r="G832" s="5">
        <v>40543</v>
      </c>
      <c r="H832" s="4" t="s">
        <v>40</v>
      </c>
      <c r="I832" s="6">
        <v>38054.75</v>
      </c>
      <c r="J832" s="6">
        <v>38054.75</v>
      </c>
      <c r="K832" s="37" t="s">
        <v>790</v>
      </c>
      <c r="L832" s="119"/>
      <c r="M832" s="3"/>
    </row>
    <row r="833" spans="1:13" s="4" customFormat="1" ht="14.25" customHeight="1" x14ac:dyDescent="0.25">
      <c r="A833" s="4" t="s">
        <v>1605</v>
      </c>
      <c r="B833" s="4" t="s">
        <v>38</v>
      </c>
      <c r="C833" s="4" t="s">
        <v>14</v>
      </c>
      <c r="D833" s="35">
        <v>7448</v>
      </c>
      <c r="E833" s="4" t="s">
        <v>1606</v>
      </c>
      <c r="F833" s="5">
        <v>40179</v>
      </c>
      <c r="G833" s="5">
        <v>40543</v>
      </c>
      <c r="H833" s="4" t="s">
        <v>40</v>
      </c>
      <c r="I833" s="6">
        <v>2546.9499999999998</v>
      </c>
      <c r="J833" s="6">
        <v>2546.9499999999998</v>
      </c>
      <c r="K833" s="37" t="s">
        <v>790</v>
      </c>
      <c r="L833" s="119"/>
      <c r="M833" s="3"/>
    </row>
    <row r="834" spans="1:13" s="4" customFormat="1" ht="14.25" customHeight="1" x14ac:dyDescent="0.25">
      <c r="A834" s="4" t="s">
        <v>1607</v>
      </c>
      <c r="B834" s="4" t="s">
        <v>183</v>
      </c>
      <c r="C834" s="4" t="s">
        <v>14</v>
      </c>
      <c r="D834" s="35">
        <v>7530</v>
      </c>
      <c r="E834" s="4" t="s">
        <v>1608</v>
      </c>
      <c r="F834" s="5">
        <v>40179</v>
      </c>
      <c r="G834" s="5">
        <v>41639</v>
      </c>
      <c r="H834" s="4" t="s">
        <v>40</v>
      </c>
      <c r="I834" s="6">
        <v>29500</v>
      </c>
      <c r="J834" s="6">
        <v>18500</v>
      </c>
      <c r="K834" s="37" t="s">
        <v>790</v>
      </c>
      <c r="L834" s="119"/>
      <c r="M834" s="3"/>
    </row>
    <row r="835" spans="1:13" s="4" customFormat="1" ht="14.25" customHeight="1" x14ac:dyDescent="0.25">
      <c r="A835" s="4" t="s">
        <v>1609</v>
      </c>
      <c r="B835" s="4" t="s">
        <v>38</v>
      </c>
      <c r="C835" s="4" t="s">
        <v>14</v>
      </c>
      <c r="D835" s="35">
        <v>7838</v>
      </c>
      <c r="E835" s="4" t="s">
        <v>1610</v>
      </c>
      <c r="F835" s="5">
        <v>40544</v>
      </c>
      <c r="G835" s="5">
        <v>41274</v>
      </c>
      <c r="H835" s="4" t="s">
        <v>40</v>
      </c>
      <c r="I835" s="6">
        <v>7255.5</v>
      </c>
      <c r="J835" s="6">
        <v>7255.5</v>
      </c>
      <c r="K835" s="37" t="s">
        <v>790</v>
      </c>
      <c r="L835" s="119"/>
      <c r="M835" s="3"/>
    </row>
    <row r="836" spans="1:13" s="4" customFormat="1" ht="14.25" customHeight="1" x14ac:dyDescent="0.25">
      <c r="A836" s="4" t="s">
        <v>1611</v>
      </c>
      <c r="B836" s="4" t="s">
        <v>38</v>
      </c>
      <c r="C836" s="4" t="s">
        <v>14</v>
      </c>
      <c r="D836" s="35">
        <v>7839</v>
      </c>
      <c r="E836" s="4" t="s">
        <v>1612</v>
      </c>
      <c r="F836" s="5">
        <v>40179</v>
      </c>
      <c r="G836" s="5">
        <v>41639</v>
      </c>
      <c r="H836" s="4" t="s">
        <v>40</v>
      </c>
      <c r="I836" s="6">
        <v>4500</v>
      </c>
      <c r="J836" s="6">
        <v>4500</v>
      </c>
      <c r="K836" s="37" t="s">
        <v>790</v>
      </c>
      <c r="L836" s="119"/>
      <c r="M836" s="3"/>
    </row>
    <row r="837" spans="1:13" s="4" customFormat="1" ht="14.25" customHeight="1" x14ac:dyDescent="0.25">
      <c r="A837" s="4" t="s">
        <v>1613</v>
      </c>
      <c r="B837" s="4" t="s">
        <v>38</v>
      </c>
      <c r="C837" s="4" t="s">
        <v>14</v>
      </c>
      <c r="D837" s="35">
        <v>7840</v>
      </c>
      <c r="E837" s="4" t="s">
        <v>1614</v>
      </c>
      <c r="F837" s="5">
        <v>40179</v>
      </c>
      <c r="G837" s="5">
        <v>41274</v>
      </c>
      <c r="H837" s="4" t="s">
        <v>40</v>
      </c>
      <c r="I837" s="6">
        <v>10749</v>
      </c>
      <c r="J837" s="6">
        <f>9904+845</f>
        <v>10749</v>
      </c>
      <c r="K837" s="37" t="s">
        <v>790</v>
      </c>
      <c r="L837" s="119"/>
      <c r="M837" s="3"/>
    </row>
    <row r="838" spans="1:13" s="4" customFormat="1" ht="14.25" customHeight="1" x14ac:dyDescent="0.25">
      <c r="A838" s="4" t="s">
        <v>1615</v>
      </c>
      <c r="B838" s="4" t="s">
        <v>38</v>
      </c>
      <c r="C838" s="4" t="s">
        <v>14</v>
      </c>
      <c r="D838" s="35">
        <v>7841</v>
      </c>
      <c r="E838" s="4" t="s">
        <v>1616</v>
      </c>
      <c r="F838" s="5">
        <v>40544</v>
      </c>
      <c r="G838" s="5">
        <v>41274</v>
      </c>
      <c r="H838" s="4" t="s">
        <v>40</v>
      </c>
      <c r="I838" s="6">
        <v>5018.3</v>
      </c>
      <c r="J838" s="6">
        <f>1847.95+3170.35</f>
        <v>5018.3</v>
      </c>
      <c r="K838" s="37" t="s">
        <v>790</v>
      </c>
      <c r="L838" s="119"/>
      <c r="M838" s="3"/>
    </row>
    <row r="839" spans="1:13" s="4" customFormat="1" ht="14.25" customHeight="1" x14ac:dyDescent="0.25">
      <c r="A839" s="4" t="s">
        <v>1617</v>
      </c>
      <c r="B839" s="4" t="s">
        <v>38</v>
      </c>
      <c r="C839" s="4" t="s">
        <v>14</v>
      </c>
      <c r="D839" s="35">
        <v>7842</v>
      </c>
      <c r="E839" s="4" t="s">
        <v>1618</v>
      </c>
      <c r="F839" s="5">
        <v>40179</v>
      </c>
      <c r="G839" s="5">
        <v>41274</v>
      </c>
      <c r="H839" s="4" t="s">
        <v>40</v>
      </c>
      <c r="I839" s="6">
        <v>6062.5</v>
      </c>
      <c r="J839" s="6">
        <f>5536.5+526</f>
        <v>6062.5</v>
      </c>
      <c r="K839" s="37" t="s">
        <v>790</v>
      </c>
      <c r="L839" s="119"/>
      <c r="M839" s="3"/>
    </row>
    <row r="840" spans="1:13" s="4" customFormat="1" ht="14.25" customHeight="1" x14ac:dyDescent="0.25">
      <c r="A840" s="4" t="s">
        <v>1619</v>
      </c>
      <c r="B840" s="4" t="s">
        <v>38</v>
      </c>
      <c r="C840" s="4" t="s">
        <v>14</v>
      </c>
      <c r="D840" s="35">
        <v>7843</v>
      </c>
      <c r="E840" s="4" t="s">
        <v>1620</v>
      </c>
      <c r="F840" s="5">
        <v>40179</v>
      </c>
      <c r="G840" s="5">
        <v>41274</v>
      </c>
      <c r="H840" s="4" t="s">
        <v>40</v>
      </c>
      <c r="I840" s="6">
        <v>5921.5</v>
      </c>
      <c r="J840" s="6">
        <f>4810.5+1111</f>
        <v>5921.5</v>
      </c>
      <c r="K840" s="37" t="s">
        <v>790</v>
      </c>
      <c r="L840" s="119"/>
      <c r="M840" s="3"/>
    </row>
    <row r="841" spans="1:13" s="4" customFormat="1" ht="14.25" customHeight="1" x14ac:dyDescent="0.25">
      <c r="A841" s="4" t="s">
        <v>1621</v>
      </c>
      <c r="B841" s="4" t="s">
        <v>38</v>
      </c>
      <c r="C841" s="4" t="s">
        <v>14</v>
      </c>
      <c r="D841" s="35">
        <v>7844</v>
      </c>
      <c r="E841" s="4" t="s">
        <v>1622</v>
      </c>
      <c r="F841" s="5">
        <v>40179</v>
      </c>
      <c r="G841" s="5">
        <v>41639</v>
      </c>
      <c r="H841" s="4" t="s">
        <v>40</v>
      </c>
      <c r="I841" s="6">
        <v>1733.1</v>
      </c>
      <c r="J841" s="6">
        <v>1733.1</v>
      </c>
      <c r="K841" s="37" t="s">
        <v>790</v>
      </c>
      <c r="L841" s="119"/>
      <c r="M841" s="3"/>
    </row>
    <row r="842" spans="1:13" s="4" customFormat="1" ht="14.25" customHeight="1" x14ac:dyDescent="0.25">
      <c r="A842" s="4" t="s">
        <v>1623</v>
      </c>
      <c r="B842" s="4" t="s">
        <v>38</v>
      </c>
      <c r="C842" s="4" t="s">
        <v>14</v>
      </c>
      <c r="D842" s="35">
        <v>7845</v>
      </c>
      <c r="E842" s="4" t="s">
        <v>1624</v>
      </c>
      <c r="F842" s="5">
        <v>40179</v>
      </c>
      <c r="G842" s="5">
        <v>41639</v>
      </c>
      <c r="H842" s="4" t="s">
        <v>40</v>
      </c>
      <c r="I842" s="6">
        <v>810</v>
      </c>
      <c r="J842" s="6">
        <v>810</v>
      </c>
      <c r="K842" s="37" t="s">
        <v>790</v>
      </c>
      <c r="L842" s="119"/>
      <c r="M842" s="3"/>
    </row>
    <row r="843" spans="1:13" s="4" customFormat="1" ht="14.25" customHeight="1" x14ac:dyDescent="0.25">
      <c r="A843" s="4" t="s">
        <v>1625</v>
      </c>
      <c r="B843" s="4" t="s">
        <v>38</v>
      </c>
      <c r="C843" s="4" t="s">
        <v>14</v>
      </c>
      <c r="D843" s="35">
        <v>7846</v>
      </c>
      <c r="E843" s="4" t="s">
        <v>1626</v>
      </c>
      <c r="F843" s="5">
        <v>40179</v>
      </c>
      <c r="G843" s="5">
        <v>41639</v>
      </c>
      <c r="H843" s="4" t="s">
        <v>40</v>
      </c>
      <c r="I843" s="6">
        <v>2814</v>
      </c>
      <c r="J843" s="6">
        <v>2814</v>
      </c>
      <c r="K843" s="37" t="s">
        <v>790</v>
      </c>
      <c r="L843" s="119"/>
      <c r="M843" s="3"/>
    </row>
    <row r="844" spans="1:13" s="4" customFormat="1" ht="14.25" customHeight="1" x14ac:dyDescent="0.25">
      <c r="A844" s="4" t="s">
        <v>1627</v>
      </c>
      <c r="B844" s="4" t="s">
        <v>38</v>
      </c>
      <c r="C844" s="4" t="s">
        <v>14</v>
      </c>
      <c r="D844" s="35">
        <v>7847</v>
      </c>
      <c r="E844" s="4" t="s">
        <v>1628</v>
      </c>
      <c r="F844" s="5">
        <v>40179</v>
      </c>
      <c r="G844" s="5">
        <v>41274</v>
      </c>
      <c r="H844" s="4" t="s">
        <v>40</v>
      </c>
      <c r="I844" s="6">
        <v>2041.13</v>
      </c>
      <c r="J844" s="6">
        <v>2041.13</v>
      </c>
      <c r="K844" s="37" t="s">
        <v>790</v>
      </c>
      <c r="L844" s="119"/>
      <c r="M844" s="3"/>
    </row>
    <row r="845" spans="1:13" s="4" customFormat="1" ht="14.25" customHeight="1" x14ac:dyDescent="0.25">
      <c r="A845" s="4" t="s">
        <v>1629</v>
      </c>
      <c r="B845" s="4" t="s">
        <v>38</v>
      </c>
      <c r="C845" s="4" t="s">
        <v>14</v>
      </c>
      <c r="D845" s="35">
        <v>7848</v>
      </c>
      <c r="E845" s="4" t="s">
        <v>1630</v>
      </c>
      <c r="F845" s="5">
        <v>40179</v>
      </c>
      <c r="G845" s="5">
        <v>41639</v>
      </c>
      <c r="H845" s="4" t="s">
        <v>40</v>
      </c>
      <c r="I845" s="6">
        <v>1260</v>
      </c>
      <c r="J845" s="6">
        <v>1260</v>
      </c>
      <c r="K845" s="37" t="s">
        <v>790</v>
      </c>
      <c r="L845" s="119"/>
      <c r="M845" s="3"/>
    </row>
    <row r="846" spans="1:13" s="4" customFormat="1" ht="14.25" customHeight="1" x14ac:dyDescent="0.25">
      <c r="A846" s="4" t="s">
        <v>1631</v>
      </c>
      <c r="B846" s="4" t="s">
        <v>38</v>
      </c>
      <c r="C846" s="4" t="s">
        <v>14</v>
      </c>
      <c r="D846" s="35">
        <v>7849</v>
      </c>
      <c r="E846" s="4" t="s">
        <v>1632</v>
      </c>
      <c r="F846" s="5">
        <v>40179</v>
      </c>
      <c r="G846" s="5">
        <v>41639</v>
      </c>
      <c r="H846" s="4" t="s">
        <v>40</v>
      </c>
      <c r="I846" s="6">
        <v>1675</v>
      </c>
      <c r="J846" s="6">
        <v>1675</v>
      </c>
      <c r="K846" s="37" t="s">
        <v>790</v>
      </c>
      <c r="L846" s="119"/>
      <c r="M846" s="3"/>
    </row>
    <row r="847" spans="1:13" s="4" customFormat="1" ht="14.25" customHeight="1" x14ac:dyDescent="0.25">
      <c r="A847" s="4" t="s">
        <v>1633</v>
      </c>
      <c r="B847" s="4" t="s">
        <v>38</v>
      </c>
      <c r="C847" s="4" t="s">
        <v>14</v>
      </c>
      <c r="D847" s="35">
        <v>7850</v>
      </c>
      <c r="E847" s="4" t="s">
        <v>1634</v>
      </c>
      <c r="F847" s="5">
        <v>40179</v>
      </c>
      <c r="G847" s="5">
        <v>41274</v>
      </c>
      <c r="H847" s="4" t="s">
        <v>40</v>
      </c>
      <c r="I847" s="6">
        <v>31050.5</v>
      </c>
      <c r="J847" s="6">
        <f>26436.5+4614</f>
        <v>31050.5</v>
      </c>
      <c r="K847" s="37" t="s">
        <v>790</v>
      </c>
      <c r="L847" s="119"/>
      <c r="M847" s="3"/>
    </row>
    <row r="848" spans="1:13" s="4" customFormat="1" ht="14.25" customHeight="1" x14ac:dyDescent="0.25">
      <c r="A848" s="4" t="s">
        <v>1635</v>
      </c>
      <c r="B848" s="4" t="s">
        <v>38</v>
      </c>
      <c r="C848" s="4" t="s">
        <v>14</v>
      </c>
      <c r="D848" s="35">
        <v>7881</v>
      </c>
      <c r="E848" s="4" t="s">
        <v>1636</v>
      </c>
      <c r="F848" s="5">
        <v>40544</v>
      </c>
      <c r="G848" s="5">
        <v>41639</v>
      </c>
      <c r="H848" s="4" t="s">
        <v>40</v>
      </c>
      <c r="I848" s="6">
        <v>34510.93</v>
      </c>
      <c r="J848" s="6">
        <v>34510.93</v>
      </c>
      <c r="K848" s="37" t="s">
        <v>790</v>
      </c>
      <c r="L848" s="119"/>
      <c r="M848" s="3"/>
    </row>
    <row r="849" spans="1:13" s="4" customFormat="1" ht="14.25" customHeight="1" x14ac:dyDescent="0.25">
      <c r="A849" s="4" t="s">
        <v>1637</v>
      </c>
      <c r="B849" s="4" t="s">
        <v>183</v>
      </c>
      <c r="C849" s="4" t="s">
        <v>14</v>
      </c>
      <c r="D849" s="35">
        <v>8619</v>
      </c>
      <c r="E849" s="4" t="s">
        <v>1638</v>
      </c>
      <c r="F849" s="5">
        <v>40525</v>
      </c>
      <c r="G849" s="5">
        <v>40908</v>
      </c>
      <c r="H849" s="4" t="s">
        <v>40</v>
      </c>
      <c r="I849" s="6">
        <v>51853.64</v>
      </c>
      <c r="J849" s="6">
        <v>25926.82</v>
      </c>
      <c r="K849" s="37" t="s">
        <v>790</v>
      </c>
      <c r="L849" s="119"/>
      <c r="M849" s="3"/>
    </row>
    <row r="850" spans="1:13" s="4" customFormat="1" ht="14.25" customHeight="1" x14ac:dyDescent="0.25">
      <c r="A850" s="4" t="s">
        <v>1639</v>
      </c>
      <c r="B850" s="4" t="s">
        <v>190</v>
      </c>
      <c r="C850" s="4" t="s">
        <v>14</v>
      </c>
      <c r="D850" s="35">
        <v>8620</v>
      </c>
      <c r="E850" s="4" t="s">
        <v>1640</v>
      </c>
      <c r="F850" s="5">
        <v>40805</v>
      </c>
      <c r="G850" s="5">
        <v>41274</v>
      </c>
      <c r="H850" s="4" t="s">
        <v>40</v>
      </c>
      <c r="I850" s="6">
        <v>17426.98</v>
      </c>
      <c r="J850" s="6">
        <v>8713.49</v>
      </c>
      <c r="K850" s="37" t="s">
        <v>790</v>
      </c>
      <c r="L850" s="119"/>
      <c r="M850" s="3"/>
    </row>
    <row r="851" spans="1:13" s="4" customFormat="1" ht="14.25" customHeight="1" x14ac:dyDescent="0.25">
      <c r="A851" s="4" t="s">
        <v>1641</v>
      </c>
      <c r="B851" s="4" t="s">
        <v>183</v>
      </c>
      <c r="C851" s="4" t="s">
        <v>14</v>
      </c>
      <c r="D851" s="35">
        <v>8621</v>
      </c>
      <c r="E851" s="4" t="s">
        <v>1642</v>
      </c>
      <c r="F851" s="5">
        <v>40805</v>
      </c>
      <c r="G851" s="5">
        <v>41274</v>
      </c>
      <c r="H851" s="4" t="s">
        <v>40</v>
      </c>
      <c r="I851" s="6">
        <v>80252.2</v>
      </c>
      <c r="J851" s="6">
        <v>52126</v>
      </c>
      <c r="K851" s="37" t="s">
        <v>790</v>
      </c>
      <c r="L851" s="119"/>
      <c r="M851" s="3"/>
    </row>
    <row r="852" spans="1:13" s="4" customFormat="1" ht="14.25" customHeight="1" x14ac:dyDescent="0.25">
      <c r="A852" s="4" t="s">
        <v>1643</v>
      </c>
      <c r="B852" s="4" t="s">
        <v>183</v>
      </c>
      <c r="C852" s="4" t="s">
        <v>14</v>
      </c>
      <c r="D852" s="35">
        <v>8622</v>
      </c>
      <c r="E852" s="4" t="s">
        <v>1644</v>
      </c>
      <c r="F852" s="5">
        <v>40588</v>
      </c>
      <c r="G852" s="5">
        <v>40953</v>
      </c>
      <c r="H852" s="4" t="s">
        <v>40</v>
      </c>
      <c r="I852" s="6">
        <v>40779.1</v>
      </c>
      <c r="J852" s="6">
        <v>27889.55</v>
      </c>
      <c r="K852" s="37" t="s">
        <v>790</v>
      </c>
      <c r="L852" s="119"/>
      <c r="M852" s="3"/>
    </row>
    <row r="853" spans="1:13" s="4" customFormat="1" ht="14.25" customHeight="1" x14ac:dyDescent="0.25">
      <c r="A853" s="4" t="s">
        <v>1645</v>
      </c>
      <c r="B853" s="4" t="s">
        <v>190</v>
      </c>
      <c r="C853" s="4" t="s">
        <v>14</v>
      </c>
      <c r="D853" s="35">
        <v>8624</v>
      </c>
      <c r="E853" s="4" t="s">
        <v>1646</v>
      </c>
      <c r="F853" s="5">
        <v>40882</v>
      </c>
      <c r="G853" s="5">
        <v>41274</v>
      </c>
      <c r="H853" s="4" t="s">
        <v>40</v>
      </c>
      <c r="I853" s="6">
        <v>27720.720000000001</v>
      </c>
      <c r="J853" s="6">
        <v>21360.36</v>
      </c>
      <c r="K853" s="37" t="s">
        <v>790</v>
      </c>
      <c r="L853" s="119"/>
      <c r="M853" s="3"/>
    </row>
    <row r="854" spans="1:13" s="4" customFormat="1" ht="14.25" customHeight="1" x14ac:dyDescent="0.25">
      <c r="A854" s="4" t="s">
        <v>1647</v>
      </c>
      <c r="B854" s="4" t="s">
        <v>38</v>
      </c>
      <c r="C854" s="4" t="s">
        <v>14</v>
      </c>
      <c r="D854" s="35">
        <v>8625</v>
      </c>
      <c r="E854" s="4" t="s">
        <v>1648</v>
      </c>
      <c r="F854" s="5">
        <v>40725</v>
      </c>
      <c r="G854" s="5">
        <v>41060</v>
      </c>
      <c r="H854" s="4" t="s">
        <v>40</v>
      </c>
      <c r="I854" s="6">
        <v>6333.75</v>
      </c>
      <c r="J854" s="6">
        <v>6335.75</v>
      </c>
      <c r="K854" s="37" t="s">
        <v>790</v>
      </c>
      <c r="L854" s="119"/>
      <c r="M854" s="3"/>
    </row>
    <row r="855" spans="1:13" s="4" customFormat="1" ht="14.25" customHeight="1" x14ac:dyDescent="0.25">
      <c r="A855" s="4" t="s">
        <v>1649</v>
      </c>
      <c r="B855" s="4" t="s">
        <v>38</v>
      </c>
      <c r="C855" s="4" t="s">
        <v>14</v>
      </c>
      <c r="D855" s="35">
        <v>8626</v>
      </c>
      <c r="E855" s="4" t="s">
        <v>1294</v>
      </c>
      <c r="F855" s="5">
        <v>40544</v>
      </c>
      <c r="H855" s="4" t="s">
        <v>40</v>
      </c>
      <c r="I855" s="6">
        <v>16574.580000000002</v>
      </c>
      <c r="J855" s="6">
        <v>16574.580000000002</v>
      </c>
      <c r="K855" s="37" t="s">
        <v>790</v>
      </c>
      <c r="L855" s="119"/>
      <c r="M855" s="3"/>
    </row>
    <row r="856" spans="1:13" s="4" customFormat="1" ht="14.25" customHeight="1" x14ac:dyDescent="0.25">
      <c r="A856" s="4" t="s">
        <v>1650</v>
      </c>
      <c r="B856" s="4" t="s">
        <v>38</v>
      </c>
      <c r="C856" s="4" t="s">
        <v>14</v>
      </c>
      <c r="D856" s="35">
        <v>8627</v>
      </c>
      <c r="E856" s="4" t="s">
        <v>1651</v>
      </c>
      <c r="F856" s="5">
        <v>40544</v>
      </c>
      <c r="G856" s="5">
        <v>40908</v>
      </c>
      <c r="H856" s="4" t="s">
        <v>40</v>
      </c>
      <c r="I856" s="6">
        <v>2364.5300000000002</v>
      </c>
      <c r="J856" s="6">
        <v>2364.5300000000002</v>
      </c>
      <c r="K856" s="37" t="s">
        <v>790</v>
      </c>
      <c r="L856" s="119"/>
      <c r="M856" s="3"/>
    </row>
    <row r="857" spans="1:13" s="4" customFormat="1" ht="14.25" customHeight="1" x14ac:dyDescent="0.25">
      <c r="A857" s="4" t="s">
        <v>1652</v>
      </c>
      <c r="B857" s="4" t="s">
        <v>38</v>
      </c>
      <c r="C857" s="4" t="s">
        <v>14</v>
      </c>
      <c r="D857" s="35">
        <v>8730</v>
      </c>
      <c r="E857" s="4" t="s">
        <v>1653</v>
      </c>
      <c r="F857" s="5">
        <v>40544</v>
      </c>
      <c r="G857" s="5">
        <v>40908</v>
      </c>
      <c r="H857" s="4" t="s">
        <v>40</v>
      </c>
      <c r="I857" s="6">
        <v>17639.009999999998</v>
      </c>
      <c r="J857" s="6">
        <v>17639.009999999998</v>
      </c>
      <c r="K857" s="37" t="s">
        <v>790</v>
      </c>
      <c r="L857" s="119"/>
      <c r="M857" s="3"/>
    </row>
    <row r="858" spans="1:13" s="4" customFormat="1" ht="14.25" customHeight="1" x14ac:dyDescent="0.25">
      <c r="A858" s="4" t="s">
        <v>1654</v>
      </c>
      <c r="B858" s="4" t="s">
        <v>38</v>
      </c>
      <c r="C858" s="4" t="s">
        <v>14</v>
      </c>
      <c r="D858" s="35">
        <v>8732</v>
      </c>
      <c r="E858" s="7" t="s">
        <v>1298</v>
      </c>
      <c r="F858" s="5">
        <v>40544</v>
      </c>
      <c r="G858" s="5">
        <v>40908</v>
      </c>
      <c r="H858" s="4" t="s">
        <v>40</v>
      </c>
      <c r="I858" s="6">
        <v>4000</v>
      </c>
      <c r="J858" s="6">
        <v>4000</v>
      </c>
      <c r="K858" s="37" t="s">
        <v>790</v>
      </c>
      <c r="L858" s="119"/>
      <c r="M858" s="3"/>
    </row>
    <row r="859" spans="1:13" s="4" customFormat="1" ht="14.25" customHeight="1" x14ac:dyDescent="0.25">
      <c r="A859" s="4" t="s">
        <v>1655</v>
      </c>
      <c r="B859" s="4" t="s">
        <v>38</v>
      </c>
      <c r="C859" s="4" t="s">
        <v>14</v>
      </c>
      <c r="D859" s="35">
        <v>8733</v>
      </c>
      <c r="E859" s="4" t="s">
        <v>1656</v>
      </c>
      <c r="F859" s="5">
        <v>40544</v>
      </c>
      <c r="G859" s="5">
        <v>40908</v>
      </c>
      <c r="H859" s="4" t="s">
        <v>40</v>
      </c>
      <c r="I859" s="6">
        <v>2500</v>
      </c>
      <c r="J859" s="6">
        <v>2500</v>
      </c>
      <c r="K859" s="37" t="s">
        <v>790</v>
      </c>
      <c r="L859" s="119"/>
      <c r="M859" s="3"/>
    </row>
    <row r="860" spans="1:13" s="4" customFormat="1" ht="14.25" customHeight="1" x14ac:dyDescent="0.25">
      <c r="A860" s="4" t="s">
        <v>1657</v>
      </c>
      <c r="B860" s="4" t="s">
        <v>38</v>
      </c>
      <c r="C860" s="4" t="s">
        <v>14</v>
      </c>
      <c r="D860" s="35">
        <v>8735</v>
      </c>
      <c r="E860" s="4" t="s">
        <v>1658</v>
      </c>
      <c r="F860" s="5">
        <v>40544</v>
      </c>
      <c r="G860" s="5">
        <v>40908</v>
      </c>
      <c r="H860" s="4" t="s">
        <v>40</v>
      </c>
      <c r="I860" s="6">
        <v>734.88</v>
      </c>
      <c r="J860" s="6">
        <v>734.88</v>
      </c>
      <c r="K860" s="37" t="s">
        <v>790</v>
      </c>
      <c r="L860" s="119"/>
      <c r="M860" s="3"/>
    </row>
    <row r="861" spans="1:13" s="4" customFormat="1" ht="14.25" customHeight="1" x14ac:dyDescent="0.25">
      <c r="A861" s="4" t="s">
        <v>1659</v>
      </c>
      <c r="B861" s="4" t="s">
        <v>38</v>
      </c>
      <c r="C861" s="4" t="s">
        <v>14</v>
      </c>
      <c r="D861" s="35">
        <v>8736</v>
      </c>
      <c r="E861" s="4" t="s">
        <v>1300</v>
      </c>
      <c r="F861" s="5">
        <v>40544</v>
      </c>
      <c r="G861" s="5">
        <v>40908</v>
      </c>
      <c r="H861" s="4" t="s">
        <v>40</v>
      </c>
      <c r="I861" s="6">
        <v>13105.8</v>
      </c>
      <c r="J861" s="6">
        <v>6552.9</v>
      </c>
      <c r="K861" s="37" t="s">
        <v>790</v>
      </c>
      <c r="L861" s="119"/>
      <c r="M861" s="3"/>
    </row>
    <row r="862" spans="1:13" s="4" customFormat="1" ht="14.25" customHeight="1" x14ac:dyDescent="0.25">
      <c r="A862" s="4" t="s">
        <v>1660</v>
      </c>
      <c r="B862" s="4" t="s">
        <v>38</v>
      </c>
      <c r="C862" s="4" t="s">
        <v>14</v>
      </c>
      <c r="D862" s="35">
        <v>8738</v>
      </c>
      <c r="E862" s="4" t="s">
        <v>1661</v>
      </c>
      <c r="F862" s="5">
        <v>40544</v>
      </c>
      <c r="G862" s="5">
        <v>40908</v>
      </c>
      <c r="H862" s="4" t="s">
        <v>40</v>
      </c>
      <c r="I862" s="6">
        <v>3714.91</v>
      </c>
      <c r="J862" s="6">
        <v>3714.91</v>
      </c>
      <c r="K862" s="37" t="s">
        <v>790</v>
      </c>
      <c r="L862" s="119"/>
      <c r="M862" s="3"/>
    </row>
    <row r="863" spans="1:13" s="4" customFormat="1" ht="14.25" customHeight="1" x14ac:dyDescent="0.25">
      <c r="A863" s="4" t="s">
        <v>1662</v>
      </c>
      <c r="B863" s="4" t="s">
        <v>38</v>
      </c>
      <c r="C863" s="4" t="s">
        <v>14</v>
      </c>
      <c r="D863" s="35">
        <v>8741</v>
      </c>
      <c r="E863" s="4" t="s">
        <v>1663</v>
      </c>
      <c r="F863" s="5">
        <v>40544</v>
      </c>
      <c r="G863" s="5">
        <v>40908</v>
      </c>
      <c r="H863" s="4" t="s">
        <v>40</v>
      </c>
      <c r="I863" s="6">
        <v>2681.2</v>
      </c>
      <c r="J863" s="6">
        <v>2681.2</v>
      </c>
      <c r="K863" s="37" t="s">
        <v>790</v>
      </c>
      <c r="L863" s="119"/>
      <c r="M863" s="3"/>
    </row>
    <row r="864" spans="1:13" s="4" customFormat="1" ht="14.25" customHeight="1" x14ac:dyDescent="0.25">
      <c r="A864" s="4" t="s">
        <v>1664</v>
      </c>
      <c r="B864" s="4" t="s">
        <v>38</v>
      </c>
      <c r="C864" s="4" t="s">
        <v>14</v>
      </c>
      <c r="D864" s="35">
        <v>8767</v>
      </c>
      <c r="E864" s="4" t="s">
        <v>1665</v>
      </c>
      <c r="F864" s="5">
        <v>40544</v>
      </c>
      <c r="G864" s="5">
        <v>40908</v>
      </c>
      <c r="H864" s="4" t="s">
        <v>40</v>
      </c>
      <c r="I864" s="6">
        <v>10000</v>
      </c>
      <c r="J864" s="6">
        <v>10000</v>
      </c>
      <c r="K864" s="37" t="s">
        <v>790</v>
      </c>
      <c r="L864" s="119"/>
      <c r="M864" s="3"/>
    </row>
    <row r="865" spans="1:13" s="4" customFormat="1" ht="14.25" customHeight="1" x14ac:dyDescent="0.25">
      <c r="A865" s="4" t="s">
        <v>1666</v>
      </c>
      <c r="B865" s="4" t="s">
        <v>38</v>
      </c>
      <c r="C865" s="4" t="s">
        <v>14</v>
      </c>
      <c r="D865" s="35">
        <v>8770</v>
      </c>
      <c r="E865" s="7" t="s">
        <v>1533</v>
      </c>
      <c r="F865" s="5">
        <v>40544</v>
      </c>
      <c r="G865" s="5">
        <v>40908</v>
      </c>
      <c r="H865" s="4" t="s">
        <v>40</v>
      </c>
      <c r="I865" s="6">
        <v>699.37</v>
      </c>
      <c r="J865" s="6">
        <v>699.37</v>
      </c>
      <c r="K865" s="37" t="s">
        <v>790</v>
      </c>
      <c r="L865" s="119"/>
      <c r="M865" s="3"/>
    </row>
    <row r="866" spans="1:13" s="4" customFormat="1" ht="14.25" customHeight="1" x14ac:dyDescent="0.25">
      <c r="A866" s="4" t="s">
        <v>1667</v>
      </c>
      <c r="B866" s="4" t="s">
        <v>38</v>
      </c>
      <c r="C866" s="4" t="s">
        <v>14</v>
      </c>
      <c r="D866" s="35">
        <v>8774</v>
      </c>
      <c r="E866" s="7" t="s">
        <v>1668</v>
      </c>
      <c r="F866" s="5">
        <v>40544</v>
      </c>
      <c r="G866" s="5">
        <v>40908</v>
      </c>
      <c r="H866" s="4" t="s">
        <v>40</v>
      </c>
      <c r="I866" s="6">
        <v>789.12</v>
      </c>
      <c r="J866" s="6">
        <v>789.12</v>
      </c>
      <c r="K866" s="37" t="s">
        <v>790</v>
      </c>
      <c r="L866" s="119"/>
      <c r="M866" s="3"/>
    </row>
    <row r="867" spans="1:13" s="4" customFormat="1" ht="14.25" customHeight="1" x14ac:dyDescent="0.25">
      <c r="A867" s="4" t="s">
        <v>1669</v>
      </c>
      <c r="B867" s="4" t="s">
        <v>38</v>
      </c>
      <c r="C867" s="4" t="s">
        <v>14</v>
      </c>
      <c r="D867" s="35">
        <v>8775</v>
      </c>
      <c r="E867" s="4" t="s">
        <v>1670</v>
      </c>
      <c r="F867" s="5">
        <v>40544</v>
      </c>
      <c r="G867" s="5">
        <v>41274</v>
      </c>
      <c r="H867" s="4" t="s">
        <v>40</v>
      </c>
      <c r="I867" s="6">
        <v>1000</v>
      </c>
      <c r="J867" s="6">
        <v>1000</v>
      </c>
      <c r="K867" s="37" t="s">
        <v>790</v>
      </c>
      <c r="L867" s="119"/>
      <c r="M867" s="3"/>
    </row>
    <row r="868" spans="1:13" s="4" customFormat="1" ht="14.25" customHeight="1" x14ac:dyDescent="0.25">
      <c r="A868" s="4" t="s">
        <v>1671</v>
      </c>
      <c r="B868" s="4" t="s">
        <v>38</v>
      </c>
      <c r="C868" s="4" t="s">
        <v>14</v>
      </c>
      <c r="D868" s="35">
        <v>8776</v>
      </c>
      <c r="E868" s="7" t="s">
        <v>1672</v>
      </c>
      <c r="F868" s="5">
        <v>40544</v>
      </c>
      <c r="G868" s="5">
        <v>40908</v>
      </c>
      <c r="H868" s="4" t="s">
        <v>40</v>
      </c>
      <c r="I868" s="6">
        <v>915.05</v>
      </c>
      <c r="J868" s="6">
        <v>915.05</v>
      </c>
      <c r="K868" s="37" t="s">
        <v>790</v>
      </c>
      <c r="L868" s="119"/>
      <c r="M868" s="3"/>
    </row>
    <row r="869" spans="1:13" s="4" customFormat="1" ht="14.25" customHeight="1" x14ac:dyDescent="0.25">
      <c r="A869" s="4" t="s">
        <v>1673</v>
      </c>
      <c r="B869" s="4" t="s">
        <v>38</v>
      </c>
      <c r="C869" s="4" t="s">
        <v>14</v>
      </c>
      <c r="D869" s="35">
        <v>8777</v>
      </c>
      <c r="E869" s="4" t="s">
        <v>1674</v>
      </c>
      <c r="F869" s="5">
        <v>40544</v>
      </c>
      <c r="G869" s="5">
        <v>40908</v>
      </c>
      <c r="H869" s="4" t="s">
        <v>40</v>
      </c>
      <c r="I869" s="6">
        <v>2049.5700000000002</v>
      </c>
      <c r="J869" s="6">
        <v>2049.5700000000002</v>
      </c>
      <c r="K869" s="37" t="s">
        <v>790</v>
      </c>
      <c r="L869" s="119"/>
      <c r="M869" s="3"/>
    </row>
    <row r="870" spans="1:13" s="4" customFormat="1" ht="14.25" customHeight="1" x14ac:dyDescent="0.25">
      <c r="A870" s="4" t="s">
        <v>1675</v>
      </c>
      <c r="B870" s="4" t="s">
        <v>38</v>
      </c>
      <c r="C870" s="4" t="s">
        <v>14</v>
      </c>
      <c r="D870" s="35">
        <v>8779</v>
      </c>
      <c r="E870" s="4" t="s">
        <v>1676</v>
      </c>
      <c r="F870" s="5">
        <v>40544</v>
      </c>
      <c r="G870" s="5">
        <v>40908</v>
      </c>
      <c r="H870" s="4" t="s">
        <v>40</v>
      </c>
      <c r="I870" s="6">
        <v>3346.59</v>
      </c>
      <c r="J870" s="6">
        <v>3346.59</v>
      </c>
      <c r="K870" s="37" t="s">
        <v>790</v>
      </c>
      <c r="L870" s="119"/>
      <c r="M870" s="3"/>
    </row>
    <row r="871" spans="1:13" s="4" customFormat="1" ht="14.25" customHeight="1" x14ac:dyDescent="0.25">
      <c r="A871" s="4" t="s">
        <v>1677</v>
      </c>
      <c r="B871" s="4" t="s">
        <v>38</v>
      </c>
      <c r="C871" s="4" t="s">
        <v>14</v>
      </c>
      <c r="D871" s="35">
        <v>8780</v>
      </c>
      <c r="E871" s="7" t="s">
        <v>1678</v>
      </c>
      <c r="F871" s="5">
        <v>40544</v>
      </c>
      <c r="G871" s="5">
        <v>40908</v>
      </c>
      <c r="H871" s="4" t="s">
        <v>40</v>
      </c>
      <c r="I871" s="6">
        <v>3119.45</v>
      </c>
      <c r="J871" s="6">
        <v>3119.45</v>
      </c>
      <c r="K871" s="37" t="s">
        <v>790</v>
      </c>
      <c r="L871" s="119"/>
      <c r="M871" s="3"/>
    </row>
    <row r="872" spans="1:13" s="4" customFormat="1" ht="14.25" customHeight="1" x14ac:dyDescent="0.25">
      <c r="A872" s="4" t="s">
        <v>1679</v>
      </c>
      <c r="B872" s="4" t="s">
        <v>38</v>
      </c>
      <c r="C872" s="4" t="s">
        <v>14</v>
      </c>
      <c r="D872" s="35">
        <v>8781</v>
      </c>
      <c r="E872" s="4" t="s">
        <v>1125</v>
      </c>
      <c r="F872" s="5">
        <v>40544</v>
      </c>
      <c r="G872" s="5">
        <v>40908</v>
      </c>
      <c r="H872" s="4" t="s">
        <v>40</v>
      </c>
      <c r="I872" s="6">
        <v>29630</v>
      </c>
      <c r="J872" s="6">
        <v>29630</v>
      </c>
      <c r="K872" s="37" t="s">
        <v>790</v>
      </c>
      <c r="L872" s="119"/>
      <c r="M872" s="3"/>
    </row>
    <row r="873" spans="1:13" s="4" customFormat="1" ht="14.25" customHeight="1" x14ac:dyDescent="0.25">
      <c r="A873" s="4" t="s">
        <v>1680</v>
      </c>
      <c r="B873" s="4" t="s">
        <v>38</v>
      </c>
      <c r="C873" s="4" t="s">
        <v>14</v>
      </c>
      <c r="D873" s="35">
        <v>8782</v>
      </c>
      <c r="E873" s="7" t="s">
        <v>1541</v>
      </c>
      <c r="F873" s="5">
        <v>40544</v>
      </c>
      <c r="G873" s="5">
        <v>40908</v>
      </c>
      <c r="H873" s="4" t="s">
        <v>40</v>
      </c>
      <c r="I873" s="6">
        <v>1938</v>
      </c>
      <c r="J873" s="6">
        <v>1938</v>
      </c>
      <c r="K873" s="37" t="s">
        <v>790</v>
      </c>
      <c r="L873" s="119"/>
      <c r="M873" s="3"/>
    </row>
    <row r="874" spans="1:13" s="4" customFormat="1" ht="14.25" customHeight="1" x14ac:dyDescent="0.25">
      <c r="A874" s="4" t="s">
        <v>1681</v>
      </c>
      <c r="B874" s="4" t="s">
        <v>38</v>
      </c>
      <c r="C874" s="4" t="s">
        <v>14</v>
      </c>
      <c r="D874" s="35">
        <v>8783</v>
      </c>
      <c r="E874" s="4" t="s">
        <v>1682</v>
      </c>
      <c r="F874" s="5">
        <v>40544</v>
      </c>
      <c r="G874" s="5">
        <v>40908</v>
      </c>
      <c r="H874" s="4" t="s">
        <v>40</v>
      </c>
      <c r="I874" s="6">
        <v>3220.51</v>
      </c>
      <c r="J874" s="6">
        <v>3220.51</v>
      </c>
      <c r="K874" s="37" t="s">
        <v>790</v>
      </c>
      <c r="L874" s="119"/>
      <c r="M874" s="3"/>
    </row>
    <row r="875" spans="1:13" s="4" customFormat="1" ht="14.25" customHeight="1" x14ac:dyDescent="0.25">
      <c r="A875" s="4" t="s">
        <v>1683</v>
      </c>
      <c r="B875" s="4" t="s">
        <v>38</v>
      </c>
      <c r="C875" s="4" t="s">
        <v>14</v>
      </c>
      <c r="D875" s="35">
        <v>8785</v>
      </c>
      <c r="E875" s="4" t="s">
        <v>1543</v>
      </c>
      <c r="F875" s="5">
        <v>40544</v>
      </c>
      <c r="G875" s="5">
        <v>40908</v>
      </c>
      <c r="H875" s="4" t="s">
        <v>40</v>
      </c>
      <c r="I875" s="6">
        <v>2458.4</v>
      </c>
      <c r="J875" s="6">
        <v>2458.4</v>
      </c>
      <c r="K875" s="37" t="s">
        <v>790</v>
      </c>
      <c r="L875" s="119"/>
      <c r="M875" s="3"/>
    </row>
    <row r="876" spans="1:13" s="4" customFormat="1" ht="14.25" customHeight="1" x14ac:dyDescent="0.25">
      <c r="A876" s="4" t="s">
        <v>1684</v>
      </c>
      <c r="B876" s="4" t="s">
        <v>38</v>
      </c>
      <c r="C876" s="4" t="s">
        <v>14</v>
      </c>
      <c r="D876" s="35">
        <v>8786</v>
      </c>
      <c r="E876" s="4" t="s">
        <v>1685</v>
      </c>
      <c r="F876" s="5">
        <v>40544</v>
      </c>
      <c r="G876" s="5">
        <v>40908</v>
      </c>
      <c r="H876" s="4" t="s">
        <v>40</v>
      </c>
      <c r="I876" s="6">
        <v>851.31</v>
      </c>
      <c r="J876" s="6">
        <v>851.31</v>
      </c>
      <c r="K876" s="37" t="s">
        <v>790</v>
      </c>
      <c r="L876" s="119"/>
      <c r="M876" s="3"/>
    </row>
    <row r="877" spans="1:13" s="4" customFormat="1" ht="14.25" customHeight="1" x14ac:dyDescent="0.25">
      <c r="A877" s="4" t="s">
        <v>1686</v>
      </c>
      <c r="B877" s="4" t="s">
        <v>38</v>
      </c>
      <c r="C877" s="4" t="s">
        <v>14</v>
      </c>
      <c r="D877" s="35">
        <v>8787</v>
      </c>
      <c r="E877" s="4" t="s">
        <v>1687</v>
      </c>
      <c r="F877" s="5">
        <v>40544</v>
      </c>
      <c r="G877" s="5">
        <v>40908</v>
      </c>
      <c r="H877" s="4" t="s">
        <v>40</v>
      </c>
      <c r="I877" s="6">
        <v>1674.17</v>
      </c>
      <c r="J877" s="6">
        <v>1674.17</v>
      </c>
      <c r="K877" s="37" t="s">
        <v>790</v>
      </c>
      <c r="L877" s="119"/>
      <c r="M877" s="3"/>
    </row>
    <row r="878" spans="1:13" s="4" customFormat="1" ht="14.25" customHeight="1" x14ac:dyDescent="0.25">
      <c r="A878" s="4" t="s">
        <v>1688</v>
      </c>
      <c r="B878" s="4" t="s">
        <v>38</v>
      </c>
      <c r="C878" s="4" t="s">
        <v>14</v>
      </c>
      <c r="D878" s="35">
        <v>8788</v>
      </c>
      <c r="E878" s="4" t="s">
        <v>1689</v>
      </c>
      <c r="F878" s="5">
        <v>40544</v>
      </c>
      <c r="G878" s="5">
        <v>40908</v>
      </c>
      <c r="H878" s="4" t="s">
        <v>40</v>
      </c>
      <c r="I878" s="6">
        <v>3604.84</v>
      </c>
      <c r="J878" s="6">
        <v>3604.84</v>
      </c>
      <c r="K878" s="37" t="s">
        <v>790</v>
      </c>
      <c r="L878" s="119"/>
      <c r="M878" s="3"/>
    </row>
    <row r="879" spans="1:13" s="4" customFormat="1" ht="14.25" customHeight="1" x14ac:dyDescent="0.25">
      <c r="A879" s="4" t="s">
        <v>1690</v>
      </c>
      <c r="B879" s="4" t="s">
        <v>38</v>
      </c>
      <c r="C879" s="4" t="s">
        <v>14</v>
      </c>
      <c r="D879" s="35">
        <v>8790</v>
      </c>
      <c r="E879" s="4" t="s">
        <v>1691</v>
      </c>
      <c r="F879" s="5">
        <v>40544</v>
      </c>
      <c r="G879" s="5">
        <v>40908</v>
      </c>
      <c r="H879" s="4" t="s">
        <v>40</v>
      </c>
      <c r="I879" s="6">
        <v>8308.25</v>
      </c>
      <c r="J879" s="6">
        <v>8308.25</v>
      </c>
      <c r="K879" s="37" t="s">
        <v>790</v>
      </c>
      <c r="L879" s="119"/>
      <c r="M879" s="3"/>
    </row>
    <row r="880" spans="1:13" s="4" customFormat="1" ht="14.25" customHeight="1" x14ac:dyDescent="0.25">
      <c r="A880" s="4" t="s">
        <v>1692</v>
      </c>
      <c r="B880" s="4" t="s">
        <v>38</v>
      </c>
      <c r="C880" s="4" t="s">
        <v>14</v>
      </c>
      <c r="D880" s="35">
        <v>8791</v>
      </c>
      <c r="E880" s="4" t="s">
        <v>1693</v>
      </c>
      <c r="F880" s="5">
        <v>40787</v>
      </c>
      <c r="H880" s="4" t="s">
        <v>40</v>
      </c>
      <c r="I880" s="6">
        <v>4962.6000000000004</v>
      </c>
      <c r="J880" s="6">
        <v>4942.6000000000004</v>
      </c>
      <c r="K880" s="37" t="s">
        <v>790</v>
      </c>
      <c r="L880" s="119"/>
      <c r="M880" s="3"/>
    </row>
    <row r="881" spans="1:13" s="4" customFormat="1" ht="14.25" customHeight="1" x14ac:dyDescent="0.25">
      <c r="A881" s="4" t="s">
        <v>1694</v>
      </c>
      <c r="B881" s="4" t="s">
        <v>38</v>
      </c>
      <c r="C881" s="4" t="s">
        <v>14</v>
      </c>
      <c r="D881" s="35">
        <v>8794</v>
      </c>
      <c r="E881" s="4" t="s">
        <v>1151</v>
      </c>
      <c r="F881" s="5">
        <v>40595</v>
      </c>
      <c r="G881" s="5">
        <v>40908</v>
      </c>
      <c r="H881" s="4" t="s">
        <v>40</v>
      </c>
      <c r="I881" s="6">
        <v>5045.34</v>
      </c>
      <c r="J881" s="6">
        <v>3117.75</v>
      </c>
      <c r="K881" s="37" t="s">
        <v>790</v>
      </c>
      <c r="L881" s="119"/>
      <c r="M881" s="3"/>
    </row>
    <row r="882" spans="1:13" s="4" customFormat="1" ht="14.25" customHeight="1" x14ac:dyDescent="0.25">
      <c r="A882" s="4" t="s">
        <v>1695</v>
      </c>
      <c r="B882" s="4" t="s">
        <v>38</v>
      </c>
      <c r="C882" s="4" t="s">
        <v>14</v>
      </c>
      <c r="D882" s="35">
        <v>8795</v>
      </c>
      <c r="E882" s="7" t="s">
        <v>1696</v>
      </c>
      <c r="F882" s="5">
        <v>40544</v>
      </c>
      <c r="G882" s="5">
        <v>40908</v>
      </c>
      <c r="H882" s="4" t="s">
        <v>40</v>
      </c>
      <c r="I882" s="6">
        <v>1230.92</v>
      </c>
      <c r="J882" s="6">
        <v>1230.92</v>
      </c>
      <c r="K882" s="37" t="s">
        <v>790</v>
      </c>
      <c r="L882" s="119"/>
      <c r="M882" s="3"/>
    </row>
    <row r="883" spans="1:13" s="4" customFormat="1" ht="14.25" customHeight="1" x14ac:dyDescent="0.25">
      <c r="A883" s="4" t="s">
        <v>1697</v>
      </c>
      <c r="B883" s="4" t="s">
        <v>38</v>
      </c>
      <c r="C883" s="4" t="s">
        <v>14</v>
      </c>
      <c r="D883" s="35">
        <v>8796</v>
      </c>
      <c r="E883" s="4" t="s">
        <v>1698</v>
      </c>
      <c r="F883" s="5">
        <v>40544</v>
      </c>
      <c r="G883" s="5">
        <v>40908</v>
      </c>
      <c r="H883" s="4" t="s">
        <v>40</v>
      </c>
      <c r="I883" s="6">
        <v>5000</v>
      </c>
      <c r="J883" s="6">
        <v>5000</v>
      </c>
      <c r="K883" s="37" t="s">
        <v>790</v>
      </c>
      <c r="L883" s="119"/>
      <c r="M883" s="3"/>
    </row>
    <row r="884" spans="1:13" s="4" customFormat="1" ht="14.25" customHeight="1" x14ac:dyDescent="0.25">
      <c r="A884" s="4" t="s">
        <v>1699</v>
      </c>
      <c r="B884" s="4" t="s">
        <v>38</v>
      </c>
      <c r="C884" s="4" t="s">
        <v>14</v>
      </c>
      <c r="D884" s="35">
        <v>8797</v>
      </c>
      <c r="E884" s="7" t="s">
        <v>1700</v>
      </c>
      <c r="F884" s="5">
        <v>40544</v>
      </c>
      <c r="G884" s="5">
        <v>40908</v>
      </c>
      <c r="H884" s="4" t="s">
        <v>40</v>
      </c>
      <c r="I884" s="6">
        <v>2231.63</v>
      </c>
      <c r="J884" s="6">
        <v>2231.63</v>
      </c>
      <c r="K884" s="37" t="s">
        <v>790</v>
      </c>
      <c r="L884" s="119"/>
      <c r="M884" s="3"/>
    </row>
    <row r="885" spans="1:13" s="4" customFormat="1" ht="14.25" customHeight="1" x14ac:dyDescent="0.25">
      <c r="A885" s="4" t="s">
        <v>1701</v>
      </c>
      <c r="B885" s="4" t="s">
        <v>38</v>
      </c>
      <c r="C885" s="4" t="s">
        <v>14</v>
      </c>
      <c r="D885" s="35">
        <v>8798</v>
      </c>
      <c r="E885" s="4" t="s">
        <v>1362</v>
      </c>
      <c r="F885" s="5">
        <v>40544</v>
      </c>
      <c r="G885" s="5">
        <v>40908</v>
      </c>
      <c r="H885" s="4" t="s">
        <v>40</v>
      </c>
      <c r="I885" s="6">
        <v>29318.27</v>
      </c>
      <c r="J885" s="6">
        <v>29318.27</v>
      </c>
      <c r="K885" s="37" t="s">
        <v>790</v>
      </c>
      <c r="L885" s="119"/>
      <c r="M885" s="3"/>
    </row>
    <row r="886" spans="1:13" s="4" customFormat="1" ht="14.25" customHeight="1" x14ac:dyDescent="0.25">
      <c r="A886" s="4" t="s">
        <v>1702</v>
      </c>
      <c r="B886" s="4" t="s">
        <v>38</v>
      </c>
      <c r="C886" s="4" t="s">
        <v>14</v>
      </c>
      <c r="D886" s="35">
        <v>8799</v>
      </c>
      <c r="E886" s="7" t="s">
        <v>1703</v>
      </c>
      <c r="F886" s="5">
        <v>40544</v>
      </c>
      <c r="G886" s="5">
        <v>40908</v>
      </c>
      <c r="H886" s="4" t="s">
        <v>40</v>
      </c>
      <c r="I886" s="6">
        <v>7250</v>
      </c>
      <c r="J886" s="6">
        <v>7250</v>
      </c>
      <c r="K886" s="37" t="s">
        <v>790</v>
      </c>
      <c r="L886" s="119"/>
      <c r="M886" s="3"/>
    </row>
    <row r="887" spans="1:13" s="4" customFormat="1" ht="14.25" customHeight="1" x14ac:dyDescent="0.25">
      <c r="A887" s="4" t="s">
        <v>1704</v>
      </c>
      <c r="B887" s="4" t="s">
        <v>38</v>
      </c>
      <c r="C887" s="4" t="s">
        <v>14</v>
      </c>
      <c r="D887" s="35">
        <v>8800</v>
      </c>
      <c r="E887" s="7" t="s">
        <v>1705</v>
      </c>
      <c r="F887" s="5">
        <v>40544</v>
      </c>
      <c r="G887" s="5">
        <v>40908</v>
      </c>
      <c r="H887" s="4" t="s">
        <v>40</v>
      </c>
      <c r="I887" s="6">
        <v>1000</v>
      </c>
      <c r="J887" s="6">
        <v>1000</v>
      </c>
      <c r="K887" s="37" t="s">
        <v>790</v>
      </c>
      <c r="L887" s="119"/>
      <c r="M887" s="3"/>
    </row>
    <row r="888" spans="1:13" s="4" customFormat="1" ht="14.25" customHeight="1" x14ac:dyDescent="0.25">
      <c r="A888" s="4" t="s">
        <v>1706</v>
      </c>
      <c r="B888" s="4" t="s">
        <v>38</v>
      </c>
      <c r="C888" s="4" t="s">
        <v>14</v>
      </c>
      <c r="D888" s="35">
        <v>8801</v>
      </c>
      <c r="E888" s="7" t="s">
        <v>1707</v>
      </c>
      <c r="F888" s="5">
        <v>40544</v>
      </c>
      <c r="G888" s="5">
        <v>40908</v>
      </c>
      <c r="H888" s="4" t="s">
        <v>40</v>
      </c>
      <c r="I888" s="6">
        <v>450</v>
      </c>
      <c r="J888" s="6">
        <v>450</v>
      </c>
      <c r="K888" s="37" t="s">
        <v>790</v>
      </c>
      <c r="L888" s="119"/>
      <c r="M888" s="3"/>
    </row>
    <row r="889" spans="1:13" s="4" customFormat="1" ht="14.25" customHeight="1" x14ac:dyDescent="0.25">
      <c r="A889" s="4" t="s">
        <v>1708</v>
      </c>
      <c r="B889" s="4" t="s">
        <v>38</v>
      </c>
      <c r="C889" s="4" t="s">
        <v>14</v>
      </c>
      <c r="D889" s="35">
        <v>8808</v>
      </c>
      <c r="E889" s="7" t="s">
        <v>1527</v>
      </c>
      <c r="F889" s="5">
        <v>40544</v>
      </c>
      <c r="G889" s="5">
        <v>40908</v>
      </c>
      <c r="H889" s="4" t="s">
        <v>40</v>
      </c>
      <c r="I889" s="6">
        <v>6500</v>
      </c>
      <c r="J889" s="6">
        <v>6500</v>
      </c>
      <c r="K889" s="37" t="s">
        <v>790</v>
      </c>
      <c r="L889" s="119"/>
      <c r="M889" s="3"/>
    </row>
    <row r="890" spans="1:13" s="4" customFormat="1" ht="14.25" customHeight="1" x14ac:dyDescent="0.25">
      <c r="A890" s="4" t="s">
        <v>1709</v>
      </c>
      <c r="B890" s="4" t="s">
        <v>183</v>
      </c>
      <c r="C890" s="4" t="s">
        <v>14</v>
      </c>
      <c r="D890" s="35">
        <v>9219</v>
      </c>
      <c r="E890" s="4" t="s">
        <v>1710</v>
      </c>
      <c r="F890" s="5">
        <v>40814</v>
      </c>
      <c r="G890" s="5">
        <v>41274</v>
      </c>
      <c r="H890" s="4" t="s">
        <v>40</v>
      </c>
      <c r="I890" s="6">
        <f>26995.2+35106.36+10288.64</f>
        <v>72390.2</v>
      </c>
      <c r="J890" s="6">
        <f>31050.78+8894.32</f>
        <v>39945.1</v>
      </c>
      <c r="K890" s="37" t="s">
        <v>790</v>
      </c>
      <c r="L890" s="119"/>
      <c r="M890" s="3"/>
    </row>
    <row r="891" spans="1:13" s="4" customFormat="1" ht="14.25" customHeight="1" x14ac:dyDescent="0.25">
      <c r="A891" s="4" t="s">
        <v>1713</v>
      </c>
      <c r="B891" s="4" t="s">
        <v>190</v>
      </c>
      <c r="C891" s="4" t="s">
        <v>14</v>
      </c>
      <c r="D891" s="35">
        <v>9221</v>
      </c>
      <c r="E891" s="4" t="s">
        <v>1714</v>
      </c>
      <c r="F891" s="5">
        <v>40577</v>
      </c>
      <c r="G891" s="5">
        <v>41639</v>
      </c>
      <c r="H891" s="4" t="s">
        <v>40</v>
      </c>
      <c r="I891" s="6">
        <v>31000</v>
      </c>
      <c r="J891" s="6">
        <v>20000</v>
      </c>
      <c r="K891" s="37" t="s">
        <v>790</v>
      </c>
      <c r="L891" s="119"/>
      <c r="M891" s="3"/>
    </row>
    <row r="892" spans="1:13" s="4" customFormat="1" ht="14.25" customHeight="1" x14ac:dyDescent="0.25">
      <c r="A892" s="4" t="s">
        <v>1715</v>
      </c>
      <c r="B892" s="4" t="s">
        <v>183</v>
      </c>
      <c r="C892" s="4" t="s">
        <v>14</v>
      </c>
      <c r="D892" s="35">
        <v>9222</v>
      </c>
      <c r="E892" s="4" t="s">
        <v>1716</v>
      </c>
      <c r="F892" s="5">
        <v>40849</v>
      </c>
      <c r="G892" s="5">
        <v>41274</v>
      </c>
      <c r="H892" s="4" t="s">
        <v>40</v>
      </c>
      <c r="I892" s="6">
        <v>23937.42</v>
      </c>
      <c r="J892" s="6">
        <v>19468.71</v>
      </c>
      <c r="K892" s="37" t="s">
        <v>790</v>
      </c>
      <c r="L892" s="119"/>
      <c r="M892" s="3"/>
    </row>
    <row r="893" spans="1:13" s="4" customFormat="1" ht="14.25" customHeight="1" x14ac:dyDescent="0.25">
      <c r="A893" s="4" t="s">
        <v>1717</v>
      </c>
      <c r="B893" s="4" t="s">
        <v>183</v>
      </c>
      <c r="C893" s="4" t="s">
        <v>14</v>
      </c>
      <c r="D893" s="35">
        <v>9223</v>
      </c>
      <c r="E893" s="4" t="s">
        <v>1718</v>
      </c>
      <c r="F893" s="5">
        <v>40618</v>
      </c>
      <c r="G893" s="5">
        <v>41639</v>
      </c>
      <c r="H893" s="4" t="s">
        <v>40</v>
      </c>
      <c r="I893" s="6">
        <v>16363.38</v>
      </c>
      <c r="J893" s="6">
        <v>13181.69</v>
      </c>
      <c r="K893" s="37" t="s">
        <v>790</v>
      </c>
      <c r="L893" s="119"/>
      <c r="M893" s="3"/>
    </row>
    <row r="894" spans="1:13" s="4" customFormat="1" ht="14.25" customHeight="1" x14ac:dyDescent="0.25">
      <c r="A894" s="4" t="s">
        <v>1719</v>
      </c>
      <c r="B894" s="4" t="s">
        <v>183</v>
      </c>
      <c r="C894" s="4" t="s">
        <v>14</v>
      </c>
      <c r="D894" s="35">
        <v>9224</v>
      </c>
      <c r="E894" s="4" t="s">
        <v>1720</v>
      </c>
      <c r="F894" s="5">
        <v>40852</v>
      </c>
      <c r="G894" s="5">
        <v>41639</v>
      </c>
      <c r="H894" s="4" t="s">
        <v>40</v>
      </c>
      <c r="I894" s="6">
        <v>19089</v>
      </c>
      <c r="J894" s="6">
        <v>11931</v>
      </c>
      <c r="K894" s="37" t="s">
        <v>790</v>
      </c>
      <c r="L894" s="119"/>
      <c r="M894" s="3"/>
    </row>
    <row r="895" spans="1:13" s="4" customFormat="1" ht="14.25" customHeight="1" x14ac:dyDescent="0.25">
      <c r="A895" s="4" t="s">
        <v>1721</v>
      </c>
      <c r="B895" s="4" t="s">
        <v>183</v>
      </c>
      <c r="C895" s="4" t="s">
        <v>14</v>
      </c>
      <c r="D895" s="35">
        <v>9225</v>
      </c>
      <c r="E895" s="4" t="s">
        <v>1722</v>
      </c>
      <c r="F895" s="5">
        <v>40577</v>
      </c>
      <c r="G895" s="5">
        <v>41639</v>
      </c>
      <c r="H895" s="4" t="s">
        <v>40</v>
      </c>
      <c r="I895" s="6">
        <v>71263.7</v>
      </c>
      <c r="J895" s="6">
        <v>43131.85</v>
      </c>
      <c r="K895" s="37" t="s">
        <v>790</v>
      </c>
      <c r="L895" s="119"/>
      <c r="M895" s="3"/>
    </row>
    <row r="896" spans="1:13" s="4" customFormat="1" ht="14.25" customHeight="1" x14ac:dyDescent="0.25">
      <c r="A896" s="4" t="s">
        <v>1723</v>
      </c>
      <c r="B896" s="4" t="s">
        <v>183</v>
      </c>
      <c r="C896" s="4" t="s">
        <v>14</v>
      </c>
      <c r="D896" s="35">
        <v>9226</v>
      </c>
      <c r="E896" s="4" t="s">
        <v>1724</v>
      </c>
      <c r="F896" s="5">
        <v>40668</v>
      </c>
      <c r="G896" s="5">
        <v>41274</v>
      </c>
      <c r="H896" s="4" t="s">
        <v>40</v>
      </c>
      <c r="I896" s="6">
        <f>17955.16+25000</f>
        <v>42955.16</v>
      </c>
      <c r="J896" s="6">
        <f>16477.58+25000</f>
        <v>41477.58</v>
      </c>
      <c r="K896" s="37" t="s">
        <v>790</v>
      </c>
      <c r="L896" s="119"/>
      <c r="M896" s="3"/>
    </row>
    <row r="897" spans="1:13" s="4" customFormat="1" ht="14.25" customHeight="1" x14ac:dyDescent="0.25">
      <c r="A897" s="4" t="s">
        <v>1725</v>
      </c>
      <c r="B897" s="4" t="s">
        <v>190</v>
      </c>
      <c r="C897" s="4" t="s">
        <v>14</v>
      </c>
      <c r="D897" s="35">
        <v>9227</v>
      </c>
      <c r="E897" s="4" t="s">
        <v>1726</v>
      </c>
      <c r="F897" s="5">
        <v>40668</v>
      </c>
      <c r="G897" s="5">
        <v>41274</v>
      </c>
      <c r="H897" s="4" t="s">
        <v>40</v>
      </c>
      <c r="I897" s="6">
        <v>40309.160000000003</v>
      </c>
      <c r="J897" s="6">
        <v>27654.58</v>
      </c>
      <c r="K897" s="37" t="s">
        <v>790</v>
      </c>
      <c r="L897" s="119"/>
      <c r="M897" s="3"/>
    </row>
    <row r="898" spans="1:13" s="4" customFormat="1" ht="14.25" customHeight="1" x14ac:dyDescent="0.25">
      <c r="A898" s="4" t="s">
        <v>1727</v>
      </c>
      <c r="B898" s="4" t="s">
        <v>183</v>
      </c>
      <c r="C898" s="4" t="s">
        <v>14</v>
      </c>
      <c r="D898" s="35">
        <v>9228</v>
      </c>
      <c r="E898" s="4" t="s">
        <v>1728</v>
      </c>
      <c r="F898" s="5">
        <v>40883</v>
      </c>
      <c r="G898" s="5">
        <v>41639</v>
      </c>
      <c r="H898" s="4" t="s">
        <v>40</v>
      </c>
      <c r="I898" s="6">
        <f>7500+29100</f>
        <v>36600</v>
      </c>
      <c r="J898" s="6">
        <f>7500+19550</f>
        <v>27050</v>
      </c>
      <c r="K898" s="37" t="s">
        <v>790</v>
      </c>
      <c r="L898" s="119"/>
      <c r="M898" s="3"/>
    </row>
    <row r="899" spans="1:13" s="4" customFormat="1" ht="14.25" customHeight="1" x14ac:dyDescent="0.25">
      <c r="A899" s="4" t="s">
        <v>1729</v>
      </c>
      <c r="B899" s="4" t="s">
        <v>183</v>
      </c>
      <c r="C899" s="4" t="s">
        <v>14</v>
      </c>
      <c r="D899" s="35">
        <v>9229</v>
      </c>
      <c r="E899" s="4" t="s">
        <v>1730</v>
      </c>
      <c r="F899" s="5">
        <v>40883</v>
      </c>
      <c r="G899" s="5">
        <v>41274</v>
      </c>
      <c r="H899" s="4" t="s">
        <v>40</v>
      </c>
      <c r="I899" s="6">
        <v>19350</v>
      </c>
      <c r="J899" s="6">
        <v>17175</v>
      </c>
      <c r="K899" s="37" t="s">
        <v>790</v>
      </c>
      <c r="L899" s="119"/>
      <c r="M899" s="3"/>
    </row>
    <row r="900" spans="1:13" s="4" customFormat="1" ht="14.25" customHeight="1" x14ac:dyDescent="0.25">
      <c r="A900" s="4" t="s">
        <v>1731</v>
      </c>
      <c r="B900" s="4" t="s">
        <v>90</v>
      </c>
      <c r="C900" s="4" t="s">
        <v>14</v>
      </c>
      <c r="D900" s="35">
        <v>9230</v>
      </c>
      <c r="E900" s="4" t="s">
        <v>1732</v>
      </c>
      <c r="F900" s="5">
        <v>40618</v>
      </c>
      <c r="G900" s="5">
        <v>41639</v>
      </c>
      <c r="H900" s="4" t="s">
        <v>40</v>
      </c>
      <c r="I900" s="6">
        <v>4200</v>
      </c>
      <c r="J900" s="6">
        <v>2100</v>
      </c>
      <c r="K900" s="37" t="s">
        <v>790</v>
      </c>
      <c r="L900" s="119"/>
      <c r="M900" s="3"/>
    </row>
    <row r="901" spans="1:13" s="4" customFormat="1" ht="14.25" customHeight="1" x14ac:dyDescent="0.25">
      <c r="A901" s="4" t="s">
        <v>1733</v>
      </c>
      <c r="B901" s="4" t="s">
        <v>90</v>
      </c>
      <c r="C901" s="4" t="s">
        <v>14</v>
      </c>
      <c r="D901" s="35">
        <v>9231</v>
      </c>
      <c r="E901" s="4" t="s">
        <v>1734</v>
      </c>
      <c r="F901" s="5">
        <v>40849</v>
      </c>
      <c r="G901" s="5">
        <v>41639</v>
      </c>
      <c r="H901" s="4" t="s">
        <v>40</v>
      </c>
      <c r="I901" s="6">
        <v>1490.14</v>
      </c>
      <c r="J901" s="6">
        <v>745.07</v>
      </c>
      <c r="K901" s="37" t="s">
        <v>790</v>
      </c>
      <c r="L901" s="119"/>
      <c r="M901" s="3"/>
    </row>
    <row r="902" spans="1:13" s="4" customFormat="1" ht="14.25" customHeight="1" x14ac:dyDescent="0.25">
      <c r="A902" s="4" t="s">
        <v>1735</v>
      </c>
      <c r="B902" s="4" t="s">
        <v>183</v>
      </c>
      <c r="C902" s="4" t="s">
        <v>14</v>
      </c>
      <c r="D902" s="35">
        <v>9232</v>
      </c>
      <c r="E902" s="4" t="s">
        <v>1736</v>
      </c>
      <c r="F902" s="5">
        <v>40883</v>
      </c>
      <c r="G902" s="5">
        <v>41639</v>
      </c>
      <c r="H902" s="4" t="s">
        <v>40</v>
      </c>
      <c r="I902" s="6">
        <v>40000</v>
      </c>
      <c r="J902" s="6">
        <v>30000</v>
      </c>
      <c r="K902" s="37" t="s">
        <v>790</v>
      </c>
      <c r="L902" s="119"/>
      <c r="M902" s="3"/>
    </row>
    <row r="903" spans="1:13" s="4" customFormat="1" ht="14.25" customHeight="1" x14ac:dyDescent="0.25">
      <c r="A903" s="4" t="s">
        <v>1737</v>
      </c>
      <c r="B903" s="4" t="s">
        <v>183</v>
      </c>
      <c r="C903" s="4" t="s">
        <v>14</v>
      </c>
      <c r="D903" s="35">
        <v>9233</v>
      </c>
      <c r="E903" s="7" t="s">
        <v>1738</v>
      </c>
      <c r="F903" s="5">
        <v>40708</v>
      </c>
      <c r="G903" s="5">
        <v>41274</v>
      </c>
      <c r="H903" s="4" t="s">
        <v>40</v>
      </c>
      <c r="I903" s="6">
        <v>51250</v>
      </c>
      <c r="J903" s="6">
        <v>36250</v>
      </c>
      <c r="K903" s="37" t="s">
        <v>790</v>
      </c>
      <c r="L903" s="119"/>
      <c r="M903" s="3"/>
    </row>
    <row r="904" spans="1:13" s="4" customFormat="1" ht="14.25" customHeight="1" x14ac:dyDescent="0.25">
      <c r="A904" s="4" t="s">
        <v>1739</v>
      </c>
      <c r="B904" s="4" t="s">
        <v>183</v>
      </c>
      <c r="C904" s="4" t="s">
        <v>14</v>
      </c>
      <c r="D904" s="35">
        <v>9234</v>
      </c>
      <c r="E904" s="4" t="s">
        <v>1740</v>
      </c>
      <c r="F904" s="5">
        <v>40849</v>
      </c>
      <c r="G904" s="5">
        <v>41639</v>
      </c>
      <c r="H904" s="4" t="s">
        <v>40</v>
      </c>
      <c r="I904" s="6">
        <v>10288.1</v>
      </c>
      <c r="J904" s="6">
        <v>7644.05</v>
      </c>
      <c r="K904" s="37" t="s">
        <v>790</v>
      </c>
      <c r="L904" s="119"/>
      <c r="M904" s="3"/>
    </row>
    <row r="905" spans="1:13" s="4" customFormat="1" ht="14.25" customHeight="1" x14ac:dyDescent="0.25">
      <c r="A905" s="4" t="s">
        <v>1741</v>
      </c>
      <c r="B905" s="4" t="s">
        <v>183</v>
      </c>
      <c r="C905" s="4" t="s">
        <v>14</v>
      </c>
      <c r="D905" s="35">
        <v>9235</v>
      </c>
      <c r="E905" s="4" t="s">
        <v>1742</v>
      </c>
      <c r="F905" s="5">
        <v>40708</v>
      </c>
      <c r="G905" s="5">
        <v>41639</v>
      </c>
      <c r="H905" s="4" t="s">
        <v>40</v>
      </c>
      <c r="I905" s="6">
        <v>7414.28</v>
      </c>
      <c r="J905" s="6">
        <v>6207.14</v>
      </c>
      <c r="K905" s="37" t="s">
        <v>790</v>
      </c>
      <c r="L905" s="119"/>
      <c r="M905" s="3"/>
    </row>
    <row r="906" spans="1:13" s="4" customFormat="1" ht="14.25" customHeight="1" x14ac:dyDescent="0.25">
      <c r="A906" s="4" t="s">
        <v>1743</v>
      </c>
      <c r="B906" s="4" t="s">
        <v>190</v>
      </c>
      <c r="C906" s="4" t="s">
        <v>14</v>
      </c>
      <c r="D906" s="35">
        <v>9236</v>
      </c>
      <c r="E906" s="4" t="s">
        <v>1744</v>
      </c>
      <c r="F906" s="5">
        <v>40883</v>
      </c>
      <c r="G906" s="5">
        <v>41274</v>
      </c>
      <c r="H906" s="4" t="s">
        <v>40</v>
      </c>
      <c r="I906" s="6">
        <f>45000+44250</f>
        <v>89250</v>
      </c>
      <c r="J906" s="6">
        <f>30000+32125</f>
        <v>62125</v>
      </c>
      <c r="K906" s="37" t="s">
        <v>790</v>
      </c>
      <c r="L906" s="119"/>
      <c r="M906" s="3"/>
    </row>
    <row r="907" spans="1:13" s="4" customFormat="1" ht="14.25" customHeight="1" x14ac:dyDescent="0.25">
      <c r="A907" s="4" t="s">
        <v>1745</v>
      </c>
      <c r="B907" s="4" t="s">
        <v>183</v>
      </c>
      <c r="C907" s="4" t="s">
        <v>14</v>
      </c>
      <c r="D907" s="35">
        <v>9237</v>
      </c>
      <c r="E907" s="4" t="s">
        <v>1746</v>
      </c>
      <c r="F907" s="5">
        <v>40668</v>
      </c>
      <c r="G907" s="5">
        <v>41639</v>
      </c>
      <c r="H907" s="4" t="s">
        <v>40</v>
      </c>
      <c r="I907" s="6">
        <v>6250.7</v>
      </c>
      <c r="J907" s="6">
        <v>3125.35</v>
      </c>
      <c r="K907" s="37" t="s">
        <v>790</v>
      </c>
      <c r="L907" s="119"/>
      <c r="M907" s="3"/>
    </row>
    <row r="908" spans="1:13" s="4" customFormat="1" ht="14.25" customHeight="1" x14ac:dyDescent="0.25">
      <c r="A908" s="4" t="s">
        <v>1747</v>
      </c>
      <c r="B908" s="4" t="s">
        <v>183</v>
      </c>
      <c r="C908" s="4" t="s">
        <v>14</v>
      </c>
      <c r="D908" s="35">
        <v>9238</v>
      </c>
      <c r="E908" s="4" t="s">
        <v>1748</v>
      </c>
      <c r="F908" s="5">
        <v>40814</v>
      </c>
      <c r="G908" s="5">
        <v>41274</v>
      </c>
      <c r="H908" s="4" t="s">
        <v>40</v>
      </c>
      <c r="I908" s="6">
        <f>39951.22+15000</f>
        <v>54951.22</v>
      </c>
      <c r="J908" s="6">
        <f>23725.61+15000</f>
        <v>38725.61</v>
      </c>
      <c r="K908" s="37" t="s">
        <v>790</v>
      </c>
      <c r="L908" s="119"/>
      <c r="M908" s="3"/>
    </row>
    <row r="909" spans="1:13" s="4" customFormat="1" ht="14.25" customHeight="1" x14ac:dyDescent="0.25">
      <c r="A909" s="4" t="s">
        <v>1749</v>
      </c>
      <c r="B909" s="4" t="s">
        <v>183</v>
      </c>
      <c r="C909" s="4" t="s">
        <v>14</v>
      </c>
      <c r="D909" s="35">
        <v>9239</v>
      </c>
      <c r="E909" s="4" t="s">
        <v>1750</v>
      </c>
      <c r="F909" s="5">
        <v>40618</v>
      </c>
      <c r="G909" s="5">
        <v>41274</v>
      </c>
      <c r="H909" s="4" t="s">
        <v>40</v>
      </c>
      <c r="I909" s="6">
        <v>29700.68</v>
      </c>
      <c r="J909" s="6">
        <v>20546.52</v>
      </c>
      <c r="K909" s="37" t="s">
        <v>790</v>
      </c>
      <c r="L909" s="119"/>
      <c r="M909" s="3"/>
    </row>
    <row r="910" spans="1:13" s="4" customFormat="1" ht="14.25" customHeight="1" x14ac:dyDescent="0.25">
      <c r="A910" s="4" t="s">
        <v>1751</v>
      </c>
      <c r="B910" s="4" t="s">
        <v>183</v>
      </c>
      <c r="C910" s="4" t="s">
        <v>14</v>
      </c>
      <c r="D910" s="35">
        <v>9240</v>
      </c>
      <c r="E910" s="4" t="s">
        <v>1752</v>
      </c>
      <c r="F910" s="5">
        <v>40577</v>
      </c>
      <c r="G910" s="5">
        <v>41639</v>
      </c>
      <c r="H910" s="4" t="s">
        <v>40</v>
      </c>
      <c r="I910" s="6">
        <v>40337.5</v>
      </c>
      <c r="J910" s="6">
        <v>38918.75</v>
      </c>
      <c r="K910" s="37" t="s">
        <v>790</v>
      </c>
      <c r="L910" s="119"/>
      <c r="M910" s="3"/>
    </row>
    <row r="911" spans="1:13" s="4" customFormat="1" ht="14.25" customHeight="1" x14ac:dyDescent="0.25">
      <c r="A911" s="4" t="s">
        <v>1753</v>
      </c>
      <c r="B911" s="4" t="s">
        <v>183</v>
      </c>
      <c r="C911" s="4" t="s">
        <v>14</v>
      </c>
      <c r="D911" s="35">
        <v>9241</v>
      </c>
      <c r="E911" s="4" t="s">
        <v>1754</v>
      </c>
      <c r="F911" s="5">
        <v>40544</v>
      </c>
      <c r="G911" s="5">
        <v>41639</v>
      </c>
      <c r="H911" s="4" t="s">
        <v>40</v>
      </c>
      <c r="I911" s="6">
        <v>35000</v>
      </c>
      <c r="J911" s="6">
        <v>25000</v>
      </c>
      <c r="K911" s="37" t="s">
        <v>790</v>
      </c>
      <c r="L911" s="119"/>
      <c r="M911" s="3"/>
    </row>
    <row r="912" spans="1:13" s="4" customFormat="1" ht="14.25" customHeight="1" x14ac:dyDescent="0.25">
      <c r="A912" s="4" t="s">
        <v>1755</v>
      </c>
      <c r="B912" s="4" t="s">
        <v>183</v>
      </c>
      <c r="C912" s="4" t="s">
        <v>14</v>
      </c>
      <c r="D912" s="35">
        <v>9242</v>
      </c>
      <c r="E912" s="4" t="s">
        <v>1756</v>
      </c>
      <c r="F912" s="5">
        <v>40668</v>
      </c>
      <c r="G912" s="5">
        <v>41639</v>
      </c>
      <c r="H912" s="4" t="s">
        <v>40</v>
      </c>
      <c r="I912" s="6">
        <v>10000</v>
      </c>
      <c r="J912" s="6">
        <v>10000</v>
      </c>
      <c r="K912" s="37" t="s">
        <v>790</v>
      </c>
      <c r="L912" s="119"/>
      <c r="M912" s="3"/>
    </row>
    <row r="913" spans="1:13" s="4" customFormat="1" ht="14.25" customHeight="1" x14ac:dyDescent="0.25">
      <c r="A913" s="4" t="s">
        <v>1757</v>
      </c>
      <c r="B913" s="4" t="s">
        <v>183</v>
      </c>
      <c r="C913" s="4" t="s">
        <v>14</v>
      </c>
      <c r="D913" s="35">
        <v>9243</v>
      </c>
      <c r="E913" s="4" t="s">
        <v>1758</v>
      </c>
      <c r="F913" s="5">
        <v>40849</v>
      </c>
      <c r="G913" s="5">
        <v>41639</v>
      </c>
      <c r="H913" s="4" t="s">
        <v>40</v>
      </c>
      <c r="I913" s="6">
        <v>5000</v>
      </c>
      <c r="J913" s="6">
        <v>5000</v>
      </c>
      <c r="K913" s="37" t="s">
        <v>790</v>
      </c>
      <c r="L913" s="119"/>
      <c r="M913" s="3"/>
    </row>
    <row r="914" spans="1:13" s="4" customFormat="1" ht="14.25" customHeight="1" x14ac:dyDescent="0.25">
      <c r="A914" s="4" t="s">
        <v>1759</v>
      </c>
      <c r="B914" s="4" t="s">
        <v>183</v>
      </c>
      <c r="C914" s="4" t="s">
        <v>14</v>
      </c>
      <c r="D914" s="35">
        <v>9244</v>
      </c>
      <c r="E914" s="4" t="s">
        <v>1760</v>
      </c>
      <c r="F914" s="5">
        <v>40883</v>
      </c>
      <c r="G914" s="5">
        <v>41639</v>
      </c>
      <c r="H914" s="4" t="s">
        <v>40</v>
      </c>
      <c r="I914" s="6">
        <v>7600</v>
      </c>
      <c r="J914" s="6">
        <v>3800</v>
      </c>
      <c r="K914" s="37" t="s">
        <v>790</v>
      </c>
      <c r="L914" s="119"/>
      <c r="M914" s="3"/>
    </row>
    <row r="915" spans="1:13" s="4" customFormat="1" ht="14.25" customHeight="1" x14ac:dyDescent="0.25">
      <c r="A915" s="4" t="s">
        <v>1761</v>
      </c>
      <c r="B915" s="4" t="s">
        <v>190</v>
      </c>
      <c r="C915" s="4" t="s">
        <v>14</v>
      </c>
      <c r="D915" s="35">
        <v>9245</v>
      </c>
      <c r="E915" s="4" t="s">
        <v>1762</v>
      </c>
      <c r="F915" s="5">
        <v>40849</v>
      </c>
      <c r="G915" s="5">
        <v>41639</v>
      </c>
      <c r="H915" s="4" t="s">
        <v>40</v>
      </c>
      <c r="I915" s="6">
        <v>20480</v>
      </c>
      <c r="J915" s="6">
        <v>10240</v>
      </c>
      <c r="K915" s="37" t="s">
        <v>790</v>
      </c>
      <c r="L915" s="119"/>
      <c r="M915" s="3"/>
    </row>
    <row r="916" spans="1:13" s="4" customFormat="1" ht="14.25" customHeight="1" x14ac:dyDescent="0.25">
      <c r="A916" s="4" t="s">
        <v>1763</v>
      </c>
      <c r="B916" s="4" t="s">
        <v>183</v>
      </c>
      <c r="C916" s="4" t="s">
        <v>14</v>
      </c>
      <c r="D916" s="35">
        <v>9246</v>
      </c>
      <c r="E916" s="4" t="s">
        <v>1764</v>
      </c>
      <c r="F916" s="5">
        <v>40849</v>
      </c>
      <c r="G916" s="5">
        <v>41639</v>
      </c>
      <c r="H916" s="4" t="s">
        <v>40</v>
      </c>
      <c r="I916" s="6">
        <v>11328</v>
      </c>
      <c r="J916" s="6">
        <v>9414</v>
      </c>
      <c r="K916" s="37" t="s">
        <v>790</v>
      </c>
      <c r="L916" s="119"/>
      <c r="M916" s="3"/>
    </row>
    <row r="917" spans="1:13" s="4" customFormat="1" ht="14.25" customHeight="1" x14ac:dyDescent="0.25">
      <c r="A917" s="4" t="s">
        <v>1765</v>
      </c>
      <c r="B917" s="4" t="s">
        <v>190</v>
      </c>
      <c r="C917" s="4" t="s">
        <v>14</v>
      </c>
      <c r="D917" s="35">
        <v>9247</v>
      </c>
      <c r="E917" s="4" t="s">
        <v>1766</v>
      </c>
      <c r="F917" s="5">
        <v>40814</v>
      </c>
      <c r="G917" s="5">
        <v>41274</v>
      </c>
      <c r="H917" s="4" t="s">
        <v>40</v>
      </c>
      <c r="I917" s="6">
        <v>43000</v>
      </c>
      <c r="J917" s="6">
        <v>26500</v>
      </c>
      <c r="K917" s="37" t="s">
        <v>790</v>
      </c>
      <c r="L917" s="119"/>
      <c r="M917" s="3"/>
    </row>
    <row r="918" spans="1:13" s="4" customFormat="1" ht="14.25" customHeight="1" x14ac:dyDescent="0.25">
      <c r="A918" s="4" t="s">
        <v>1767</v>
      </c>
      <c r="B918" s="4" t="s">
        <v>38</v>
      </c>
      <c r="C918" s="4" t="s">
        <v>14</v>
      </c>
      <c r="D918" s="35">
        <v>9256</v>
      </c>
      <c r="E918" s="4" t="s">
        <v>1768</v>
      </c>
      <c r="F918" s="5">
        <v>40849</v>
      </c>
      <c r="G918" s="5">
        <v>41639</v>
      </c>
      <c r="H918" s="4" t="s">
        <v>40</v>
      </c>
      <c r="I918" s="6">
        <v>1000</v>
      </c>
      <c r="J918" s="6">
        <v>1000</v>
      </c>
      <c r="K918" s="37" t="s">
        <v>790</v>
      </c>
      <c r="L918" s="119"/>
      <c r="M918" s="3"/>
    </row>
    <row r="919" spans="1:13" s="4" customFormat="1" ht="14.25" customHeight="1" x14ac:dyDescent="0.25">
      <c r="A919" s="4" t="s">
        <v>1769</v>
      </c>
      <c r="B919" s="4" t="s">
        <v>38</v>
      </c>
      <c r="C919" s="4" t="s">
        <v>14</v>
      </c>
      <c r="D919" s="35">
        <v>9257</v>
      </c>
      <c r="E919" s="4" t="s">
        <v>1770</v>
      </c>
      <c r="F919" s="5">
        <v>40544</v>
      </c>
      <c r="G919" s="5">
        <v>41274</v>
      </c>
      <c r="H919" s="4" t="s">
        <v>40</v>
      </c>
      <c r="I919" s="6">
        <v>2542</v>
      </c>
      <c r="J919" s="6">
        <v>2542</v>
      </c>
      <c r="K919" s="37" t="s">
        <v>790</v>
      </c>
      <c r="L919" s="119"/>
      <c r="M919" s="3"/>
    </row>
    <row r="920" spans="1:13" s="4" customFormat="1" ht="14.25" customHeight="1" x14ac:dyDescent="0.25">
      <c r="A920" s="4" t="s">
        <v>1771</v>
      </c>
      <c r="B920" s="4" t="s">
        <v>38</v>
      </c>
      <c r="C920" s="4" t="s">
        <v>14</v>
      </c>
      <c r="D920" s="35">
        <v>9258</v>
      </c>
      <c r="E920" s="4" t="s">
        <v>1772</v>
      </c>
      <c r="F920" s="5">
        <v>40544</v>
      </c>
      <c r="G920" s="5">
        <v>41639</v>
      </c>
      <c r="H920" s="4" t="s">
        <v>40</v>
      </c>
      <c r="I920" s="6">
        <f>811.7+3092</f>
        <v>3903.7</v>
      </c>
      <c r="J920" s="6">
        <f>811.7+3092</f>
        <v>3903.7</v>
      </c>
      <c r="K920" s="37" t="s">
        <v>790</v>
      </c>
      <c r="L920" s="119"/>
      <c r="M920" s="3"/>
    </row>
    <row r="921" spans="1:13" s="4" customFormat="1" ht="14.25" customHeight="1" x14ac:dyDescent="0.25">
      <c r="A921" s="4" t="s">
        <v>1773</v>
      </c>
      <c r="B921" s="4" t="s">
        <v>38</v>
      </c>
      <c r="C921" s="4" t="s">
        <v>14</v>
      </c>
      <c r="D921" s="35">
        <v>9259</v>
      </c>
      <c r="E921" s="4" t="s">
        <v>1774</v>
      </c>
      <c r="F921" s="5">
        <v>40544</v>
      </c>
      <c r="G921" s="5">
        <v>41639</v>
      </c>
      <c r="H921" s="4" t="s">
        <v>40</v>
      </c>
      <c r="I921" s="6">
        <v>13951.41</v>
      </c>
      <c r="J921" s="6">
        <v>13951.41</v>
      </c>
      <c r="K921" s="37" t="s">
        <v>790</v>
      </c>
      <c r="L921" s="119"/>
      <c r="M921" s="3"/>
    </row>
    <row r="922" spans="1:13" s="4" customFormat="1" ht="14.25" customHeight="1" x14ac:dyDescent="0.25">
      <c r="A922" s="4" t="s">
        <v>1775</v>
      </c>
      <c r="B922" s="4" t="s">
        <v>38</v>
      </c>
      <c r="C922" s="4" t="s">
        <v>14</v>
      </c>
      <c r="D922" s="35">
        <v>9260</v>
      </c>
      <c r="E922" s="4" t="s">
        <v>1776</v>
      </c>
      <c r="F922" s="5">
        <v>40544</v>
      </c>
      <c r="G922" s="5">
        <v>41639</v>
      </c>
      <c r="H922" s="4" t="s">
        <v>40</v>
      </c>
      <c r="I922" s="6">
        <v>16477.72</v>
      </c>
      <c r="J922" s="6">
        <v>16477.72</v>
      </c>
      <c r="K922" s="37" t="s">
        <v>790</v>
      </c>
      <c r="L922" s="119"/>
      <c r="M922" s="3"/>
    </row>
    <row r="923" spans="1:13" s="4" customFormat="1" ht="14.25" customHeight="1" x14ac:dyDescent="0.25">
      <c r="A923" s="4" t="s">
        <v>1777</v>
      </c>
      <c r="B923" s="4" t="s">
        <v>38</v>
      </c>
      <c r="C923" s="4" t="s">
        <v>14</v>
      </c>
      <c r="D923" s="35">
        <v>9261</v>
      </c>
      <c r="E923" s="4" t="s">
        <v>1778</v>
      </c>
      <c r="F923" s="5">
        <v>40544</v>
      </c>
      <c r="G923" s="5">
        <v>41274</v>
      </c>
      <c r="H923" s="4" t="s">
        <v>40</v>
      </c>
      <c r="I923" s="6">
        <v>2316.5</v>
      </c>
      <c r="J923" s="6">
        <v>2316.5</v>
      </c>
      <c r="K923" s="37" t="s">
        <v>790</v>
      </c>
      <c r="L923" s="119"/>
      <c r="M923" s="3"/>
    </row>
    <row r="924" spans="1:13" s="4" customFormat="1" ht="14.25" customHeight="1" x14ac:dyDescent="0.25">
      <c r="A924" s="4" t="s">
        <v>11766</v>
      </c>
      <c r="B924" s="4" t="s">
        <v>38</v>
      </c>
      <c r="C924" s="4" t="s">
        <v>14</v>
      </c>
      <c r="D924" s="35">
        <v>9373</v>
      </c>
      <c r="E924" s="4" t="s">
        <v>1780</v>
      </c>
      <c r="F924" s="5">
        <v>40544</v>
      </c>
      <c r="G924" s="5">
        <v>40908</v>
      </c>
      <c r="H924" s="4" t="s">
        <v>40</v>
      </c>
      <c r="I924" s="6">
        <v>3717.26</v>
      </c>
      <c r="J924" s="6">
        <v>3717.26</v>
      </c>
      <c r="K924" s="37" t="s">
        <v>790</v>
      </c>
      <c r="L924" s="119"/>
      <c r="M924" s="3"/>
    </row>
    <row r="925" spans="1:13" s="4" customFormat="1" ht="14.25" customHeight="1" x14ac:dyDescent="0.25">
      <c r="A925" s="4" t="s">
        <v>1781</v>
      </c>
      <c r="B925" s="4" t="s">
        <v>38</v>
      </c>
      <c r="C925" s="4" t="s">
        <v>14</v>
      </c>
      <c r="D925" s="35">
        <v>9396</v>
      </c>
      <c r="E925" s="4" t="s">
        <v>1782</v>
      </c>
      <c r="F925" s="5">
        <v>40544</v>
      </c>
      <c r="G925" s="5">
        <v>41274</v>
      </c>
      <c r="H925" s="4" t="s">
        <v>40</v>
      </c>
      <c r="I925" s="6">
        <v>14817.72</v>
      </c>
      <c r="J925" s="6">
        <v>14817.72</v>
      </c>
      <c r="K925" s="37" t="s">
        <v>790</v>
      </c>
      <c r="L925" s="119"/>
      <c r="M925" s="3"/>
    </row>
    <row r="926" spans="1:13" s="4" customFormat="1" ht="14.25" customHeight="1" x14ac:dyDescent="0.25">
      <c r="A926" s="4" t="s">
        <v>1783</v>
      </c>
      <c r="B926" s="4" t="s">
        <v>183</v>
      </c>
      <c r="C926" s="4" t="s">
        <v>14</v>
      </c>
      <c r="D926" s="35">
        <v>9397</v>
      </c>
      <c r="E926" s="4" t="s">
        <v>1784</v>
      </c>
      <c r="F926" s="5">
        <v>40519</v>
      </c>
      <c r="G926" s="5">
        <v>40908</v>
      </c>
      <c r="H926" s="4" t="s">
        <v>40</v>
      </c>
      <c r="I926" s="6">
        <v>24000</v>
      </c>
      <c r="J926" s="6">
        <v>12000</v>
      </c>
      <c r="K926" s="37" t="s">
        <v>790</v>
      </c>
      <c r="L926" s="119"/>
      <c r="M926" s="3"/>
    </row>
    <row r="927" spans="1:13" s="4" customFormat="1" ht="14.25" customHeight="1" x14ac:dyDescent="0.25">
      <c r="A927" s="4" t="s">
        <v>1785</v>
      </c>
      <c r="B927" s="4" t="s">
        <v>183</v>
      </c>
      <c r="C927" s="4" t="s">
        <v>14</v>
      </c>
      <c r="D927" s="35">
        <v>9398</v>
      </c>
      <c r="E927" s="7" t="s">
        <v>1786</v>
      </c>
      <c r="F927" s="5">
        <v>40519</v>
      </c>
      <c r="G927" s="5">
        <v>40765</v>
      </c>
      <c r="H927" s="4" t="s">
        <v>40</v>
      </c>
      <c r="I927" s="6">
        <v>9000</v>
      </c>
      <c r="J927" s="6">
        <v>9000</v>
      </c>
      <c r="K927" s="37" t="s">
        <v>790</v>
      </c>
      <c r="L927" s="119"/>
      <c r="M927" s="3"/>
    </row>
    <row r="928" spans="1:13" s="4" customFormat="1" ht="14.25" customHeight="1" x14ac:dyDescent="0.25">
      <c r="A928" s="4" t="s">
        <v>1789</v>
      </c>
      <c r="B928" s="4" t="s">
        <v>90</v>
      </c>
      <c r="C928" s="4" t="s">
        <v>14</v>
      </c>
      <c r="D928" s="35">
        <v>9401</v>
      </c>
      <c r="E928" s="7" t="s">
        <v>1790</v>
      </c>
      <c r="F928" s="5">
        <v>40261</v>
      </c>
      <c r="G928" s="5">
        <v>40663</v>
      </c>
      <c r="H928" s="4" t="s">
        <v>40</v>
      </c>
      <c r="I928" s="6">
        <v>30000</v>
      </c>
      <c r="J928" s="6">
        <v>15000</v>
      </c>
      <c r="K928" s="37" t="s">
        <v>790</v>
      </c>
      <c r="L928" s="119"/>
      <c r="M928" s="3"/>
    </row>
    <row r="929" spans="1:13" s="4" customFormat="1" ht="14.25" customHeight="1" x14ac:dyDescent="0.25">
      <c r="A929" s="4" t="s">
        <v>1791</v>
      </c>
      <c r="B929" s="4" t="s">
        <v>183</v>
      </c>
      <c r="C929" s="4" t="s">
        <v>14</v>
      </c>
      <c r="D929" s="35">
        <v>9402</v>
      </c>
      <c r="E929" s="4" t="s">
        <v>1792</v>
      </c>
      <c r="F929" s="5">
        <v>40714</v>
      </c>
      <c r="G929" s="5">
        <v>41274</v>
      </c>
      <c r="H929" s="4" t="s">
        <v>40</v>
      </c>
      <c r="I929" s="6">
        <v>80000</v>
      </c>
      <c r="J929" s="6">
        <v>40000</v>
      </c>
      <c r="K929" s="37" t="s">
        <v>790</v>
      </c>
      <c r="L929" s="119"/>
      <c r="M929" s="3"/>
    </row>
    <row r="930" spans="1:13" s="4" customFormat="1" ht="14.25" customHeight="1" x14ac:dyDescent="0.25">
      <c r="A930" s="4" t="s">
        <v>1793</v>
      </c>
      <c r="B930" s="4" t="s">
        <v>183</v>
      </c>
      <c r="C930" s="4" t="s">
        <v>14</v>
      </c>
      <c r="D930" s="35">
        <v>9403</v>
      </c>
      <c r="E930" s="4" t="s">
        <v>1794</v>
      </c>
      <c r="F930" s="5">
        <v>40812</v>
      </c>
      <c r="G930" s="5">
        <v>41274</v>
      </c>
      <c r="H930" s="4" t="s">
        <v>40</v>
      </c>
      <c r="I930" s="6">
        <v>10000</v>
      </c>
      <c r="J930" s="6">
        <v>5000</v>
      </c>
      <c r="K930" s="37" t="s">
        <v>790</v>
      </c>
      <c r="L930" s="119"/>
      <c r="M930" s="3"/>
    </row>
    <row r="931" spans="1:13" s="4" customFormat="1" ht="14.25" customHeight="1" x14ac:dyDescent="0.25">
      <c r="A931" s="4" t="s">
        <v>1797</v>
      </c>
      <c r="B931" s="4" t="s">
        <v>38</v>
      </c>
      <c r="C931" s="4" t="s">
        <v>14</v>
      </c>
      <c r="D931" s="35">
        <v>9405</v>
      </c>
      <c r="E931" s="4" t="s">
        <v>1798</v>
      </c>
      <c r="F931" s="5">
        <v>40544</v>
      </c>
      <c r="G931" s="5">
        <v>40908</v>
      </c>
      <c r="H931" s="4" t="s">
        <v>40</v>
      </c>
      <c r="I931" s="6">
        <v>31371.62</v>
      </c>
      <c r="J931" s="6">
        <v>31371.62</v>
      </c>
      <c r="K931" s="37" t="s">
        <v>790</v>
      </c>
      <c r="L931" s="119"/>
      <c r="M931" s="3"/>
    </row>
    <row r="932" spans="1:13" s="4" customFormat="1" ht="14.25" customHeight="1" x14ac:dyDescent="0.25">
      <c r="A932" s="4" t="s">
        <v>1799</v>
      </c>
      <c r="B932" s="4" t="s">
        <v>38</v>
      </c>
      <c r="C932" s="4" t="s">
        <v>14</v>
      </c>
      <c r="D932" s="35">
        <v>9406</v>
      </c>
      <c r="E932" s="4" t="s">
        <v>1800</v>
      </c>
      <c r="F932" s="5">
        <v>40544</v>
      </c>
      <c r="G932" s="5">
        <v>40908</v>
      </c>
      <c r="H932" s="4" t="s">
        <v>40</v>
      </c>
      <c r="I932" s="6">
        <v>2032.85</v>
      </c>
      <c r="J932" s="6">
        <v>2032.85</v>
      </c>
      <c r="K932" s="37" t="s">
        <v>790</v>
      </c>
      <c r="L932" s="119"/>
      <c r="M932" s="3"/>
    </row>
    <row r="933" spans="1:13" s="4" customFormat="1" ht="14.25" customHeight="1" x14ac:dyDescent="0.25">
      <c r="A933" s="4" t="s">
        <v>1801</v>
      </c>
      <c r="B933" s="4" t="s">
        <v>38</v>
      </c>
      <c r="C933" s="4" t="s">
        <v>14</v>
      </c>
      <c r="D933" s="35">
        <v>9407</v>
      </c>
      <c r="E933" s="7" t="s">
        <v>1802</v>
      </c>
      <c r="F933" s="5">
        <v>40544</v>
      </c>
      <c r="G933" s="5">
        <v>40908</v>
      </c>
      <c r="H933" s="4" t="s">
        <v>40</v>
      </c>
      <c r="I933" s="6">
        <v>3780.5</v>
      </c>
      <c r="J933" s="6">
        <v>3780.5</v>
      </c>
      <c r="K933" s="37" t="s">
        <v>790</v>
      </c>
      <c r="L933" s="119"/>
      <c r="M933" s="3"/>
    </row>
    <row r="934" spans="1:13" s="4" customFormat="1" ht="14.25" customHeight="1" x14ac:dyDescent="0.25">
      <c r="A934" s="4" t="s">
        <v>1803</v>
      </c>
      <c r="B934" s="4" t="s">
        <v>38</v>
      </c>
      <c r="C934" s="4" t="s">
        <v>14</v>
      </c>
      <c r="D934" s="35">
        <v>9408</v>
      </c>
      <c r="E934" s="4" t="s">
        <v>1804</v>
      </c>
      <c r="F934" s="5">
        <v>40544</v>
      </c>
      <c r="G934" s="5">
        <v>41274</v>
      </c>
      <c r="H934" s="4" t="s">
        <v>40</v>
      </c>
      <c r="I934" s="6">
        <v>2269.06</v>
      </c>
      <c r="J934" s="6">
        <v>2269.06</v>
      </c>
      <c r="K934" s="37" t="s">
        <v>790</v>
      </c>
      <c r="L934" s="119"/>
      <c r="M934" s="3"/>
    </row>
    <row r="935" spans="1:13" s="4" customFormat="1" ht="14.25" customHeight="1" x14ac:dyDescent="0.25">
      <c r="A935" s="4" t="s">
        <v>1660</v>
      </c>
      <c r="B935" s="4" t="s">
        <v>38</v>
      </c>
      <c r="C935" s="4" t="s">
        <v>14</v>
      </c>
      <c r="D935" s="35">
        <v>9409</v>
      </c>
      <c r="E935" s="4" t="s">
        <v>1805</v>
      </c>
      <c r="F935" s="5">
        <v>40544</v>
      </c>
      <c r="G935" s="5">
        <v>41274</v>
      </c>
      <c r="H935" s="4" t="s">
        <v>40</v>
      </c>
      <c r="I935" s="6">
        <v>5911.29</v>
      </c>
      <c r="J935" s="6">
        <v>5911.29</v>
      </c>
      <c r="K935" s="37" t="s">
        <v>790</v>
      </c>
      <c r="L935" s="119"/>
      <c r="M935" s="3"/>
    </row>
    <row r="936" spans="1:13" s="4" customFormat="1" ht="14.25" customHeight="1" x14ac:dyDescent="0.25">
      <c r="A936" s="4" t="s">
        <v>1806</v>
      </c>
      <c r="B936" s="4" t="s">
        <v>38</v>
      </c>
      <c r="C936" s="4" t="s">
        <v>14</v>
      </c>
      <c r="D936" s="35">
        <v>9410</v>
      </c>
      <c r="E936" s="4" t="s">
        <v>1807</v>
      </c>
      <c r="F936" s="5">
        <v>40544</v>
      </c>
      <c r="G936" s="5">
        <v>40908</v>
      </c>
      <c r="H936" s="4" t="s">
        <v>40</v>
      </c>
      <c r="I936" s="6">
        <v>2557.04</v>
      </c>
      <c r="J936" s="6">
        <v>1278.52</v>
      </c>
      <c r="K936" s="37" t="s">
        <v>790</v>
      </c>
      <c r="L936" s="119"/>
      <c r="M936" s="3"/>
    </row>
    <row r="937" spans="1:13" s="4" customFormat="1" ht="14.25" customHeight="1" x14ac:dyDescent="0.25">
      <c r="A937" s="4" t="s">
        <v>1647</v>
      </c>
      <c r="B937" s="4" t="s">
        <v>38</v>
      </c>
      <c r="C937" s="4" t="s">
        <v>14</v>
      </c>
      <c r="D937" s="35">
        <v>9411</v>
      </c>
      <c r="E937" s="4" t="s">
        <v>1808</v>
      </c>
      <c r="F937" s="5">
        <v>40544</v>
      </c>
      <c r="G937" s="5">
        <v>41274</v>
      </c>
      <c r="H937" s="4" t="s">
        <v>40</v>
      </c>
      <c r="I937" s="6">
        <v>3386.45</v>
      </c>
      <c r="J937" s="6">
        <v>3386.45</v>
      </c>
      <c r="K937" s="37" t="s">
        <v>790</v>
      </c>
      <c r="L937" s="119"/>
      <c r="M937" s="3"/>
    </row>
    <row r="938" spans="1:13" s="4" customFormat="1" ht="14.25" customHeight="1" x14ac:dyDescent="0.25">
      <c r="A938" s="4" t="s">
        <v>1666</v>
      </c>
      <c r="B938" s="4" t="s">
        <v>38</v>
      </c>
      <c r="C938" s="4" t="s">
        <v>14</v>
      </c>
      <c r="D938" s="35">
        <v>9412</v>
      </c>
      <c r="E938" s="7" t="s">
        <v>1809</v>
      </c>
      <c r="F938" s="5">
        <v>40544</v>
      </c>
      <c r="G938" s="5">
        <v>40908</v>
      </c>
      <c r="H938" s="4" t="s">
        <v>40</v>
      </c>
      <c r="I938" s="6">
        <v>699.37</v>
      </c>
      <c r="J938" s="6">
        <v>699.37</v>
      </c>
      <c r="K938" s="37" t="s">
        <v>790</v>
      </c>
      <c r="L938" s="119"/>
      <c r="M938" s="3"/>
    </row>
    <row r="939" spans="1:13" s="4" customFormat="1" ht="14.25" customHeight="1" x14ac:dyDescent="0.25">
      <c r="A939" s="4" t="s">
        <v>1810</v>
      </c>
      <c r="B939" s="4" t="s">
        <v>38</v>
      </c>
      <c r="C939" s="4" t="s">
        <v>14</v>
      </c>
      <c r="D939" s="35">
        <v>9413</v>
      </c>
      <c r="E939" s="7" t="s">
        <v>1811</v>
      </c>
      <c r="F939" s="5">
        <v>40544</v>
      </c>
      <c r="G939" s="5">
        <v>40908</v>
      </c>
      <c r="H939" s="4" t="s">
        <v>40</v>
      </c>
      <c r="I939" s="6">
        <v>868.66</v>
      </c>
      <c r="J939" s="6">
        <v>868.66</v>
      </c>
      <c r="K939" s="37" t="s">
        <v>790</v>
      </c>
      <c r="L939" s="119"/>
      <c r="M939" s="3"/>
    </row>
    <row r="940" spans="1:13" s="4" customFormat="1" ht="14.25" customHeight="1" x14ac:dyDescent="0.25">
      <c r="A940" s="4" t="s">
        <v>1812</v>
      </c>
      <c r="B940" s="4" t="s">
        <v>38</v>
      </c>
      <c r="C940" s="4" t="s">
        <v>14</v>
      </c>
      <c r="D940" s="35">
        <v>9414</v>
      </c>
      <c r="E940" s="4" t="s">
        <v>1813</v>
      </c>
      <c r="F940" s="5">
        <v>40544</v>
      </c>
      <c r="G940" s="5">
        <v>40908</v>
      </c>
      <c r="H940" s="4" t="s">
        <v>40</v>
      </c>
      <c r="I940" s="6">
        <v>3576.97</v>
      </c>
      <c r="J940" s="6">
        <v>3576.97</v>
      </c>
      <c r="K940" s="37" t="s">
        <v>790</v>
      </c>
      <c r="L940" s="119"/>
      <c r="M940" s="3"/>
    </row>
    <row r="941" spans="1:13" s="4" customFormat="1" ht="14.25" customHeight="1" x14ac:dyDescent="0.25">
      <c r="A941" s="4" t="s">
        <v>1814</v>
      </c>
      <c r="B941" s="4" t="s">
        <v>38</v>
      </c>
      <c r="C941" s="4" t="s">
        <v>14</v>
      </c>
      <c r="D941" s="35">
        <v>9415</v>
      </c>
      <c r="E941" s="7" t="s">
        <v>1815</v>
      </c>
      <c r="F941" s="5">
        <v>40544</v>
      </c>
      <c r="G941" s="5">
        <v>40908</v>
      </c>
      <c r="H941" s="4" t="s">
        <v>40</v>
      </c>
      <c r="I941" s="6">
        <v>902</v>
      </c>
      <c r="J941" s="6">
        <v>902</v>
      </c>
      <c r="K941" s="37" t="s">
        <v>790</v>
      </c>
      <c r="L941" s="119"/>
      <c r="M941" s="3"/>
    </row>
    <row r="942" spans="1:13" s="4" customFormat="1" ht="14.25" customHeight="1" x14ac:dyDescent="0.25">
      <c r="A942" s="4" t="s">
        <v>1816</v>
      </c>
      <c r="B942" s="4" t="s">
        <v>38</v>
      </c>
      <c r="C942" s="4" t="s">
        <v>14</v>
      </c>
      <c r="D942" s="35">
        <v>9416</v>
      </c>
      <c r="E942" s="4" t="s">
        <v>1817</v>
      </c>
      <c r="F942" s="5">
        <v>40544</v>
      </c>
      <c r="G942" s="5">
        <v>40908</v>
      </c>
      <c r="H942" s="4" t="s">
        <v>40</v>
      </c>
      <c r="I942" s="6">
        <v>5000</v>
      </c>
      <c r="J942" s="6">
        <v>5000</v>
      </c>
      <c r="K942" s="37" t="s">
        <v>790</v>
      </c>
      <c r="L942" s="119"/>
      <c r="M942" s="3"/>
    </row>
    <row r="943" spans="1:13" s="4" customFormat="1" ht="14.25" customHeight="1" x14ac:dyDescent="0.25">
      <c r="A943" s="4" t="s">
        <v>1818</v>
      </c>
      <c r="B943" s="4" t="s">
        <v>38</v>
      </c>
      <c r="C943" s="4" t="s">
        <v>14</v>
      </c>
      <c r="D943" s="35">
        <v>9417</v>
      </c>
      <c r="E943" s="4" t="s">
        <v>1819</v>
      </c>
      <c r="F943" s="5">
        <v>40544</v>
      </c>
      <c r="G943" s="5">
        <v>40908</v>
      </c>
      <c r="H943" s="4" t="s">
        <v>40</v>
      </c>
      <c r="I943" s="6">
        <v>1519.78</v>
      </c>
      <c r="J943" s="6">
        <v>1519.78</v>
      </c>
      <c r="K943" s="37" t="s">
        <v>790</v>
      </c>
      <c r="L943" s="119"/>
      <c r="M943" s="3"/>
    </row>
    <row r="944" spans="1:13" s="4" customFormat="1" ht="14.25" customHeight="1" x14ac:dyDescent="0.25">
      <c r="A944" s="4" t="s">
        <v>1820</v>
      </c>
      <c r="B944" s="4" t="s">
        <v>38</v>
      </c>
      <c r="C944" s="4" t="s">
        <v>14</v>
      </c>
      <c r="D944" s="35">
        <v>9418</v>
      </c>
      <c r="E944" s="4" t="s">
        <v>1821</v>
      </c>
      <c r="F944" s="5">
        <v>40544</v>
      </c>
      <c r="G944" s="5">
        <v>40908</v>
      </c>
      <c r="H944" s="4" t="s">
        <v>40</v>
      </c>
      <c r="I944" s="6">
        <v>2327</v>
      </c>
      <c r="J944" s="6">
        <v>2327</v>
      </c>
      <c r="K944" s="37" t="s">
        <v>790</v>
      </c>
      <c r="L944" s="119"/>
      <c r="M944" s="3"/>
    </row>
    <row r="945" spans="1:13" s="4" customFormat="1" ht="14.25" customHeight="1" x14ac:dyDescent="0.25">
      <c r="A945" s="4" t="s">
        <v>1822</v>
      </c>
      <c r="B945" s="4" t="s">
        <v>38</v>
      </c>
      <c r="C945" s="4" t="s">
        <v>14</v>
      </c>
      <c r="D945" s="35">
        <v>9419</v>
      </c>
      <c r="E945" s="7" t="s">
        <v>1298</v>
      </c>
      <c r="F945" s="5">
        <v>40544</v>
      </c>
      <c r="G945" s="5">
        <v>41274</v>
      </c>
      <c r="H945" s="4" t="s">
        <v>40</v>
      </c>
      <c r="I945" s="6">
        <v>8000</v>
      </c>
      <c r="J945" s="6">
        <v>8000</v>
      </c>
      <c r="K945" s="37" t="s">
        <v>790</v>
      </c>
      <c r="L945" s="119"/>
      <c r="M945" s="3"/>
    </row>
    <row r="946" spans="1:13" s="4" customFormat="1" ht="14.25" customHeight="1" x14ac:dyDescent="0.25">
      <c r="A946" s="4" t="s">
        <v>1823</v>
      </c>
      <c r="B946" s="4" t="s">
        <v>38</v>
      </c>
      <c r="C946" s="4" t="s">
        <v>14</v>
      </c>
      <c r="D946" s="35">
        <v>9421</v>
      </c>
      <c r="E946" s="4" t="s">
        <v>1824</v>
      </c>
      <c r="F946" s="5">
        <v>40544</v>
      </c>
      <c r="G946" s="5">
        <v>40908</v>
      </c>
      <c r="H946" s="4" t="s">
        <v>40</v>
      </c>
      <c r="I946" s="6">
        <v>1030</v>
      </c>
      <c r="J946" s="6">
        <v>1030</v>
      </c>
      <c r="K946" s="37" t="s">
        <v>790</v>
      </c>
      <c r="L946" s="119"/>
      <c r="M946" s="3"/>
    </row>
    <row r="947" spans="1:13" s="4" customFormat="1" ht="14.25" customHeight="1" x14ac:dyDescent="0.25">
      <c r="A947" s="4" t="s">
        <v>1825</v>
      </c>
      <c r="B947" s="4" t="s">
        <v>38</v>
      </c>
      <c r="C947" s="4" t="s">
        <v>14</v>
      </c>
      <c r="D947" s="35">
        <v>9422</v>
      </c>
      <c r="E947" s="4" t="s">
        <v>1826</v>
      </c>
      <c r="F947" s="5">
        <v>40544</v>
      </c>
      <c r="G947" s="5">
        <v>40908</v>
      </c>
      <c r="H947" s="4" t="s">
        <v>40</v>
      </c>
      <c r="I947" s="6">
        <v>2017</v>
      </c>
      <c r="J947" s="6">
        <v>2017</v>
      </c>
      <c r="K947" s="37" t="s">
        <v>790</v>
      </c>
      <c r="L947" s="119"/>
      <c r="M947" s="3"/>
    </row>
    <row r="948" spans="1:13" s="4" customFormat="1" ht="14.25" customHeight="1" x14ac:dyDescent="0.25">
      <c r="A948" s="4" t="s">
        <v>1827</v>
      </c>
      <c r="B948" s="4" t="s">
        <v>38</v>
      </c>
      <c r="C948" s="4" t="s">
        <v>14</v>
      </c>
      <c r="D948" s="35">
        <v>9423</v>
      </c>
      <c r="E948" s="4" t="s">
        <v>1828</v>
      </c>
      <c r="F948" s="5">
        <v>40544</v>
      </c>
      <c r="G948" s="5">
        <v>41274</v>
      </c>
      <c r="H948" s="4" t="s">
        <v>40</v>
      </c>
      <c r="I948" s="6">
        <v>79583.100000000006</v>
      </c>
      <c r="J948" s="6">
        <v>79583.100000000006</v>
      </c>
      <c r="K948" s="37" t="s">
        <v>790</v>
      </c>
      <c r="L948" s="119"/>
      <c r="M948" s="3"/>
    </row>
    <row r="949" spans="1:13" s="4" customFormat="1" ht="14.25" customHeight="1" x14ac:dyDescent="0.25">
      <c r="A949" s="4" t="s">
        <v>1829</v>
      </c>
      <c r="B949" s="4" t="s">
        <v>38</v>
      </c>
      <c r="C949" s="4" t="s">
        <v>14</v>
      </c>
      <c r="D949" s="35">
        <v>9424</v>
      </c>
      <c r="E949" s="4" t="s">
        <v>1830</v>
      </c>
      <c r="F949" s="5">
        <v>40544</v>
      </c>
      <c r="G949" s="5">
        <v>40908</v>
      </c>
      <c r="H949" s="4" t="s">
        <v>40</v>
      </c>
      <c r="I949" s="6">
        <v>300</v>
      </c>
      <c r="J949" s="6">
        <v>300</v>
      </c>
      <c r="K949" s="37" t="s">
        <v>790</v>
      </c>
      <c r="L949" s="119"/>
      <c r="M949" s="3"/>
    </row>
    <row r="950" spans="1:13" s="4" customFormat="1" ht="14.25" customHeight="1" x14ac:dyDescent="0.25">
      <c r="A950" s="4" t="s">
        <v>1831</v>
      </c>
      <c r="B950" s="4" t="s">
        <v>38</v>
      </c>
      <c r="C950" s="4" t="s">
        <v>14</v>
      </c>
      <c r="D950" s="35">
        <v>9425</v>
      </c>
      <c r="E950" s="4" t="s">
        <v>1832</v>
      </c>
      <c r="F950" s="5">
        <v>40544</v>
      </c>
      <c r="G950" s="5">
        <v>40908</v>
      </c>
      <c r="H950" s="4" t="s">
        <v>40</v>
      </c>
      <c r="I950" s="6">
        <v>2850.5</v>
      </c>
      <c r="J950" s="6">
        <v>2850.5</v>
      </c>
      <c r="K950" s="37" t="s">
        <v>790</v>
      </c>
      <c r="L950" s="119"/>
      <c r="M950" s="3"/>
    </row>
    <row r="951" spans="1:13" s="4" customFormat="1" ht="14.25" customHeight="1" x14ac:dyDescent="0.25">
      <c r="A951" s="4" t="s">
        <v>1833</v>
      </c>
      <c r="B951" s="4" t="s">
        <v>38</v>
      </c>
      <c r="C951" s="4" t="s">
        <v>14</v>
      </c>
      <c r="D951" s="35">
        <v>9426</v>
      </c>
      <c r="E951" s="4" t="s">
        <v>1834</v>
      </c>
      <c r="F951" s="5">
        <v>40544</v>
      </c>
      <c r="G951" s="5">
        <v>40908</v>
      </c>
      <c r="H951" s="4" t="s">
        <v>40</v>
      </c>
      <c r="I951" s="6">
        <v>1301.9000000000001</v>
      </c>
      <c r="J951" s="6">
        <v>1301.9000000000001</v>
      </c>
      <c r="K951" s="37" t="s">
        <v>790</v>
      </c>
      <c r="L951" s="119"/>
      <c r="M951" s="3"/>
    </row>
    <row r="952" spans="1:13" s="4" customFormat="1" ht="14.25" customHeight="1" x14ac:dyDescent="0.25">
      <c r="A952" s="4" t="s">
        <v>1835</v>
      </c>
      <c r="B952" s="4" t="s">
        <v>38</v>
      </c>
      <c r="C952" s="4" t="s">
        <v>14</v>
      </c>
      <c r="D952" s="35">
        <v>9427</v>
      </c>
      <c r="E952" s="7" t="s">
        <v>1379</v>
      </c>
      <c r="F952" s="5">
        <v>40544</v>
      </c>
      <c r="G952" s="5">
        <v>40908</v>
      </c>
      <c r="H952" s="4" t="s">
        <v>40</v>
      </c>
      <c r="I952" s="6">
        <v>1981.92</v>
      </c>
      <c r="J952" s="6">
        <v>1981.92</v>
      </c>
      <c r="K952" s="37" t="s">
        <v>790</v>
      </c>
      <c r="L952" s="119"/>
      <c r="M952" s="3"/>
    </row>
    <row r="953" spans="1:13" s="4" customFormat="1" ht="14.25" customHeight="1" x14ac:dyDescent="0.25">
      <c r="A953" s="4" t="s">
        <v>1836</v>
      </c>
      <c r="B953" s="4" t="s">
        <v>38</v>
      </c>
      <c r="C953" s="4" t="s">
        <v>14</v>
      </c>
      <c r="D953" s="35">
        <v>9428</v>
      </c>
      <c r="E953" s="4" t="s">
        <v>1837</v>
      </c>
      <c r="F953" s="5">
        <v>40544</v>
      </c>
      <c r="G953" s="5">
        <v>40908</v>
      </c>
      <c r="H953" s="4" t="s">
        <v>40</v>
      </c>
      <c r="I953" s="6">
        <v>3927.26</v>
      </c>
      <c r="J953" s="6">
        <v>1963.63</v>
      </c>
      <c r="K953" s="37" t="s">
        <v>790</v>
      </c>
      <c r="L953" s="119"/>
      <c r="M953" s="3"/>
    </row>
    <row r="954" spans="1:13" s="4" customFormat="1" ht="14.25" customHeight="1" x14ac:dyDescent="0.25">
      <c r="A954" s="4" t="s">
        <v>1838</v>
      </c>
      <c r="B954" s="4" t="s">
        <v>38</v>
      </c>
      <c r="C954" s="4" t="s">
        <v>14</v>
      </c>
      <c r="D954" s="35">
        <v>9429</v>
      </c>
      <c r="E954" s="4" t="s">
        <v>1839</v>
      </c>
      <c r="F954" s="5">
        <v>40544</v>
      </c>
      <c r="G954" s="5">
        <v>40908</v>
      </c>
      <c r="H954" s="4" t="s">
        <v>40</v>
      </c>
      <c r="I954" s="6">
        <v>2500</v>
      </c>
      <c r="J954" s="6">
        <v>2500</v>
      </c>
      <c r="K954" s="37" t="s">
        <v>790</v>
      </c>
      <c r="L954" s="119"/>
      <c r="M954" s="3"/>
    </row>
    <row r="955" spans="1:13" s="4" customFormat="1" ht="14.25" customHeight="1" x14ac:dyDescent="0.25">
      <c r="A955" s="4" t="s">
        <v>1840</v>
      </c>
      <c r="B955" s="4" t="s">
        <v>38</v>
      </c>
      <c r="C955" s="4" t="s">
        <v>14</v>
      </c>
      <c r="D955" s="35">
        <v>9430</v>
      </c>
      <c r="E955" s="4" t="s">
        <v>1841</v>
      </c>
      <c r="F955" s="5">
        <v>40544</v>
      </c>
      <c r="G955" s="5">
        <v>41274</v>
      </c>
      <c r="H955" s="4" t="s">
        <v>40</v>
      </c>
      <c r="I955" s="6">
        <v>11189.6</v>
      </c>
      <c r="J955" s="6">
        <v>11189.6</v>
      </c>
      <c r="K955" s="37" t="s">
        <v>790</v>
      </c>
      <c r="L955" s="119"/>
      <c r="M955" s="3"/>
    </row>
    <row r="956" spans="1:13" s="4" customFormat="1" ht="14.25" customHeight="1" x14ac:dyDescent="0.25">
      <c r="A956" s="4" t="s">
        <v>1842</v>
      </c>
      <c r="B956" s="4" t="s">
        <v>38</v>
      </c>
      <c r="C956" s="4" t="s">
        <v>14</v>
      </c>
      <c r="D956" s="35">
        <v>9431</v>
      </c>
      <c r="E956" s="4" t="s">
        <v>1843</v>
      </c>
      <c r="F956" s="5">
        <v>40544</v>
      </c>
      <c r="G956" s="5">
        <v>40908</v>
      </c>
      <c r="H956" s="4" t="s">
        <v>40</v>
      </c>
      <c r="I956" s="6">
        <v>7000</v>
      </c>
      <c r="J956" s="6">
        <v>7000</v>
      </c>
      <c r="K956" s="37" t="s">
        <v>790</v>
      </c>
      <c r="L956" s="119"/>
      <c r="M956" s="3"/>
    </row>
    <row r="957" spans="1:13" s="4" customFormat="1" ht="14.25" customHeight="1" x14ac:dyDescent="0.25">
      <c r="A957" s="4" t="s">
        <v>1844</v>
      </c>
      <c r="B957" s="4" t="s">
        <v>38</v>
      </c>
      <c r="C957" s="4" t="s">
        <v>14</v>
      </c>
      <c r="D957" s="35">
        <v>9432</v>
      </c>
      <c r="E957" s="4" t="s">
        <v>1845</v>
      </c>
      <c r="F957" s="5">
        <v>40544</v>
      </c>
      <c r="G957" s="5">
        <v>40908</v>
      </c>
      <c r="H957" s="4" t="s">
        <v>40</v>
      </c>
      <c r="I957" s="6">
        <v>27000</v>
      </c>
      <c r="J957" s="6">
        <v>27000</v>
      </c>
      <c r="K957" s="37" t="s">
        <v>790</v>
      </c>
      <c r="L957" s="119"/>
      <c r="M957" s="3"/>
    </row>
    <row r="958" spans="1:13" s="4" customFormat="1" ht="14.25" customHeight="1" x14ac:dyDescent="0.25">
      <c r="A958" s="4" t="s">
        <v>1846</v>
      </c>
      <c r="B958" s="4" t="s">
        <v>38</v>
      </c>
      <c r="C958" s="4" t="s">
        <v>14</v>
      </c>
      <c r="D958" s="35">
        <v>9433</v>
      </c>
      <c r="E958" s="4" t="s">
        <v>1847</v>
      </c>
      <c r="F958" s="5">
        <v>40544</v>
      </c>
      <c r="G958" s="5">
        <v>40908</v>
      </c>
      <c r="H958" s="4" t="s">
        <v>40</v>
      </c>
      <c r="I958" s="6">
        <v>1454</v>
      </c>
      <c r="J958" s="6">
        <v>1454</v>
      </c>
      <c r="K958" s="37" t="s">
        <v>790</v>
      </c>
      <c r="L958" s="119"/>
      <c r="M958" s="3"/>
    </row>
    <row r="959" spans="1:13" s="4" customFormat="1" ht="14.25" customHeight="1" x14ac:dyDescent="0.25">
      <c r="A959" s="4" t="s">
        <v>1848</v>
      </c>
      <c r="B959" s="4" t="s">
        <v>38</v>
      </c>
      <c r="C959" s="4" t="s">
        <v>14</v>
      </c>
      <c r="D959" s="35">
        <v>9434</v>
      </c>
      <c r="E959" s="4" t="s">
        <v>1849</v>
      </c>
      <c r="F959" s="5">
        <v>40544</v>
      </c>
      <c r="G959" s="5">
        <v>40908</v>
      </c>
      <c r="H959" s="4" t="s">
        <v>40</v>
      </c>
      <c r="I959" s="6">
        <v>5036.5</v>
      </c>
      <c r="J959" s="6">
        <v>5036.5</v>
      </c>
      <c r="K959" s="37" t="s">
        <v>790</v>
      </c>
      <c r="L959" s="119"/>
      <c r="M959" s="3"/>
    </row>
    <row r="960" spans="1:13" s="4" customFormat="1" ht="14.25" customHeight="1" x14ac:dyDescent="0.25">
      <c r="A960" s="4" t="s">
        <v>1850</v>
      </c>
      <c r="B960" s="4" t="s">
        <v>38</v>
      </c>
      <c r="C960" s="4" t="s">
        <v>14</v>
      </c>
      <c r="D960" s="35">
        <v>9435</v>
      </c>
      <c r="E960" s="4" t="s">
        <v>1851</v>
      </c>
      <c r="F960" s="5">
        <v>40544</v>
      </c>
      <c r="G960" s="5">
        <v>40908</v>
      </c>
      <c r="H960" s="4" t="s">
        <v>40</v>
      </c>
      <c r="I960" s="6">
        <v>1000</v>
      </c>
      <c r="J960" s="6">
        <v>1000</v>
      </c>
      <c r="K960" s="37" t="s">
        <v>790</v>
      </c>
      <c r="L960" s="119"/>
      <c r="M960" s="3"/>
    </row>
    <row r="961" spans="1:13" s="4" customFormat="1" ht="14.25" customHeight="1" x14ac:dyDescent="0.25">
      <c r="A961" s="4" t="s">
        <v>1852</v>
      </c>
      <c r="B961" s="4" t="s">
        <v>38</v>
      </c>
      <c r="C961" s="4" t="s">
        <v>14</v>
      </c>
      <c r="D961" s="35">
        <v>9436</v>
      </c>
      <c r="E961" s="4" t="s">
        <v>1853</v>
      </c>
      <c r="F961" s="5">
        <v>40544</v>
      </c>
      <c r="G961" s="5">
        <v>41274</v>
      </c>
      <c r="H961" s="4" t="s">
        <v>40</v>
      </c>
      <c r="I961" s="6">
        <v>11029.15</v>
      </c>
      <c r="J961" s="6">
        <v>11029.15</v>
      </c>
      <c r="K961" s="37" t="s">
        <v>790</v>
      </c>
      <c r="L961" s="119"/>
      <c r="M961" s="3"/>
    </row>
    <row r="962" spans="1:13" s="4" customFormat="1" ht="14.25" customHeight="1" x14ac:dyDescent="0.25">
      <c r="A962" s="4" t="s">
        <v>1854</v>
      </c>
      <c r="B962" s="4" t="s">
        <v>38</v>
      </c>
      <c r="C962" s="4" t="s">
        <v>14</v>
      </c>
      <c r="D962" s="35">
        <v>9522</v>
      </c>
      <c r="E962" s="4" t="s">
        <v>1855</v>
      </c>
      <c r="F962" s="5">
        <v>40544</v>
      </c>
      <c r="G962" s="5">
        <v>40908</v>
      </c>
      <c r="H962" s="4" t="s">
        <v>40</v>
      </c>
      <c r="I962" s="6">
        <v>15000</v>
      </c>
      <c r="J962" s="6">
        <v>15000</v>
      </c>
      <c r="K962" s="37" t="s">
        <v>790</v>
      </c>
      <c r="L962" s="119"/>
      <c r="M962" s="3"/>
    </row>
    <row r="963" spans="1:13" s="4" customFormat="1" ht="14.25" customHeight="1" x14ac:dyDescent="0.25">
      <c r="A963" s="4" t="s">
        <v>1856</v>
      </c>
      <c r="B963" s="4" t="s">
        <v>38</v>
      </c>
      <c r="C963" s="4" t="s">
        <v>14</v>
      </c>
      <c r="D963" s="35">
        <v>9526</v>
      </c>
      <c r="E963" s="4" t="s">
        <v>1857</v>
      </c>
      <c r="F963" s="5">
        <v>40544</v>
      </c>
      <c r="G963" s="5">
        <v>41274</v>
      </c>
      <c r="H963" s="4" t="s">
        <v>40</v>
      </c>
      <c r="I963" s="6">
        <f>94.77-32.51-0.47</f>
        <v>61.79</v>
      </c>
      <c r="J963" s="6">
        <v>94.77</v>
      </c>
      <c r="K963" s="37" t="s">
        <v>790</v>
      </c>
      <c r="L963" s="119"/>
      <c r="M963" s="3"/>
    </row>
    <row r="964" spans="1:13" s="4" customFormat="1" ht="14.25" customHeight="1" x14ac:dyDescent="0.25">
      <c r="A964" s="4" t="s">
        <v>1858</v>
      </c>
      <c r="B964" s="4" t="s">
        <v>190</v>
      </c>
      <c r="C964" s="4" t="s">
        <v>14</v>
      </c>
      <c r="D964" s="35">
        <v>10292</v>
      </c>
      <c r="E964" s="4" t="s">
        <v>1859</v>
      </c>
      <c r="F964" s="5">
        <v>41169</v>
      </c>
      <c r="H964" s="4" t="s">
        <v>40</v>
      </c>
      <c r="I964" s="6">
        <v>24313.52</v>
      </c>
      <c r="J964" s="6">
        <v>12156.76</v>
      </c>
      <c r="K964" s="37" t="s">
        <v>790</v>
      </c>
      <c r="L964" s="119"/>
      <c r="M964" s="3"/>
    </row>
    <row r="965" spans="1:13" s="4" customFormat="1" ht="14.25" customHeight="1" x14ac:dyDescent="0.25">
      <c r="A965" s="4" t="s">
        <v>1860</v>
      </c>
      <c r="B965" s="4" t="s">
        <v>190</v>
      </c>
      <c r="C965" s="4" t="s">
        <v>14</v>
      </c>
      <c r="D965" s="35">
        <v>10293</v>
      </c>
      <c r="E965" s="7" t="s">
        <v>1861</v>
      </c>
      <c r="F965" s="5">
        <v>40917</v>
      </c>
      <c r="G965" s="5">
        <v>41274</v>
      </c>
      <c r="H965" s="4" t="s">
        <v>40</v>
      </c>
      <c r="I965" s="6">
        <v>9403.66</v>
      </c>
      <c r="J965" s="6">
        <v>4701.83</v>
      </c>
      <c r="K965" s="37" t="s">
        <v>790</v>
      </c>
      <c r="L965" s="119"/>
      <c r="M965" s="3"/>
    </row>
    <row r="966" spans="1:13" s="4" customFormat="1" ht="14.25" customHeight="1" x14ac:dyDescent="0.25">
      <c r="A966" s="4" t="s">
        <v>1862</v>
      </c>
      <c r="B966" s="4" t="s">
        <v>183</v>
      </c>
      <c r="C966" s="4" t="s">
        <v>14</v>
      </c>
      <c r="D966" s="35">
        <v>10294</v>
      </c>
      <c r="E966" s="4" t="s">
        <v>1863</v>
      </c>
      <c r="F966" s="5">
        <v>41015</v>
      </c>
      <c r="G966" s="5">
        <v>41639</v>
      </c>
      <c r="H966" s="4" t="s">
        <v>40</v>
      </c>
      <c r="I966" s="6">
        <v>50000</v>
      </c>
      <c r="J966" s="6">
        <f>19833.75+5166.25</f>
        <v>25000</v>
      </c>
      <c r="K966" s="37" t="s">
        <v>790</v>
      </c>
      <c r="L966" s="119"/>
      <c r="M966" s="3"/>
    </row>
    <row r="967" spans="1:13" s="4" customFormat="1" ht="14.25" customHeight="1" x14ac:dyDescent="0.25">
      <c r="A967" s="4" t="s">
        <v>1864</v>
      </c>
      <c r="B967" s="4" t="s">
        <v>190</v>
      </c>
      <c r="C967" s="4" t="s">
        <v>14</v>
      </c>
      <c r="D967" s="35">
        <v>10295</v>
      </c>
      <c r="E967" s="7" t="s">
        <v>1865</v>
      </c>
      <c r="F967" s="5">
        <v>41254</v>
      </c>
      <c r="G967" s="5">
        <v>41639</v>
      </c>
      <c r="H967" s="4" t="s">
        <v>40</v>
      </c>
      <c r="I967" s="6">
        <v>35000</v>
      </c>
      <c r="J967" s="6">
        <f>10000+25000</f>
        <v>35000</v>
      </c>
      <c r="K967" s="37" t="s">
        <v>790</v>
      </c>
      <c r="L967" s="119"/>
      <c r="M967" s="3"/>
    </row>
    <row r="968" spans="1:13" s="4" customFormat="1" ht="14.25" customHeight="1" x14ac:dyDescent="0.25">
      <c r="A968" s="4" t="s">
        <v>1866</v>
      </c>
      <c r="B968" s="4" t="s">
        <v>190</v>
      </c>
      <c r="C968" s="4" t="s">
        <v>14</v>
      </c>
      <c r="D968" s="35">
        <v>10296</v>
      </c>
      <c r="E968" s="7" t="s">
        <v>1867</v>
      </c>
      <c r="F968" s="5">
        <v>41254</v>
      </c>
      <c r="G968" s="5">
        <v>41639</v>
      </c>
      <c r="H968" s="4" t="s">
        <v>40</v>
      </c>
      <c r="I968" s="6">
        <f>15000+24741</f>
        <v>39741</v>
      </c>
      <c r="J968" s="6">
        <f>15000+19870.5</f>
        <v>34870.5</v>
      </c>
      <c r="K968" s="37" t="s">
        <v>790</v>
      </c>
      <c r="L968" s="119"/>
      <c r="M968" s="3"/>
    </row>
    <row r="969" spans="1:13" s="4" customFormat="1" ht="14.25" customHeight="1" x14ac:dyDescent="0.25">
      <c r="A969" s="4" t="s">
        <v>1868</v>
      </c>
      <c r="B969" s="4" t="s">
        <v>190</v>
      </c>
      <c r="C969" s="4" t="s">
        <v>14</v>
      </c>
      <c r="D969" s="35">
        <v>10297</v>
      </c>
      <c r="E969" s="4" t="s">
        <v>1869</v>
      </c>
      <c r="F969" s="5">
        <v>40805</v>
      </c>
      <c r="G969" s="5">
        <v>41274</v>
      </c>
      <c r="H969" s="4" t="s">
        <v>40</v>
      </c>
      <c r="I969" s="6">
        <v>100000</v>
      </c>
      <c r="J969" s="6">
        <v>50000</v>
      </c>
      <c r="K969" s="37" t="s">
        <v>790</v>
      </c>
      <c r="L969" s="119"/>
      <c r="M969" s="3"/>
    </row>
    <row r="970" spans="1:13" s="4" customFormat="1" ht="14.25" customHeight="1" x14ac:dyDescent="0.25">
      <c r="A970" s="4" t="s">
        <v>1870</v>
      </c>
      <c r="B970" s="4" t="s">
        <v>190</v>
      </c>
      <c r="C970" s="4" t="s">
        <v>14</v>
      </c>
      <c r="D970" s="35">
        <v>10298</v>
      </c>
      <c r="E970" s="7" t="s">
        <v>1871</v>
      </c>
      <c r="F970" s="5">
        <v>40917</v>
      </c>
      <c r="G970" s="5">
        <v>41639</v>
      </c>
      <c r="H970" s="4" t="s">
        <v>40</v>
      </c>
      <c r="I970" s="6">
        <v>55739.82</v>
      </c>
      <c r="J970" s="6">
        <f>19859.34+8010.57</f>
        <v>27869.91</v>
      </c>
      <c r="K970" s="37" t="s">
        <v>790</v>
      </c>
      <c r="L970" s="119"/>
      <c r="M970" s="3"/>
    </row>
    <row r="971" spans="1:13" s="4" customFormat="1" ht="14.25" customHeight="1" x14ac:dyDescent="0.25">
      <c r="A971" s="4" t="s">
        <v>1872</v>
      </c>
      <c r="B971" s="4" t="s">
        <v>183</v>
      </c>
      <c r="C971" s="4" t="s">
        <v>14</v>
      </c>
      <c r="D971" s="35">
        <v>10299</v>
      </c>
      <c r="E971" s="7" t="s">
        <v>1873</v>
      </c>
      <c r="F971" s="5">
        <v>40917</v>
      </c>
      <c r="G971" s="5">
        <v>41639</v>
      </c>
      <c r="H971" s="4" t="s">
        <v>40</v>
      </c>
      <c r="I971" s="6">
        <v>78385.039999999994</v>
      </c>
      <c r="J971" s="6">
        <f>20647.43+18545.09</f>
        <v>39192.520000000004</v>
      </c>
      <c r="K971" s="37" t="s">
        <v>790</v>
      </c>
      <c r="L971" s="119"/>
      <c r="M971" s="3"/>
    </row>
    <row r="972" spans="1:13" s="4" customFormat="1" ht="14.25" customHeight="1" x14ac:dyDescent="0.25">
      <c r="A972" s="4" t="s">
        <v>1874</v>
      </c>
      <c r="B972" s="4" t="s">
        <v>190</v>
      </c>
      <c r="C972" s="4" t="s">
        <v>14</v>
      </c>
      <c r="D972" s="35">
        <v>10300</v>
      </c>
      <c r="E972" s="4" t="s">
        <v>1875</v>
      </c>
      <c r="F972" s="5">
        <v>41015</v>
      </c>
      <c r="G972" s="5">
        <v>41639</v>
      </c>
      <c r="H972" s="4" t="s">
        <v>40</v>
      </c>
      <c r="I972" s="6">
        <v>9469.52</v>
      </c>
      <c r="J972" s="6">
        <f>3716.01+1018.75</f>
        <v>4734.76</v>
      </c>
      <c r="K972" s="37" t="s">
        <v>790</v>
      </c>
      <c r="L972" s="119"/>
      <c r="M972" s="3"/>
    </row>
    <row r="973" spans="1:13" s="4" customFormat="1" ht="14.25" customHeight="1" x14ac:dyDescent="0.25">
      <c r="A973" s="4" t="s">
        <v>1876</v>
      </c>
      <c r="B973" s="4" t="s">
        <v>183</v>
      </c>
      <c r="C973" s="4" t="s">
        <v>14</v>
      </c>
      <c r="D973" s="35">
        <v>10301</v>
      </c>
      <c r="E973" s="7" t="s">
        <v>1877</v>
      </c>
      <c r="F973" s="5">
        <v>41015</v>
      </c>
      <c r="G973" s="5">
        <v>41274</v>
      </c>
      <c r="H973" s="4" t="s">
        <v>40</v>
      </c>
      <c r="I973" s="6">
        <v>16000</v>
      </c>
      <c r="J973" s="6">
        <v>13000</v>
      </c>
      <c r="K973" s="37" t="s">
        <v>790</v>
      </c>
      <c r="L973" s="119"/>
      <c r="M973" s="3"/>
    </row>
    <row r="974" spans="1:13" s="4" customFormat="1" ht="14.25" customHeight="1" x14ac:dyDescent="0.25">
      <c r="A974" s="4" t="s">
        <v>1878</v>
      </c>
      <c r="B974" s="4" t="s">
        <v>183</v>
      </c>
      <c r="C974" s="4" t="s">
        <v>14</v>
      </c>
      <c r="D974" s="35">
        <v>10302</v>
      </c>
      <c r="E974" s="4" t="s">
        <v>1879</v>
      </c>
      <c r="F974" s="5">
        <v>41015</v>
      </c>
      <c r="G974" s="5">
        <v>41274</v>
      </c>
      <c r="H974" s="4" t="s">
        <v>40</v>
      </c>
      <c r="I974" s="6">
        <v>49330</v>
      </c>
      <c r="J974" s="6">
        <v>24665</v>
      </c>
      <c r="K974" s="37" t="s">
        <v>790</v>
      </c>
      <c r="L974" s="119"/>
      <c r="M974" s="3"/>
    </row>
    <row r="975" spans="1:13" s="4" customFormat="1" ht="14.25" customHeight="1" x14ac:dyDescent="0.25">
      <c r="A975" s="4" t="s">
        <v>1880</v>
      </c>
      <c r="B975" s="4" t="s">
        <v>38</v>
      </c>
      <c r="C975" s="4" t="s">
        <v>14</v>
      </c>
      <c r="D975" s="35">
        <v>10303</v>
      </c>
      <c r="E975" s="4" t="s">
        <v>1294</v>
      </c>
      <c r="F975" s="5">
        <v>40909</v>
      </c>
      <c r="G975" s="5">
        <v>41274</v>
      </c>
      <c r="H975" s="4" t="s">
        <v>40</v>
      </c>
      <c r="I975" s="6">
        <v>10507.88</v>
      </c>
      <c r="J975" s="6">
        <v>10507.88</v>
      </c>
      <c r="K975" s="37" t="s">
        <v>790</v>
      </c>
      <c r="L975" s="119"/>
      <c r="M975" s="3"/>
    </row>
    <row r="976" spans="1:13" s="4" customFormat="1" ht="14.25" customHeight="1" x14ac:dyDescent="0.25">
      <c r="A976" s="4" t="s">
        <v>1881</v>
      </c>
      <c r="B976" s="4" t="s">
        <v>38</v>
      </c>
      <c r="C976" s="4" t="s">
        <v>14</v>
      </c>
      <c r="D976" s="35">
        <v>10304</v>
      </c>
      <c r="E976" s="4" t="s">
        <v>1882</v>
      </c>
      <c r="F976" s="5">
        <v>40909</v>
      </c>
      <c r="G976" s="5">
        <v>41274</v>
      </c>
      <c r="H976" s="4" t="s">
        <v>40</v>
      </c>
      <c r="I976" s="6">
        <v>3969.92</v>
      </c>
      <c r="J976" s="6">
        <v>3969.92</v>
      </c>
      <c r="K976" s="37" t="s">
        <v>790</v>
      </c>
      <c r="L976" s="119"/>
      <c r="M976" s="3"/>
    </row>
    <row r="977" spans="1:13" s="4" customFormat="1" ht="14.25" customHeight="1" x14ac:dyDescent="0.25">
      <c r="A977" s="4" t="s">
        <v>1883</v>
      </c>
      <c r="B977" s="4" t="s">
        <v>38</v>
      </c>
      <c r="C977" s="4" t="s">
        <v>14</v>
      </c>
      <c r="D977" s="35">
        <v>10306</v>
      </c>
      <c r="E977" s="7" t="s">
        <v>1298</v>
      </c>
      <c r="F977" s="5">
        <v>40909</v>
      </c>
      <c r="G977" s="5">
        <v>41274</v>
      </c>
      <c r="H977" s="4" t="s">
        <v>40</v>
      </c>
      <c r="I977" s="6">
        <v>4000</v>
      </c>
      <c r="J977" s="6">
        <v>4000</v>
      </c>
      <c r="K977" s="37" t="s">
        <v>790</v>
      </c>
      <c r="L977" s="119"/>
      <c r="M977" s="3"/>
    </row>
    <row r="978" spans="1:13" s="4" customFormat="1" ht="14.25" customHeight="1" x14ac:dyDescent="0.25">
      <c r="A978" s="4" t="s">
        <v>1884</v>
      </c>
      <c r="B978" s="4" t="s">
        <v>38</v>
      </c>
      <c r="C978" s="4" t="s">
        <v>14</v>
      </c>
      <c r="D978" s="35">
        <v>10307</v>
      </c>
      <c r="E978" s="4" t="s">
        <v>1300</v>
      </c>
      <c r="F978" s="5">
        <v>40909</v>
      </c>
      <c r="G978" s="5">
        <v>41274</v>
      </c>
      <c r="H978" s="4" t="s">
        <v>40</v>
      </c>
      <c r="I978" s="6">
        <v>5000</v>
      </c>
      <c r="J978" s="6">
        <v>2500</v>
      </c>
      <c r="K978" s="37" t="s">
        <v>790</v>
      </c>
      <c r="L978" s="119"/>
      <c r="M978" s="3"/>
    </row>
    <row r="979" spans="1:13" s="4" customFormat="1" ht="14.25" customHeight="1" x14ac:dyDescent="0.25">
      <c r="A979" s="4" t="s">
        <v>1885</v>
      </c>
      <c r="B979" s="4" t="s">
        <v>38</v>
      </c>
      <c r="C979" s="4" t="s">
        <v>14</v>
      </c>
      <c r="D979" s="35">
        <v>10308</v>
      </c>
      <c r="E979" s="4" t="s">
        <v>1886</v>
      </c>
      <c r="F979" s="5">
        <v>40909</v>
      </c>
      <c r="G979" s="5">
        <v>41274</v>
      </c>
      <c r="H979" s="4" t="s">
        <v>40</v>
      </c>
      <c r="I979" s="6">
        <v>10135.02</v>
      </c>
      <c r="J979" s="6">
        <v>10135.02</v>
      </c>
      <c r="K979" s="37" t="s">
        <v>790</v>
      </c>
      <c r="L979" s="119"/>
      <c r="M979" s="3"/>
    </row>
    <row r="980" spans="1:13" s="4" customFormat="1" ht="14.25" customHeight="1" x14ac:dyDescent="0.25">
      <c r="A980" s="4" t="s">
        <v>1887</v>
      </c>
      <c r="B980" s="4" t="s">
        <v>38</v>
      </c>
      <c r="C980" s="4" t="s">
        <v>14</v>
      </c>
      <c r="D980" s="35">
        <v>10309</v>
      </c>
      <c r="E980" s="4" t="s">
        <v>1888</v>
      </c>
      <c r="F980" s="5">
        <v>41244</v>
      </c>
      <c r="G980" s="5">
        <v>41639</v>
      </c>
      <c r="H980" s="4" t="s">
        <v>40</v>
      </c>
      <c r="I980" s="6">
        <v>15199</v>
      </c>
      <c r="J980" s="6">
        <f>6212.95+8986.65</f>
        <v>15199.599999999999</v>
      </c>
      <c r="K980" s="37" t="s">
        <v>790</v>
      </c>
      <c r="L980" s="119"/>
      <c r="M980" s="3"/>
    </row>
    <row r="981" spans="1:13" s="4" customFormat="1" ht="14.25" customHeight="1" x14ac:dyDescent="0.25">
      <c r="A981" s="4" t="s">
        <v>1889</v>
      </c>
      <c r="B981" s="4" t="s">
        <v>38</v>
      </c>
      <c r="C981" s="4" t="s">
        <v>14</v>
      </c>
      <c r="D981" s="35">
        <v>10310</v>
      </c>
      <c r="E981" s="7" t="s">
        <v>1890</v>
      </c>
      <c r="F981" s="5">
        <v>41244</v>
      </c>
      <c r="G981" s="5">
        <v>41274</v>
      </c>
      <c r="H981" s="4" t="s">
        <v>40</v>
      </c>
      <c r="I981" s="6">
        <v>3293.25</v>
      </c>
      <c r="J981" s="6">
        <v>3293.25</v>
      </c>
      <c r="K981" s="37" t="s">
        <v>790</v>
      </c>
      <c r="L981" s="119"/>
      <c r="M981" s="3"/>
    </row>
    <row r="982" spans="1:13" s="4" customFormat="1" ht="14.25" customHeight="1" x14ac:dyDescent="0.25">
      <c r="A982" s="4" t="s">
        <v>1891</v>
      </c>
      <c r="B982" s="4" t="s">
        <v>38</v>
      </c>
      <c r="C982" s="4" t="s">
        <v>14</v>
      </c>
      <c r="D982" s="35">
        <v>10311</v>
      </c>
      <c r="E982" s="4" t="s">
        <v>1892</v>
      </c>
      <c r="F982" s="5">
        <v>40909</v>
      </c>
      <c r="G982" s="5">
        <v>41274</v>
      </c>
      <c r="H982" s="4" t="s">
        <v>40</v>
      </c>
      <c r="I982" s="6">
        <v>2231.27</v>
      </c>
      <c r="J982" s="6">
        <v>2231.27</v>
      </c>
      <c r="K982" s="37" t="s">
        <v>790</v>
      </c>
      <c r="L982" s="119"/>
      <c r="M982" s="3"/>
    </row>
    <row r="983" spans="1:13" s="4" customFormat="1" ht="14.25" customHeight="1" x14ac:dyDescent="0.25">
      <c r="A983" s="4" t="s">
        <v>1893</v>
      </c>
      <c r="B983" s="4" t="s">
        <v>38</v>
      </c>
      <c r="C983" s="4" t="s">
        <v>14</v>
      </c>
      <c r="D983" s="35">
        <v>10312</v>
      </c>
      <c r="E983" s="4" t="s">
        <v>1125</v>
      </c>
      <c r="F983" s="5">
        <v>40909</v>
      </c>
      <c r="G983" s="5">
        <v>41639</v>
      </c>
      <c r="H983" s="4" t="s">
        <v>40</v>
      </c>
      <c r="I983" s="6">
        <v>35944.519999999997</v>
      </c>
      <c r="J983" s="6">
        <v>35944.519999999997</v>
      </c>
      <c r="K983" s="37" t="s">
        <v>790</v>
      </c>
      <c r="L983" s="119"/>
      <c r="M983" s="3"/>
    </row>
    <row r="984" spans="1:13" s="4" customFormat="1" ht="14.25" customHeight="1" x14ac:dyDescent="0.25">
      <c r="A984" s="4" t="s">
        <v>1894</v>
      </c>
      <c r="B984" s="4" t="s">
        <v>38</v>
      </c>
      <c r="C984" s="4" t="s">
        <v>14</v>
      </c>
      <c r="D984" s="35">
        <v>10313</v>
      </c>
      <c r="E984" s="7" t="s">
        <v>1895</v>
      </c>
      <c r="F984" s="5">
        <v>40909</v>
      </c>
      <c r="G984" s="5">
        <v>41639</v>
      </c>
      <c r="H984" s="4" t="s">
        <v>40</v>
      </c>
      <c r="I984" s="6">
        <v>23279.54</v>
      </c>
      <c r="J984" s="6">
        <f>21622.54+1657</f>
        <v>23279.54</v>
      </c>
      <c r="K984" s="37" t="s">
        <v>790</v>
      </c>
      <c r="L984" s="119"/>
      <c r="M984" s="3"/>
    </row>
    <row r="985" spans="1:13" s="4" customFormat="1" ht="14.25" customHeight="1" x14ac:dyDescent="0.25">
      <c r="A985" s="4" t="s">
        <v>1896</v>
      </c>
      <c r="B985" s="4" t="s">
        <v>38</v>
      </c>
      <c r="C985" s="4" t="s">
        <v>14</v>
      </c>
      <c r="D985" s="35">
        <v>10314</v>
      </c>
      <c r="E985" s="4" t="s">
        <v>1676</v>
      </c>
      <c r="F985" s="5">
        <v>40909</v>
      </c>
      <c r="G985" s="5">
        <v>41274</v>
      </c>
      <c r="H985" s="4" t="s">
        <v>40</v>
      </c>
      <c r="I985" s="6">
        <v>3099.74</v>
      </c>
      <c r="J985" s="6">
        <v>3099.74</v>
      </c>
      <c r="K985" s="37" t="s">
        <v>790</v>
      </c>
      <c r="L985" s="119"/>
      <c r="M985" s="3"/>
    </row>
    <row r="986" spans="1:13" s="4" customFormat="1" ht="14.25" customHeight="1" x14ac:dyDescent="0.25">
      <c r="A986" s="4" t="s">
        <v>1897</v>
      </c>
      <c r="B986" s="4" t="s">
        <v>38</v>
      </c>
      <c r="C986" s="4" t="s">
        <v>14</v>
      </c>
      <c r="D986" s="35">
        <v>10315</v>
      </c>
      <c r="E986" s="4" t="s">
        <v>1687</v>
      </c>
      <c r="F986" s="5">
        <v>40909</v>
      </c>
      <c r="G986" s="5">
        <v>41274</v>
      </c>
      <c r="H986" s="4" t="s">
        <v>40</v>
      </c>
      <c r="I986" s="6">
        <v>2999.98</v>
      </c>
      <c r="J986" s="6">
        <v>2999.98</v>
      </c>
      <c r="K986" s="37" t="s">
        <v>790</v>
      </c>
      <c r="L986" s="119"/>
      <c r="M986" s="3"/>
    </row>
    <row r="987" spans="1:13" s="4" customFormat="1" ht="14.25" customHeight="1" x14ac:dyDescent="0.25">
      <c r="A987" s="4" t="s">
        <v>1898</v>
      </c>
      <c r="B987" s="4" t="s">
        <v>38</v>
      </c>
      <c r="C987" s="4" t="s">
        <v>14</v>
      </c>
      <c r="D987" s="35">
        <v>10316</v>
      </c>
      <c r="E987" s="4" t="s">
        <v>1899</v>
      </c>
      <c r="F987" s="5">
        <v>40909</v>
      </c>
      <c r="G987" s="5">
        <v>41274</v>
      </c>
      <c r="H987" s="4" t="s">
        <v>40</v>
      </c>
      <c r="I987" s="6">
        <v>2251.79</v>
      </c>
      <c r="J987" s="6">
        <v>2251.79</v>
      </c>
      <c r="K987" s="37" t="s">
        <v>790</v>
      </c>
      <c r="L987" s="119"/>
      <c r="M987" s="3"/>
    </row>
    <row r="988" spans="1:13" s="4" customFormat="1" ht="14.25" customHeight="1" x14ac:dyDescent="0.25">
      <c r="A988" s="4" t="s">
        <v>1900</v>
      </c>
      <c r="B988" s="4" t="s">
        <v>38</v>
      </c>
      <c r="C988" s="4" t="s">
        <v>14</v>
      </c>
      <c r="D988" s="35">
        <v>10318</v>
      </c>
      <c r="E988" s="4" t="s">
        <v>1901</v>
      </c>
      <c r="F988" s="5">
        <v>40909</v>
      </c>
      <c r="G988" s="5">
        <v>41274</v>
      </c>
      <c r="H988" s="4" t="s">
        <v>40</v>
      </c>
      <c r="I988" s="6">
        <v>2823.35</v>
      </c>
      <c r="J988" s="6">
        <v>2823.35</v>
      </c>
      <c r="K988" s="37" t="s">
        <v>790</v>
      </c>
      <c r="L988" s="119"/>
      <c r="M988" s="3"/>
    </row>
    <row r="989" spans="1:13" s="4" customFormat="1" ht="14.25" customHeight="1" x14ac:dyDescent="0.25">
      <c r="A989" s="4" t="s">
        <v>1902</v>
      </c>
      <c r="B989" s="4" t="s">
        <v>38</v>
      </c>
      <c r="C989" s="4" t="s">
        <v>14</v>
      </c>
      <c r="D989" s="35">
        <v>10319</v>
      </c>
      <c r="E989" s="4" t="s">
        <v>1903</v>
      </c>
      <c r="F989" s="5">
        <v>40909</v>
      </c>
      <c r="G989" s="5">
        <v>41274</v>
      </c>
      <c r="H989" s="4" t="s">
        <v>40</v>
      </c>
      <c r="I989" s="6">
        <v>10900.97</v>
      </c>
      <c r="J989" s="6">
        <v>10900.97</v>
      </c>
      <c r="K989" s="37" t="s">
        <v>790</v>
      </c>
      <c r="L989" s="119"/>
      <c r="M989" s="3"/>
    </row>
    <row r="990" spans="1:13" s="4" customFormat="1" ht="14.25" customHeight="1" x14ac:dyDescent="0.25">
      <c r="A990" s="4" t="s">
        <v>1904</v>
      </c>
      <c r="B990" s="4" t="s">
        <v>38</v>
      </c>
      <c r="C990" s="4" t="s">
        <v>14</v>
      </c>
      <c r="D990" s="35">
        <v>10321</v>
      </c>
      <c r="E990" s="4" t="s">
        <v>1362</v>
      </c>
      <c r="F990" s="5">
        <v>40909</v>
      </c>
      <c r="G990" s="5">
        <v>41639</v>
      </c>
      <c r="H990" s="4" t="s">
        <v>40</v>
      </c>
      <c r="I990" s="6">
        <v>28584.05</v>
      </c>
      <c r="J990" s="6">
        <f>27502.55+1081.5</f>
        <v>28584.05</v>
      </c>
      <c r="K990" s="37" t="s">
        <v>790</v>
      </c>
      <c r="L990" s="119"/>
      <c r="M990" s="3"/>
    </row>
    <row r="991" spans="1:13" s="4" customFormat="1" ht="14.25" customHeight="1" x14ac:dyDescent="0.25">
      <c r="A991" s="4" t="s">
        <v>1905</v>
      </c>
      <c r="B991" s="4" t="s">
        <v>38</v>
      </c>
      <c r="C991" s="4" t="s">
        <v>14</v>
      </c>
      <c r="D991" s="35">
        <v>10322</v>
      </c>
      <c r="E991" s="4" t="s">
        <v>1324</v>
      </c>
      <c r="F991" s="5">
        <v>40909</v>
      </c>
      <c r="G991" s="5">
        <v>41274</v>
      </c>
      <c r="H991" s="4" t="s">
        <v>40</v>
      </c>
      <c r="I991" s="6">
        <v>983</v>
      </c>
      <c r="J991" s="6">
        <v>983</v>
      </c>
      <c r="K991" s="37" t="s">
        <v>790</v>
      </c>
      <c r="L991" s="119"/>
      <c r="M991" s="3"/>
    </row>
    <row r="992" spans="1:13" s="4" customFormat="1" ht="14.25" customHeight="1" x14ac:dyDescent="0.25">
      <c r="A992" s="4" t="s">
        <v>1906</v>
      </c>
      <c r="B992" s="4" t="s">
        <v>38</v>
      </c>
      <c r="C992" s="4" t="s">
        <v>14</v>
      </c>
      <c r="D992" s="35">
        <v>10323</v>
      </c>
      <c r="E992" s="4" t="s">
        <v>1907</v>
      </c>
      <c r="F992" s="5">
        <v>40909</v>
      </c>
      <c r="G992" s="5">
        <v>41274</v>
      </c>
      <c r="H992" s="4" t="s">
        <v>40</v>
      </c>
      <c r="I992" s="6">
        <v>3009.24</v>
      </c>
      <c r="J992" s="6">
        <v>3009.24</v>
      </c>
      <c r="K992" s="37" t="s">
        <v>790</v>
      </c>
      <c r="L992" s="119"/>
      <c r="M992" s="3"/>
    </row>
    <row r="993" spans="1:13" s="4" customFormat="1" ht="14.25" customHeight="1" x14ac:dyDescent="0.25">
      <c r="A993" s="4" t="s">
        <v>1908</v>
      </c>
      <c r="B993" s="4" t="s">
        <v>38</v>
      </c>
      <c r="C993" s="4" t="s">
        <v>14</v>
      </c>
      <c r="D993" s="35">
        <v>10324</v>
      </c>
      <c r="E993" s="7" t="s">
        <v>1909</v>
      </c>
      <c r="F993" s="5">
        <v>40909</v>
      </c>
      <c r="G993" s="5">
        <v>41274</v>
      </c>
      <c r="H993" s="4" t="s">
        <v>40</v>
      </c>
      <c r="I993" s="6">
        <v>1112.24</v>
      </c>
      <c r="J993" s="6">
        <v>1112.24</v>
      </c>
      <c r="K993" s="37" t="s">
        <v>790</v>
      </c>
      <c r="L993" s="119"/>
      <c r="M993" s="3"/>
    </row>
    <row r="994" spans="1:13" s="4" customFormat="1" ht="14.25" customHeight="1" x14ac:dyDescent="0.25">
      <c r="A994" s="4" t="s">
        <v>1910</v>
      </c>
      <c r="B994" s="4" t="s">
        <v>38</v>
      </c>
      <c r="C994" s="4" t="s">
        <v>14</v>
      </c>
      <c r="D994" s="35">
        <v>10325</v>
      </c>
      <c r="E994" s="7" t="s">
        <v>1911</v>
      </c>
      <c r="F994" s="5">
        <v>40909</v>
      </c>
      <c r="G994" s="5">
        <v>41274</v>
      </c>
      <c r="H994" s="4" t="s">
        <v>40</v>
      </c>
      <c r="I994" s="6">
        <v>1167.55</v>
      </c>
      <c r="J994" s="6">
        <v>1167.55</v>
      </c>
      <c r="K994" s="37" t="s">
        <v>790</v>
      </c>
      <c r="L994" s="119"/>
      <c r="M994" s="3"/>
    </row>
    <row r="995" spans="1:13" s="4" customFormat="1" ht="14.25" customHeight="1" x14ac:dyDescent="0.25">
      <c r="A995" s="4" t="s">
        <v>1912</v>
      </c>
      <c r="B995" s="4" t="s">
        <v>38</v>
      </c>
      <c r="C995" s="4" t="s">
        <v>14</v>
      </c>
      <c r="D995" s="35">
        <v>10326</v>
      </c>
      <c r="E995" s="4" t="s">
        <v>1913</v>
      </c>
      <c r="F995" s="5">
        <v>40909</v>
      </c>
      <c r="G995" s="5">
        <v>41639</v>
      </c>
      <c r="H995" s="4" t="s">
        <v>40</v>
      </c>
      <c r="I995" s="6">
        <v>5964.21</v>
      </c>
      <c r="J995" s="6">
        <f>2869.21+3095</f>
        <v>5964.21</v>
      </c>
      <c r="K995" s="37" t="s">
        <v>790</v>
      </c>
      <c r="L995" s="119"/>
      <c r="M995" s="3"/>
    </row>
    <row r="996" spans="1:13" s="4" customFormat="1" ht="14.25" customHeight="1" x14ac:dyDescent="0.25">
      <c r="A996" s="4" t="s">
        <v>1647</v>
      </c>
      <c r="B996" s="4" t="s">
        <v>38</v>
      </c>
      <c r="C996" s="4" t="s">
        <v>14</v>
      </c>
      <c r="D996" s="35">
        <v>10327</v>
      </c>
      <c r="E996" s="4" t="s">
        <v>1648</v>
      </c>
      <c r="F996" s="5">
        <v>40909</v>
      </c>
      <c r="G996" s="5">
        <v>41060</v>
      </c>
      <c r="H996" s="4" t="s">
        <v>40</v>
      </c>
      <c r="I996" s="6">
        <v>9491.68</v>
      </c>
      <c r="J996" s="6">
        <v>9491.68</v>
      </c>
      <c r="K996" s="37" t="s">
        <v>790</v>
      </c>
      <c r="L996" s="119"/>
      <c r="M996" s="3"/>
    </row>
    <row r="997" spans="1:13" s="4" customFormat="1" ht="14.25" customHeight="1" x14ac:dyDescent="0.25">
      <c r="A997" s="4" t="s">
        <v>1914</v>
      </c>
      <c r="B997" s="4" t="s">
        <v>183</v>
      </c>
      <c r="C997" s="4" t="s">
        <v>14</v>
      </c>
      <c r="D997" s="35">
        <v>10348</v>
      </c>
      <c r="E997" s="4" t="s">
        <v>1915</v>
      </c>
      <c r="F997" s="5">
        <v>41071</v>
      </c>
      <c r="G997" s="5">
        <v>41274</v>
      </c>
      <c r="H997" s="4" t="s">
        <v>40</v>
      </c>
      <c r="I997" s="6">
        <v>20000</v>
      </c>
      <c r="J997" s="6">
        <v>20000</v>
      </c>
      <c r="K997" s="37" t="s">
        <v>790</v>
      </c>
      <c r="L997" s="119"/>
      <c r="M997" s="3"/>
    </row>
    <row r="998" spans="1:13" s="4" customFormat="1" ht="14.25" customHeight="1" x14ac:dyDescent="0.25">
      <c r="A998" s="4" t="s">
        <v>1918</v>
      </c>
      <c r="B998" s="4" t="s">
        <v>183</v>
      </c>
      <c r="C998" s="4" t="s">
        <v>14</v>
      </c>
      <c r="D998" s="35">
        <v>10357</v>
      </c>
      <c r="E998" s="4" t="s">
        <v>1919</v>
      </c>
      <c r="F998" s="5">
        <v>41071</v>
      </c>
      <c r="G998" s="5">
        <v>41274</v>
      </c>
      <c r="H998" s="4" t="s">
        <v>40</v>
      </c>
      <c r="I998" s="6">
        <v>50344</v>
      </c>
      <c r="J998" s="6">
        <v>35797</v>
      </c>
      <c r="K998" s="37" t="s">
        <v>790</v>
      </c>
      <c r="L998" s="119"/>
      <c r="M998" s="3"/>
    </row>
    <row r="999" spans="1:13" s="4" customFormat="1" ht="14.25" customHeight="1" x14ac:dyDescent="0.25">
      <c r="A999" s="4" t="s">
        <v>1920</v>
      </c>
      <c r="B999" s="4" t="s">
        <v>38</v>
      </c>
      <c r="C999" s="4" t="s">
        <v>14</v>
      </c>
      <c r="D999" s="35">
        <v>10360</v>
      </c>
      <c r="E999" s="4" t="s">
        <v>1921</v>
      </c>
      <c r="F999" s="5">
        <v>40909</v>
      </c>
      <c r="G999" s="5">
        <v>41274</v>
      </c>
      <c r="H999" s="4" t="s">
        <v>40</v>
      </c>
      <c r="I999" s="6">
        <v>26753.85</v>
      </c>
      <c r="J999" s="6">
        <v>26753.85</v>
      </c>
      <c r="K999" s="37" t="s">
        <v>790</v>
      </c>
      <c r="L999" s="119"/>
      <c r="M999" s="3"/>
    </row>
    <row r="1000" spans="1:13" s="4" customFormat="1" ht="14.25" customHeight="1" x14ac:dyDescent="0.25">
      <c r="A1000" s="4" t="s">
        <v>1922</v>
      </c>
      <c r="B1000" s="4" t="s">
        <v>38</v>
      </c>
      <c r="C1000" s="4" t="s">
        <v>14</v>
      </c>
      <c r="D1000" s="35">
        <v>10362</v>
      </c>
      <c r="E1000" s="7" t="s">
        <v>1923</v>
      </c>
      <c r="F1000" s="5">
        <v>40909</v>
      </c>
      <c r="G1000" s="5">
        <v>41274</v>
      </c>
      <c r="H1000" s="4" t="s">
        <v>40</v>
      </c>
      <c r="I1000" s="6">
        <v>4652.5600000000004</v>
      </c>
      <c r="J1000" s="6">
        <v>4652.5600000000004</v>
      </c>
      <c r="K1000" s="37" t="s">
        <v>790</v>
      </c>
      <c r="L1000" s="119"/>
      <c r="M1000" s="3"/>
    </row>
    <row r="1001" spans="1:13" s="4" customFormat="1" ht="14.25" customHeight="1" x14ac:dyDescent="0.25">
      <c r="A1001" s="4" t="s">
        <v>1924</v>
      </c>
      <c r="B1001" s="4" t="s">
        <v>38</v>
      </c>
      <c r="C1001" s="4" t="s">
        <v>14</v>
      </c>
      <c r="D1001" s="35">
        <v>10363</v>
      </c>
      <c r="E1001" s="4" t="s">
        <v>1925</v>
      </c>
      <c r="F1001" s="5">
        <v>40909</v>
      </c>
      <c r="G1001" s="5">
        <v>41274</v>
      </c>
      <c r="H1001" s="4" t="s">
        <v>40</v>
      </c>
      <c r="I1001" s="6">
        <v>13140.6</v>
      </c>
      <c r="J1001" s="6">
        <v>13140.6</v>
      </c>
      <c r="K1001" s="37" t="s">
        <v>790</v>
      </c>
      <c r="L1001" s="119"/>
      <c r="M1001" s="3"/>
    </row>
    <row r="1002" spans="1:13" s="4" customFormat="1" ht="14.25" customHeight="1" x14ac:dyDescent="0.25">
      <c r="A1002" s="4" t="s">
        <v>1926</v>
      </c>
      <c r="B1002" s="4" t="s">
        <v>38</v>
      </c>
      <c r="C1002" s="4" t="s">
        <v>14</v>
      </c>
      <c r="D1002" s="35">
        <v>10364</v>
      </c>
      <c r="E1002" s="4" t="s">
        <v>1927</v>
      </c>
      <c r="F1002" s="5">
        <v>41153</v>
      </c>
      <c r="H1002" s="4" t="s">
        <v>40</v>
      </c>
      <c r="I1002" s="6">
        <v>1566.4</v>
      </c>
      <c r="J1002" s="6">
        <v>1566.4</v>
      </c>
      <c r="K1002" s="37" t="s">
        <v>790</v>
      </c>
      <c r="L1002" s="119"/>
      <c r="M1002" s="3"/>
    </row>
    <row r="1003" spans="1:13" s="4" customFormat="1" ht="14.25" customHeight="1" x14ac:dyDescent="0.25">
      <c r="A1003" s="4" t="s">
        <v>1885</v>
      </c>
      <c r="B1003" s="4" t="s">
        <v>38</v>
      </c>
      <c r="C1003" s="4" t="s">
        <v>14</v>
      </c>
      <c r="D1003" s="35">
        <v>10366</v>
      </c>
      <c r="E1003" s="7" t="s">
        <v>1928</v>
      </c>
      <c r="F1003" s="5">
        <v>40909</v>
      </c>
      <c r="G1003" s="5">
        <v>41274</v>
      </c>
      <c r="H1003" s="4" t="s">
        <v>40</v>
      </c>
      <c r="I1003" s="6">
        <v>3929.15</v>
      </c>
      <c r="J1003" s="6">
        <v>3929.15</v>
      </c>
      <c r="K1003" s="37" t="s">
        <v>790</v>
      </c>
      <c r="L1003" s="119"/>
      <c r="M1003" s="3"/>
    </row>
    <row r="1004" spans="1:13" s="4" customFormat="1" ht="14.25" customHeight="1" x14ac:dyDescent="0.25">
      <c r="A1004" s="4" t="s">
        <v>1929</v>
      </c>
      <c r="B1004" s="4" t="s">
        <v>38</v>
      </c>
      <c r="C1004" s="4" t="s">
        <v>14</v>
      </c>
      <c r="D1004" s="35">
        <v>10367</v>
      </c>
      <c r="E1004" s="7" t="s">
        <v>1930</v>
      </c>
      <c r="F1004" s="5">
        <v>40909</v>
      </c>
      <c r="G1004" s="5">
        <v>41274</v>
      </c>
      <c r="H1004" s="4" t="s">
        <v>40</v>
      </c>
      <c r="I1004" s="6">
        <v>601.4</v>
      </c>
      <c r="J1004" s="6">
        <v>601.4</v>
      </c>
      <c r="K1004" s="37" t="s">
        <v>790</v>
      </c>
      <c r="L1004" s="119"/>
      <c r="M1004" s="3"/>
    </row>
    <row r="1005" spans="1:13" s="4" customFormat="1" ht="14.25" customHeight="1" x14ac:dyDescent="0.25">
      <c r="A1005" s="4" t="s">
        <v>1931</v>
      </c>
      <c r="B1005" s="4" t="s">
        <v>38</v>
      </c>
      <c r="C1005" s="4" t="s">
        <v>14</v>
      </c>
      <c r="D1005" s="35">
        <v>10368</v>
      </c>
      <c r="E1005" s="4" t="s">
        <v>1932</v>
      </c>
      <c r="F1005" s="5">
        <v>40909</v>
      </c>
      <c r="G1005" s="5">
        <v>41274</v>
      </c>
      <c r="H1005" s="4" t="s">
        <v>40</v>
      </c>
      <c r="I1005" s="6">
        <v>226.32</v>
      </c>
      <c r="J1005" s="6">
        <v>226.32</v>
      </c>
      <c r="K1005" s="37" t="s">
        <v>790</v>
      </c>
      <c r="L1005" s="119"/>
      <c r="M1005" s="3"/>
    </row>
    <row r="1006" spans="1:13" s="4" customFormat="1" ht="14.25" customHeight="1" x14ac:dyDescent="0.25">
      <c r="A1006" s="4" t="s">
        <v>1933</v>
      </c>
      <c r="B1006" s="4" t="s">
        <v>38</v>
      </c>
      <c r="C1006" s="4" t="s">
        <v>14</v>
      </c>
      <c r="D1006" s="35">
        <v>10369</v>
      </c>
      <c r="E1006" s="4" t="s">
        <v>1934</v>
      </c>
      <c r="F1006" s="5">
        <v>40909</v>
      </c>
      <c r="G1006" s="5">
        <v>41274</v>
      </c>
      <c r="H1006" s="4" t="s">
        <v>40</v>
      </c>
      <c r="I1006" s="6">
        <v>3069.19</v>
      </c>
      <c r="J1006" s="6">
        <v>3069.19</v>
      </c>
      <c r="K1006" s="37" t="s">
        <v>790</v>
      </c>
      <c r="L1006" s="119"/>
      <c r="M1006" s="3"/>
    </row>
    <row r="1007" spans="1:13" s="4" customFormat="1" ht="14.25" customHeight="1" x14ac:dyDescent="0.25">
      <c r="A1007" s="4" t="s">
        <v>1935</v>
      </c>
      <c r="B1007" s="4" t="s">
        <v>38</v>
      </c>
      <c r="C1007" s="4" t="s">
        <v>14</v>
      </c>
      <c r="D1007" s="35">
        <v>10370</v>
      </c>
      <c r="E1007" s="4" t="s">
        <v>1936</v>
      </c>
      <c r="F1007" s="5">
        <v>40909</v>
      </c>
      <c r="G1007" s="5">
        <v>41274</v>
      </c>
      <c r="H1007" s="4" t="s">
        <v>40</v>
      </c>
      <c r="I1007" s="6">
        <v>325.7</v>
      </c>
      <c r="J1007" s="6">
        <v>325.7</v>
      </c>
      <c r="K1007" s="37" t="s">
        <v>790</v>
      </c>
      <c r="L1007" s="119"/>
      <c r="M1007" s="3"/>
    </row>
    <row r="1008" spans="1:13" s="4" customFormat="1" ht="14.25" customHeight="1" x14ac:dyDescent="0.25">
      <c r="A1008" s="4" t="s">
        <v>1937</v>
      </c>
      <c r="B1008" s="4" t="s">
        <v>38</v>
      </c>
      <c r="C1008" s="4" t="s">
        <v>14</v>
      </c>
      <c r="D1008" s="35">
        <v>10371</v>
      </c>
      <c r="E1008" s="4" t="s">
        <v>1938</v>
      </c>
      <c r="F1008" s="5">
        <v>40909</v>
      </c>
      <c r="G1008" s="5">
        <v>41274</v>
      </c>
      <c r="H1008" s="4" t="s">
        <v>40</v>
      </c>
      <c r="I1008" s="6">
        <v>311.60000000000002</v>
      </c>
      <c r="J1008" s="6">
        <f>311.6</f>
        <v>311.60000000000002</v>
      </c>
      <c r="K1008" s="37" t="s">
        <v>790</v>
      </c>
      <c r="L1008" s="119"/>
      <c r="M1008" s="3"/>
    </row>
    <row r="1009" spans="1:13" s="4" customFormat="1" ht="14.25" customHeight="1" x14ac:dyDescent="0.25">
      <c r="A1009" s="4" t="s">
        <v>1939</v>
      </c>
      <c r="B1009" s="4" t="s">
        <v>38</v>
      </c>
      <c r="C1009" s="4" t="s">
        <v>14</v>
      </c>
      <c r="D1009" s="35">
        <v>10372</v>
      </c>
      <c r="E1009" s="4" t="s">
        <v>1940</v>
      </c>
      <c r="F1009" s="5">
        <v>40909</v>
      </c>
      <c r="G1009" s="5">
        <v>41274</v>
      </c>
      <c r="H1009" s="4" t="s">
        <v>40</v>
      </c>
      <c r="I1009" s="6">
        <v>311.60000000000002</v>
      </c>
      <c r="J1009" s="6">
        <v>311.60000000000002</v>
      </c>
      <c r="K1009" s="37" t="s">
        <v>790</v>
      </c>
      <c r="L1009" s="119"/>
      <c r="M1009" s="3"/>
    </row>
    <row r="1010" spans="1:13" s="4" customFormat="1" ht="14.25" customHeight="1" x14ac:dyDescent="0.25">
      <c r="A1010" s="4" t="s">
        <v>1941</v>
      </c>
      <c r="B1010" s="4" t="s">
        <v>38</v>
      </c>
      <c r="C1010" s="4" t="s">
        <v>14</v>
      </c>
      <c r="D1010" s="35">
        <v>10373</v>
      </c>
      <c r="E1010" s="4" t="s">
        <v>1942</v>
      </c>
      <c r="F1010" s="5">
        <v>40909</v>
      </c>
      <c r="G1010" s="5">
        <v>41274</v>
      </c>
      <c r="H1010" s="4" t="s">
        <v>40</v>
      </c>
      <c r="I1010" s="6">
        <v>6331.1</v>
      </c>
      <c r="J1010" s="6">
        <v>6331.1</v>
      </c>
      <c r="K1010" s="37" t="s">
        <v>790</v>
      </c>
      <c r="L1010" s="119"/>
      <c r="M1010" s="3"/>
    </row>
    <row r="1011" spans="1:13" s="4" customFormat="1" ht="14.25" customHeight="1" x14ac:dyDescent="0.25">
      <c r="A1011" s="4" t="s">
        <v>1943</v>
      </c>
      <c r="B1011" s="4" t="s">
        <v>38</v>
      </c>
      <c r="C1011" s="4" t="s">
        <v>14</v>
      </c>
      <c r="D1011" s="35">
        <v>10374</v>
      </c>
      <c r="E1011" s="7" t="s">
        <v>1944</v>
      </c>
      <c r="F1011" s="5">
        <v>40909</v>
      </c>
      <c r="G1011" s="5">
        <v>41274</v>
      </c>
      <c r="H1011" s="4" t="s">
        <v>40</v>
      </c>
      <c r="I1011" s="6">
        <v>2548.4499999999998</v>
      </c>
      <c r="J1011" s="6">
        <v>2548.4499999999998</v>
      </c>
      <c r="K1011" s="37" t="s">
        <v>790</v>
      </c>
      <c r="L1011" s="119"/>
      <c r="M1011" s="3"/>
    </row>
    <row r="1012" spans="1:13" s="4" customFormat="1" ht="14.25" customHeight="1" x14ac:dyDescent="0.25">
      <c r="A1012" s="4" t="s">
        <v>1893</v>
      </c>
      <c r="B1012" s="4" t="s">
        <v>38</v>
      </c>
      <c r="C1012" s="4" t="s">
        <v>14</v>
      </c>
      <c r="D1012" s="35">
        <v>10375</v>
      </c>
      <c r="E1012" s="4" t="s">
        <v>1945</v>
      </c>
      <c r="F1012" s="5">
        <v>40909</v>
      </c>
      <c r="G1012" s="5">
        <v>41274</v>
      </c>
      <c r="H1012" s="4" t="s">
        <v>40</v>
      </c>
      <c r="I1012" s="6">
        <v>5340</v>
      </c>
      <c r="J1012" s="6">
        <v>5340</v>
      </c>
      <c r="K1012" s="37" t="s">
        <v>790</v>
      </c>
      <c r="L1012" s="119"/>
      <c r="M1012" s="3"/>
    </row>
    <row r="1013" spans="1:13" s="4" customFormat="1" ht="14.25" customHeight="1" x14ac:dyDescent="0.25">
      <c r="A1013" s="4" t="s">
        <v>1946</v>
      </c>
      <c r="B1013" s="4" t="s">
        <v>38</v>
      </c>
      <c r="C1013" s="4" t="s">
        <v>14</v>
      </c>
      <c r="D1013" s="35">
        <v>10376</v>
      </c>
      <c r="E1013" s="4" t="s">
        <v>1947</v>
      </c>
      <c r="F1013" s="5">
        <v>40909</v>
      </c>
      <c r="G1013" s="5">
        <v>41274</v>
      </c>
      <c r="H1013" s="4" t="s">
        <v>40</v>
      </c>
      <c r="I1013" s="6">
        <v>400</v>
      </c>
      <c r="J1013" s="6">
        <v>400</v>
      </c>
      <c r="K1013" s="37" t="s">
        <v>790</v>
      </c>
      <c r="L1013" s="119"/>
      <c r="M1013" s="3"/>
    </row>
    <row r="1014" spans="1:13" s="4" customFormat="1" ht="14.25" customHeight="1" x14ac:dyDescent="0.25">
      <c r="A1014" s="4" t="s">
        <v>1948</v>
      </c>
      <c r="B1014" s="4" t="s">
        <v>38</v>
      </c>
      <c r="C1014" s="4" t="s">
        <v>14</v>
      </c>
      <c r="D1014" s="35">
        <v>10377</v>
      </c>
      <c r="E1014" s="4" t="s">
        <v>1949</v>
      </c>
      <c r="F1014" s="5">
        <v>40909</v>
      </c>
      <c r="G1014" s="5">
        <v>41274</v>
      </c>
      <c r="H1014" s="4" t="s">
        <v>40</v>
      </c>
      <c r="I1014" s="6">
        <v>5042.05</v>
      </c>
      <c r="J1014" s="6">
        <v>5042.05</v>
      </c>
      <c r="K1014" s="37" t="s">
        <v>790</v>
      </c>
      <c r="L1014" s="119"/>
      <c r="M1014" s="3"/>
    </row>
    <row r="1015" spans="1:13" s="4" customFormat="1" ht="14.25" customHeight="1" x14ac:dyDescent="0.25">
      <c r="A1015" s="4" t="s">
        <v>1950</v>
      </c>
      <c r="B1015" s="4" t="s">
        <v>38</v>
      </c>
      <c r="C1015" s="4" t="s">
        <v>14</v>
      </c>
      <c r="D1015" s="35">
        <v>10379</v>
      </c>
      <c r="E1015" s="4" t="s">
        <v>1951</v>
      </c>
      <c r="F1015" s="5">
        <v>40909</v>
      </c>
      <c r="G1015" s="5">
        <v>41274</v>
      </c>
      <c r="H1015" s="4" t="s">
        <v>40</v>
      </c>
      <c r="I1015" s="6">
        <v>1923.2</v>
      </c>
      <c r="J1015" s="6">
        <v>1923.2</v>
      </c>
      <c r="K1015" s="37" t="s">
        <v>790</v>
      </c>
      <c r="L1015" s="119"/>
      <c r="M1015" s="3"/>
    </row>
    <row r="1016" spans="1:13" s="4" customFormat="1" ht="14.25" customHeight="1" x14ac:dyDescent="0.25">
      <c r="A1016" s="4" t="s">
        <v>1952</v>
      </c>
      <c r="B1016" s="4" t="s">
        <v>38</v>
      </c>
      <c r="C1016" s="4" t="s">
        <v>14</v>
      </c>
      <c r="D1016" s="35">
        <v>10380</v>
      </c>
      <c r="E1016" s="4" t="s">
        <v>1953</v>
      </c>
      <c r="F1016" s="5">
        <v>40909</v>
      </c>
      <c r="G1016" s="5">
        <v>41274</v>
      </c>
      <c r="H1016" s="4" t="s">
        <v>40</v>
      </c>
      <c r="I1016" s="6">
        <v>1872.67</v>
      </c>
      <c r="J1016" s="6">
        <v>1872.67</v>
      </c>
      <c r="K1016" s="37" t="s">
        <v>790</v>
      </c>
      <c r="L1016" s="119"/>
      <c r="M1016" s="3"/>
    </row>
    <row r="1017" spans="1:13" s="4" customFormat="1" ht="14.25" customHeight="1" x14ac:dyDescent="0.25">
      <c r="A1017" s="4" t="s">
        <v>1954</v>
      </c>
      <c r="B1017" s="4" t="s">
        <v>38</v>
      </c>
      <c r="C1017" s="4" t="s">
        <v>14</v>
      </c>
      <c r="D1017" s="35">
        <v>10381</v>
      </c>
      <c r="E1017" s="4" t="s">
        <v>1955</v>
      </c>
      <c r="F1017" s="5">
        <v>40909</v>
      </c>
      <c r="G1017" s="5">
        <v>41274</v>
      </c>
      <c r="H1017" s="4" t="s">
        <v>40</v>
      </c>
      <c r="I1017" s="6">
        <v>2077</v>
      </c>
      <c r="J1017" s="6">
        <v>2077</v>
      </c>
      <c r="K1017" s="37" t="s">
        <v>790</v>
      </c>
      <c r="L1017" s="119"/>
      <c r="M1017" s="3"/>
    </row>
    <row r="1018" spans="1:13" s="4" customFormat="1" ht="14.25" customHeight="1" x14ac:dyDescent="0.25">
      <c r="A1018" s="4" t="s">
        <v>1956</v>
      </c>
      <c r="B1018" s="4" t="s">
        <v>38</v>
      </c>
      <c r="C1018" s="4" t="s">
        <v>14</v>
      </c>
      <c r="D1018" s="35">
        <v>10382</v>
      </c>
      <c r="E1018" s="4" t="s">
        <v>1957</v>
      </c>
      <c r="F1018" s="5">
        <v>40909</v>
      </c>
      <c r="G1018" s="5">
        <v>41274</v>
      </c>
      <c r="H1018" s="4" t="s">
        <v>40</v>
      </c>
      <c r="I1018" s="6">
        <v>4340.67</v>
      </c>
      <c r="J1018" s="6">
        <v>4340.67</v>
      </c>
      <c r="K1018" s="37" t="s">
        <v>790</v>
      </c>
      <c r="L1018" s="119"/>
      <c r="M1018" s="3"/>
    </row>
    <row r="1019" spans="1:13" s="4" customFormat="1" ht="14.25" customHeight="1" x14ac:dyDescent="0.25">
      <c r="A1019" s="4" t="s">
        <v>1958</v>
      </c>
      <c r="B1019" s="4" t="s">
        <v>38</v>
      </c>
      <c r="C1019" s="4" t="s">
        <v>14</v>
      </c>
      <c r="D1019" s="35">
        <v>10383</v>
      </c>
      <c r="E1019" s="4" t="s">
        <v>1837</v>
      </c>
      <c r="F1019" s="5">
        <v>40909</v>
      </c>
      <c r="G1019" s="5">
        <v>41274</v>
      </c>
      <c r="H1019" s="4" t="s">
        <v>40</v>
      </c>
      <c r="I1019" s="6">
        <v>4000</v>
      </c>
      <c r="J1019" s="6">
        <v>2000</v>
      </c>
      <c r="K1019" s="37" t="s">
        <v>790</v>
      </c>
      <c r="L1019" s="119"/>
      <c r="M1019" s="3"/>
    </row>
    <row r="1020" spans="1:13" s="4" customFormat="1" ht="14.25" customHeight="1" x14ac:dyDescent="0.25">
      <c r="A1020" s="4" t="s">
        <v>1959</v>
      </c>
      <c r="B1020" s="4" t="s">
        <v>38</v>
      </c>
      <c r="C1020" s="4" t="s">
        <v>14</v>
      </c>
      <c r="D1020" s="35">
        <v>10384</v>
      </c>
      <c r="E1020" s="4" t="s">
        <v>1960</v>
      </c>
      <c r="F1020" s="5">
        <v>40909</v>
      </c>
      <c r="G1020" s="5">
        <v>41274</v>
      </c>
      <c r="H1020" s="4" t="s">
        <v>40</v>
      </c>
      <c r="I1020" s="6">
        <v>949.1</v>
      </c>
      <c r="J1020" s="6">
        <v>949.1</v>
      </c>
      <c r="K1020" s="37" t="s">
        <v>790</v>
      </c>
      <c r="L1020" s="119"/>
      <c r="M1020" s="3"/>
    </row>
    <row r="1021" spans="1:13" s="4" customFormat="1" ht="14.25" customHeight="1" x14ac:dyDescent="0.25">
      <c r="A1021" s="4" t="s">
        <v>1961</v>
      </c>
      <c r="B1021" s="4" t="s">
        <v>38</v>
      </c>
      <c r="C1021" s="4" t="s">
        <v>14</v>
      </c>
      <c r="D1021" s="35">
        <v>10385</v>
      </c>
      <c r="E1021" s="7" t="s">
        <v>1962</v>
      </c>
      <c r="F1021" s="5">
        <v>40909</v>
      </c>
      <c r="G1021" s="5">
        <v>41274</v>
      </c>
      <c r="H1021" s="4" t="s">
        <v>40</v>
      </c>
      <c r="I1021" s="6">
        <v>5306.37</v>
      </c>
      <c r="J1021" s="6">
        <v>5306.37</v>
      </c>
      <c r="K1021" s="37" t="s">
        <v>790</v>
      </c>
      <c r="L1021" s="119"/>
      <c r="M1021" s="3"/>
    </row>
    <row r="1022" spans="1:13" s="4" customFormat="1" ht="14.25" customHeight="1" x14ac:dyDescent="0.25">
      <c r="A1022" s="4" t="s">
        <v>1963</v>
      </c>
      <c r="B1022" s="4" t="s">
        <v>38</v>
      </c>
      <c r="C1022" s="4" t="s">
        <v>14</v>
      </c>
      <c r="D1022" s="35">
        <v>10386</v>
      </c>
      <c r="E1022" s="4" t="s">
        <v>1964</v>
      </c>
      <c r="F1022" s="5">
        <v>40909</v>
      </c>
      <c r="G1022" s="5">
        <v>41274</v>
      </c>
      <c r="H1022" s="4" t="s">
        <v>40</v>
      </c>
      <c r="I1022" s="6">
        <v>1361</v>
      </c>
      <c r="J1022" s="6">
        <v>1361</v>
      </c>
      <c r="K1022" s="37" t="s">
        <v>790</v>
      </c>
      <c r="L1022" s="119"/>
      <c r="M1022" s="3"/>
    </row>
    <row r="1023" spans="1:13" s="4" customFormat="1" ht="14.25" customHeight="1" x14ac:dyDescent="0.25">
      <c r="A1023" s="4" t="s">
        <v>1965</v>
      </c>
      <c r="B1023" s="4" t="s">
        <v>38</v>
      </c>
      <c r="C1023" s="4" t="s">
        <v>14</v>
      </c>
      <c r="D1023" s="35">
        <v>10387</v>
      </c>
      <c r="E1023" s="4" t="s">
        <v>1966</v>
      </c>
      <c r="F1023" s="5">
        <v>40909</v>
      </c>
      <c r="G1023" s="5">
        <v>41274</v>
      </c>
      <c r="H1023" s="4" t="s">
        <v>40</v>
      </c>
      <c r="I1023" s="6">
        <v>18510.25</v>
      </c>
      <c r="J1023" s="6">
        <v>18510.25</v>
      </c>
      <c r="K1023" s="37" t="s">
        <v>790</v>
      </c>
      <c r="L1023" s="119"/>
      <c r="M1023" s="3"/>
    </row>
    <row r="1024" spans="1:13" s="4" customFormat="1" ht="14.25" customHeight="1" x14ac:dyDescent="0.25">
      <c r="A1024" s="4" t="s">
        <v>1967</v>
      </c>
      <c r="B1024" s="4" t="s">
        <v>38</v>
      </c>
      <c r="C1024" s="4" t="s">
        <v>14</v>
      </c>
      <c r="D1024" s="35">
        <v>10388</v>
      </c>
      <c r="E1024" s="4" t="s">
        <v>1968</v>
      </c>
      <c r="F1024" s="5">
        <v>40909</v>
      </c>
      <c r="G1024" s="5">
        <v>41274</v>
      </c>
      <c r="H1024" s="4" t="s">
        <v>40</v>
      </c>
      <c r="I1024" s="6">
        <v>2937.62</v>
      </c>
      <c r="J1024" s="6">
        <v>2937.62</v>
      </c>
      <c r="K1024" s="37" t="s">
        <v>790</v>
      </c>
      <c r="L1024" s="119"/>
      <c r="M1024" s="3"/>
    </row>
    <row r="1025" spans="1:13" s="4" customFormat="1" ht="14.25" customHeight="1" x14ac:dyDescent="0.25">
      <c r="A1025" s="4" t="s">
        <v>1969</v>
      </c>
      <c r="B1025" s="4" t="s">
        <v>38</v>
      </c>
      <c r="C1025" s="4" t="s">
        <v>14</v>
      </c>
      <c r="D1025" s="35">
        <v>10390</v>
      </c>
      <c r="E1025" s="4" t="s">
        <v>1970</v>
      </c>
      <c r="F1025" s="5">
        <v>40909</v>
      </c>
      <c r="G1025" s="5">
        <v>41274</v>
      </c>
      <c r="H1025" s="4" t="s">
        <v>40</v>
      </c>
      <c r="I1025" s="6">
        <v>9213.83</v>
      </c>
      <c r="J1025" s="6">
        <v>5106.95</v>
      </c>
      <c r="K1025" s="37" t="s">
        <v>790</v>
      </c>
      <c r="L1025" s="119"/>
      <c r="M1025" s="3"/>
    </row>
    <row r="1026" spans="1:13" s="4" customFormat="1" ht="14.25" customHeight="1" x14ac:dyDescent="0.25">
      <c r="A1026" s="4" t="s">
        <v>1522</v>
      </c>
      <c r="B1026" s="4" t="s">
        <v>38</v>
      </c>
      <c r="C1026" s="4" t="s">
        <v>14</v>
      </c>
      <c r="D1026" s="35">
        <v>10392</v>
      </c>
      <c r="E1026" s="4" t="s">
        <v>1971</v>
      </c>
      <c r="F1026" s="5">
        <v>40909</v>
      </c>
      <c r="G1026" s="5">
        <v>41274</v>
      </c>
      <c r="H1026" s="4" t="s">
        <v>40</v>
      </c>
      <c r="I1026" s="6">
        <v>605</v>
      </c>
      <c r="J1026" s="6">
        <v>605</v>
      </c>
      <c r="K1026" s="37" t="s">
        <v>790</v>
      </c>
      <c r="L1026" s="119"/>
      <c r="M1026" s="3"/>
    </row>
    <row r="1027" spans="1:13" s="4" customFormat="1" ht="14.25" customHeight="1" x14ac:dyDescent="0.25">
      <c r="A1027" s="4" t="s">
        <v>1972</v>
      </c>
      <c r="B1027" s="4" t="s">
        <v>190</v>
      </c>
      <c r="C1027" s="4" t="s">
        <v>14</v>
      </c>
      <c r="D1027" s="35">
        <v>10869</v>
      </c>
      <c r="E1027" s="4" t="s">
        <v>1973</v>
      </c>
      <c r="F1027" s="5">
        <v>41207</v>
      </c>
      <c r="G1027" s="5">
        <v>41274</v>
      </c>
      <c r="H1027" s="4" t="s">
        <v>40</v>
      </c>
      <c r="I1027" s="6">
        <v>20960</v>
      </c>
      <c r="J1027" s="6">
        <v>10480</v>
      </c>
      <c r="K1027" s="37" t="s">
        <v>790</v>
      </c>
      <c r="L1027" s="119"/>
      <c r="M1027" s="3"/>
    </row>
    <row r="1028" spans="1:13" s="4" customFormat="1" ht="14.25" customHeight="1" x14ac:dyDescent="0.25">
      <c r="A1028" s="4" t="s">
        <v>1974</v>
      </c>
      <c r="B1028" s="4" t="s">
        <v>183</v>
      </c>
      <c r="C1028" s="4" t="s">
        <v>14</v>
      </c>
      <c r="D1028" s="35">
        <v>10870</v>
      </c>
      <c r="E1028" s="4" t="s">
        <v>1975</v>
      </c>
      <c r="F1028" s="5">
        <v>40968</v>
      </c>
      <c r="G1028" s="5">
        <v>41274</v>
      </c>
      <c r="H1028" s="4" t="s">
        <v>40</v>
      </c>
      <c r="I1028" s="6">
        <v>25038.959999999999</v>
      </c>
      <c r="J1028" s="6">
        <v>16269.48</v>
      </c>
      <c r="K1028" s="37" t="s">
        <v>790</v>
      </c>
      <c r="L1028" s="119"/>
      <c r="M1028" s="3"/>
    </row>
    <row r="1029" spans="1:13" s="4" customFormat="1" ht="14.25" customHeight="1" x14ac:dyDescent="0.25">
      <c r="A1029" s="4" t="s">
        <v>1976</v>
      </c>
      <c r="B1029" s="4" t="s">
        <v>183</v>
      </c>
      <c r="C1029" s="4" t="s">
        <v>14</v>
      </c>
      <c r="D1029" s="35">
        <v>10871</v>
      </c>
      <c r="E1029" s="4" t="s">
        <v>1977</v>
      </c>
      <c r="F1029" s="5">
        <v>40996</v>
      </c>
      <c r="G1029" s="5">
        <v>41274</v>
      </c>
      <c r="H1029" s="4" t="s">
        <v>40</v>
      </c>
      <c r="I1029" s="6">
        <v>26000</v>
      </c>
      <c r="J1029" s="6">
        <v>18000</v>
      </c>
      <c r="K1029" s="37" t="s">
        <v>790</v>
      </c>
      <c r="L1029" s="119"/>
      <c r="M1029" s="3"/>
    </row>
    <row r="1030" spans="1:13" s="4" customFormat="1" ht="14.25" customHeight="1" x14ac:dyDescent="0.25">
      <c r="A1030" s="4" t="s">
        <v>1980</v>
      </c>
      <c r="B1030" s="4" t="s">
        <v>183</v>
      </c>
      <c r="C1030" s="4" t="s">
        <v>14</v>
      </c>
      <c r="D1030" s="35">
        <v>10887</v>
      </c>
      <c r="E1030" s="4" t="s">
        <v>1981</v>
      </c>
      <c r="F1030" s="5">
        <v>41207</v>
      </c>
      <c r="G1030" s="5">
        <v>41274</v>
      </c>
      <c r="H1030" s="4" t="s">
        <v>40</v>
      </c>
      <c r="I1030" s="6">
        <v>15000</v>
      </c>
      <c r="J1030" s="6">
        <v>15000</v>
      </c>
      <c r="K1030" s="37" t="s">
        <v>790</v>
      </c>
      <c r="L1030" s="119"/>
      <c r="M1030" s="3"/>
    </row>
    <row r="1031" spans="1:13" s="4" customFormat="1" ht="14.25" customHeight="1" x14ac:dyDescent="0.25">
      <c r="A1031" s="4" t="s">
        <v>1982</v>
      </c>
      <c r="B1031" s="4" t="s">
        <v>183</v>
      </c>
      <c r="C1031" s="4" t="s">
        <v>14</v>
      </c>
      <c r="D1031" s="35">
        <v>10888</v>
      </c>
      <c r="E1031" s="4" t="s">
        <v>1983</v>
      </c>
      <c r="F1031" s="5">
        <v>41207</v>
      </c>
      <c r="G1031" s="5">
        <v>41274</v>
      </c>
      <c r="H1031" s="4" t="s">
        <v>40</v>
      </c>
      <c r="I1031" s="6">
        <f>34908.06+40000</f>
        <v>74908.06</v>
      </c>
      <c r="J1031" s="6">
        <v>44954.03</v>
      </c>
      <c r="K1031" s="37" t="s">
        <v>790</v>
      </c>
      <c r="L1031" s="119"/>
      <c r="M1031" s="3"/>
    </row>
    <row r="1032" spans="1:13" s="4" customFormat="1" ht="14.25" customHeight="1" x14ac:dyDescent="0.25">
      <c r="A1032" s="4" t="s">
        <v>1984</v>
      </c>
      <c r="B1032" s="4" t="s">
        <v>183</v>
      </c>
      <c r="C1032" s="4" t="s">
        <v>14</v>
      </c>
      <c r="D1032" s="35">
        <v>10889</v>
      </c>
      <c r="E1032" s="4" t="s">
        <v>1985</v>
      </c>
      <c r="F1032" s="5">
        <v>41046</v>
      </c>
      <c r="G1032" s="5">
        <v>41274</v>
      </c>
      <c r="H1032" s="4" t="s">
        <v>40</v>
      </c>
      <c r="I1032" s="6">
        <v>10000</v>
      </c>
      <c r="J1032" s="6">
        <v>10000</v>
      </c>
      <c r="K1032" s="37" t="s">
        <v>790</v>
      </c>
      <c r="L1032" s="119"/>
      <c r="M1032" s="3"/>
    </row>
    <row r="1033" spans="1:13" s="4" customFormat="1" ht="14.25" customHeight="1" x14ac:dyDescent="0.25">
      <c r="A1033" s="4" t="s">
        <v>1986</v>
      </c>
      <c r="B1033" s="4" t="s">
        <v>190</v>
      </c>
      <c r="C1033" s="4" t="s">
        <v>14</v>
      </c>
      <c r="D1033" s="35">
        <v>10890</v>
      </c>
      <c r="E1033" s="4" t="s">
        <v>1987</v>
      </c>
      <c r="F1033" s="5">
        <v>41207</v>
      </c>
      <c r="G1033" s="5">
        <v>41274</v>
      </c>
      <c r="H1033" s="4" t="s">
        <v>40</v>
      </c>
      <c r="I1033" s="6">
        <v>160000</v>
      </c>
      <c r="J1033" s="6">
        <v>80000</v>
      </c>
      <c r="K1033" s="37" t="s">
        <v>790</v>
      </c>
      <c r="L1033" s="119"/>
      <c r="M1033" s="3"/>
    </row>
    <row r="1034" spans="1:13" s="4" customFormat="1" ht="14.25" customHeight="1" x14ac:dyDescent="0.25">
      <c r="A1034" s="4" t="s">
        <v>1988</v>
      </c>
      <c r="B1034" s="4" t="s">
        <v>190</v>
      </c>
      <c r="C1034" s="4" t="s">
        <v>14</v>
      </c>
      <c r="D1034" s="35">
        <v>10903</v>
      </c>
      <c r="E1034" s="4" t="s">
        <v>1989</v>
      </c>
      <c r="F1034" s="5">
        <v>40708</v>
      </c>
      <c r="G1034" s="5">
        <v>41274</v>
      </c>
      <c r="H1034" s="4" t="s">
        <v>40</v>
      </c>
      <c r="I1034" s="6">
        <v>18488.48</v>
      </c>
      <c r="J1034" s="6">
        <v>9244.24</v>
      </c>
      <c r="K1034" s="37" t="s">
        <v>790</v>
      </c>
      <c r="L1034" s="119"/>
      <c r="M1034" s="3"/>
    </row>
    <row r="1035" spans="1:13" s="4" customFormat="1" ht="14.25" customHeight="1" x14ac:dyDescent="0.25">
      <c r="A1035" s="4" t="s">
        <v>1990</v>
      </c>
      <c r="B1035" s="4" t="s">
        <v>90</v>
      </c>
      <c r="C1035" s="4" t="s">
        <v>14</v>
      </c>
      <c r="D1035" s="35">
        <v>10904</v>
      </c>
      <c r="E1035" s="4" t="s">
        <v>1991</v>
      </c>
      <c r="F1035" s="5">
        <v>41172</v>
      </c>
      <c r="G1035" s="5">
        <v>41274</v>
      </c>
      <c r="H1035" s="4" t="s">
        <v>40</v>
      </c>
      <c r="I1035" s="6">
        <v>2352.1799999999998</v>
      </c>
      <c r="J1035" s="6">
        <v>1176.0899999999999</v>
      </c>
      <c r="K1035" s="37" t="s">
        <v>790</v>
      </c>
      <c r="L1035" s="119"/>
      <c r="M1035" s="3"/>
    </row>
    <row r="1036" spans="1:13" s="4" customFormat="1" ht="14.25" customHeight="1" x14ac:dyDescent="0.25">
      <c r="A1036" s="4" t="s">
        <v>1992</v>
      </c>
      <c r="B1036" s="4" t="s">
        <v>190</v>
      </c>
      <c r="C1036" s="4" t="s">
        <v>14</v>
      </c>
      <c r="D1036" s="35">
        <v>10905</v>
      </c>
      <c r="E1036" s="4" t="s">
        <v>1993</v>
      </c>
      <c r="F1036" s="5">
        <v>41172</v>
      </c>
      <c r="G1036" s="5">
        <v>41274</v>
      </c>
      <c r="H1036" s="4" t="s">
        <v>40</v>
      </c>
      <c r="I1036" s="6">
        <v>48250</v>
      </c>
      <c r="J1036" s="6">
        <v>41625</v>
      </c>
      <c r="K1036" s="37" t="s">
        <v>790</v>
      </c>
      <c r="L1036" s="119"/>
      <c r="M1036" s="3"/>
    </row>
    <row r="1037" spans="1:13" s="4" customFormat="1" ht="14.25" customHeight="1" x14ac:dyDescent="0.25">
      <c r="A1037" s="4" t="s">
        <v>1994</v>
      </c>
      <c r="B1037" s="4" t="s">
        <v>183</v>
      </c>
      <c r="C1037" s="4" t="s">
        <v>14</v>
      </c>
      <c r="D1037" s="35">
        <v>10906</v>
      </c>
      <c r="E1037" s="4" t="s">
        <v>1995</v>
      </c>
      <c r="F1037" s="5">
        <v>41172</v>
      </c>
      <c r="G1037" s="5">
        <v>41274</v>
      </c>
      <c r="H1037" s="4" t="s">
        <v>40</v>
      </c>
      <c r="I1037" s="6">
        <v>20000</v>
      </c>
      <c r="J1037" s="6">
        <v>10000</v>
      </c>
      <c r="K1037" s="37" t="s">
        <v>790</v>
      </c>
      <c r="L1037" s="119"/>
      <c r="M1037" s="3"/>
    </row>
    <row r="1038" spans="1:13" s="4" customFormat="1" ht="14.25" customHeight="1" x14ac:dyDescent="0.25">
      <c r="A1038" s="4" t="s">
        <v>1996</v>
      </c>
      <c r="B1038" s="4" t="s">
        <v>183</v>
      </c>
      <c r="C1038" s="4" t="s">
        <v>14</v>
      </c>
      <c r="D1038" s="35">
        <v>10907</v>
      </c>
      <c r="E1038" s="4" t="s">
        <v>1997</v>
      </c>
      <c r="F1038" s="5">
        <v>40618</v>
      </c>
      <c r="G1038" s="5">
        <v>41274</v>
      </c>
      <c r="H1038" s="4" t="s">
        <v>40</v>
      </c>
      <c r="I1038" s="6">
        <v>10027.959999999999</v>
      </c>
      <c r="J1038" s="6">
        <v>5013.9799999999996</v>
      </c>
      <c r="K1038" s="37" t="s">
        <v>790</v>
      </c>
      <c r="L1038" s="119"/>
      <c r="M1038" s="3"/>
    </row>
    <row r="1039" spans="1:13" s="4" customFormat="1" ht="14.25" customHeight="1" x14ac:dyDescent="0.25">
      <c r="A1039" s="4" t="s">
        <v>1998</v>
      </c>
      <c r="B1039" s="4" t="s">
        <v>190</v>
      </c>
      <c r="C1039" s="4" t="s">
        <v>14</v>
      </c>
      <c r="D1039" s="35">
        <v>10908</v>
      </c>
      <c r="E1039" s="4" t="s">
        <v>1999</v>
      </c>
      <c r="F1039" s="5">
        <v>40996</v>
      </c>
      <c r="G1039" s="5">
        <v>41274</v>
      </c>
      <c r="H1039" s="4" t="s">
        <v>40</v>
      </c>
      <c r="I1039" s="6">
        <v>40001.74</v>
      </c>
      <c r="J1039" s="6">
        <f>20660.87+9340</f>
        <v>30000.87</v>
      </c>
      <c r="K1039" s="37" t="s">
        <v>790</v>
      </c>
      <c r="L1039" s="119"/>
      <c r="M1039" s="3"/>
    </row>
    <row r="1040" spans="1:13" s="4" customFormat="1" ht="14.25" customHeight="1" x14ac:dyDescent="0.25">
      <c r="A1040" s="4" t="s">
        <v>2000</v>
      </c>
      <c r="B1040" s="4" t="s">
        <v>190</v>
      </c>
      <c r="C1040" s="4" t="s">
        <v>14</v>
      </c>
      <c r="D1040" s="35">
        <v>10909</v>
      </c>
      <c r="E1040" s="4" t="s">
        <v>2001</v>
      </c>
      <c r="F1040" s="5">
        <v>40968</v>
      </c>
      <c r="G1040" s="5">
        <v>41274</v>
      </c>
      <c r="H1040" s="4" t="s">
        <v>40</v>
      </c>
      <c r="I1040" s="6">
        <f>51353.5+11593</f>
        <v>62946.5</v>
      </c>
      <c r="J1040" s="6">
        <v>46473.25</v>
      </c>
      <c r="K1040" s="37" t="s">
        <v>790</v>
      </c>
      <c r="L1040" s="119"/>
      <c r="M1040" s="3"/>
    </row>
    <row r="1041" spans="1:13" s="4" customFormat="1" ht="14.25" customHeight="1" x14ac:dyDescent="0.25">
      <c r="A1041" s="4" t="s">
        <v>2002</v>
      </c>
      <c r="B1041" s="4" t="s">
        <v>190</v>
      </c>
      <c r="C1041" s="4" t="s">
        <v>14</v>
      </c>
      <c r="D1041" s="35">
        <v>10910</v>
      </c>
      <c r="E1041" s="4" t="s">
        <v>2003</v>
      </c>
      <c r="F1041" s="5">
        <v>41172</v>
      </c>
      <c r="G1041" s="5">
        <v>41274</v>
      </c>
      <c r="H1041" s="4" t="s">
        <v>40</v>
      </c>
      <c r="I1041" s="6">
        <v>29978.18</v>
      </c>
      <c r="J1041" s="6">
        <v>22489.09</v>
      </c>
      <c r="K1041" s="37" t="s">
        <v>790</v>
      </c>
      <c r="L1041" s="119"/>
      <c r="M1041" s="3"/>
    </row>
    <row r="1042" spans="1:13" s="4" customFormat="1" ht="14.25" customHeight="1" x14ac:dyDescent="0.25">
      <c r="A1042" s="4" t="s">
        <v>2004</v>
      </c>
      <c r="B1042" s="4" t="s">
        <v>183</v>
      </c>
      <c r="C1042" s="4" t="s">
        <v>14</v>
      </c>
      <c r="D1042" s="35">
        <v>10911</v>
      </c>
      <c r="E1042" s="4" t="s">
        <v>2005</v>
      </c>
      <c r="F1042" s="5">
        <v>40968</v>
      </c>
      <c r="G1042" s="5">
        <v>41274</v>
      </c>
      <c r="H1042" s="4" t="s">
        <v>40</v>
      </c>
      <c r="I1042" s="6">
        <v>36000</v>
      </c>
      <c r="J1042" s="6">
        <v>33000</v>
      </c>
      <c r="K1042" s="37" t="s">
        <v>790</v>
      </c>
      <c r="L1042" s="119"/>
      <c r="M1042" s="3"/>
    </row>
    <row r="1043" spans="1:13" s="4" customFormat="1" ht="14.25" customHeight="1" x14ac:dyDescent="0.25">
      <c r="A1043" s="4" t="s">
        <v>2006</v>
      </c>
      <c r="B1043" s="4" t="s">
        <v>190</v>
      </c>
      <c r="C1043" s="4" t="s">
        <v>14</v>
      </c>
      <c r="D1043" s="35">
        <v>10912</v>
      </c>
      <c r="E1043" s="4" t="s">
        <v>2007</v>
      </c>
      <c r="F1043" s="5">
        <v>41172</v>
      </c>
      <c r="G1043" s="5">
        <v>41274</v>
      </c>
      <c r="H1043" s="4" t="s">
        <v>40</v>
      </c>
      <c r="I1043" s="6">
        <v>14800</v>
      </c>
      <c r="J1043" s="6">
        <v>12400</v>
      </c>
      <c r="K1043" s="37" t="s">
        <v>790</v>
      </c>
      <c r="L1043" s="119"/>
      <c r="M1043" s="3"/>
    </row>
    <row r="1044" spans="1:13" s="4" customFormat="1" ht="14.25" customHeight="1" x14ac:dyDescent="0.25">
      <c r="A1044" s="4" t="s">
        <v>2008</v>
      </c>
      <c r="B1044" s="4" t="s">
        <v>183</v>
      </c>
      <c r="C1044" s="4" t="s">
        <v>14</v>
      </c>
      <c r="D1044" s="35">
        <v>10913</v>
      </c>
      <c r="E1044" s="4" t="s">
        <v>2009</v>
      </c>
      <c r="F1044" s="5">
        <v>40996</v>
      </c>
      <c r="G1044" s="5">
        <v>41274</v>
      </c>
      <c r="H1044" s="4" t="s">
        <v>40</v>
      </c>
      <c r="I1044" s="6">
        <v>37500</v>
      </c>
      <c r="J1044" s="6">
        <v>37500</v>
      </c>
      <c r="K1044" s="37" t="s">
        <v>790</v>
      </c>
      <c r="L1044" s="119"/>
      <c r="M1044" s="3"/>
    </row>
    <row r="1045" spans="1:13" s="4" customFormat="1" ht="14.25" customHeight="1" x14ac:dyDescent="0.25">
      <c r="A1045" s="4" t="s">
        <v>2010</v>
      </c>
      <c r="B1045" s="4" t="s">
        <v>190</v>
      </c>
      <c r="C1045" s="4" t="s">
        <v>14</v>
      </c>
      <c r="D1045" s="35">
        <v>10914</v>
      </c>
      <c r="E1045" s="4" t="s">
        <v>2011</v>
      </c>
      <c r="F1045" s="5">
        <v>40996</v>
      </c>
      <c r="G1045" s="5">
        <v>41274</v>
      </c>
      <c r="H1045" s="4" t="s">
        <v>40</v>
      </c>
      <c r="I1045" s="6">
        <f>45679+4321</f>
        <v>50000</v>
      </c>
      <c r="J1045" s="6">
        <f>33179+4321</f>
        <v>37500</v>
      </c>
      <c r="K1045" s="37" t="s">
        <v>790</v>
      </c>
      <c r="L1045" s="119"/>
      <c r="M1045" s="3"/>
    </row>
    <row r="1046" spans="1:13" s="4" customFormat="1" ht="14.25" customHeight="1" x14ac:dyDescent="0.25">
      <c r="A1046" s="4" t="s">
        <v>2012</v>
      </c>
      <c r="B1046" s="4" t="s">
        <v>183</v>
      </c>
      <c r="C1046" s="4" t="s">
        <v>14</v>
      </c>
      <c r="D1046" s="35">
        <v>10915</v>
      </c>
      <c r="E1046" s="4" t="s">
        <v>2013</v>
      </c>
      <c r="F1046" s="5">
        <v>41107</v>
      </c>
      <c r="G1046" s="5">
        <v>41274</v>
      </c>
      <c r="H1046" s="4" t="s">
        <v>40</v>
      </c>
      <c r="I1046" s="6">
        <v>25000</v>
      </c>
      <c r="J1046" s="6">
        <v>25000</v>
      </c>
      <c r="K1046" s="37" t="s">
        <v>790</v>
      </c>
      <c r="L1046" s="119"/>
      <c r="M1046" s="3"/>
    </row>
    <row r="1047" spans="1:13" s="4" customFormat="1" ht="14.25" customHeight="1" x14ac:dyDescent="0.25">
      <c r="A1047" s="4" t="s">
        <v>2014</v>
      </c>
      <c r="B1047" s="4" t="s">
        <v>183</v>
      </c>
      <c r="C1047" s="4" t="s">
        <v>14</v>
      </c>
      <c r="D1047" s="35">
        <v>10916</v>
      </c>
      <c r="E1047" s="4" t="s">
        <v>2015</v>
      </c>
      <c r="F1047" s="5">
        <v>40996</v>
      </c>
      <c r="G1047" s="5">
        <v>41274</v>
      </c>
      <c r="H1047" s="4" t="s">
        <v>40</v>
      </c>
      <c r="I1047" s="6">
        <v>22500</v>
      </c>
      <c r="J1047" s="6">
        <v>15000</v>
      </c>
      <c r="K1047" s="37" t="s">
        <v>790</v>
      </c>
      <c r="L1047" s="119"/>
      <c r="M1047" s="3"/>
    </row>
    <row r="1048" spans="1:13" s="4" customFormat="1" ht="14.25" customHeight="1" x14ac:dyDescent="0.25">
      <c r="A1048" s="4" t="s">
        <v>2016</v>
      </c>
      <c r="B1048" s="4" t="s">
        <v>183</v>
      </c>
      <c r="C1048" s="4" t="s">
        <v>14</v>
      </c>
      <c r="D1048" s="35">
        <v>10917</v>
      </c>
      <c r="E1048" s="4" t="s">
        <v>2017</v>
      </c>
      <c r="F1048" s="5">
        <v>40968</v>
      </c>
      <c r="G1048" s="5">
        <v>41274</v>
      </c>
      <c r="H1048" s="4" t="s">
        <v>40</v>
      </c>
      <c r="I1048" s="6">
        <v>36000</v>
      </c>
      <c r="J1048" s="6">
        <v>25500</v>
      </c>
      <c r="K1048" s="37" t="s">
        <v>790</v>
      </c>
      <c r="L1048" s="119"/>
      <c r="M1048" s="3"/>
    </row>
    <row r="1049" spans="1:13" s="4" customFormat="1" ht="14.25" customHeight="1" x14ac:dyDescent="0.25">
      <c r="A1049" s="4" t="s">
        <v>2019</v>
      </c>
      <c r="B1049" s="4" t="s">
        <v>183</v>
      </c>
      <c r="C1049" s="4" t="s">
        <v>14</v>
      </c>
      <c r="D1049" s="35">
        <v>10919</v>
      </c>
      <c r="E1049" s="4" t="s">
        <v>2020</v>
      </c>
      <c r="F1049" s="5">
        <v>41207</v>
      </c>
      <c r="G1049" s="5">
        <v>41274</v>
      </c>
      <c r="H1049" s="4" t="s">
        <v>40</v>
      </c>
      <c r="I1049" s="6">
        <f>12165+26000</f>
        <v>38165</v>
      </c>
      <c r="J1049" s="6">
        <f>11082.75+23000</f>
        <v>34082.75</v>
      </c>
      <c r="K1049" s="37" t="s">
        <v>790</v>
      </c>
      <c r="L1049" s="119"/>
      <c r="M1049" s="3"/>
    </row>
    <row r="1050" spans="1:13" s="4" customFormat="1" ht="14.25" customHeight="1" x14ac:dyDescent="0.25">
      <c r="A1050" s="4" t="s">
        <v>2021</v>
      </c>
      <c r="B1050" s="4" t="s">
        <v>38</v>
      </c>
      <c r="C1050" s="4" t="s">
        <v>14</v>
      </c>
      <c r="D1050" s="35">
        <v>10934</v>
      </c>
      <c r="E1050" s="4" t="s">
        <v>2022</v>
      </c>
      <c r="F1050" s="5">
        <v>40849</v>
      </c>
      <c r="G1050" s="5">
        <v>41274</v>
      </c>
      <c r="H1050" s="4" t="s">
        <v>40</v>
      </c>
      <c r="I1050" s="6">
        <v>2056</v>
      </c>
      <c r="J1050" s="6">
        <v>2056</v>
      </c>
      <c r="K1050" s="37" t="s">
        <v>790</v>
      </c>
      <c r="L1050" s="119"/>
      <c r="M1050" s="3"/>
    </row>
    <row r="1051" spans="1:13" s="4" customFormat="1" ht="14.25" customHeight="1" x14ac:dyDescent="0.25">
      <c r="A1051" s="4" t="s">
        <v>2023</v>
      </c>
      <c r="B1051" s="4" t="s">
        <v>38</v>
      </c>
      <c r="C1051" s="4" t="s">
        <v>14</v>
      </c>
      <c r="D1051" s="35">
        <v>10935</v>
      </c>
      <c r="E1051" s="4" t="s">
        <v>2024</v>
      </c>
      <c r="F1051" s="5">
        <v>40849</v>
      </c>
      <c r="G1051" s="5">
        <v>41274</v>
      </c>
      <c r="H1051" s="4" t="s">
        <v>40</v>
      </c>
      <c r="I1051" s="6">
        <f>12500+12500</f>
        <v>25000</v>
      </c>
      <c r="J1051" s="6">
        <f>12500+12500</f>
        <v>25000</v>
      </c>
      <c r="K1051" s="37" t="s">
        <v>790</v>
      </c>
      <c r="L1051" s="119"/>
      <c r="M1051" s="3"/>
    </row>
    <row r="1052" spans="1:13" ht="14.25" customHeight="1" x14ac:dyDescent="0.25">
      <c r="A1052" s="13" t="s">
        <v>10323</v>
      </c>
      <c r="B1052" s="13" t="s">
        <v>38</v>
      </c>
      <c r="C1052" s="13" t="s">
        <v>14</v>
      </c>
      <c r="D1052" s="19">
        <v>12084</v>
      </c>
      <c r="E1052" s="13" t="s">
        <v>10324</v>
      </c>
      <c r="F1052" s="14">
        <v>41275</v>
      </c>
      <c r="G1052" s="14">
        <v>41639</v>
      </c>
      <c r="H1052" s="13" t="s">
        <v>651</v>
      </c>
      <c r="I1052" s="18">
        <v>8361.73</v>
      </c>
      <c r="J1052" s="18">
        <v>8361.73</v>
      </c>
      <c r="K1052" s="20" t="s">
        <v>790</v>
      </c>
    </row>
    <row r="1053" spans="1:13" ht="14.25" customHeight="1" x14ac:dyDescent="0.25">
      <c r="A1053" s="13" t="s">
        <v>10325</v>
      </c>
      <c r="B1053" s="13" t="s">
        <v>38</v>
      </c>
      <c r="C1053" s="13" t="s">
        <v>14</v>
      </c>
      <c r="D1053" s="19">
        <v>12085</v>
      </c>
      <c r="E1053" s="13" t="s">
        <v>1888</v>
      </c>
      <c r="F1053" s="14">
        <v>41275</v>
      </c>
      <c r="G1053" s="14">
        <v>41639</v>
      </c>
      <c r="H1053" s="13" t="s">
        <v>651</v>
      </c>
      <c r="I1053" s="18">
        <v>7999</v>
      </c>
      <c r="J1053" s="18">
        <v>7999</v>
      </c>
      <c r="K1053" s="20" t="s">
        <v>790</v>
      </c>
    </row>
    <row r="1054" spans="1:13" ht="14.25" customHeight="1" x14ac:dyDescent="0.25">
      <c r="A1054" s="13" t="s">
        <v>10326</v>
      </c>
      <c r="B1054" s="13" t="s">
        <v>38</v>
      </c>
      <c r="C1054" s="13" t="s">
        <v>14</v>
      </c>
      <c r="D1054" s="19">
        <v>12086</v>
      </c>
      <c r="E1054" s="13" t="s">
        <v>10327</v>
      </c>
      <c r="F1054" s="14">
        <v>41275</v>
      </c>
      <c r="G1054" s="14">
        <v>41639</v>
      </c>
      <c r="H1054" s="13" t="s">
        <v>651</v>
      </c>
      <c r="I1054" s="18">
        <v>2636.98</v>
      </c>
      <c r="J1054" s="18">
        <v>2636.98</v>
      </c>
      <c r="K1054" s="20" t="s">
        <v>790</v>
      </c>
    </row>
    <row r="1055" spans="1:13" ht="14.25" customHeight="1" x14ac:dyDescent="0.25">
      <c r="A1055" s="13" t="s">
        <v>10328</v>
      </c>
      <c r="B1055" s="13" t="s">
        <v>38</v>
      </c>
      <c r="C1055" s="13" t="s">
        <v>14</v>
      </c>
      <c r="D1055" s="19">
        <v>12087</v>
      </c>
      <c r="E1055" s="13" t="s">
        <v>10329</v>
      </c>
      <c r="F1055" s="14">
        <v>41275</v>
      </c>
      <c r="G1055" s="14">
        <v>41639</v>
      </c>
      <c r="H1055" s="13" t="s">
        <v>651</v>
      </c>
      <c r="I1055" s="18">
        <v>7716.9</v>
      </c>
      <c r="J1055" s="18">
        <v>7716.9</v>
      </c>
      <c r="K1055" s="20" t="s">
        <v>790</v>
      </c>
    </row>
    <row r="1056" spans="1:13" ht="14.25" customHeight="1" x14ac:dyDescent="0.25">
      <c r="A1056" s="13" t="s">
        <v>10330</v>
      </c>
      <c r="B1056" s="13" t="s">
        <v>38</v>
      </c>
      <c r="C1056" s="13" t="s">
        <v>14</v>
      </c>
      <c r="D1056" s="19">
        <v>12088</v>
      </c>
      <c r="E1056" s="13" t="s">
        <v>10331</v>
      </c>
      <c r="F1056" s="14">
        <v>41275</v>
      </c>
      <c r="G1056" s="14">
        <v>41639</v>
      </c>
      <c r="H1056" s="13" t="s">
        <v>651</v>
      </c>
      <c r="I1056" s="18">
        <v>2885.24</v>
      </c>
      <c r="J1056" s="18">
        <v>2885.24</v>
      </c>
      <c r="K1056" s="20" t="s">
        <v>790</v>
      </c>
    </row>
    <row r="1057" spans="1:11" ht="14.25" customHeight="1" x14ac:dyDescent="0.25">
      <c r="A1057" s="13" t="s">
        <v>10332</v>
      </c>
      <c r="B1057" s="13" t="s">
        <v>38</v>
      </c>
      <c r="C1057" s="13" t="s">
        <v>14</v>
      </c>
      <c r="D1057" s="19">
        <v>12089</v>
      </c>
      <c r="E1057" s="13" t="s">
        <v>10333</v>
      </c>
      <c r="F1057" s="14">
        <v>41275</v>
      </c>
      <c r="G1057" s="14">
        <v>41639</v>
      </c>
      <c r="H1057" s="13" t="s">
        <v>651</v>
      </c>
      <c r="I1057" s="18">
        <v>1230.52</v>
      </c>
      <c r="J1057" s="18">
        <v>1230.52</v>
      </c>
      <c r="K1057" s="20" t="s">
        <v>790</v>
      </c>
    </row>
    <row r="1058" spans="1:11" ht="14.25" customHeight="1" x14ac:dyDescent="0.25">
      <c r="A1058" s="13" t="s">
        <v>10334</v>
      </c>
      <c r="B1058" s="13" t="s">
        <v>38</v>
      </c>
      <c r="C1058" s="13" t="s">
        <v>14</v>
      </c>
      <c r="D1058" s="19">
        <v>12090</v>
      </c>
      <c r="E1058" s="13" t="s">
        <v>1653</v>
      </c>
      <c r="F1058" s="14">
        <v>41275</v>
      </c>
      <c r="G1058" s="14">
        <v>41639</v>
      </c>
      <c r="H1058" s="13" t="s">
        <v>651</v>
      </c>
      <c r="I1058" s="18">
        <v>15127.39</v>
      </c>
      <c r="J1058" s="18">
        <v>15127.39</v>
      </c>
      <c r="K1058" s="20" t="s">
        <v>790</v>
      </c>
    </row>
    <row r="1059" spans="1:11" ht="14.25" customHeight="1" x14ac:dyDescent="0.25">
      <c r="A1059" s="13" t="s">
        <v>10335</v>
      </c>
      <c r="B1059" s="13" t="s">
        <v>38</v>
      </c>
      <c r="C1059" s="13" t="s">
        <v>14</v>
      </c>
      <c r="D1059" s="19">
        <v>12092</v>
      </c>
      <c r="E1059" s="13" t="s">
        <v>1300</v>
      </c>
      <c r="F1059" s="14">
        <v>41275</v>
      </c>
      <c r="G1059" s="14">
        <v>41639</v>
      </c>
      <c r="H1059" s="13" t="s">
        <v>651</v>
      </c>
      <c r="I1059" s="18">
        <v>11016</v>
      </c>
      <c r="J1059" s="18">
        <v>5508</v>
      </c>
      <c r="K1059" s="20" t="s">
        <v>790</v>
      </c>
    </row>
    <row r="1060" spans="1:11" ht="14.25" customHeight="1" x14ac:dyDescent="0.25">
      <c r="A1060" s="13" t="s">
        <v>10336</v>
      </c>
      <c r="B1060" s="13" t="s">
        <v>38</v>
      </c>
      <c r="C1060" s="13" t="s">
        <v>14</v>
      </c>
      <c r="D1060" s="19">
        <v>12093</v>
      </c>
      <c r="E1060" s="13" t="s">
        <v>1125</v>
      </c>
      <c r="F1060" s="14">
        <v>41275</v>
      </c>
      <c r="G1060" s="14">
        <v>41639</v>
      </c>
      <c r="H1060" s="13" t="s">
        <v>651</v>
      </c>
      <c r="I1060" s="18">
        <v>52647.02</v>
      </c>
      <c r="J1060" s="18">
        <v>52647.02</v>
      </c>
      <c r="K1060" s="20" t="s">
        <v>790</v>
      </c>
    </row>
    <row r="1061" spans="1:11" ht="14.25" customHeight="1" x14ac:dyDescent="0.25">
      <c r="A1061" s="13" t="s">
        <v>10337</v>
      </c>
      <c r="B1061" s="13" t="s">
        <v>38</v>
      </c>
      <c r="C1061" s="13" t="s">
        <v>14</v>
      </c>
      <c r="D1061" s="19">
        <v>12094</v>
      </c>
      <c r="E1061" s="13" t="s">
        <v>1895</v>
      </c>
      <c r="F1061" s="14">
        <v>41275</v>
      </c>
      <c r="G1061" s="14">
        <v>41639</v>
      </c>
      <c r="H1061" s="13" t="s">
        <v>651</v>
      </c>
      <c r="I1061" s="18">
        <v>25677.05</v>
      </c>
      <c r="J1061" s="18">
        <v>25677.05</v>
      </c>
      <c r="K1061" s="20" t="s">
        <v>790</v>
      </c>
    </row>
    <row r="1062" spans="1:11" ht="14.25" customHeight="1" x14ac:dyDescent="0.25">
      <c r="A1062" s="13" t="s">
        <v>10338</v>
      </c>
      <c r="B1062" s="13" t="s">
        <v>38</v>
      </c>
      <c r="C1062" s="13" t="s">
        <v>14</v>
      </c>
      <c r="D1062" s="19">
        <v>12095</v>
      </c>
      <c r="E1062" s="13" t="s">
        <v>1676</v>
      </c>
      <c r="F1062" s="14">
        <v>41275</v>
      </c>
      <c r="G1062" s="14">
        <v>41639</v>
      </c>
      <c r="H1062" s="13" t="s">
        <v>651</v>
      </c>
      <c r="I1062" s="18">
        <v>1363.35</v>
      </c>
      <c r="J1062" s="18">
        <v>1363.35</v>
      </c>
      <c r="K1062" s="20" t="s">
        <v>790</v>
      </c>
    </row>
    <row r="1063" spans="1:11" ht="14.25" customHeight="1" x14ac:dyDescent="0.25">
      <c r="A1063" s="13" t="s">
        <v>10339</v>
      </c>
      <c r="B1063" s="13" t="s">
        <v>38</v>
      </c>
      <c r="C1063" s="13" t="s">
        <v>14</v>
      </c>
      <c r="D1063" s="19">
        <v>12096</v>
      </c>
      <c r="E1063" s="13" t="s">
        <v>1687</v>
      </c>
      <c r="F1063" s="14">
        <v>41275</v>
      </c>
      <c r="G1063" s="14">
        <v>41639</v>
      </c>
      <c r="H1063" s="13" t="s">
        <v>651</v>
      </c>
      <c r="I1063" s="18">
        <v>1554.07</v>
      </c>
      <c r="J1063" s="18">
        <v>1554.07</v>
      </c>
      <c r="K1063" s="20" t="s">
        <v>790</v>
      </c>
    </row>
    <row r="1064" spans="1:11" ht="14.25" customHeight="1" x14ac:dyDescent="0.25">
      <c r="A1064" s="13" t="s">
        <v>10340</v>
      </c>
      <c r="B1064" s="13" t="s">
        <v>38</v>
      </c>
      <c r="C1064" s="13" t="s">
        <v>14</v>
      </c>
      <c r="D1064" s="19">
        <v>12097</v>
      </c>
      <c r="E1064" s="13" t="s">
        <v>10341</v>
      </c>
      <c r="F1064" s="14">
        <v>41275</v>
      </c>
      <c r="G1064" s="14">
        <v>41639</v>
      </c>
      <c r="H1064" s="13" t="s">
        <v>651</v>
      </c>
      <c r="I1064" s="18">
        <v>2627.28</v>
      </c>
      <c r="J1064" s="18">
        <v>2627.28</v>
      </c>
      <c r="K1064" s="20" t="s">
        <v>790</v>
      </c>
    </row>
    <row r="1065" spans="1:11" ht="14.25" customHeight="1" x14ac:dyDescent="0.25">
      <c r="A1065" s="13" t="s">
        <v>10342</v>
      </c>
      <c r="B1065" s="13" t="s">
        <v>38</v>
      </c>
      <c r="C1065" s="13" t="s">
        <v>14</v>
      </c>
      <c r="D1065" s="19">
        <v>12098</v>
      </c>
      <c r="E1065" s="13" t="s">
        <v>10343</v>
      </c>
      <c r="F1065" s="14">
        <v>41275</v>
      </c>
      <c r="G1065" s="14">
        <v>41639</v>
      </c>
      <c r="H1065" s="13" t="s">
        <v>651</v>
      </c>
      <c r="I1065" s="18">
        <v>1664.72</v>
      </c>
      <c r="J1065" s="18">
        <v>1664.72</v>
      </c>
      <c r="K1065" s="20" t="s">
        <v>790</v>
      </c>
    </row>
    <row r="1066" spans="1:11" ht="14.25" customHeight="1" x14ac:dyDescent="0.25">
      <c r="A1066" s="13" t="s">
        <v>10344</v>
      </c>
      <c r="B1066" s="13" t="s">
        <v>38</v>
      </c>
      <c r="C1066" s="13" t="s">
        <v>14</v>
      </c>
      <c r="D1066" s="19">
        <v>12099</v>
      </c>
      <c r="E1066" s="13" t="s">
        <v>1970</v>
      </c>
      <c r="F1066" s="14">
        <v>41275</v>
      </c>
      <c r="G1066" s="14">
        <v>41639</v>
      </c>
      <c r="H1066" s="13" t="s">
        <v>651</v>
      </c>
      <c r="I1066" s="18">
        <v>7694.5</v>
      </c>
      <c r="J1066" s="18">
        <v>3847.25</v>
      </c>
      <c r="K1066" s="20" t="s">
        <v>790</v>
      </c>
    </row>
    <row r="1067" spans="1:11" ht="14.25" customHeight="1" x14ac:dyDescent="0.25">
      <c r="A1067" s="13" t="s">
        <v>10345</v>
      </c>
      <c r="B1067" s="13" t="s">
        <v>38</v>
      </c>
      <c r="C1067" s="13" t="s">
        <v>14</v>
      </c>
      <c r="D1067" s="19">
        <v>12100</v>
      </c>
      <c r="E1067" s="13" t="s">
        <v>1901</v>
      </c>
      <c r="F1067" s="14">
        <v>41275</v>
      </c>
      <c r="G1067" s="14">
        <v>41639</v>
      </c>
      <c r="H1067" s="13" t="s">
        <v>651</v>
      </c>
      <c r="I1067" s="18">
        <v>1952.49</v>
      </c>
      <c r="J1067" s="18">
        <v>1952.49</v>
      </c>
      <c r="K1067" s="20" t="s">
        <v>790</v>
      </c>
    </row>
    <row r="1068" spans="1:11" ht="14.25" customHeight="1" x14ac:dyDescent="0.25">
      <c r="A1068" s="13" t="s">
        <v>10346</v>
      </c>
      <c r="B1068" s="13" t="s">
        <v>38</v>
      </c>
      <c r="C1068" s="13" t="s">
        <v>14</v>
      </c>
      <c r="D1068" s="19">
        <v>12101</v>
      </c>
      <c r="E1068" s="13" t="s">
        <v>1903</v>
      </c>
      <c r="F1068" s="14">
        <v>41275</v>
      </c>
      <c r="G1068" s="14">
        <v>41639</v>
      </c>
      <c r="H1068" s="13" t="s">
        <v>651</v>
      </c>
      <c r="I1068" s="18">
        <v>8401.92</v>
      </c>
      <c r="J1068" s="18">
        <v>8401.92</v>
      </c>
      <c r="K1068" s="20" t="s">
        <v>790</v>
      </c>
    </row>
    <row r="1069" spans="1:11" ht="14.25" customHeight="1" x14ac:dyDescent="0.25">
      <c r="A1069" s="13" t="s">
        <v>10347</v>
      </c>
      <c r="B1069" s="13" t="s">
        <v>38</v>
      </c>
      <c r="C1069" s="13" t="s">
        <v>14</v>
      </c>
      <c r="D1069" s="19">
        <v>12102</v>
      </c>
      <c r="E1069" s="13" t="s">
        <v>1362</v>
      </c>
      <c r="F1069" s="14">
        <v>41275</v>
      </c>
      <c r="G1069" s="14">
        <v>41639</v>
      </c>
      <c r="H1069" s="13" t="s">
        <v>651</v>
      </c>
      <c r="I1069" s="18">
        <v>19838.98</v>
      </c>
      <c r="J1069" s="18">
        <v>19838.98</v>
      </c>
      <c r="K1069" s="20" t="s">
        <v>790</v>
      </c>
    </row>
    <row r="1070" spans="1:11" ht="14.25" customHeight="1" x14ac:dyDescent="0.25">
      <c r="A1070" s="13" t="s">
        <v>10348</v>
      </c>
      <c r="B1070" s="13" t="s">
        <v>38</v>
      </c>
      <c r="C1070" s="13" t="s">
        <v>14</v>
      </c>
      <c r="D1070" s="19">
        <v>12103</v>
      </c>
      <c r="E1070" s="13" t="s">
        <v>1907</v>
      </c>
      <c r="F1070" s="14">
        <v>41275</v>
      </c>
      <c r="G1070" s="14">
        <v>41639</v>
      </c>
      <c r="H1070" s="13" t="s">
        <v>651</v>
      </c>
      <c r="I1070" s="18">
        <v>1364.39</v>
      </c>
      <c r="J1070" s="18">
        <v>1364.39</v>
      </c>
      <c r="K1070" s="20" t="s">
        <v>790</v>
      </c>
    </row>
    <row r="1071" spans="1:11" ht="14.25" customHeight="1" x14ac:dyDescent="0.25">
      <c r="A1071" s="13" t="s">
        <v>10349</v>
      </c>
      <c r="B1071" s="13" t="s">
        <v>38</v>
      </c>
      <c r="C1071" s="13" t="s">
        <v>14</v>
      </c>
      <c r="D1071" s="19">
        <v>12104</v>
      </c>
      <c r="E1071" s="13" t="s">
        <v>1909</v>
      </c>
      <c r="F1071" s="14">
        <v>41275</v>
      </c>
      <c r="G1071" s="14">
        <v>41639</v>
      </c>
      <c r="H1071" s="13" t="s">
        <v>651</v>
      </c>
      <c r="I1071" s="18">
        <v>3482.21</v>
      </c>
      <c r="J1071" s="18">
        <v>3482.21</v>
      </c>
      <c r="K1071" s="20" t="s">
        <v>790</v>
      </c>
    </row>
    <row r="1072" spans="1:11" ht="14.25" customHeight="1" x14ac:dyDescent="0.25">
      <c r="A1072" s="13" t="s">
        <v>10350</v>
      </c>
      <c r="B1072" s="13" t="s">
        <v>38</v>
      </c>
      <c r="C1072" s="13" t="s">
        <v>14</v>
      </c>
      <c r="D1072" s="19">
        <v>12105</v>
      </c>
      <c r="E1072" s="13" t="s">
        <v>10351</v>
      </c>
      <c r="F1072" s="14">
        <v>41275</v>
      </c>
      <c r="G1072" s="14">
        <v>41639</v>
      </c>
      <c r="H1072" s="13" t="s">
        <v>651</v>
      </c>
      <c r="I1072" s="18">
        <v>1652.86</v>
      </c>
      <c r="J1072" s="18">
        <v>1652.86</v>
      </c>
      <c r="K1072" s="20" t="s">
        <v>790</v>
      </c>
    </row>
    <row r="1073" spans="1:11" ht="14.25" customHeight="1" x14ac:dyDescent="0.25">
      <c r="A1073" s="13" t="s">
        <v>10352</v>
      </c>
      <c r="B1073" s="13" t="s">
        <v>10195</v>
      </c>
      <c r="C1073" s="13" t="s">
        <v>14</v>
      </c>
      <c r="D1073" s="19">
        <v>12106</v>
      </c>
      <c r="E1073" s="13" t="s">
        <v>10353</v>
      </c>
      <c r="F1073" s="14">
        <v>41576</v>
      </c>
      <c r="H1073" s="13" t="s">
        <v>651</v>
      </c>
      <c r="I1073" s="18">
        <v>7500</v>
      </c>
      <c r="J1073" s="18">
        <v>7500</v>
      </c>
      <c r="K1073" s="20" t="s">
        <v>790</v>
      </c>
    </row>
    <row r="1074" spans="1:11" ht="14.25" customHeight="1" x14ac:dyDescent="0.25">
      <c r="A1074" s="13" t="s">
        <v>10354</v>
      </c>
      <c r="B1074" s="13" t="s">
        <v>10195</v>
      </c>
      <c r="C1074" s="13" t="s">
        <v>14</v>
      </c>
      <c r="D1074" s="19">
        <v>12107</v>
      </c>
      <c r="E1074" s="13" t="s">
        <v>10355</v>
      </c>
      <c r="F1074" s="14">
        <v>41576</v>
      </c>
      <c r="H1074" s="13" t="s">
        <v>651</v>
      </c>
      <c r="I1074" s="18">
        <v>11250</v>
      </c>
      <c r="J1074" s="18">
        <v>11250</v>
      </c>
      <c r="K1074" s="20" t="s">
        <v>790</v>
      </c>
    </row>
    <row r="1075" spans="1:11" ht="14.25" customHeight="1" x14ac:dyDescent="0.25">
      <c r="A1075" s="13" t="s">
        <v>10356</v>
      </c>
      <c r="B1075" s="13" t="s">
        <v>10192</v>
      </c>
      <c r="C1075" s="13" t="s">
        <v>14</v>
      </c>
      <c r="D1075" s="19">
        <v>12108</v>
      </c>
      <c r="E1075" s="13" t="s">
        <v>10357</v>
      </c>
      <c r="F1075" s="14">
        <v>41323</v>
      </c>
      <c r="G1075" s="14">
        <v>41639</v>
      </c>
      <c r="H1075" s="13" t="s">
        <v>651</v>
      </c>
      <c r="I1075" s="18">
        <v>37870</v>
      </c>
      <c r="J1075" s="18">
        <v>37870</v>
      </c>
      <c r="K1075" s="20" t="s">
        <v>790</v>
      </c>
    </row>
    <row r="1076" spans="1:11" ht="14.25" customHeight="1" x14ac:dyDescent="0.25">
      <c r="A1076" s="13" t="s">
        <v>10358</v>
      </c>
      <c r="B1076" s="13" t="s">
        <v>10192</v>
      </c>
      <c r="C1076" s="13" t="s">
        <v>14</v>
      </c>
      <c r="D1076" s="19">
        <v>12109</v>
      </c>
      <c r="E1076" s="13" t="s">
        <v>10359</v>
      </c>
      <c r="F1076" s="14">
        <v>41576</v>
      </c>
      <c r="H1076" s="13" t="s">
        <v>651</v>
      </c>
      <c r="I1076" s="18">
        <v>8550</v>
      </c>
      <c r="J1076" s="18">
        <v>6150</v>
      </c>
      <c r="K1076" s="20" t="s">
        <v>790</v>
      </c>
    </row>
    <row r="1077" spans="1:11" ht="14.25" customHeight="1" x14ac:dyDescent="0.25">
      <c r="A1077" s="13" t="s">
        <v>10360</v>
      </c>
      <c r="B1077" s="13" t="s">
        <v>10220</v>
      </c>
      <c r="C1077" s="13" t="s">
        <v>14</v>
      </c>
      <c r="D1077" s="19">
        <v>12110</v>
      </c>
      <c r="E1077" s="13" t="s">
        <v>10361</v>
      </c>
      <c r="F1077" s="14">
        <v>41379</v>
      </c>
      <c r="G1077" s="14">
        <v>41639</v>
      </c>
      <c r="H1077" s="13" t="s">
        <v>651</v>
      </c>
      <c r="I1077" s="18">
        <v>28938.5</v>
      </c>
      <c r="J1077" s="18">
        <v>14469.25</v>
      </c>
      <c r="K1077" s="20" t="s">
        <v>790</v>
      </c>
    </row>
    <row r="1078" spans="1:11" ht="14.25" customHeight="1" x14ac:dyDescent="0.25">
      <c r="A1078" s="13" t="s">
        <v>10362</v>
      </c>
      <c r="B1078" s="13" t="s">
        <v>10192</v>
      </c>
      <c r="C1078" s="13" t="s">
        <v>14</v>
      </c>
      <c r="D1078" s="19">
        <v>12111</v>
      </c>
      <c r="E1078" s="13" t="s">
        <v>10363</v>
      </c>
      <c r="F1078" s="14">
        <v>41576</v>
      </c>
      <c r="H1078" s="13" t="s">
        <v>651</v>
      </c>
      <c r="I1078" s="18">
        <v>5000</v>
      </c>
      <c r="J1078" s="18">
        <v>5000</v>
      </c>
      <c r="K1078" s="20" t="s">
        <v>790</v>
      </c>
    </row>
    <row r="1079" spans="1:11" ht="14.25" customHeight="1" x14ac:dyDescent="0.25">
      <c r="A1079" s="13" t="s">
        <v>10364</v>
      </c>
      <c r="B1079" s="13" t="s">
        <v>10192</v>
      </c>
      <c r="C1079" s="13" t="s">
        <v>14</v>
      </c>
      <c r="D1079" s="19">
        <v>12112</v>
      </c>
      <c r="E1079" s="13" t="s">
        <v>10365</v>
      </c>
      <c r="F1079" s="14">
        <v>41463</v>
      </c>
      <c r="G1079" s="14">
        <v>41639</v>
      </c>
      <c r="H1079" s="13" t="s">
        <v>651</v>
      </c>
      <c r="I1079" s="18">
        <v>27073</v>
      </c>
      <c r="J1079" s="18">
        <v>13536</v>
      </c>
      <c r="K1079" s="20" t="s">
        <v>790</v>
      </c>
    </row>
    <row r="1080" spans="1:11" ht="14.25" customHeight="1" x14ac:dyDescent="0.25">
      <c r="A1080" s="13" t="s">
        <v>10366</v>
      </c>
      <c r="B1080" s="13" t="s">
        <v>10192</v>
      </c>
      <c r="C1080" s="13" t="s">
        <v>14</v>
      </c>
      <c r="D1080" s="19">
        <v>12113</v>
      </c>
      <c r="E1080" s="13" t="s">
        <v>10367</v>
      </c>
      <c r="F1080" s="14">
        <v>41463</v>
      </c>
      <c r="H1080" s="13" t="s">
        <v>651</v>
      </c>
      <c r="I1080" s="18">
        <v>20635.11</v>
      </c>
      <c r="J1080" s="18">
        <v>10317.4</v>
      </c>
      <c r="K1080" s="20" t="s">
        <v>790</v>
      </c>
    </row>
    <row r="1081" spans="1:11" ht="14.25" customHeight="1" x14ac:dyDescent="0.25">
      <c r="A1081" s="13" t="s">
        <v>10368</v>
      </c>
      <c r="B1081" s="13" t="s">
        <v>10192</v>
      </c>
      <c r="C1081" s="13" t="s">
        <v>14</v>
      </c>
      <c r="D1081" s="19">
        <v>12114</v>
      </c>
      <c r="E1081" s="13" t="s">
        <v>10369</v>
      </c>
      <c r="F1081" s="14">
        <v>41071</v>
      </c>
      <c r="G1081" s="14">
        <v>41639</v>
      </c>
      <c r="H1081" s="13" t="s">
        <v>651</v>
      </c>
      <c r="I1081" s="18">
        <v>20000</v>
      </c>
      <c r="J1081" s="18">
        <v>20000</v>
      </c>
      <c r="K1081" s="20" t="s">
        <v>790</v>
      </c>
    </row>
    <row r="1082" spans="1:11" ht="14.25" customHeight="1" x14ac:dyDescent="0.25">
      <c r="A1082" s="13" t="s">
        <v>10368</v>
      </c>
      <c r="B1082" s="13" t="s">
        <v>10195</v>
      </c>
      <c r="C1082" s="13" t="s">
        <v>14</v>
      </c>
      <c r="D1082" s="19">
        <v>12116</v>
      </c>
      <c r="E1082" s="13" t="s">
        <v>10370</v>
      </c>
      <c r="F1082" s="14">
        <v>41596</v>
      </c>
      <c r="G1082" s="14">
        <v>41639</v>
      </c>
      <c r="H1082" s="13" t="s">
        <v>651</v>
      </c>
      <c r="I1082" s="18">
        <v>4000</v>
      </c>
      <c r="J1082" s="18">
        <v>4000</v>
      </c>
      <c r="K1082" s="20" t="s">
        <v>790</v>
      </c>
    </row>
    <row r="1083" spans="1:11" ht="14.25" customHeight="1" x14ac:dyDescent="0.25">
      <c r="A1083" s="13" t="s">
        <v>10371</v>
      </c>
      <c r="B1083" s="13" t="s">
        <v>10192</v>
      </c>
      <c r="C1083" s="13" t="s">
        <v>14</v>
      </c>
      <c r="D1083" s="19">
        <v>12117</v>
      </c>
      <c r="E1083" s="13" t="s">
        <v>10372</v>
      </c>
      <c r="F1083" s="14">
        <v>41477</v>
      </c>
      <c r="G1083" s="14">
        <v>41639</v>
      </c>
      <c r="H1083" s="13" t="s">
        <v>651</v>
      </c>
      <c r="I1083" s="18">
        <v>7500</v>
      </c>
      <c r="J1083" s="18">
        <v>7500</v>
      </c>
      <c r="K1083" s="20" t="s">
        <v>790</v>
      </c>
    </row>
    <row r="1084" spans="1:11" ht="14.25" customHeight="1" x14ac:dyDescent="0.25">
      <c r="A1084" s="13" t="s">
        <v>10373</v>
      </c>
      <c r="B1084" s="13" t="s">
        <v>10192</v>
      </c>
      <c r="C1084" s="13" t="s">
        <v>14</v>
      </c>
      <c r="D1084" s="19">
        <v>12118</v>
      </c>
      <c r="E1084" s="13" t="s">
        <v>10374</v>
      </c>
      <c r="F1084" s="14">
        <v>41477</v>
      </c>
      <c r="G1084" s="14">
        <v>41639</v>
      </c>
      <c r="H1084" s="13" t="s">
        <v>651</v>
      </c>
      <c r="I1084" s="18">
        <v>7951.92</v>
      </c>
      <c r="J1084" s="18">
        <v>3975.96</v>
      </c>
      <c r="K1084" s="20" t="s">
        <v>790</v>
      </c>
    </row>
    <row r="1085" spans="1:11" ht="14.25" customHeight="1" x14ac:dyDescent="0.25">
      <c r="A1085" s="13" t="s">
        <v>10377</v>
      </c>
      <c r="B1085" s="13" t="s">
        <v>10192</v>
      </c>
      <c r="C1085" s="13" t="s">
        <v>14</v>
      </c>
      <c r="D1085" s="19">
        <v>12120</v>
      </c>
      <c r="E1085" s="13" t="s">
        <v>10378</v>
      </c>
      <c r="F1085" s="14">
        <v>41596</v>
      </c>
      <c r="G1085" s="14">
        <v>41639</v>
      </c>
      <c r="H1085" s="13" t="s">
        <v>651</v>
      </c>
      <c r="I1085" s="18">
        <v>16650.060000000001</v>
      </c>
      <c r="J1085" s="18">
        <v>8325.0300000000007</v>
      </c>
      <c r="K1085" s="20" t="s">
        <v>790</v>
      </c>
    </row>
    <row r="1086" spans="1:11" ht="14.25" customHeight="1" x14ac:dyDescent="0.25">
      <c r="A1086" s="13" t="s">
        <v>11386</v>
      </c>
      <c r="B1086" s="13" t="s">
        <v>13</v>
      </c>
      <c r="C1086" s="13" t="s">
        <v>14</v>
      </c>
      <c r="D1086" s="19">
        <v>12121</v>
      </c>
      <c r="E1086" s="13" t="s">
        <v>11387</v>
      </c>
      <c r="F1086" s="14">
        <v>41261</v>
      </c>
      <c r="G1086" s="14">
        <v>41639</v>
      </c>
      <c r="H1086" s="13" t="s">
        <v>651</v>
      </c>
      <c r="I1086" s="18">
        <v>40000</v>
      </c>
      <c r="J1086" s="18">
        <v>20000</v>
      </c>
      <c r="K1086" s="20" t="s">
        <v>790</v>
      </c>
    </row>
    <row r="1087" spans="1:11" ht="14.25" customHeight="1" x14ac:dyDescent="0.25">
      <c r="A1087" s="13" t="s">
        <v>10379</v>
      </c>
      <c r="B1087" s="13" t="s">
        <v>10192</v>
      </c>
      <c r="C1087" s="13" t="s">
        <v>14</v>
      </c>
      <c r="D1087" s="19">
        <v>12123</v>
      </c>
      <c r="E1087" s="13" t="s">
        <v>10380</v>
      </c>
      <c r="F1087" s="14">
        <v>41477</v>
      </c>
      <c r="G1087" s="14">
        <v>41639</v>
      </c>
      <c r="H1087" s="13" t="s">
        <v>651</v>
      </c>
      <c r="I1087" s="18">
        <v>20000</v>
      </c>
      <c r="J1087" s="18">
        <v>10000</v>
      </c>
      <c r="K1087" s="20" t="s">
        <v>790</v>
      </c>
    </row>
    <row r="1088" spans="1:11" ht="14.25" customHeight="1" x14ac:dyDescent="0.25">
      <c r="A1088" s="13" t="s">
        <v>10381</v>
      </c>
      <c r="B1088" s="13" t="s">
        <v>10192</v>
      </c>
      <c r="C1088" s="13" t="s">
        <v>14</v>
      </c>
      <c r="D1088" s="19">
        <v>12125</v>
      </c>
      <c r="E1088" s="13" t="s">
        <v>10382</v>
      </c>
      <c r="F1088" s="14">
        <v>41037</v>
      </c>
      <c r="G1088" s="14">
        <v>41639</v>
      </c>
      <c r="H1088" s="13" t="s">
        <v>651</v>
      </c>
      <c r="I1088" s="18">
        <v>21250</v>
      </c>
      <c r="J1088" s="18">
        <v>21250</v>
      </c>
      <c r="K1088" s="20" t="s">
        <v>790</v>
      </c>
    </row>
    <row r="1089" spans="1:11" ht="14.25" customHeight="1" x14ac:dyDescent="0.25">
      <c r="A1089" s="13" t="s">
        <v>10383</v>
      </c>
      <c r="B1089" s="13" t="s">
        <v>10192</v>
      </c>
      <c r="C1089" s="13" t="s">
        <v>14</v>
      </c>
      <c r="D1089" s="19">
        <v>12126</v>
      </c>
      <c r="E1089" s="13" t="s">
        <v>10384</v>
      </c>
      <c r="F1089" s="14">
        <v>41071</v>
      </c>
      <c r="G1089" s="14">
        <v>41639</v>
      </c>
      <c r="H1089" s="13" t="s">
        <v>651</v>
      </c>
      <c r="I1089" s="18">
        <v>31000</v>
      </c>
      <c r="J1089" s="18">
        <v>15500</v>
      </c>
      <c r="K1089" s="20" t="s">
        <v>790</v>
      </c>
    </row>
    <row r="1090" spans="1:11" ht="14.25" customHeight="1" x14ac:dyDescent="0.25">
      <c r="A1090" s="13" t="s">
        <v>10385</v>
      </c>
      <c r="B1090" s="13" t="s">
        <v>10192</v>
      </c>
      <c r="C1090" s="13" t="s">
        <v>14</v>
      </c>
      <c r="D1090" s="19">
        <v>12128</v>
      </c>
      <c r="E1090" s="13" t="s">
        <v>10386</v>
      </c>
      <c r="F1090" s="14">
        <v>41393</v>
      </c>
      <c r="G1090" s="14">
        <v>41639</v>
      </c>
      <c r="H1090" s="13" t="s">
        <v>651</v>
      </c>
      <c r="I1090" s="18">
        <v>5046.5200000000004</v>
      </c>
      <c r="J1090" s="18">
        <v>2523.2600000000002</v>
      </c>
      <c r="K1090" s="20" t="s">
        <v>790</v>
      </c>
    </row>
    <row r="1091" spans="1:11" ht="14.25" customHeight="1" x14ac:dyDescent="0.25">
      <c r="A1091" s="13" t="s">
        <v>10387</v>
      </c>
      <c r="B1091" s="13" t="s">
        <v>10192</v>
      </c>
      <c r="C1091" s="13" t="s">
        <v>14</v>
      </c>
      <c r="D1091" s="19">
        <v>12129</v>
      </c>
      <c r="E1091" s="13" t="s">
        <v>10388</v>
      </c>
      <c r="F1091" s="14">
        <v>41477</v>
      </c>
      <c r="G1091" s="14">
        <v>41639</v>
      </c>
      <c r="H1091" s="13" t="s">
        <v>651</v>
      </c>
      <c r="I1091" s="18">
        <v>50000</v>
      </c>
      <c r="J1091" s="18">
        <v>25000</v>
      </c>
      <c r="K1091" s="20" t="s">
        <v>790</v>
      </c>
    </row>
    <row r="1092" spans="1:11" ht="14.25" customHeight="1" x14ac:dyDescent="0.25">
      <c r="A1092" s="13" t="s">
        <v>10389</v>
      </c>
      <c r="B1092" s="13" t="s">
        <v>10192</v>
      </c>
      <c r="C1092" s="13" t="s">
        <v>14</v>
      </c>
      <c r="D1092" s="19">
        <v>12130</v>
      </c>
      <c r="E1092" s="13" t="s">
        <v>10390</v>
      </c>
      <c r="F1092" s="14">
        <v>41358</v>
      </c>
      <c r="G1092" s="14">
        <v>41639</v>
      </c>
      <c r="H1092" s="13" t="s">
        <v>651</v>
      </c>
      <c r="I1092" s="18">
        <v>35000</v>
      </c>
      <c r="J1092" s="18">
        <v>25000</v>
      </c>
      <c r="K1092" s="20" t="s">
        <v>790</v>
      </c>
    </row>
    <row r="1093" spans="1:11" ht="14.25" customHeight="1" x14ac:dyDescent="0.25">
      <c r="A1093" s="13" t="s">
        <v>104</v>
      </c>
      <c r="B1093" s="13" t="s">
        <v>38</v>
      </c>
      <c r="C1093" s="13" t="s">
        <v>14</v>
      </c>
      <c r="D1093" s="19">
        <v>12134</v>
      </c>
      <c r="E1093" s="13" t="s">
        <v>10391</v>
      </c>
      <c r="F1093" s="14">
        <v>41275</v>
      </c>
      <c r="G1093" s="14">
        <v>41639</v>
      </c>
      <c r="H1093" s="13" t="s">
        <v>651</v>
      </c>
      <c r="I1093" s="18">
        <v>61285.47</v>
      </c>
      <c r="J1093" s="18">
        <v>61285.47</v>
      </c>
      <c r="K1093" s="20" t="s">
        <v>790</v>
      </c>
    </row>
    <row r="1094" spans="1:11" ht="14.25" customHeight="1" x14ac:dyDescent="0.25">
      <c r="A1094" s="13" t="s">
        <v>10392</v>
      </c>
      <c r="B1094" s="13" t="s">
        <v>38</v>
      </c>
      <c r="C1094" s="13" t="s">
        <v>14</v>
      </c>
      <c r="D1094" s="19">
        <v>12135</v>
      </c>
      <c r="E1094" s="13" t="s">
        <v>10393</v>
      </c>
      <c r="F1094" s="14">
        <v>40909</v>
      </c>
      <c r="G1094" s="14">
        <v>41639</v>
      </c>
      <c r="H1094" s="13" t="s">
        <v>651</v>
      </c>
      <c r="I1094" s="18">
        <v>600</v>
      </c>
      <c r="J1094" s="18">
        <v>600</v>
      </c>
      <c r="K1094" s="20" t="s">
        <v>790</v>
      </c>
    </row>
    <row r="1095" spans="1:11" ht="14.25" customHeight="1" x14ac:dyDescent="0.25">
      <c r="A1095" s="13" t="s">
        <v>10394</v>
      </c>
      <c r="B1095" s="13" t="s">
        <v>38</v>
      </c>
      <c r="C1095" s="13" t="s">
        <v>14</v>
      </c>
      <c r="D1095" s="19">
        <v>12136</v>
      </c>
      <c r="E1095" s="13" t="s">
        <v>10395</v>
      </c>
      <c r="F1095" s="14">
        <v>40909</v>
      </c>
      <c r="G1095" s="14">
        <v>41639</v>
      </c>
      <c r="H1095" s="13" t="s">
        <v>651</v>
      </c>
      <c r="I1095" s="18">
        <v>5864.41</v>
      </c>
      <c r="J1095" s="18">
        <v>5864.41</v>
      </c>
      <c r="K1095" s="20" t="s">
        <v>790</v>
      </c>
    </row>
    <row r="1096" spans="1:11" ht="14.25" customHeight="1" x14ac:dyDescent="0.25">
      <c r="A1096" s="13" t="s">
        <v>9309</v>
      </c>
      <c r="B1096" s="13" t="s">
        <v>38</v>
      </c>
      <c r="C1096" s="13" t="s">
        <v>14</v>
      </c>
      <c r="D1096" s="19">
        <v>12137</v>
      </c>
      <c r="E1096" s="13" t="s">
        <v>10396</v>
      </c>
      <c r="F1096" s="14">
        <v>41275</v>
      </c>
      <c r="G1096" s="14">
        <v>41639</v>
      </c>
      <c r="H1096" s="13" t="s">
        <v>651</v>
      </c>
      <c r="I1096" s="18">
        <v>300</v>
      </c>
      <c r="J1096" s="18">
        <v>300</v>
      </c>
      <c r="K1096" s="20" t="s">
        <v>790</v>
      </c>
    </row>
    <row r="1097" spans="1:11" ht="14.25" customHeight="1" x14ac:dyDescent="0.25">
      <c r="A1097" s="13" t="s">
        <v>10397</v>
      </c>
      <c r="B1097" s="13" t="s">
        <v>38</v>
      </c>
      <c r="C1097" s="13" t="s">
        <v>14</v>
      </c>
      <c r="D1097" s="19">
        <v>12138</v>
      </c>
      <c r="E1097" s="13" t="s">
        <v>10398</v>
      </c>
      <c r="F1097" s="14">
        <v>41275</v>
      </c>
      <c r="G1097" s="14">
        <v>41639</v>
      </c>
      <c r="H1097" s="13" t="s">
        <v>651</v>
      </c>
      <c r="I1097" s="18">
        <v>8765.4</v>
      </c>
      <c r="J1097" s="18">
        <v>8765.4</v>
      </c>
      <c r="K1097" s="20" t="s">
        <v>790</v>
      </c>
    </row>
    <row r="1098" spans="1:11" ht="14.25" customHeight="1" x14ac:dyDescent="0.25">
      <c r="A1098" s="13" t="s">
        <v>10399</v>
      </c>
      <c r="B1098" s="13" t="s">
        <v>38</v>
      </c>
      <c r="C1098" s="13" t="s">
        <v>14</v>
      </c>
      <c r="D1098" s="19">
        <v>12139</v>
      </c>
      <c r="E1098" s="13" t="s">
        <v>10400</v>
      </c>
      <c r="F1098" s="14">
        <v>40544</v>
      </c>
      <c r="G1098" s="14">
        <v>41639</v>
      </c>
      <c r="H1098" s="13" t="s">
        <v>651</v>
      </c>
      <c r="I1098" s="18">
        <v>2521.13</v>
      </c>
      <c r="J1098" s="18">
        <v>2521.13</v>
      </c>
      <c r="K1098" s="20" t="s">
        <v>790</v>
      </c>
    </row>
    <row r="1099" spans="1:11" ht="14.25" customHeight="1" x14ac:dyDescent="0.25">
      <c r="A1099" s="13" t="s">
        <v>10401</v>
      </c>
      <c r="B1099" s="13" t="s">
        <v>38</v>
      </c>
      <c r="C1099" s="13" t="s">
        <v>14</v>
      </c>
      <c r="D1099" s="19">
        <v>12140</v>
      </c>
      <c r="E1099" s="13" t="s">
        <v>10402</v>
      </c>
      <c r="F1099" s="14">
        <v>41275</v>
      </c>
      <c r="G1099" s="14">
        <v>41639</v>
      </c>
      <c r="H1099" s="13" t="s">
        <v>651</v>
      </c>
      <c r="I1099" s="18">
        <v>13541</v>
      </c>
      <c r="J1099" s="18">
        <v>13541</v>
      </c>
      <c r="K1099" s="20" t="s">
        <v>790</v>
      </c>
    </row>
    <row r="1100" spans="1:11" ht="14.25" customHeight="1" x14ac:dyDescent="0.25">
      <c r="A1100" s="13" t="s">
        <v>10403</v>
      </c>
      <c r="B1100" s="13" t="s">
        <v>38</v>
      </c>
      <c r="C1100" s="13" t="s">
        <v>14</v>
      </c>
      <c r="D1100" s="19">
        <v>12143</v>
      </c>
      <c r="E1100" s="13" t="s">
        <v>10404</v>
      </c>
      <c r="F1100" s="14">
        <v>41275</v>
      </c>
      <c r="G1100" s="14">
        <v>41639</v>
      </c>
      <c r="H1100" s="13" t="s">
        <v>651</v>
      </c>
      <c r="I1100" s="18">
        <v>701.1</v>
      </c>
      <c r="J1100" s="18">
        <v>701.1</v>
      </c>
      <c r="K1100" s="20" t="s">
        <v>790</v>
      </c>
    </row>
    <row r="1101" spans="1:11" ht="14.25" customHeight="1" x14ac:dyDescent="0.25">
      <c r="A1101" s="13" t="s">
        <v>10405</v>
      </c>
      <c r="B1101" s="13" t="s">
        <v>38</v>
      </c>
      <c r="C1101" s="13" t="s">
        <v>14</v>
      </c>
      <c r="D1101" s="19">
        <v>12145</v>
      </c>
      <c r="E1101" s="13" t="s">
        <v>10395</v>
      </c>
      <c r="F1101" s="14">
        <v>41275</v>
      </c>
      <c r="G1101" s="14">
        <v>41639</v>
      </c>
      <c r="H1101" s="13" t="s">
        <v>651</v>
      </c>
      <c r="I1101" s="18">
        <v>10631.54</v>
      </c>
      <c r="J1101" s="18">
        <v>10631.54</v>
      </c>
      <c r="K1101" s="20" t="s">
        <v>790</v>
      </c>
    </row>
    <row r="1102" spans="1:11" ht="14.25" customHeight="1" x14ac:dyDescent="0.25">
      <c r="A1102" s="13" t="s">
        <v>10406</v>
      </c>
      <c r="B1102" s="13" t="s">
        <v>38</v>
      </c>
      <c r="C1102" s="13" t="s">
        <v>14</v>
      </c>
      <c r="D1102" s="19">
        <v>12147</v>
      </c>
      <c r="E1102" s="13" t="s">
        <v>10407</v>
      </c>
      <c r="F1102" s="14">
        <v>41275</v>
      </c>
      <c r="G1102" s="14">
        <v>41639</v>
      </c>
      <c r="H1102" s="13" t="s">
        <v>651</v>
      </c>
      <c r="I1102" s="18">
        <v>1492.19</v>
      </c>
      <c r="J1102" s="18">
        <v>1492.19</v>
      </c>
      <c r="K1102" s="20" t="s">
        <v>790</v>
      </c>
    </row>
    <row r="1103" spans="1:11" ht="14.25" customHeight="1" x14ac:dyDescent="0.25">
      <c r="A1103" s="13" t="s">
        <v>10408</v>
      </c>
      <c r="B1103" s="13" t="s">
        <v>38</v>
      </c>
      <c r="C1103" s="13" t="s">
        <v>14</v>
      </c>
      <c r="D1103" s="19">
        <v>12148</v>
      </c>
      <c r="E1103" s="13" t="s">
        <v>1934</v>
      </c>
      <c r="F1103" s="14">
        <v>41275</v>
      </c>
      <c r="G1103" s="14">
        <v>41639</v>
      </c>
      <c r="H1103" s="13" t="s">
        <v>651</v>
      </c>
      <c r="I1103" s="18">
        <v>1328.01</v>
      </c>
      <c r="J1103" s="18">
        <v>1328.01</v>
      </c>
      <c r="K1103" s="20" t="s">
        <v>790</v>
      </c>
    </row>
    <row r="1104" spans="1:11" ht="14.25" customHeight="1" x14ac:dyDescent="0.25">
      <c r="A1104" s="13" t="s">
        <v>10409</v>
      </c>
      <c r="B1104" s="13" t="s">
        <v>38</v>
      </c>
      <c r="C1104" s="13" t="s">
        <v>14</v>
      </c>
      <c r="D1104" s="19">
        <v>12150</v>
      </c>
      <c r="E1104" s="13" t="s">
        <v>10410</v>
      </c>
      <c r="F1104" s="14">
        <v>41275</v>
      </c>
      <c r="G1104" s="14">
        <v>41639</v>
      </c>
      <c r="H1104" s="13" t="s">
        <v>651</v>
      </c>
      <c r="I1104" s="18">
        <v>2280.75</v>
      </c>
      <c r="J1104" s="18">
        <v>2280.75</v>
      </c>
      <c r="K1104" s="20" t="s">
        <v>790</v>
      </c>
    </row>
    <row r="1105" spans="1:11" ht="14.25" customHeight="1" x14ac:dyDescent="0.25">
      <c r="A1105" s="13" t="s">
        <v>10411</v>
      </c>
      <c r="B1105" s="13" t="s">
        <v>38</v>
      </c>
      <c r="C1105" s="13" t="s">
        <v>14</v>
      </c>
      <c r="D1105" s="19">
        <v>12151</v>
      </c>
      <c r="E1105" s="13" t="s">
        <v>10412</v>
      </c>
      <c r="F1105" s="14">
        <v>41275</v>
      </c>
      <c r="G1105" s="14">
        <v>41639</v>
      </c>
      <c r="H1105" s="13" t="s">
        <v>651</v>
      </c>
      <c r="I1105" s="18">
        <v>1015.5</v>
      </c>
      <c r="J1105" s="18">
        <v>1015.5</v>
      </c>
      <c r="K1105" s="20" t="s">
        <v>790</v>
      </c>
    </row>
    <row r="1106" spans="1:11" ht="14.25" customHeight="1" x14ac:dyDescent="0.25">
      <c r="A1106" s="13" t="s">
        <v>10413</v>
      </c>
      <c r="B1106" s="13" t="s">
        <v>38</v>
      </c>
      <c r="C1106" s="13" t="s">
        <v>14</v>
      </c>
      <c r="D1106" s="19">
        <v>12152</v>
      </c>
      <c r="E1106" s="13" t="s">
        <v>10414</v>
      </c>
      <c r="F1106" s="14">
        <v>41275</v>
      </c>
      <c r="G1106" s="14">
        <v>41639</v>
      </c>
      <c r="H1106" s="13" t="s">
        <v>651</v>
      </c>
      <c r="I1106" s="18">
        <v>749</v>
      </c>
      <c r="J1106" s="18">
        <v>749</v>
      </c>
      <c r="K1106" s="20" t="s">
        <v>790</v>
      </c>
    </row>
    <row r="1107" spans="1:11" ht="14.25" customHeight="1" x14ac:dyDescent="0.25">
      <c r="A1107" s="13" t="s">
        <v>10336</v>
      </c>
      <c r="B1107" s="13" t="s">
        <v>38</v>
      </c>
      <c r="C1107" s="13" t="s">
        <v>14</v>
      </c>
      <c r="D1107" s="19">
        <v>12153</v>
      </c>
      <c r="E1107" s="13" t="s">
        <v>10415</v>
      </c>
      <c r="F1107" s="14">
        <v>41275</v>
      </c>
      <c r="G1107" s="14">
        <v>41639</v>
      </c>
      <c r="H1107" s="13" t="s">
        <v>651</v>
      </c>
      <c r="I1107" s="18">
        <v>7900.92</v>
      </c>
      <c r="J1107" s="18">
        <v>7900.92</v>
      </c>
      <c r="K1107" s="20" t="s">
        <v>790</v>
      </c>
    </row>
    <row r="1108" spans="1:11" ht="14.25" customHeight="1" x14ac:dyDescent="0.25">
      <c r="A1108" s="13" t="s">
        <v>10416</v>
      </c>
      <c r="B1108" s="13" t="s">
        <v>38</v>
      </c>
      <c r="C1108" s="13" t="s">
        <v>14</v>
      </c>
      <c r="D1108" s="19">
        <v>12155</v>
      </c>
      <c r="E1108" s="13" t="s">
        <v>10417</v>
      </c>
      <c r="F1108" s="14">
        <v>41275</v>
      </c>
      <c r="G1108" s="14">
        <v>41639</v>
      </c>
      <c r="H1108" s="13" t="s">
        <v>651</v>
      </c>
      <c r="I1108" s="18">
        <v>300</v>
      </c>
      <c r="J1108" s="18">
        <v>300</v>
      </c>
      <c r="K1108" s="20" t="s">
        <v>790</v>
      </c>
    </row>
    <row r="1109" spans="1:11" ht="14.25" customHeight="1" x14ac:dyDescent="0.25">
      <c r="A1109" s="13" t="s">
        <v>10418</v>
      </c>
      <c r="B1109" s="13" t="s">
        <v>38</v>
      </c>
      <c r="C1109" s="13" t="s">
        <v>14</v>
      </c>
      <c r="D1109" s="19">
        <v>12156</v>
      </c>
      <c r="E1109" s="13" t="s">
        <v>10419</v>
      </c>
      <c r="F1109" s="14">
        <v>41275</v>
      </c>
      <c r="G1109" s="14">
        <v>41639</v>
      </c>
      <c r="H1109" s="13" t="s">
        <v>651</v>
      </c>
      <c r="I1109" s="18">
        <v>7517.94</v>
      </c>
      <c r="J1109" s="18">
        <v>7517.94</v>
      </c>
      <c r="K1109" s="20" t="s">
        <v>790</v>
      </c>
    </row>
    <row r="1110" spans="1:11" ht="14.25" customHeight="1" x14ac:dyDescent="0.25">
      <c r="A1110" s="13" t="s">
        <v>10420</v>
      </c>
      <c r="B1110" s="13" t="s">
        <v>38</v>
      </c>
      <c r="C1110" s="13" t="s">
        <v>14</v>
      </c>
      <c r="D1110" s="19">
        <v>12157</v>
      </c>
      <c r="E1110" s="13" t="s">
        <v>10421</v>
      </c>
      <c r="F1110" s="14">
        <v>41275</v>
      </c>
      <c r="G1110" s="14">
        <v>41639</v>
      </c>
      <c r="H1110" s="13" t="s">
        <v>651</v>
      </c>
      <c r="I1110" s="18">
        <v>33026.03</v>
      </c>
      <c r="J1110" s="18">
        <v>33026.03</v>
      </c>
      <c r="K1110" s="20" t="s">
        <v>790</v>
      </c>
    </row>
    <row r="1111" spans="1:11" ht="14.25" customHeight="1" x14ac:dyDescent="0.25">
      <c r="A1111" s="13" t="s">
        <v>10422</v>
      </c>
      <c r="B1111" s="13" t="s">
        <v>38</v>
      </c>
      <c r="C1111" s="13" t="s">
        <v>14</v>
      </c>
      <c r="D1111" s="19">
        <v>12158</v>
      </c>
      <c r="E1111" s="13" t="s">
        <v>10423</v>
      </c>
      <c r="F1111" s="14">
        <v>41275</v>
      </c>
      <c r="G1111" s="14">
        <v>41639</v>
      </c>
      <c r="H1111" s="13" t="s">
        <v>651</v>
      </c>
      <c r="I1111" s="18">
        <v>1905.7</v>
      </c>
      <c r="J1111" s="18">
        <v>1905.7</v>
      </c>
      <c r="K1111" s="20" t="s">
        <v>790</v>
      </c>
    </row>
    <row r="1112" spans="1:11" ht="14.25" customHeight="1" x14ac:dyDescent="0.25">
      <c r="A1112" s="13" t="s">
        <v>10424</v>
      </c>
      <c r="B1112" s="13" t="s">
        <v>38</v>
      </c>
      <c r="C1112" s="13" t="s">
        <v>14</v>
      </c>
      <c r="D1112" s="19">
        <v>12160</v>
      </c>
      <c r="E1112" s="13" t="s">
        <v>10425</v>
      </c>
      <c r="F1112" s="14">
        <v>41275</v>
      </c>
      <c r="G1112" s="14">
        <v>41639</v>
      </c>
      <c r="H1112" s="13" t="s">
        <v>651</v>
      </c>
      <c r="I1112" s="18">
        <v>3327.18</v>
      </c>
      <c r="J1112" s="18">
        <v>3327.18</v>
      </c>
      <c r="K1112" s="20" t="s">
        <v>790</v>
      </c>
    </row>
    <row r="1113" spans="1:11" ht="14.25" customHeight="1" x14ac:dyDescent="0.25">
      <c r="A1113" s="13" t="s">
        <v>10426</v>
      </c>
      <c r="B1113" s="13" t="s">
        <v>38</v>
      </c>
      <c r="C1113" s="13" t="s">
        <v>14</v>
      </c>
      <c r="D1113" s="19">
        <v>12161</v>
      </c>
      <c r="E1113" s="13" t="s">
        <v>1951</v>
      </c>
      <c r="F1113" s="14">
        <v>41275</v>
      </c>
      <c r="G1113" s="14">
        <v>41639</v>
      </c>
      <c r="H1113" s="13" t="s">
        <v>651</v>
      </c>
      <c r="I1113" s="18">
        <v>1980.27</v>
      </c>
      <c r="J1113" s="18">
        <v>1980.27</v>
      </c>
      <c r="K1113" s="20" t="s">
        <v>790</v>
      </c>
    </row>
    <row r="1114" spans="1:11" ht="14.25" customHeight="1" x14ac:dyDescent="0.25">
      <c r="A1114" s="13" t="s">
        <v>10427</v>
      </c>
      <c r="B1114" s="13" t="s">
        <v>38</v>
      </c>
      <c r="C1114" s="13" t="s">
        <v>14</v>
      </c>
      <c r="D1114" s="19">
        <v>12163</v>
      </c>
      <c r="E1114" s="13" t="s">
        <v>10428</v>
      </c>
      <c r="F1114" s="14">
        <v>41275</v>
      </c>
      <c r="G1114" s="14">
        <v>41639</v>
      </c>
      <c r="H1114" s="13" t="s">
        <v>651</v>
      </c>
      <c r="I1114" s="18">
        <v>1569.25</v>
      </c>
      <c r="J1114" s="18">
        <v>1569.25</v>
      </c>
      <c r="K1114" s="20" t="s">
        <v>790</v>
      </c>
    </row>
    <row r="1115" spans="1:11" ht="14.25" customHeight="1" x14ac:dyDescent="0.25">
      <c r="A1115" s="13" t="s">
        <v>10429</v>
      </c>
      <c r="B1115" s="13" t="s">
        <v>38</v>
      </c>
      <c r="C1115" s="13" t="s">
        <v>14</v>
      </c>
      <c r="D1115" s="19">
        <v>12164</v>
      </c>
      <c r="E1115" s="13" t="s">
        <v>10430</v>
      </c>
      <c r="F1115" s="14">
        <v>41275</v>
      </c>
      <c r="G1115" s="14">
        <v>41639</v>
      </c>
      <c r="H1115" s="13" t="s">
        <v>651</v>
      </c>
      <c r="I1115" s="18">
        <v>1335</v>
      </c>
      <c r="J1115" s="18">
        <v>1335</v>
      </c>
      <c r="K1115" s="20" t="s">
        <v>790</v>
      </c>
    </row>
    <row r="1116" spans="1:11" ht="14.25" customHeight="1" x14ac:dyDescent="0.25">
      <c r="A1116" s="13" t="s">
        <v>10431</v>
      </c>
      <c r="B1116" s="13" t="s">
        <v>38</v>
      </c>
      <c r="C1116" s="13" t="s">
        <v>14</v>
      </c>
      <c r="D1116" s="19">
        <v>12165</v>
      </c>
      <c r="E1116" s="13" t="s">
        <v>1962</v>
      </c>
      <c r="F1116" s="14">
        <v>41275</v>
      </c>
      <c r="G1116" s="14">
        <v>41639</v>
      </c>
      <c r="H1116" s="13" t="s">
        <v>651</v>
      </c>
      <c r="I1116" s="18">
        <v>5052.8</v>
      </c>
      <c r="J1116" s="18">
        <v>5052.8</v>
      </c>
      <c r="K1116" s="20" t="s">
        <v>790</v>
      </c>
    </row>
    <row r="1117" spans="1:11" ht="14.25" customHeight="1" x14ac:dyDescent="0.25">
      <c r="A1117" s="13" t="s">
        <v>10432</v>
      </c>
      <c r="B1117" s="13" t="s">
        <v>38</v>
      </c>
      <c r="C1117" s="13" t="s">
        <v>14</v>
      </c>
      <c r="D1117" s="19">
        <v>12167</v>
      </c>
      <c r="E1117" s="13" t="s">
        <v>10433</v>
      </c>
      <c r="F1117" s="14">
        <v>41275</v>
      </c>
      <c r="G1117" s="14">
        <v>41639</v>
      </c>
      <c r="H1117" s="13" t="s">
        <v>651</v>
      </c>
      <c r="I1117" s="18">
        <v>4397.2</v>
      </c>
      <c r="J1117" s="18">
        <v>4397.2</v>
      </c>
      <c r="K1117" s="20" t="s">
        <v>790</v>
      </c>
    </row>
    <row r="1118" spans="1:11" ht="14.25" customHeight="1" x14ac:dyDescent="0.25">
      <c r="A1118" s="13" t="s">
        <v>10347</v>
      </c>
      <c r="B1118" s="13" t="s">
        <v>38</v>
      </c>
      <c r="C1118" s="13" t="s">
        <v>14</v>
      </c>
      <c r="D1118" s="19">
        <v>12168</v>
      </c>
      <c r="E1118" s="13" t="s">
        <v>10434</v>
      </c>
      <c r="F1118" s="14">
        <v>41275</v>
      </c>
      <c r="G1118" s="14">
        <v>41639</v>
      </c>
      <c r="H1118" s="13" t="s">
        <v>651</v>
      </c>
      <c r="I1118" s="18">
        <f>35182.3-19.05</f>
        <v>35163.25</v>
      </c>
      <c r="J1118" s="18">
        <v>35182.300000000003</v>
      </c>
      <c r="K1118" s="20" t="s">
        <v>790</v>
      </c>
    </row>
    <row r="1119" spans="1:11" ht="14.25" customHeight="1" x14ac:dyDescent="0.25">
      <c r="A1119" s="13" t="s">
        <v>10435</v>
      </c>
      <c r="B1119" s="13" t="s">
        <v>38</v>
      </c>
      <c r="C1119" s="13" t="s">
        <v>14</v>
      </c>
      <c r="D1119" s="19">
        <v>12170</v>
      </c>
      <c r="E1119" s="13" t="s">
        <v>10436</v>
      </c>
      <c r="F1119" s="14">
        <v>41275</v>
      </c>
      <c r="G1119" s="14">
        <v>41639</v>
      </c>
      <c r="H1119" s="13" t="s">
        <v>651</v>
      </c>
      <c r="I1119" s="18">
        <v>2615.5300000000002</v>
      </c>
      <c r="J1119" s="18">
        <v>2615.5300000000002</v>
      </c>
      <c r="K1119" s="20" t="s">
        <v>790</v>
      </c>
    </row>
    <row r="1120" spans="1:11" ht="14.25" customHeight="1" x14ac:dyDescent="0.25">
      <c r="A1120" s="13" t="s">
        <v>10437</v>
      </c>
      <c r="B1120" s="13" t="s">
        <v>10192</v>
      </c>
      <c r="C1120" s="13" t="s">
        <v>14</v>
      </c>
      <c r="D1120" s="19">
        <v>12868</v>
      </c>
      <c r="E1120" s="13" t="s">
        <v>10438</v>
      </c>
      <c r="F1120" s="14">
        <v>41317</v>
      </c>
      <c r="H1120" s="13" t="s">
        <v>651</v>
      </c>
      <c r="I1120" s="18">
        <v>4526.84</v>
      </c>
      <c r="J1120" s="18">
        <v>2263.42</v>
      </c>
      <c r="K1120" s="20" t="s">
        <v>790</v>
      </c>
    </row>
    <row r="1121" spans="1:11" ht="14.25" customHeight="1" x14ac:dyDescent="0.25">
      <c r="A1121" s="13" t="s">
        <v>10439</v>
      </c>
      <c r="B1121" s="13" t="s">
        <v>10192</v>
      </c>
      <c r="C1121" s="13" t="s">
        <v>14</v>
      </c>
      <c r="D1121" s="19">
        <v>12869</v>
      </c>
      <c r="E1121" s="13" t="s">
        <v>10440</v>
      </c>
      <c r="F1121" s="14">
        <v>41578</v>
      </c>
      <c r="H1121" s="13" t="s">
        <v>651</v>
      </c>
      <c r="I1121" s="18">
        <v>30000</v>
      </c>
      <c r="J1121" s="18">
        <v>30000</v>
      </c>
      <c r="K1121" s="20" t="s">
        <v>790</v>
      </c>
    </row>
    <row r="1122" spans="1:11" ht="14.25" customHeight="1" x14ac:dyDescent="0.25">
      <c r="A1122" s="13" t="s">
        <v>10441</v>
      </c>
      <c r="B1122" s="13" t="s">
        <v>10192</v>
      </c>
      <c r="C1122" s="13" t="s">
        <v>14</v>
      </c>
      <c r="D1122" s="19">
        <v>12870</v>
      </c>
      <c r="E1122" s="13" t="s">
        <v>10442</v>
      </c>
      <c r="F1122" s="14">
        <v>41599</v>
      </c>
      <c r="H1122" s="13" t="s">
        <v>651</v>
      </c>
      <c r="I1122" s="18">
        <v>15000</v>
      </c>
      <c r="J1122" s="18">
        <v>15000</v>
      </c>
      <c r="K1122" s="20" t="s">
        <v>790</v>
      </c>
    </row>
    <row r="1123" spans="1:11" ht="14.25" customHeight="1" x14ac:dyDescent="0.25">
      <c r="A1123" s="13" t="s">
        <v>10443</v>
      </c>
      <c r="B1123" s="13" t="s">
        <v>10192</v>
      </c>
      <c r="C1123" s="13" t="s">
        <v>14</v>
      </c>
      <c r="D1123" s="19">
        <v>12871</v>
      </c>
      <c r="E1123" s="13" t="s">
        <v>10444</v>
      </c>
      <c r="F1123" s="14">
        <v>41578</v>
      </c>
      <c r="H1123" s="13" t="s">
        <v>651</v>
      </c>
      <c r="I1123" s="18">
        <v>31716</v>
      </c>
      <c r="J1123" s="18">
        <v>23358</v>
      </c>
      <c r="K1123" s="20" t="s">
        <v>790</v>
      </c>
    </row>
    <row r="1124" spans="1:11" ht="14.25" customHeight="1" x14ac:dyDescent="0.25">
      <c r="A1124" s="13" t="s">
        <v>10445</v>
      </c>
      <c r="B1124" s="13" t="s">
        <v>10192</v>
      </c>
      <c r="C1124" s="13" t="s">
        <v>14</v>
      </c>
      <c r="D1124" s="19">
        <v>12872</v>
      </c>
      <c r="E1124" s="13" t="s">
        <v>10446</v>
      </c>
      <c r="F1124" s="14">
        <v>41578</v>
      </c>
      <c r="H1124" s="13" t="s">
        <v>651</v>
      </c>
      <c r="I1124" s="18">
        <v>23746.68</v>
      </c>
      <c r="J1124" s="18">
        <v>19373.34</v>
      </c>
      <c r="K1124" s="20" t="s">
        <v>790</v>
      </c>
    </row>
    <row r="1125" spans="1:11" ht="14.25" customHeight="1" x14ac:dyDescent="0.25">
      <c r="A1125" s="13" t="s">
        <v>10447</v>
      </c>
      <c r="B1125" s="13" t="s">
        <v>10192</v>
      </c>
      <c r="C1125" s="13" t="s">
        <v>14</v>
      </c>
      <c r="D1125" s="19">
        <v>12873</v>
      </c>
      <c r="E1125" s="13" t="s">
        <v>10448</v>
      </c>
      <c r="F1125" s="14">
        <v>41411</v>
      </c>
      <c r="H1125" s="13" t="s">
        <v>651</v>
      </c>
      <c r="I1125" s="18">
        <v>15178.92</v>
      </c>
      <c r="J1125" s="18">
        <v>7589.46</v>
      </c>
      <c r="K1125" s="20" t="s">
        <v>790</v>
      </c>
    </row>
    <row r="1126" spans="1:11" ht="14.25" customHeight="1" x14ac:dyDescent="0.25">
      <c r="A1126" s="13" t="s">
        <v>10449</v>
      </c>
      <c r="B1126" s="13" t="s">
        <v>10195</v>
      </c>
      <c r="C1126" s="13" t="s">
        <v>14</v>
      </c>
      <c r="D1126" s="19">
        <v>12874</v>
      </c>
      <c r="E1126" s="13" t="s">
        <v>10450</v>
      </c>
      <c r="F1126" s="14">
        <v>41361</v>
      </c>
      <c r="H1126" s="13" t="s">
        <v>651</v>
      </c>
      <c r="I1126" s="18">
        <f>30322.02-803.12</f>
        <v>29518.9</v>
      </c>
      <c r="J1126" s="18">
        <f>15161.01-401.56</f>
        <v>14759.45</v>
      </c>
      <c r="K1126" s="20" t="s">
        <v>790</v>
      </c>
    </row>
    <row r="1127" spans="1:11" ht="14.25" customHeight="1" x14ac:dyDescent="0.25">
      <c r="A1127" s="13" t="s">
        <v>10451</v>
      </c>
      <c r="B1127" s="13" t="s">
        <v>10195</v>
      </c>
      <c r="C1127" s="13" t="s">
        <v>14</v>
      </c>
      <c r="D1127" s="19">
        <v>12875</v>
      </c>
      <c r="E1127" s="13" t="s">
        <v>10452</v>
      </c>
      <c r="F1127" s="14">
        <v>41172</v>
      </c>
      <c r="H1127" s="13" t="s">
        <v>651</v>
      </c>
      <c r="I1127" s="18">
        <v>19200</v>
      </c>
      <c r="J1127" s="18">
        <v>9600</v>
      </c>
      <c r="K1127" s="20" t="s">
        <v>790</v>
      </c>
    </row>
    <row r="1128" spans="1:11" ht="14.25" customHeight="1" x14ac:dyDescent="0.25">
      <c r="A1128" s="13" t="s">
        <v>10453</v>
      </c>
      <c r="B1128" s="13" t="s">
        <v>10192</v>
      </c>
      <c r="C1128" s="13" t="s">
        <v>14</v>
      </c>
      <c r="D1128" s="19">
        <v>12876</v>
      </c>
      <c r="E1128" s="13" t="s">
        <v>10454</v>
      </c>
      <c r="F1128" s="14">
        <v>41578</v>
      </c>
      <c r="H1128" s="13" t="s">
        <v>651</v>
      </c>
      <c r="I1128" s="18">
        <v>25000</v>
      </c>
      <c r="J1128" s="18">
        <v>20000</v>
      </c>
      <c r="K1128" s="20" t="s">
        <v>790</v>
      </c>
    </row>
    <row r="1129" spans="1:11" ht="14.25" customHeight="1" x14ac:dyDescent="0.25">
      <c r="A1129" s="13" t="s">
        <v>10455</v>
      </c>
      <c r="B1129" s="13" t="s">
        <v>10195</v>
      </c>
      <c r="C1129" s="13" t="s">
        <v>14</v>
      </c>
      <c r="D1129" s="19">
        <v>12877</v>
      </c>
      <c r="E1129" s="13" t="s">
        <v>10456</v>
      </c>
      <c r="F1129" s="14">
        <v>41578</v>
      </c>
      <c r="H1129" s="13" t="s">
        <v>651</v>
      </c>
      <c r="I1129" s="18">
        <v>120000</v>
      </c>
      <c r="J1129" s="18">
        <v>70000</v>
      </c>
      <c r="K1129" s="20" t="s">
        <v>790</v>
      </c>
    </row>
    <row r="1130" spans="1:11" ht="14.25" customHeight="1" x14ac:dyDescent="0.25">
      <c r="A1130" s="13" t="s">
        <v>10457</v>
      </c>
      <c r="B1130" s="13" t="s">
        <v>10192</v>
      </c>
      <c r="C1130" s="13" t="s">
        <v>14</v>
      </c>
      <c r="D1130" s="19">
        <v>12878</v>
      </c>
      <c r="E1130" s="13" t="s">
        <v>10458</v>
      </c>
      <c r="F1130" s="14">
        <v>41361</v>
      </c>
      <c r="H1130" s="13" t="s">
        <v>651</v>
      </c>
      <c r="I1130" s="18">
        <v>13463.9</v>
      </c>
      <c r="J1130" s="18">
        <v>6731.95</v>
      </c>
      <c r="K1130" s="20" t="s">
        <v>790</v>
      </c>
    </row>
    <row r="1131" spans="1:11" ht="14.25" customHeight="1" x14ac:dyDescent="0.25">
      <c r="A1131" s="13" t="s">
        <v>10459</v>
      </c>
      <c r="B1131" s="13" t="s">
        <v>10192</v>
      </c>
      <c r="C1131" s="13" t="s">
        <v>14</v>
      </c>
      <c r="D1131" s="19">
        <v>12879</v>
      </c>
      <c r="E1131" s="13" t="s">
        <v>10460</v>
      </c>
      <c r="F1131" s="14">
        <v>41410</v>
      </c>
      <c r="H1131" s="13" t="s">
        <v>651</v>
      </c>
      <c r="I1131" s="18">
        <v>5000</v>
      </c>
      <c r="J1131" s="18">
        <v>5000</v>
      </c>
      <c r="K1131" s="20" t="s">
        <v>790</v>
      </c>
    </row>
    <row r="1132" spans="1:11" ht="14.25" customHeight="1" x14ac:dyDescent="0.25">
      <c r="A1132" s="13" t="s">
        <v>10461</v>
      </c>
      <c r="B1132" s="13" t="s">
        <v>10192</v>
      </c>
      <c r="C1132" s="13" t="s">
        <v>14</v>
      </c>
      <c r="D1132" s="19">
        <v>12880</v>
      </c>
      <c r="E1132" s="13" t="s">
        <v>10462</v>
      </c>
      <c r="F1132" s="14">
        <v>41578</v>
      </c>
      <c r="H1132" s="13" t="s">
        <v>651</v>
      </c>
      <c r="I1132" s="18">
        <v>15000</v>
      </c>
      <c r="J1132" s="18">
        <v>15000</v>
      </c>
      <c r="K1132" s="20" t="s">
        <v>790</v>
      </c>
    </row>
    <row r="1133" spans="1:11" ht="14.25" customHeight="1" x14ac:dyDescent="0.25">
      <c r="A1133" s="13" t="s">
        <v>10463</v>
      </c>
      <c r="B1133" s="13" t="s">
        <v>10220</v>
      </c>
      <c r="C1133" s="13" t="s">
        <v>14</v>
      </c>
      <c r="D1133" s="19">
        <v>12881</v>
      </c>
      <c r="E1133" s="13" t="s">
        <v>10464</v>
      </c>
      <c r="F1133" s="14">
        <v>41361</v>
      </c>
      <c r="H1133" s="13" t="s">
        <v>651</v>
      </c>
      <c r="I1133" s="18">
        <v>20000</v>
      </c>
      <c r="J1133" s="18">
        <v>10000</v>
      </c>
      <c r="K1133" s="20" t="s">
        <v>790</v>
      </c>
    </row>
    <row r="1134" spans="1:11" ht="14.25" customHeight="1" x14ac:dyDescent="0.25">
      <c r="A1134" s="13" t="s">
        <v>10465</v>
      </c>
      <c r="B1134" s="13" t="s">
        <v>10195</v>
      </c>
      <c r="C1134" s="13" t="s">
        <v>14</v>
      </c>
      <c r="D1134" s="19">
        <v>12882</v>
      </c>
      <c r="E1134" s="13" t="s">
        <v>10466</v>
      </c>
      <c r="F1134" s="14">
        <v>41410</v>
      </c>
      <c r="H1134" s="13" t="s">
        <v>651</v>
      </c>
      <c r="I1134" s="18">
        <v>21318.92</v>
      </c>
      <c r="J1134" s="18">
        <v>15659.46</v>
      </c>
      <c r="K1134" s="20" t="s">
        <v>790</v>
      </c>
    </row>
    <row r="1135" spans="1:11" ht="14.25" customHeight="1" x14ac:dyDescent="0.25">
      <c r="A1135" s="13" t="s">
        <v>10467</v>
      </c>
      <c r="B1135" s="13" t="s">
        <v>10192</v>
      </c>
      <c r="C1135" s="13" t="s">
        <v>14</v>
      </c>
      <c r="D1135" s="19">
        <v>12883</v>
      </c>
      <c r="E1135" s="13" t="s">
        <v>10468</v>
      </c>
      <c r="F1135" s="14">
        <v>41361</v>
      </c>
      <c r="H1135" s="13" t="s">
        <v>651</v>
      </c>
      <c r="I1135" s="18">
        <v>17500</v>
      </c>
      <c r="J1135" s="18">
        <v>12500</v>
      </c>
      <c r="K1135" s="20" t="s">
        <v>790</v>
      </c>
    </row>
    <row r="1136" spans="1:11" ht="14.25" customHeight="1" x14ac:dyDescent="0.25">
      <c r="A1136" s="13" t="s">
        <v>10469</v>
      </c>
      <c r="B1136" s="13" t="s">
        <v>10192</v>
      </c>
      <c r="C1136" s="13" t="s">
        <v>14</v>
      </c>
      <c r="D1136" s="19">
        <v>12884</v>
      </c>
      <c r="E1136" s="13" t="s">
        <v>10470</v>
      </c>
      <c r="F1136" s="14">
        <v>41361</v>
      </c>
      <c r="H1136" s="13" t="s">
        <v>651</v>
      </c>
      <c r="I1136" s="18">
        <v>26196.799999999999</v>
      </c>
      <c r="J1136" s="18">
        <v>15598.4</v>
      </c>
      <c r="K1136" s="20" t="s">
        <v>790</v>
      </c>
    </row>
    <row r="1137" spans="1:13" ht="14.25" customHeight="1" x14ac:dyDescent="0.25">
      <c r="A1137" s="13" t="s">
        <v>10471</v>
      </c>
      <c r="B1137" s="13" t="s">
        <v>10192</v>
      </c>
      <c r="C1137" s="13" t="s">
        <v>14</v>
      </c>
      <c r="D1137" s="19">
        <v>12885</v>
      </c>
      <c r="E1137" s="13" t="s">
        <v>10472</v>
      </c>
      <c r="F1137" s="14">
        <v>41172</v>
      </c>
      <c r="H1137" s="13" t="s">
        <v>651</v>
      </c>
      <c r="I1137" s="18">
        <f>3344.24-1352.84</f>
        <v>1991.3999999999999</v>
      </c>
      <c r="J1137" s="18">
        <f>1672.12-676.41</f>
        <v>995.70999999999992</v>
      </c>
      <c r="K1137" s="20" t="s">
        <v>790</v>
      </c>
    </row>
    <row r="1138" spans="1:13" ht="14.25" customHeight="1" x14ac:dyDescent="0.25">
      <c r="A1138" s="13" t="s">
        <v>10473</v>
      </c>
      <c r="B1138" s="13" t="s">
        <v>10192</v>
      </c>
      <c r="C1138" s="13" t="s">
        <v>14</v>
      </c>
      <c r="D1138" s="19">
        <v>12886</v>
      </c>
      <c r="E1138" s="13" t="s">
        <v>10474</v>
      </c>
      <c r="F1138" s="14">
        <v>41599</v>
      </c>
      <c r="H1138" s="13" t="s">
        <v>651</v>
      </c>
      <c r="I1138" s="18">
        <v>39100</v>
      </c>
      <c r="J1138" s="18">
        <v>27014.73</v>
      </c>
      <c r="K1138" s="20" t="s">
        <v>790</v>
      </c>
    </row>
    <row r="1139" spans="1:13" ht="14.25" customHeight="1" x14ac:dyDescent="0.25">
      <c r="A1139" s="13" t="s">
        <v>10475</v>
      </c>
      <c r="B1139" s="13" t="s">
        <v>10192</v>
      </c>
      <c r="C1139" s="13" t="s">
        <v>14</v>
      </c>
      <c r="D1139" s="19">
        <v>12887</v>
      </c>
      <c r="E1139" s="13" t="s">
        <v>10476</v>
      </c>
      <c r="F1139" s="14">
        <v>41578</v>
      </c>
      <c r="H1139" s="13" t="s">
        <v>651</v>
      </c>
      <c r="I1139" s="18">
        <v>50000</v>
      </c>
      <c r="J1139" s="18">
        <v>25000</v>
      </c>
      <c r="K1139" s="20" t="s">
        <v>790</v>
      </c>
    </row>
    <row r="1140" spans="1:13" ht="14.25" customHeight="1" x14ac:dyDescent="0.25">
      <c r="A1140" s="13" t="s">
        <v>10477</v>
      </c>
      <c r="B1140" s="13" t="s">
        <v>10192</v>
      </c>
      <c r="C1140" s="13" t="s">
        <v>14</v>
      </c>
      <c r="D1140" s="19">
        <v>12888</v>
      </c>
      <c r="E1140" s="13" t="s">
        <v>10478</v>
      </c>
      <c r="F1140" s="14">
        <v>41578</v>
      </c>
      <c r="H1140" s="13" t="s">
        <v>651</v>
      </c>
      <c r="I1140" s="18">
        <v>26496</v>
      </c>
      <c r="J1140" s="18">
        <v>20748</v>
      </c>
      <c r="K1140" s="20" t="s">
        <v>790</v>
      </c>
    </row>
    <row r="1141" spans="1:13" ht="14.25" customHeight="1" x14ac:dyDescent="0.25">
      <c r="A1141" s="13" t="s">
        <v>10479</v>
      </c>
      <c r="B1141" s="13" t="s">
        <v>10192</v>
      </c>
      <c r="C1141" s="13" t="s">
        <v>14</v>
      </c>
      <c r="D1141" s="19">
        <v>12889</v>
      </c>
      <c r="E1141" s="13" t="s">
        <v>10480</v>
      </c>
      <c r="F1141" s="14">
        <v>41410</v>
      </c>
      <c r="H1141" s="13" t="s">
        <v>651</v>
      </c>
      <c r="I1141" s="18">
        <v>20000</v>
      </c>
      <c r="J1141" s="18">
        <v>13750</v>
      </c>
      <c r="K1141" s="20" t="s">
        <v>790</v>
      </c>
    </row>
    <row r="1142" spans="1:13" ht="14.25" customHeight="1" x14ac:dyDescent="0.25">
      <c r="A1142" s="13" t="s">
        <v>10481</v>
      </c>
      <c r="B1142" s="13" t="s">
        <v>10192</v>
      </c>
      <c r="C1142" s="13" t="s">
        <v>14</v>
      </c>
      <c r="D1142" s="19">
        <v>12890</v>
      </c>
      <c r="E1142" s="13" t="s">
        <v>10482</v>
      </c>
      <c r="F1142" s="14">
        <v>41317</v>
      </c>
      <c r="H1142" s="13" t="s">
        <v>651</v>
      </c>
      <c r="I1142" s="18">
        <v>30000</v>
      </c>
      <c r="J1142" s="18">
        <v>20000</v>
      </c>
      <c r="K1142" s="20" t="s">
        <v>790</v>
      </c>
    </row>
    <row r="1143" spans="1:13" ht="14.25" customHeight="1" x14ac:dyDescent="0.25">
      <c r="A1143" s="13" t="s">
        <v>10485</v>
      </c>
      <c r="B1143" s="13" t="s">
        <v>10192</v>
      </c>
      <c r="C1143" s="13" t="s">
        <v>14</v>
      </c>
      <c r="D1143" s="19">
        <v>12892</v>
      </c>
      <c r="E1143" s="13" t="s">
        <v>10486</v>
      </c>
      <c r="F1143" s="14">
        <v>41578</v>
      </c>
      <c r="H1143" s="13" t="s">
        <v>651</v>
      </c>
      <c r="I1143" s="18">
        <v>15000</v>
      </c>
      <c r="J1143" s="18">
        <v>15000</v>
      </c>
      <c r="K1143" s="20" t="s">
        <v>790</v>
      </c>
    </row>
    <row r="1144" spans="1:13" ht="14.25" customHeight="1" x14ac:dyDescent="0.25">
      <c r="A1144" s="13" t="s">
        <v>10467</v>
      </c>
      <c r="B1144" s="13" t="s">
        <v>10220</v>
      </c>
      <c r="C1144" s="13" t="s">
        <v>14</v>
      </c>
      <c r="D1144" s="19">
        <v>12893</v>
      </c>
      <c r="E1144" s="13" t="s">
        <v>11145</v>
      </c>
      <c r="F1144" s="14">
        <v>41361</v>
      </c>
      <c r="H1144" s="13" t="s">
        <v>651</v>
      </c>
      <c r="I1144" s="18">
        <v>6000</v>
      </c>
      <c r="J1144" s="18">
        <v>3000</v>
      </c>
      <c r="K1144" s="20" t="s">
        <v>790</v>
      </c>
    </row>
    <row r="1145" spans="1:13" ht="14.25" customHeight="1" x14ac:dyDescent="0.25">
      <c r="A1145" s="13" t="s">
        <v>10487</v>
      </c>
      <c r="B1145" s="13" t="s">
        <v>38</v>
      </c>
      <c r="C1145" s="13" t="s">
        <v>14</v>
      </c>
      <c r="D1145" s="19">
        <v>12894</v>
      </c>
      <c r="E1145" s="13" t="s">
        <v>10488</v>
      </c>
      <c r="F1145" s="14">
        <v>41030</v>
      </c>
      <c r="H1145" s="13" t="s">
        <v>651</v>
      </c>
      <c r="I1145" s="18">
        <v>2724.6</v>
      </c>
      <c r="J1145" s="18">
        <v>2724.6</v>
      </c>
      <c r="K1145" s="20" t="s">
        <v>790</v>
      </c>
    </row>
    <row r="1146" spans="1:13" ht="14.25" customHeight="1" x14ac:dyDescent="0.25">
      <c r="A1146" s="13" t="s">
        <v>10489</v>
      </c>
      <c r="B1146" s="13" t="s">
        <v>38</v>
      </c>
      <c r="C1146" s="13" t="s">
        <v>14</v>
      </c>
      <c r="D1146" s="19">
        <v>12895</v>
      </c>
      <c r="E1146" s="13" t="s">
        <v>10490</v>
      </c>
      <c r="F1146" s="14">
        <v>41395</v>
      </c>
      <c r="H1146" s="13" t="s">
        <v>651</v>
      </c>
      <c r="I1146" s="18">
        <v>5713.09</v>
      </c>
      <c r="J1146" s="18">
        <v>5713.09</v>
      </c>
      <c r="K1146" s="20" t="s">
        <v>790</v>
      </c>
    </row>
    <row r="1147" spans="1:13" s="4" customFormat="1" ht="14.25" customHeight="1" x14ac:dyDescent="0.25">
      <c r="A1147" s="4" t="s">
        <v>2025</v>
      </c>
      <c r="B1147" s="4" t="s">
        <v>13</v>
      </c>
      <c r="C1147" s="4" t="s">
        <v>14</v>
      </c>
      <c r="D1147" s="35">
        <v>9998</v>
      </c>
      <c r="E1147" s="7" t="s">
        <v>2026</v>
      </c>
      <c r="F1147" s="5">
        <v>40353</v>
      </c>
      <c r="G1147" s="5">
        <v>40898</v>
      </c>
      <c r="H1147" s="4" t="s">
        <v>2027</v>
      </c>
      <c r="I1147" s="6">
        <v>166222.76999999999</v>
      </c>
      <c r="J1147" s="6">
        <v>37724.67</v>
      </c>
      <c r="K1147" s="37" t="s">
        <v>790</v>
      </c>
      <c r="L1147" s="119"/>
      <c r="M1147" s="3"/>
    </row>
    <row r="1148" spans="1:13" s="4" customFormat="1" ht="14.25" customHeight="1" x14ac:dyDescent="0.25">
      <c r="D1148" s="35"/>
      <c r="E1148" s="26" t="s">
        <v>351</v>
      </c>
      <c r="F1148" s="28"/>
      <c r="G1148" s="28"/>
      <c r="H1148" s="26"/>
      <c r="I1148" s="27">
        <f>SUM(I408:I488)</f>
        <v>9037097.8999999966</v>
      </c>
      <c r="J1148" s="27">
        <f>SUM(J408:J488)</f>
        <v>2278267.13</v>
      </c>
      <c r="K1148" s="37" t="s">
        <v>790</v>
      </c>
      <c r="L1148" s="119"/>
      <c r="M1148" s="3"/>
    </row>
    <row r="1149" spans="1:13" s="4" customFormat="1" ht="14.25" customHeight="1" x14ac:dyDescent="0.25">
      <c r="D1149" s="35"/>
      <c r="E1149" s="26" t="s">
        <v>786</v>
      </c>
      <c r="F1149" s="28"/>
      <c r="G1149" s="28"/>
      <c r="H1149" s="26"/>
      <c r="I1149" s="25">
        <f>SUM(I489:I512)</f>
        <v>9067994.9400000013</v>
      </c>
      <c r="J1149" s="25">
        <f>SUM(J489:J512)</f>
        <v>2832303.37</v>
      </c>
      <c r="K1149" s="37" t="s">
        <v>790</v>
      </c>
      <c r="L1149" s="119"/>
      <c r="M1149" s="3"/>
    </row>
    <row r="1150" spans="1:13" s="4" customFormat="1" ht="14.25" customHeight="1" x14ac:dyDescent="0.25">
      <c r="D1150" s="35"/>
      <c r="E1150" s="26" t="s">
        <v>352</v>
      </c>
      <c r="F1150" s="28"/>
      <c r="G1150" s="28"/>
      <c r="H1150" s="26"/>
      <c r="I1150" s="27">
        <f>SUM(I513:I1146)</f>
        <v>13291328.069999991</v>
      </c>
      <c r="J1150" s="27">
        <f>SUM(J513:J1146)</f>
        <v>10696732.879999992</v>
      </c>
      <c r="K1150" s="37" t="s">
        <v>790</v>
      </c>
      <c r="L1150" s="119"/>
      <c r="M1150" s="3"/>
    </row>
    <row r="1151" spans="1:13" s="4" customFormat="1" ht="14.25" customHeight="1" x14ac:dyDescent="0.25">
      <c r="D1151" s="35"/>
      <c r="E1151" s="26" t="s">
        <v>2028</v>
      </c>
      <c r="F1151" s="28"/>
      <c r="G1151" s="28"/>
      <c r="H1151" s="26"/>
      <c r="I1151" s="27">
        <f>SUM(I1147)</f>
        <v>166222.76999999999</v>
      </c>
      <c r="J1151" s="27">
        <f>SUM(J1147)</f>
        <v>37724.67</v>
      </c>
      <c r="K1151" s="37" t="s">
        <v>790</v>
      </c>
      <c r="L1151" s="119"/>
      <c r="M1151" s="3"/>
    </row>
    <row r="1152" spans="1:13" s="4" customFormat="1" ht="14.25" customHeight="1" x14ac:dyDescent="0.25">
      <c r="D1152" s="35"/>
      <c r="E1152" s="26" t="s">
        <v>2029</v>
      </c>
      <c r="F1152" s="28"/>
      <c r="G1152" s="28"/>
      <c r="H1152" s="26"/>
      <c r="I1152" s="27">
        <f>SUM(I1148:I1151)</f>
        <v>31562643.679999989</v>
      </c>
      <c r="J1152" s="27">
        <f>SUM(J1148:J1151)</f>
        <v>15845028.049999991</v>
      </c>
      <c r="K1152" s="37" t="s">
        <v>790</v>
      </c>
      <c r="L1152" s="119"/>
      <c r="M1152" s="3"/>
    </row>
    <row r="1153" spans="1:13" s="4" customFormat="1" ht="14.25" customHeight="1" x14ac:dyDescent="0.25">
      <c r="D1153" s="35"/>
      <c r="E1153" s="7"/>
      <c r="F1153" s="5"/>
      <c r="G1153" s="5"/>
      <c r="I1153" s="6"/>
      <c r="J1153" s="6"/>
      <c r="K1153" s="37"/>
      <c r="L1153" s="119"/>
      <c r="M1153" s="3"/>
    </row>
    <row r="1154" spans="1:13" s="32" customFormat="1" ht="14.25" customHeight="1" x14ac:dyDescent="0.25">
      <c r="A1154" s="13" t="s">
        <v>4316</v>
      </c>
      <c r="B1154" s="32" t="s">
        <v>13</v>
      </c>
      <c r="C1154" s="32" t="s">
        <v>14</v>
      </c>
      <c r="D1154" s="33">
        <v>4410</v>
      </c>
      <c r="E1154" s="13" t="s">
        <v>11617</v>
      </c>
      <c r="F1154" s="34">
        <v>39553</v>
      </c>
      <c r="G1154" s="34">
        <v>41274</v>
      </c>
      <c r="H1154" s="32" t="s">
        <v>11618</v>
      </c>
      <c r="I1154" s="94">
        <v>1203692.6299999999</v>
      </c>
      <c r="J1154" s="94">
        <v>1203692.6299999999</v>
      </c>
      <c r="K1154" s="38" t="s">
        <v>2033</v>
      </c>
      <c r="L1154" s="122"/>
    </row>
    <row r="1155" spans="1:13" s="32" customFormat="1" ht="14.25" customHeight="1" x14ac:dyDescent="0.25">
      <c r="A1155" s="13" t="s">
        <v>2030</v>
      </c>
      <c r="B1155" s="32" t="s">
        <v>13</v>
      </c>
      <c r="C1155" s="32" t="s">
        <v>14</v>
      </c>
      <c r="D1155" s="33">
        <v>6186</v>
      </c>
      <c r="E1155" s="13" t="s">
        <v>2031</v>
      </c>
      <c r="F1155" s="34">
        <v>39643</v>
      </c>
      <c r="G1155" s="34">
        <v>41104</v>
      </c>
      <c r="H1155" s="32" t="s">
        <v>11618</v>
      </c>
      <c r="I1155" s="94">
        <v>1009069.9</v>
      </c>
      <c r="J1155" s="94">
        <v>1009069.9</v>
      </c>
      <c r="K1155" s="38" t="s">
        <v>2033</v>
      </c>
      <c r="L1155" s="122"/>
    </row>
    <row r="1156" spans="1:13" s="32" customFormat="1" ht="14.25" customHeight="1" x14ac:dyDescent="0.25">
      <c r="A1156" s="13" t="s">
        <v>11404</v>
      </c>
      <c r="B1156" s="32" t="s">
        <v>13</v>
      </c>
      <c r="C1156" s="32" t="s">
        <v>14</v>
      </c>
      <c r="D1156" s="33">
        <v>10984</v>
      </c>
      <c r="E1156" s="13" t="s">
        <v>11404</v>
      </c>
      <c r="F1156" s="34">
        <v>40544</v>
      </c>
      <c r="G1156" s="34">
        <v>41274</v>
      </c>
      <c r="H1156" s="32" t="s">
        <v>11618</v>
      </c>
      <c r="I1156" s="94">
        <v>291845.84999999998</v>
      </c>
      <c r="J1156" s="94">
        <v>291845.84999999998</v>
      </c>
      <c r="K1156" s="38" t="s">
        <v>2033</v>
      </c>
      <c r="L1156" s="122"/>
    </row>
    <row r="1157" spans="1:13" s="4" customFormat="1" ht="14.25" customHeight="1" x14ac:dyDescent="0.25">
      <c r="A1157" s="4" t="s">
        <v>2034</v>
      </c>
      <c r="B1157" s="4" t="s">
        <v>13</v>
      </c>
      <c r="C1157" s="4" t="s">
        <v>14</v>
      </c>
      <c r="D1157" s="35">
        <v>3907</v>
      </c>
      <c r="E1157" s="4" t="s">
        <v>2035</v>
      </c>
      <c r="F1157" s="5">
        <v>39770</v>
      </c>
      <c r="G1157" s="5">
        <v>40170</v>
      </c>
      <c r="H1157" s="4" t="s">
        <v>16</v>
      </c>
      <c r="I1157" s="6">
        <v>228870</v>
      </c>
      <c r="J1157" s="6">
        <v>44493</v>
      </c>
      <c r="K1157" s="37" t="s">
        <v>2033</v>
      </c>
      <c r="L1157" s="119"/>
      <c r="M1157" s="3"/>
    </row>
    <row r="1158" spans="1:13" s="4" customFormat="1" ht="14.25" customHeight="1" x14ac:dyDescent="0.25">
      <c r="A1158" s="4" t="s">
        <v>839</v>
      </c>
      <c r="B1158" s="4" t="s">
        <v>13</v>
      </c>
      <c r="C1158" s="4" t="s">
        <v>14</v>
      </c>
      <c r="D1158" s="35">
        <v>4163</v>
      </c>
      <c r="E1158" s="4" t="s">
        <v>2036</v>
      </c>
      <c r="F1158" s="5">
        <v>39545</v>
      </c>
      <c r="G1158" s="5">
        <v>39903</v>
      </c>
      <c r="H1158" s="4" t="s">
        <v>16</v>
      </c>
      <c r="I1158" s="6">
        <v>18800</v>
      </c>
      <c r="J1158" s="6">
        <v>5640</v>
      </c>
      <c r="K1158" s="37" t="s">
        <v>2033</v>
      </c>
      <c r="L1158" s="119"/>
      <c r="M1158" s="3"/>
    </row>
    <row r="1159" spans="1:13" s="4" customFormat="1" ht="14.25" customHeight="1" x14ac:dyDescent="0.25">
      <c r="A1159" s="4" t="s">
        <v>2037</v>
      </c>
      <c r="B1159" s="4" t="s">
        <v>13</v>
      </c>
      <c r="C1159" s="4" t="s">
        <v>14</v>
      </c>
      <c r="D1159" s="35">
        <v>4401</v>
      </c>
      <c r="E1159" s="7" t="s">
        <v>2038</v>
      </c>
      <c r="F1159" s="5">
        <v>39356</v>
      </c>
      <c r="G1159" s="5">
        <v>40298</v>
      </c>
      <c r="H1159" s="4" t="s">
        <v>2039</v>
      </c>
      <c r="I1159" s="6">
        <f>298915.62+29792.91</f>
        <v>328708.52999999997</v>
      </c>
      <c r="J1159" s="6">
        <f>328708.53</f>
        <v>328708.53000000003</v>
      </c>
      <c r="K1159" s="37" t="s">
        <v>2033</v>
      </c>
      <c r="L1159" s="119"/>
      <c r="M1159" s="3"/>
    </row>
    <row r="1160" spans="1:13" s="4" customFormat="1" ht="14.25" customHeight="1" x14ac:dyDescent="0.25">
      <c r="A1160" s="4" t="s">
        <v>2040</v>
      </c>
      <c r="B1160" s="4" t="s">
        <v>13</v>
      </c>
      <c r="C1160" s="4" t="s">
        <v>14</v>
      </c>
      <c r="D1160" s="35">
        <v>4727</v>
      </c>
      <c r="E1160" s="7" t="s">
        <v>2041</v>
      </c>
      <c r="F1160" s="5">
        <v>39417</v>
      </c>
      <c r="G1160" s="5">
        <v>39903</v>
      </c>
      <c r="H1160" s="4" t="s">
        <v>2039</v>
      </c>
      <c r="I1160" s="6">
        <v>63642.69</v>
      </c>
      <c r="J1160" s="6">
        <v>63642.69</v>
      </c>
      <c r="K1160" s="37" t="s">
        <v>2033</v>
      </c>
      <c r="L1160" s="119"/>
      <c r="M1160" s="3"/>
    </row>
    <row r="1161" spans="1:13" s="4" customFormat="1" ht="14.25" customHeight="1" x14ac:dyDescent="0.25">
      <c r="A1161" s="4" t="s">
        <v>2042</v>
      </c>
      <c r="B1161" s="4" t="s">
        <v>13</v>
      </c>
      <c r="C1161" s="4" t="s">
        <v>14</v>
      </c>
      <c r="D1161" s="35">
        <v>4730</v>
      </c>
      <c r="E1161" s="7" t="s">
        <v>2043</v>
      </c>
      <c r="F1161" s="5">
        <v>39332</v>
      </c>
      <c r="G1161" s="5">
        <v>39887</v>
      </c>
      <c r="H1161" s="4" t="s">
        <v>2039</v>
      </c>
      <c r="I1161" s="6">
        <v>74657.41</v>
      </c>
      <c r="J1161" s="6">
        <v>74657.41</v>
      </c>
      <c r="K1161" s="37" t="s">
        <v>2033</v>
      </c>
      <c r="L1161" s="119"/>
      <c r="M1161" s="3"/>
    </row>
    <row r="1162" spans="1:13" s="4" customFormat="1" ht="14.25" customHeight="1" x14ac:dyDescent="0.25">
      <c r="A1162" s="4" t="s">
        <v>2044</v>
      </c>
      <c r="B1162" s="4" t="s">
        <v>13</v>
      </c>
      <c r="C1162" s="4" t="s">
        <v>14</v>
      </c>
      <c r="D1162" s="35">
        <v>4732</v>
      </c>
      <c r="E1162" s="7" t="s">
        <v>2045</v>
      </c>
      <c r="F1162" s="5">
        <v>40179</v>
      </c>
      <c r="G1162" s="5">
        <v>41090</v>
      </c>
      <c r="H1162" s="4" t="s">
        <v>2039</v>
      </c>
      <c r="I1162" s="6">
        <f>92880.18+72581.22+12995.58+14506.25</f>
        <v>192963.22999999998</v>
      </c>
      <c r="J1162" s="6">
        <f>178456.98+14506.25</f>
        <v>192963.23</v>
      </c>
      <c r="K1162" s="37" t="s">
        <v>2033</v>
      </c>
      <c r="L1162" s="119"/>
      <c r="M1162" s="3"/>
    </row>
    <row r="1163" spans="1:13" s="4" customFormat="1" ht="14.25" customHeight="1" x14ac:dyDescent="0.25">
      <c r="A1163" s="4" t="s">
        <v>2046</v>
      </c>
      <c r="B1163" s="4" t="s">
        <v>13</v>
      </c>
      <c r="C1163" s="4" t="s">
        <v>14</v>
      </c>
      <c r="D1163" s="35">
        <v>4734</v>
      </c>
      <c r="E1163" s="7" t="s">
        <v>2047</v>
      </c>
      <c r="F1163" s="5">
        <v>39873</v>
      </c>
      <c r="G1163" s="5">
        <v>40245</v>
      </c>
      <c r="H1163" s="4" t="s">
        <v>2039</v>
      </c>
      <c r="I1163" s="6">
        <v>80356.88</v>
      </c>
      <c r="J1163" s="6">
        <v>80356.88</v>
      </c>
      <c r="K1163" s="37" t="s">
        <v>2033</v>
      </c>
      <c r="L1163" s="119"/>
      <c r="M1163" s="3"/>
    </row>
    <row r="1164" spans="1:13" s="4" customFormat="1" ht="14.25" customHeight="1" x14ac:dyDescent="0.25">
      <c r="A1164" s="4" t="s">
        <v>2048</v>
      </c>
      <c r="B1164" s="4" t="s">
        <v>13</v>
      </c>
      <c r="C1164" s="4" t="s">
        <v>14</v>
      </c>
      <c r="D1164" s="35">
        <v>4736</v>
      </c>
      <c r="E1164" s="4" t="s">
        <v>2049</v>
      </c>
      <c r="F1164" s="5">
        <v>39873</v>
      </c>
      <c r="G1164" s="5">
        <v>40451</v>
      </c>
      <c r="H1164" s="4" t="s">
        <v>2039</v>
      </c>
      <c r="I1164" s="6">
        <v>79934.37</v>
      </c>
      <c r="J1164" s="6">
        <v>79934.37</v>
      </c>
      <c r="K1164" s="37" t="s">
        <v>2033</v>
      </c>
      <c r="L1164" s="119"/>
      <c r="M1164" s="3"/>
    </row>
    <row r="1165" spans="1:13" s="4" customFormat="1" ht="14.25" customHeight="1" x14ac:dyDescent="0.25">
      <c r="A1165" s="4" t="s">
        <v>2050</v>
      </c>
      <c r="B1165" s="4" t="s">
        <v>13</v>
      </c>
      <c r="C1165" s="4" t="s">
        <v>14</v>
      </c>
      <c r="D1165" s="35">
        <v>4737</v>
      </c>
      <c r="E1165" s="7" t="s">
        <v>2051</v>
      </c>
      <c r="F1165" s="5">
        <v>39904</v>
      </c>
      <c r="G1165" s="5">
        <v>40817</v>
      </c>
      <c r="H1165" s="4" t="s">
        <v>2039</v>
      </c>
      <c r="I1165" s="6">
        <v>355589.24</v>
      </c>
      <c r="J1165" s="6">
        <v>355589.24</v>
      </c>
      <c r="K1165" s="37" t="s">
        <v>2033</v>
      </c>
      <c r="L1165" s="119"/>
      <c r="M1165" s="3"/>
    </row>
    <row r="1166" spans="1:13" s="4" customFormat="1" ht="14.25" customHeight="1" x14ac:dyDescent="0.25">
      <c r="A1166" s="4" t="s">
        <v>2052</v>
      </c>
      <c r="B1166" s="4" t="s">
        <v>13</v>
      </c>
      <c r="C1166" s="4" t="s">
        <v>14</v>
      </c>
      <c r="D1166" s="35">
        <v>4739</v>
      </c>
      <c r="E1166" s="7" t="s">
        <v>2053</v>
      </c>
      <c r="F1166" s="5">
        <v>40057</v>
      </c>
      <c r="G1166" s="5">
        <v>40421</v>
      </c>
      <c r="H1166" s="4" t="s">
        <v>2039</v>
      </c>
      <c r="I1166" s="6">
        <v>84495.02</v>
      </c>
      <c r="J1166" s="6">
        <v>84495.02</v>
      </c>
      <c r="K1166" s="37" t="s">
        <v>2033</v>
      </c>
      <c r="L1166" s="119"/>
      <c r="M1166" s="3"/>
    </row>
    <row r="1167" spans="1:13" s="4" customFormat="1" ht="14.25" customHeight="1" x14ac:dyDescent="0.25">
      <c r="A1167" s="4" t="s">
        <v>2054</v>
      </c>
      <c r="B1167" s="4" t="s">
        <v>13</v>
      </c>
      <c r="C1167" s="4" t="s">
        <v>14</v>
      </c>
      <c r="D1167" s="35">
        <v>4741</v>
      </c>
      <c r="E1167" s="7" t="s">
        <v>2055</v>
      </c>
      <c r="F1167" s="5">
        <v>40087</v>
      </c>
      <c r="G1167" s="5">
        <v>40451</v>
      </c>
      <c r="H1167" s="4" t="s">
        <v>2039</v>
      </c>
      <c r="I1167" s="6">
        <v>87034.96</v>
      </c>
      <c r="J1167" s="6">
        <v>87034.96</v>
      </c>
      <c r="K1167" s="37" t="s">
        <v>2033</v>
      </c>
      <c r="L1167" s="119"/>
      <c r="M1167" s="3"/>
    </row>
    <row r="1168" spans="1:13" s="4" customFormat="1" ht="14.25" customHeight="1" x14ac:dyDescent="0.25">
      <c r="A1168" s="4" t="s">
        <v>2056</v>
      </c>
      <c r="B1168" s="4" t="s">
        <v>13</v>
      </c>
      <c r="C1168" s="4" t="s">
        <v>14</v>
      </c>
      <c r="D1168" s="35">
        <v>4742</v>
      </c>
      <c r="E1168" s="7" t="s">
        <v>2057</v>
      </c>
      <c r="F1168" s="5">
        <v>39387</v>
      </c>
      <c r="G1168" s="5">
        <v>39752</v>
      </c>
      <c r="H1168" s="4" t="s">
        <v>2039</v>
      </c>
      <c r="I1168" s="6">
        <v>70261.350000000006</v>
      </c>
      <c r="J1168" s="6">
        <v>70261.350000000006</v>
      </c>
      <c r="K1168" s="37" t="s">
        <v>2033</v>
      </c>
      <c r="L1168" s="119"/>
      <c r="M1168" s="3"/>
    </row>
    <row r="1169" spans="1:60" s="4" customFormat="1" ht="14.25" customHeight="1" x14ac:dyDescent="0.25">
      <c r="A1169" s="4" t="s">
        <v>2058</v>
      </c>
      <c r="B1169" s="4" t="s">
        <v>13</v>
      </c>
      <c r="C1169" s="4" t="s">
        <v>14</v>
      </c>
      <c r="D1169" s="35">
        <v>4743</v>
      </c>
      <c r="E1169" s="7" t="s">
        <v>2059</v>
      </c>
      <c r="F1169" s="5">
        <v>40119</v>
      </c>
      <c r="G1169" s="5">
        <v>40786</v>
      </c>
      <c r="H1169" s="4" t="s">
        <v>2039</v>
      </c>
      <c r="I1169" s="6">
        <v>89185.81</v>
      </c>
      <c r="J1169" s="6">
        <v>89185.81</v>
      </c>
      <c r="K1169" s="37" t="s">
        <v>2033</v>
      </c>
      <c r="L1169" s="119"/>
      <c r="M1169" s="3"/>
    </row>
    <row r="1170" spans="1:60" s="4" customFormat="1" ht="14.25" customHeight="1" x14ac:dyDescent="0.25">
      <c r="A1170" s="4" t="s">
        <v>2060</v>
      </c>
      <c r="B1170" s="4" t="s">
        <v>13</v>
      </c>
      <c r="C1170" s="4" t="s">
        <v>14</v>
      </c>
      <c r="D1170" s="35">
        <v>4745</v>
      </c>
      <c r="E1170" s="4" t="s">
        <v>2060</v>
      </c>
      <c r="F1170" s="5">
        <v>39448</v>
      </c>
      <c r="G1170" s="5">
        <v>39994</v>
      </c>
      <c r="H1170" s="4" t="s">
        <v>2039</v>
      </c>
      <c r="I1170" s="6">
        <v>33161.93</v>
      </c>
      <c r="J1170" s="6">
        <v>33161.93</v>
      </c>
      <c r="K1170" s="37" t="s">
        <v>2033</v>
      </c>
      <c r="L1170" s="119"/>
      <c r="M1170" s="3"/>
    </row>
    <row r="1171" spans="1:60" s="4" customFormat="1" ht="14.25" customHeight="1" x14ac:dyDescent="0.25">
      <c r="A1171" s="4" t="s">
        <v>2061</v>
      </c>
      <c r="B1171" s="4" t="s">
        <v>13</v>
      </c>
      <c r="C1171" s="4" t="s">
        <v>14</v>
      </c>
      <c r="D1171" s="35">
        <v>4764</v>
      </c>
      <c r="E1171" s="7" t="s">
        <v>2062</v>
      </c>
      <c r="F1171" s="5">
        <v>39508</v>
      </c>
      <c r="G1171" s="5">
        <v>40602</v>
      </c>
      <c r="H1171" s="4" t="s">
        <v>2039</v>
      </c>
      <c r="I1171" s="6">
        <v>106597.83</v>
      </c>
      <c r="J1171" s="6">
        <v>106597.83</v>
      </c>
      <c r="K1171" s="37" t="s">
        <v>2033</v>
      </c>
      <c r="L1171" s="119"/>
      <c r="M1171" s="3"/>
    </row>
    <row r="1172" spans="1:60" s="4" customFormat="1" ht="14.25" customHeight="1" x14ac:dyDescent="0.25">
      <c r="A1172" s="4" t="s">
        <v>2063</v>
      </c>
      <c r="B1172" s="4" t="s">
        <v>13</v>
      </c>
      <c r="C1172" s="4" t="s">
        <v>14</v>
      </c>
      <c r="D1172" s="35">
        <v>4765</v>
      </c>
      <c r="E1172" s="7" t="s">
        <v>2064</v>
      </c>
      <c r="F1172" s="5">
        <v>39569</v>
      </c>
      <c r="G1172" s="5">
        <v>39933</v>
      </c>
      <c r="H1172" s="4" t="s">
        <v>2039</v>
      </c>
      <c r="I1172" s="6">
        <v>51086.48</v>
      </c>
      <c r="J1172" s="6">
        <v>51086.48</v>
      </c>
      <c r="K1172" s="37" t="s">
        <v>2033</v>
      </c>
      <c r="L1172" s="119"/>
      <c r="M1172" s="3"/>
    </row>
    <row r="1173" spans="1:60" s="4" customFormat="1" ht="14.25" customHeight="1" x14ac:dyDescent="0.25">
      <c r="A1173" s="4" t="s">
        <v>2065</v>
      </c>
      <c r="B1173" s="4" t="s">
        <v>13</v>
      </c>
      <c r="C1173" s="4" t="s">
        <v>14</v>
      </c>
      <c r="D1173" s="35">
        <v>4766</v>
      </c>
      <c r="E1173" s="7" t="s">
        <v>2066</v>
      </c>
      <c r="F1173" s="5">
        <v>39753</v>
      </c>
      <c r="G1173" s="5">
        <v>40117</v>
      </c>
      <c r="H1173" s="4" t="s">
        <v>2039</v>
      </c>
      <c r="I1173" s="6">
        <v>78334.350000000006</v>
      </c>
      <c r="J1173" s="6">
        <v>78334.350000000006</v>
      </c>
      <c r="K1173" s="37" t="s">
        <v>2033</v>
      </c>
      <c r="L1173" s="119"/>
      <c r="M1173" s="3"/>
    </row>
    <row r="1174" spans="1:60" s="4" customFormat="1" ht="14.25" customHeight="1" x14ac:dyDescent="0.25">
      <c r="A1174" s="4" t="s">
        <v>2067</v>
      </c>
      <c r="B1174" s="4" t="s">
        <v>13</v>
      </c>
      <c r="C1174" s="4" t="s">
        <v>14</v>
      </c>
      <c r="D1174" s="35">
        <v>4772</v>
      </c>
      <c r="E1174" s="4" t="s">
        <v>2068</v>
      </c>
      <c r="F1174" s="5">
        <v>39948</v>
      </c>
      <c r="G1174" s="5">
        <v>40132</v>
      </c>
      <c r="H1174" s="4" t="s">
        <v>2039</v>
      </c>
      <c r="I1174" s="6">
        <v>46931.6</v>
      </c>
      <c r="J1174" s="6">
        <v>46931.6</v>
      </c>
      <c r="K1174" s="37" t="s">
        <v>2033</v>
      </c>
      <c r="L1174" s="119"/>
      <c r="M1174" s="3"/>
    </row>
    <row r="1175" spans="1:60" s="4" customFormat="1" ht="14.25" customHeight="1" x14ac:dyDescent="0.25">
      <c r="A1175" s="4" t="s">
        <v>2069</v>
      </c>
      <c r="B1175" s="4" t="s">
        <v>13</v>
      </c>
      <c r="C1175" s="4" t="s">
        <v>14</v>
      </c>
      <c r="D1175" s="35">
        <v>4775</v>
      </c>
      <c r="E1175" s="7" t="s">
        <v>2070</v>
      </c>
      <c r="F1175" s="5">
        <v>39510</v>
      </c>
      <c r="G1175" s="5">
        <v>39996</v>
      </c>
      <c r="H1175" s="4" t="s">
        <v>2039</v>
      </c>
      <c r="I1175" s="6">
        <v>71756.240000000005</v>
      </c>
      <c r="J1175" s="6">
        <v>71756.240000000005</v>
      </c>
      <c r="K1175" s="37" t="s">
        <v>2033</v>
      </c>
      <c r="L1175" s="119"/>
      <c r="M1175" s="3"/>
    </row>
    <row r="1176" spans="1:60" s="4" customFormat="1" ht="14.25" customHeight="1" x14ac:dyDescent="0.25">
      <c r="A1176" s="4" t="s">
        <v>2071</v>
      </c>
      <c r="B1176" s="4" t="s">
        <v>13</v>
      </c>
      <c r="C1176" s="4" t="s">
        <v>14</v>
      </c>
      <c r="D1176" s="35">
        <v>4796</v>
      </c>
      <c r="E1176" s="7" t="s">
        <v>2072</v>
      </c>
      <c r="F1176" s="5">
        <v>39448</v>
      </c>
      <c r="G1176" s="5">
        <v>40663</v>
      </c>
      <c r="H1176" s="4" t="s">
        <v>2039</v>
      </c>
      <c r="I1176" s="6">
        <v>193979.61</v>
      </c>
      <c r="J1176" s="6">
        <v>193979.61</v>
      </c>
      <c r="K1176" s="37" t="s">
        <v>2033</v>
      </c>
      <c r="L1176" s="119"/>
      <c r="M1176" s="3"/>
    </row>
    <row r="1177" spans="1:60" s="4" customFormat="1" ht="14.25" customHeight="1" x14ac:dyDescent="0.25">
      <c r="A1177" s="4" t="s">
        <v>2073</v>
      </c>
      <c r="B1177" s="4" t="s">
        <v>13</v>
      </c>
      <c r="C1177" s="4" t="s">
        <v>14</v>
      </c>
      <c r="D1177" s="35">
        <v>4797</v>
      </c>
      <c r="E1177" s="4" t="s">
        <v>2074</v>
      </c>
      <c r="F1177" s="5">
        <v>39722</v>
      </c>
      <c r="G1177" s="5">
        <v>40086</v>
      </c>
      <c r="H1177" s="4" t="s">
        <v>2039</v>
      </c>
      <c r="I1177" s="6">
        <v>58590.98</v>
      </c>
      <c r="J1177" s="6">
        <v>58590.98</v>
      </c>
      <c r="K1177" s="37" t="s">
        <v>2033</v>
      </c>
      <c r="L1177" s="119"/>
      <c r="M1177" s="3"/>
    </row>
    <row r="1178" spans="1:60" s="4" customFormat="1" ht="14.25" customHeight="1" x14ac:dyDescent="0.25">
      <c r="A1178" s="4" t="s">
        <v>2075</v>
      </c>
      <c r="B1178" s="4" t="s">
        <v>13</v>
      </c>
      <c r="C1178" s="4" t="s">
        <v>14</v>
      </c>
      <c r="D1178" s="35">
        <v>4837</v>
      </c>
      <c r="E1178" s="4" t="s">
        <v>2076</v>
      </c>
      <c r="F1178" s="5">
        <v>39234</v>
      </c>
      <c r="G1178" s="5">
        <v>39599</v>
      </c>
      <c r="H1178" s="4" t="s">
        <v>2039</v>
      </c>
      <c r="I1178" s="6">
        <v>78675.25</v>
      </c>
      <c r="J1178" s="6">
        <v>78675.25</v>
      </c>
      <c r="K1178" s="37" t="s">
        <v>2033</v>
      </c>
      <c r="L1178" s="119"/>
      <c r="M1178" s="3"/>
    </row>
    <row r="1179" spans="1:60" s="4" customFormat="1" ht="14.25" customHeight="1" x14ac:dyDescent="0.25">
      <c r="A1179" s="4" t="s">
        <v>2077</v>
      </c>
      <c r="B1179" s="4" t="s">
        <v>13</v>
      </c>
      <c r="C1179" s="4" t="s">
        <v>14</v>
      </c>
      <c r="D1179" s="35">
        <v>4838</v>
      </c>
      <c r="E1179" s="4" t="s">
        <v>2078</v>
      </c>
      <c r="F1179" s="5">
        <v>39448</v>
      </c>
      <c r="G1179" s="5">
        <v>40847</v>
      </c>
      <c r="H1179" s="4" t="s">
        <v>2039</v>
      </c>
      <c r="I1179" s="6">
        <f>-6991.33+88331+15578.85</f>
        <v>96918.52</v>
      </c>
      <c r="J1179" s="6">
        <v>96918.52</v>
      </c>
      <c r="K1179" s="37" t="s">
        <v>2033</v>
      </c>
      <c r="L1179" s="119"/>
      <c r="M1179" s="3"/>
    </row>
    <row r="1180" spans="1:60" s="4" customFormat="1" ht="14.25" customHeight="1" x14ac:dyDescent="0.25">
      <c r="A1180" s="4" t="s">
        <v>2079</v>
      </c>
      <c r="B1180" s="4" t="s">
        <v>13</v>
      </c>
      <c r="C1180" s="4" t="s">
        <v>14</v>
      </c>
      <c r="D1180" s="35">
        <v>4840</v>
      </c>
      <c r="E1180" s="4" t="s">
        <v>2079</v>
      </c>
      <c r="F1180" s="5">
        <v>39722</v>
      </c>
      <c r="G1180" s="5">
        <v>40177</v>
      </c>
      <c r="H1180" s="4" t="s">
        <v>2039</v>
      </c>
      <c r="I1180" s="6">
        <v>72489.62</v>
      </c>
      <c r="J1180" s="6">
        <v>72489.62</v>
      </c>
      <c r="K1180" s="37" t="s">
        <v>2033</v>
      </c>
      <c r="L1180" s="119"/>
      <c r="M1180" s="3"/>
    </row>
    <row r="1181" spans="1:60" s="4" customFormat="1" ht="14.25" customHeight="1" x14ac:dyDescent="0.25">
      <c r="A1181" s="4" t="s">
        <v>2080</v>
      </c>
      <c r="B1181" s="4" t="s">
        <v>13</v>
      </c>
      <c r="C1181" s="4" t="s">
        <v>14</v>
      </c>
      <c r="D1181" s="35">
        <v>4842</v>
      </c>
      <c r="E1181" s="7" t="s">
        <v>2081</v>
      </c>
      <c r="F1181" s="5">
        <v>39783</v>
      </c>
      <c r="G1181" s="5">
        <v>41213</v>
      </c>
      <c r="H1181" s="4" t="s">
        <v>2039</v>
      </c>
      <c r="I1181" s="6">
        <f>133314.36+54407.91+2018.37</f>
        <v>189740.63999999998</v>
      </c>
      <c r="J1181" s="6">
        <f>133314.36+54407.91+2018.37</f>
        <v>189740.63999999998</v>
      </c>
      <c r="K1181" s="37" t="s">
        <v>2033</v>
      </c>
      <c r="L1181" s="119"/>
      <c r="M1181" s="3"/>
    </row>
    <row r="1182" spans="1:60" s="9" customFormat="1" ht="14.25" customHeight="1" x14ac:dyDescent="0.25">
      <c r="A1182" s="4" t="s">
        <v>2082</v>
      </c>
      <c r="B1182" s="4" t="s">
        <v>13</v>
      </c>
      <c r="C1182" s="4" t="s">
        <v>14</v>
      </c>
      <c r="D1182" s="35">
        <v>4953</v>
      </c>
      <c r="E1182" s="4" t="s">
        <v>2082</v>
      </c>
      <c r="F1182" s="5">
        <v>39691</v>
      </c>
      <c r="G1182" s="5">
        <v>40057</v>
      </c>
      <c r="H1182" s="4" t="s">
        <v>2039</v>
      </c>
      <c r="I1182" s="6">
        <v>56203.45</v>
      </c>
      <c r="J1182" s="6">
        <v>56203.45</v>
      </c>
      <c r="K1182" s="37" t="s">
        <v>2033</v>
      </c>
      <c r="L1182" s="119"/>
      <c r="M1182" s="3"/>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row>
    <row r="1183" spans="1:60" s="4" customFormat="1" ht="14.25" customHeight="1" x14ac:dyDescent="0.25">
      <c r="A1183" s="4" t="s">
        <v>2083</v>
      </c>
      <c r="B1183" s="4" t="s">
        <v>13</v>
      </c>
      <c r="C1183" s="4" t="s">
        <v>14</v>
      </c>
      <c r="D1183" s="35">
        <v>5840</v>
      </c>
      <c r="E1183" s="4" t="s">
        <v>2084</v>
      </c>
      <c r="F1183" s="5">
        <v>39846</v>
      </c>
      <c r="G1183" s="5">
        <v>40025</v>
      </c>
      <c r="H1183" s="4" t="s">
        <v>2039</v>
      </c>
      <c r="I1183" s="6">
        <v>140530.87</v>
      </c>
      <c r="J1183" s="6">
        <v>140530.87</v>
      </c>
      <c r="K1183" s="37" t="s">
        <v>2033</v>
      </c>
      <c r="L1183" s="119"/>
      <c r="M1183" s="3"/>
    </row>
    <row r="1184" spans="1:60" s="4" customFormat="1" ht="14.25" customHeight="1" x14ac:dyDescent="0.25">
      <c r="A1184" s="4" t="s">
        <v>2085</v>
      </c>
      <c r="B1184" s="4" t="s">
        <v>13</v>
      </c>
      <c r="C1184" s="4" t="s">
        <v>14</v>
      </c>
      <c r="D1184" s="35">
        <v>5860</v>
      </c>
      <c r="E1184" s="4" t="s">
        <v>2086</v>
      </c>
      <c r="F1184" s="5">
        <v>39204</v>
      </c>
      <c r="G1184" s="5">
        <v>40147</v>
      </c>
      <c r="H1184" s="4" t="s">
        <v>2039</v>
      </c>
      <c r="I1184" s="6">
        <v>91960.04</v>
      </c>
      <c r="J1184" s="6">
        <v>91960.04</v>
      </c>
      <c r="K1184" s="37" t="s">
        <v>2033</v>
      </c>
      <c r="L1184" s="119"/>
      <c r="M1184" s="3"/>
    </row>
    <row r="1185" spans="1:13" s="4" customFormat="1" ht="14.25" customHeight="1" x14ac:dyDescent="0.25">
      <c r="A1185" s="4" t="s">
        <v>2087</v>
      </c>
      <c r="B1185" s="4" t="s">
        <v>13</v>
      </c>
      <c r="C1185" s="4" t="s">
        <v>14</v>
      </c>
      <c r="D1185" s="35">
        <v>5861</v>
      </c>
      <c r="E1185" s="4" t="s">
        <v>2088</v>
      </c>
      <c r="F1185" s="5">
        <v>39426</v>
      </c>
      <c r="G1185" s="5">
        <v>39903</v>
      </c>
      <c r="H1185" s="4" t="s">
        <v>2039</v>
      </c>
      <c r="I1185" s="6">
        <v>87879.79</v>
      </c>
      <c r="J1185" s="6">
        <v>87879.79</v>
      </c>
      <c r="K1185" s="37" t="s">
        <v>2033</v>
      </c>
      <c r="L1185" s="119"/>
      <c r="M1185" s="3"/>
    </row>
    <row r="1186" spans="1:13" s="4" customFormat="1" ht="14.25" customHeight="1" x14ac:dyDescent="0.25">
      <c r="A1186" s="4" t="s">
        <v>2089</v>
      </c>
      <c r="B1186" s="4" t="s">
        <v>13</v>
      </c>
      <c r="C1186" s="4" t="s">
        <v>14</v>
      </c>
      <c r="D1186" s="35">
        <v>5862</v>
      </c>
      <c r="E1186" s="4" t="s">
        <v>2090</v>
      </c>
      <c r="F1186" s="5">
        <v>39580</v>
      </c>
      <c r="G1186" s="5">
        <v>40237</v>
      </c>
      <c r="H1186" s="4" t="s">
        <v>2039</v>
      </c>
      <c r="I1186" s="6">
        <v>58330.75</v>
      </c>
      <c r="J1186" s="6">
        <v>58330.75</v>
      </c>
      <c r="K1186" s="37" t="s">
        <v>2033</v>
      </c>
      <c r="L1186" s="119"/>
      <c r="M1186" s="3"/>
    </row>
    <row r="1187" spans="1:13" s="4" customFormat="1" ht="14.25" customHeight="1" x14ac:dyDescent="0.25">
      <c r="A1187" s="4" t="s">
        <v>2091</v>
      </c>
      <c r="B1187" s="4" t="s">
        <v>13</v>
      </c>
      <c r="C1187" s="4" t="s">
        <v>14</v>
      </c>
      <c r="D1187" s="35">
        <v>5864</v>
      </c>
      <c r="E1187" s="4" t="s">
        <v>2086</v>
      </c>
      <c r="F1187" s="5">
        <v>39630</v>
      </c>
      <c r="G1187" s="5">
        <v>40086</v>
      </c>
      <c r="H1187" s="4" t="s">
        <v>2039</v>
      </c>
      <c r="I1187" s="6">
        <v>96454.66</v>
      </c>
      <c r="J1187" s="6">
        <v>96454.66</v>
      </c>
      <c r="K1187" s="37" t="s">
        <v>2033</v>
      </c>
      <c r="L1187" s="119"/>
      <c r="M1187" s="3"/>
    </row>
    <row r="1188" spans="1:13" s="4" customFormat="1" ht="14.25" customHeight="1" x14ac:dyDescent="0.25">
      <c r="A1188" s="4" t="s">
        <v>2092</v>
      </c>
      <c r="B1188" s="4" t="s">
        <v>13</v>
      </c>
      <c r="C1188" s="4" t="s">
        <v>14</v>
      </c>
      <c r="D1188" s="35">
        <v>5865</v>
      </c>
      <c r="E1188" s="4" t="s">
        <v>2093</v>
      </c>
      <c r="F1188" s="5">
        <v>39814</v>
      </c>
      <c r="G1188" s="5">
        <v>40268</v>
      </c>
      <c r="H1188" s="4" t="s">
        <v>2039</v>
      </c>
      <c r="I1188" s="6">
        <v>94218.67</v>
      </c>
      <c r="J1188" s="6">
        <v>94218.67</v>
      </c>
      <c r="K1188" s="37" t="s">
        <v>2033</v>
      </c>
      <c r="L1188" s="119"/>
      <c r="M1188" s="3"/>
    </row>
    <row r="1189" spans="1:13" s="4" customFormat="1" ht="14.25" customHeight="1" x14ac:dyDescent="0.25">
      <c r="A1189" s="4" t="s">
        <v>2094</v>
      </c>
      <c r="B1189" s="4" t="s">
        <v>13</v>
      </c>
      <c r="C1189" s="4" t="s">
        <v>14</v>
      </c>
      <c r="D1189" s="35">
        <v>5866</v>
      </c>
      <c r="E1189" s="7" t="s">
        <v>2095</v>
      </c>
      <c r="F1189" s="5">
        <v>39797</v>
      </c>
      <c r="G1189" s="5">
        <v>40251</v>
      </c>
      <c r="H1189" s="4" t="s">
        <v>2039</v>
      </c>
      <c r="I1189" s="6">
        <v>100560.91</v>
      </c>
      <c r="J1189" s="6">
        <v>100560.91</v>
      </c>
      <c r="K1189" s="37" t="s">
        <v>2033</v>
      </c>
      <c r="L1189" s="119"/>
      <c r="M1189" s="3"/>
    </row>
    <row r="1190" spans="1:13" s="4" customFormat="1" ht="14.25" customHeight="1" x14ac:dyDescent="0.25">
      <c r="A1190" s="4" t="s">
        <v>2096</v>
      </c>
      <c r="B1190" s="4" t="s">
        <v>13</v>
      </c>
      <c r="C1190" s="4" t="s">
        <v>14</v>
      </c>
      <c r="D1190" s="35">
        <v>5867</v>
      </c>
      <c r="E1190" s="7" t="s">
        <v>2097</v>
      </c>
      <c r="F1190" s="5">
        <v>39767</v>
      </c>
      <c r="G1190" s="5">
        <v>40313</v>
      </c>
      <c r="H1190" s="4" t="s">
        <v>2039</v>
      </c>
      <c r="I1190" s="6">
        <v>97651.58</v>
      </c>
      <c r="J1190" s="6">
        <v>97651.58</v>
      </c>
      <c r="K1190" s="37" t="s">
        <v>2033</v>
      </c>
      <c r="L1190" s="119"/>
      <c r="M1190" s="3"/>
    </row>
    <row r="1191" spans="1:13" s="4" customFormat="1" ht="14.25" customHeight="1" x14ac:dyDescent="0.25">
      <c r="A1191" s="4" t="s">
        <v>2098</v>
      </c>
      <c r="B1191" s="4" t="s">
        <v>13</v>
      </c>
      <c r="C1191" s="4" t="s">
        <v>14</v>
      </c>
      <c r="D1191" s="35">
        <v>5868</v>
      </c>
      <c r="E1191" s="7" t="s">
        <v>2099</v>
      </c>
      <c r="F1191" s="5">
        <v>39845</v>
      </c>
      <c r="G1191" s="5">
        <v>40390</v>
      </c>
      <c r="H1191" s="4" t="s">
        <v>2039</v>
      </c>
      <c r="I1191" s="6">
        <v>90916.18</v>
      </c>
      <c r="J1191" s="6">
        <v>90916.18</v>
      </c>
      <c r="K1191" s="37" t="s">
        <v>2033</v>
      </c>
      <c r="L1191" s="119"/>
      <c r="M1191" s="3"/>
    </row>
    <row r="1192" spans="1:13" s="4" customFormat="1" ht="14.25" customHeight="1" x14ac:dyDescent="0.25">
      <c r="A1192" s="4" t="s">
        <v>2100</v>
      </c>
      <c r="B1192" s="4" t="s">
        <v>13</v>
      </c>
      <c r="C1192" s="4" t="s">
        <v>14</v>
      </c>
      <c r="D1192" s="35">
        <v>5869</v>
      </c>
      <c r="E1192" s="7" t="s">
        <v>2101</v>
      </c>
      <c r="F1192" s="5">
        <v>39845</v>
      </c>
      <c r="G1192" s="5">
        <v>40391</v>
      </c>
      <c r="H1192" s="4" t="s">
        <v>2039</v>
      </c>
      <c r="I1192" s="6">
        <v>90390.54</v>
      </c>
      <c r="J1192" s="6">
        <v>90390.54</v>
      </c>
      <c r="K1192" s="37" t="s">
        <v>2033</v>
      </c>
      <c r="L1192" s="119"/>
      <c r="M1192" s="3"/>
    </row>
    <row r="1193" spans="1:13" s="4" customFormat="1" ht="14.25" customHeight="1" x14ac:dyDescent="0.25">
      <c r="A1193" s="4" t="s">
        <v>2102</v>
      </c>
      <c r="B1193" s="4" t="s">
        <v>13</v>
      </c>
      <c r="C1193" s="4" t="s">
        <v>14</v>
      </c>
      <c r="D1193" s="35">
        <v>5870</v>
      </c>
      <c r="E1193" s="4" t="s">
        <v>2103</v>
      </c>
      <c r="F1193" s="5">
        <v>39783</v>
      </c>
      <c r="G1193" s="5">
        <v>40237</v>
      </c>
      <c r="H1193" s="4" t="s">
        <v>2039</v>
      </c>
      <c r="I1193" s="6">
        <f>81707.54-13399.58</f>
        <v>68307.959999999992</v>
      </c>
      <c r="J1193" s="6">
        <v>68307.960000000006</v>
      </c>
      <c r="K1193" s="37" t="s">
        <v>2033</v>
      </c>
      <c r="L1193" s="119"/>
      <c r="M1193" s="3"/>
    </row>
    <row r="1194" spans="1:13" s="4" customFormat="1" ht="14.25" customHeight="1" x14ac:dyDescent="0.25">
      <c r="A1194" s="4" t="s">
        <v>2104</v>
      </c>
      <c r="B1194" s="4" t="s">
        <v>13</v>
      </c>
      <c r="C1194" s="4" t="s">
        <v>14</v>
      </c>
      <c r="D1194" s="35">
        <v>5871</v>
      </c>
      <c r="E1194" s="7" t="s">
        <v>2105</v>
      </c>
      <c r="F1194" s="5">
        <v>39873</v>
      </c>
      <c r="G1194" s="5">
        <v>40441</v>
      </c>
      <c r="H1194" s="4" t="s">
        <v>2039</v>
      </c>
      <c r="I1194" s="6">
        <f>73010.85-2830.4+31118.81</f>
        <v>101299.26000000001</v>
      </c>
      <c r="J1194" s="6">
        <v>101299.26</v>
      </c>
      <c r="K1194" s="37" t="s">
        <v>2033</v>
      </c>
      <c r="L1194" s="119"/>
      <c r="M1194" s="3"/>
    </row>
    <row r="1195" spans="1:13" s="4" customFormat="1" ht="14.25" customHeight="1" x14ac:dyDescent="0.25">
      <c r="A1195" s="4" t="s">
        <v>2106</v>
      </c>
      <c r="B1195" s="4" t="s">
        <v>13</v>
      </c>
      <c r="C1195" s="4" t="s">
        <v>14</v>
      </c>
      <c r="D1195" s="35">
        <v>5872</v>
      </c>
      <c r="E1195" s="7" t="s">
        <v>2107</v>
      </c>
      <c r="F1195" s="5">
        <v>39904</v>
      </c>
      <c r="G1195" s="5">
        <v>40497</v>
      </c>
      <c r="H1195" s="4" t="s">
        <v>2039</v>
      </c>
      <c r="I1195" s="6">
        <v>83876.25</v>
      </c>
      <c r="J1195" s="6">
        <v>83876.25</v>
      </c>
      <c r="K1195" s="37" t="s">
        <v>2033</v>
      </c>
      <c r="L1195" s="119"/>
      <c r="M1195" s="3"/>
    </row>
    <row r="1196" spans="1:13" s="4" customFormat="1" ht="14.25" customHeight="1" x14ac:dyDescent="0.25">
      <c r="A1196" s="4" t="s">
        <v>2108</v>
      </c>
      <c r="B1196" s="4" t="s">
        <v>13</v>
      </c>
      <c r="C1196" s="4" t="s">
        <v>14</v>
      </c>
      <c r="D1196" s="35">
        <v>5873</v>
      </c>
      <c r="E1196" s="4" t="s">
        <v>2109</v>
      </c>
      <c r="F1196" s="5">
        <v>39844</v>
      </c>
      <c r="G1196" s="5">
        <v>40391</v>
      </c>
      <c r="H1196" s="4" t="s">
        <v>2039</v>
      </c>
      <c r="I1196" s="6">
        <v>88745.53</v>
      </c>
      <c r="J1196" s="6">
        <v>88745.53</v>
      </c>
      <c r="K1196" s="37" t="s">
        <v>2033</v>
      </c>
      <c r="L1196" s="119"/>
      <c r="M1196" s="3"/>
    </row>
    <row r="1197" spans="1:13" s="4" customFormat="1" ht="14.25" customHeight="1" x14ac:dyDescent="0.25">
      <c r="A1197" s="4" t="s">
        <v>2110</v>
      </c>
      <c r="B1197" s="4" t="s">
        <v>13</v>
      </c>
      <c r="C1197" s="4" t="s">
        <v>14</v>
      </c>
      <c r="D1197" s="35">
        <v>5874</v>
      </c>
      <c r="E1197" s="4" t="s">
        <v>2111</v>
      </c>
      <c r="F1197" s="5">
        <v>40087</v>
      </c>
      <c r="G1197" s="5">
        <v>40633</v>
      </c>
      <c r="H1197" s="4" t="s">
        <v>2039</v>
      </c>
      <c r="I1197" s="6">
        <v>62667.07</v>
      </c>
      <c r="J1197" s="6">
        <v>62667.07</v>
      </c>
      <c r="K1197" s="37" t="s">
        <v>2033</v>
      </c>
      <c r="L1197" s="119"/>
      <c r="M1197" s="3"/>
    </row>
    <row r="1198" spans="1:13" s="4" customFormat="1" ht="14.25" customHeight="1" x14ac:dyDescent="0.25">
      <c r="A1198" s="4" t="s">
        <v>2112</v>
      </c>
      <c r="B1198" s="4" t="s">
        <v>13</v>
      </c>
      <c r="C1198" s="4" t="s">
        <v>14</v>
      </c>
      <c r="D1198" s="35">
        <v>5875</v>
      </c>
      <c r="E1198" s="7" t="s">
        <v>2113</v>
      </c>
      <c r="F1198" s="5">
        <v>40210</v>
      </c>
      <c r="G1198" s="5">
        <v>40755</v>
      </c>
      <c r="H1198" s="4" t="s">
        <v>2039</v>
      </c>
      <c r="I1198" s="6">
        <f>13689.01+33360.24+50080.8</f>
        <v>97130.05</v>
      </c>
      <c r="J1198" s="6">
        <v>97130.05</v>
      </c>
      <c r="K1198" s="37" t="s">
        <v>2033</v>
      </c>
      <c r="L1198" s="119"/>
      <c r="M1198" s="3"/>
    </row>
    <row r="1199" spans="1:13" s="4" customFormat="1" ht="14.25" customHeight="1" x14ac:dyDescent="0.25">
      <c r="A1199" s="4" t="s">
        <v>2114</v>
      </c>
      <c r="B1199" s="4" t="s">
        <v>13</v>
      </c>
      <c r="C1199" s="4" t="s">
        <v>14</v>
      </c>
      <c r="D1199" s="35">
        <v>5876</v>
      </c>
      <c r="E1199" s="7" t="s">
        <v>2115</v>
      </c>
      <c r="F1199" s="5">
        <v>39328</v>
      </c>
      <c r="G1199" s="5">
        <v>39823</v>
      </c>
      <c r="H1199" s="4" t="s">
        <v>2039</v>
      </c>
      <c r="I1199" s="6">
        <v>93355.34</v>
      </c>
      <c r="J1199" s="6">
        <v>93355.34</v>
      </c>
      <c r="K1199" s="37" t="s">
        <v>2033</v>
      </c>
      <c r="L1199" s="119"/>
      <c r="M1199" s="3"/>
    </row>
    <row r="1200" spans="1:13" s="4" customFormat="1" ht="14.25" customHeight="1" x14ac:dyDescent="0.25">
      <c r="A1200" s="4" t="s">
        <v>2116</v>
      </c>
      <c r="B1200" s="4" t="s">
        <v>13</v>
      </c>
      <c r="C1200" s="4" t="s">
        <v>14</v>
      </c>
      <c r="D1200" s="35">
        <v>5877</v>
      </c>
      <c r="E1200" s="7" t="s">
        <v>2117</v>
      </c>
      <c r="F1200" s="5">
        <v>39448</v>
      </c>
      <c r="G1200" s="5">
        <v>40663</v>
      </c>
      <c r="H1200" s="4" t="s">
        <v>2039</v>
      </c>
      <c r="I1200" s="6">
        <v>132969.66</v>
      </c>
      <c r="J1200" s="6">
        <v>132969.66</v>
      </c>
      <c r="K1200" s="37" t="s">
        <v>2033</v>
      </c>
      <c r="L1200" s="119"/>
      <c r="M1200" s="3"/>
    </row>
    <row r="1201" spans="1:13" s="4" customFormat="1" ht="14.25" customHeight="1" x14ac:dyDescent="0.25">
      <c r="A1201" s="4" t="s">
        <v>2118</v>
      </c>
      <c r="B1201" s="4" t="s">
        <v>13</v>
      </c>
      <c r="C1201" s="4" t="s">
        <v>14</v>
      </c>
      <c r="D1201" s="35">
        <v>5878</v>
      </c>
      <c r="E1201" s="4" t="s">
        <v>2119</v>
      </c>
      <c r="F1201" s="5">
        <v>39479</v>
      </c>
      <c r="G1201" s="5">
        <v>40862</v>
      </c>
      <c r="H1201" s="4" t="s">
        <v>2039</v>
      </c>
      <c r="I1201" s="6">
        <f>156928.05+76964.5+72961-2431.13</f>
        <v>304422.42</v>
      </c>
      <c r="J1201" s="6">
        <f>306853.55-2431.13</f>
        <v>304422.42</v>
      </c>
      <c r="K1201" s="37" t="s">
        <v>2033</v>
      </c>
      <c r="L1201" s="119"/>
      <c r="M1201" s="3"/>
    </row>
    <row r="1202" spans="1:13" s="4" customFormat="1" ht="14.25" customHeight="1" x14ac:dyDescent="0.25">
      <c r="A1202" s="4" t="s">
        <v>2120</v>
      </c>
      <c r="B1202" s="4" t="s">
        <v>13</v>
      </c>
      <c r="C1202" s="4" t="s">
        <v>14</v>
      </c>
      <c r="D1202" s="35">
        <v>5879</v>
      </c>
      <c r="E1202" s="4" t="s">
        <v>2121</v>
      </c>
      <c r="F1202" s="5">
        <v>39797</v>
      </c>
      <c r="G1202" s="5">
        <v>41214</v>
      </c>
      <c r="H1202" s="4" t="s">
        <v>2039</v>
      </c>
      <c r="I1202" s="6">
        <f>45071.26+57715.84</f>
        <v>102787.1</v>
      </c>
      <c r="J1202" s="6">
        <f>45071.26+57715.84</f>
        <v>102787.1</v>
      </c>
      <c r="K1202" s="37" t="s">
        <v>2033</v>
      </c>
      <c r="L1202" s="119"/>
      <c r="M1202" s="3"/>
    </row>
    <row r="1203" spans="1:13" s="4" customFormat="1" ht="14.25" customHeight="1" x14ac:dyDescent="0.25">
      <c r="A1203" s="4" t="s">
        <v>2122</v>
      </c>
      <c r="B1203" s="4" t="s">
        <v>13</v>
      </c>
      <c r="C1203" s="4" t="s">
        <v>14</v>
      </c>
      <c r="D1203" s="35">
        <v>5880</v>
      </c>
      <c r="E1203" s="7" t="s">
        <v>2123</v>
      </c>
      <c r="F1203" s="5">
        <v>39845</v>
      </c>
      <c r="G1203" s="5">
        <v>41030</v>
      </c>
      <c r="H1203" s="4" t="s">
        <v>2039</v>
      </c>
      <c r="I1203" s="6">
        <f>59605.14+17364.74+88077.92+54048.4</f>
        <v>219096.19999999998</v>
      </c>
      <c r="J1203" s="6">
        <v>219096.196</v>
      </c>
      <c r="K1203" s="37" t="s">
        <v>2033</v>
      </c>
      <c r="L1203" s="119"/>
      <c r="M1203" s="3"/>
    </row>
    <row r="1204" spans="1:13" s="4" customFormat="1" ht="14.25" customHeight="1" x14ac:dyDescent="0.25">
      <c r="A1204" s="4" t="s">
        <v>2124</v>
      </c>
      <c r="B1204" s="4" t="s">
        <v>13</v>
      </c>
      <c r="C1204" s="4" t="s">
        <v>14</v>
      </c>
      <c r="D1204" s="35">
        <v>5881</v>
      </c>
      <c r="E1204" s="7" t="s">
        <v>2125</v>
      </c>
      <c r="F1204" s="5">
        <v>39814</v>
      </c>
      <c r="G1204" s="5">
        <v>40663</v>
      </c>
      <c r="H1204" s="4" t="s">
        <v>2039</v>
      </c>
      <c r="I1204" s="6">
        <v>369313.58</v>
      </c>
      <c r="J1204" s="6">
        <v>369313.58</v>
      </c>
      <c r="K1204" s="37" t="s">
        <v>2033</v>
      </c>
      <c r="L1204" s="119"/>
      <c r="M1204" s="3"/>
    </row>
    <row r="1205" spans="1:13" s="4" customFormat="1" ht="14.25" customHeight="1" x14ac:dyDescent="0.25">
      <c r="A1205" s="4" t="s">
        <v>2126</v>
      </c>
      <c r="B1205" s="4" t="s">
        <v>13</v>
      </c>
      <c r="C1205" s="4" t="s">
        <v>14</v>
      </c>
      <c r="D1205" s="35">
        <v>5882</v>
      </c>
      <c r="E1205" s="4" t="s">
        <v>2127</v>
      </c>
      <c r="F1205" s="5">
        <v>39904</v>
      </c>
      <c r="G1205" s="5">
        <v>41000</v>
      </c>
      <c r="H1205" s="4" t="s">
        <v>2039</v>
      </c>
      <c r="I1205" s="6">
        <f>256137.65+44972.52</f>
        <v>301110.17</v>
      </c>
      <c r="J1205" s="6">
        <f>256137.65+44972.52</f>
        <v>301110.17</v>
      </c>
      <c r="K1205" s="37" t="s">
        <v>2033</v>
      </c>
      <c r="L1205" s="119"/>
      <c r="M1205" s="3"/>
    </row>
    <row r="1206" spans="1:13" s="4" customFormat="1" ht="14.25" customHeight="1" x14ac:dyDescent="0.25">
      <c r="A1206" s="4" t="s">
        <v>2128</v>
      </c>
      <c r="B1206" s="4" t="s">
        <v>13</v>
      </c>
      <c r="C1206" s="4" t="s">
        <v>14</v>
      </c>
      <c r="D1206" s="35">
        <v>6180</v>
      </c>
      <c r="E1206" s="4" t="s">
        <v>2129</v>
      </c>
      <c r="F1206" s="5">
        <v>39447</v>
      </c>
      <c r="G1206" s="5">
        <v>40056</v>
      </c>
      <c r="H1206" s="4" t="s">
        <v>2039</v>
      </c>
      <c r="I1206" s="6">
        <v>83679.759999999995</v>
      </c>
      <c r="J1206" s="6">
        <v>83679.759999999995</v>
      </c>
      <c r="K1206" s="37" t="s">
        <v>2033</v>
      </c>
      <c r="L1206" s="119"/>
      <c r="M1206" s="3"/>
    </row>
    <row r="1207" spans="1:13" s="4" customFormat="1" ht="14.25" customHeight="1" x14ac:dyDescent="0.25">
      <c r="A1207" s="4" t="s">
        <v>2130</v>
      </c>
      <c r="B1207" s="4" t="s">
        <v>13</v>
      </c>
      <c r="C1207" s="4" t="s">
        <v>14</v>
      </c>
      <c r="D1207" s="35">
        <v>6181</v>
      </c>
      <c r="E1207" s="4" t="s">
        <v>2131</v>
      </c>
      <c r="F1207" s="5">
        <v>39448</v>
      </c>
      <c r="G1207" s="5">
        <v>40830</v>
      </c>
      <c r="H1207" s="4" t="s">
        <v>2039</v>
      </c>
      <c r="I1207" s="6">
        <v>321712.77</v>
      </c>
      <c r="J1207" s="6">
        <v>321712.77</v>
      </c>
      <c r="K1207" s="37" t="s">
        <v>2033</v>
      </c>
      <c r="L1207" s="119"/>
      <c r="M1207" s="3"/>
    </row>
    <row r="1208" spans="1:13" s="4" customFormat="1" ht="14.25" customHeight="1" x14ac:dyDescent="0.25">
      <c r="A1208" s="4" t="s">
        <v>2132</v>
      </c>
      <c r="B1208" s="4" t="s">
        <v>13</v>
      </c>
      <c r="C1208" s="4" t="s">
        <v>14</v>
      </c>
      <c r="D1208" s="35">
        <v>6182</v>
      </c>
      <c r="E1208" s="4" t="s">
        <v>2133</v>
      </c>
      <c r="F1208" s="5">
        <v>39431</v>
      </c>
      <c r="G1208" s="5">
        <v>40147</v>
      </c>
      <c r="H1208" s="4" t="s">
        <v>2039</v>
      </c>
      <c r="I1208" s="6">
        <v>88680.41</v>
      </c>
      <c r="J1208" s="6">
        <v>88680.41</v>
      </c>
      <c r="K1208" s="37" t="s">
        <v>2033</v>
      </c>
      <c r="L1208" s="119"/>
      <c r="M1208" s="3"/>
    </row>
    <row r="1209" spans="1:13" s="4" customFormat="1" ht="14.25" customHeight="1" x14ac:dyDescent="0.25">
      <c r="A1209" s="4" t="s">
        <v>2134</v>
      </c>
      <c r="B1209" s="4" t="s">
        <v>13</v>
      </c>
      <c r="C1209" s="4" t="s">
        <v>14</v>
      </c>
      <c r="D1209" s="35">
        <v>6191</v>
      </c>
      <c r="E1209" s="4" t="s">
        <v>2135</v>
      </c>
      <c r="F1209" s="5">
        <v>39904</v>
      </c>
      <c r="G1209" s="5">
        <v>40359</v>
      </c>
      <c r="H1209" s="4" t="s">
        <v>2039</v>
      </c>
      <c r="I1209" s="6">
        <v>73456.5</v>
      </c>
      <c r="J1209" s="6">
        <f>62500.05+10956.45</f>
        <v>73456.5</v>
      </c>
      <c r="K1209" s="37" t="s">
        <v>2033</v>
      </c>
      <c r="L1209" s="119"/>
      <c r="M1209" s="3"/>
    </row>
    <row r="1210" spans="1:13" s="4" customFormat="1" ht="14.25" customHeight="1" x14ac:dyDescent="0.25">
      <c r="A1210" s="4" t="s">
        <v>2136</v>
      </c>
      <c r="B1210" s="4" t="s">
        <v>13</v>
      </c>
      <c r="C1210" s="4" t="s">
        <v>14</v>
      </c>
      <c r="D1210" s="35">
        <v>6192</v>
      </c>
      <c r="E1210" s="4" t="s">
        <v>2137</v>
      </c>
      <c r="F1210" s="5">
        <v>39661</v>
      </c>
      <c r="G1210" s="5">
        <v>40512</v>
      </c>
      <c r="H1210" s="4" t="s">
        <v>2039</v>
      </c>
      <c r="I1210" s="6">
        <v>127888.47</v>
      </c>
      <c r="J1210" s="6">
        <v>127888.47</v>
      </c>
      <c r="K1210" s="37" t="s">
        <v>2033</v>
      </c>
      <c r="L1210" s="119"/>
      <c r="M1210" s="3"/>
    </row>
    <row r="1211" spans="1:13" s="4" customFormat="1" ht="14.25" customHeight="1" x14ac:dyDescent="0.25">
      <c r="A1211" s="4" t="s">
        <v>2138</v>
      </c>
      <c r="B1211" s="4" t="s">
        <v>13</v>
      </c>
      <c r="C1211" s="4" t="s">
        <v>14</v>
      </c>
      <c r="D1211" s="35">
        <v>6193</v>
      </c>
      <c r="E1211" s="4" t="s">
        <v>2138</v>
      </c>
      <c r="F1211" s="5">
        <v>39417</v>
      </c>
      <c r="G1211" s="5">
        <v>39782</v>
      </c>
      <c r="H1211" s="4" t="s">
        <v>2039</v>
      </c>
      <c r="I1211" s="6">
        <v>55987.51</v>
      </c>
      <c r="J1211" s="6">
        <v>55987.51</v>
      </c>
      <c r="K1211" s="37" t="s">
        <v>2033</v>
      </c>
      <c r="L1211" s="119"/>
      <c r="M1211" s="3"/>
    </row>
    <row r="1212" spans="1:13" s="4" customFormat="1" ht="14.25" customHeight="1" x14ac:dyDescent="0.25">
      <c r="A1212" s="4" t="s">
        <v>2139</v>
      </c>
      <c r="B1212" s="4" t="s">
        <v>13</v>
      </c>
      <c r="C1212" s="4" t="s">
        <v>14</v>
      </c>
      <c r="D1212" s="35">
        <v>6194</v>
      </c>
      <c r="E1212" s="4" t="s">
        <v>2140</v>
      </c>
      <c r="F1212" s="5">
        <v>39203</v>
      </c>
      <c r="G1212" s="5">
        <v>39568</v>
      </c>
      <c r="H1212" s="4" t="s">
        <v>2039</v>
      </c>
      <c r="I1212" s="6">
        <v>77607.289999999994</v>
      </c>
      <c r="J1212" s="6">
        <v>77607.289999999994</v>
      </c>
      <c r="K1212" s="37" t="s">
        <v>2033</v>
      </c>
      <c r="L1212" s="119"/>
      <c r="M1212" s="3"/>
    </row>
    <row r="1213" spans="1:13" s="4" customFormat="1" ht="14.25" customHeight="1" x14ac:dyDescent="0.25">
      <c r="A1213" s="4" t="s">
        <v>2141</v>
      </c>
      <c r="B1213" s="4" t="s">
        <v>13</v>
      </c>
      <c r="C1213" s="4" t="s">
        <v>14</v>
      </c>
      <c r="D1213" s="35">
        <v>6195</v>
      </c>
      <c r="E1213" s="4" t="s">
        <v>2142</v>
      </c>
      <c r="F1213" s="5">
        <v>40118</v>
      </c>
      <c r="G1213" s="5">
        <v>40573</v>
      </c>
      <c r="H1213" s="4" t="s">
        <v>2039</v>
      </c>
      <c r="I1213" s="6">
        <f>17187.34+21152.1+45259.93</f>
        <v>83599.37</v>
      </c>
      <c r="J1213" s="6">
        <v>83599.37</v>
      </c>
      <c r="K1213" s="37" t="s">
        <v>2033</v>
      </c>
      <c r="L1213" s="119"/>
      <c r="M1213" s="3"/>
    </row>
    <row r="1214" spans="1:13" s="4" customFormat="1" ht="14.25" customHeight="1" x14ac:dyDescent="0.25">
      <c r="A1214" s="4" t="s">
        <v>2143</v>
      </c>
      <c r="B1214" s="4" t="s">
        <v>13</v>
      </c>
      <c r="C1214" s="4" t="s">
        <v>14</v>
      </c>
      <c r="D1214" s="35">
        <v>6196</v>
      </c>
      <c r="E1214" s="4" t="s">
        <v>2144</v>
      </c>
      <c r="F1214" s="5">
        <v>40056</v>
      </c>
      <c r="G1214" s="5">
        <v>40602</v>
      </c>
      <c r="H1214" s="4" t="s">
        <v>2039</v>
      </c>
      <c r="I1214" s="6">
        <f>21416.42+39631.49+27560.43</f>
        <v>88608.34</v>
      </c>
      <c r="J1214" s="6">
        <v>88608.34</v>
      </c>
      <c r="K1214" s="37" t="s">
        <v>2033</v>
      </c>
      <c r="L1214" s="119"/>
      <c r="M1214" s="3"/>
    </row>
    <row r="1215" spans="1:13" s="4" customFormat="1" ht="14.25" customHeight="1" x14ac:dyDescent="0.25">
      <c r="A1215" s="4" t="s">
        <v>2145</v>
      </c>
      <c r="B1215" s="4" t="s">
        <v>13</v>
      </c>
      <c r="C1215" s="4" t="s">
        <v>14</v>
      </c>
      <c r="D1215" s="35">
        <v>6198</v>
      </c>
      <c r="E1215" s="4" t="s">
        <v>2146</v>
      </c>
      <c r="F1215" s="5">
        <v>39265</v>
      </c>
      <c r="G1215" s="5">
        <v>39721</v>
      </c>
      <c r="H1215" s="4" t="s">
        <v>2039</v>
      </c>
      <c r="I1215" s="6">
        <v>61773.120000000003</v>
      </c>
      <c r="J1215" s="6">
        <v>61773.120000000003</v>
      </c>
      <c r="K1215" s="37" t="s">
        <v>2033</v>
      </c>
      <c r="L1215" s="119"/>
      <c r="M1215" s="3"/>
    </row>
    <row r="1216" spans="1:13" s="4" customFormat="1" ht="14.25" customHeight="1" x14ac:dyDescent="0.25">
      <c r="A1216" s="13" t="s">
        <v>2147</v>
      </c>
      <c r="B1216" s="4" t="s">
        <v>13</v>
      </c>
      <c r="C1216" s="4" t="s">
        <v>14</v>
      </c>
      <c r="D1216" s="35">
        <v>6535</v>
      </c>
      <c r="E1216" s="13" t="s">
        <v>2148</v>
      </c>
      <c r="F1216" s="14">
        <v>40360</v>
      </c>
      <c r="G1216" s="14">
        <v>40816</v>
      </c>
      <c r="H1216" s="4" t="s">
        <v>2039</v>
      </c>
      <c r="I1216" s="6">
        <f>62516.3+21458.27</f>
        <v>83974.57</v>
      </c>
      <c r="J1216" s="6">
        <v>83974.57</v>
      </c>
      <c r="K1216" s="37" t="s">
        <v>2033</v>
      </c>
      <c r="L1216" s="119"/>
      <c r="M1216" s="3"/>
    </row>
    <row r="1217" spans="1:13" s="4" customFormat="1" ht="14.25" customHeight="1" x14ac:dyDescent="0.25">
      <c r="A1217" s="4" t="s">
        <v>2149</v>
      </c>
      <c r="B1217" s="4" t="s">
        <v>13</v>
      </c>
      <c r="C1217" s="4" t="s">
        <v>14</v>
      </c>
      <c r="D1217" s="35">
        <v>6536</v>
      </c>
      <c r="E1217" s="7" t="s">
        <v>2150</v>
      </c>
      <c r="F1217" s="5">
        <v>40308</v>
      </c>
      <c r="G1217" s="5">
        <v>40718</v>
      </c>
      <c r="H1217" s="4" t="s">
        <v>2039</v>
      </c>
      <c r="I1217" s="6">
        <v>61336.41</v>
      </c>
      <c r="J1217" s="6">
        <v>61336.41</v>
      </c>
      <c r="K1217" s="37" t="s">
        <v>2033</v>
      </c>
      <c r="L1217" s="119"/>
      <c r="M1217" s="3"/>
    </row>
    <row r="1218" spans="1:13" s="4" customFormat="1" ht="14.25" customHeight="1" x14ac:dyDescent="0.25">
      <c r="A1218" s="4" t="s">
        <v>2151</v>
      </c>
      <c r="B1218" s="4" t="s">
        <v>13</v>
      </c>
      <c r="C1218" s="4" t="s">
        <v>14</v>
      </c>
      <c r="D1218" s="35">
        <v>8465</v>
      </c>
      <c r="E1218" s="4" t="s">
        <v>2152</v>
      </c>
      <c r="F1218" s="5">
        <v>40269</v>
      </c>
      <c r="G1218" s="5">
        <v>40893</v>
      </c>
      <c r="H1218" s="4" t="s">
        <v>2039</v>
      </c>
      <c r="I1218" s="6">
        <v>71363.28</v>
      </c>
      <c r="J1218" s="6">
        <v>71363.28</v>
      </c>
      <c r="K1218" s="37" t="s">
        <v>2033</v>
      </c>
      <c r="L1218" s="119"/>
      <c r="M1218" s="3"/>
    </row>
    <row r="1219" spans="1:13" s="4" customFormat="1" ht="14.25" customHeight="1" x14ac:dyDescent="0.25">
      <c r="A1219" s="4" t="s">
        <v>2153</v>
      </c>
      <c r="B1219" s="4" t="s">
        <v>13</v>
      </c>
      <c r="C1219" s="4" t="s">
        <v>14</v>
      </c>
      <c r="D1219" s="35">
        <v>10146</v>
      </c>
      <c r="E1219" s="4" t="s">
        <v>2154</v>
      </c>
      <c r="F1219" s="5">
        <v>39630</v>
      </c>
      <c r="G1219" s="5">
        <v>40131</v>
      </c>
      <c r="H1219" s="4" t="s">
        <v>2155</v>
      </c>
      <c r="I1219" s="6">
        <v>102.53</v>
      </c>
      <c r="J1219" s="6">
        <v>102.53</v>
      </c>
      <c r="K1219" s="37" t="s">
        <v>2033</v>
      </c>
      <c r="L1219" s="119"/>
      <c r="M1219" s="3"/>
    </row>
    <row r="1220" spans="1:13" s="4" customFormat="1" ht="14.25" customHeight="1" x14ac:dyDescent="0.25">
      <c r="A1220" s="4" t="s">
        <v>2156</v>
      </c>
      <c r="B1220" s="4" t="s">
        <v>13</v>
      </c>
      <c r="C1220" s="4" t="s">
        <v>14</v>
      </c>
      <c r="D1220" s="35">
        <v>10971</v>
      </c>
      <c r="E1220" s="4" t="s">
        <v>2156</v>
      </c>
      <c r="F1220" s="5">
        <v>40269</v>
      </c>
      <c r="G1220" s="5">
        <v>40694</v>
      </c>
      <c r="H1220" s="4" t="s">
        <v>2039</v>
      </c>
      <c r="I1220" s="6">
        <v>0</v>
      </c>
      <c r="J1220" s="8">
        <v>0</v>
      </c>
      <c r="K1220" s="37" t="s">
        <v>2033</v>
      </c>
      <c r="L1220" s="119"/>
      <c r="M1220" s="3"/>
    </row>
    <row r="1221" spans="1:13" s="4" customFormat="1" ht="14.25" customHeight="1" x14ac:dyDescent="0.25">
      <c r="A1221" s="4" t="s">
        <v>2157</v>
      </c>
      <c r="B1221" s="4" t="s">
        <v>13</v>
      </c>
      <c r="C1221" s="4" t="s">
        <v>14</v>
      </c>
      <c r="D1221" s="35">
        <v>10972</v>
      </c>
      <c r="E1221" s="4" t="s">
        <v>2158</v>
      </c>
      <c r="F1221" s="5">
        <v>40603</v>
      </c>
      <c r="G1221" s="5">
        <v>40967</v>
      </c>
      <c r="H1221" s="4" t="s">
        <v>2039</v>
      </c>
      <c r="I1221" s="6">
        <v>90002.42</v>
      </c>
      <c r="J1221" s="8">
        <f>67149.18+22853.24</f>
        <v>90002.42</v>
      </c>
      <c r="K1221" s="37" t="s">
        <v>2033</v>
      </c>
      <c r="L1221" s="119"/>
      <c r="M1221" s="3"/>
    </row>
    <row r="1222" spans="1:13" s="4" customFormat="1" ht="14.25" customHeight="1" x14ac:dyDescent="0.25">
      <c r="A1222" s="4" t="s">
        <v>2159</v>
      </c>
      <c r="B1222" s="4" t="s">
        <v>13</v>
      </c>
      <c r="C1222" s="4" t="s">
        <v>14</v>
      </c>
      <c r="D1222" s="35">
        <v>10973</v>
      </c>
      <c r="E1222" s="4" t="s">
        <v>2160</v>
      </c>
      <c r="F1222" s="5">
        <v>40728</v>
      </c>
      <c r="G1222" s="5">
        <v>41131</v>
      </c>
      <c r="H1222" s="4" t="s">
        <v>2039</v>
      </c>
      <c r="I1222" s="6">
        <f>8867.18+77789.12</f>
        <v>86656.299999999988</v>
      </c>
      <c r="J1222" s="8">
        <f>8867.18+77789.12</f>
        <v>86656.299999999988</v>
      </c>
      <c r="K1222" s="37" t="s">
        <v>2033</v>
      </c>
      <c r="L1222" s="119"/>
      <c r="M1222" s="3"/>
    </row>
    <row r="1223" spans="1:13" s="4" customFormat="1" ht="14.25" customHeight="1" x14ac:dyDescent="0.25">
      <c r="A1223" s="4" t="s">
        <v>2161</v>
      </c>
      <c r="B1223" s="4" t="s">
        <v>13</v>
      </c>
      <c r="C1223" s="4" t="s">
        <v>14</v>
      </c>
      <c r="D1223" s="35">
        <v>10974</v>
      </c>
      <c r="E1223" s="4" t="s">
        <v>2161</v>
      </c>
      <c r="F1223" s="5">
        <v>40784</v>
      </c>
      <c r="G1223" s="5">
        <v>40929</v>
      </c>
      <c r="H1223" s="4" t="s">
        <v>2039</v>
      </c>
      <c r="I1223" s="6">
        <v>7151.62</v>
      </c>
      <c r="J1223" s="8">
        <f>3085.5+4066.12</f>
        <v>7151.62</v>
      </c>
      <c r="K1223" s="37" t="s">
        <v>2033</v>
      </c>
      <c r="L1223" s="119"/>
      <c r="M1223" s="3"/>
    </row>
    <row r="1224" spans="1:13" s="4" customFormat="1" ht="14.25" customHeight="1" x14ac:dyDescent="0.25">
      <c r="A1224" s="4" t="s">
        <v>2162</v>
      </c>
      <c r="B1224" s="4" t="s">
        <v>13</v>
      </c>
      <c r="C1224" s="4" t="s">
        <v>14</v>
      </c>
      <c r="D1224" s="35">
        <v>10975</v>
      </c>
      <c r="E1224" s="4" t="s">
        <v>2162</v>
      </c>
      <c r="F1224" s="5">
        <v>40805</v>
      </c>
      <c r="G1224" s="5">
        <v>40893</v>
      </c>
      <c r="H1224" s="4" t="s">
        <v>2039</v>
      </c>
      <c r="I1224" s="6">
        <v>9167.89</v>
      </c>
      <c r="J1224" s="8">
        <v>9167.89</v>
      </c>
      <c r="K1224" s="37" t="s">
        <v>2033</v>
      </c>
      <c r="L1224" s="119"/>
      <c r="M1224" s="3"/>
    </row>
    <row r="1225" spans="1:13" s="4" customFormat="1" ht="14.25" customHeight="1" x14ac:dyDescent="0.25">
      <c r="A1225" s="4" t="s">
        <v>2163</v>
      </c>
      <c r="B1225" s="4" t="s">
        <v>13</v>
      </c>
      <c r="C1225" s="4" t="s">
        <v>14</v>
      </c>
      <c r="D1225" s="35">
        <v>10976</v>
      </c>
      <c r="E1225" s="4" t="s">
        <v>2163</v>
      </c>
      <c r="F1225" s="5">
        <v>40758</v>
      </c>
      <c r="G1225" s="5">
        <v>40897</v>
      </c>
      <c r="H1225" s="4" t="s">
        <v>2039</v>
      </c>
      <c r="I1225" s="6">
        <v>9396.0300000000007</v>
      </c>
      <c r="J1225" s="8">
        <v>9396.0300000000007</v>
      </c>
      <c r="K1225" s="37" t="s">
        <v>2033</v>
      </c>
      <c r="L1225" s="119"/>
      <c r="M1225" s="3"/>
    </row>
    <row r="1226" spans="1:13" s="4" customFormat="1" ht="14.25" customHeight="1" x14ac:dyDescent="0.25">
      <c r="A1226" s="4" t="s">
        <v>2164</v>
      </c>
      <c r="B1226" s="4" t="s">
        <v>13</v>
      </c>
      <c r="C1226" s="4" t="s">
        <v>14</v>
      </c>
      <c r="D1226" s="35">
        <v>10977</v>
      </c>
      <c r="E1226" s="4" t="s">
        <v>2164</v>
      </c>
      <c r="F1226" s="5">
        <v>40791</v>
      </c>
      <c r="G1226" s="5">
        <v>40872</v>
      </c>
      <c r="H1226" s="4" t="s">
        <v>2039</v>
      </c>
      <c r="I1226" s="6">
        <v>9438</v>
      </c>
      <c r="J1226" s="8">
        <v>9438</v>
      </c>
      <c r="K1226" s="37" t="s">
        <v>2033</v>
      </c>
      <c r="L1226" s="119"/>
      <c r="M1226" s="3"/>
    </row>
    <row r="1227" spans="1:13" s="4" customFormat="1" ht="14.25" customHeight="1" x14ac:dyDescent="0.25">
      <c r="A1227" s="4" t="s">
        <v>2165</v>
      </c>
      <c r="B1227" s="4" t="s">
        <v>13</v>
      </c>
      <c r="C1227" s="4" t="s">
        <v>14</v>
      </c>
      <c r="D1227" s="35">
        <v>10978</v>
      </c>
      <c r="E1227" s="4" t="s">
        <v>2165</v>
      </c>
      <c r="F1227" s="5">
        <v>40819</v>
      </c>
      <c r="G1227" s="5">
        <v>40900</v>
      </c>
      <c r="H1227" s="4" t="s">
        <v>2039</v>
      </c>
      <c r="I1227" s="6">
        <v>5288.91</v>
      </c>
      <c r="J1227" s="8">
        <v>5288.91</v>
      </c>
      <c r="K1227" s="37" t="s">
        <v>2033</v>
      </c>
      <c r="L1227" s="119"/>
      <c r="M1227" s="3"/>
    </row>
    <row r="1228" spans="1:13" s="4" customFormat="1" ht="14.25" customHeight="1" x14ac:dyDescent="0.25">
      <c r="A1228" s="4" t="s">
        <v>2166</v>
      </c>
      <c r="B1228" s="4" t="s">
        <v>13</v>
      </c>
      <c r="C1228" s="4" t="s">
        <v>14</v>
      </c>
      <c r="D1228" s="35">
        <v>10979</v>
      </c>
      <c r="E1228" s="4" t="s">
        <v>2167</v>
      </c>
      <c r="F1228" s="5">
        <v>40805</v>
      </c>
      <c r="G1228" s="5">
        <v>40896</v>
      </c>
      <c r="H1228" s="4" t="s">
        <v>2039</v>
      </c>
      <c r="I1228" s="6">
        <v>5936.01</v>
      </c>
      <c r="J1228" s="8">
        <v>5936.01</v>
      </c>
      <c r="K1228" s="37" t="s">
        <v>2033</v>
      </c>
      <c r="L1228" s="119"/>
      <c r="M1228" s="3"/>
    </row>
    <row r="1229" spans="1:13" s="4" customFormat="1" ht="14.25" customHeight="1" x14ac:dyDescent="0.25">
      <c r="A1229" s="4" t="s">
        <v>2168</v>
      </c>
      <c r="B1229" s="4" t="s">
        <v>13</v>
      </c>
      <c r="C1229" s="4" t="s">
        <v>14</v>
      </c>
      <c r="D1229" s="35">
        <v>10980</v>
      </c>
      <c r="E1229" s="4" t="s">
        <v>2169</v>
      </c>
      <c r="F1229" s="5">
        <v>40787</v>
      </c>
      <c r="G1229" s="5">
        <v>41243</v>
      </c>
      <c r="H1229" s="4" t="s">
        <v>2039</v>
      </c>
      <c r="I1229" s="6">
        <v>77585.91</v>
      </c>
      <c r="J1229" s="8">
        <f>1338+76247.91</f>
        <v>77585.91</v>
      </c>
      <c r="K1229" s="37" t="s">
        <v>2033</v>
      </c>
      <c r="L1229" s="119"/>
      <c r="M1229" s="3"/>
    </row>
    <row r="1230" spans="1:13" s="32" customFormat="1" ht="14.25" customHeight="1" x14ac:dyDescent="0.25">
      <c r="A1230" s="13" t="s">
        <v>11401</v>
      </c>
      <c r="B1230" s="32" t="s">
        <v>13</v>
      </c>
      <c r="C1230" s="32" t="s">
        <v>14</v>
      </c>
      <c r="D1230" s="33">
        <v>10981</v>
      </c>
      <c r="E1230" s="13" t="s">
        <v>11401</v>
      </c>
      <c r="F1230" s="34">
        <v>40938</v>
      </c>
      <c r="G1230" s="34">
        <v>41020</v>
      </c>
      <c r="H1230" s="4" t="s">
        <v>2039</v>
      </c>
      <c r="I1230" s="94">
        <v>6190.03</v>
      </c>
      <c r="J1230" s="94">
        <v>6190.03</v>
      </c>
      <c r="K1230" s="38" t="s">
        <v>2033</v>
      </c>
      <c r="L1230" s="119"/>
    </row>
    <row r="1231" spans="1:13" s="32" customFormat="1" ht="14.25" customHeight="1" x14ac:dyDescent="0.25">
      <c r="A1231" s="13" t="s">
        <v>11402</v>
      </c>
      <c r="B1231" s="32" t="s">
        <v>13</v>
      </c>
      <c r="C1231" s="32" t="s">
        <v>14</v>
      </c>
      <c r="D1231" s="33">
        <v>10982</v>
      </c>
      <c r="E1231" s="13" t="s">
        <v>11403</v>
      </c>
      <c r="H1231" s="4" t="s">
        <v>2039</v>
      </c>
      <c r="I1231" s="94">
        <v>14253.22</v>
      </c>
      <c r="J1231" s="94">
        <v>14253.22</v>
      </c>
      <c r="K1231" s="38" t="s">
        <v>2033</v>
      </c>
      <c r="L1231" s="119"/>
    </row>
    <row r="1232" spans="1:13" s="4" customFormat="1" ht="14.25" customHeight="1" x14ac:dyDescent="0.25">
      <c r="A1232" s="4" t="s">
        <v>2170</v>
      </c>
      <c r="B1232" s="4" t="s">
        <v>13</v>
      </c>
      <c r="C1232" s="4" t="s">
        <v>14</v>
      </c>
      <c r="D1232" s="35">
        <v>11107</v>
      </c>
      <c r="E1232" s="4" t="s">
        <v>2170</v>
      </c>
      <c r="F1232" s="5">
        <v>39797</v>
      </c>
      <c r="G1232" s="5">
        <v>41258</v>
      </c>
      <c r="H1232" s="4" t="s">
        <v>2039</v>
      </c>
      <c r="I1232" s="6">
        <v>67932.17</v>
      </c>
      <c r="J1232" s="6">
        <v>67932.17</v>
      </c>
      <c r="K1232" s="37" t="s">
        <v>2033</v>
      </c>
      <c r="L1232" s="119"/>
      <c r="M1232" s="3"/>
    </row>
    <row r="1233" spans="1:13" s="4" customFormat="1" ht="14.25" customHeight="1" x14ac:dyDescent="0.25">
      <c r="A1233" s="4" t="s">
        <v>2171</v>
      </c>
      <c r="B1233" s="4" t="s">
        <v>13</v>
      </c>
      <c r="C1233" s="4" t="s">
        <v>14</v>
      </c>
      <c r="D1233" s="35">
        <v>11108</v>
      </c>
      <c r="E1233" s="4" t="s">
        <v>2171</v>
      </c>
      <c r="F1233" s="5">
        <v>40483</v>
      </c>
      <c r="G1233" s="5">
        <v>41090</v>
      </c>
      <c r="H1233" s="4" t="s">
        <v>2039</v>
      </c>
      <c r="I1233" s="6">
        <f>33686.08+33385.38</f>
        <v>67071.459999999992</v>
      </c>
      <c r="J1233" s="6">
        <f>33686.08+33385.38</f>
        <v>67071.459999999992</v>
      </c>
      <c r="K1233" s="37" t="s">
        <v>2033</v>
      </c>
      <c r="L1233" s="119"/>
      <c r="M1233" s="3"/>
    </row>
    <row r="1234" spans="1:13" s="4" customFormat="1" ht="14.25" customHeight="1" x14ac:dyDescent="0.25">
      <c r="A1234" s="4" t="s">
        <v>2172</v>
      </c>
      <c r="B1234" s="4" t="s">
        <v>13</v>
      </c>
      <c r="C1234" s="4" t="s">
        <v>14</v>
      </c>
      <c r="D1234" s="35">
        <v>11109</v>
      </c>
      <c r="E1234" s="4" t="s">
        <v>2172</v>
      </c>
      <c r="F1234" s="5">
        <v>40575</v>
      </c>
      <c r="G1234" s="5">
        <v>41029</v>
      </c>
      <c r="H1234" s="4" t="s">
        <v>2039</v>
      </c>
      <c r="I1234" s="6">
        <v>51695.72</v>
      </c>
      <c r="J1234" s="6">
        <v>51695.72</v>
      </c>
      <c r="K1234" s="37" t="s">
        <v>2033</v>
      </c>
      <c r="L1234" s="119"/>
      <c r="M1234" s="3"/>
    </row>
    <row r="1235" spans="1:13" s="4" customFormat="1" ht="14.25" customHeight="1" x14ac:dyDescent="0.25">
      <c r="A1235" s="4" t="s">
        <v>2173</v>
      </c>
      <c r="B1235" s="4" t="s">
        <v>13</v>
      </c>
      <c r="C1235" s="4" t="s">
        <v>14</v>
      </c>
      <c r="D1235" s="35">
        <v>11110</v>
      </c>
      <c r="E1235" s="4" t="s">
        <v>2173</v>
      </c>
      <c r="F1235" s="5">
        <v>40718</v>
      </c>
      <c r="G1235" s="5">
        <v>40831</v>
      </c>
      <c r="H1235" s="4" t="s">
        <v>2039</v>
      </c>
      <c r="I1235" s="6">
        <f>12402.66-1684.2</f>
        <v>10718.46</v>
      </c>
      <c r="J1235" s="6">
        <f>12402.66-1684.2</f>
        <v>10718.46</v>
      </c>
      <c r="K1235" s="37" t="s">
        <v>2033</v>
      </c>
      <c r="L1235" s="119"/>
      <c r="M1235" s="3"/>
    </row>
    <row r="1236" spans="1:13" s="4" customFormat="1" ht="14.25" customHeight="1" x14ac:dyDescent="0.25">
      <c r="A1236" s="4" t="s">
        <v>2174</v>
      </c>
      <c r="B1236" s="4" t="s">
        <v>13</v>
      </c>
      <c r="C1236" s="4" t="s">
        <v>14</v>
      </c>
      <c r="D1236" s="35">
        <v>11111</v>
      </c>
      <c r="E1236" s="4" t="s">
        <v>2175</v>
      </c>
      <c r="F1236" s="5">
        <v>40787</v>
      </c>
      <c r="G1236" s="5">
        <v>40896</v>
      </c>
      <c r="H1236" s="4" t="s">
        <v>2039</v>
      </c>
      <c r="I1236" s="6">
        <v>12306.64</v>
      </c>
      <c r="J1236" s="6">
        <v>12306.64</v>
      </c>
      <c r="K1236" s="37" t="s">
        <v>2033</v>
      </c>
      <c r="L1236" s="119"/>
      <c r="M1236" s="3"/>
    </row>
    <row r="1237" spans="1:13" s="4" customFormat="1" ht="14.25" customHeight="1" x14ac:dyDescent="0.25">
      <c r="A1237" s="4" t="s">
        <v>2176</v>
      </c>
      <c r="B1237" s="4" t="s">
        <v>13</v>
      </c>
      <c r="C1237" s="4" t="s">
        <v>14</v>
      </c>
      <c r="D1237" s="35">
        <v>11112</v>
      </c>
      <c r="E1237" s="4" t="s">
        <v>2176</v>
      </c>
      <c r="F1237" s="5">
        <v>40787</v>
      </c>
      <c r="G1237" s="5">
        <v>41213</v>
      </c>
      <c r="H1237" s="4" t="s">
        <v>2039</v>
      </c>
      <c r="I1237" s="6">
        <f>10552.93+101561.29</f>
        <v>112114.22</v>
      </c>
      <c r="J1237" s="6">
        <f>10552.93+101561.29</f>
        <v>112114.22</v>
      </c>
      <c r="K1237" s="37" t="s">
        <v>2033</v>
      </c>
      <c r="L1237" s="119"/>
      <c r="M1237" s="3"/>
    </row>
    <row r="1238" spans="1:13" s="4" customFormat="1" ht="14.25" customHeight="1" x14ac:dyDescent="0.25">
      <c r="A1238" s="13" t="s">
        <v>2177</v>
      </c>
      <c r="B1238" s="4" t="s">
        <v>13</v>
      </c>
      <c r="C1238" s="4" t="s">
        <v>14</v>
      </c>
      <c r="D1238" s="35">
        <v>11675</v>
      </c>
      <c r="E1238" s="13" t="s">
        <v>2178</v>
      </c>
      <c r="F1238" s="14">
        <v>40629</v>
      </c>
      <c r="G1238" s="14">
        <v>41275</v>
      </c>
      <c r="H1238" s="4" t="s">
        <v>2039</v>
      </c>
      <c r="I1238" s="6">
        <f>46559.59+74014.77</f>
        <v>120574.36</v>
      </c>
      <c r="J1238" s="6">
        <f>46559.59+74014.77</f>
        <v>120574.36</v>
      </c>
      <c r="K1238" s="37" t="s">
        <v>2033</v>
      </c>
      <c r="L1238" s="119"/>
      <c r="M1238" s="3"/>
    </row>
    <row r="1239" spans="1:13" s="4" customFormat="1" ht="14.25" customHeight="1" x14ac:dyDescent="0.25">
      <c r="A1239" s="13" t="s">
        <v>2179</v>
      </c>
      <c r="B1239" s="4" t="s">
        <v>13</v>
      </c>
      <c r="C1239" s="4" t="s">
        <v>14</v>
      </c>
      <c r="D1239" s="35">
        <v>11676</v>
      </c>
      <c r="E1239" s="13" t="s">
        <v>2180</v>
      </c>
      <c r="F1239" s="14">
        <v>40634</v>
      </c>
      <c r="G1239" s="14">
        <v>41455</v>
      </c>
      <c r="H1239" s="4" t="s">
        <v>2039</v>
      </c>
      <c r="I1239" s="6">
        <f>57389.21+6283.61</f>
        <v>63672.82</v>
      </c>
      <c r="J1239" s="6">
        <f>57389.21+6283.61</f>
        <v>63672.82</v>
      </c>
      <c r="K1239" s="37" t="s">
        <v>2033</v>
      </c>
      <c r="L1239" s="119"/>
      <c r="M1239" s="3"/>
    </row>
    <row r="1240" spans="1:13" s="4" customFormat="1" ht="14.25" customHeight="1" x14ac:dyDescent="0.25">
      <c r="A1240" s="13" t="s">
        <v>2181</v>
      </c>
      <c r="B1240" s="4" t="s">
        <v>13</v>
      </c>
      <c r="C1240" s="4" t="s">
        <v>14</v>
      </c>
      <c r="D1240" s="35">
        <v>11677</v>
      </c>
      <c r="E1240" s="13" t="s">
        <v>2182</v>
      </c>
      <c r="F1240" s="14">
        <v>40695</v>
      </c>
      <c r="G1240" s="14">
        <v>41243</v>
      </c>
      <c r="H1240" s="4" t="s">
        <v>2039</v>
      </c>
      <c r="I1240" s="6">
        <f>28868.42+103231.68</f>
        <v>132100.09999999998</v>
      </c>
      <c r="J1240" s="6">
        <f>28868.42+103231.68</f>
        <v>132100.09999999998</v>
      </c>
      <c r="K1240" s="37" t="s">
        <v>2033</v>
      </c>
      <c r="L1240" s="119"/>
      <c r="M1240" s="3"/>
    </row>
    <row r="1241" spans="1:13" s="4" customFormat="1" ht="14.25" customHeight="1" x14ac:dyDescent="0.25">
      <c r="A1241" s="13" t="s">
        <v>2183</v>
      </c>
      <c r="B1241" s="4" t="s">
        <v>13</v>
      </c>
      <c r="C1241" s="4" t="s">
        <v>14</v>
      </c>
      <c r="D1241" s="35">
        <v>11678</v>
      </c>
      <c r="E1241" s="13" t="s">
        <v>2184</v>
      </c>
      <c r="F1241" s="14">
        <v>40756</v>
      </c>
      <c r="G1241" s="14">
        <v>41593</v>
      </c>
      <c r="H1241" s="4" t="s">
        <v>2039</v>
      </c>
      <c r="I1241" s="6">
        <f>31911.33+109536.29+94793.63</f>
        <v>236241.25</v>
      </c>
      <c r="J1241" s="6">
        <f>31911.33+109536.29+94793.63</f>
        <v>236241.25</v>
      </c>
      <c r="K1241" s="37" t="s">
        <v>2033</v>
      </c>
      <c r="L1241" s="119"/>
      <c r="M1241" s="3"/>
    </row>
    <row r="1242" spans="1:13" s="4" customFormat="1" ht="14.25" customHeight="1" x14ac:dyDescent="0.25">
      <c r="A1242" s="13" t="s">
        <v>2185</v>
      </c>
      <c r="B1242" s="4" t="s">
        <v>13</v>
      </c>
      <c r="C1242" s="4" t="s">
        <v>14</v>
      </c>
      <c r="D1242" s="35">
        <v>11679</v>
      </c>
      <c r="E1242" s="13" t="s">
        <v>2186</v>
      </c>
      <c r="F1242" s="14">
        <v>40725</v>
      </c>
      <c r="G1242" s="14">
        <v>41883</v>
      </c>
      <c r="H1242" s="4" t="s">
        <v>2039</v>
      </c>
      <c r="I1242" s="6">
        <f>49559.21+83315.1+122829.88</f>
        <v>255704.19</v>
      </c>
      <c r="J1242" s="6">
        <f>49559.21+83315.14+122829.84</f>
        <v>255704.19</v>
      </c>
      <c r="K1242" s="37" t="s">
        <v>2033</v>
      </c>
      <c r="L1242" s="119"/>
      <c r="M1242" s="3"/>
    </row>
    <row r="1243" spans="1:13" s="4" customFormat="1" ht="14.25" customHeight="1" x14ac:dyDescent="0.25">
      <c r="A1243" s="13" t="s">
        <v>2187</v>
      </c>
      <c r="B1243" s="4" t="s">
        <v>13</v>
      </c>
      <c r="C1243" s="4" t="s">
        <v>14</v>
      </c>
      <c r="D1243" s="35">
        <v>11680</v>
      </c>
      <c r="E1243" s="13" t="s">
        <v>2188</v>
      </c>
      <c r="F1243" s="14">
        <v>40787</v>
      </c>
      <c r="G1243" s="14">
        <v>41883</v>
      </c>
      <c r="H1243" s="4" t="s">
        <v>2039</v>
      </c>
      <c r="I1243" s="6">
        <f>10188.12+58942.49+132909.94</f>
        <v>202040.55</v>
      </c>
      <c r="J1243" s="6">
        <f>10188.12+58942.45+132909.98</f>
        <v>202040.55</v>
      </c>
      <c r="K1243" s="37" t="s">
        <v>2033</v>
      </c>
      <c r="L1243" s="119"/>
      <c r="M1243" s="3"/>
    </row>
    <row r="1244" spans="1:13" s="32" customFormat="1" ht="14.25" customHeight="1" x14ac:dyDescent="0.25">
      <c r="A1244" s="13" t="s">
        <v>11405</v>
      </c>
      <c r="B1244" s="32" t="s">
        <v>13</v>
      </c>
      <c r="C1244" s="32" t="s">
        <v>14</v>
      </c>
      <c r="D1244" s="33">
        <v>12915</v>
      </c>
      <c r="E1244" s="13" t="s">
        <v>11406</v>
      </c>
      <c r="F1244" s="34">
        <v>41115</v>
      </c>
      <c r="G1244" s="34">
        <v>41480</v>
      </c>
      <c r="H1244" s="4" t="s">
        <v>2039</v>
      </c>
      <c r="I1244" s="94">
        <f>39794.15</f>
        <v>39794.15</v>
      </c>
      <c r="J1244" s="94">
        <f>39794.15</f>
        <v>39794.15</v>
      </c>
      <c r="K1244" s="38" t="s">
        <v>2033</v>
      </c>
      <c r="L1244" s="119"/>
    </row>
    <row r="1245" spans="1:13" s="32" customFormat="1" ht="14.25" customHeight="1" x14ac:dyDescent="0.25">
      <c r="A1245" s="13" t="s">
        <v>11604</v>
      </c>
      <c r="B1245" s="32" t="s">
        <v>13</v>
      </c>
      <c r="C1245" s="32" t="s">
        <v>14</v>
      </c>
      <c r="D1245" s="33">
        <v>12916</v>
      </c>
      <c r="E1245" s="13" t="s">
        <v>11604</v>
      </c>
      <c r="H1245" s="4" t="s">
        <v>2039</v>
      </c>
      <c r="I1245" s="94">
        <v>12975.4</v>
      </c>
      <c r="J1245" s="94">
        <v>12975.4</v>
      </c>
      <c r="K1245" s="38" t="s">
        <v>2033</v>
      </c>
      <c r="L1245" s="119"/>
    </row>
    <row r="1246" spans="1:13" s="32" customFormat="1" ht="14.25" customHeight="1" x14ac:dyDescent="0.25">
      <c r="A1246" s="13" t="s">
        <v>11605</v>
      </c>
      <c r="B1246" s="32" t="s">
        <v>13</v>
      </c>
      <c r="C1246" s="32" t="s">
        <v>14</v>
      </c>
      <c r="D1246" s="33">
        <v>12950</v>
      </c>
      <c r="E1246" s="13" t="s">
        <v>11605</v>
      </c>
      <c r="F1246" s="34">
        <v>40969</v>
      </c>
      <c r="G1246" s="34">
        <v>41152</v>
      </c>
      <c r="H1246" s="4" t="s">
        <v>2039</v>
      </c>
      <c r="I1246" s="94">
        <v>10492</v>
      </c>
      <c r="J1246" s="94">
        <v>10492</v>
      </c>
      <c r="K1246" s="38" t="s">
        <v>2033</v>
      </c>
      <c r="L1246" s="119"/>
    </row>
    <row r="1247" spans="1:13" s="32" customFormat="1" ht="14.25" customHeight="1" x14ac:dyDescent="0.25">
      <c r="A1247" s="13" t="s">
        <v>11606</v>
      </c>
      <c r="B1247" s="32" t="s">
        <v>13</v>
      </c>
      <c r="C1247" s="32" t="s">
        <v>14</v>
      </c>
      <c r="D1247" s="33">
        <v>12951</v>
      </c>
      <c r="E1247" s="13" t="s">
        <v>11606</v>
      </c>
      <c r="F1247" s="34">
        <v>40969</v>
      </c>
      <c r="G1247" s="34">
        <v>41152</v>
      </c>
      <c r="H1247" s="4" t="s">
        <v>2039</v>
      </c>
      <c r="I1247" s="94">
        <v>4228.53</v>
      </c>
      <c r="J1247" s="94">
        <v>4228.53</v>
      </c>
      <c r="K1247" s="38" t="s">
        <v>2033</v>
      </c>
      <c r="L1247" s="119"/>
    </row>
    <row r="1248" spans="1:13" s="32" customFormat="1" ht="14.25" customHeight="1" x14ac:dyDescent="0.25">
      <c r="A1248" s="13" t="s">
        <v>11607</v>
      </c>
      <c r="B1248" s="32" t="s">
        <v>13</v>
      </c>
      <c r="C1248" s="32" t="s">
        <v>14</v>
      </c>
      <c r="D1248" s="33">
        <v>12952</v>
      </c>
      <c r="E1248" s="13" t="s">
        <v>11607</v>
      </c>
      <c r="F1248" s="34">
        <v>41147</v>
      </c>
      <c r="G1248" s="34">
        <v>41269</v>
      </c>
      <c r="H1248" s="4" t="s">
        <v>2039</v>
      </c>
      <c r="I1248" s="94">
        <v>2169.7199999999998</v>
      </c>
      <c r="J1248" s="94">
        <v>2169.7199999999998</v>
      </c>
      <c r="K1248" s="38" t="s">
        <v>2033</v>
      </c>
      <c r="L1248" s="119"/>
    </row>
    <row r="1249" spans="1:13" s="32" customFormat="1" ht="14.25" customHeight="1" x14ac:dyDescent="0.25">
      <c r="A1249" s="13" t="s">
        <v>11608</v>
      </c>
      <c r="B1249" s="32" t="s">
        <v>13</v>
      </c>
      <c r="C1249" s="32" t="s">
        <v>14</v>
      </c>
      <c r="D1249" s="33">
        <v>12953</v>
      </c>
      <c r="E1249" s="13" t="s">
        <v>11608</v>
      </c>
      <c r="F1249" s="34">
        <v>40909</v>
      </c>
      <c r="G1249" s="34">
        <v>41684</v>
      </c>
      <c r="H1249" s="4" t="s">
        <v>2039</v>
      </c>
      <c r="I1249" s="94">
        <f>108421.6+167112.72</f>
        <v>275534.32</v>
      </c>
      <c r="J1249" s="94">
        <f>108421.6+167112.72</f>
        <v>275534.32</v>
      </c>
      <c r="K1249" s="38" t="s">
        <v>2033</v>
      </c>
      <c r="L1249" s="119"/>
    </row>
    <row r="1250" spans="1:13" s="32" customFormat="1" ht="14.25" customHeight="1" x14ac:dyDescent="0.25">
      <c r="A1250" s="13" t="s">
        <v>11609</v>
      </c>
      <c r="B1250" s="32" t="s">
        <v>13</v>
      </c>
      <c r="C1250" s="32" t="s">
        <v>14</v>
      </c>
      <c r="D1250" s="33">
        <v>12954</v>
      </c>
      <c r="E1250" s="13" t="s">
        <v>11609</v>
      </c>
      <c r="F1250" s="34">
        <v>40969</v>
      </c>
      <c r="G1250" s="34">
        <v>41578</v>
      </c>
      <c r="H1250" s="4" t="s">
        <v>2039</v>
      </c>
      <c r="I1250" s="94">
        <f>36725.44+37381.81</f>
        <v>74107.25</v>
      </c>
      <c r="J1250" s="94">
        <f>36725.44+37381.81</f>
        <v>74107.25</v>
      </c>
      <c r="K1250" s="38" t="s">
        <v>2033</v>
      </c>
      <c r="L1250" s="119"/>
    </row>
    <row r="1251" spans="1:13" s="32" customFormat="1" ht="14.25" customHeight="1" x14ac:dyDescent="0.25">
      <c r="A1251" s="13" t="s">
        <v>11610</v>
      </c>
      <c r="B1251" s="32" t="s">
        <v>13</v>
      </c>
      <c r="C1251" s="32" t="s">
        <v>14</v>
      </c>
      <c r="D1251" s="33">
        <v>12955</v>
      </c>
      <c r="E1251" s="13" t="s">
        <v>11610</v>
      </c>
      <c r="F1251" s="34">
        <v>41153</v>
      </c>
      <c r="G1251" s="34">
        <v>41943</v>
      </c>
      <c r="H1251" s="4" t="s">
        <v>2039</v>
      </c>
      <c r="I1251" s="94">
        <v>20673.330000000002</v>
      </c>
      <c r="J1251" s="94">
        <v>20673.330000000002</v>
      </c>
      <c r="K1251" s="38" t="s">
        <v>2033</v>
      </c>
      <c r="L1251" s="119"/>
    </row>
    <row r="1252" spans="1:13" s="32" customFormat="1" ht="14.25" customHeight="1" x14ac:dyDescent="0.25">
      <c r="A1252" s="13" t="s">
        <v>11611</v>
      </c>
      <c r="B1252" s="32" t="s">
        <v>13</v>
      </c>
      <c r="C1252" s="32" t="s">
        <v>14</v>
      </c>
      <c r="D1252" s="33">
        <v>12956</v>
      </c>
      <c r="E1252" s="13" t="s">
        <v>11611</v>
      </c>
      <c r="F1252" s="34">
        <v>40817</v>
      </c>
      <c r="G1252" s="34">
        <v>41912</v>
      </c>
      <c r="H1252" s="4" t="s">
        <v>2039</v>
      </c>
      <c r="I1252" s="94">
        <f>59412.8+150342.61</f>
        <v>209755.40999999997</v>
      </c>
      <c r="J1252" s="94">
        <f>59412.8+150342.61</f>
        <v>209755.40999999997</v>
      </c>
      <c r="K1252" s="38" t="s">
        <v>2033</v>
      </c>
      <c r="L1252" s="119"/>
    </row>
    <row r="1253" spans="1:13" s="32" customFormat="1" ht="14.25" customHeight="1" x14ac:dyDescent="0.25">
      <c r="A1253" s="13" t="s">
        <v>11407</v>
      </c>
      <c r="B1253" s="32" t="s">
        <v>13</v>
      </c>
      <c r="C1253" s="32" t="s">
        <v>14</v>
      </c>
      <c r="D1253" s="33">
        <v>13110</v>
      </c>
      <c r="E1253" s="13" t="s">
        <v>11407</v>
      </c>
      <c r="F1253" s="34">
        <v>41136</v>
      </c>
      <c r="G1253" s="34">
        <v>41228</v>
      </c>
      <c r="H1253" s="4" t="s">
        <v>2039</v>
      </c>
      <c r="I1253" s="94">
        <v>13529.99</v>
      </c>
      <c r="J1253" s="94">
        <v>13529.99</v>
      </c>
      <c r="K1253" s="38" t="s">
        <v>2033</v>
      </c>
      <c r="L1253" s="119"/>
    </row>
    <row r="1254" spans="1:13" s="32" customFormat="1" ht="14.25" customHeight="1" x14ac:dyDescent="0.25">
      <c r="A1254" s="13" t="s">
        <v>11408</v>
      </c>
      <c r="B1254" s="32" t="s">
        <v>13</v>
      </c>
      <c r="C1254" s="32" t="s">
        <v>14</v>
      </c>
      <c r="D1254" s="33">
        <v>13111</v>
      </c>
      <c r="E1254" s="13" t="s">
        <v>11408</v>
      </c>
      <c r="F1254" s="34">
        <v>41106</v>
      </c>
      <c r="G1254" s="34">
        <v>41218</v>
      </c>
      <c r="H1254" s="4" t="s">
        <v>2039</v>
      </c>
      <c r="I1254" s="94">
        <v>3997.5</v>
      </c>
      <c r="J1254" s="94">
        <v>3997.5</v>
      </c>
      <c r="K1254" s="38" t="s">
        <v>2033</v>
      </c>
      <c r="L1254" s="119"/>
    </row>
    <row r="1255" spans="1:13" s="32" customFormat="1" ht="14.25" customHeight="1" x14ac:dyDescent="0.25">
      <c r="A1255" s="13" t="s">
        <v>11409</v>
      </c>
      <c r="B1255" s="32" t="s">
        <v>13</v>
      </c>
      <c r="C1255" s="32" t="s">
        <v>14</v>
      </c>
      <c r="D1255" s="33">
        <v>13112</v>
      </c>
      <c r="E1255" s="13" t="s">
        <v>11410</v>
      </c>
      <c r="F1255" s="34">
        <v>40966</v>
      </c>
      <c r="G1255" s="34">
        <v>41136</v>
      </c>
      <c r="H1255" s="4" t="s">
        <v>2039</v>
      </c>
      <c r="I1255" s="94">
        <v>11999.88</v>
      </c>
      <c r="J1255" s="94">
        <v>11999.88</v>
      </c>
      <c r="K1255" s="38" t="s">
        <v>2033</v>
      </c>
      <c r="L1255" s="119"/>
    </row>
    <row r="1256" spans="1:13" s="32" customFormat="1" ht="14.25" customHeight="1" x14ac:dyDescent="0.25">
      <c r="A1256" s="13" t="s">
        <v>11494</v>
      </c>
      <c r="B1256" s="32" t="s">
        <v>13</v>
      </c>
      <c r="C1256" s="32" t="s">
        <v>14</v>
      </c>
      <c r="D1256" s="33">
        <v>13113</v>
      </c>
      <c r="E1256" s="13" t="s">
        <v>11495</v>
      </c>
      <c r="F1256" s="34">
        <v>41153</v>
      </c>
      <c r="G1256" s="34">
        <v>41599</v>
      </c>
      <c r="H1256" s="4" t="s">
        <v>2039</v>
      </c>
      <c r="I1256" s="94">
        <v>21487.54</v>
      </c>
      <c r="J1256" s="94">
        <v>21487.54</v>
      </c>
      <c r="K1256" s="38" t="s">
        <v>2033</v>
      </c>
      <c r="L1256" s="119"/>
    </row>
    <row r="1257" spans="1:13" s="32" customFormat="1" ht="14.25" customHeight="1" x14ac:dyDescent="0.25">
      <c r="A1257" s="13" t="s">
        <v>11411</v>
      </c>
      <c r="B1257" s="32" t="s">
        <v>13</v>
      </c>
      <c r="C1257" s="32" t="s">
        <v>14</v>
      </c>
      <c r="D1257" s="33">
        <v>13115</v>
      </c>
      <c r="E1257" s="13" t="s">
        <v>11412</v>
      </c>
      <c r="F1257" s="34">
        <v>41122</v>
      </c>
      <c r="G1257" s="34">
        <v>41608</v>
      </c>
      <c r="H1257" s="4" t="s">
        <v>2039</v>
      </c>
      <c r="I1257" s="94">
        <v>4014.57</v>
      </c>
      <c r="J1257" s="94">
        <v>4014.57</v>
      </c>
      <c r="K1257" s="38" t="s">
        <v>2033</v>
      </c>
      <c r="L1257" s="119"/>
    </row>
    <row r="1258" spans="1:13" s="32" customFormat="1" ht="14.25" customHeight="1" x14ac:dyDescent="0.25">
      <c r="A1258" s="13" t="s">
        <v>11413</v>
      </c>
      <c r="B1258" s="32" t="s">
        <v>13</v>
      </c>
      <c r="C1258" s="32" t="s">
        <v>14</v>
      </c>
      <c r="D1258" s="33">
        <v>13116</v>
      </c>
      <c r="E1258" s="13" t="s">
        <v>11413</v>
      </c>
      <c r="F1258" s="34">
        <v>40878</v>
      </c>
      <c r="G1258" s="34">
        <v>41578</v>
      </c>
      <c r="H1258" s="4" t="s">
        <v>2039</v>
      </c>
      <c r="I1258" s="94">
        <v>49459.63</v>
      </c>
      <c r="J1258" s="94">
        <v>49459.63</v>
      </c>
      <c r="K1258" s="38" t="s">
        <v>2033</v>
      </c>
      <c r="L1258" s="119"/>
    </row>
    <row r="1259" spans="1:13" s="32" customFormat="1" ht="14.25" customHeight="1" x14ac:dyDescent="0.25">
      <c r="A1259" s="13" t="s">
        <v>11414</v>
      </c>
      <c r="B1259" s="32" t="s">
        <v>13</v>
      </c>
      <c r="C1259" s="32" t="s">
        <v>14</v>
      </c>
      <c r="D1259" s="33">
        <v>13117</v>
      </c>
      <c r="E1259" s="13" t="s">
        <v>11414</v>
      </c>
      <c r="F1259" s="34">
        <v>41065</v>
      </c>
      <c r="G1259" s="34">
        <v>41578</v>
      </c>
      <c r="H1259" s="4" t="s">
        <v>2039</v>
      </c>
      <c r="I1259" s="94">
        <v>33053.01</v>
      </c>
      <c r="J1259" s="94">
        <v>33053.01</v>
      </c>
      <c r="K1259" s="38" t="s">
        <v>2033</v>
      </c>
      <c r="L1259" s="119"/>
    </row>
    <row r="1260" spans="1:13" s="32" customFormat="1" ht="14.25" customHeight="1" x14ac:dyDescent="0.25">
      <c r="A1260" s="13" t="s">
        <v>11415</v>
      </c>
      <c r="B1260" s="32" t="s">
        <v>13</v>
      </c>
      <c r="C1260" s="32" t="s">
        <v>14</v>
      </c>
      <c r="D1260" s="33">
        <v>13118</v>
      </c>
      <c r="E1260" s="13" t="s">
        <v>11415</v>
      </c>
      <c r="F1260" s="34">
        <v>40969</v>
      </c>
      <c r="G1260" s="34">
        <v>41577</v>
      </c>
      <c r="H1260" s="4" t="s">
        <v>2039</v>
      </c>
      <c r="I1260" s="94">
        <v>1115.8599999999999</v>
      </c>
      <c r="J1260" s="94">
        <v>1115.8599999999999</v>
      </c>
      <c r="K1260" s="38" t="s">
        <v>2033</v>
      </c>
      <c r="L1260" s="119"/>
    </row>
    <row r="1261" spans="1:13" s="32" customFormat="1" ht="14.25" customHeight="1" x14ac:dyDescent="0.2">
      <c r="A1261" s="91" t="s">
        <v>11666</v>
      </c>
      <c r="B1261" s="32" t="s">
        <v>13</v>
      </c>
      <c r="C1261" s="32" t="s">
        <v>14</v>
      </c>
      <c r="D1261" s="33">
        <v>13435</v>
      </c>
      <c r="E1261" s="91" t="s">
        <v>11666</v>
      </c>
      <c r="F1261" s="34">
        <v>41487</v>
      </c>
      <c r="G1261" s="34">
        <v>42400</v>
      </c>
      <c r="H1261" s="4" t="s">
        <v>2039</v>
      </c>
      <c r="I1261" s="94">
        <v>44275.45</v>
      </c>
      <c r="J1261" s="94">
        <v>44275.45</v>
      </c>
      <c r="K1261" s="38" t="s">
        <v>2033</v>
      </c>
      <c r="L1261" s="119"/>
    </row>
    <row r="1262" spans="1:13" s="32" customFormat="1" ht="14.25" customHeight="1" x14ac:dyDescent="0.25">
      <c r="A1262" s="107" t="s">
        <v>11667</v>
      </c>
      <c r="B1262" s="32" t="s">
        <v>13</v>
      </c>
      <c r="C1262" s="32" t="s">
        <v>14</v>
      </c>
      <c r="D1262" s="33">
        <v>13437</v>
      </c>
      <c r="E1262" s="107" t="s">
        <v>11667</v>
      </c>
      <c r="F1262" s="34">
        <v>41306</v>
      </c>
      <c r="G1262" s="34">
        <v>42094</v>
      </c>
      <c r="H1262" s="4" t="s">
        <v>2039</v>
      </c>
      <c r="I1262" s="94">
        <v>127241.98</v>
      </c>
      <c r="J1262" s="94">
        <v>127241.98</v>
      </c>
      <c r="K1262" s="38" t="s">
        <v>2033</v>
      </c>
      <c r="L1262" s="119"/>
    </row>
    <row r="1263" spans="1:13" s="32" customFormat="1" ht="14.25" customHeight="1" x14ac:dyDescent="0.25">
      <c r="A1263" s="107" t="s">
        <v>11668</v>
      </c>
      <c r="B1263" s="32" t="s">
        <v>13</v>
      </c>
      <c r="C1263" s="32" t="s">
        <v>14</v>
      </c>
      <c r="D1263" s="33">
        <v>13438</v>
      </c>
      <c r="E1263" s="107" t="s">
        <v>11668</v>
      </c>
      <c r="F1263" s="34">
        <v>41334</v>
      </c>
      <c r="G1263" s="34">
        <v>42216</v>
      </c>
      <c r="H1263" s="4" t="s">
        <v>2039</v>
      </c>
      <c r="I1263" s="94">
        <v>165015.18</v>
      </c>
      <c r="J1263" s="94">
        <v>165015.18</v>
      </c>
      <c r="K1263" s="38" t="s">
        <v>2033</v>
      </c>
      <c r="L1263" s="119"/>
    </row>
    <row r="1264" spans="1:13" s="4" customFormat="1" ht="14.25" customHeight="1" x14ac:dyDescent="0.25">
      <c r="A1264" s="4" t="s">
        <v>2189</v>
      </c>
      <c r="B1264" s="4" t="s">
        <v>13</v>
      </c>
      <c r="C1264" s="4" t="s">
        <v>14</v>
      </c>
      <c r="D1264" s="35">
        <v>9462</v>
      </c>
      <c r="E1264" s="4" t="s">
        <v>2190</v>
      </c>
      <c r="F1264" s="5">
        <v>39400</v>
      </c>
      <c r="G1264" s="5">
        <v>39446</v>
      </c>
      <c r="H1264" s="4" t="s">
        <v>389</v>
      </c>
      <c r="I1264" s="6">
        <v>48146.8</v>
      </c>
      <c r="J1264" s="6">
        <v>19258.2</v>
      </c>
      <c r="K1264" s="37" t="s">
        <v>2033</v>
      </c>
      <c r="L1264" s="119"/>
      <c r="M1264" s="3"/>
    </row>
    <row r="1265" spans="1:13" s="4" customFormat="1" ht="14.25" customHeight="1" x14ac:dyDescent="0.25">
      <c r="A1265" s="4" t="s">
        <v>2191</v>
      </c>
      <c r="B1265" s="4" t="s">
        <v>13</v>
      </c>
      <c r="C1265" s="4" t="s">
        <v>14</v>
      </c>
      <c r="D1265" s="35">
        <v>9886</v>
      </c>
      <c r="E1265" s="4" t="s">
        <v>2192</v>
      </c>
      <c r="F1265" s="5">
        <v>40406</v>
      </c>
      <c r="G1265" s="5">
        <v>40535</v>
      </c>
      <c r="H1265" s="4" t="s">
        <v>392</v>
      </c>
      <c r="I1265" s="6">
        <v>97306.92</v>
      </c>
      <c r="J1265" s="6">
        <v>13038.7</v>
      </c>
      <c r="K1265" s="37" t="s">
        <v>2033</v>
      </c>
      <c r="L1265" s="119"/>
      <c r="M1265" s="3"/>
    </row>
    <row r="1266" spans="1:13" s="4" customFormat="1" ht="14.25" customHeight="1" x14ac:dyDescent="0.25">
      <c r="A1266" s="4" t="s">
        <v>2193</v>
      </c>
      <c r="B1266" s="4" t="s">
        <v>13</v>
      </c>
      <c r="C1266" s="4" t="s">
        <v>14</v>
      </c>
      <c r="D1266" s="35">
        <v>6929</v>
      </c>
      <c r="E1266" s="7" t="s">
        <v>2194</v>
      </c>
      <c r="F1266" s="5">
        <v>39083</v>
      </c>
      <c r="G1266" s="5">
        <v>40908</v>
      </c>
      <c r="H1266" s="4" t="s">
        <v>2195</v>
      </c>
      <c r="I1266" s="6">
        <v>5316686.01</v>
      </c>
      <c r="J1266" s="6">
        <v>5316686.01</v>
      </c>
      <c r="K1266" s="37" t="s">
        <v>2033</v>
      </c>
      <c r="L1266" s="119"/>
      <c r="M1266" s="3"/>
    </row>
    <row r="1267" spans="1:13" s="4" customFormat="1" ht="14.25" customHeight="1" x14ac:dyDescent="0.25">
      <c r="A1267" s="4" t="s">
        <v>2196</v>
      </c>
      <c r="B1267" s="4" t="s">
        <v>50</v>
      </c>
      <c r="C1267" s="4" t="s">
        <v>14</v>
      </c>
      <c r="D1267" s="35">
        <v>950</v>
      </c>
      <c r="E1267" s="4" t="s">
        <v>2197</v>
      </c>
      <c r="F1267" s="5">
        <v>39132</v>
      </c>
      <c r="G1267" s="5">
        <v>40227</v>
      </c>
      <c r="H1267" s="4" t="s">
        <v>40</v>
      </c>
      <c r="I1267" s="6">
        <v>57000</v>
      </c>
      <c r="J1267" s="6">
        <v>28500</v>
      </c>
      <c r="K1267" s="37" t="s">
        <v>2033</v>
      </c>
      <c r="L1267" s="119"/>
      <c r="M1267" s="3"/>
    </row>
    <row r="1268" spans="1:13" s="4" customFormat="1" ht="14.25" customHeight="1" x14ac:dyDescent="0.25">
      <c r="A1268" s="4" t="s">
        <v>2198</v>
      </c>
      <c r="B1268" s="4" t="s">
        <v>50</v>
      </c>
      <c r="C1268" s="4" t="s">
        <v>14</v>
      </c>
      <c r="D1268" s="35">
        <v>965</v>
      </c>
      <c r="E1268" s="4" t="s">
        <v>2199</v>
      </c>
      <c r="F1268" s="5">
        <v>39132</v>
      </c>
      <c r="G1268" s="5">
        <v>39189</v>
      </c>
      <c r="H1268" s="4" t="s">
        <v>40</v>
      </c>
      <c r="I1268" s="6">
        <v>11532.24</v>
      </c>
      <c r="J1268" s="6">
        <v>5766.12</v>
      </c>
      <c r="K1268" s="37" t="s">
        <v>2033</v>
      </c>
      <c r="L1268" s="119"/>
      <c r="M1268" s="3"/>
    </row>
    <row r="1269" spans="1:13" s="4" customFormat="1" ht="14.25" customHeight="1" x14ac:dyDescent="0.25">
      <c r="A1269" s="4" t="s">
        <v>2202</v>
      </c>
      <c r="B1269" s="4" t="s">
        <v>59</v>
      </c>
      <c r="C1269" s="4" t="s">
        <v>14</v>
      </c>
      <c r="D1269" s="35">
        <v>967</v>
      </c>
      <c r="E1269" s="4" t="s">
        <v>2203</v>
      </c>
      <c r="F1269" s="5">
        <v>39230</v>
      </c>
      <c r="G1269" s="5">
        <v>39510</v>
      </c>
      <c r="H1269" s="4" t="s">
        <v>40</v>
      </c>
      <c r="I1269" s="6">
        <v>7500</v>
      </c>
      <c r="J1269" s="6">
        <v>7500</v>
      </c>
      <c r="K1269" s="37" t="s">
        <v>2033</v>
      </c>
      <c r="L1269" s="119"/>
      <c r="M1269" s="3"/>
    </row>
    <row r="1270" spans="1:13" s="4" customFormat="1" ht="14.25" customHeight="1" x14ac:dyDescent="0.25">
      <c r="A1270" s="4" t="s">
        <v>2204</v>
      </c>
      <c r="B1270" s="4" t="s">
        <v>50</v>
      </c>
      <c r="C1270" s="4" t="s">
        <v>14</v>
      </c>
      <c r="D1270" s="35">
        <v>969</v>
      </c>
      <c r="E1270" s="4" t="s">
        <v>2205</v>
      </c>
      <c r="F1270" s="5">
        <v>39230</v>
      </c>
      <c r="G1270" s="5">
        <v>39303</v>
      </c>
      <c r="H1270" s="4" t="s">
        <v>40</v>
      </c>
      <c r="I1270" s="6">
        <v>25206.12</v>
      </c>
      <c r="J1270" s="6">
        <v>12603.06</v>
      </c>
      <c r="K1270" s="37" t="s">
        <v>2033</v>
      </c>
      <c r="L1270" s="119"/>
      <c r="M1270" s="3"/>
    </row>
    <row r="1271" spans="1:13" s="4" customFormat="1" ht="14.25" customHeight="1" x14ac:dyDescent="0.25">
      <c r="A1271" s="4" t="s">
        <v>2206</v>
      </c>
      <c r="B1271" s="4" t="s">
        <v>90</v>
      </c>
      <c r="C1271" s="4" t="s">
        <v>14</v>
      </c>
      <c r="D1271" s="35">
        <v>970</v>
      </c>
      <c r="E1271" s="4" t="s">
        <v>2207</v>
      </c>
      <c r="F1271" s="5">
        <v>39230</v>
      </c>
      <c r="G1271" s="5">
        <v>39332</v>
      </c>
      <c r="H1271" s="4" t="s">
        <v>40</v>
      </c>
      <c r="I1271" s="6">
        <v>10200</v>
      </c>
      <c r="J1271" s="6">
        <v>5100</v>
      </c>
      <c r="K1271" s="37" t="s">
        <v>2033</v>
      </c>
      <c r="L1271" s="119"/>
      <c r="M1271" s="3"/>
    </row>
    <row r="1272" spans="1:13" s="4" customFormat="1" ht="14.25" customHeight="1" x14ac:dyDescent="0.25">
      <c r="A1272" s="4" t="s">
        <v>2208</v>
      </c>
      <c r="B1272" s="4" t="s">
        <v>59</v>
      </c>
      <c r="C1272" s="4" t="s">
        <v>14</v>
      </c>
      <c r="D1272" s="35">
        <v>971</v>
      </c>
      <c r="E1272" s="4" t="s">
        <v>2209</v>
      </c>
      <c r="F1272" s="5">
        <v>39287</v>
      </c>
      <c r="G1272" s="5">
        <v>39597</v>
      </c>
      <c r="H1272" s="4" t="s">
        <v>40</v>
      </c>
      <c r="I1272" s="6">
        <v>7500</v>
      </c>
      <c r="J1272" s="6">
        <v>7500</v>
      </c>
      <c r="K1272" s="37" t="s">
        <v>2033</v>
      </c>
      <c r="L1272" s="119"/>
      <c r="M1272" s="3"/>
    </row>
    <row r="1273" spans="1:13" s="4" customFormat="1" ht="14.25" customHeight="1" x14ac:dyDescent="0.25">
      <c r="A1273" s="4" t="s">
        <v>2210</v>
      </c>
      <c r="B1273" s="4" t="s">
        <v>59</v>
      </c>
      <c r="C1273" s="4" t="s">
        <v>14</v>
      </c>
      <c r="D1273" s="35">
        <v>974</v>
      </c>
      <c r="E1273" s="4" t="s">
        <v>2211</v>
      </c>
      <c r="F1273" s="5">
        <v>39188</v>
      </c>
      <c r="G1273" s="5">
        <v>39757</v>
      </c>
      <c r="H1273" s="4" t="s">
        <v>40</v>
      </c>
      <c r="I1273" s="6">
        <v>7500</v>
      </c>
      <c r="J1273" s="6">
        <v>7500</v>
      </c>
      <c r="K1273" s="37" t="s">
        <v>2033</v>
      </c>
      <c r="L1273" s="119"/>
      <c r="M1273" s="3"/>
    </row>
    <row r="1274" spans="1:13" s="4" customFormat="1" ht="14.25" customHeight="1" x14ac:dyDescent="0.25">
      <c r="A1274" s="4" t="s">
        <v>2214</v>
      </c>
      <c r="B1274" s="4" t="s">
        <v>50</v>
      </c>
      <c r="C1274" s="4" t="s">
        <v>14</v>
      </c>
      <c r="D1274" s="35">
        <v>979</v>
      </c>
      <c r="E1274" s="4" t="s">
        <v>2215</v>
      </c>
      <c r="F1274" s="5">
        <v>39188</v>
      </c>
      <c r="G1274" s="5">
        <v>39510</v>
      </c>
      <c r="H1274" s="4" t="s">
        <v>40</v>
      </c>
      <c r="I1274" s="6">
        <v>30000</v>
      </c>
      <c r="J1274" s="6">
        <v>15000</v>
      </c>
      <c r="K1274" s="37" t="s">
        <v>2033</v>
      </c>
      <c r="L1274" s="119"/>
      <c r="M1274" s="3"/>
    </row>
    <row r="1275" spans="1:13" s="4" customFormat="1" ht="14.25" customHeight="1" x14ac:dyDescent="0.25">
      <c r="A1275" s="4" t="s">
        <v>2216</v>
      </c>
      <c r="B1275" s="4" t="s">
        <v>59</v>
      </c>
      <c r="C1275" s="4" t="s">
        <v>14</v>
      </c>
      <c r="D1275" s="35">
        <v>982</v>
      </c>
      <c r="E1275" s="4" t="s">
        <v>2217</v>
      </c>
      <c r="F1275" s="5">
        <v>39475</v>
      </c>
      <c r="G1275" s="5">
        <v>39507</v>
      </c>
      <c r="H1275" s="4" t="s">
        <v>40</v>
      </c>
      <c r="I1275" s="6">
        <v>7500</v>
      </c>
      <c r="J1275" s="6">
        <v>7500</v>
      </c>
      <c r="K1275" s="37" t="s">
        <v>2033</v>
      </c>
      <c r="L1275" s="119"/>
      <c r="M1275" s="3"/>
    </row>
    <row r="1276" spans="1:13" s="4" customFormat="1" ht="14.25" customHeight="1" x14ac:dyDescent="0.25">
      <c r="A1276" s="4" t="s">
        <v>2218</v>
      </c>
      <c r="B1276" s="4" t="s">
        <v>50</v>
      </c>
      <c r="C1276" s="4" t="s">
        <v>14</v>
      </c>
      <c r="D1276" s="35">
        <v>984</v>
      </c>
      <c r="F1276" s="5">
        <v>39475</v>
      </c>
      <c r="G1276" s="5">
        <v>39539</v>
      </c>
      <c r="H1276" s="4" t="s">
        <v>40</v>
      </c>
      <c r="I1276" s="6">
        <v>29000</v>
      </c>
      <c r="J1276" s="6">
        <v>14500</v>
      </c>
      <c r="K1276" s="37" t="s">
        <v>2033</v>
      </c>
      <c r="L1276" s="119"/>
      <c r="M1276" s="3"/>
    </row>
    <row r="1277" spans="1:13" s="4" customFormat="1" ht="14.25" customHeight="1" x14ac:dyDescent="0.25">
      <c r="A1277" s="4" t="s">
        <v>2219</v>
      </c>
      <c r="B1277" s="4" t="s">
        <v>59</v>
      </c>
      <c r="C1277" s="4" t="s">
        <v>14</v>
      </c>
      <c r="D1277" s="35">
        <v>986</v>
      </c>
      <c r="E1277" s="4" t="s">
        <v>2220</v>
      </c>
      <c r="F1277" s="5">
        <v>39580</v>
      </c>
      <c r="G1277" s="5">
        <v>39790</v>
      </c>
      <c r="H1277" s="4" t="s">
        <v>40</v>
      </c>
      <c r="I1277" s="6">
        <v>7500</v>
      </c>
      <c r="J1277" s="6">
        <v>7500</v>
      </c>
      <c r="K1277" s="37" t="s">
        <v>2033</v>
      </c>
      <c r="L1277" s="119"/>
      <c r="M1277" s="3"/>
    </row>
    <row r="1278" spans="1:13" s="4" customFormat="1" ht="14.25" customHeight="1" x14ac:dyDescent="0.25">
      <c r="A1278" s="4" t="s">
        <v>2221</v>
      </c>
      <c r="B1278" s="4" t="s">
        <v>59</v>
      </c>
      <c r="C1278" s="4" t="s">
        <v>14</v>
      </c>
      <c r="D1278" s="35">
        <v>989</v>
      </c>
      <c r="E1278" s="4" t="s">
        <v>2222</v>
      </c>
      <c r="F1278" s="5">
        <v>39657</v>
      </c>
      <c r="G1278" s="5">
        <v>39869</v>
      </c>
      <c r="H1278" s="4" t="s">
        <v>40</v>
      </c>
      <c r="I1278" s="6">
        <v>15000</v>
      </c>
      <c r="J1278" s="6">
        <v>15000</v>
      </c>
      <c r="K1278" s="37" t="s">
        <v>2033</v>
      </c>
      <c r="L1278" s="119"/>
      <c r="M1278" s="3"/>
    </row>
    <row r="1279" spans="1:13" s="4" customFormat="1" ht="14.25" customHeight="1" x14ac:dyDescent="0.25">
      <c r="A1279" s="4" t="s">
        <v>2223</v>
      </c>
      <c r="B1279" s="4" t="s">
        <v>59</v>
      </c>
      <c r="C1279" s="4" t="s">
        <v>14</v>
      </c>
      <c r="D1279" s="35">
        <v>990</v>
      </c>
      <c r="E1279" s="4" t="s">
        <v>2224</v>
      </c>
      <c r="F1279" s="5">
        <v>39517</v>
      </c>
      <c r="G1279" s="5">
        <v>39910</v>
      </c>
      <c r="H1279" s="4" t="s">
        <v>40</v>
      </c>
      <c r="I1279" s="6">
        <v>7500</v>
      </c>
      <c r="J1279" s="6">
        <v>7500</v>
      </c>
      <c r="K1279" s="37" t="s">
        <v>2033</v>
      </c>
      <c r="L1279" s="119"/>
      <c r="M1279" s="3"/>
    </row>
    <row r="1280" spans="1:13" s="4" customFormat="1" ht="14.25" customHeight="1" x14ac:dyDescent="0.25">
      <c r="A1280" s="4" t="s">
        <v>2227</v>
      </c>
      <c r="B1280" s="4" t="s">
        <v>50</v>
      </c>
      <c r="C1280" s="4" t="s">
        <v>14</v>
      </c>
      <c r="D1280" s="35">
        <v>1019</v>
      </c>
      <c r="E1280" s="4" t="s">
        <v>2228</v>
      </c>
      <c r="F1280" s="5">
        <v>39475</v>
      </c>
      <c r="G1280" s="5">
        <v>39722</v>
      </c>
      <c r="H1280" s="4" t="s">
        <v>40</v>
      </c>
      <c r="I1280" s="6">
        <v>75000</v>
      </c>
      <c r="J1280" s="6">
        <v>37500</v>
      </c>
      <c r="K1280" s="37" t="s">
        <v>2033</v>
      </c>
      <c r="L1280" s="119"/>
      <c r="M1280" s="3"/>
    </row>
    <row r="1281" spans="1:13" s="4" customFormat="1" ht="14.25" customHeight="1" x14ac:dyDescent="0.25">
      <c r="A1281" s="4" t="s">
        <v>2229</v>
      </c>
      <c r="B1281" s="4" t="s">
        <v>90</v>
      </c>
      <c r="C1281" s="4" t="s">
        <v>14</v>
      </c>
      <c r="D1281" s="35">
        <v>1024</v>
      </c>
      <c r="E1281" s="4" t="s">
        <v>2230</v>
      </c>
      <c r="F1281" s="5">
        <v>39657</v>
      </c>
      <c r="G1281" s="5">
        <v>39722</v>
      </c>
      <c r="H1281" s="4" t="s">
        <v>40</v>
      </c>
      <c r="I1281" s="6">
        <v>1800</v>
      </c>
      <c r="J1281" s="6">
        <v>900</v>
      </c>
      <c r="K1281" s="37" t="s">
        <v>2033</v>
      </c>
      <c r="L1281" s="119"/>
      <c r="M1281" s="3"/>
    </row>
    <row r="1282" spans="1:13" s="4" customFormat="1" ht="14.25" customHeight="1" x14ac:dyDescent="0.25">
      <c r="A1282" s="4" t="s">
        <v>2231</v>
      </c>
      <c r="B1282" s="4" t="s">
        <v>90</v>
      </c>
      <c r="C1282" s="4" t="s">
        <v>14</v>
      </c>
      <c r="D1282" s="35">
        <v>1025</v>
      </c>
      <c r="E1282" s="4" t="s">
        <v>2232</v>
      </c>
      <c r="F1282" s="5">
        <v>39713</v>
      </c>
      <c r="G1282" s="5">
        <v>39722</v>
      </c>
      <c r="H1282" s="4" t="s">
        <v>40</v>
      </c>
      <c r="I1282" s="6">
        <v>1599.97</v>
      </c>
      <c r="J1282" s="6">
        <v>799.98</v>
      </c>
      <c r="K1282" s="37" t="s">
        <v>2033</v>
      </c>
      <c r="L1282" s="119"/>
      <c r="M1282" s="3"/>
    </row>
    <row r="1283" spans="1:13" s="4" customFormat="1" ht="14.25" customHeight="1" x14ac:dyDescent="0.25">
      <c r="A1283" s="4" t="s">
        <v>2233</v>
      </c>
      <c r="B1283" s="4" t="s">
        <v>50</v>
      </c>
      <c r="C1283" s="4" t="s">
        <v>14</v>
      </c>
      <c r="D1283" s="35">
        <v>1026</v>
      </c>
      <c r="E1283" s="4" t="s">
        <v>2234</v>
      </c>
      <c r="F1283" s="5">
        <v>39475</v>
      </c>
      <c r="G1283" s="5">
        <v>39728</v>
      </c>
      <c r="H1283" s="4" t="s">
        <v>40</v>
      </c>
      <c r="I1283" s="6">
        <v>44886.16</v>
      </c>
      <c r="J1283" s="6">
        <v>22443.08</v>
      </c>
      <c r="K1283" s="37" t="s">
        <v>2033</v>
      </c>
      <c r="L1283" s="119"/>
      <c r="M1283" s="3"/>
    </row>
    <row r="1284" spans="1:13" s="4" customFormat="1" ht="14.25" customHeight="1" x14ac:dyDescent="0.25">
      <c r="A1284" s="4" t="s">
        <v>2235</v>
      </c>
      <c r="B1284" s="4" t="s">
        <v>50</v>
      </c>
      <c r="C1284" s="4" t="s">
        <v>14</v>
      </c>
      <c r="D1284" s="35">
        <v>1027</v>
      </c>
      <c r="E1284" s="4" t="s">
        <v>2236</v>
      </c>
      <c r="F1284" s="5">
        <v>39517</v>
      </c>
      <c r="G1284" s="5">
        <v>39975</v>
      </c>
      <c r="H1284" s="4" t="s">
        <v>40</v>
      </c>
      <c r="I1284" s="6">
        <v>101793.68</v>
      </c>
      <c r="J1284" s="6">
        <v>50896.84</v>
      </c>
      <c r="K1284" s="37" t="s">
        <v>2033</v>
      </c>
      <c r="L1284" s="119"/>
      <c r="M1284" s="3"/>
    </row>
    <row r="1285" spans="1:13" s="4" customFormat="1" ht="14.25" customHeight="1" x14ac:dyDescent="0.25">
      <c r="A1285" s="4" t="s">
        <v>2237</v>
      </c>
      <c r="B1285" s="4" t="s">
        <v>59</v>
      </c>
      <c r="C1285" s="4" t="s">
        <v>14</v>
      </c>
      <c r="D1285" s="35">
        <v>1028</v>
      </c>
      <c r="E1285" s="4" t="s">
        <v>2238</v>
      </c>
      <c r="F1285" s="5">
        <v>39713</v>
      </c>
      <c r="G1285" s="5">
        <v>39975</v>
      </c>
      <c r="H1285" s="4" t="s">
        <v>40</v>
      </c>
      <c r="I1285" s="6">
        <v>7500</v>
      </c>
      <c r="J1285" s="6">
        <v>7500</v>
      </c>
      <c r="K1285" s="37" t="s">
        <v>2033</v>
      </c>
      <c r="L1285" s="119"/>
      <c r="M1285" s="3"/>
    </row>
    <row r="1286" spans="1:13" s="4" customFormat="1" ht="14.25" customHeight="1" x14ac:dyDescent="0.25">
      <c r="A1286" s="4" t="s">
        <v>2239</v>
      </c>
      <c r="B1286" s="4" t="s">
        <v>59</v>
      </c>
      <c r="C1286" s="4" t="s">
        <v>14</v>
      </c>
      <c r="D1286" s="35">
        <v>1029</v>
      </c>
      <c r="E1286" s="4" t="s">
        <v>2240</v>
      </c>
      <c r="F1286" s="5">
        <v>39713</v>
      </c>
      <c r="G1286" s="5">
        <v>39995</v>
      </c>
      <c r="H1286" s="4" t="s">
        <v>40</v>
      </c>
      <c r="I1286" s="6">
        <v>7500</v>
      </c>
      <c r="J1286" s="6">
        <v>7500</v>
      </c>
      <c r="K1286" s="37" t="s">
        <v>2033</v>
      </c>
      <c r="L1286" s="119"/>
      <c r="M1286" s="3"/>
    </row>
    <row r="1287" spans="1:13" s="4" customFormat="1" ht="14.25" customHeight="1" x14ac:dyDescent="0.25">
      <c r="A1287" s="4" t="s">
        <v>2241</v>
      </c>
      <c r="B1287" s="4" t="s">
        <v>38</v>
      </c>
      <c r="C1287" s="4" t="s">
        <v>14</v>
      </c>
      <c r="D1287" s="35">
        <v>1032</v>
      </c>
      <c r="E1287" s="4" t="s">
        <v>2242</v>
      </c>
      <c r="F1287" s="5">
        <v>39084</v>
      </c>
      <c r="G1287" s="5">
        <v>40576</v>
      </c>
      <c r="H1287" s="4" t="s">
        <v>40</v>
      </c>
      <c r="I1287" s="6">
        <v>6650</v>
      </c>
      <c r="J1287" s="6">
        <v>6650</v>
      </c>
      <c r="K1287" s="37" t="s">
        <v>2033</v>
      </c>
      <c r="L1287" s="119"/>
      <c r="M1287" s="3"/>
    </row>
    <row r="1288" spans="1:13" s="4" customFormat="1" ht="14.25" customHeight="1" x14ac:dyDescent="0.25">
      <c r="A1288" s="4" t="s">
        <v>433</v>
      </c>
      <c r="B1288" s="4" t="s">
        <v>38</v>
      </c>
      <c r="C1288" s="4" t="s">
        <v>14</v>
      </c>
      <c r="D1288" s="35">
        <v>1755</v>
      </c>
      <c r="E1288" s="7" t="s">
        <v>2243</v>
      </c>
      <c r="F1288" s="5">
        <v>39083</v>
      </c>
      <c r="G1288" s="5">
        <v>41639</v>
      </c>
      <c r="H1288" s="4" t="s">
        <v>40</v>
      </c>
      <c r="I1288" s="6">
        <f>8951.54+1095+1580+5478.64</f>
        <v>17105.18</v>
      </c>
      <c r="J1288" s="6">
        <f>16010.18+1095</f>
        <v>17105.18</v>
      </c>
      <c r="K1288" s="37" t="s">
        <v>2033</v>
      </c>
      <c r="L1288" s="119"/>
      <c r="M1288" s="3"/>
    </row>
    <row r="1289" spans="1:13" s="4" customFormat="1" ht="14.25" customHeight="1" x14ac:dyDescent="0.25">
      <c r="A1289" s="4" t="s">
        <v>2244</v>
      </c>
      <c r="B1289" s="4" t="s">
        <v>38</v>
      </c>
      <c r="C1289" s="4" t="s">
        <v>14</v>
      </c>
      <c r="D1289" s="35">
        <v>1758</v>
      </c>
      <c r="E1289" s="7" t="s">
        <v>2245</v>
      </c>
      <c r="F1289" s="5">
        <v>39428</v>
      </c>
      <c r="G1289" s="5">
        <v>40178</v>
      </c>
      <c r="H1289" s="4" t="s">
        <v>40</v>
      </c>
      <c r="I1289" s="6">
        <v>44500</v>
      </c>
      <c r="J1289" s="6">
        <v>44500</v>
      </c>
      <c r="K1289" s="37" t="s">
        <v>2033</v>
      </c>
      <c r="L1289" s="119"/>
      <c r="M1289" s="3"/>
    </row>
    <row r="1290" spans="1:13" s="4" customFormat="1" ht="14.25" customHeight="1" x14ac:dyDescent="0.25">
      <c r="A1290" s="4" t="s">
        <v>2246</v>
      </c>
      <c r="B1290" s="4" t="s">
        <v>38</v>
      </c>
      <c r="C1290" s="4" t="s">
        <v>14</v>
      </c>
      <c r="D1290" s="35">
        <v>1765</v>
      </c>
      <c r="E1290" s="7" t="s">
        <v>2247</v>
      </c>
      <c r="F1290" s="5">
        <v>39083</v>
      </c>
      <c r="G1290" s="5">
        <v>40882</v>
      </c>
      <c r="H1290" s="4" t="s">
        <v>40</v>
      </c>
      <c r="I1290" s="6">
        <v>56560.99</v>
      </c>
      <c r="J1290" s="6">
        <v>56560.99</v>
      </c>
      <c r="K1290" s="37" t="s">
        <v>2033</v>
      </c>
      <c r="L1290" s="119"/>
      <c r="M1290" s="3"/>
    </row>
    <row r="1291" spans="1:13" s="4" customFormat="1" ht="14.25" customHeight="1" x14ac:dyDescent="0.25">
      <c r="A1291" s="4" t="s">
        <v>2248</v>
      </c>
      <c r="B1291" s="4" t="s">
        <v>38</v>
      </c>
      <c r="C1291" s="4" t="s">
        <v>14</v>
      </c>
      <c r="D1291" s="35">
        <v>1767</v>
      </c>
      <c r="E1291" s="4" t="s">
        <v>2249</v>
      </c>
      <c r="F1291" s="5">
        <v>39132</v>
      </c>
      <c r="G1291" s="5">
        <v>41274</v>
      </c>
      <c r="H1291" s="4" t="s">
        <v>40</v>
      </c>
      <c r="I1291" s="6">
        <v>181197.2</v>
      </c>
      <c r="J1291" s="6">
        <v>181197.2</v>
      </c>
      <c r="K1291" s="37" t="s">
        <v>2033</v>
      </c>
      <c r="L1291" s="119"/>
      <c r="M1291" s="3"/>
    </row>
    <row r="1292" spans="1:13" s="4" customFormat="1" ht="14.25" customHeight="1" x14ac:dyDescent="0.25">
      <c r="A1292" s="4" t="s">
        <v>2250</v>
      </c>
      <c r="B1292" s="4" t="s">
        <v>38</v>
      </c>
      <c r="C1292" s="4" t="s">
        <v>14</v>
      </c>
      <c r="D1292" s="35">
        <v>1772</v>
      </c>
      <c r="E1292" s="4" t="s">
        <v>2251</v>
      </c>
      <c r="F1292" s="5">
        <v>39083</v>
      </c>
      <c r="G1292" s="5">
        <v>40908</v>
      </c>
      <c r="H1292" s="4" t="s">
        <v>40</v>
      </c>
      <c r="I1292" s="6">
        <v>217185</v>
      </c>
      <c r="J1292" s="6">
        <v>217185</v>
      </c>
      <c r="K1292" s="37" t="s">
        <v>2033</v>
      </c>
      <c r="L1292" s="119"/>
      <c r="M1292" s="3"/>
    </row>
    <row r="1293" spans="1:13" s="4" customFormat="1" ht="14.25" customHeight="1" x14ac:dyDescent="0.25">
      <c r="A1293" s="4" t="s">
        <v>2252</v>
      </c>
      <c r="B1293" s="4" t="s">
        <v>38</v>
      </c>
      <c r="C1293" s="4" t="s">
        <v>14</v>
      </c>
      <c r="D1293" s="35">
        <v>1776</v>
      </c>
      <c r="E1293" s="4" t="s">
        <v>2253</v>
      </c>
      <c r="F1293" s="5">
        <v>39448</v>
      </c>
      <c r="G1293" s="5">
        <v>39813</v>
      </c>
      <c r="H1293" s="4" t="s">
        <v>40</v>
      </c>
      <c r="I1293" s="6">
        <v>0</v>
      </c>
      <c r="J1293" s="6">
        <v>0</v>
      </c>
      <c r="K1293" s="37" t="s">
        <v>2033</v>
      </c>
      <c r="L1293" s="119"/>
      <c r="M1293" s="3"/>
    </row>
    <row r="1294" spans="1:13" s="4" customFormat="1" ht="14.25" customHeight="1" x14ac:dyDescent="0.25">
      <c r="A1294" s="4" t="s">
        <v>2254</v>
      </c>
      <c r="B1294" s="4" t="s">
        <v>38</v>
      </c>
      <c r="C1294" s="4" t="s">
        <v>14</v>
      </c>
      <c r="D1294" s="35">
        <v>1783</v>
      </c>
      <c r="E1294" s="4" t="s">
        <v>2255</v>
      </c>
      <c r="F1294" s="5">
        <v>39083</v>
      </c>
      <c r="G1294" s="5">
        <v>40870</v>
      </c>
      <c r="H1294" s="4" t="s">
        <v>40</v>
      </c>
      <c r="I1294" s="6">
        <v>7495</v>
      </c>
      <c r="J1294" s="6">
        <v>7495</v>
      </c>
      <c r="K1294" s="37" t="s">
        <v>2033</v>
      </c>
      <c r="L1294" s="119"/>
      <c r="M1294" s="3"/>
    </row>
    <row r="1295" spans="1:13" s="4" customFormat="1" ht="14.25" customHeight="1" x14ac:dyDescent="0.25">
      <c r="A1295" s="4" t="s">
        <v>2256</v>
      </c>
      <c r="B1295" s="4" t="s">
        <v>38</v>
      </c>
      <c r="C1295" s="4" t="s">
        <v>14</v>
      </c>
      <c r="D1295" s="35">
        <v>1785</v>
      </c>
      <c r="E1295" s="4" t="s">
        <v>2257</v>
      </c>
      <c r="F1295" s="5">
        <v>39083</v>
      </c>
      <c r="G1295" s="5">
        <v>40178</v>
      </c>
      <c r="H1295" s="4" t="s">
        <v>40</v>
      </c>
      <c r="I1295" s="6">
        <v>11171</v>
      </c>
      <c r="J1295" s="6">
        <v>11171</v>
      </c>
      <c r="K1295" s="37" t="s">
        <v>2033</v>
      </c>
      <c r="L1295" s="119"/>
      <c r="M1295" s="3"/>
    </row>
    <row r="1296" spans="1:13" s="4" customFormat="1" ht="14.25" customHeight="1" x14ac:dyDescent="0.25">
      <c r="A1296" s="4" t="s">
        <v>2258</v>
      </c>
      <c r="B1296" s="4" t="s">
        <v>38</v>
      </c>
      <c r="C1296" s="4" t="s">
        <v>14</v>
      </c>
      <c r="D1296" s="35">
        <v>1794</v>
      </c>
      <c r="E1296" s="4" t="s">
        <v>2259</v>
      </c>
      <c r="F1296" s="5">
        <v>39132</v>
      </c>
      <c r="G1296" s="5">
        <v>40773</v>
      </c>
      <c r="H1296" s="4" t="s">
        <v>40</v>
      </c>
      <c r="I1296" s="6">
        <v>2000</v>
      </c>
      <c r="J1296" s="6">
        <v>2000</v>
      </c>
      <c r="K1296" s="37" t="s">
        <v>2033</v>
      </c>
      <c r="L1296" s="119"/>
      <c r="M1296" s="3"/>
    </row>
    <row r="1297" spans="1:13" s="4" customFormat="1" ht="14.25" customHeight="1" x14ac:dyDescent="0.25">
      <c r="A1297" s="4" t="s">
        <v>2260</v>
      </c>
      <c r="B1297" s="4" t="s">
        <v>38</v>
      </c>
      <c r="C1297" s="4" t="s">
        <v>14</v>
      </c>
      <c r="D1297" s="35">
        <v>1796</v>
      </c>
      <c r="E1297" s="4" t="s">
        <v>2261</v>
      </c>
      <c r="F1297" s="5">
        <v>39083</v>
      </c>
      <c r="G1297" s="5">
        <v>39813</v>
      </c>
      <c r="H1297" s="4" t="s">
        <v>40</v>
      </c>
      <c r="I1297" s="6">
        <v>1846.66</v>
      </c>
      <c r="J1297" s="6">
        <v>1846.66</v>
      </c>
      <c r="K1297" s="37" t="s">
        <v>2033</v>
      </c>
      <c r="L1297" s="119"/>
      <c r="M1297" s="3"/>
    </row>
    <row r="1298" spans="1:13" s="4" customFormat="1" ht="14.25" customHeight="1" x14ac:dyDescent="0.25">
      <c r="A1298" s="4" t="s">
        <v>2262</v>
      </c>
      <c r="B1298" s="4" t="s">
        <v>38</v>
      </c>
      <c r="C1298" s="4" t="s">
        <v>14</v>
      </c>
      <c r="D1298" s="35">
        <v>1798</v>
      </c>
      <c r="E1298" s="4" t="s">
        <v>2263</v>
      </c>
      <c r="F1298" s="5">
        <v>39083</v>
      </c>
      <c r="G1298" s="5">
        <v>40178</v>
      </c>
      <c r="H1298" s="4" t="s">
        <v>40</v>
      </c>
      <c r="I1298" s="6">
        <v>38999</v>
      </c>
      <c r="J1298" s="6">
        <v>38999</v>
      </c>
      <c r="K1298" s="37" t="s">
        <v>2033</v>
      </c>
      <c r="L1298" s="119"/>
      <c r="M1298" s="3"/>
    </row>
    <row r="1299" spans="1:13" s="4" customFormat="1" ht="14.25" customHeight="1" x14ac:dyDescent="0.25">
      <c r="A1299" s="4" t="s">
        <v>2264</v>
      </c>
      <c r="B1299" s="4" t="s">
        <v>38</v>
      </c>
      <c r="C1299" s="4" t="s">
        <v>14</v>
      </c>
      <c r="D1299" s="35">
        <v>1800</v>
      </c>
      <c r="E1299" s="4" t="s">
        <v>2265</v>
      </c>
      <c r="F1299" s="5">
        <v>39083</v>
      </c>
      <c r="G1299" s="5">
        <v>40255</v>
      </c>
      <c r="H1299" s="4" t="s">
        <v>40</v>
      </c>
      <c r="I1299" s="6">
        <v>7655.13</v>
      </c>
      <c r="J1299" s="6">
        <v>7655.13</v>
      </c>
      <c r="K1299" s="37" t="s">
        <v>2033</v>
      </c>
      <c r="L1299" s="119"/>
      <c r="M1299" s="3"/>
    </row>
    <row r="1300" spans="1:13" s="4" customFormat="1" ht="14.25" customHeight="1" x14ac:dyDescent="0.25">
      <c r="A1300" s="4" t="s">
        <v>2266</v>
      </c>
      <c r="B1300" s="4" t="s">
        <v>38</v>
      </c>
      <c r="C1300" s="4" t="s">
        <v>14</v>
      </c>
      <c r="D1300" s="35">
        <v>1801</v>
      </c>
      <c r="E1300" s="7" t="s">
        <v>2267</v>
      </c>
      <c r="F1300" s="5">
        <v>39083</v>
      </c>
      <c r="G1300" s="5">
        <v>40178</v>
      </c>
      <c r="H1300" s="4" t="s">
        <v>40</v>
      </c>
      <c r="I1300" s="6">
        <v>40389.089999999997</v>
      </c>
      <c r="J1300" s="6">
        <v>40389.089999999997</v>
      </c>
      <c r="K1300" s="37" t="s">
        <v>2033</v>
      </c>
      <c r="L1300" s="119"/>
      <c r="M1300" s="3"/>
    </row>
    <row r="1301" spans="1:13" s="4" customFormat="1" ht="14.25" customHeight="1" x14ac:dyDescent="0.25">
      <c r="A1301" s="4" t="s">
        <v>2268</v>
      </c>
      <c r="B1301" s="4" t="s">
        <v>38</v>
      </c>
      <c r="C1301" s="4" t="s">
        <v>14</v>
      </c>
      <c r="D1301" s="35">
        <v>1802</v>
      </c>
      <c r="E1301" s="4" t="s">
        <v>2269</v>
      </c>
      <c r="F1301" s="5">
        <v>39083</v>
      </c>
      <c r="G1301" s="5">
        <v>39447</v>
      </c>
      <c r="H1301" s="4" t="s">
        <v>40</v>
      </c>
      <c r="I1301" s="6">
        <v>2117.5</v>
      </c>
      <c r="J1301" s="6">
        <v>2117.5</v>
      </c>
      <c r="K1301" s="37" t="s">
        <v>2033</v>
      </c>
      <c r="L1301" s="119"/>
      <c r="M1301" s="3"/>
    </row>
    <row r="1302" spans="1:13" s="4" customFormat="1" ht="14.25" customHeight="1" x14ac:dyDescent="0.25">
      <c r="A1302" s="4" t="s">
        <v>2270</v>
      </c>
      <c r="B1302" s="4" t="s">
        <v>38</v>
      </c>
      <c r="C1302" s="4" t="s">
        <v>14</v>
      </c>
      <c r="D1302" s="35">
        <v>1812</v>
      </c>
      <c r="E1302" s="4" t="s">
        <v>2271</v>
      </c>
      <c r="F1302" s="5">
        <v>39132</v>
      </c>
      <c r="G1302" s="5">
        <v>41274</v>
      </c>
      <c r="H1302" s="4" t="s">
        <v>40</v>
      </c>
      <c r="I1302" s="6">
        <v>35580.32</v>
      </c>
      <c r="J1302" s="6">
        <v>35580.32</v>
      </c>
      <c r="K1302" s="37" t="s">
        <v>2033</v>
      </c>
      <c r="L1302" s="119"/>
      <c r="M1302" s="3"/>
    </row>
    <row r="1303" spans="1:13" s="4" customFormat="1" ht="14.25" customHeight="1" x14ac:dyDescent="0.25">
      <c r="A1303" s="4" t="s">
        <v>2272</v>
      </c>
      <c r="B1303" s="4" t="s">
        <v>38</v>
      </c>
      <c r="C1303" s="4" t="s">
        <v>14</v>
      </c>
      <c r="D1303" s="35">
        <v>1815</v>
      </c>
      <c r="E1303" s="4" t="s">
        <v>2273</v>
      </c>
      <c r="F1303" s="5">
        <v>39083</v>
      </c>
      <c r="G1303" s="5">
        <v>39813</v>
      </c>
      <c r="H1303" s="4" t="s">
        <v>40</v>
      </c>
      <c r="I1303" s="6">
        <v>4920</v>
      </c>
      <c r="J1303" s="6">
        <v>4920</v>
      </c>
      <c r="K1303" s="37" t="s">
        <v>2033</v>
      </c>
      <c r="L1303" s="119"/>
      <c r="M1303" s="3"/>
    </row>
    <row r="1304" spans="1:13" s="4" customFormat="1" ht="14.25" customHeight="1" x14ac:dyDescent="0.25">
      <c r="A1304" s="4" t="s">
        <v>2274</v>
      </c>
      <c r="B1304" s="4" t="s">
        <v>38</v>
      </c>
      <c r="C1304" s="4" t="s">
        <v>14</v>
      </c>
      <c r="D1304" s="35">
        <v>1820</v>
      </c>
      <c r="E1304" s="7" t="s">
        <v>2275</v>
      </c>
      <c r="F1304" s="5">
        <v>39083</v>
      </c>
      <c r="G1304" s="5">
        <v>41274</v>
      </c>
      <c r="H1304" s="4" t="s">
        <v>40</v>
      </c>
      <c r="I1304" s="6">
        <v>57625.89</v>
      </c>
      <c r="J1304" s="6">
        <f>46840.49+10785.4</f>
        <v>57625.89</v>
      </c>
      <c r="K1304" s="37" t="s">
        <v>2033</v>
      </c>
      <c r="L1304" s="119"/>
      <c r="M1304" s="3"/>
    </row>
    <row r="1305" spans="1:13" s="4" customFormat="1" ht="14.25" customHeight="1" x14ac:dyDescent="0.25">
      <c r="A1305" s="4" t="s">
        <v>2276</v>
      </c>
      <c r="B1305" s="4" t="s">
        <v>38</v>
      </c>
      <c r="C1305" s="4" t="s">
        <v>14</v>
      </c>
      <c r="D1305" s="35">
        <v>1826</v>
      </c>
      <c r="E1305" s="4" t="s">
        <v>2277</v>
      </c>
      <c r="F1305" s="5">
        <v>39083</v>
      </c>
      <c r="G1305" s="5">
        <v>40178</v>
      </c>
      <c r="H1305" s="4" t="s">
        <v>40</v>
      </c>
      <c r="I1305" s="6">
        <v>9100</v>
      </c>
      <c r="J1305" s="6">
        <v>9100</v>
      </c>
      <c r="K1305" s="37" t="s">
        <v>2033</v>
      </c>
      <c r="L1305" s="119"/>
      <c r="M1305" s="3"/>
    </row>
    <row r="1306" spans="1:13" s="4" customFormat="1" ht="14.25" customHeight="1" x14ac:dyDescent="0.25">
      <c r="A1306" s="4" t="s">
        <v>2278</v>
      </c>
      <c r="B1306" s="4" t="s">
        <v>38</v>
      </c>
      <c r="C1306" s="4" t="s">
        <v>14</v>
      </c>
      <c r="D1306" s="35">
        <v>1828</v>
      </c>
      <c r="E1306" s="4" t="s">
        <v>2279</v>
      </c>
      <c r="F1306" s="5">
        <v>39083</v>
      </c>
      <c r="G1306" s="5">
        <v>39447</v>
      </c>
      <c r="H1306" s="4" t="s">
        <v>40</v>
      </c>
      <c r="I1306" s="6">
        <v>4522.3999999999996</v>
      </c>
      <c r="J1306" s="6">
        <v>4522.3999999999996</v>
      </c>
      <c r="K1306" s="37" t="s">
        <v>2033</v>
      </c>
      <c r="L1306" s="119"/>
      <c r="M1306" s="3"/>
    </row>
    <row r="1307" spans="1:13" s="4" customFormat="1" ht="14.25" customHeight="1" x14ac:dyDescent="0.25">
      <c r="A1307" s="4" t="s">
        <v>2280</v>
      </c>
      <c r="B1307" s="4" t="s">
        <v>38</v>
      </c>
      <c r="C1307" s="4" t="s">
        <v>14</v>
      </c>
      <c r="D1307" s="35">
        <v>1835</v>
      </c>
      <c r="E1307" s="4" t="s">
        <v>2281</v>
      </c>
      <c r="F1307" s="5">
        <v>39083</v>
      </c>
      <c r="G1307" s="5">
        <v>40178</v>
      </c>
      <c r="H1307" s="4" t="s">
        <v>40</v>
      </c>
      <c r="I1307" s="6">
        <v>6240</v>
      </c>
      <c r="J1307" s="6">
        <v>6240</v>
      </c>
      <c r="K1307" s="37" t="s">
        <v>2033</v>
      </c>
      <c r="L1307" s="119"/>
      <c r="M1307" s="3"/>
    </row>
    <row r="1308" spans="1:13" s="4" customFormat="1" ht="14.25" customHeight="1" x14ac:dyDescent="0.25">
      <c r="A1308" s="4" t="s">
        <v>2282</v>
      </c>
      <c r="B1308" s="4" t="s">
        <v>38</v>
      </c>
      <c r="C1308" s="4" t="s">
        <v>14</v>
      </c>
      <c r="D1308" s="35">
        <v>1876</v>
      </c>
      <c r="E1308" s="4" t="s">
        <v>2283</v>
      </c>
      <c r="F1308" s="5">
        <v>39083</v>
      </c>
      <c r="G1308" s="5">
        <v>40178</v>
      </c>
      <c r="H1308" s="4" t="s">
        <v>40</v>
      </c>
      <c r="I1308" s="6">
        <v>6760</v>
      </c>
      <c r="J1308" s="6">
        <v>6760</v>
      </c>
      <c r="K1308" s="37" t="s">
        <v>2033</v>
      </c>
      <c r="L1308" s="119"/>
      <c r="M1308" s="3"/>
    </row>
    <row r="1309" spans="1:13" s="4" customFormat="1" ht="14.25" customHeight="1" x14ac:dyDescent="0.25">
      <c r="A1309" s="4" t="s">
        <v>2284</v>
      </c>
      <c r="B1309" s="4" t="s">
        <v>38</v>
      </c>
      <c r="C1309" s="4" t="s">
        <v>14</v>
      </c>
      <c r="D1309" s="35">
        <v>1878</v>
      </c>
      <c r="E1309" s="4" t="s">
        <v>2285</v>
      </c>
      <c r="F1309" s="5">
        <v>39083</v>
      </c>
      <c r="G1309" s="5">
        <v>39447</v>
      </c>
      <c r="H1309" s="4" t="s">
        <v>40</v>
      </c>
      <c r="I1309" s="6">
        <v>600</v>
      </c>
      <c r="J1309" s="6">
        <v>600</v>
      </c>
      <c r="K1309" s="37" t="s">
        <v>2033</v>
      </c>
      <c r="L1309" s="119"/>
      <c r="M1309" s="3"/>
    </row>
    <row r="1310" spans="1:13" s="4" customFormat="1" ht="14.25" customHeight="1" x14ac:dyDescent="0.25">
      <c r="A1310" s="4" t="s">
        <v>2286</v>
      </c>
      <c r="B1310" s="4" t="s">
        <v>38</v>
      </c>
      <c r="C1310" s="4" t="s">
        <v>14</v>
      </c>
      <c r="D1310" s="35">
        <v>1881</v>
      </c>
      <c r="E1310" s="4" t="s">
        <v>2287</v>
      </c>
      <c r="F1310" s="5">
        <v>39230</v>
      </c>
      <c r="G1310" s="5">
        <v>40178</v>
      </c>
      <c r="H1310" s="4" t="s">
        <v>40</v>
      </c>
      <c r="I1310" s="6">
        <v>3100</v>
      </c>
      <c r="J1310" s="6">
        <v>3100</v>
      </c>
      <c r="K1310" s="37" t="s">
        <v>2033</v>
      </c>
      <c r="L1310" s="119"/>
      <c r="M1310" s="3"/>
    </row>
    <row r="1311" spans="1:13" s="4" customFormat="1" ht="14.25" customHeight="1" x14ac:dyDescent="0.25">
      <c r="A1311" s="4" t="s">
        <v>2288</v>
      </c>
      <c r="B1311" s="4" t="s">
        <v>38</v>
      </c>
      <c r="C1311" s="4" t="s">
        <v>14</v>
      </c>
      <c r="D1311" s="35">
        <v>1885</v>
      </c>
      <c r="E1311" s="4" t="s">
        <v>2289</v>
      </c>
      <c r="F1311" s="5">
        <v>39083</v>
      </c>
      <c r="G1311" s="5">
        <v>39447</v>
      </c>
      <c r="H1311" s="4" t="s">
        <v>40</v>
      </c>
      <c r="I1311" s="6">
        <v>12000</v>
      </c>
      <c r="J1311" s="6">
        <v>12000</v>
      </c>
      <c r="K1311" s="37" t="s">
        <v>2033</v>
      </c>
      <c r="L1311" s="119"/>
      <c r="M1311" s="3"/>
    </row>
    <row r="1312" spans="1:13" s="4" customFormat="1" ht="14.25" customHeight="1" x14ac:dyDescent="0.25">
      <c r="A1312" s="4" t="s">
        <v>2290</v>
      </c>
      <c r="B1312" s="4" t="s">
        <v>38</v>
      </c>
      <c r="C1312" s="4" t="s">
        <v>14</v>
      </c>
      <c r="D1312" s="35">
        <v>1888</v>
      </c>
      <c r="E1312" s="7" t="s">
        <v>2291</v>
      </c>
      <c r="F1312" s="5">
        <v>39083</v>
      </c>
      <c r="G1312" s="5">
        <v>41274</v>
      </c>
      <c r="H1312" s="4" t="s">
        <v>40</v>
      </c>
      <c r="I1312" s="6">
        <v>153146.34</v>
      </c>
      <c r="J1312" s="6">
        <f>152216.33+930.01</f>
        <v>153146.34</v>
      </c>
      <c r="K1312" s="37" t="s">
        <v>2033</v>
      </c>
      <c r="L1312" s="119"/>
      <c r="M1312" s="3"/>
    </row>
    <row r="1313" spans="1:13" s="4" customFormat="1" ht="14.25" customHeight="1" x14ac:dyDescent="0.25">
      <c r="A1313" s="4" t="s">
        <v>2292</v>
      </c>
      <c r="B1313" s="4" t="s">
        <v>38</v>
      </c>
      <c r="C1313" s="4" t="s">
        <v>14</v>
      </c>
      <c r="D1313" s="35">
        <v>1889</v>
      </c>
      <c r="E1313" s="4" t="s">
        <v>2293</v>
      </c>
      <c r="F1313" s="5">
        <v>39083</v>
      </c>
      <c r="G1313" s="5">
        <v>39813</v>
      </c>
      <c r="H1313" s="4" t="s">
        <v>40</v>
      </c>
      <c r="I1313" s="6">
        <v>5800</v>
      </c>
      <c r="J1313" s="6">
        <v>5800</v>
      </c>
      <c r="K1313" s="37" t="s">
        <v>2033</v>
      </c>
      <c r="L1313" s="119"/>
      <c r="M1313" s="3"/>
    </row>
    <row r="1314" spans="1:13" s="4" customFormat="1" ht="14.25" customHeight="1" x14ac:dyDescent="0.25">
      <c r="A1314" s="4" t="s">
        <v>2294</v>
      </c>
      <c r="B1314" s="4" t="s">
        <v>38</v>
      </c>
      <c r="C1314" s="4" t="s">
        <v>14</v>
      </c>
      <c r="D1314" s="35">
        <v>1890</v>
      </c>
      <c r="E1314" s="4" t="s">
        <v>2295</v>
      </c>
      <c r="F1314" s="5">
        <v>39083</v>
      </c>
      <c r="G1314" s="5">
        <v>39447</v>
      </c>
      <c r="H1314" s="4" t="s">
        <v>40</v>
      </c>
      <c r="I1314" s="6">
        <v>2117.5</v>
      </c>
      <c r="J1314" s="6">
        <v>2117.5</v>
      </c>
      <c r="K1314" s="37" t="s">
        <v>2033</v>
      </c>
      <c r="L1314" s="119"/>
      <c r="M1314" s="3"/>
    </row>
    <row r="1315" spans="1:13" s="4" customFormat="1" ht="14.25" customHeight="1" x14ac:dyDescent="0.25">
      <c r="A1315" s="4" t="s">
        <v>2296</v>
      </c>
      <c r="B1315" s="4" t="s">
        <v>38</v>
      </c>
      <c r="C1315" s="4" t="s">
        <v>14</v>
      </c>
      <c r="D1315" s="35">
        <v>1892</v>
      </c>
      <c r="E1315" s="4" t="s">
        <v>2297</v>
      </c>
      <c r="F1315" s="5">
        <v>39083</v>
      </c>
      <c r="G1315" s="5">
        <v>40891</v>
      </c>
      <c r="H1315" s="4" t="s">
        <v>40</v>
      </c>
      <c r="I1315" s="6">
        <v>84834</v>
      </c>
      <c r="J1315" s="6">
        <v>84834</v>
      </c>
      <c r="K1315" s="37" t="s">
        <v>2033</v>
      </c>
      <c r="L1315" s="119"/>
      <c r="M1315" s="3"/>
    </row>
    <row r="1316" spans="1:13" s="4" customFormat="1" ht="14.25" customHeight="1" x14ac:dyDescent="0.25">
      <c r="A1316" s="4" t="s">
        <v>2284</v>
      </c>
      <c r="B1316" s="4" t="s">
        <v>38</v>
      </c>
      <c r="C1316" s="4" t="s">
        <v>14</v>
      </c>
      <c r="D1316" s="35">
        <v>1893</v>
      </c>
      <c r="E1316" s="4" t="s">
        <v>2298</v>
      </c>
      <c r="F1316" s="5">
        <v>39083</v>
      </c>
      <c r="G1316" s="5">
        <v>39447</v>
      </c>
      <c r="H1316" s="4" t="s">
        <v>40</v>
      </c>
      <c r="I1316" s="6">
        <v>1120</v>
      </c>
      <c r="J1316" s="6">
        <v>1120</v>
      </c>
      <c r="K1316" s="37" t="s">
        <v>2033</v>
      </c>
      <c r="L1316" s="119"/>
      <c r="M1316" s="3"/>
    </row>
    <row r="1317" spans="1:13" s="4" customFormat="1" ht="14.25" customHeight="1" x14ac:dyDescent="0.25">
      <c r="A1317" s="4" t="s">
        <v>2299</v>
      </c>
      <c r="B1317" s="4" t="s">
        <v>38</v>
      </c>
      <c r="C1317" s="4" t="s">
        <v>14</v>
      </c>
      <c r="D1317" s="35">
        <v>1897</v>
      </c>
      <c r="E1317" s="7" t="s">
        <v>2300</v>
      </c>
      <c r="F1317" s="5">
        <v>39083</v>
      </c>
      <c r="G1317" s="5">
        <v>41274</v>
      </c>
      <c r="H1317" s="4" t="s">
        <v>40</v>
      </c>
      <c r="I1317" s="6">
        <v>9996.18</v>
      </c>
      <c r="J1317" s="6">
        <v>9996.18</v>
      </c>
      <c r="K1317" s="37" t="s">
        <v>2033</v>
      </c>
      <c r="L1317" s="119"/>
      <c r="M1317" s="3"/>
    </row>
    <row r="1318" spans="1:13" s="4" customFormat="1" ht="14.25" customHeight="1" x14ac:dyDescent="0.25">
      <c r="A1318" s="4" t="s">
        <v>2301</v>
      </c>
      <c r="B1318" s="4" t="s">
        <v>38</v>
      </c>
      <c r="C1318" s="4" t="s">
        <v>14</v>
      </c>
      <c r="D1318" s="35">
        <v>2075</v>
      </c>
      <c r="E1318" s="4" t="s">
        <v>2302</v>
      </c>
      <c r="F1318" s="5">
        <v>39356</v>
      </c>
      <c r="G1318" s="5">
        <v>39356</v>
      </c>
      <c r="H1318" s="4" t="s">
        <v>40</v>
      </c>
      <c r="I1318" s="6">
        <v>1000</v>
      </c>
      <c r="J1318" s="6">
        <v>1000</v>
      </c>
      <c r="K1318" s="37" t="s">
        <v>2033</v>
      </c>
      <c r="L1318" s="119"/>
      <c r="M1318" s="3"/>
    </row>
    <row r="1319" spans="1:13" s="4" customFormat="1" ht="14.25" customHeight="1" x14ac:dyDescent="0.25">
      <c r="A1319" s="4" t="s">
        <v>2303</v>
      </c>
      <c r="B1319" s="4" t="s">
        <v>38</v>
      </c>
      <c r="C1319" s="4" t="s">
        <v>14</v>
      </c>
      <c r="D1319" s="35">
        <v>2076</v>
      </c>
      <c r="E1319" s="4" t="s">
        <v>2285</v>
      </c>
      <c r="F1319" s="5">
        <v>39132</v>
      </c>
      <c r="G1319" s="5">
        <v>39357</v>
      </c>
      <c r="H1319" s="4" t="s">
        <v>40</v>
      </c>
      <c r="I1319" s="6">
        <v>1000</v>
      </c>
      <c r="J1319" s="6">
        <v>1000</v>
      </c>
      <c r="K1319" s="37" t="s">
        <v>2033</v>
      </c>
      <c r="L1319" s="119"/>
      <c r="M1319" s="3"/>
    </row>
    <row r="1320" spans="1:13" s="4" customFormat="1" ht="14.25" customHeight="1" x14ac:dyDescent="0.25">
      <c r="A1320" s="4" t="s">
        <v>2304</v>
      </c>
      <c r="B1320" s="4" t="s">
        <v>38</v>
      </c>
      <c r="C1320" s="4" t="s">
        <v>14</v>
      </c>
      <c r="D1320" s="35">
        <v>2077</v>
      </c>
      <c r="E1320" s="7" t="s">
        <v>2305</v>
      </c>
      <c r="F1320" s="5">
        <v>39357</v>
      </c>
      <c r="G1320" s="5">
        <v>40465</v>
      </c>
      <c r="H1320" s="4" t="s">
        <v>40</v>
      </c>
      <c r="I1320" s="6">
        <v>1050</v>
      </c>
      <c r="J1320" s="6">
        <v>1050</v>
      </c>
      <c r="K1320" s="37" t="s">
        <v>2033</v>
      </c>
      <c r="L1320" s="119"/>
      <c r="M1320" s="3"/>
    </row>
    <row r="1321" spans="1:13" s="4" customFormat="1" ht="14.25" customHeight="1" x14ac:dyDescent="0.25">
      <c r="A1321" s="4" t="s">
        <v>2306</v>
      </c>
      <c r="B1321" s="4" t="s">
        <v>38</v>
      </c>
      <c r="C1321" s="4" t="s">
        <v>14</v>
      </c>
      <c r="D1321" s="35">
        <v>2078</v>
      </c>
      <c r="E1321" s="4" t="s">
        <v>2307</v>
      </c>
      <c r="F1321" s="5">
        <v>39132</v>
      </c>
      <c r="G1321" s="5">
        <v>39659</v>
      </c>
      <c r="H1321" s="4" t="s">
        <v>40</v>
      </c>
      <c r="I1321" s="6">
        <v>8335</v>
      </c>
      <c r="J1321" s="6">
        <v>8335</v>
      </c>
      <c r="K1321" s="37" t="s">
        <v>2033</v>
      </c>
      <c r="L1321" s="119"/>
      <c r="M1321" s="3"/>
    </row>
    <row r="1322" spans="1:13" s="4" customFormat="1" ht="14.25" customHeight="1" x14ac:dyDescent="0.25">
      <c r="A1322" s="4" t="s">
        <v>2308</v>
      </c>
      <c r="B1322" s="4" t="s">
        <v>38</v>
      </c>
      <c r="C1322" s="4" t="s">
        <v>14</v>
      </c>
      <c r="D1322" s="35">
        <v>2079</v>
      </c>
      <c r="E1322" s="4" t="s">
        <v>2309</v>
      </c>
      <c r="F1322" s="5">
        <v>39230</v>
      </c>
      <c r="G1322" s="5">
        <v>41274</v>
      </c>
      <c r="H1322" s="4" t="s">
        <v>40</v>
      </c>
      <c r="I1322" s="6">
        <f>25000+5000</f>
        <v>30000</v>
      </c>
      <c r="J1322" s="6">
        <f>25000+5000</f>
        <v>30000</v>
      </c>
      <c r="K1322" s="37" t="s">
        <v>2033</v>
      </c>
      <c r="L1322" s="119"/>
      <c r="M1322" s="3"/>
    </row>
    <row r="1323" spans="1:13" s="4" customFormat="1" ht="14.25" customHeight="1" x14ac:dyDescent="0.25">
      <c r="A1323" s="4" t="s">
        <v>2310</v>
      </c>
      <c r="B1323" s="4" t="s">
        <v>38</v>
      </c>
      <c r="C1323" s="4" t="s">
        <v>14</v>
      </c>
      <c r="D1323" s="35">
        <v>2080</v>
      </c>
      <c r="E1323" s="4" t="s">
        <v>2311</v>
      </c>
      <c r="F1323" s="5">
        <v>39132</v>
      </c>
      <c r="G1323" s="5">
        <v>39597</v>
      </c>
      <c r="H1323" s="4" t="s">
        <v>40</v>
      </c>
      <c r="I1323" s="6">
        <v>7775</v>
      </c>
      <c r="J1323" s="6">
        <v>7775</v>
      </c>
      <c r="K1323" s="37" t="s">
        <v>2033</v>
      </c>
      <c r="L1323" s="119"/>
      <c r="M1323" s="3"/>
    </row>
    <row r="1324" spans="1:13" s="4" customFormat="1" ht="14.25" customHeight="1" x14ac:dyDescent="0.25">
      <c r="A1324" s="4" t="s">
        <v>2312</v>
      </c>
      <c r="B1324" s="4" t="s">
        <v>38</v>
      </c>
      <c r="C1324" s="4" t="s">
        <v>14</v>
      </c>
      <c r="D1324" s="35">
        <v>2081</v>
      </c>
      <c r="E1324" s="4" t="s">
        <v>2313</v>
      </c>
      <c r="F1324" s="5">
        <v>39132</v>
      </c>
      <c r="G1324" s="5">
        <v>39391</v>
      </c>
      <c r="H1324" s="4" t="s">
        <v>40</v>
      </c>
      <c r="I1324" s="6">
        <v>829.48</v>
      </c>
      <c r="J1324" s="6">
        <v>829.48</v>
      </c>
      <c r="K1324" s="37" t="s">
        <v>2033</v>
      </c>
      <c r="L1324" s="119"/>
      <c r="M1324" s="3"/>
    </row>
    <row r="1325" spans="1:13" s="4" customFormat="1" ht="14.25" customHeight="1" x14ac:dyDescent="0.25">
      <c r="A1325" s="13" t="s">
        <v>2314</v>
      </c>
      <c r="B1325" s="4" t="s">
        <v>38</v>
      </c>
      <c r="C1325" s="4" t="s">
        <v>14</v>
      </c>
      <c r="D1325" s="35">
        <v>2082</v>
      </c>
      <c r="E1325" s="13" t="s">
        <v>2315</v>
      </c>
      <c r="F1325" s="5">
        <v>39132</v>
      </c>
      <c r="G1325" s="5">
        <v>39391</v>
      </c>
      <c r="H1325" s="4" t="s">
        <v>40</v>
      </c>
      <c r="I1325" s="6">
        <v>8200</v>
      </c>
      <c r="J1325" s="6">
        <v>8200</v>
      </c>
      <c r="K1325" s="37" t="s">
        <v>2033</v>
      </c>
      <c r="L1325" s="119"/>
      <c r="M1325" s="3"/>
    </row>
    <row r="1326" spans="1:13" s="4" customFormat="1" ht="14.25" customHeight="1" x14ac:dyDescent="0.25">
      <c r="A1326" s="4" t="s">
        <v>2284</v>
      </c>
      <c r="B1326" s="4" t="s">
        <v>38</v>
      </c>
      <c r="C1326" s="4" t="s">
        <v>14</v>
      </c>
      <c r="D1326" s="35">
        <v>2083</v>
      </c>
      <c r="E1326" s="4" t="s">
        <v>2316</v>
      </c>
      <c r="F1326" s="5">
        <v>39083</v>
      </c>
      <c r="G1326" s="5">
        <v>39395</v>
      </c>
      <c r="H1326" s="4" t="s">
        <v>40</v>
      </c>
      <c r="I1326" s="6">
        <v>1000</v>
      </c>
      <c r="J1326" s="6">
        <v>1000</v>
      </c>
      <c r="K1326" s="37" t="s">
        <v>2033</v>
      </c>
      <c r="L1326" s="119"/>
      <c r="M1326" s="3"/>
    </row>
    <row r="1327" spans="1:13" s="4" customFormat="1" ht="14.25" customHeight="1" x14ac:dyDescent="0.25">
      <c r="A1327" s="4" t="s">
        <v>2317</v>
      </c>
      <c r="B1327" s="4" t="s">
        <v>38</v>
      </c>
      <c r="C1327" s="4" t="s">
        <v>14</v>
      </c>
      <c r="D1327" s="35">
        <v>2084</v>
      </c>
      <c r="E1327" s="4" t="s">
        <v>2318</v>
      </c>
      <c r="F1327" s="5">
        <v>39132</v>
      </c>
      <c r="G1327" s="5">
        <v>41274</v>
      </c>
      <c r="H1327" s="4" t="s">
        <v>40</v>
      </c>
      <c r="I1327" s="6">
        <v>21823.5</v>
      </c>
      <c r="J1327" s="6">
        <f>15311+6512.5</f>
        <v>21823.5</v>
      </c>
      <c r="K1327" s="37" t="s">
        <v>2033</v>
      </c>
      <c r="L1327" s="119"/>
      <c r="M1327" s="3"/>
    </row>
    <row r="1328" spans="1:13" s="4" customFormat="1" ht="14.25" customHeight="1" x14ac:dyDescent="0.25">
      <c r="A1328" s="4" t="s">
        <v>2319</v>
      </c>
      <c r="B1328" s="4" t="s">
        <v>38</v>
      </c>
      <c r="C1328" s="4" t="s">
        <v>14</v>
      </c>
      <c r="D1328" s="35">
        <v>2097</v>
      </c>
      <c r="E1328" s="4" t="s">
        <v>2320</v>
      </c>
      <c r="F1328" s="5">
        <v>39423</v>
      </c>
      <c r="G1328" s="5">
        <v>39423</v>
      </c>
      <c r="H1328" s="4" t="s">
        <v>40</v>
      </c>
      <c r="I1328" s="6">
        <v>150</v>
      </c>
      <c r="J1328" s="6">
        <v>150</v>
      </c>
      <c r="K1328" s="37" t="s">
        <v>2033</v>
      </c>
      <c r="L1328" s="119"/>
      <c r="M1328" s="3"/>
    </row>
    <row r="1329" spans="1:13" s="4" customFormat="1" ht="14.25" customHeight="1" x14ac:dyDescent="0.25">
      <c r="A1329" s="4" t="s">
        <v>2284</v>
      </c>
      <c r="B1329" s="4" t="s">
        <v>38</v>
      </c>
      <c r="C1329" s="4" t="s">
        <v>14</v>
      </c>
      <c r="D1329" s="35">
        <v>2098</v>
      </c>
      <c r="E1329" s="4" t="s">
        <v>2321</v>
      </c>
      <c r="F1329" s="5">
        <v>39230</v>
      </c>
      <c r="G1329" s="5">
        <v>39423</v>
      </c>
      <c r="H1329" s="4" t="s">
        <v>40</v>
      </c>
      <c r="I1329" s="6">
        <v>1000</v>
      </c>
      <c r="J1329" s="6">
        <v>1000</v>
      </c>
      <c r="K1329" s="37" t="s">
        <v>2033</v>
      </c>
      <c r="L1329" s="119"/>
      <c r="M1329" s="3"/>
    </row>
    <row r="1330" spans="1:13" s="4" customFormat="1" ht="14.25" customHeight="1" x14ac:dyDescent="0.25">
      <c r="A1330" s="4" t="s">
        <v>2322</v>
      </c>
      <c r="B1330" s="4" t="s">
        <v>38</v>
      </c>
      <c r="C1330" s="4" t="s">
        <v>14</v>
      </c>
      <c r="D1330" s="35">
        <v>2099</v>
      </c>
      <c r="E1330" s="4" t="s">
        <v>2323</v>
      </c>
      <c r="F1330" s="5">
        <v>39423</v>
      </c>
      <c r="G1330" s="5">
        <v>40179</v>
      </c>
      <c r="H1330" s="4" t="s">
        <v>40</v>
      </c>
      <c r="I1330" s="6">
        <v>676</v>
      </c>
      <c r="J1330" s="6">
        <v>676</v>
      </c>
      <c r="K1330" s="37" t="s">
        <v>2033</v>
      </c>
      <c r="L1330" s="119"/>
      <c r="M1330" s="3"/>
    </row>
    <row r="1331" spans="1:13" s="4" customFormat="1" ht="14.25" customHeight="1" x14ac:dyDescent="0.25">
      <c r="A1331" s="4" t="s">
        <v>2322</v>
      </c>
      <c r="B1331" s="4" t="s">
        <v>38</v>
      </c>
      <c r="C1331" s="4" t="s">
        <v>14</v>
      </c>
      <c r="D1331" s="35">
        <v>2101</v>
      </c>
      <c r="E1331" s="4" t="s">
        <v>2324</v>
      </c>
      <c r="F1331" s="5">
        <v>39230</v>
      </c>
      <c r="G1331" s="5">
        <v>41639</v>
      </c>
      <c r="H1331" s="4" t="s">
        <v>40</v>
      </c>
      <c r="I1331" s="6">
        <v>4605.21</v>
      </c>
      <c r="J1331" s="6">
        <v>4605.21</v>
      </c>
      <c r="K1331" s="37" t="s">
        <v>2033</v>
      </c>
      <c r="L1331" s="119"/>
      <c r="M1331" s="3"/>
    </row>
    <row r="1332" spans="1:13" s="4" customFormat="1" ht="14.25" customHeight="1" x14ac:dyDescent="0.25">
      <c r="A1332" s="4" t="s">
        <v>2284</v>
      </c>
      <c r="B1332" s="4" t="s">
        <v>38</v>
      </c>
      <c r="C1332" s="4" t="s">
        <v>14</v>
      </c>
      <c r="D1332" s="35">
        <v>2102</v>
      </c>
      <c r="E1332" s="4" t="s">
        <v>2325</v>
      </c>
      <c r="F1332" s="5">
        <v>39132</v>
      </c>
      <c r="G1332" s="5">
        <v>39549</v>
      </c>
      <c r="H1332" s="4" t="s">
        <v>40</v>
      </c>
      <c r="I1332" s="6">
        <v>2891.9</v>
      </c>
      <c r="J1332" s="6">
        <v>2891.9</v>
      </c>
      <c r="K1332" s="37" t="s">
        <v>2033</v>
      </c>
      <c r="L1332" s="119"/>
      <c r="M1332" s="3"/>
    </row>
    <row r="1333" spans="1:13" s="4" customFormat="1" ht="14.25" customHeight="1" x14ac:dyDescent="0.25">
      <c r="A1333" s="4" t="s">
        <v>2326</v>
      </c>
      <c r="B1333" s="4" t="s">
        <v>38</v>
      </c>
      <c r="C1333" s="4" t="s">
        <v>14</v>
      </c>
      <c r="D1333" s="35">
        <v>2104</v>
      </c>
      <c r="E1333" s="4" t="s">
        <v>2327</v>
      </c>
      <c r="F1333" s="5">
        <v>39433</v>
      </c>
      <c r="G1333" s="5">
        <v>40882</v>
      </c>
      <c r="H1333" s="4" t="s">
        <v>40</v>
      </c>
      <c r="I1333" s="6">
        <v>21110</v>
      </c>
      <c r="J1333" s="6">
        <v>21110</v>
      </c>
      <c r="K1333" s="37" t="s">
        <v>2033</v>
      </c>
      <c r="L1333" s="119"/>
      <c r="M1333" s="3"/>
    </row>
    <row r="1334" spans="1:13" s="4" customFormat="1" ht="14.25" customHeight="1" x14ac:dyDescent="0.25">
      <c r="A1334" s="4" t="s">
        <v>2328</v>
      </c>
      <c r="B1334" s="4" t="s">
        <v>38</v>
      </c>
      <c r="C1334" s="4" t="s">
        <v>14</v>
      </c>
      <c r="D1334" s="35">
        <v>2106</v>
      </c>
      <c r="E1334" s="4" t="s">
        <v>2329</v>
      </c>
      <c r="F1334" s="5">
        <v>39083</v>
      </c>
      <c r="G1334" s="5">
        <v>40543</v>
      </c>
      <c r="H1334" s="4" t="s">
        <v>40</v>
      </c>
      <c r="I1334" s="6">
        <f>277438.27+52383.56</f>
        <v>329821.83</v>
      </c>
      <c r="J1334" s="6">
        <f>277438.27+52383.56</f>
        <v>329821.83</v>
      </c>
      <c r="K1334" s="37" t="s">
        <v>2033</v>
      </c>
      <c r="L1334" s="119"/>
      <c r="M1334" s="3"/>
    </row>
    <row r="1335" spans="1:13" s="4" customFormat="1" ht="14.25" customHeight="1" x14ac:dyDescent="0.25">
      <c r="A1335" s="4" t="s">
        <v>2330</v>
      </c>
      <c r="B1335" s="4" t="s">
        <v>38</v>
      </c>
      <c r="C1335" s="4" t="s">
        <v>14</v>
      </c>
      <c r="D1335" s="35">
        <v>2107</v>
      </c>
      <c r="E1335" s="7" t="s">
        <v>2331</v>
      </c>
      <c r="F1335" s="5">
        <v>39132</v>
      </c>
      <c r="G1335" s="5">
        <v>40178</v>
      </c>
      <c r="H1335" s="4" t="s">
        <v>40</v>
      </c>
      <c r="I1335" s="6">
        <v>23732.49</v>
      </c>
      <c r="J1335" s="6">
        <v>23732.49</v>
      </c>
      <c r="K1335" s="37" t="s">
        <v>2033</v>
      </c>
      <c r="L1335" s="119"/>
      <c r="M1335" s="3"/>
    </row>
    <row r="1336" spans="1:13" s="4" customFormat="1" ht="14.25" customHeight="1" x14ac:dyDescent="0.25">
      <c r="A1336" s="4" t="s">
        <v>2284</v>
      </c>
      <c r="B1336" s="4" t="s">
        <v>38</v>
      </c>
      <c r="C1336" s="4" t="s">
        <v>14</v>
      </c>
      <c r="D1336" s="35">
        <v>2109</v>
      </c>
      <c r="E1336" s="4" t="s">
        <v>2332</v>
      </c>
      <c r="F1336" s="5">
        <v>39469</v>
      </c>
      <c r="G1336" s="5">
        <v>39786</v>
      </c>
      <c r="H1336" s="4" t="s">
        <v>40</v>
      </c>
      <c r="I1336" s="6">
        <v>672</v>
      </c>
      <c r="J1336" s="6">
        <v>672</v>
      </c>
      <c r="K1336" s="37" t="s">
        <v>2033</v>
      </c>
      <c r="L1336" s="119"/>
      <c r="M1336" s="3"/>
    </row>
    <row r="1337" spans="1:13" s="4" customFormat="1" ht="14.25" customHeight="1" x14ac:dyDescent="0.25">
      <c r="A1337" s="4" t="s">
        <v>2333</v>
      </c>
      <c r="B1337" s="4" t="s">
        <v>38</v>
      </c>
      <c r="C1337" s="4" t="s">
        <v>14</v>
      </c>
      <c r="D1337" s="35">
        <v>2154</v>
      </c>
      <c r="E1337" s="4" t="s">
        <v>2334</v>
      </c>
      <c r="F1337" s="5">
        <v>39469</v>
      </c>
      <c r="G1337" s="5">
        <v>40160</v>
      </c>
      <c r="H1337" s="4" t="s">
        <v>40</v>
      </c>
      <c r="I1337" s="6">
        <v>15981</v>
      </c>
      <c r="J1337" s="6">
        <v>15981</v>
      </c>
      <c r="K1337" s="37" t="s">
        <v>2033</v>
      </c>
      <c r="L1337" s="119"/>
      <c r="M1337" s="3"/>
    </row>
    <row r="1338" spans="1:13" s="4" customFormat="1" ht="14.25" customHeight="1" x14ac:dyDescent="0.25">
      <c r="A1338" s="4" t="s">
        <v>2335</v>
      </c>
      <c r="B1338" s="4" t="s">
        <v>38</v>
      </c>
      <c r="C1338" s="4" t="s">
        <v>14</v>
      </c>
      <c r="D1338" s="35">
        <v>2159</v>
      </c>
      <c r="E1338" s="4" t="s">
        <v>2336</v>
      </c>
      <c r="F1338" s="5">
        <v>39469</v>
      </c>
      <c r="G1338" s="5">
        <v>39575</v>
      </c>
      <c r="H1338" s="4" t="s">
        <v>40</v>
      </c>
      <c r="I1338" s="6">
        <v>0</v>
      </c>
      <c r="J1338" s="6">
        <v>0</v>
      </c>
      <c r="K1338" s="37" t="s">
        <v>2033</v>
      </c>
      <c r="L1338" s="119"/>
      <c r="M1338" s="3"/>
    </row>
    <row r="1339" spans="1:13" s="4" customFormat="1" ht="14.25" customHeight="1" x14ac:dyDescent="0.25">
      <c r="A1339" s="4" t="s">
        <v>2337</v>
      </c>
      <c r="B1339" s="4" t="s">
        <v>38</v>
      </c>
      <c r="C1339" s="4" t="s">
        <v>14</v>
      </c>
      <c r="D1339" s="35">
        <v>2161</v>
      </c>
      <c r="E1339" s="4" t="s">
        <v>2338</v>
      </c>
      <c r="F1339" s="5">
        <v>39507</v>
      </c>
      <c r="G1339" s="5">
        <v>39507</v>
      </c>
      <c r="H1339" s="4" t="s">
        <v>40</v>
      </c>
      <c r="I1339" s="6">
        <v>625</v>
      </c>
      <c r="J1339" s="6">
        <v>625</v>
      </c>
      <c r="K1339" s="37" t="s">
        <v>2033</v>
      </c>
      <c r="L1339" s="119"/>
      <c r="M1339" s="3"/>
    </row>
    <row r="1340" spans="1:13" s="4" customFormat="1" ht="14.25" customHeight="1" x14ac:dyDescent="0.25">
      <c r="A1340" s="4" t="s">
        <v>2339</v>
      </c>
      <c r="B1340" s="4" t="s">
        <v>38</v>
      </c>
      <c r="C1340" s="4" t="s">
        <v>14</v>
      </c>
      <c r="D1340" s="35">
        <v>2164</v>
      </c>
      <c r="E1340" s="4" t="s">
        <v>2340</v>
      </c>
      <c r="F1340" s="5">
        <v>39510</v>
      </c>
      <c r="G1340" s="5">
        <v>39510</v>
      </c>
      <c r="H1340" s="4" t="s">
        <v>40</v>
      </c>
      <c r="I1340" s="6">
        <v>295</v>
      </c>
      <c r="J1340" s="6">
        <v>295</v>
      </c>
      <c r="K1340" s="37" t="s">
        <v>2033</v>
      </c>
      <c r="L1340" s="119"/>
      <c r="M1340" s="3"/>
    </row>
    <row r="1341" spans="1:13" s="4" customFormat="1" ht="14.25" customHeight="1" x14ac:dyDescent="0.25">
      <c r="A1341" s="4" t="s">
        <v>2341</v>
      </c>
      <c r="B1341" s="4" t="s">
        <v>38</v>
      </c>
      <c r="C1341" s="4" t="s">
        <v>14</v>
      </c>
      <c r="D1341" s="35">
        <v>2167</v>
      </c>
      <c r="E1341" s="4" t="s">
        <v>2342</v>
      </c>
      <c r="F1341" s="5">
        <v>39539</v>
      </c>
      <c r="G1341" s="5">
        <v>39575</v>
      </c>
      <c r="H1341" s="4" t="s">
        <v>40</v>
      </c>
      <c r="I1341" s="6">
        <v>474.83</v>
      </c>
      <c r="J1341" s="6">
        <v>474.83</v>
      </c>
      <c r="K1341" s="37" t="s">
        <v>2033</v>
      </c>
      <c r="L1341" s="119"/>
      <c r="M1341" s="3"/>
    </row>
    <row r="1342" spans="1:13" s="4" customFormat="1" ht="14.25" customHeight="1" x14ac:dyDescent="0.25">
      <c r="A1342" s="4" t="s">
        <v>2343</v>
      </c>
      <c r="B1342" s="4" t="s">
        <v>38</v>
      </c>
      <c r="C1342" s="4" t="s">
        <v>14</v>
      </c>
      <c r="D1342" s="35">
        <v>2171</v>
      </c>
      <c r="E1342" s="4" t="s">
        <v>2344</v>
      </c>
      <c r="F1342" s="5">
        <v>39539</v>
      </c>
      <c r="G1342" s="5">
        <v>41274</v>
      </c>
      <c r="H1342" s="4" t="s">
        <v>40</v>
      </c>
      <c r="I1342" s="6">
        <v>19594.22</v>
      </c>
      <c r="J1342" s="6">
        <f>16731.22+2863</f>
        <v>19594.22</v>
      </c>
      <c r="K1342" s="37" t="s">
        <v>2033</v>
      </c>
      <c r="L1342" s="119"/>
      <c r="M1342" s="3"/>
    </row>
    <row r="1343" spans="1:13" s="4" customFormat="1" ht="14.25" customHeight="1" x14ac:dyDescent="0.25">
      <c r="A1343" s="4" t="s">
        <v>2345</v>
      </c>
      <c r="B1343" s="4" t="s">
        <v>38</v>
      </c>
      <c r="C1343" s="4" t="s">
        <v>14</v>
      </c>
      <c r="D1343" s="35">
        <v>2178</v>
      </c>
      <c r="E1343" s="7" t="s">
        <v>2346</v>
      </c>
      <c r="F1343" s="5">
        <v>39549</v>
      </c>
      <c r="G1343" s="5">
        <v>40178</v>
      </c>
      <c r="H1343" s="4" t="s">
        <v>40</v>
      </c>
      <c r="I1343" s="6">
        <v>8343</v>
      </c>
      <c r="J1343" s="6">
        <v>8483</v>
      </c>
      <c r="K1343" s="37" t="s">
        <v>2033</v>
      </c>
      <c r="L1343" s="119"/>
      <c r="M1343" s="3"/>
    </row>
    <row r="1344" spans="1:13" s="4" customFormat="1" ht="14.25" customHeight="1" x14ac:dyDescent="0.25">
      <c r="A1344" s="4" t="s">
        <v>2347</v>
      </c>
      <c r="B1344" s="4" t="s">
        <v>38</v>
      </c>
      <c r="C1344" s="4" t="s">
        <v>14</v>
      </c>
      <c r="D1344" s="35">
        <v>2181</v>
      </c>
      <c r="E1344" s="4" t="s">
        <v>2348</v>
      </c>
      <c r="F1344" s="5">
        <v>39549</v>
      </c>
      <c r="G1344" s="5">
        <v>39696</v>
      </c>
      <c r="H1344" s="4" t="s">
        <v>40</v>
      </c>
      <c r="I1344" s="6">
        <v>2000</v>
      </c>
      <c r="J1344" s="6">
        <v>2000</v>
      </c>
      <c r="K1344" s="37" t="s">
        <v>2033</v>
      </c>
      <c r="L1344" s="119"/>
      <c r="M1344" s="3"/>
    </row>
    <row r="1345" spans="1:13" s="4" customFormat="1" ht="14.25" customHeight="1" x14ac:dyDescent="0.25">
      <c r="A1345" s="4" t="s">
        <v>433</v>
      </c>
      <c r="B1345" s="4" t="s">
        <v>38</v>
      </c>
      <c r="C1345" s="4" t="s">
        <v>14</v>
      </c>
      <c r="D1345" s="35">
        <v>2207</v>
      </c>
      <c r="E1345" s="4" t="s">
        <v>2349</v>
      </c>
      <c r="F1345" s="5">
        <v>39549</v>
      </c>
      <c r="G1345" s="5">
        <v>39549</v>
      </c>
      <c r="H1345" s="4" t="s">
        <v>40</v>
      </c>
      <c r="I1345" s="6">
        <v>363</v>
      </c>
      <c r="J1345" s="6">
        <v>363</v>
      </c>
      <c r="K1345" s="37" t="s">
        <v>2033</v>
      </c>
      <c r="L1345" s="119"/>
      <c r="M1345" s="3"/>
    </row>
    <row r="1346" spans="1:13" s="4" customFormat="1" ht="14.25" customHeight="1" x14ac:dyDescent="0.25">
      <c r="A1346" s="4" t="s">
        <v>2350</v>
      </c>
      <c r="B1346" s="4" t="s">
        <v>13</v>
      </c>
      <c r="C1346" s="4" t="s">
        <v>14</v>
      </c>
      <c r="D1346" s="35">
        <v>2211</v>
      </c>
      <c r="E1346" s="4" t="s">
        <v>2285</v>
      </c>
      <c r="F1346" s="5">
        <v>39575</v>
      </c>
      <c r="G1346" s="5">
        <v>39722</v>
      </c>
      <c r="H1346" s="4" t="s">
        <v>40</v>
      </c>
      <c r="I1346" s="6">
        <v>1400</v>
      </c>
      <c r="J1346" s="6">
        <v>1400</v>
      </c>
      <c r="K1346" s="37" t="s">
        <v>2033</v>
      </c>
      <c r="L1346" s="119"/>
      <c r="M1346" s="3"/>
    </row>
    <row r="1347" spans="1:13" s="4" customFormat="1" ht="14.25" customHeight="1" x14ac:dyDescent="0.25">
      <c r="A1347" s="4" t="s">
        <v>2284</v>
      </c>
      <c r="B1347" s="4" t="s">
        <v>38</v>
      </c>
      <c r="C1347" s="4" t="s">
        <v>14</v>
      </c>
      <c r="D1347" s="35">
        <v>2214</v>
      </c>
      <c r="E1347" s="4" t="s">
        <v>2351</v>
      </c>
      <c r="F1347" s="5">
        <v>39575</v>
      </c>
      <c r="G1347" s="5">
        <v>39757</v>
      </c>
      <c r="H1347" s="4" t="s">
        <v>40</v>
      </c>
      <c r="I1347" s="6">
        <v>2688</v>
      </c>
      <c r="J1347" s="6">
        <v>2688</v>
      </c>
      <c r="K1347" s="37" t="s">
        <v>2033</v>
      </c>
      <c r="L1347" s="119"/>
      <c r="M1347" s="3"/>
    </row>
    <row r="1348" spans="1:13" s="4" customFormat="1" ht="14.25" customHeight="1" x14ac:dyDescent="0.25">
      <c r="A1348" s="4" t="s">
        <v>2352</v>
      </c>
      <c r="B1348" s="4" t="s">
        <v>38</v>
      </c>
      <c r="C1348" s="4" t="s">
        <v>14</v>
      </c>
      <c r="D1348" s="35">
        <v>2216</v>
      </c>
      <c r="E1348" s="4" t="s">
        <v>2353</v>
      </c>
      <c r="F1348" s="5">
        <v>39597</v>
      </c>
      <c r="G1348" s="5">
        <v>39722</v>
      </c>
      <c r="H1348" s="4" t="s">
        <v>40</v>
      </c>
      <c r="I1348" s="6">
        <v>624.26</v>
      </c>
      <c r="J1348" s="6">
        <v>624.26</v>
      </c>
      <c r="K1348" s="37" t="s">
        <v>2033</v>
      </c>
      <c r="L1348" s="119"/>
      <c r="M1348" s="3"/>
    </row>
    <row r="1349" spans="1:13" s="4" customFormat="1" ht="14.25" customHeight="1" x14ac:dyDescent="0.25">
      <c r="A1349" s="4" t="s">
        <v>2354</v>
      </c>
      <c r="B1349" s="4" t="s">
        <v>38</v>
      </c>
      <c r="C1349" s="4" t="s">
        <v>14</v>
      </c>
      <c r="D1349" s="35">
        <v>2218</v>
      </c>
      <c r="E1349" s="4" t="s">
        <v>2355</v>
      </c>
      <c r="F1349" s="5">
        <v>39659</v>
      </c>
      <c r="G1349" s="5">
        <v>41274</v>
      </c>
      <c r="H1349" s="4" t="s">
        <v>40</v>
      </c>
      <c r="I1349" s="6">
        <f>6600+12610+11294+5930.5+5200</f>
        <v>41634.5</v>
      </c>
      <c r="J1349" s="6">
        <f>35704+5930.5</f>
        <v>41634.5</v>
      </c>
      <c r="K1349" s="37" t="s">
        <v>2033</v>
      </c>
      <c r="L1349" s="119"/>
      <c r="M1349" s="3"/>
    </row>
    <row r="1350" spans="1:13" s="4" customFormat="1" ht="14.25" customHeight="1" x14ac:dyDescent="0.25">
      <c r="A1350" s="4" t="s">
        <v>2284</v>
      </c>
      <c r="B1350" s="4" t="s">
        <v>38</v>
      </c>
      <c r="C1350" s="4" t="s">
        <v>14</v>
      </c>
      <c r="D1350" s="35">
        <v>2220</v>
      </c>
      <c r="E1350" s="4" t="s">
        <v>2356</v>
      </c>
      <c r="F1350" s="5">
        <v>39629</v>
      </c>
      <c r="G1350" s="5">
        <v>39728</v>
      </c>
      <c r="H1350" s="4" t="s">
        <v>40</v>
      </c>
      <c r="I1350" s="6">
        <v>1404.65</v>
      </c>
      <c r="J1350" s="6">
        <v>1404.65</v>
      </c>
      <c r="K1350" s="37" t="s">
        <v>2033</v>
      </c>
      <c r="L1350" s="119"/>
      <c r="M1350" s="3"/>
    </row>
    <row r="1351" spans="1:13" s="4" customFormat="1" ht="14.25" customHeight="1" x14ac:dyDescent="0.25">
      <c r="A1351" s="4" t="s">
        <v>2357</v>
      </c>
      <c r="B1351" s="4" t="s">
        <v>38</v>
      </c>
      <c r="C1351" s="4" t="s">
        <v>14</v>
      </c>
      <c r="D1351" s="35">
        <v>2367</v>
      </c>
      <c r="E1351" s="4" t="s">
        <v>2358</v>
      </c>
      <c r="F1351" s="5">
        <v>39659</v>
      </c>
      <c r="G1351" s="5">
        <v>39659</v>
      </c>
      <c r="H1351" s="4" t="s">
        <v>40</v>
      </c>
      <c r="I1351" s="6">
        <v>1355.6</v>
      </c>
      <c r="J1351" s="6">
        <v>1355.6</v>
      </c>
      <c r="K1351" s="37" t="s">
        <v>2033</v>
      </c>
      <c r="L1351" s="119"/>
      <c r="M1351" s="3"/>
    </row>
    <row r="1352" spans="1:13" s="4" customFormat="1" ht="14.25" customHeight="1" x14ac:dyDescent="0.25">
      <c r="A1352" s="4" t="s">
        <v>2359</v>
      </c>
      <c r="B1352" s="4" t="s">
        <v>38</v>
      </c>
      <c r="C1352" s="4" t="s">
        <v>14</v>
      </c>
      <c r="D1352" s="35">
        <v>2370</v>
      </c>
      <c r="E1352" s="4" t="s">
        <v>2360</v>
      </c>
      <c r="F1352" s="5">
        <v>39494</v>
      </c>
      <c r="G1352" s="5">
        <v>39696</v>
      </c>
      <c r="H1352" s="4" t="s">
        <v>40</v>
      </c>
      <c r="I1352" s="6">
        <v>1500</v>
      </c>
      <c r="J1352" s="6">
        <v>1500</v>
      </c>
      <c r="K1352" s="37" t="s">
        <v>2033</v>
      </c>
      <c r="L1352" s="119"/>
      <c r="M1352" s="3"/>
    </row>
    <row r="1353" spans="1:13" s="4" customFormat="1" ht="14.25" customHeight="1" x14ac:dyDescent="0.25">
      <c r="A1353" s="4" t="s">
        <v>2361</v>
      </c>
      <c r="B1353" s="4" t="s">
        <v>38</v>
      </c>
      <c r="C1353" s="4" t="s">
        <v>14</v>
      </c>
      <c r="D1353" s="35">
        <v>2374</v>
      </c>
      <c r="E1353" s="4" t="s">
        <v>2362</v>
      </c>
      <c r="F1353" s="5">
        <v>39494</v>
      </c>
      <c r="G1353" s="5">
        <v>39722</v>
      </c>
      <c r="H1353" s="4" t="s">
        <v>40</v>
      </c>
      <c r="I1353" s="6">
        <v>1250</v>
      </c>
      <c r="J1353" s="6">
        <v>1250</v>
      </c>
      <c r="K1353" s="37" t="s">
        <v>2033</v>
      </c>
      <c r="L1353" s="119"/>
      <c r="M1353" s="3"/>
    </row>
    <row r="1354" spans="1:13" s="4" customFormat="1" ht="14.25" customHeight="1" x14ac:dyDescent="0.25">
      <c r="A1354" s="4" t="s">
        <v>2363</v>
      </c>
      <c r="B1354" s="4" t="s">
        <v>38</v>
      </c>
      <c r="C1354" s="4" t="s">
        <v>14</v>
      </c>
      <c r="D1354" s="35">
        <v>2378</v>
      </c>
      <c r="E1354" s="4" t="s">
        <v>2364</v>
      </c>
      <c r="F1354" s="5">
        <v>39757</v>
      </c>
      <c r="G1354" s="5">
        <v>39757</v>
      </c>
      <c r="H1354" s="4" t="s">
        <v>40</v>
      </c>
      <c r="I1354" s="6">
        <v>0</v>
      </c>
      <c r="J1354" s="6">
        <v>0</v>
      </c>
      <c r="K1354" s="37" t="s">
        <v>2033</v>
      </c>
      <c r="L1354" s="119"/>
      <c r="M1354" s="3"/>
    </row>
    <row r="1355" spans="1:13" s="4" customFormat="1" ht="14.25" customHeight="1" x14ac:dyDescent="0.25">
      <c r="A1355" s="4" t="s">
        <v>2365</v>
      </c>
      <c r="B1355" s="4" t="s">
        <v>38</v>
      </c>
      <c r="C1355" s="4" t="s">
        <v>14</v>
      </c>
      <c r="D1355" s="35">
        <v>2380</v>
      </c>
      <c r="E1355" s="4" t="s">
        <v>2366</v>
      </c>
      <c r="F1355" s="5">
        <v>39757</v>
      </c>
      <c r="G1355" s="5">
        <v>41274</v>
      </c>
      <c r="H1355" s="4" t="s">
        <v>40</v>
      </c>
      <c r="I1355" s="6">
        <f>600+400</f>
        <v>1000</v>
      </c>
      <c r="J1355" s="6">
        <f>600+400</f>
        <v>1000</v>
      </c>
      <c r="K1355" s="37" t="s">
        <v>2033</v>
      </c>
      <c r="L1355" s="119"/>
      <c r="M1355" s="3"/>
    </row>
    <row r="1356" spans="1:13" s="4" customFormat="1" ht="14.25" customHeight="1" x14ac:dyDescent="0.25">
      <c r="A1356" s="4" t="s">
        <v>2367</v>
      </c>
      <c r="B1356" s="4" t="s">
        <v>38</v>
      </c>
      <c r="C1356" s="4" t="s">
        <v>14</v>
      </c>
      <c r="D1356" s="35">
        <v>2382</v>
      </c>
      <c r="E1356" s="4" t="s">
        <v>2368</v>
      </c>
      <c r="F1356" s="5">
        <v>39757</v>
      </c>
      <c r="G1356" s="5">
        <v>39757</v>
      </c>
      <c r="H1356" s="4" t="s">
        <v>40</v>
      </c>
      <c r="I1356" s="6">
        <v>100</v>
      </c>
      <c r="J1356" s="6">
        <v>100</v>
      </c>
      <c r="K1356" s="37" t="s">
        <v>2033</v>
      </c>
      <c r="L1356" s="119"/>
      <c r="M1356" s="3"/>
    </row>
    <row r="1357" spans="1:13" s="4" customFormat="1" ht="14.25" customHeight="1" x14ac:dyDescent="0.25">
      <c r="A1357" s="4" t="s">
        <v>2367</v>
      </c>
      <c r="B1357" s="4" t="s">
        <v>38</v>
      </c>
      <c r="C1357" s="4" t="s">
        <v>14</v>
      </c>
      <c r="D1357" s="35">
        <v>2383</v>
      </c>
      <c r="E1357" s="4" t="s">
        <v>2368</v>
      </c>
      <c r="F1357" s="5">
        <v>39764</v>
      </c>
      <c r="G1357" s="5">
        <v>39764</v>
      </c>
      <c r="H1357" s="4" t="s">
        <v>40</v>
      </c>
      <c r="I1357" s="6">
        <v>100</v>
      </c>
      <c r="J1357" s="6">
        <v>100</v>
      </c>
      <c r="K1357" s="37" t="s">
        <v>2033</v>
      </c>
      <c r="L1357" s="119"/>
      <c r="M1357" s="3"/>
    </row>
    <row r="1358" spans="1:13" s="4" customFormat="1" ht="14.25" customHeight="1" x14ac:dyDescent="0.25">
      <c r="A1358" s="4" t="s">
        <v>2266</v>
      </c>
      <c r="B1358" s="4" t="s">
        <v>38</v>
      </c>
      <c r="C1358" s="4" t="s">
        <v>14</v>
      </c>
      <c r="D1358" s="35">
        <v>2385</v>
      </c>
      <c r="E1358" s="4" t="s">
        <v>2369</v>
      </c>
      <c r="F1358" s="5">
        <v>39479</v>
      </c>
      <c r="G1358" s="5">
        <v>39786</v>
      </c>
      <c r="H1358" s="4" t="s">
        <v>40</v>
      </c>
      <c r="I1358" s="6">
        <v>2970</v>
      </c>
      <c r="J1358" s="6">
        <v>2970</v>
      </c>
      <c r="K1358" s="37" t="s">
        <v>2033</v>
      </c>
      <c r="L1358" s="119"/>
      <c r="M1358" s="3"/>
    </row>
    <row r="1359" spans="1:13" s="4" customFormat="1" ht="14.25" customHeight="1" x14ac:dyDescent="0.25">
      <c r="A1359" s="4" t="s">
        <v>2367</v>
      </c>
      <c r="B1359" s="4" t="s">
        <v>38</v>
      </c>
      <c r="C1359" s="4" t="s">
        <v>14</v>
      </c>
      <c r="D1359" s="35">
        <v>2389</v>
      </c>
      <c r="E1359" s="4" t="s">
        <v>2370</v>
      </c>
      <c r="F1359" s="5">
        <v>39786</v>
      </c>
      <c r="G1359" s="5">
        <v>39786</v>
      </c>
      <c r="H1359" s="4" t="s">
        <v>40</v>
      </c>
      <c r="I1359" s="6">
        <v>100</v>
      </c>
      <c r="J1359" s="6">
        <v>100</v>
      </c>
      <c r="K1359" s="37" t="s">
        <v>2033</v>
      </c>
      <c r="L1359" s="119"/>
      <c r="M1359" s="3"/>
    </row>
    <row r="1360" spans="1:13" s="4" customFormat="1" ht="14.25" customHeight="1" x14ac:dyDescent="0.25">
      <c r="A1360" s="4" t="s">
        <v>2367</v>
      </c>
      <c r="B1360" s="4" t="s">
        <v>38</v>
      </c>
      <c r="C1360" s="4" t="s">
        <v>14</v>
      </c>
      <c r="D1360" s="35">
        <v>2391</v>
      </c>
      <c r="E1360" s="4" t="s">
        <v>2370</v>
      </c>
      <c r="F1360" s="5">
        <v>39786</v>
      </c>
      <c r="G1360" s="5">
        <v>39786</v>
      </c>
      <c r="H1360" s="4" t="s">
        <v>40</v>
      </c>
      <c r="I1360" s="6">
        <v>100</v>
      </c>
      <c r="J1360" s="6">
        <v>100</v>
      </c>
      <c r="K1360" s="37" t="s">
        <v>2033</v>
      </c>
      <c r="L1360" s="119"/>
      <c r="M1360" s="3"/>
    </row>
    <row r="1361" spans="1:13" s="4" customFormat="1" ht="14.25" customHeight="1" x14ac:dyDescent="0.25">
      <c r="A1361" s="4" t="s">
        <v>2371</v>
      </c>
      <c r="B1361" s="4" t="s">
        <v>38</v>
      </c>
      <c r="C1361" s="4" t="s">
        <v>14</v>
      </c>
      <c r="D1361" s="35">
        <v>2394</v>
      </c>
      <c r="E1361" s="4" t="s">
        <v>2372</v>
      </c>
      <c r="F1361" s="5">
        <v>39790</v>
      </c>
      <c r="G1361" s="5">
        <v>39790</v>
      </c>
      <c r="H1361" s="4" t="s">
        <v>40</v>
      </c>
      <c r="I1361" s="6">
        <v>2510</v>
      </c>
      <c r="J1361" s="6">
        <v>2510</v>
      </c>
      <c r="K1361" s="37" t="s">
        <v>2033</v>
      </c>
      <c r="L1361" s="119"/>
      <c r="M1361" s="3"/>
    </row>
    <row r="1362" spans="1:13" s="4" customFormat="1" ht="14.25" customHeight="1" x14ac:dyDescent="0.25">
      <c r="A1362" s="4" t="s">
        <v>2373</v>
      </c>
      <c r="B1362" s="4" t="s">
        <v>38</v>
      </c>
      <c r="C1362" s="4" t="s">
        <v>14</v>
      </c>
      <c r="D1362" s="35">
        <v>2396</v>
      </c>
      <c r="E1362" s="4" t="s">
        <v>2374</v>
      </c>
      <c r="F1362" s="5">
        <v>39494</v>
      </c>
      <c r="G1362" s="5">
        <v>41274</v>
      </c>
      <c r="H1362" s="4" t="s">
        <v>40</v>
      </c>
      <c r="I1362" s="6">
        <f>23928.61+5000</f>
        <v>28928.61</v>
      </c>
      <c r="J1362" s="6">
        <f>23928.61+5000</f>
        <v>28928.61</v>
      </c>
      <c r="K1362" s="37" t="s">
        <v>2033</v>
      </c>
      <c r="L1362" s="119"/>
      <c r="M1362" s="3"/>
    </row>
    <row r="1363" spans="1:13" s="4" customFormat="1" ht="14.25" customHeight="1" x14ac:dyDescent="0.25">
      <c r="A1363" s="4" t="s">
        <v>2375</v>
      </c>
      <c r="B1363" s="4" t="s">
        <v>38</v>
      </c>
      <c r="C1363" s="4" t="s">
        <v>14</v>
      </c>
      <c r="D1363" s="35">
        <v>2399</v>
      </c>
      <c r="E1363" s="4" t="s">
        <v>2376</v>
      </c>
      <c r="F1363" s="5">
        <v>39356</v>
      </c>
      <c r="G1363" s="5">
        <v>39798</v>
      </c>
      <c r="H1363" s="4" t="s">
        <v>40</v>
      </c>
      <c r="I1363" s="6">
        <v>2138.65</v>
      </c>
      <c r="J1363" s="6">
        <v>2138.65</v>
      </c>
      <c r="K1363" s="37" t="s">
        <v>2033</v>
      </c>
      <c r="L1363" s="119"/>
      <c r="M1363" s="3"/>
    </row>
    <row r="1364" spans="1:13" s="4" customFormat="1" ht="14.25" customHeight="1" x14ac:dyDescent="0.25">
      <c r="A1364" s="4" t="s">
        <v>2284</v>
      </c>
      <c r="B1364" s="4" t="s">
        <v>38</v>
      </c>
      <c r="C1364" s="4" t="s">
        <v>14</v>
      </c>
      <c r="D1364" s="35">
        <v>2405</v>
      </c>
      <c r="E1364" s="4" t="s">
        <v>2377</v>
      </c>
      <c r="F1364" s="5">
        <v>39580</v>
      </c>
      <c r="G1364" s="5">
        <v>40632</v>
      </c>
      <c r="H1364" s="4" t="s">
        <v>40</v>
      </c>
      <c r="I1364" s="6">
        <v>1240</v>
      </c>
      <c r="J1364" s="6">
        <v>1240</v>
      </c>
      <c r="K1364" s="37" t="s">
        <v>2033</v>
      </c>
      <c r="L1364" s="119"/>
      <c r="M1364" s="3"/>
    </row>
    <row r="1365" spans="1:13" s="4" customFormat="1" ht="14.25" customHeight="1" x14ac:dyDescent="0.25">
      <c r="A1365" s="4" t="s">
        <v>2378</v>
      </c>
      <c r="B1365" s="4" t="s">
        <v>38</v>
      </c>
      <c r="C1365" s="4" t="s">
        <v>14</v>
      </c>
      <c r="D1365" s="35">
        <v>2407</v>
      </c>
      <c r="E1365" s="4" t="s">
        <v>2379</v>
      </c>
      <c r="F1365" s="5">
        <v>39479</v>
      </c>
      <c r="G1365" s="5">
        <v>39800</v>
      </c>
      <c r="H1365" s="4" t="s">
        <v>40</v>
      </c>
      <c r="I1365" s="6">
        <v>5795</v>
      </c>
      <c r="J1365" s="6">
        <v>5795</v>
      </c>
      <c r="K1365" s="37" t="s">
        <v>2033</v>
      </c>
      <c r="L1365" s="119"/>
      <c r="M1365" s="3"/>
    </row>
    <row r="1366" spans="1:13" s="4" customFormat="1" ht="14.25" customHeight="1" x14ac:dyDescent="0.25">
      <c r="A1366" s="4" t="s">
        <v>2380</v>
      </c>
      <c r="B1366" s="4" t="s">
        <v>38</v>
      </c>
      <c r="C1366" s="4" t="s">
        <v>14</v>
      </c>
      <c r="D1366" s="35">
        <v>2580</v>
      </c>
      <c r="E1366" s="4" t="s">
        <v>2381</v>
      </c>
      <c r="F1366" s="5">
        <v>39448</v>
      </c>
      <c r="G1366" s="5">
        <v>39813</v>
      </c>
      <c r="H1366" s="4" t="s">
        <v>40</v>
      </c>
      <c r="I1366" s="6">
        <v>3674.32</v>
      </c>
      <c r="J1366" s="6">
        <v>3674.32</v>
      </c>
      <c r="K1366" s="37" t="s">
        <v>2033</v>
      </c>
      <c r="L1366" s="119"/>
      <c r="M1366" s="3"/>
    </row>
    <row r="1367" spans="1:13" s="4" customFormat="1" ht="14.25" customHeight="1" x14ac:dyDescent="0.25">
      <c r="A1367" s="4" t="s">
        <v>2382</v>
      </c>
      <c r="B1367" s="4" t="s">
        <v>90</v>
      </c>
      <c r="C1367" s="4" t="s">
        <v>14</v>
      </c>
      <c r="D1367" s="35">
        <v>5794</v>
      </c>
      <c r="E1367" s="4" t="s">
        <v>2383</v>
      </c>
      <c r="F1367" s="5">
        <v>39874</v>
      </c>
      <c r="G1367" s="5">
        <v>39906</v>
      </c>
      <c r="H1367" s="4" t="s">
        <v>40</v>
      </c>
      <c r="I1367" s="6">
        <v>644.64</v>
      </c>
      <c r="J1367" s="6">
        <v>322.32</v>
      </c>
      <c r="K1367" s="37" t="s">
        <v>2033</v>
      </c>
      <c r="L1367" s="119"/>
      <c r="M1367" s="3"/>
    </row>
    <row r="1368" spans="1:13" s="4" customFormat="1" ht="14.25" customHeight="1" x14ac:dyDescent="0.25">
      <c r="A1368" s="4" t="s">
        <v>2384</v>
      </c>
      <c r="B1368" s="4" t="s">
        <v>90</v>
      </c>
      <c r="C1368" s="4" t="s">
        <v>14</v>
      </c>
      <c r="D1368" s="35">
        <v>5796</v>
      </c>
      <c r="E1368" s="4" t="s">
        <v>2385</v>
      </c>
      <c r="F1368" s="5">
        <v>39814</v>
      </c>
      <c r="G1368" s="5">
        <v>39910</v>
      </c>
      <c r="H1368" s="4" t="s">
        <v>40</v>
      </c>
      <c r="I1368" s="6">
        <v>5850</v>
      </c>
      <c r="J1368" s="6">
        <v>2925</v>
      </c>
      <c r="K1368" s="37" t="s">
        <v>2033</v>
      </c>
      <c r="L1368" s="119"/>
      <c r="M1368" s="3"/>
    </row>
    <row r="1369" spans="1:13" s="4" customFormat="1" ht="14.25" customHeight="1" x14ac:dyDescent="0.25">
      <c r="A1369" s="4" t="s">
        <v>2386</v>
      </c>
      <c r="B1369" s="4" t="s">
        <v>50</v>
      </c>
      <c r="C1369" s="4" t="s">
        <v>14</v>
      </c>
      <c r="D1369" s="35">
        <v>5797</v>
      </c>
      <c r="E1369" s="4" t="s">
        <v>2387</v>
      </c>
      <c r="F1369" s="5">
        <v>39925</v>
      </c>
      <c r="G1369" s="5">
        <v>39953</v>
      </c>
      <c r="H1369" s="4" t="s">
        <v>40</v>
      </c>
      <c r="I1369" s="6">
        <v>5398.62</v>
      </c>
      <c r="J1369" s="6">
        <v>2699.31</v>
      </c>
      <c r="K1369" s="37" t="s">
        <v>2033</v>
      </c>
      <c r="L1369" s="119"/>
      <c r="M1369" s="3"/>
    </row>
    <row r="1370" spans="1:13" s="4" customFormat="1" ht="14.25" customHeight="1" x14ac:dyDescent="0.25">
      <c r="A1370" s="4" t="s">
        <v>2388</v>
      </c>
      <c r="B1370" s="4" t="s">
        <v>59</v>
      </c>
      <c r="C1370" s="4" t="s">
        <v>14</v>
      </c>
      <c r="D1370" s="35">
        <v>5799</v>
      </c>
      <c r="E1370" s="4" t="s">
        <v>2389</v>
      </c>
      <c r="F1370" s="5">
        <v>39874</v>
      </c>
      <c r="G1370" s="5">
        <v>40249</v>
      </c>
      <c r="H1370" s="4" t="s">
        <v>40</v>
      </c>
      <c r="I1370" s="6">
        <v>7500</v>
      </c>
      <c r="J1370" s="6">
        <v>7500</v>
      </c>
      <c r="K1370" s="37" t="s">
        <v>2033</v>
      </c>
      <c r="L1370" s="119"/>
      <c r="M1370" s="3"/>
    </row>
    <row r="1371" spans="1:13" s="4" customFormat="1" ht="14.25" customHeight="1" x14ac:dyDescent="0.25">
      <c r="A1371" s="4" t="s">
        <v>2390</v>
      </c>
      <c r="B1371" s="4" t="s">
        <v>59</v>
      </c>
      <c r="C1371" s="4" t="s">
        <v>14</v>
      </c>
      <c r="D1371" s="35">
        <v>5801</v>
      </c>
      <c r="E1371" s="4" t="s">
        <v>2391</v>
      </c>
      <c r="F1371" s="5">
        <v>39946</v>
      </c>
      <c r="G1371" s="5">
        <v>40134</v>
      </c>
      <c r="H1371" s="4" t="s">
        <v>40</v>
      </c>
      <c r="I1371" s="6">
        <v>7500</v>
      </c>
      <c r="J1371" s="6">
        <v>7500</v>
      </c>
      <c r="K1371" s="37" t="s">
        <v>2033</v>
      </c>
      <c r="L1371" s="119"/>
      <c r="M1371" s="3"/>
    </row>
    <row r="1372" spans="1:13" s="4" customFormat="1" ht="14.25" customHeight="1" x14ac:dyDescent="0.25">
      <c r="A1372" s="4" t="s">
        <v>2392</v>
      </c>
      <c r="B1372" s="4" t="s">
        <v>13</v>
      </c>
      <c r="C1372" s="4" t="s">
        <v>14</v>
      </c>
      <c r="D1372" s="35">
        <v>5802</v>
      </c>
      <c r="E1372" s="4" t="s">
        <v>2393</v>
      </c>
      <c r="F1372" s="5">
        <v>39874</v>
      </c>
      <c r="G1372" s="5">
        <v>40035</v>
      </c>
      <c r="H1372" s="4" t="s">
        <v>40</v>
      </c>
      <c r="I1372" s="6">
        <v>15000</v>
      </c>
      <c r="J1372" s="6">
        <v>7500</v>
      </c>
      <c r="K1372" s="37" t="s">
        <v>2033</v>
      </c>
      <c r="L1372" s="119"/>
      <c r="M1372" s="3"/>
    </row>
    <row r="1373" spans="1:13" s="4" customFormat="1" ht="14.25" customHeight="1" x14ac:dyDescent="0.25">
      <c r="A1373" s="4" t="s">
        <v>2394</v>
      </c>
      <c r="B1373" s="4" t="s">
        <v>2395</v>
      </c>
      <c r="C1373" s="4" t="s">
        <v>14</v>
      </c>
      <c r="D1373" s="35">
        <v>5804</v>
      </c>
      <c r="E1373" s="4" t="s">
        <v>2396</v>
      </c>
      <c r="F1373" s="5">
        <v>39946</v>
      </c>
      <c r="H1373" s="4" t="s">
        <v>40</v>
      </c>
      <c r="I1373" s="6">
        <v>50000</v>
      </c>
      <c r="J1373" s="6">
        <v>25000</v>
      </c>
      <c r="K1373" s="37" t="s">
        <v>2033</v>
      </c>
      <c r="L1373" s="119"/>
      <c r="M1373" s="3"/>
    </row>
    <row r="1374" spans="1:13" s="4" customFormat="1" ht="14.25" customHeight="1" x14ac:dyDescent="0.25">
      <c r="A1374" s="4" t="s">
        <v>2397</v>
      </c>
      <c r="B1374" s="4" t="s">
        <v>2395</v>
      </c>
      <c r="C1374" s="4" t="s">
        <v>14</v>
      </c>
      <c r="D1374" s="35">
        <v>5807</v>
      </c>
      <c r="E1374" s="4" t="s">
        <v>2398</v>
      </c>
      <c r="F1374" s="5">
        <v>40008</v>
      </c>
      <c r="H1374" s="4" t="s">
        <v>40</v>
      </c>
      <c r="I1374" s="6">
        <v>100000</v>
      </c>
      <c r="J1374" s="6">
        <v>25000</v>
      </c>
      <c r="K1374" s="37" t="s">
        <v>2033</v>
      </c>
      <c r="L1374" s="119"/>
      <c r="M1374" s="3"/>
    </row>
    <row r="1375" spans="1:13" s="4" customFormat="1" ht="14.25" customHeight="1" x14ac:dyDescent="0.25">
      <c r="A1375" s="4" t="s">
        <v>2399</v>
      </c>
      <c r="B1375" s="4" t="s">
        <v>59</v>
      </c>
      <c r="C1375" s="4" t="s">
        <v>14</v>
      </c>
      <c r="D1375" s="35">
        <v>5808</v>
      </c>
      <c r="E1375" s="4" t="s">
        <v>2400</v>
      </c>
      <c r="F1375" s="5">
        <v>40008</v>
      </c>
      <c r="G1375" s="5">
        <v>40400</v>
      </c>
      <c r="H1375" s="4" t="s">
        <v>40</v>
      </c>
      <c r="I1375" s="6">
        <v>5625</v>
      </c>
      <c r="J1375" s="6">
        <v>5625</v>
      </c>
      <c r="K1375" s="37" t="s">
        <v>2033</v>
      </c>
      <c r="L1375" s="119"/>
      <c r="M1375" s="3"/>
    </row>
    <row r="1376" spans="1:13" s="4" customFormat="1" ht="14.25" customHeight="1" x14ac:dyDescent="0.25">
      <c r="A1376" s="4" t="s">
        <v>2401</v>
      </c>
      <c r="B1376" s="4" t="s">
        <v>59</v>
      </c>
      <c r="C1376" s="4" t="s">
        <v>14</v>
      </c>
      <c r="D1376" s="35">
        <v>5884</v>
      </c>
      <c r="E1376" s="4" t="s">
        <v>2402</v>
      </c>
      <c r="F1376" s="5">
        <v>40070</v>
      </c>
      <c r="G1376" s="5">
        <v>40291</v>
      </c>
      <c r="H1376" s="4" t="s">
        <v>40</v>
      </c>
      <c r="I1376" s="6">
        <v>45000</v>
      </c>
      <c r="J1376" s="6">
        <v>45000</v>
      </c>
      <c r="K1376" s="37" t="s">
        <v>2033</v>
      </c>
      <c r="L1376" s="119"/>
      <c r="M1376" s="3"/>
    </row>
    <row r="1377" spans="1:13" s="4" customFormat="1" ht="14.25" customHeight="1" x14ac:dyDescent="0.25">
      <c r="A1377" s="4" t="s">
        <v>2403</v>
      </c>
      <c r="B1377" s="4" t="s">
        <v>90</v>
      </c>
      <c r="C1377" s="4" t="s">
        <v>14</v>
      </c>
      <c r="D1377" s="35">
        <v>5885</v>
      </c>
      <c r="E1377" s="4" t="s">
        <v>2404</v>
      </c>
      <c r="F1377" s="5">
        <v>40133</v>
      </c>
      <c r="G1377" s="5">
        <v>40308</v>
      </c>
      <c r="H1377" s="4" t="s">
        <v>40</v>
      </c>
      <c r="I1377" s="6">
        <v>10200</v>
      </c>
      <c r="J1377" s="6">
        <v>5100</v>
      </c>
      <c r="K1377" s="37" t="s">
        <v>2033</v>
      </c>
      <c r="L1377" s="119"/>
      <c r="M1377" s="3"/>
    </row>
    <row r="1378" spans="1:13" s="4" customFormat="1" ht="14.25" customHeight="1" x14ac:dyDescent="0.25">
      <c r="A1378" s="4" t="s">
        <v>2405</v>
      </c>
      <c r="B1378" s="4" t="s">
        <v>90</v>
      </c>
      <c r="C1378" s="4" t="s">
        <v>14</v>
      </c>
      <c r="D1378" s="35">
        <v>5886</v>
      </c>
      <c r="E1378" s="4" t="s">
        <v>2406</v>
      </c>
      <c r="F1378" s="5">
        <v>40008</v>
      </c>
      <c r="G1378" s="5">
        <v>40165</v>
      </c>
      <c r="H1378" s="4" t="s">
        <v>40</v>
      </c>
      <c r="I1378" s="6">
        <v>10200</v>
      </c>
      <c r="J1378" s="6">
        <v>5100</v>
      </c>
      <c r="K1378" s="37" t="s">
        <v>2033</v>
      </c>
      <c r="L1378" s="119"/>
      <c r="M1378" s="3"/>
    </row>
    <row r="1379" spans="1:13" s="4" customFormat="1" ht="14.25" customHeight="1" x14ac:dyDescent="0.25">
      <c r="A1379" s="4" t="s">
        <v>2407</v>
      </c>
      <c r="B1379" s="4" t="s">
        <v>190</v>
      </c>
      <c r="C1379" s="4" t="s">
        <v>14</v>
      </c>
      <c r="D1379" s="35">
        <v>5887</v>
      </c>
      <c r="E1379" s="4" t="s">
        <v>2408</v>
      </c>
      <c r="F1379" s="5">
        <v>40070</v>
      </c>
      <c r="G1379" s="5">
        <v>40590</v>
      </c>
      <c r="H1379" s="4" t="s">
        <v>40</v>
      </c>
      <c r="I1379" s="6">
        <f>7500+22500</f>
        <v>30000</v>
      </c>
      <c r="J1379" s="6">
        <f>7500+22500</f>
        <v>30000</v>
      </c>
      <c r="K1379" s="37" t="s">
        <v>2033</v>
      </c>
      <c r="L1379" s="119"/>
      <c r="M1379" s="3"/>
    </row>
    <row r="1380" spans="1:13" s="4" customFormat="1" ht="14.25" customHeight="1" x14ac:dyDescent="0.25">
      <c r="A1380" s="4" t="s">
        <v>2411</v>
      </c>
      <c r="B1380" s="4" t="s">
        <v>38</v>
      </c>
      <c r="C1380" s="4" t="s">
        <v>14</v>
      </c>
      <c r="D1380" s="35">
        <v>5889</v>
      </c>
      <c r="E1380" s="4" t="s">
        <v>2412</v>
      </c>
      <c r="F1380" s="5">
        <v>39814</v>
      </c>
      <c r="G1380" s="5">
        <v>40891</v>
      </c>
      <c r="H1380" s="4" t="s">
        <v>40</v>
      </c>
      <c r="I1380" s="6">
        <v>900</v>
      </c>
      <c r="J1380" s="6">
        <v>900</v>
      </c>
      <c r="K1380" s="37" t="s">
        <v>2033</v>
      </c>
      <c r="L1380" s="119"/>
      <c r="M1380" s="3"/>
    </row>
    <row r="1381" spans="1:13" s="4" customFormat="1" ht="14.25" customHeight="1" x14ac:dyDescent="0.25">
      <c r="A1381" s="4" t="s">
        <v>2413</v>
      </c>
      <c r="B1381" s="4" t="s">
        <v>38</v>
      </c>
      <c r="C1381" s="4" t="s">
        <v>14</v>
      </c>
      <c r="D1381" s="35">
        <v>5890</v>
      </c>
      <c r="E1381" s="4" t="s">
        <v>2414</v>
      </c>
      <c r="F1381" s="5">
        <v>39953</v>
      </c>
      <c r="G1381" s="5">
        <v>41639</v>
      </c>
      <c r="H1381" s="4" t="s">
        <v>40</v>
      </c>
      <c r="I1381" s="6">
        <v>20440.53</v>
      </c>
      <c r="J1381" s="6">
        <f>14711.8+5728.73</f>
        <v>20440.53</v>
      </c>
      <c r="K1381" s="37" t="s">
        <v>2033</v>
      </c>
      <c r="L1381" s="119"/>
      <c r="M1381" s="3"/>
    </row>
    <row r="1382" spans="1:13" s="4" customFormat="1" ht="14.25" customHeight="1" x14ac:dyDescent="0.25">
      <c r="A1382" s="4" t="s">
        <v>2415</v>
      </c>
      <c r="B1382" s="4" t="s">
        <v>38</v>
      </c>
      <c r="C1382" s="4" t="s">
        <v>14</v>
      </c>
      <c r="D1382" s="35">
        <v>5891</v>
      </c>
      <c r="E1382" s="4" t="s">
        <v>2416</v>
      </c>
      <c r="F1382" s="5">
        <v>39953</v>
      </c>
      <c r="G1382" s="5">
        <v>41274</v>
      </c>
      <c r="H1382" s="4" t="s">
        <v>40</v>
      </c>
      <c r="I1382" s="6">
        <v>6505.55</v>
      </c>
      <c r="J1382" s="6">
        <v>6505.55</v>
      </c>
      <c r="K1382" s="37" t="s">
        <v>2033</v>
      </c>
      <c r="L1382" s="119"/>
      <c r="M1382" s="3"/>
    </row>
    <row r="1383" spans="1:13" s="4" customFormat="1" ht="14.25" customHeight="1" x14ac:dyDescent="0.25">
      <c r="A1383" s="4" t="s">
        <v>2417</v>
      </c>
      <c r="B1383" s="4" t="s">
        <v>38</v>
      </c>
      <c r="C1383" s="4" t="s">
        <v>14</v>
      </c>
      <c r="D1383" s="35">
        <v>5892</v>
      </c>
      <c r="E1383" s="7" t="s">
        <v>2418</v>
      </c>
      <c r="F1383" s="5">
        <v>39975</v>
      </c>
      <c r="G1383" s="5">
        <v>41274</v>
      </c>
      <c r="H1383" s="4" t="s">
        <v>40</v>
      </c>
      <c r="I1383" s="6">
        <v>32925</v>
      </c>
      <c r="J1383" s="6">
        <f>24975+7950</f>
        <v>32925</v>
      </c>
      <c r="K1383" s="37" t="s">
        <v>2033</v>
      </c>
      <c r="L1383" s="119"/>
      <c r="M1383" s="3"/>
    </row>
    <row r="1384" spans="1:13" s="4" customFormat="1" ht="14.25" customHeight="1" x14ac:dyDescent="0.25">
      <c r="A1384" s="4" t="s">
        <v>2419</v>
      </c>
      <c r="B1384" s="4" t="s">
        <v>38</v>
      </c>
      <c r="C1384" s="4" t="s">
        <v>14</v>
      </c>
      <c r="D1384" s="35">
        <v>5893</v>
      </c>
      <c r="E1384" s="4" t="s">
        <v>2420</v>
      </c>
      <c r="F1384" s="5">
        <v>39975</v>
      </c>
      <c r="G1384" s="5">
        <v>41274</v>
      </c>
      <c r="H1384" s="4" t="s">
        <v>40</v>
      </c>
      <c r="I1384" s="6">
        <v>9569</v>
      </c>
      <c r="J1384" s="6">
        <f>7579+1990</f>
        <v>9569</v>
      </c>
      <c r="K1384" s="37" t="s">
        <v>2033</v>
      </c>
      <c r="L1384" s="119"/>
      <c r="M1384" s="3"/>
    </row>
    <row r="1385" spans="1:13" s="4" customFormat="1" ht="14.25" customHeight="1" x14ac:dyDescent="0.25">
      <c r="A1385" s="4" t="s">
        <v>2421</v>
      </c>
      <c r="B1385" s="4" t="s">
        <v>38</v>
      </c>
      <c r="C1385" s="4" t="s">
        <v>14</v>
      </c>
      <c r="D1385" s="35">
        <v>5894</v>
      </c>
      <c r="E1385" s="4" t="s">
        <v>2422</v>
      </c>
      <c r="F1385" s="5">
        <v>40016</v>
      </c>
      <c r="G1385" s="5">
        <v>40178</v>
      </c>
      <c r="H1385" s="4" t="s">
        <v>40</v>
      </c>
      <c r="I1385" s="6">
        <v>1180</v>
      </c>
      <c r="J1385" s="6">
        <v>1180</v>
      </c>
      <c r="K1385" s="37" t="s">
        <v>2033</v>
      </c>
      <c r="L1385" s="119"/>
      <c r="M1385" s="3"/>
    </row>
    <row r="1386" spans="1:13" s="4" customFormat="1" ht="14.25" customHeight="1" x14ac:dyDescent="0.25">
      <c r="A1386" s="4" t="s">
        <v>2423</v>
      </c>
      <c r="B1386" s="4" t="s">
        <v>38</v>
      </c>
      <c r="C1386" s="4" t="s">
        <v>14</v>
      </c>
      <c r="D1386" s="35">
        <v>5895</v>
      </c>
      <c r="E1386" s="4" t="s">
        <v>2424</v>
      </c>
      <c r="F1386" s="5">
        <v>40087</v>
      </c>
      <c r="G1386" s="5">
        <v>40178</v>
      </c>
      <c r="H1386" s="4" t="s">
        <v>40</v>
      </c>
      <c r="I1386" s="6">
        <v>226.38</v>
      </c>
      <c r="J1386" s="6">
        <v>226.38</v>
      </c>
      <c r="K1386" s="37" t="s">
        <v>2033</v>
      </c>
      <c r="L1386" s="119"/>
      <c r="M1386" s="3"/>
    </row>
    <row r="1387" spans="1:13" s="4" customFormat="1" ht="14.25" customHeight="1" x14ac:dyDescent="0.25">
      <c r="A1387" s="4" t="s">
        <v>2354</v>
      </c>
      <c r="B1387" s="4" t="s">
        <v>38</v>
      </c>
      <c r="C1387" s="4" t="s">
        <v>14</v>
      </c>
      <c r="D1387" s="35">
        <v>5896</v>
      </c>
      <c r="E1387" s="4" t="s">
        <v>2425</v>
      </c>
      <c r="F1387" s="5">
        <v>40105</v>
      </c>
      <c r="G1387" s="5">
        <v>40891</v>
      </c>
      <c r="H1387" s="4" t="s">
        <v>40</v>
      </c>
      <c r="I1387" s="6">
        <v>45622.93</v>
      </c>
      <c r="J1387" s="6">
        <f>33382.93+12240</f>
        <v>45622.93</v>
      </c>
      <c r="K1387" s="37" t="s">
        <v>2033</v>
      </c>
      <c r="L1387" s="119"/>
      <c r="M1387" s="3"/>
    </row>
    <row r="1388" spans="1:13" s="4" customFormat="1" ht="14.25" customHeight="1" x14ac:dyDescent="0.25">
      <c r="A1388" s="4" t="s">
        <v>2426</v>
      </c>
      <c r="B1388" s="4" t="s">
        <v>38</v>
      </c>
      <c r="C1388" s="4" t="s">
        <v>14</v>
      </c>
      <c r="D1388" s="35">
        <v>5897</v>
      </c>
      <c r="E1388" s="4" t="s">
        <v>2427</v>
      </c>
      <c r="F1388" s="5">
        <v>40134</v>
      </c>
      <c r="G1388" s="5">
        <v>40178</v>
      </c>
      <c r="H1388" s="4" t="s">
        <v>40</v>
      </c>
      <c r="I1388" s="6">
        <v>1200</v>
      </c>
      <c r="J1388" s="6">
        <v>1200</v>
      </c>
      <c r="K1388" s="37" t="s">
        <v>2033</v>
      </c>
      <c r="L1388" s="119"/>
      <c r="M1388" s="3"/>
    </row>
    <row r="1389" spans="1:13" s="4" customFormat="1" ht="14.25" customHeight="1" x14ac:dyDescent="0.25">
      <c r="A1389" s="4" t="s">
        <v>2428</v>
      </c>
      <c r="B1389" s="4" t="s">
        <v>38</v>
      </c>
      <c r="C1389" s="4" t="s">
        <v>14</v>
      </c>
      <c r="D1389" s="35">
        <v>5898</v>
      </c>
      <c r="E1389" s="4" t="s">
        <v>2429</v>
      </c>
      <c r="F1389" s="5">
        <v>40149</v>
      </c>
      <c r="G1389" s="5">
        <v>40178</v>
      </c>
      <c r="H1389" s="4" t="s">
        <v>40</v>
      </c>
      <c r="I1389" s="6">
        <v>1456</v>
      </c>
      <c r="J1389" s="6">
        <v>1456</v>
      </c>
      <c r="K1389" s="37" t="s">
        <v>2033</v>
      </c>
      <c r="L1389" s="119"/>
      <c r="M1389" s="3"/>
    </row>
    <row r="1390" spans="1:13" s="4" customFormat="1" ht="14.25" customHeight="1" x14ac:dyDescent="0.25">
      <c r="A1390" s="4" t="s">
        <v>2430</v>
      </c>
      <c r="B1390" s="4" t="s">
        <v>38</v>
      </c>
      <c r="C1390" s="4" t="s">
        <v>14</v>
      </c>
      <c r="D1390" s="35">
        <v>5899</v>
      </c>
      <c r="E1390" s="7" t="s">
        <v>2431</v>
      </c>
      <c r="F1390" s="5">
        <v>40087</v>
      </c>
      <c r="G1390" s="5">
        <v>40178</v>
      </c>
      <c r="H1390" s="4" t="s">
        <v>40</v>
      </c>
      <c r="I1390" s="6">
        <v>29500</v>
      </c>
      <c r="J1390" s="6">
        <v>29500</v>
      </c>
      <c r="K1390" s="37" t="s">
        <v>2033</v>
      </c>
      <c r="L1390" s="119"/>
      <c r="M1390" s="3"/>
    </row>
    <row r="1391" spans="1:13" s="4" customFormat="1" ht="14.25" customHeight="1" x14ac:dyDescent="0.25">
      <c r="A1391" s="4" t="s">
        <v>2432</v>
      </c>
      <c r="B1391" s="4" t="s">
        <v>38</v>
      </c>
      <c r="C1391" s="4" t="s">
        <v>14</v>
      </c>
      <c r="D1391" s="35">
        <v>5900</v>
      </c>
      <c r="E1391" s="4" t="s">
        <v>2433</v>
      </c>
      <c r="F1391" s="5">
        <v>40087</v>
      </c>
      <c r="G1391" s="5">
        <v>40178</v>
      </c>
      <c r="H1391" s="4" t="s">
        <v>40</v>
      </c>
      <c r="I1391" s="6">
        <v>1438.72</v>
      </c>
      <c r="J1391" s="6">
        <v>1438.72</v>
      </c>
      <c r="K1391" s="37" t="s">
        <v>2033</v>
      </c>
      <c r="L1391" s="119"/>
      <c r="M1391" s="3"/>
    </row>
    <row r="1392" spans="1:13" s="4" customFormat="1" ht="14.25" customHeight="1" x14ac:dyDescent="0.25">
      <c r="A1392" s="4" t="s">
        <v>2434</v>
      </c>
      <c r="B1392" s="4" t="s">
        <v>90</v>
      </c>
      <c r="C1392" s="4" t="s">
        <v>14</v>
      </c>
      <c r="D1392" s="35">
        <v>7378</v>
      </c>
      <c r="E1392" s="4" t="s">
        <v>2435</v>
      </c>
      <c r="F1392" s="5">
        <v>40133</v>
      </c>
      <c r="G1392" s="5">
        <v>40305</v>
      </c>
      <c r="H1392" s="4" t="s">
        <v>40</v>
      </c>
      <c r="I1392" s="6">
        <v>10000</v>
      </c>
      <c r="J1392" s="6">
        <v>5000</v>
      </c>
      <c r="K1392" s="37" t="s">
        <v>2033</v>
      </c>
      <c r="L1392" s="119"/>
      <c r="M1392" s="3"/>
    </row>
    <row r="1393" spans="1:13" s="4" customFormat="1" ht="14.25" customHeight="1" x14ac:dyDescent="0.25">
      <c r="A1393" s="4" t="s">
        <v>2436</v>
      </c>
      <c r="B1393" s="4" t="s">
        <v>2395</v>
      </c>
      <c r="C1393" s="4" t="s">
        <v>14</v>
      </c>
      <c r="D1393" s="35">
        <v>7379</v>
      </c>
      <c r="E1393" s="4" t="s">
        <v>2437</v>
      </c>
      <c r="F1393" s="5">
        <v>40442</v>
      </c>
      <c r="G1393" s="5">
        <v>40508</v>
      </c>
      <c r="H1393" s="4" t="s">
        <v>40</v>
      </c>
      <c r="I1393" s="6">
        <v>80000</v>
      </c>
      <c r="J1393" s="6">
        <v>40000</v>
      </c>
      <c r="K1393" s="37" t="s">
        <v>2033</v>
      </c>
      <c r="L1393" s="119"/>
      <c r="M1393" s="3"/>
    </row>
    <row r="1394" spans="1:13" s="4" customFormat="1" ht="14.25" customHeight="1" x14ac:dyDescent="0.25">
      <c r="A1394" s="4" t="s">
        <v>2438</v>
      </c>
      <c r="B1394" s="4" t="s">
        <v>90</v>
      </c>
      <c r="C1394" s="4" t="s">
        <v>14</v>
      </c>
      <c r="D1394" s="35">
        <v>7380</v>
      </c>
      <c r="E1394" s="4" t="s">
        <v>2439</v>
      </c>
      <c r="F1394" s="5">
        <v>40442</v>
      </c>
      <c r="G1394" s="5">
        <v>40451</v>
      </c>
      <c r="H1394" s="4" t="s">
        <v>40</v>
      </c>
      <c r="I1394" s="6">
        <v>10060.66</v>
      </c>
      <c r="J1394" s="6">
        <v>5030.33</v>
      </c>
      <c r="K1394" s="37" t="s">
        <v>2033</v>
      </c>
      <c r="L1394" s="119"/>
      <c r="M1394" s="3"/>
    </row>
    <row r="1395" spans="1:13" s="4" customFormat="1" ht="14.25" customHeight="1" x14ac:dyDescent="0.25">
      <c r="A1395" s="4" t="s">
        <v>2440</v>
      </c>
      <c r="B1395" s="4" t="s">
        <v>183</v>
      </c>
      <c r="C1395" s="4" t="s">
        <v>14</v>
      </c>
      <c r="D1395" s="35">
        <v>7381</v>
      </c>
      <c r="E1395" s="4" t="s">
        <v>2441</v>
      </c>
      <c r="F1395" s="5">
        <v>40193</v>
      </c>
      <c r="G1395" s="5">
        <v>40407</v>
      </c>
      <c r="H1395" s="4" t="s">
        <v>40</v>
      </c>
      <c r="I1395" s="6">
        <f>15000+3750</f>
        <v>18750</v>
      </c>
      <c r="J1395" s="6">
        <f>15000+3750</f>
        <v>18750</v>
      </c>
      <c r="K1395" s="37" t="s">
        <v>2033</v>
      </c>
      <c r="L1395" s="119"/>
      <c r="M1395" s="3"/>
    </row>
    <row r="1396" spans="1:13" s="4" customFormat="1" ht="14.25" customHeight="1" x14ac:dyDescent="0.25">
      <c r="A1396" s="4" t="s">
        <v>2444</v>
      </c>
      <c r="B1396" s="4" t="s">
        <v>183</v>
      </c>
      <c r="C1396" s="4" t="s">
        <v>14</v>
      </c>
      <c r="D1396" s="35">
        <v>7497</v>
      </c>
      <c r="E1396" s="4" t="s">
        <v>2445</v>
      </c>
      <c r="F1396" s="5">
        <v>40320</v>
      </c>
      <c r="G1396" s="5">
        <v>40617</v>
      </c>
      <c r="H1396" s="4" t="s">
        <v>40</v>
      </c>
      <c r="I1396" s="6">
        <v>20000</v>
      </c>
      <c r="J1396" s="6">
        <v>20000</v>
      </c>
      <c r="K1396" s="37" t="s">
        <v>2033</v>
      </c>
      <c r="L1396" s="119"/>
      <c r="M1396" s="3"/>
    </row>
    <row r="1397" spans="1:13" s="4" customFormat="1" ht="14.25" customHeight="1" x14ac:dyDescent="0.25">
      <c r="A1397" s="4" t="s">
        <v>2446</v>
      </c>
      <c r="B1397" s="4" t="s">
        <v>190</v>
      </c>
      <c r="C1397" s="4" t="s">
        <v>14</v>
      </c>
      <c r="D1397" s="35">
        <v>7508</v>
      </c>
      <c r="E1397" s="4" t="s">
        <v>2447</v>
      </c>
      <c r="F1397" s="5">
        <v>40442</v>
      </c>
      <c r="G1397" s="5">
        <v>40515</v>
      </c>
      <c r="H1397" s="4" t="s">
        <v>40</v>
      </c>
      <c r="I1397" s="6">
        <v>5600</v>
      </c>
      <c r="J1397" s="6">
        <v>2800</v>
      </c>
      <c r="K1397" s="37" t="s">
        <v>2033</v>
      </c>
      <c r="L1397" s="119"/>
      <c r="M1397" s="3"/>
    </row>
    <row r="1398" spans="1:13" s="4" customFormat="1" ht="14.25" customHeight="1" x14ac:dyDescent="0.25">
      <c r="A1398" s="4" t="s">
        <v>2450</v>
      </c>
      <c r="B1398" s="4" t="s">
        <v>90</v>
      </c>
      <c r="C1398" s="4" t="s">
        <v>14</v>
      </c>
      <c r="D1398" s="35">
        <v>7515</v>
      </c>
      <c r="E1398" s="4" t="s">
        <v>2451</v>
      </c>
      <c r="F1398" s="5">
        <v>40193</v>
      </c>
      <c r="G1398" s="5">
        <v>40793</v>
      </c>
      <c r="H1398" s="4" t="s">
        <v>40</v>
      </c>
      <c r="I1398" s="6">
        <v>10200</v>
      </c>
      <c r="J1398" s="6">
        <v>5100</v>
      </c>
      <c r="K1398" s="37" t="s">
        <v>2033</v>
      </c>
      <c r="L1398" s="119"/>
      <c r="M1398" s="3"/>
    </row>
    <row r="1399" spans="1:13" s="4" customFormat="1" ht="14.25" customHeight="1" x14ac:dyDescent="0.25">
      <c r="A1399" s="4" t="s">
        <v>2452</v>
      </c>
      <c r="B1399" s="4" t="s">
        <v>190</v>
      </c>
      <c r="C1399" s="4" t="s">
        <v>14</v>
      </c>
      <c r="D1399" s="35">
        <v>7518</v>
      </c>
      <c r="E1399" s="4" t="s">
        <v>2453</v>
      </c>
      <c r="F1399" s="5">
        <v>40442</v>
      </c>
      <c r="G1399" s="5">
        <v>40508</v>
      </c>
      <c r="H1399" s="4" t="s">
        <v>40</v>
      </c>
      <c r="I1399" s="6">
        <v>20000</v>
      </c>
      <c r="J1399" s="6">
        <v>10000</v>
      </c>
      <c r="K1399" s="37" t="s">
        <v>2033</v>
      </c>
      <c r="L1399" s="119"/>
      <c r="M1399" s="3"/>
    </row>
    <row r="1400" spans="1:13" s="4" customFormat="1" ht="14.25" customHeight="1" x14ac:dyDescent="0.25">
      <c r="A1400" s="4" t="s">
        <v>2454</v>
      </c>
      <c r="B1400" s="4" t="s">
        <v>50</v>
      </c>
      <c r="C1400" s="4" t="s">
        <v>14</v>
      </c>
      <c r="D1400" s="35">
        <v>7520</v>
      </c>
      <c r="E1400" s="4" t="s">
        <v>2455</v>
      </c>
      <c r="F1400" s="5">
        <v>40442</v>
      </c>
      <c r="G1400" s="5">
        <v>40508</v>
      </c>
      <c r="H1400" s="4" t="s">
        <v>40</v>
      </c>
      <c r="I1400" s="6">
        <v>40000</v>
      </c>
      <c r="J1400" s="6">
        <v>20000</v>
      </c>
      <c r="K1400" s="37" t="s">
        <v>2033</v>
      </c>
      <c r="L1400" s="119"/>
      <c r="M1400" s="3"/>
    </row>
    <row r="1401" spans="1:13" s="4" customFormat="1" ht="14.25" customHeight="1" x14ac:dyDescent="0.25">
      <c r="A1401" s="4" t="s">
        <v>2456</v>
      </c>
      <c r="B1401" s="4" t="s">
        <v>50</v>
      </c>
      <c r="C1401" s="4" t="s">
        <v>14</v>
      </c>
      <c r="D1401" s="35">
        <v>7522</v>
      </c>
      <c r="E1401" s="4" t="s">
        <v>2457</v>
      </c>
      <c r="F1401" s="5">
        <v>40070</v>
      </c>
      <c r="G1401" s="5">
        <v>40305</v>
      </c>
      <c r="H1401" s="4" t="s">
        <v>40</v>
      </c>
      <c r="I1401" s="6">
        <v>6899</v>
      </c>
      <c r="J1401" s="6">
        <v>3449.5</v>
      </c>
      <c r="K1401" s="37" t="s">
        <v>2033</v>
      </c>
      <c r="L1401" s="119"/>
      <c r="M1401" s="3"/>
    </row>
    <row r="1402" spans="1:13" s="4" customFormat="1" ht="14.25" customHeight="1" x14ac:dyDescent="0.25">
      <c r="A1402" s="4" t="s">
        <v>2458</v>
      </c>
      <c r="B1402" s="4" t="s">
        <v>90</v>
      </c>
      <c r="C1402" s="4" t="s">
        <v>14</v>
      </c>
      <c r="D1402" s="35">
        <v>7697</v>
      </c>
      <c r="E1402" s="4" t="s">
        <v>2459</v>
      </c>
      <c r="F1402" s="5">
        <v>40310</v>
      </c>
      <c r="G1402" s="5">
        <v>40491</v>
      </c>
      <c r="H1402" s="4" t="s">
        <v>40</v>
      </c>
      <c r="I1402" s="6">
        <v>1166.78</v>
      </c>
      <c r="J1402" s="6">
        <v>583.39</v>
      </c>
      <c r="K1402" s="37" t="s">
        <v>2033</v>
      </c>
      <c r="L1402" s="119"/>
      <c r="M1402" s="3"/>
    </row>
    <row r="1403" spans="1:13" s="4" customFormat="1" ht="14.25" customHeight="1" x14ac:dyDescent="0.25">
      <c r="A1403" s="4" t="s">
        <v>2462</v>
      </c>
      <c r="B1403" s="4" t="s">
        <v>2395</v>
      </c>
      <c r="C1403" s="4" t="s">
        <v>14</v>
      </c>
      <c r="D1403" s="35">
        <v>7699</v>
      </c>
      <c r="E1403" s="4" t="s">
        <v>2463</v>
      </c>
      <c r="F1403" s="5">
        <v>40477</v>
      </c>
      <c r="G1403" s="5">
        <v>40508</v>
      </c>
      <c r="H1403" s="4" t="s">
        <v>40</v>
      </c>
      <c r="I1403" s="6">
        <v>140000</v>
      </c>
      <c r="J1403" s="6">
        <v>70000</v>
      </c>
      <c r="K1403" s="37" t="s">
        <v>2033</v>
      </c>
      <c r="L1403" s="119"/>
      <c r="M1403" s="3"/>
    </row>
    <row r="1404" spans="1:13" s="4" customFormat="1" ht="14.25" customHeight="1" x14ac:dyDescent="0.25">
      <c r="A1404" s="4" t="s">
        <v>2464</v>
      </c>
      <c r="B1404" s="4" t="s">
        <v>183</v>
      </c>
      <c r="C1404" s="4" t="s">
        <v>14</v>
      </c>
      <c r="D1404" s="35">
        <v>7700</v>
      </c>
      <c r="E1404" s="4" t="s">
        <v>2465</v>
      </c>
      <c r="F1404" s="5">
        <v>40526</v>
      </c>
      <c r="G1404" s="5">
        <v>40617</v>
      </c>
      <c r="H1404" s="4" t="s">
        <v>40</v>
      </c>
      <c r="I1404" s="6">
        <v>7500</v>
      </c>
      <c r="J1404" s="6">
        <v>7500</v>
      </c>
      <c r="K1404" s="37" t="s">
        <v>2033</v>
      </c>
      <c r="L1404" s="119"/>
      <c r="M1404" s="3"/>
    </row>
    <row r="1405" spans="1:13" s="4" customFormat="1" ht="14.25" customHeight="1" x14ac:dyDescent="0.25">
      <c r="A1405" s="4" t="s">
        <v>2468</v>
      </c>
      <c r="B1405" s="4" t="s">
        <v>183</v>
      </c>
      <c r="C1405" s="4" t="s">
        <v>14</v>
      </c>
      <c r="D1405" s="35">
        <v>7702</v>
      </c>
      <c r="E1405" s="7" t="s">
        <v>2469</v>
      </c>
      <c r="F1405" s="5">
        <v>40310</v>
      </c>
      <c r="G1405" s="5">
        <v>41274</v>
      </c>
      <c r="H1405" s="4" t="s">
        <v>40</v>
      </c>
      <c r="I1405" s="6">
        <v>15000</v>
      </c>
      <c r="J1405" s="6">
        <v>15000</v>
      </c>
      <c r="K1405" s="37" t="s">
        <v>2033</v>
      </c>
      <c r="L1405" s="119"/>
      <c r="M1405" s="3"/>
    </row>
    <row r="1406" spans="1:13" s="4" customFormat="1" ht="14.25" customHeight="1" x14ac:dyDescent="0.25">
      <c r="A1406" s="4" t="s">
        <v>2284</v>
      </c>
      <c r="B1406" s="4" t="s">
        <v>38</v>
      </c>
      <c r="C1406" s="4" t="s">
        <v>14</v>
      </c>
      <c r="D1406" s="35">
        <v>7703</v>
      </c>
      <c r="E1406" s="4" t="s">
        <v>2470</v>
      </c>
      <c r="F1406" s="5">
        <v>40372</v>
      </c>
      <c r="G1406" s="5">
        <v>40598</v>
      </c>
      <c r="H1406" s="4" t="s">
        <v>40</v>
      </c>
      <c r="I1406" s="6">
        <v>1119.25</v>
      </c>
      <c r="J1406" s="6">
        <v>1119.25</v>
      </c>
      <c r="K1406" s="37" t="s">
        <v>2033</v>
      </c>
      <c r="L1406" s="119"/>
      <c r="M1406" s="3"/>
    </row>
    <row r="1407" spans="1:13" s="4" customFormat="1" ht="14.25" customHeight="1" x14ac:dyDescent="0.25">
      <c r="A1407" s="4" t="s">
        <v>2284</v>
      </c>
      <c r="B1407" s="4" t="s">
        <v>38</v>
      </c>
      <c r="C1407" s="4" t="s">
        <v>14</v>
      </c>
      <c r="D1407" s="35">
        <v>7704</v>
      </c>
      <c r="E1407" s="4" t="s">
        <v>2471</v>
      </c>
      <c r="F1407" s="5">
        <v>40317</v>
      </c>
      <c r="G1407" s="5">
        <v>40819</v>
      </c>
      <c r="H1407" s="4" t="s">
        <v>40</v>
      </c>
      <c r="I1407" s="6">
        <v>3230</v>
      </c>
      <c r="J1407" s="6">
        <v>3230</v>
      </c>
      <c r="K1407" s="37" t="s">
        <v>2033</v>
      </c>
      <c r="L1407" s="119"/>
      <c r="M1407" s="3"/>
    </row>
    <row r="1408" spans="1:13" s="4" customFormat="1" ht="14.25" customHeight="1" x14ac:dyDescent="0.25">
      <c r="A1408" s="4" t="s">
        <v>2472</v>
      </c>
      <c r="B1408" s="4" t="s">
        <v>38</v>
      </c>
      <c r="C1408" s="4" t="s">
        <v>14</v>
      </c>
      <c r="D1408" s="35">
        <v>7705</v>
      </c>
      <c r="E1408" s="4" t="s">
        <v>2473</v>
      </c>
      <c r="F1408" s="5">
        <v>40436</v>
      </c>
      <c r="G1408" s="5">
        <v>40436</v>
      </c>
      <c r="H1408" s="4" t="s">
        <v>40</v>
      </c>
      <c r="I1408" s="6">
        <v>3049</v>
      </c>
      <c r="J1408" s="6">
        <v>3049</v>
      </c>
      <c r="K1408" s="37" t="s">
        <v>2033</v>
      </c>
      <c r="L1408" s="119"/>
      <c r="M1408" s="3"/>
    </row>
    <row r="1409" spans="1:13" s="4" customFormat="1" ht="14.25" customHeight="1" x14ac:dyDescent="0.25">
      <c r="A1409" s="4" t="s">
        <v>2474</v>
      </c>
      <c r="B1409" s="4" t="s">
        <v>38</v>
      </c>
      <c r="C1409" s="4" t="s">
        <v>14</v>
      </c>
      <c r="D1409" s="35">
        <v>7707</v>
      </c>
      <c r="E1409" s="4" t="s">
        <v>2475</v>
      </c>
      <c r="F1409" s="5">
        <v>40211</v>
      </c>
      <c r="G1409" s="5">
        <v>40211</v>
      </c>
      <c r="H1409" s="4" t="s">
        <v>40</v>
      </c>
      <c r="I1409" s="6">
        <v>555</v>
      </c>
      <c r="J1409" s="6">
        <v>555</v>
      </c>
      <c r="K1409" s="37" t="s">
        <v>2033</v>
      </c>
      <c r="L1409" s="119"/>
      <c r="M1409" s="3"/>
    </row>
    <row r="1410" spans="1:13" s="4" customFormat="1" ht="14.25" customHeight="1" x14ac:dyDescent="0.25">
      <c r="A1410" s="4" t="s">
        <v>2476</v>
      </c>
      <c r="B1410" s="4" t="s">
        <v>38</v>
      </c>
      <c r="C1410" s="4" t="s">
        <v>14</v>
      </c>
      <c r="D1410" s="35">
        <v>7708</v>
      </c>
      <c r="E1410" s="4" t="s">
        <v>2477</v>
      </c>
      <c r="F1410" s="5">
        <v>40528</v>
      </c>
      <c r="G1410" s="5">
        <v>41274</v>
      </c>
      <c r="H1410" s="4" t="s">
        <v>40</v>
      </c>
      <c r="I1410" s="6">
        <v>5770</v>
      </c>
      <c r="J1410" s="6">
        <f>4111.5+1658.5</f>
        <v>5770</v>
      </c>
      <c r="K1410" s="37" t="s">
        <v>2033</v>
      </c>
      <c r="L1410" s="119"/>
      <c r="M1410" s="3"/>
    </row>
    <row r="1411" spans="1:13" s="4" customFormat="1" ht="14.25" customHeight="1" x14ac:dyDescent="0.25">
      <c r="A1411" s="4" t="s">
        <v>2284</v>
      </c>
      <c r="B1411" s="4" t="s">
        <v>38</v>
      </c>
      <c r="C1411" s="4" t="s">
        <v>14</v>
      </c>
      <c r="D1411" s="35">
        <v>7709</v>
      </c>
      <c r="E1411" s="7" t="s">
        <v>2478</v>
      </c>
      <c r="F1411" s="5">
        <v>40179</v>
      </c>
      <c r="G1411" s="5">
        <v>41274</v>
      </c>
      <c r="H1411" s="4" t="s">
        <v>40</v>
      </c>
      <c r="I1411" s="6">
        <f>22587.29+24135.93</f>
        <v>46723.22</v>
      </c>
      <c r="J1411" s="6">
        <f>22587.29+24135.93</f>
        <v>46723.22</v>
      </c>
      <c r="K1411" s="37" t="s">
        <v>2033</v>
      </c>
      <c r="L1411" s="119"/>
      <c r="M1411" s="3"/>
    </row>
    <row r="1412" spans="1:13" s="4" customFormat="1" ht="14.25" customHeight="1" x14ac:dyDescent="0.25">
      <c r="A1412" s="4" t="s">
        <v>2479</v>
      </c>
      <c r="B1412" s="4" t="s">
        <v>38</v>
      </c>
      <c r="C1412" s="4" t="s">
        <v>14</v>
      </c>
      <c r="D1412" s="35">
        <v>7710</v>
      </c>
      <c r="E1412" s="4" t="s">
        <v>2480</v>
      </c>
      <c r="F1412" s="5">
        <v>40179</v>
      </c>
      <c r="G1412" s="5">
        <v>41274</v>
      </c>
      <c r="H1412" s="4" t="s">
        <v>40</v>
      </c>
      <c r="I1412" s="6">
        <v>19515</v>
      </c>
      <c r="J1412" s="6">
        <v>19515</v>
      </c>
      <c r="K1412" s="37" t="s">
        <v>2033</v>
      </c>
      <c r="L1412" s="119"/>
      <c r="M1412" s="3"/>
    </row>
    <row r="1413" spans="1:13" s="4" customFormat="1" ht="14.25" customHeight="1" x14ac:dyDescent="0.25">
      <c r="A1413" s="4" t="s">
        <v>2481</v>
      </c>
      <c r="B1413" s="4" t="s">
        <v>38</v>
      </c>
      <c r="C1413" s="4" t="s">
        <v>14</v>
      </c>
      <c r="D1413" s="35">
        <v>7711</v>
      </c>
      <c r="E1413" s="4" t="s">
        <v>2482</v>
      </c>
      <c r="F1413" s="5">
        <v>40535</v>
      </c>
      <c r="G1413" s="5">
        <v>40535</v>
      </c>
      <c r="H1413" s="4" t="s">
        <v>40</v>
      </c>
      <c r="I1413" s="6">
        <v>188.97</v>
      </c>
      <c r="J1413" s="6">
        <v>188.97</v>
      </c>
      <c r="K1413" s="37" t="s">
        <v>2033</v>
      </c>
      <c r="L1413" s="119"/>
      <c r="M1413" s="3"/>
    </row>
    <row r="1414" spans="1:13" s="4" customFormat="1" ht="14.25" customHeight="1" x14ac:dyDescent="0.25">
      <c r="A1414" s="4" t="s">
        <v>2483</v>
      </c>
      <c r="B1414" s="4" t="s">
        <v>38</v>
      </c>
      <c r="C1414" s="4" t="s">
        <v>14</v>
      </c>
      <c r="D1414" s="35">
        <v>7712</v>
      </c>
      <c r="E1414" s="7" t="s">
        <v>2484</v>
      </c>
      <c r="F1414" s="5">
        <v>40217</v>
      </c>
      <c r="G1414" s="5">
        <v>40891</v>
      </c>
      <c r="H1414" s="4" t="s">
        <v>40</v>
      </c>
      <c r="I1414" s="6">
        <f>29521.14+25000</f>
        <v>54521.14</v>
      </c>
      <c r="J1414" s="6">
        <f>29521.14+25000</f>
        <v>54521.14</v>
      </c>
      <c r="K1414" s="37" t="s">
        <v>2033</v>
      </c>
      <c r="L1414" s="119"/>
      <c r="M1414" s="3"/>
    </row>
    <row r="1415" spans="1:13" s="4" customFormat="1" ht="14.25" customHeight="1" x14ac:dyDescent="0.25">
      <c r="A1415" s="4" t="s">
        <v>2485</v>
      </c>
      <c r="B1415" s="4" t="s">
        <v>38</v>
      </c>
      <c r="C1415" s="4" t="s">
        <v>14</v>
      </c>
      <c r="D1415" s="35">
        <v>7713</v>
      </c>
      <c r="E1415" s="4" t="s">
        <v>2486</v>
      </c>
      <c r="F1415" s="5">
        <v>40420</v>
      </c>
      <c r="G1415" s="5">
        <v>41274</v>
      </c>
      <c r="H1415" s="4" t="s">
        <v>40</v>
      </c>
      <c r="I1415" s="6">
        <v>17750</v>
      </c>
      <c r="J1415" s="6">
        <v>17750</v>
      </c>
      <c r="K1415" s="37" t="s">
        <v>2033</v>
      </c>
      <c r="L1415" s="119"/>
      <c r="M1415" s="3"/>
    </row>
    <row r="1416" spans="1:13" s="4" customFormat="1" ht="14.25" customHeight="1" x14ac:dyDescent="0.25">
      <c r="A1416" s="4" t="s">
        <v>2487</v>
      </c>
      <c r="B1416" s="4" t="s">
        <v>38</v>
      </c>
      <c r="C1416" s="4" t="s">
        <v>14</v>
      </c>
      <c r="D1416" s="35">
        <v>7714</v>
      </c>
      <c r="E1416" s="4" t="s">
        <v>2488</v>
      </c>
      <c r="F1416" s="5">
        <v>40382</v>
      </c>
      <c r="G1416" s="5">
        <v>41274</v>
      </c>
      <c r="H1416" s="4" t="s">
        <v>40</v>
      </c>
      <c r="I1416" s="6">
        <v>19410.07</v>
      </c>
      <c r="J1416" s="6">
        <f>15252.14+4157.93</f>
        <v>19410.07</v>
      </c>
      <c r="K1416" s="37" t="s">
        <v>2033</v>
      </c>
      <c r="L1416" s="119"/>
      <c r="M1416" s="3"/>
    </row>
    <row r="1417" spans="1:13" s="4" customFormat="1" ht="14.25" customHeight="1" x14ac:dyDescent="0.25">
      <c r="A1417" s="4" t="s">
        <v>2489</v>
      </c>
      <c r="B1417" s="4" t="s">
        <v>38</v>
      </c>
      <c r="C1417" s="4" t="s">
        <v>14</v>
      </c>
      <c r="D1417" s="35">
        <v>7715</v>
      </c>
      <c r="E1417" s="4" t="s">
        <v>2490</v>
      </c>
      <c r="F1417" s="5">
        <v>40494</v>
      </c>
      <c r="G1417" s="5">
        <v>40840</v>
      </c>
      <c r="H1417" s="4" t="s">
        <v>40</v>
      </c>
      <c r="I1417" s="6">
        <v>14788.72</v>
      </c>
      <c r="J1417" s="6">
        <v>7394.36</v>
      </c>
      <c r="K1417" s="37" t="s">
        <v>2033</v>
      </c>
      <c r="L1417" s="119"/>
      <c r="M1417" s="3"/>
    </row>
    <row r="1418" spans="1:13" s="4" customFormat="1" ht="14.25" customHeight="1" x14ac:dyDescent="0.25">
      <c r="A1418" s="4" t="s">
        <v>2491</v>
      </c>
      <c r="B1418" s="4" t="s">
        <v>38</v>
      </c>
      <c r="C1418" s="4" t="s">
        <v>14</v>
      </c>
      <c r="D1418" s="35">
        <v>7716</v>
      </c>
      <c r="E1418" s="4" t="s">
        <v>2492</v>
      </c>
      <c r="F1418" s="5">
        <v>40262</v>
      </c>
      <c r="G1418" s="5">
        <v>40387</v>
      </c>
      <c r="H1418" s="4" t="s">
        <v>40</v>
      </c>
      <c r="I1418" s="6">
        <f>1229.37+1210.17</f>
        <v>2439.54</v>
      </c>
      <c r="J1418" s="6">
        <f>1210.17+1229.37</f>
        <v>2439.54</v>
      </c>
      <c r="K1418" s="37" t="s">
        <v>2033</v>
      </c>
      <c r="L1418" s="119"/>
      <c r="M1418" s="3"/>
    </row>
    <row r="1419" spans="1:13" s="4" customFormat="1" ht="14.25" customHeight="1" x14ac:dyDescent="0.25">
      <c r="A1419" s="4" t="s">
        <v>2493</v>
      </c>
      <c r="B1419" s="4" t="s">
        <v>38</v>
      </c>
      <c r="C1419" s="4" t="s">
        <v>14</v>
      </c>
      <c r="D1419" s="35">
        <v>7717</v>
      </c>
      <c r="E1419" s="4" t="s">
        <v>2494</v>
      </c>
      <c r="F1419" s="5">
        <v>40529</v>
      </c>
      <c r="G1419" s="5">
        <v>40529</v>
      </c>
      <c r="H1419" s="4" t="s">
        <v>40</v>
      </c>
      <c r="I1419" s="6">
        <v>1500</v>
      </c>
      <c r="J1419" s="6">
        <v>1500</v>
      </c>
      <c r="K1419" s="37" t="s">
        <v>2033</v>
      </c>
      <c r="L1419" s="119"/>
      <c r="M1419" s="3"/>
    </row>
    <row r="1420" spans="1:13" s="4" customFormat="1" ht="14.25" customHeight="1" x14ac:dyDescent="0.25">
      <c r="A1420" s="4" t="s">
        <v>2495</v>
      </c>
      <c r="B1420" s="4" t="s">
        <v>59</v>
      </c>
      <c r="C1420" s="4" t="s">
        <v>14</v>
      </c>
      <c r="D1420" s="35">
        <v>7801</v>
      </c>
      <c r="E1420" s="4" t="s">
        <v>2496</v>
      </c>
      <c r="F1420" s="5">
        <v>40105</v>
      </c>
      <c r="G1420" s="5">
        <v>40322</v>
      </c>
      <c r="H1420" s="4" t="s">
        <v>40</v>
      </c>
      <c r="I1420" s="6">
        <v>26250</v>
      </c>
      <c r="J1420" s="6">
        <v>26250</v>
      </c>
      <c r="K1420" s="37" t="s">
        <v>2033</v>
      </c>
      <c r="L1420" s="119"/>
      <c r="M1420" s="3"/>
    </row>
    <row r="1421" spans="1:13" s="4" customFormat="1" ht="14.25" customHeight="1" x14ac:dyDescent="0.25">
      <c r="A1421" s="4" t="s">
        <v>2497</v>
      </c>
      <c r="B1421" s="4" t="s">
        <v>183</v>
      </c>
      <c r="C1421" s="4" t="s">
        <v>14</v>
      </c>
      <c r="D1421" s="35">
        <v>7806</v>
      </c>
      <c r="E1421" s="4" t="s">
        <v>2498</v>
      </c>
      <c r="F1421" s="5">
        <v>40400</v>
      </c>
      <c r="G1421" s="5">
        <v>40400</v>
      </c>
      <c r="H1421" s="4" t="s">
        <v>40</v>
      </c>
      <c r="I1421" s="6">
        <v>1875</v>
      </c>
      <c r="J1421" s="6">
        <v>1875</v>
      </c>
      <c r="K1421" s="37" t="s">
        <v>2033</v>
      </c>
      <c r="L1421" s="119"/>
      <c r="M1421" s="3"/>
    </row>
    <row r="1422" spans="1:13" s="4" customFormat="1" ht="14.25" customHeight="1" x14ac:dyDescent="0.25">
      <c r="A1422" s="4" t="s">
        <v>2499</v>
      </c>
      <c r="B1422" s="4" t="s">
        <v>183</v>
      </c>
      <c r="C1422" s="4" t="s">
        <v>14</v>
      </c>
      <c r="D1422" s="35">
        <v>8559</v>
      </c>
      <c r="E1422" s="4" t="s">
        <v>2500</v>
      </c>
      <c r="F1422" s="5">
        <v>40882</v>
      </c>
      <c r="G1422" s="5">
        <v>41274</v>
      </c>
      <c r="H1422" s="4" t="s">
        <v>40</v>
      </c>
      <c r="I1422" s="6">
        <v>7500</v>
      </c>
      <c r="J1422" s="6">
        <v>7500</v>
      </c>
      <c r="K1422" s="37" t="s">
        <v>2033</v>
      </c>
      <c r="L1422" s="119"/>
      <c r="M1422" s="3"/>
    </row>
    <row r="1423" spans="1:13" s="4" customFormat="1" ht="14.25" customHeight="1" x14ac:dyDescent="0.25">
      <c r="A1423" s="4" t="s">
        <v>2501</v>
      </c>
      <c r="B1423" s="4" t="s">
        <v>59</v>
      </c>
      <c r="C1423" s="4" t="s">
        <v>14</v>
      </c>
      <c r="D1423" s="35">
        <v>8560</v>
      </c>
      <c r="E1423" s="4" t="s">
        <v>2502</v>
      </c>
      <c r="F1423" s="5">
        <v>40583</v>
      </c>
      <c r="G1423" s="5">
        <v>40840</v>
      </c>
      <c r="H1423" s="4" t="s">
        <v>40</v>
      </c>
      <c r="I1423" s="6">
        <v>10000</v>
      </c>
      <c r="J1423" s="6">
        <v>10000</v>
      </c>
      <c r="K1423" s="37" t="s">
        <v>2033</v>
      </c>
      <c r="L1423" s="119"/>
      <c r="M1423" s="3"/>
    </row>
    <row r="1424" spans="1:13" s="4" customFormat="1" ht="14.25" customHeight="1" x14ac:dyDescent="0.25">
      <c r="A1424" s="4" t="s">
        <v>2503</v>
      </c>
      <c r="B1424" s="4" t="s">
        <v>59</v>
      </c>
      <c r="C1424" s="4" t="s">
        <v>14</v>
      </c>
      <c r="D1424" s="35">
        <v>8561</v>
      </c>
      <c r="E1424" s="4" t="s">
        <v>2504</v>
      </c>
      <c r="F1424" s="5">
        <v>40724</v>
      </c>
      <c r="G1424" s="5">
        <v>40840</v>
      </c>
      <c r="H1424" s="4" t="s">
        <v>40</v>
      </c>
      <c r="I1424" s="6">
        <v>6400</v>
      </c>
      <c r="J1424" s="6">
        <v>3200</v>
      </c>
      <c r="K1424" s="37" t="s">
        <v>2033</v>
      </c>
      <c r="L1424" s="119"/>
      <c r="M1424" s="3"/>
    </row>
    <row r="1425" spans="1:13" s="4" customFormat="1" ht="14.25" customHeight="1" x14ac:dyDescent="0.25">
      <c r="A1425" s="4" t="s">
        <v>2505</v>
      </c>
      <c r="B1425" s="4" t="s">
        <v>183</v>
      </c>
      <c r="C1425" s="4" t="s">
        <v>14</v>
      </c>
      <c r="D1425" s="35">
        <v>8562</v>
      </c>
      <c r="E1425" s="4" t="s">
        <v>2506</v>
      </c>
      <c r="F1425" s="5">
        <v>40784</v>
      </c>
      <c r="G1425" s="5">
        <v>41274</v>
      </c>
      <c r="H1425" s="4" t="s">
        <v>40</v>
      </c>
      <c r="I1425" s="6">
        <v>27500</v>
      </c>
      <c r="J1425" s="6">
        <v>25000</v>
      </c>
      <c r="K1425" s="37" t="s">
        <v>2033</v>
      </c>
      <c r="L1425" s="119"/>
      <c r="M1425" s="3"/>
    </row>
    <row r="1426" spans="1:13" s="4" customFormat="1" ht="14.25" customHeight="1" x14ac:dyDescent="0.25">
      <c r="A1426" s="4" t="s">
        <v>2507</v>
      </c>
      <c r="B1426" s="4" t="s">
        <v>183</v>
      </c>
      <c r="C1426" s="4" t="s">
        <v>14</v>
      </c>
      <c r="D1426" s="35">
        <v>8563</v>
      </c>
      <c r="E1426" s="4" t="s">
        <v>2508</v>
      </c>
      <c r="F1426" s="5">
        <v>40882</v>
      </c>
      <c r="H1426" s="4" t="s">
        <v>40</v>
      </c>
      <c r="I1426" s="6">
        <v>3750</v>
      </c>
      <c r="J1426" s="6">
        <v>3750</v>
      </c>
      <c r="K1426" s="37" t="s">
        <v>2033</v>
      </c>
      <c r="L1426" s="119"/>
      <c r="M1426" s="3"/>
    </row>
    <row r="1427" spans="1:13" s="4" customFormat="1" ht="14.25" customHeight="1" x14ac:dyDescent="0.25">
      <c r="A1427" s="4" t="s">
        <v>2509</v>
      </c>
      <c r="B1427" s="4" t="s">
        <v>183</v>
      </c>
      <c r="C1427" s="4" t="s">
        <v>14</v>
      </c>
      <c r="D1427" s="35">
        <v>8564</v>
      </c>
      <c r="E1427" s="4" t="s">
        <v>2510</v>
      </c>
      <c r="F1427" s="5">
        <v>40863</v>
      </c>
      <c r="H1427" s="4" t="s">
        <v>40</v>
      </c>
      <c r="I1427" s="6">
        <v>7500</v>
      </c>
      <c r="J1427" s="6">
        <v>7500</v>
      </c>
      <c r="K1427" s="37" t="s">
        <v>2033</v>
      </c>
      <c r="L1427" s="119"/>
      <c r="M1427" s="3"/>
    </row>
    <row r="1428" spans="1:13" s="4" customFormat="1" ht="14.25" customHeight="1" x14ac:dyDescent="0.25">
      <c r="A1428" s="4" t="s">
        <v>2513</v>
      </c>
      <c r="B1428" s="4" t="s">
        <v>183</v>
      </c>
      <c r="C1428" s="4" t="s">
        <v>14</v>
      </c>
      <c r="D1428" s="35">
        <v>8566</v>
      </c>
      <c r="E1428" s="4" t="s">
        <v>2514</v>
      </c>
      <c r="F1428" s="5">
        <v>40896</v>
      </c>
      <c r="G1428" s="5">
        <v>41274</v>
      </c>
      <c r="H1428" s="4" t="s">
        <v>40</v>
      </c>
      <c r="I1428" s="6">
        <f>13750+7500</f>
        <v>21250</v>
      </c>
      <c r="J1428" s="6">
        <f>13750+7500</f>
        <v>21250</v>
      </c>
      <c r="K1428" s="37" t="s">
        <v>2033</v>
      </c>
      <c r="L1428" s="119"/>
      <c r="M1428" s="3"/>
    </row>
    <row r="1429" spans="1:13" s="4" customFormat="1" ht="14.25" customHeight="1" x14ac:dyDescent="0.25">
      <c r="A1429" s="4" t="s">
        <v>2515</v>
      </c>
      <c r="B1429" s="4" t="s">
        <v>190</v>
      </c>
      <c r="C1429" s="4" t="s">
        <v>14</v>
      </c>
      <c r="D1429" s="35">
        <v>8567</v>
      </c>
      <c r="E1429" s="4" t="s">
        <v>2516</v>
      </c>
      <c r="F1429" s="5">
        <v>40729</v>
      </c>
      <c r="G1429" s="5">
        <v>40729</v>
      </c>
      <c r="H1429" s="4" t="s">
        <v>40</v>
      </c>
      <c r="I1429" s="6">
        <v>21250</v>
      </c>
      <c r="J1429" s="6">
        <v>16250</v>
      </c>
      <c r="K1429" s="37" t="s">
        <v>2033</v>
      </c>
      <c r="L1429" s="119"/>
      <c r="M1429" s="3"/>
    </row>
    <row r="1430" spans="1:13" s="4" customFormat="1" ht="14.25" customHeight="1" x14ac:dyDescent="0.25">
      <c r="A1430" s="4" t="s">
        <v>2517</v>
      </c>
      <c r="B1430" s="4" t="s">
        <v>183</v>
      </c>
      <c r="C1430" s="4" t="s">
        <v>14</v>
      </c>
      <c r="D1430" s="35">
        <v>8568</v>
      </c>
      <c r="E1430" s="4" t="s">
        <v>2518</v>
      </c>
      <c r="F1430" s="5">
        <v>40891</v>
      </c>
      <c r="G1430" s="5">
        <v>41274</v>
      </c>
      <c r="H1430" s="4" t="s">
        <v>40</v>
      </c>
      <c r="I1430" s="6">
        <v>7500</v>
      </c>
      <c r="J1430" s="6">
        <v>7500</v>
      </c>
      <c r="K1430" s="37" t="s">
        <v>2033</v>
      </c>
      <c r="L1430" s="119"/>
      <c r="M1430" s="3"/>
    </row>
    <row r="1431" spans="1:13" s="4" customFormat="1" ht="14.25" customHeight="1" x14ac:dyDescent="0.25">
      <c r="A1431" s="4" t="s">
        <v>2519</v>
      </c>
      <c r="B1431" s="4" t="s">
        <v>183</v>
      </c>
      <c r="C1431" s="4" t="s">
        <v>14</v>
      </c>
      <c r="D1431" s="35">
        <v>8569</v>
      </c>
      <c r="E1431" s="4" t="s">
        <v>2520</v>
      </c>
      <c r="F1431" s="5">
        <v>40723</v>
      </c>
      <c r="G1431" s="5">
        <v>40840</v>
      </c>
      <c r="H1431" s="4" t="s">
        <v>40</v>
      </c>
      <c r="I1431" s="6">
        <v>7500</v>
      </c>
      <c r="J1431" s="6">
        <v>7500</v>
      </c>
      <c r="K1431" s="37" t="s">
        <v>2033</v>
      </c>
      <c r="L1431" s="119"/>
      <c r="M1431" s="3"/>
    </row>
    <row r="1432" spans="1:13" s="4" customFormat="1" ht="14.25" customHeight="1" x14ac:dyDescent="0.25">
      <c r="A1432" s="4" t="s">
        <v>2521</v>
      </c>
      <c r="B1432" s="4" t="s">
        <v>59</v>
      </c>
      <c r="C1432" s="4" t="s">
        <v>14</v>
      </c>
      <c r="D1432" s="35">
        <v>8570</v>
      </c>
      <c r="E1432" s="4" t="s">
        <v>2522</v>
      </c>
      <c r="F1432" s="5">
        <v>40674</v>
      </c>
      <c r="G1432" s="5">
        <v>40840</v>
      </c>
      <c r="H1432" s="4" t="s">
        <v>40</v>
      </c>
      <c r="I1432" s="6">
        <v>9000</v>
      </c>
      <c r="J1432" s="6">
        <v>9000</v>
      </c>
      <c r="K1432" s="37" t="s">
        <v>2033</v>
      </c>
      <c r="L1432" s="119"/>
      <c r="M1432" s="3"/>
    </row>
    <row r="1433" spans="1:13" s="4" customFormat="1" ht="14.25" customHeight="1" x14ac:dyDescent="0.25">
      <c r="A1433" s="4" t="s">
        <v>2523</v>
      </c>
      <c r="B1433" s="4" t="s">
        <v>183</v>
      </c>
      <c r="C1433" s="4" t="s">
        <v>14</v>
      </c>
      <c r="D1433" s="35">
        <v>8571</v>
      </c>
      <c r="E1433" s="4" t="s">
        <v>2524</v>
      </c>
      <c r="F1433" s="5">
        <v>40793</v>
      </c>
      <c r="G1433" s="5">
        <v>40793</v>
      </c>
      <c r="H1433" s="4" t="s">
        <v>40</v>
      </c>
      <c r="I1433" s="6">
        <v>7500</v>
      </c>
      <c r="J1433" s="6">
        <v>7500</v>
      </c>
      <c r="K1433" s="37" t="s">
        <v>2033</v>
      </c>
      <c r="L1433" s="119"/>
      <c r="M1433" s="3"/>
    </row>
    <row r="1434" spans="1:13" s="4" customFormat="1" ht="14.25" customHeight="1" x14ac:dyDescent="0.25">
      <c r="A1434" s="4" t="s">
        <v>2525</v>
      </c>
      <c r="B1434" s="4" t="s">
        <v>190</v>
      </c>
      <c r="C1434" s="4" t="s">
        <v>14</v>
      </c>
      <c r="D1434" s="35">
        <v>8572</v>
      </c>
      <c r="E1434" s="4" t="s">
        <v>2526</v>
      </c>
      <c r="F1434" s="5">
        <v>40624</v>
      </c>
      <c r="G1434" s="5">
        <v>40624</v>
      </c>
      <c r="H1434" s="4" t="s">
        <v>40</v>
      </c>
      <c r="I1434" s="6">
        <v>10000</v>
      </c>
      <c r="J1434" s="6">
        <v>10000</v>
      </c>
      <c r="K1434" s="37" t="s">
        <v>2033</v>
      </c>
      <c r="L1434" s="119"/>
      <c r="M1434" s="3"/>
    </row>
    <row r="1435" spans="1:13" s="4" customFormat="1" ht="14.25" customHeight="1" x14ac:dyDescent="0.25">
      <c r="A1435" s="4" t="s">
        <v>2527</v>
      </c>
      <c r="B1435" s="4" t="s">
        <v>38</v>
      </c>
      <c r="C1435" s="4" t="s">
        <v>14</v>
      </c>
      <c r="D1435" s="35">
        <v>8965</v>
      </c>
      <c r="E1435" s="4" t="s">
        <v>2528</v>
      </c>
      <c r="F1435" s="5">
        <v>40840</v>
      </c>
      <c r="G1435" s="5">
        <v>41639</v>
      </c>
      <c r="H1435" s="4" t="s">
        <v>40</v>
      </c>
      <c r="I1435" s="6">
        <v>7425</v>
      </c>
      <c r="J1435" s="6">
        <f>2985+4440</f>
        <v>7425</v>
      </c>
      <c r="K1435" s="37" t="s">
        <v>2033</v>
      </c>
      <c r="L1435" s="119"/>
      <c r="M1435" s="3"/>
    </row>
    <row r="1436" spans="1:13" s="4" customFormat="1" ht="14.25" customHeight="1" x14ac:dyDescent="0.25">
      <c r="A1436" s="4" t="s">
        <v>2284</v>
      </c>
      <c r="B1436" s="4" t="s">
        <v>38</v>
      </c>
      <c r="C1436" s="4" t="s">
        <v>14</v>
      </c>
      <c r="D1436" s="35">
        <v>8968</v>
      </c>
      <c r="E1436" s="4" t="s">
        <v>2529</v>
      </c>
      <c r="F1436" s="5">
        <v>40544</v>
      </c>
      <c r="G1436" s="5">
        <v>40819</v>
      </c>
      <c r="H1436" s="4" t="s">
        <v>40</v>
      </c>
      <c r="I1436" s="6">
        <v>447.7</v>
      </c>
      <c r="J1436" s="6">
        <v>447.7</v>
      </c>
      <c r="K1436" s="37" t="s">
        <v>2033</v>
      </c>
      <c r="L1436" s="119"/>
      <c r="M1436" s="3"/>
    </row>
    <row r="1437" spans="1:13" s="4" customFormat="1" ht="14.25" customHeight="1" x14ac:dyDescent="0.25">
      <c r="A1437" s="4" t="s">
        <v>2284</v>
      </c>
      <c r="B1437" s="4" t="s">
        <v>38</v>
      </c>
      <c r="C1437" s="4" t="s">
        <v>14</v>
      </c>
      <c r="D1437" s="35">
        <v>8971</v>
      </c>
      <c r="E1437" s="4" t="s">
        <v>2530</v>
      </c>
      <c r="F1437" s="5">
        <v>40544</v>
      </c>
      <c r="G1437" s="5">
        <v>40882</v>
      </c>
      <c r="H1437" s="4" t="s">
        <v>40</v>
      </c>
      <c r="I1437" s="6">
        <v>925</v>
      </c>
      <c r="J1437" s="6">
        <v>925</v>
      </c>
      <c r="K1437" s="37" t="s">
        <v>2033</v>
      </c>
      <c r="L1437" s="119"/>
      <c r="M1437" s="3"/>
    </row>
    <row r="1438" spans="1:13" s="4" customFormat="1" ht="14.25" customHeight="1" x14ac:dyDescent="0.25">
      <c r="A1438" s="4" t="s">
        <v>2531</v>
      </c>
      <c r="B1438" s="4" t="s">
        <v>38</v>
      </c>
      <c r="C1438" s="4" t="s">
        <v>14</v>
      </c>
      <c r="D1438" s="35">
        <v>8972</v>
      </c>
      <c r="E1438" s="4" t="s">
        <v>2532</v>
      </c>
      <c r="F1438" s="5">
        <v>40544</v>
      </c>
      <c r="G1438" s="5">
        <v>40863</v>
      </c>
      <c r="H1438" s="4" t="s">
        <v>40</v>
      </c>
      <c r="I1438" s="6">
        <v>423.5</v>
      </c>
      <c r="J1438" s="6">
        <v>423.5</v>
      </c>
      <c r="K1438" s="37" t="s">
        <v>2033</v>
      </c>
      <c r="L1438" s="119"/>
      <c r="M1438" s="3"/>
    </row>
    <row r="1439" spans="1:13" s="4" customFormat="1" ht="14.25" customHeight="1" x14ac:dyDescent="0.25">
      <c r="A1439" s="4" t="s">
        <v>2284</v>
      </c>
      <c r="B1439" s="4" t="s">
        <v>38</v>
      </c>
      <c r="C1439" s="4" t="s">
        <v>14</v>
      </c>
      <c r="D1439" s="35">
        <v>8973</v>
      </c>
      <c r="E1439" s="4" t="s">
        <v>2533</v>
      </c>
      <c r="F1439" s="5">
        <v>40544</v>
      </c>
      <c r="G1439" s="5">
        <v>40882</v>
      </c>
      <c r="H1439" s="4" t="s">
        <v>40</v>
      </c>
      <c r="I1439" s="6">
        <v>555</v>
      </c>
      <c r="J1439" s="6">
        <v>555</v>
      </c>
      <c r="K1439" s="37" t="s">
        <v>2033</v>
      </c>
      <c r="L1439" s="119"/>
      <c r="M1439" s="3"/>
    </row>
    <row r="1440" spans="1:13" s="4" customFormat="1" ht="14.25" customHeight="1" x14ac:dyDescent="0.25">
      <c r="A1440" s="4" t="s">
        <v>2284</v>
      </c>
      <c r="B1440" s="4" t="s">
        <v>38</v>
      </c>
      <c r="C1440" s="4" t="s">
        <v>14</v>
      </c>
      <c r="D1440" s="35">
        <v>8974</v>
      </c>
      <c r="E1440" s="4" t="s">
        <v>2534</v>
      </c>
      <c r="F1440" s="5">
        <v>40891</v>
      </c>
      <c r="G1440" s="5">
        <v>40891</v>
      </c>
      <c r="H1440" s="4" t="s">
        <v>40</v>
      </c>
      <c r="I1440" s="6">
        <v>148</v>
      </c>
      <c r="J1440" s="6">
        <v>148</v>
      </c>
      <c r="K1440" s="37" t="s">
        <v>2033</v>
      </c>
      <c r="L1440" s="119"/>
      <c r="M1440" s="3"/>
    </row>
    <row r="1441" spans="1:13" s="4" customFormat="1" ht="14.25" customHeight="1" x14ac:dyDescent="0.25">
      <c r="A1441" s="4" t="s">
        <v>2284</v>
      </c>
      <c r="B1441" s="4" t="s">
        <v>38</v>
      </c>
      <c r="C1441" s="4" t="s">
        <v>14</v>
      </c>
      <c r="D1441" s="35">
        <v>8975</v>
      </c>
      <c r="E1441" s="4" t="s">
        <v>2535</v>
      </c>
      <c r="F1441" s="5">
        <v>40544</v>
      </c>
      <c r="G1441" s="5">
        <v>40863</v>
      </c>
      <c r="H1441" s="4" t="s">
        <v>40</v>
      </c>
      <c r="I1441" s="6">
        <v>350</v>
      </c>
      <c r="J1441" s="6">
        <v>350</v>
      </c>
      <c r="K1441" s="37" t="s">
        <v>2033</v>
      </c>
      <c r="L1441" s="119"/>
      <c r="M1441" s="3"/>
    </row>
    <row r="1442" spans="1:13" s="4" customFormat="1" ht="14.25" customHeight="1" x14ac:dyDescent="0.25">
      <c r="A1442" s="4" t="s">
        <v>2536</v>
      </c>
      <c r="B1442" s="4" t="s">
        <v>38</v>
      </c>
      <c r="C1442" s="4" t="s">
        <v>14</v>
      </c>
      <c r="D1442" s="35">
        <v>8976</v>
      </c>
      <c r="E1442" s="4" t="s">
        <v>2537</v>
      </c>
      <c r="F1442" s="5">
        <v>40544</v>
      </c>
      <c r="G1442" s="5">
        <v>41274</v>
      </c>
      <c r="H1442" s="4" t="s">
        <v>40</v>
      </c>
      <c r="I1442" s="6">
        <v>9360</v>
      </c>
      <c r="J1442" s="6">
        <f>6190+3170</f>
        <v>9360</v>
      </c>
      <c r="K1442" s="37" t="s">
        <v>2033</v>
      </c>
      <c r="L1442" s="119"/>
      <c r="M1442" s="3"/>
    </row>
    <row r="1443" spans="1:13" s="4" customFormat="1" ht="14.25" customHeight="1" x14ac:dyDescent="0.25">
      <c r="A1443" s="4" t="s">
        <v>2538</v>
      </c>
      <c r="B1443" s="4" t="s">
        <v>38</v>
      </c>
      <c r="C1443" s="4" t="s">
        <v>14</v>
      </c>
      <c r="D1443" s="35">
        <v>8977</v>
      </c>
      <c r="E1443" s="4" t="s">
        <v>2539</v>
      </c>
      <c r="F1443" s="5">
        <v>40544</v>
      </c>
      <c r="G1443" s="5">
        <v>41274</v>
      </c>
      <c r="H1443" s="4" t="s">
        <v>40</v>
      </c>
      <c r="I1443" s="6">
        <v>4077</v>
      </c>
      <c r="J1443" s="6">
        <v>4077</v>
      </c>
      <c r="K1443" s="37" t="s">
        <v>2033</v>
      </c>
      <c r="L1443" s="119"/>
      <c r="M1443" s="3"/>
    </row>
    <row r="1444" spans="1:13" s="4" customFormat="1" ht="14.25" customHeight="1" x14ac:dyDescent="0.25">
      <c r="A1444" s="4" t="s">
        <v>2540</v>
      </c>
      <c r="B1444" s="4" t="s">
        <v>38</v>
      </c>
      <c r="C1444" s="4" t="s">
        <v>14</v>
      </c>
      <c r="D1444" s="35">
        <v>8978</v>
      </c>
      <c r="E1444" s="4" t="s">
        <v>2541</v>
      </c>
      <c r="F1444" s="5">
        <v>40694</v>
      </c>
      <c r="G1444" s="5">
        <v>40694</v>
      </c>
      <c r="H1444" s="4" t="s">
        <v>40</v>
      </c>
      <c r="I1444" s="6">
        <v>185.5</v>
      </c>
      <c r="J1444" s="6">
        <v>185.5</v>
      </c>
      <c r="K1444" s="37" t="s">
        <v>2033</v>
      </c>
      <c r="L1444" s="119"/>
      <c r="M1444" s="3"/>
    </row>
    <row r="1445" spans="1:13" s="4" customFormat="1" ht="14.25" customHeight="1" x14ac:dyDescent="0.25">
      <c r="A1445" s="4" t="s">
        <v>2284</v>
      </c>
      <c r="B1445" s="4" t="s">
        <v>38</v>
      </c>
      <c r="C1445" s="4" t="s">
        <v>14</v>
      </c>
      <c r="D1445" s="35">
        <v>8979</v>
      </c>
      <c r="E1445" s="4" t="s">
        <v>2542</v>
      </c>
      <c r="F1445" s="5">
        <v>40544</v>
      </c>
      <c r="G1445" s="5">
        <v>40773</v>
      </c>
      <c r="H1445" s="4" t="s">
        <v>40</v>
      </c>
      <c r="I1445" s="6">
        <v>223.85</v>
      </c>
      <c r="J1445" s="6">
        <v>223.85</v>
      </c>
      <c r="K1445" s="37" t="s">
        <v>2033</v>
      </c>
      <c r="L1445" s="119"/>
      <c r="M1445" s="3"/>
    </row>
    <row r="1446" spans="1:13" s="4" customFormat="1" ht="14.25" customHeight="1" x14ac:dyDescent="0.25">
      <c r="A1446" s="4" t="s">
        <v>2284</v>
      </c>
      <c r="B1446" s="4" t="s">
        <v>38</v>
      </c>
      <c r="C1446" s="4" t="s">
        <v>14</v>
      </c>
      <c r="D1446" s="35">
        <v>8980</v>
      </c>
      <c r="E1446" s="4" t="s">
        <v>2543</v>
      </c>
      <c r="F1446" s="5">
        <v>40544</v>
      </c>
      <c r="G1446" s="5">
        <v>40703</v>
      </c>
      <c r="H1446" s="4" t="s">
        <v>40</v>
      </c>
      <c r="I1446" s="6">
        <v>585</v>
      </c>
      <c r="J1446" s="6">
        <v>585</v>
      </c>
      <c r="K1446" s="37" t="s">
        <v>2033</v>
      </c>
      <c r="L1446" s="119"/>
      <c r="M1446" s="3"/>
    </row>
    <row r="1447" spans="1:13" s="4" customFormat="1" ht="14.25" customHeight="1" x14ac:dyDescent="0.25">
      <c r="A1447" s="4" t="s">
        <v>2544</v>
      </c>
      <c r="B1447" s="4" t="s">
        <v>38</v>
      </c>
      <c r="C1447" s="4" t="s">
        <v>14</v>
      </c>
      <c r="D1447" s="35">
        <v>8981</v>
      </c>
      <c r="E1447" s="4" t="s">
        <v>2545</v>
      </c>
      <c r="F1447" s="5">
        <v>40544</v>
      </c>
      <c r="G1447" s="5">
        <v>40703</v>
      </c>
      <c r="H1447" s="4" t="s">
        <v>40</v>
      </c>
      <c r="I1447" s="6">
        <v>302.5</v>
      </c>
      <c r="J1447" s="6">
        <v>302.5</v>
      </c>
      <c r="K1447" s="37" t="s">
        <v>2033</v>
      </c>
      <c r="L1447" s="119"/>
      <c r="M1447" s="3"/>
    </row>
    <row r="1448" spans="1:13" s="4" customFormat="1" ht="14.25" customHeight="1" x14ac:dyDescent="0.25">
      <c r="A1448" s="4" t="s">
        <v>2284</v>
      </c>
      <c r="B1448" s="4" t="s">
        <v>38</v>
      </c>
      <c r="C1448" s="4" t="s">
        <v>14</v>
      </c>
      <c r="D1448" s="35">
        <v>8982</v>
      </c>
      <c r="E1448" s="4" t="s">
        <v>2546</v>
      </c>
      <c r="F1448" s="5">
        <v>40544</v>
      </c>
      <c r="G1448" s="5">
        <v>40703</v>
      </c>
      <c r="H1448" s="4" t="s">
        <v>40</v>
      </c>
      <c r="I1448" s="6">
        <v>555</v>
      </c>
      <c r="J1448" s="6">
        <v>555</v>
      </c>
      <c r="K1448" s="37" t="s">
        <v>2033</v>
      </c>
      <c r="L1448" s="119"/>
      <c r="M1448" s="3"/>
    </row>
    <row r="1449" spans="1:13" s="4" customFormat="1" ht="14.25" customHeight="1" x14ac:dyDescent="0.25">
      <c r="A1449" s="4" t="s">
        <v>2547</v>
      </c>
      <c r="B1449" s="4" t="s">
        <v>38</v>
      </c>
      <c r="C1449" s="4" t="s">
        <v>14</v>
      </c>
      <c r="D1449" s="35">
        <v>8983</v>
      </c>
      <c r="E1449" s="4" t="s">
        <v>2548</v>
      </c>
      <c r="F1449" s="5">
        <v>40544</v>
      </c>
      <c r="G1449" s="5">
        <v>41274</v>
      </c>
      <c r="H1449" s="4" t="s">
        <v>40</v>
      </c>
      <c r="I1449" s="6">
        <v>3939.43</v>
      </c>
      <c r="J1449" s="6">
        <v>3939.43</v>
      </c>
      <c r="K1449" s="37" t="s">
        <v>2033</v>
      </c>
      <c r="L1449" s="119"/>
      <c r="M1449" s="3"/>
    </row>
    <row r="1450" spans="1:13" s="4" customFormat="1" ht="14.25" customHeight="1" x14ac:dyDescent="0.25">
      <c r="A1450" s="4" t="s">
        <v>2549</v>
      </c>
      <c r="B1450" s="4" t="s">
        <v>38</v>
      </c>
      <c r="C1450" s="4" t="s">
        <v>14</v>
      </c>
      <c r="D1450" s="35">
        <v>8984</v>
      </c>
      <c r="E1450" s="7" t="s">
        <v>2550</v>
      </c>
      <c r="F1450" s="5">
        <v>40544</v>
      </c>
      <c r="G1450" s="5">
        <v>41274</v>
      </c>
      <c r="H1450" s="4" t="s">
        <v>40</v>
      </c>
      <c r="I1450" s="6">
        <v>12500</v>
      </c>
      <c r="J1450" s="6">
        <v>12500</v>
      </c>
      <c r="K1450" s="37" t="s">
        <v>2033</v>
      </c>
      <c r="L1450" s="119"/>
      <c r="M1450" s="3"/>
    </row>
    <row r="1451" spans="1:13" s="4" customFormat="1" ht="14.25" customHeight="1" x14ac:dyDescent="0.25">
      <c r="A1451" s="4" t="s">
        <v>2551</v>
      </c>
      <c r="B1451" s="4" t="s">
        <v>190</v>
      </c>
      <c r="C1451" s="4" t="s">
        <v>14</v>
      </c>
      <c r="D1451" s="35">
        <v>9523</v>
      </c>
      <c r="E1451" s="4" t="s">
        <v>2552</v>
      </c>
      <c r="F1451" s="5">
        <v>40724</v>
      </c>
      <c r="G1451" s="5">
        <v>40840</v>
      </c>
      <c r="H1451" s="4" t="s">
        <v>40</v>
      </c>
      <c r="I1451" s="6">
        <v>15000</v>
      </c>
      <c r="J1451" s="6">
        <v>15000</v>
      </c>
      <c r="K1451" s="37" t="s">
        <v>2033</v>
      </c>
      <c r="L1451" s="119"/>
      <c r="M1451" s="3"/>
    </row>
    <row r="1452" spans="1:13" s="4" customFormat="1" ht="14.25" customHeight="1" x14ac:dyDescent="0.25">
      <c r="A1452" s="4" t="s">
        <v>2553</v>
      </c>
      <c r="B1452" s="4" t="s">
        <v>59</v>
      </c>
      <c r="C1452" s="4" t="s">
        <v>14</v>
      </c>
      <c r="D1452" s="35">
        <v>9524</v>
      </c>
      <c r="E1452" s="4" t="s">
        <v>2554</v>
      </c>
      <c r="F1452" s="5">
        <v>40724</v>
      </c>
      <c r="G1452" s="5">
        <v>41026</v>
      </c>
      <c r="H1452" s="4" t="s">
        <v>40</v>
      </c>
      <c r="I1452" s="6">
        <v>10000</v>
      </c>
      <c r="J1452" s="6">
        <v>10000</v>
      </c>
      <c r="K1452" s="37" t="s">
        <v>2033</v>
      </c>
      <c r="L1452" s="119"/>
      <c r="M1452" s="3"/>
    </row>
    <row r="1453" spans="1:13" s="4" customFormat="1" ht="14.25" customHeight="1" x14ac:dyDescent="0.25">
      <c r="A1453" s="4" t="s">
        <v>2555</v>
      </c>
      <c r="B1453" s="4" t="s">
        <v>183</v>
      </c>
      <c r="C1453" s="4" t="s">
        <v>14</v>
      </c>
      <c r="D1453" s="35">
        <v>10985</v>
      </c>
      <c r="E1453" s="4" t="s">
        <v>2556</v>
      </c>
      <c r="F1453" s="5">
        <v>40909</v>
      </c>
      <c r="G1453" s="5">
        <v>41274</v>
      </c>
      <c r="H1453" s="4" t="s">
        <v>40</v>
      </c>
      <c r="I1453" s="6">
        <f>36638.18+1540</f>
        <v>38178.18</v>
      </c>
      <c r="J1453" s="6">
        <f>18319.09+770</f>
        <v>19089.09</v>
      </c>
      <c r="K1453" s="37" t="s">
        <v>2033</v>
      </c>
      <c r="L1453" s="119"/>
      <c r="M1453" s="3"/>
    </row>
    <row r="1454" spans="1:13" s="4" customFormat="1" ht="14.25" customHeight="1" x14ac:dyDescent="0.25">
      <c r="A1454" s="4" t="s">
        <v>2557</v>
      </c>
      <c r="B1454" s="4" t="s">
        <v>183</v>
      </c>
      <c r="C1454" s="4" t="s">
        <v>14</v>
      </c>
      <c r="D1454" s="35">
        <v>10986</v>
      </c>
      <c r="E1454" s="4" t="s">
        <v>2558</v>
      </c>
      <c r="F1454" s="5">
        <v>40909</v>
      </c>
      <c r="G1454" s="5">
        <v>41617</v>
      </c>
      <c r="H1454" s="4" t="s">
        <v>40</v>
      </c>
      <c r="I1454" s="6">
        <v>10531.1</v>
      </c>
      <c r="J1454" s="6">
        <f>3825.55+750</f>
        <v>4575.55</v>
      </c>
      <c r="K1454" s="37" t="s">
        <v>2033</v>
      </c>
      <c r="L1454" s="119"/>
      <c r="M1454" s="3"/>
    </row>
    <row r="1455" spans="1:13" s="4" customFormat="1" ht="14.25" customHeight="1" x14ac:dyDescent="0.25">
      <c r="A1455" s="4" t="s">
        <v>2559</v>
      </c>
      <c r="B1455" s="4" t="s">
        <v>183</v>
      </c>
      <c r="C1455" s="4" t="s">
        <v>14</v>
      </c>
      <c r="D1455" s="35">
        <v>10987</v>
      </c>
      <c r="E1455" s="4" t="s">
        <v>2560</v>
      </c>
      <c r="F1455" s="5">
        <v>40945</v>
      </c>
      <c r="G1455" s="5">
        <v>41274</v>
      </c>
      <c r="H1455" s="4" t="s">
        <v>40</v>
      </c>
      <c r="I1455" s="6">
        <v>15000</v>
      </c>
      <c r="J1455" s="6">
        <v>15000</v>
      </c>
      <c r="K1455" s="37" t="s">
        <v>2033</v>
      </c>
      <c r="L1455" s="119"/>
      <c r="M1455" s="3"/>
    </row>
    <row r="1456" spans="1:13" s="4" customFormat="1" ht="14.25" customHeight="1" x14ac:dyDescent="0.25">
      <c r="A1456" s="4" t="s">
        <v>2561</v>
      </c>
      <c r="B1456" s="4" t="s">
        <v>183</v>
      </c>
      <c r="C1456" s="4" t="s">
        <v>14</v>
      </c>
      <c r="D1456" s="35">
        <v>10988</v>
      </c>
      <c r="E1456" s="4" t="s">
        <v>2562</v>
      </c>
      <c r="F1456" s="5">
        <v>40945</v>
      </c>
      <c r="G1456" s="5">
        <v>41274</v>
      </c>
      <c r="H1456" s="4" t="s">
        <v>40</v>
      </c>
      <c r="I1456" s="6">
        <v>30000</v>
      </c>
      <c r="J1456" s="6">
        <v>30000</v>
      </c>
      <c r="K1456" s="37" t="s">
        <v>2033</v>
      </c>
      <c r="L1456" s="119"/>
      <c r="M1456" s="3"/>
    </row>
    <row r="1457" spans="1:13" s="4" customFormat="1" ht="14.25" customHeight="1" x14ac:dyDescent="0.25">
      <c r="A1457" s="4" t="s">
        <v>2563</v>
      </c>
      <c r="B1457" s="4" t="s">
        <v>183</v>
      </c>
      <c r="C1457" s="4" t="s">
        <v>14</v>
      </c>
      <c r="D1457" s="35">
        <v>10989</v>
      </c>
      <c r="E1457" s="4" t="s">
        <v>2564</v>
      </c>
      <c r="F1457" s="5">
        <v>40891</v>
      </c>
      <c r="G1457" s="5">
        <v>41274</v>
      </c>
      <c r="H1457" s="4" t="s">
        <v>40</v>
      </c>
      <c r="I1457" s="6">
        <v>15000</v>
      </c>
      <c r="J1457" s="6">
        <v>15000</v>
      </c>
      <c r="K1457" s="37" t="s">
        <v>2033</v>
      </c>
      <c r="L1457" s="119"/>
      <c r="M1457" s="3"/>
    </row>
    <row r="1458" spans="1:13" s="4" customFormat="1" ht="14.25" customHeight="1" x14ac:dyDescent="0.25">
      <c r="A1458" s="4" t="s">
        <v>2565</v>
      </c>
      <c r="B1458" s="4" t="s">
        <v>183</v>
      </c>
      <c r="C1458" s="4" t="s">
        <v>14</v>
      </c>
      <c r="D1458" s="35">
        <v>10990</v>
      </c>
      <c r="E1458" s="4" t="s">
        <v>2566</v>
      </c>
      <c r="F1458" s="5">
        <v>41086</v>
      </c>
      <c r="G1458" s="5">
        <v>41274</v>
      </c>
      <c r="H1458" s="4" t="s">
        <v>40</v>
      </c>
      <c r="I1458" s="6">
        <v>50000</v>
      </c>
      <c r="J1458" s="6">
        <v>25000</v>
      </c>
      <c r="K1458" s="37" t="s">
        <v>2033</v>
      </c>
      <c r="L1458" s="119"/>
      <c r="M1458" s="3"/>
    </row>
    <row r="1459" spans="1:13" s="4" customFormat="1" ht="14.25" customHeight="1" x14ac:dyDescent="0.25">
      <c r="A1459" s="4" t="s">
        <v>2567</v>
      </c>
      <c r="B1459" s="4" t="s">
        <v>90</v>
      </c>
      <c r="C1459" s="4" t="s">
        <v>14</v>
      </c>
      <c r="D1459" s="35">
        <v>10991</v>
      </c>
      <c r="E1459" s="4" t="s">
        <v>2568</v>
      </c>
      <c r="F1459" s="5">
        <v>40891</v>
      </c>
      <c r="G1459" s="5">
        <v>41274</v>
      </c>
      <c r="H1459" s="4" t="s">
        <v>40</v>
      </c>
      <c r="I1459" s="6">
        <v>9500</v>
      </c>
      <c r="J1459" s="6">
        <v>4750</v>
      </c>
      <c r="K1459" s="37" t="s">
        <v>2033</v>
      </c>
      <c r="L1459" s="119"/>
      <c r="M1459" s="3"/>
    </row>
    <row r="1460" spans="1:13" s="4" customFormat="1" ht="14.25" customHeight="1" x14ac:dyDescent="0.25">
      <c r="A1460" s="4" t="s">
        <v>2569</v>
      </c>
      <c r="B1460" s="4" t="s">
        <v>183</v>
      </c>
      <c r="C1460" s="4" t="s">
        <v>14</v>
      </c>
      <c r="D1460" s="35">
        <v>10993</v>
      </c>
      <c r="E1460" s="4" t="s">
        <v>2570</v>
      </c>
      <c r="F1460" s="5">
        <v>40945</v>
      </c>
      <c r="G1460" s="5">
        <v>41274</v>
      </c>
      <c r="H1460" s="4" t="s">
        <v>40</v>
      </c>
      <c r="I1460" s="6">
        <f>3750+3750</f>
        <v>7500</v>
      </c>
      <c r="J1460" s="6">
        <f>3750+3750</f>
        <v>7500</v>
      </c>
      <c r="K1460" s="37" t="s">
        <v>2033</v>
      </c>
      <c r="L1460" s="119"/>
      <c r="M1460" s="3"/>
    </row>
    <row r="1461" spans="1:13" s="4" customFormat="1" ht="14.25" customHeight="1" x14ac:dyDescent="0.25">
      <c r="A1461" s="4" t="s">
        <v>2571</v>
      </c>
      <c r="B1461" s="4" t="s">
        <v>183</v>
      </c>
      <c r="C1461" s="4" t="s">
        <v>14</v>
      </c>
      <c r="D1461" s="35">
        <v>10996</v>
      </c>
      <c r="E1461" s="4" t="s">
        <v>2572</v>
      </c>
      <c r="F1461" s="5">
        <v>41018</v>
      </c>
      <c r="G1461" s="5">
        <v>41274</v>
      </c>
      <c r="H1461" s="4" t="s">
        <v>40</v>
      </c>
      <c r="I1461" s="6">
        <f>16987+7500</f>
        <v>24487</v>
      </c>
      <c r="J1461" s="6">
        <v>19743.5</v>
      </c>
      <c r="K1461" s="37" t="s">
        <v>2033</v>
      </c>
      <c r="L1461" s="119"/>
      <c r="M1461" s="3"/>
    </row>
    <row r="1462" spans="1:13" s="4" customFormat="1" ht="14.25" customHeight="1" x14ac:dyDescent="0.25">
      <c r="A1462" s="4" t="s">
        <v>2573</v>
      </c>
      <c r="B1462" s="4" t="s">
        <v>38</v>
      </c>
      <c r="C1462" s="4" t="s">
        <v>14</v>
      </c>
      <c r="D1462" s="35">
        <v>11125</v>
      </c>
      <c r="E1462" s="4" t="s">
        <v>2574</v>
      </c>
      <c r="F1462" s="5">
        <v>40909</v>
      </c>
      <c r="G1462" s="5">
        <v>41274</v>
      </c>
      <c r="H1462" s="4" t="s">
        <v>40</v>
      </c>
      <c r="I1462" s="6">
        <v>22688.05</v>
      </c>
      <c r="J1462" s="6">
        <f>13582.65+9105.4</f>
        <v>22688.05</v>
      </c>
      <c r="K1462" s="37" t="s">
        <v>2033</v>
      </c>
      <c r="L1462" s="119"/>
      <c r="M1462" s="3"/>
    </row>
    <row r="1463" spans="1:13" s="4" customFormat="1" ht="14.25" customHeight="1" x14ac:dyDescent="0.25">
      <c r="A1463" s="4" t="s">
        <v>2575</v>
      </c>
      <c r="B1463" s="4" t="s">
        <v>38</v>
      </c>
      <c r="C1463" s="4" t="s">
        <v>14</v>
      </c>
      <c r="D1463" s="35">
        <v>11129</v>
      </c>
      <c r="E1463" s="4" t="s">
        <v>2576</v>
      </c>
      <c r="F1463" s="5">
        <v>40909</v>
      </c>
      <c r="G1463" s="5">
        <v>41274</v>
      </c>
      <c r="H1463" s="4" t="s">
        <v>40</v>
      </c>
      <c r="I1463" s="6">
        <v>5961.78</v>
      </c>
      <c r="J1463" s="6">
        <v>2980.89</v>
      </c>
      <c r="K1463" s="37" t="s">
        <v>2033</v>
      </c>
      <c r="L1463" s="119"/>
      <c r="M1463" s="3"/>
    </row>
    <row r="1464" spans="1:13" s="4" customFormat="1" ht="14.25" customHeight="1" x14ac:dyDescent="0.25">
      <c r="A1464" s="4" t="s">
        <v>2577</v>
      </c>
      <c r="B1464" s="4" t="s">
        <v>38</v>
      </c>
      <c r="C1464" s="4" t="s">
        <v>14</v>
      </c>
      <c r="D1464" s="35">
        <v>11130</v>
      </c>
      <c r="E1464" s="4" t="s">
        <v>2578</v>
      </c>
      <c r="F1464" s="5">
        <v>40909</v>
      </c>
      <c r="G1464" s="5">
        <v>41274</v>
      </c>
      <c r="H1464" s="4" t="s">
        <v>40</v>
      </c>
      <c r="I1464" s="6">
        <v>31401.599999999999</v>
      </c>
      <c r="J1464" s="6">
        <f>18311.2+13090.4</f>
        <v>31401.599999999999</v>
      </c>
      <c r="K1464" s="37" t="s">
        <v>2033</v>
      </c>
      <c r="L1464" s="119"/>
      <c r="M1464" s="3"/>
    </row>
    <row r="1465" spans="1:13" s="4" customFormat="1" ht="14.25" customHeight="1" x14ac:dyDescent="0.25">
      <c r="A1465" s="4" t="s">
        <v>2579</v>
      </c>
      <c r="B1465" s="4" t="s">
        <v>38</v>
      </c>
      <c r="C1465" s="4" t="s">
        <v>14</v>
      </c>
      <c r="D1465" s="35">
        <v>11136</v>
      </c>
      <c r="E1465" s="4" t="s">
        <v>2580</v>
      </c>
      <c r="F1465" s="5">
        <v>40909</v>
      </c>
      <c r="G1465" s="5">
        <v>41274</v>
      </c>
      <c r="H1465" s="4" t="s">
        <v>40</v>
      </c>
      <c r="I1465" s="6">
        <v>740</v>
      </c>
      <c r="J1465" s="6">
        <v>740</v>
      </c>
      <c r="K1465" s="37" t="s">
        <v>2033</v>
      </c>
      <c r="L1465" s="119"/>
      <c r="M1465" s="3"/>
    </row>
    <row r="1466" spans="1:13" s="4" customFormat="1" ht="14.25" customHeight="1" x14ac:dyDescent="0.25">
      <c r="A1466" s="4" t="s">
        <v>2581</v>
      </c>
      <c r="B1466" s="4" t="s">
        <v>38</v>
      </c>
      <c r="C1466" s="4" t="s">
        <v>14</v>
      </c>
      <c r="D1466" s="35">
        <v>11138</v>
      </c>
      <c r="E1466" s="4" t="s">
        <v>2582</v>
      </c>
      <c r="F1466" s="5">
        <v>40909</v>
      </c>
      <c r="G1466" s="5">
        <v>41274</v>
      </c>
      <c r="H1466" s="4" t="s">
        <v>40</v>
      </c>
      <c r="I1466" s="6">
        <f>1700+1142.28</f>
        <v>2842.2799999999997</v>
      </c>
      <c r="J1466" s="6">
        <f>850+571.14</f>
        <v>1421.1399999999999</v>
      </c>
      <c r="K1466" s="37" t="s">
        <v>2033</v>
      </c>
      <c r="L1466" s="119"/>
      <c r="M1466" s="3"/>
    </row>
    <row r="1467" spans="1:13" s="4" customFormat="1" ht="14.25" customHeight="1" x14ac:dyDescent="0.25">
      <c r="A1467" s="4" t="s">
        <v>2583</v>
      </c>
      <c r="B1467" s="4" t="s">
        <v>38</v>
      </c>
      <c r="C1467" s="4" t="s">
        <v>14</v>
      </c>
      <c r="D1467" s="35">
        <v>11139</v>
      </c>
      <c r="E1467" s="4" t="s">
        <v>2584</v>
      </c>
      <c r="F1467" s="5">
        <v>40909</v>
      </c>
      <c r="G1467" s="5">
        <v>41274</v>
      </c>
      <c r="H1467" s="4" t="s">
        <v>40</v>
      </c>
      <c r="I1467" s="6">
        <v>1841.47</v>
      </c>
      <c r="J1467" s="6">
        <v>1841.47</v>
      </c>
      <c r="K1467" s="37" t="s">
        <v>2033</v>
      </c>
      <c r="L1467" s="119"/>
      <c r="M1467" s="3"/>
    </row>
    <row r="1468" spans="1:13" s="4" customFormat="1" ht="14.25" customHeight="1" x14ac:dyDescent="0.25">
      <c r="A1468" s="4" t="s">
        <v>2585</v>
      </c>
      <c r="B1468" s="4" t="s">
        <v>38</v>
      </c>
      <c r="C1468" s="4" t="s">
        <v>14</v>
      </c>
      <c r="D1468" s="35">
        <v>11140</v>
      </c>
      <c r="E1468" s="4" t="s">
        <v>2586</v>
      </c>
      <c r="F1468" s="5">
        <v>40909</v>
      </c>
      <c r="G1468" s="5">
        <v>41274</v>
      </c>
      <c r="H1468" s="4" t="s">
        <v>40</v>
      </c>
      <c r="I1468" s="6">
        <v>2281</v>
      </c>
      <c r="J1468" s="6">
        <f>390+1891</f>
        <v>2281</v>
      </c>
      <c r="K1468" s="37" t="s">
        <v>2033</v>
      </c>
      <c r="L1468" s="119"/>
      <c r="M1468" s="3"/>
    </row>
    <row r="1469" spans="1:13" ht="14.25" customHeight="1" x14ac:dyDescent="0.25">
      <c r="A1469" s="13" t="s">
        <v>10270</v>
      </c>
      <c r="B1469" s="13" t="s">
        <v>38</v>
      </c>
      <c r="C1469" s="13" t="s">
        <v>14</v>
      </c>
      <c r="D1469" s="19">
        <v>11142</v>
      </c>
      <c r="E1469" s="13" t="s">
        <v>10271</v>
      </c>
      <c r="F1469" s="14">
        <v>40909</v>
      </c>
      <c r="G1469" s="14">
        <v>41639</v>
      </c>
      <c r="H1469" s="13" t="s">
        <v>651</v>
      </c>
      <c r="I1469" s="18">
        <v>15285</v>
      </c>
      <c r="J1469" s="18">
        <v>15285</v>
      </c>
      <c r="K1469" s="20" t="s">
        <v>2033</v>
      </c>
    </row>
    <row r="1470" spans="1:13" s="4" customFormat="1" ht="14.25" customHeight="1" x14ac:dyDescent="0.25">
      <c r="A1470" s="4" t="s">
        <v>2587</v>
      </c>
      <c r="B1470" s="4" t="s">
        <v>38</v>
      </c>
      <c r="C1470" s="4" t="s">
        <v>14</v>
      </c>
      <c r="D1470" s="35">
        <v>11143</v>
      </c>
      <c r="E1470" s="4" t="s">
        <v>2588</v>
      </c>
      <c r="F1470" s="5">
        <v>40909</v>
      </c>
      <c r="G1470" s="5">
        <v>41274</v>
      </c>
      <c r="H1470" s="4" t="s">
        <v>40</v>
      </c>
      <c r="I1470" s="6">
        <v>3000</v>
      </c>
      <c r="J1470" s="6">
        <v>1500</v>
      </c>
      <c r="K1470" s="37" t="s">
        <v>2033</v>
      </c>
      <c r="L1470" s="119"/>
      <c r="M1470" s="3"/>
    </row>
    <row r="1471" spans="1:13" s="4" customFormat="1" ht="14.25" customHeight="1" x14ac:dyDescent="0.25">
      <c r="A1471" s="4" t="s">
        <v>2589</v>
      </c>
      <c r="B1471" s="4" t="s">
        <v>190</v>
      </c>
      <c r="C1471" s="4" t="s">
        <v>14</v>
      </c>
      <c r="D1471" s="35">
        <v>11175</v>
      </c>
      <c r="E1471" s="4" t="s">
        <v>2590</v>
      </c>
      <c r="F1471" s="5">
        <v>40909</v>
      </c>
      <c r="G1471" s="5">
        <v>41274</v>
      </c>
      <c r="H1471" s="4" t="s">
        <v>40</v>
      </c>
      <c r="I1471" s="6">
        <f>18823.24+23750</f>
        <v>42573.240000000005</v>
      </c>
      <c r="J1471" s="6">
        <f>11286.62+23750</f>
        <v>35036.620000000003</v>
      </c>
      <c r="K1471" s="37" t="s">
        <v>2033</v>
      </c>
      <c r="L1471" s="119"/>
      <c r="M1471" s="3"/>
    </row>
    <row r="1472" spans="1:13" ht="14.25" customHeight="1" x14ac:dyDescent="0.25">
      <c r="A1472" s="13" t="s">
        <v>10272</v>
      </c>
      <c r="B1472" s="13" t="s">
        <v>10192</v>
      </c>
      <c r="C1472" s="13" t="s">
        <v>14</v>
      </c>
      <c r="D1472" s="19">
        <v>12749</v>
      </c>
      <c r="E1472" s="13" t="s">
        <v>10273</v>
      </c>
      <c r="F1472" s="14">
        <v>41275</v>
      </c>
      <c r="G1472" s="14">
        <v>41639</v>
      </c>
      <c r="H1472" s="13" t="s">
        <v>651</v>
      </c>
      <c r="I1472" s="18">
        <v>10000</v>
      </c>
      <c r="J1472" s="18">
        <v>10000</v>
      </c>
      <c r="K1472" s="20" t="s">
        <v>2033</v>
      </c>
    </row>
    <row r="1473" spans="1:11" ht="14.25" customHeight="1" x14ac:dyDescent="0.25">
      <c r="A1473" s="13" t="s">
        <v>10274</v>
      </c>
      <c r="B1473" s="13" t="s">
        <v>10220</v>
      </c>
      <c r="C1473" s="13" t="s">
        <v>14</v>
      </c>
      <c r="D1473" s="19">
        <v>12750</v>
      </c>
      <c r="E1473" s="13" t="s">
        <v>10275</v>
      </c>
      <c r="F1473" s="14">
        <v>41275</v>
      </c>
      <c r="G1473" s="14">
        <v>41639</v>
      </c>
      <c r="H1473" s="13" t="s">
        <v>651</v>
      </c>
      <c r="I1473" s="18">
        <v>13261.32</v>
      </c>
      <c r="J1473" s="18">
        <v>6630.66</v>
      </c>
      <c r="K1473" s="20" t="s">
        <v>2033</v>
      </c>
    </row>
    <row r="1474" spans="1:11" ht="14.25" customHeight="1" x14ac:dyDescent="0.25">
      <c r="A1474" s="13" t="s">
        <v>10274</v>
      </c>
      <c r="B1474" s="13" t="s">
        <v>10192</v>
      </c>
      <c r="C1474" s="13" t="s">
        <v>14</v>
      </c>
      <c r="D1474" s="19">
        <v>12755</v>
      </c>
      <c r="E1474" s="13" t="s">
        <v>10276</v>
      </c>
      <c r="F1474" s="14">
        <v>41275</v>
      </c>
      <c r="G1474" s="14">
        <v>41639</v>
      </c>
      <c r="H1474" s="13" t="s">
        <v>651</v>
      </c>
      <c r="I1474" s="18">
        <v>7500</v>
      </c>
      <c r="J1474" s="18">
        <v>7500</v>
      </c>
      <c r="K1474" s="20" t="s">
        <v>2033</v>
      </c>
    </row>
    <row r="1475" spans="1:11" ht="14.25" customHeight="1" x14ac:dyDescent="0.25">
      <c r="A1475" s="13" t="s">
        <v>10277</v>
      </c>
      <c r="B1475" s="13" t="s">
        <v>10192</v>
      </c>
      <c r="C1475" s="13" t="s">
        <v>14</v>
      </c>
      <c r="D1475" s="19">
        <v>12756</v>
      </c>
      <c r="E1475" s="13" t="s">
        <v>10278</v>
      </c>
      <c r="F1475" s="14">
        <v>41275</v>
      </c>
      <c r="G1475" s="14">
        <v>41639</v>
      </c>
      <c r="H1475" s="13" t="s">
        <v>651</v>
      </c>
      <c r="I1475" s="18">
        <v>10000.42</v>
      </c>
      <c r="J1475" s="18">
        <v>5000.21</v>
      </c>
      <c r="K1475" s="20" t="s">
        <v>2033</v>
      </c>
    </row>
    <row r="1476" spans="1:11" ht="14.25" customHeight="1" x14ac:dyDescent="0.25">
      <c r="A1476" s="13" t="s">
        <v>10279</v>
      </c>
      <c r="B1476" s="13" t="s">
        <v>10195</v>
      </c>
      <c r="C1476" s="13" t="s">
        <v>14</v>
      </c>
      <c r="D1476" s="19">
        <v>12757</v>
      </c>
      <c r="E1476" s="13" t="s">
        <v>10280</v>
      </c>
      <c r="F1476" s="14">
        <v>41275</v>
      </c>
      <c r="G1476" s="14">
        <v>41639</v>
      </c>
      <c r="H1476" s="13" t="s">
        <v>651</v>
      </c>
      <c r="I1476" s="18">
        <v>22691.42</v>
      </c>
      <c r="J1476" s="18">
        <v>12470.71</v>
      </c>
      <c r="K1476" s="20" t="s">
        <v>2033</v>
      </c>
    </row>
    <row r="1477" spans="1:11" ht="14.25" customHeight="1" x14ac:dyDescent="0.25">
      <c r="A1477" s="13" t="s">
        <v>10281</v>
      </c>
      <c r="B1477" s="13" t="s">
        <v>10192</v>
      </c>
      <c r="C1477" s="13" t="s">
        <v>14</v>
      </c>
      <c r="D1477" s="19">
        <v>12759</v>
      </c>
      <c r="E1477" s="13" t="s">
        <v>10282</v>
      </c>
      <c r="F1477" s="14">
        <v>41275</v>
      </c>
      <c r="G1477" s="14">
        <v>41639</v>
      </c>
      <c r="H1477" s="13" t="s">
        <v>651</v>
      </c>
      <c r="I1477" s="18">
        <v>12739.32</v>
      </c>
      <c r="J1477" s="18">
        <v>11369.66</v>
      </c>
      <c r="K1477" s="20" t="s">
        <v>2033</v>
      </c>
    </row>
    <row r="1478" spans="1:11" ht="14.25" customHeight="1" x14ac:dyDescent="0.25">
      <c r="A1478" s="13" t="s">
        <v>10283</v>
      </c>
      <c r="B1478" s="13" t="s">
        <v>10192</v>
      </c>
      <c r="C1478" s="13" t="s">
        <v>14</v>
      </c>
      <c r="D1478" s="19">
        <v>12760</v>
      </c>
      <c r="E1478" s="13" t="s">
        <v>10284</v>
      </c>
      <c r="F1478" s="14">
        <v>41275</v>
      </c>
      <c r="G1478" s="14">
        <v>41639</v>
      </c>
      <c r="H1478" s="13" t="s">
        <v>651</v>
      </c>
      <c r="I1478" s="18">
        <v>43225.52</v>
      </c>
      <c r="J1478" s="18">
        <v>27237.759999999998</v>
      </c>
      <c r="K1478" s="20" t="s">
        <v>2033</v>
      </c>
    </row>
    <row r="1479" spans="1:11" ht="14.25" customHeight="1" x14ac:dyDescent="0.25">
      <c r="A1479" s="13" t="s">
        <v>10285</v>
      </c>
      <c r="B1479" s="13" t="s">
        <v>10192</v>
      </c>
      <c r="C1479" s="13" t="s">
        <v>14</v>
      </c>
      <c r="D1479" s="19">
        <v>12762</v>
      </c>
      <c r="E1479" s="13" t="s">
        <v>10286</v>
      </c>
      <c r="F1479" s="14">
        <v>41275</v>
      </c>
      <c r="G1479" s="14">
        <v>41639</v>
      </c>
      <c r="H1479" s="13" t="s">
        <v>651</v>
      </c>
      <c r="I1479" s="18">
        <v>17235</v>
      </c>
      <c r="J1479" s="18">
        <v>12367.5</v>
      </c>
      <c r="K1479" s="20" t="s">
        <v>2033</v>
      </c>
    </row>
    <row r="1480" spans="1:11" ht="14.25" customHeight="1" x14ac:dyDescent="0.25">
      <c r="A1480" s="13" t="s">
        <v>10287</v>
      </c>
      <c r="B1480" s="13" t="s">
        <v>10192</v>
      </c>
      <c r="C1480" s="13" t="s">
        <v>14</v>
      </c>
      <c r="D1480" s="19">
        <v>12763</v>
      </c>
      <c r="E1480" s="13" t="s">
        <v>10288</v>
      </c>
      <c r="F1480" s="14">
        <v>41275</v>
      </c>
      <c r="G1480" s="14">
        <v>41639</v>
      </c>
      <c r="H1480" s="13" t="s">
        <v>651</v>
      </c>
      <c r="I1480" s="18">
        <v>15000</v>
      </c>
      <c r="J1480" s="18">
        <v>15000</v>
      </c>
      <c r="K1480" s="20" t="s">
        <v>2033</v>
      </c>
    </row>
    <row r="1481" spans="1:11" ht="14.25" customHeight="1" x14ac:dyDescent="0.25">
      <c r="A1481" s="13" t="s">
        <v>10289</v>
      </c>
      <c r="B1481" s="13" t="s">
        <v>10195</v>
      </c>
      <c r="C1481" s="13" t="s">
        <v>14</v>
      </c>
      <c r="D1481" s="19">
        <v>12765</v>
      </c>
      <c r="E1481" s="13" t="s">
        <v>10290</v>
      </c>
      <c r="F1481" s="14">
        <v>41275</v>
      </c>
      <c r="G1481" s="14">
        <v>41639</v>
      </c>
      <c r="H1481" s="13" t="s">
        <v>651</v>
      </c>
      <c r="I1481" s="18">
        <v>31770.76</v>
      </c>
      <c r="J1481" s="18">
        <v>19635.38</v>
      </c>
      <c r="K1481" s="20" t="s">
        <v>2033</v>
      </c>
    </row>
    <row r="1482" spans="1:11" ht="14.25" customHeight="1" x14ac:dyDescent="0.25">
      <c r="A1482" s="13" t="s">
        <v>10291</v>
      </c>
      <c r="B1482" s="13" t="s">
        <v>10192</v>
      </c>
      <c r="C1482" s="13" t="s">
        <v>14</v>
      </c>
      <c r="D1482" s="19">
        <v>12766</v>
      </c>
      <c r="E1482" s="13" t="s">
        <v>10292</v>
      </c>
      <c r="F1482" s="14">
        <v>41275</v>
      </c>
      <c r="G1482" s="14">
        <v>41639</v>
      </c>
      <c r="H1482" s="13" t="s">
        <v>651</v>
      </c>
      <c r="I1482" s="18">
        <v>7500</v>
      </c>
      <c r="J1482" s="18">
        <v>7500</v>
      </c>
      <c r="K1482" s="20" t="s">
        <v>2033</v>
      </c>
    </row>
    <row r="1483" spans="1:11" ht="14.25" customHeight="1" x14ac:dyDescent="0.25">
      <c r="A1483" s="13" t="s">
        <v>10293</v>
      </c>
      <c r="B1483" s="13" t="s">
        <v>10192</v>
      </c>
      <c r="C1483" s="13" t="s">
        <v>14</v>
      </c>
      <c r="D1483" s="19">
        <v>12767</v>
      </c>
      <c r="E1483" s="13" t="s">
        <v>10294</v>
      </c>
      <c r="F1483" s="14">
        <v>41275</v>
      </c>
      <c r="G1483" s="14">
        <v>41639</v>
      </c>
      <c r="H1483" s="13" t="s">
        <v>651</v>
      </c>
      <c r="I1483" s="18">
        <v>11963.6</v>
      </c>
      <c r="J1483" s="18">
        <v>5981.8</v>
      </c>
      <c r="K1483" s="20" t="s">
        <v>2033</v>
      </c>
    </row>
    <row r="1484" spans="1:11" ht="14.25" customHeight="1" x14ac:dyDescent="0.25">
      <c r="A1484" s="13" t="s">
        <v>10295</v>
      </c>
      <c r="B1484" s="13" t="s">
        <v>10220</v>
      </c>
      <c r="C1484" s="13" t="s">
        <v>14</v>
      </c>
      <c r="D1484" s="19">
        <v>12769</v>
      </c>
      <c r="E1484" s="13" t="s">
        <v>10296</v>
      </c>
      <c r="F1484" s="14">
        <v>41275</v>
      </c>
      <c r="G1484" s="14">
        <v>41639</v>
      </c>
      <c r="H1484" s="13" t="s">
        <v>651</v>
      </c>
      <c r="I1484" s="18">
        <v>10000</v>
      </c>
      <c r="J1484" s="18">
        <v>5000</v>
      </c>
      <c r="K1484" s="20" t="s">
        <v>2033</v>
      </c>
    </row>
    <row r="1485" spans="1:11" ht="14.25" customHeight="1" x14ac:dyDescent="0.25">
      <c r="A1485" s="13" t="s">
        <v>10297</v>
      </c>
      <c r="B1485" s="13" t="s">
        <v>10192</v>
      </c>
      <c r="C1485" s="13" t="s">
        <v>14</v>
      </c>
      <c r="D1485" s="19">
        <v>12770</v>
      </c>
      <c r="E1485" s="13" t="s">
        <v>10298</v>
      </c>
      <c r="F1485" s="14">
        <v>41275</v>
      </c>
      <c r="G1485" s="14">
        <v>41639</v>
      </c>
      <c r="H1485" s="13" t="s">
        <v>651</v>
      </c>
      <c r="I1485" s="18">
        <v>15000</v>
      </c>
      <c r="J1485" s="18">
        <v>15000</v>
      </c>
      <c r="K1485" s="20" t="s">
        <v>2033</v>
      </c>
    </row>
    <row r="1486" spans="1:11" ht="14.25" customHeight="1" x14ac:dyDescent="0.25">
      <c r="A1486" s="13" t="s">
        <v>10301</v>
      </c>
      <c r="B1486" s="13" t="s">
        <v>10192</v>
      </c>
      <c r="C1486" s="13" t="s">
        <v>14</v>
      </c>
      <c r="D1486" s="19">
        <v>12773</v>
      </c>
      <c r="E1486" s="13" t="s">
        <v>10302</v>
      </c>
      <c r="F1486" s="14">
        <v>41275</v>
      </c>
      <c r="G1486" s="14">
        <v>41639</v>
      </c>
      <c r="H1486" s="13" t="s">
        <v>651</v>
      </c>
      <c r="I1486" s="18">
        <v>2969.51</v>
      </c>
      <c r="J1486" s="18">
        <v>1484.74</v>
      </c>
      <c r="K1486" s="20" t="s">
        <v>2033</v>
      </c>
    </row>
    <row r="1487" spans="1:11" ht="14.25" customHeight="1" x14ac:dyDescent="0.25">
      <c r="A1487" s="13" t="s">
        <v>10303</v>
      </c>
      <c r="B1487" s="13" t="s">
        <v>10192</v>
      </c>
      <c r="C1487" s="13" t="s">
        <v>14</v>
      </c>
      <c r="D1487" s="19">
        <v>12774</v>
      </c>
      <c r="E1487" s="13" t="s">
        <v>10304</v>
      </c>
      <c r="F1487" s="14">
        <v>41275</v>
      </c>
      <c r="G1487" s="14">
        <v>41639</v>
      </c>
      <c r="H1487" s="13" t="s">
        <v>651</v>
      </c>
      <c r="I1487" s="18">
        <v>2900</v>
      </c>
      <c r="J1487" s="18">
        <v>1450</v>
      </c>
      <c r="K1487" s="20" t="s">
        <v>2033</v>
      </c>
    </row>
    <row r="1488" spans="1:11" ht="14.25" customHeight="1" x14ac:dyDescent="0.25">
      <c r="A1488" s="13" t="s">
        <v>10305</v>
      </c>
      <c r="B1488" s="13" t="s">
        <v>10192</v>
      </c>
      <c r="C1488" s="13" t="s">
        <v>14</v>
      </c>
      <c r="D1488" s="19">
        <v>12775</v>
      </c>
      <c r="E1488" s="13" t="s">
        <v>10306</v>
      </c>
      <c r="F1488" s="14">
        <v>41275</v>
      </c>
      <c r="G1488" s="14">
        <v>41639</v>
      </c>
      <c r="H1488" s="13" t="s">
        <v>651</v>
      </c>
      <c r="I1488" s="18">
        <v>7169.7</v>
      </c>
      <c r="J1488" s="18">
        <v>3584.85</v>
      </c>
      <c r="K1488" s="20" t="s">
        <v>2033</v>
      </c>
    </row>
    <row r="1489" spans="1:60" ht="14.25" customHeight="1" x14ac:dyDescent="0.25">
      <c r="A1489" s="13" t="s">
        <v>10307</v>
      </c>
      <c r="B1489" s="13" t="s">
        <v>10220</v>
      </c>
      <c r="C1489" s="13" t="s">
        <v>14</v>
      </c>
      <c r="D1489" s="19">
        <v>12776</v>
      </c>
      <c r="E1489" s="13" t="s">
        <v>10308</v>
      </c>
      <c r="F1489" s="14">
        <v>41275</v>
      </c>
      <c r="G1489" s="14">
        <v>41639</v>
      </c>
      <c r="H1489" s="13" t="s">
        <v>651</v>
      </c>
      <c r="I1489" s="18">
        <v>5000</v>
      </c>
      <c r="J1489" s="18">
        <v>2500</v>
      </c>
      <c r="K1489" s="20" t="s">
        <v>2033</v>
      </c>
    </row>
    <row r="1490" spans="1:60" ht="14.25" customHeight="1" x14ac:dyDescent="0.25">
      <c r="A1490" s="13" t="s">
        <v>10309</v>
      </c>
      <c r="B1490" s="13" t="s">
        <v>10192</v>
      </c>
      <c r="C1490" s="13" t="s">
        <v>14</v>
      </c>
      <c r="D1490" s="19">
        <v>12777</v>
      </c>
      <c r="E1490" s="13" t="s">
        <v>10310</v>
      </c>
      <c r="F1490" s="14">
        <v>41275</v>
      </c>
      <c r="G1490" s="14">
        <v>41639</v>
      </c>
      <c r="H1490" s="13" t="s">
        <v>651</v>
      </c>
      <c r="I1490" s="18">
        <v>3750</v>
      </c>
      <c r="J1490" s="18">
        <v>3750</v>
      </c>
      <c r="K1490" s="20" t="s">
        <v>2033</v>
      </c>
    </row>
    <row r="1491" spans="1:60" ht="14.25" customHeight="1" x14ac:dyDescent="0.25">
      <c r="A1491" s="13" t="s">
        <v>10311</v>
      </c>
      <c r="B1491" s="13" t="s">
        <v>38</v>
      </c>
      <c r="C1491" s="13" t="s">
        <v>14</v>
      </c>
      <c r="D1491" s="19">
        <v>12778</v>
      </c>
      <c r="E1491" s="13" t="s">
        <v>10312</v>
      </c>
      <c r="F1491" s="14">
        <v>41275</v>
      </c>
      <c r="G1491" s="14">
        <v>41639</v>
      </c>
      <c r="H1491" s="13" t="s">
        <v>651</v>
      </c>
      <c r="I1491" s="18">
        <v>3000</v>
      </c>
      <c r="J1491" s="18">
        <v>3000</v>
      </c>
      <c r="K1491" s="20" t="s">
        <v>2033</v>
      </c>
    </row>
    <row r="1492" spans="1:60" ht="14.25" customHeight="1" x14ac:dyDescent="0.25">
      <c r="A1492" s="13" t="s">
        <v>10313</v>
      </c>
      <c r="B1492" s="13" t="s">
        <v>38</v>
      </c>
      <c r="C1492" s="13" t="s">
        <v>14</v>
      </c>
      <c r="D1492" s="19">
        <v>12779</v>
      </c>
      <c r="E1492" s="13" t="s">
        <v>10314</v>
      </c>
      <c r="F1492" s="14">
        <v>41275</v>
      </c>
      <c r="G1492" s="14">
        <v>41639</v>
      </c>
      <c r="H1492" s="13" t="s">
        <v>651</v>
      </c>
      <c r="I1492" s="18">
        <f>14728.61+140</f>
        <v>14868.61</v>
      </c>
      <c r="J1492" s="18">
        <v>14728.61</v>
      </c>
      <c r="K1492" s="20" t="s">
        <v>2033</v>
      </c>
    </row>
    <row r="1493" spans="1:60" ht="14.25" customHeight="1" x14ac:dyDescent="0.25">
      <c r="A1493" s="13" t="s">
        <v>10315</v>
      </c>
      <c r="B1493" s="13" t="s">
        <v>38</v>
      </c>
      <c r="C1493" s="13" t="s">
        <v>14</v>
      </c>
      <c r="D1493" s="19">
        <v>12780</v>
      </c>
      <c r="E1493" s="13" t="s">
        <v>10316</v>
      </c>
      <c r="F1493" s="14">
        <v>41275</v>
      </c>
      <c r="G1493" s="14">
        <v>41639</v>
      </c>
      <c r="H1493" s="13" t="s">
        <v>651</v>
      </c>
      <c r="I1493" s="18">
        <v>9941</v>
      </c>
      <c r="J1493" s="18">
        <v>9941</v>
      </c>
      <c r="K1493" s="20" t="s">
        <v>2033</v>
      </c>
    </row>
    <row r="1494" spans="1:60" ht="14.25" customHeight="1" x14ac:dyDescent="0.25">
      <c r="A1494" s="13" t="s">
        <v>9934</v>
      </c>
      <c r="B1494" s="13" t="s">
        <v>38</v>
      </c>
      <c r="C1494" s="13" t="s">
        <v>14</v>
      </c>
      <c r="D1494" s="19">
        <v>12781</v>
      </c>
      <c r="E1494" s="13" t="s">
        <v>10317</v>
      </c>
      <c r="F1494" s="14">
        <v>41275</v>
      </c>
      <c r="G1494" s="14">
        <v>41639</v>
      </c>
      <c r="H1494" s="13" t="s">
        <v>651</v>
      </c>
      <c r="I1494" s="18">
        <v>500</v>
      </c>
      <c r="J1494" s="18">
        <v>500</v>
      </c>
      <c r="K1494" s="20" t="s">
        <v>2033</v>
      </c>
    </row>
    <row r="1495" spans="1:60" ht="14.25" customHeight="1" x14ac:dyDescent="0.25">
      <c r="A1495" s="13" t="s">
        <v>10318</v>
      </c>
      <c r="B1495" s="13" t="s">
        <v>38</v>
      </c>
      <c r="C1495" s="13" t="s">
        <v>14</v>
      </c>
      <c r="D1495" s="19">
        <v>12785</v>
      </c>
      <c r="E1495" s="13" t="s">
        <v>10319</v>
      </c>
      <c r="F1495" s="14">
        <v>41275</v>
      </c>
      <c r="G1495" s="14">
        <v>41639</v>
      </c>
      <c r="H1495" s="13" t="s">
        <v>651</v>
      </c>
      <c r="I1495" s="18">
        <v>2500</v>
      </c>
      <c r="J1495" s="18">
        <v>2500</v>
      </c>
      <c r="K1495" s="20" t="s">
        <v>2033</v>
      </c>
    </row>
    <row r="1496" spans="1:60" ht="14.25" customHeight="1" x14ac:dyDescent="0.25">
      <c r="A1496" s="13" t="s">
        <v>10320</v>
      </c>
      <c r="B1496" s="13" t="s">
        <v>38</v>
      </c>
      <c r="C1496" s="13" t="s">
        <v>14</v>
      </c>
      <c r="D1496" s="19">
        <v>12788</v>
      </c>
      <c r="E1496" s="13" t="s">
        <v>10321</v>
      </c>
      <c r="F1496" s="14">
        <v>41275</v>
      </c>
      <c r="G1496" s="14">
        <v>41639</v>
      </c>
      <c r="H1496" s="13" t="s">
        <v>651</v>
      </c>
      <c r="I1496" s="18">
        <v>9603.4</v>
      </c>
      <c r="J1496" s="18">
        <v>9603.4</v>
      </c>
      <c r="K1496" s="20" t="s">
        <v>2033</v>
      </c>
    </row>
    <row r="1497" spans="1:60" s="4" customFormat="1" ht="14.25" customHeight="1" x14ac:dyDescent="0.25">
      <c r="A1497" s="9" t="s">
        <v>2591</v>
      </c>
      <c r="B1497" s="9" t="s">
        <v>13</v>
      </c>
      <c r="C1497" s="9" t="s">
        <v>2033</v>
      </c>
      <c r="D1497" s="90">
        <v>3591</v>
      </c>
      <c r="E1497" s="15" t="s">
        <v>2592</v>
      </c>
      <c r="F1497" s="11">
        <v>39083</v>
      </c>
      <c r="G1497" s="11">
        <v>42369</v>
      </c>
      <c r="H1497" s="9" t="s">
        <v>2593</v>
      </c>
      <c r="I1497" s="16">
        <v>1052668.8600000001</v>
      </c>
      <c r="J1497" s="16">
        <v>1052668.8600000001</v>
      </c>
      <c r="K1497" s="112" t="s">
        <v>2033</v>
      </c>
      <c r="L1497" s="121"/>
      <c r="M1497" s="12"/>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c r="AS1497" s="9"/>
      <c r="AT1497" s="9"/>
      <c r="AU1497" s="9"/>
      <c r="AV1497" s="9"/>
      <c r="AW1497" s="9"/>
      <c r="AX1497" s="9"/>
      <c r="AY1497" s="9"/>
      <c r="AZ1497" s="9"/>
      <c r="BA1497" s="9"/>
      <c r="BB1497" s="9"/>
      <c r="BC1497" s="9"/>
      <c r="BD1497" s="9"/>
      <c r="BE1497" s="9"/>
      <c r="BF1497" s="9"/>
      <c r="BG1497" s="9"/>
      <c r="BH1497" s="9"/>
    </row>
    <row r="1498" spans="1:60" s="4" customFormat="1" ht="14.25" customHeight="1" x14ac:dyDescent="0.25">
      <c r="A1498" s="9" t="s">
        <v>2594</v>
      </c>
      <c r="B1498" s="9" t="s">
        <v>13</v>
      </c>
      <c r="C1498" s="9" t="s">
        <v>2033</v>
      </c>
      <c r="D1498" s="90">
        <v>3596</v>
      </c>
      <c r="E1498" s="15" t="s">
        <v>2595</v>
      </c>
      <c r="F1498" s="11">
        <v>39083</v>
      </c>
      <c r="G1498" s="11">
        <v>42369</v>
      </c>
      <c r="H1498" s="9" t="s">
        <v>2593</v>
      </c>
      <c r="I1498" s="16">
        <v>441522.26</v>
      </c>
      <c r="J1498" s="16">
        <v>441522.26</v>
      </c>
      <c r="K1498" s="112" t="s">
        <v>2033</v>
      </c>
      <c r="L1498" s="121"/>
      <c r="M1498" s="12"/>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c r="AS1498" s="9"/>
      <c r="AT1498" s="9"/>
      <c r="AU1498" s="9"/>
      <c r="AV1498" s="9"/>
      <c r="AW1498" s="9"/>
      <c r="AX1498" s="9"/>
      <c r="AY1498" s="9"/>
      <c r="AZ1498" s="9"/>
      <c r="BA1498" s="9"/>
      <c r="BB1498" s="9"/>
      <c r="BC1498" s="9"/>
      <c r="BD1498" s="9"/>
      <c r="BE1498" s="9"/>
      <c r="BF1498" s="9"/>
      <c r="BG1498" s="9"/>
      <c r="BH1498" s="9"/>
    </row>
    <row r="1499" spans="1:60" s="4" customFormat="1" ht="14.25" customHeight="1" x14ac:dyDescent="0.25">
      <c r="A1499" s="9" t="s">
        <v>2596</v>
      </c>
      <c r="B1499" s="9" t="s">
        <v>13</v>
      </c>
      <c r="C1499" s="9" t="s">
        <v>2033</v>
      </c>
      <c r="D1499" s="90">
        <v>3616</v>
      </c>
      <c r="E1499" s="15" t="s">
        <v>2597</v>
      </c>
      <c r="F1499" s="11">
        <v>39083</v>
      </c>
      <c r="G1499" s="11">
        <v>42369</v>
      </c>
      <c r="H1499" s="9" t="s">
        <v>2593</v>
      </c>
      <c r="I1499" s="16">
        <v>316787.68</v>
      </c>
      <c r="J1499" s="16">
        <v>316787.08</v>
      </c>
      <c r="K1499" s="112" t="s">
        <v>2033</v>
      </c>
      <c r="L1499" s="121"/>
      <c r="M1499" s="12"/>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c r="AS1499" s="9"/>
      <c r="AT1499" s="9"/>
      <c r="AU1499" s="9"/>
      <c r="AV1499" s="9"/>
      <c r="AW1499" s="9"/>
      <c r="AX1499" s="9"/>
      <c r="AY1499" s="9"/>
      <c r="AZ1499" s="9"/>
      <c r="BA1499" s="9"/>
      <c r="BB1499" s="9"/>
      <c r="BC1499" s="9"/>
      <c r="BD1499" s="9"/>
      <c r="BE1499" s="9"/>
      <c r="BF1499" s="9"/>
      <c r="BG1499" s="9"/>
      <c r="BH1499" s="9"/>
    </row>
    <row r="1500" spans="1:60" s="4" customFormat="1" ht="14.25" customHeight="1" x14ac:dyDescent="0.25">
      <c r="A1500" s="9" t="s">
        <v>2598</v>
      </c>
      <c r="B1500" s="9" t="s">
        <v>13</v>
      </c>
      <c r="C1500" s="9" t="s">
        <v>2033</v>
      </c>
      <c r="D1500" s="90">
        <v>4030</v>
      </c>
      <c r="E1500" s="15" t="s">
        <v>2599</v>
      </c>
      <c r="F1500" s="11">
        <v>39083</v>
      </c>
      <c r="G1500" s="11">
        <v>42369</v>
      </c>
      <c r="H1500" s="9" t="s">
        <v>2593</v>
      </c>
      <c r="I1500" s="16">
        <v>7110626.9800000004</v>
      </c>
      <c r="J1500" s="16">
        <v>7110626.9800000004</v>
      </c>
      <c r="K1500" s="112" t="s">
        <v>2033</v>
      </c>
      <c r="L1500" s="121"/>
      <c r="M1500" s="12"/>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c r="AS1500" s="9"/>
      <c r="AT1500" s="9"/>
      <c r="AU1500" s="9"/>
      <c r="AV1500" s="9"/>
      <c r="AW1500" s="9"/>
      <c r="AX1500" s="9"/>
      <c r="AY1500" s="9"/>
      <c r="AZ1500" s="9"/>
      <c r="BA1500" s="9"/>
      <c r="BB1500" s="9"/>
      <c r="BC1500" s="9"/>
      <c r="BD1500" s="9"/>
      <c r="BE1500" s="9"/>
      <c r="BF1500" s="9"/>
      <c r="BG1500" s="9"/>
      <c r="BH1500" s="9"/>
    </row>
    <row r="1501" spans="1:60" s="4" customFormat="1" ht="14.25" customHeight="1" x14ac:dyDescent="0.25">
      <c r="A1501" s="9" t="s">
        <v>2600</v>
      </c>
      <c r="B1501" s="9" t="s">
        <v>13</v>
      </c>
      <c r="C1501" s="9" t="s">
        <v>2033</v>
      </c>
      <c r="D1501" s="90">
        <v>4109</v>
      </c>
      <c r="E1501" s="15" t="s">
        <v>2601</v>
      </c>
      <c r="F1501" s="11">
        <v>39083</v>
      </c>
      <c r="G1501" s="11">
        <v>42369</v>
      </c>
      <c r="H1501" s="9" t="s">
        <v>2593</v>
      </c>
      <c r="I1501" s="16">
        <v>3201264.45</v>
      </c>
      <c r="J1501" s="16">
        <v>3201264.45</v>
      </c>
      <c r="K1501" s="112" t="s">
        <v>2033</v>
      </c>
      <c r="L1501" s="121"/>
      <c r="M1501" s="12"/>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AY1501" s="9"/>
      <c r="AZ1501" s="9"/>
      <c r="BA1501" s="9"/>
      <c r="BB1501" s="9"/>
      <c r="BC1501" s="9"/>
      <c r="BD1501" s="9"/>
      <c r="BE1501" s="9"/>
      <c r="BF1501" s="9"/>
      <c r="BG1501" s="9"/>
      <c r="BH1501" s="9"/>
    </row>
    <row r="1502" spans="1:60" s="4" customFormat="1" ht="14.25" customHeight="1" x14ac:dyDescent="0.25">
      <c r="A1502" s="9" t="s">
        <v>2602</v>
      </c>
      <c r="B1502" s="9" t="s">
        <v>13</v>
      </c>
      <c r="C1502" s="9" t="s">
        <v>2033</v>
      </c>
      <c r="D1502" s="90">
        <v>4110</v>
      </c>
      <c r="E1502" s="15" t="s">
        <v>2603</v>
      </c>
      <c r="F1502" s="11">
        <v>39083</v>
      </c>
      <c r="G1502" s="11">
        <v>42369</v>
      </c>
      <c r="H1502" s="9" t="s">
        <v>2593</v>
      </c>
      <c r="I1502" s="16">
        <v>2083330.94</v>
      </c>
      <c r="J1502" s="16">
        <v>2083330.94</v>
      </c>
      <c r="K1502" s="112" t="s">
        <v>2033</v>
      </c>
      <c r="L1502" s="121"/>
      <c r="M1502" s="12"/>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row>
    <row r="1503" spans="1:60" s="4" customFormat="1" ht="14.25" customHeight="1" x14ac:dyDescent="0.25">
      <c r="A1503" s="9" t="s">
        <v>2604</v>
      </c>
      <c r="B1503" s="9" t="s">
        <v>13</v>
      </c>
      <c r="C1503" s="9" t="s">
        <v>2033</v>
      </c>
      <c r="D1503" s="90">
        <v>4111</v>
      </c>
      <c r="E1503" s="15" t="s">
        <v>2605</v>
      </c>
      <c r="F1503" s="11">
        <v>39083</v>
      </c>
      <c r="G1503" s="11">
        <v>42369</v>
      </c>
      <c r="H1503" s="9" t="s">
        <v>2593</v>
      </c>
      <c r="I1503" s="16">
        <v>311013.21999999997</v>
      </c>
      <c r="J1503" s="16">
        <v>311013.21999999997</v>
      </c>
      <c r="K1503" s="112" t="s">
        <v>2033</v>
      </c>
      <c r="L1503" s="121"/>
      <c r="M1503" s="12"/>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c r="AS1503" s="9"/>
      <c r="AT1503" s="9"/>
      <c r="AU1503" s="9"/>
      <c r="AV1503" s="9"/>
      <c r="AW1503" s="9"/>
      <c r="AX1503" s="9"/>
      <c r="AY1503" s="9"/>
      <c r="AZ1503" s="9"/>
      <c r="BA1503" s="9"/>
      <c r="BB1503" s="9"/>
      <c r="BC1503" s="9"/>
      <c r="BD1503" s="9"/>
      <c r="BE1503" s="9"/>
      <c r="BF1503" s="9"/>
      <c r="BG1503" s="9"/>
      <c r="BH1503" s="9"/>
    </row>
    <row r="1504" spans="1:60" s="4" customFormat="1" ht="14.25" customHeight="1" x14ac:dyDescent="0.25">
      <c r="A1504" s="9" t="s">
        <v>2606</v>
      </c>
      <c r="B1504" s="9" t="s">
        <v>13</v>
      </c>
      <c r="C1504" s="9" t="s">
        <v>2033</v>
      </c>
      <c r="D1504" s="90">
        <v>4112</v>
      </c>
      <c r="E1504" s="15" t="s">
        <v>2607</v>
      </c>
      <c r="F1504" s="11">
        <v>39083</v>
      </c>
      <c r="G1504" s="11">
        <v>42369</v>
      </c>
      <c r="H1504" s="9" t="s">
        <v>2593</v>
      </c>
      <c r="I1504" s="16">
        <v>13841.29</v>
      </c>
      <c r="J1504" s="16">
        <v>13841.29</v>
      </c>
      <c r="K1504" s="112" t="s">
        <v>2033</v>
      </c>
      <c r="L1504" s="121"/>
      <c r="M1504" s="12"/>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row>
    <row r="1505" spans="1:60" s="4" customFormat="1" ht="14.25" customHeight="1" x14ac:dyDescent="0.25">
      <c r="A1505" s="9" t="s">
        <v>2608</v>
      </c>
      <c r="B1505" s="9" t="s">
        <v>13</v>
      </c>
      <c r="C1505" s="9" t="s">
        <v>2033</v>
      </c>
      <c r="D1505" s="90">
        <v>4113</v>
      </c>
      <c r="E1505" s="15" t="s">
        <v>2609</v>
      </c>
      <c r="F1505" s="11">
        <v>39083</v>
      </c>
      <c r="G1505" s="11">
        <v>42369</v>
      </c>
      <c r="H1505" s="9" t="s">
        <v>2593</v>
      </c>
      <c r="I1505" s="16">
        <v>4634960.93</v>
      </c>
      <c r="J1505" s="16">
        <v>4634960.93</v>
      </c>
      <c r="K1505" s="112" t="s">
        <v>2033</v>
      </c>
      <c r="L1505" s="121"/>
      <c r="M1505" s="12"/>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row>
    <row r="1506" spans="1:60" s="4" customFormat="1" ht="14.25" customHeight="1" x14ac:dyDescent="0.25">
      <c r="A1506" s="9" t="s">
        <v>2610</v>
      </c>
      <c r="B1506" s="9" t="s">
        <v>13</v>
      </c>
      <c r="C1506" s="9" t="s">
        <v>2033</v>
      </c>
      <c r="D1506" s="90">
        <v>4114</v>
      </c>
      <c r="E1506" s="15" t="s">
        <v>2611</v>
      </c>
      <c r="F1506" s="11">
        <v>39083</v>
      </c>
      <c r="G1506" s="11">
        <v>42369</v>
      </c>
      <c r="H1506" s="9" t="s">
        <v>2593</v>
      </c>
      <c r="I1506" s="16">
        <v>803874.4</v>
      </c>
      <c r="J1506" s="16">
        <v>803874.4</v>
      </c>
      <c r="K1506" s="112" t="s">
        <v>2033</v>
      </c>
      <c r="L1506" s="121"/>
      <c r="M1506" s="12"/>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row>
    <row r="1507" spans="1:60" s="4" customFormat="1" ht="14.25" customHeight="1" x14ac:dyDescent="0.25">
      <c r="A1507" s="9" t="s">
        <v>2612</v>
      </c>
      <c r="B1507" s="9" t="s">
        <v>13</v>
      </c>
      <c r="C1507" s="9" t="s">
        <v>2033</v>
      </c>
      <c r="D1507" s="90">
        <v>4215</v>
      </c>
      <c r="E1507" s="4" t="s">
        <v>2613</v>
      </c>
      <c r="F1507" s="11">
        <v>39083</v>
      </c>
      <c r="G1507" s="11">
        <v>42369</v>
      </c>
      <c r="H1507" s="9" t="s">
        <v>2593</v>
      </c>
      <c r="I1507" s="16">
        <v>150000</v>
      </c>
      <c r="J1507" s="16">
        <v>150000</v>
      </c>
      <c r="K1507" s="112" t="s">
        <v>2033</v>
      </c>
      <c r="L1507" s="121"/>
      <c r="M1507" s="12"/>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row>
    <row r="1508" spans="1:60" s="4" customFormat="1" ht="14.25" customHeight="1" x14ac:dyDescent="0.25">
      <c r="A1508" s="9" t="s">
        <v>2614</v>
      </c>
      <c r="B1508" s="9" t="s">
        <v>13</v>
      </c>
      <c r="C1508" s="9" t="s">
        <v>2033</v>
      </c>
      <c r="D1508" s="90">
        <v>4216</v>
      </c>
      <c r="E1508" s="9" t="s">
        <v>2615</v>
      </c>
      <c r="F1508" s="11">
        <v>39083</v>
      </c>
      <c r="G1508" s="11">
        <v>42369</v>
      </c>
      <c r="H1508" s="9" t="s">
        <v>2593</v>
      </c>
      <c r="I1508" s="16">
        <v>446381.31</v>
      </c>
      <c r="J1508" s="16">
        <v>446381.31</v>
      </c>
      <c r="K1508" s="112" t="s">
        <v>2033</v>
      </c>
      <c r="L1508" s="121"/>
      <c r="M1508" s="12"/>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row>
    <row r="1509" spans="1:60" s="4" customFormat="1" ht="14.25" customHeight="1" x14ac:dyDescent="0.25">
      <c r="A1509" s="9" t="s">
        <v>2616</v>
      </c>
      <c r="B1509" s="9" t="s">
        <v>13</v>
      </c>
      <c r="C1509" s="9" t="s">
        <v>2033</v>
      </c>
      <c r="D1509" s="90">
        <v>4218</v>
      </c>
      <c r="E1509" s="4" t="s">
        <v>2617</v>
      </c>
      <c r="F1509" s="11">
        <v>39083</v>
      </c>
      <c r="G1509" s="11">
        <v>42369</v>
      </c>
      <c r="H1509" s="9" t="s">
        <v>2593</v>
      </c>
      <c r="I1509" s="16">
        <v>259240.72</v>
      </c>
      <c r="J1509" s="16">
        <v>259240.72</v>
      </c>
      <c r="K1509" s="112" t="s">
        <v>2033</v>
      </c>
      <c r="L1509" s="121"/>
      <c r="M1509" s="12"/>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row>
    <row r="1510" spans="1:60" s="4" customFormat="1" ht="14.25" customHeight="1" x14ac:dyDescent="0.25">
      <c r="A1510" s="9" t="s">
        <v>2618</v>
      </c>
      <c r="B1510" s="9" t="s">
        <v>13</v>
      </c>
      <c r="C1510" s="9" t="s">
        <v>2033</v>
      </c>
      <c r="D1510" s="90">
        <v>4219</v>
      </c>
      <c r="E1510" s="9" t="s">
        <v>2619</v>
      </c>
      <c r="F1510" s="11">
        <v>39083</v>
      </c>
      <c r="G1510" s="11">
        <v>42369</v>
      </c>
      <c r="H1510" s="9" t="s">
        <v>2593</v>
      </c>
      <c r="I1510" s="16">
        <v>1173064.27</v>
      </c>
      <c r="J1510" s="16">
        <v>1173064.27</v>
      </c>
      <c r="K1510" s="112" t="s">
        <v>2033</v>
      </c>
      <c r="L1510" s="121"/>
      <c r="M1510" s="12"/>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row>
    <row r="1511" spans="1:60" s="4" customFormat="1" ht="14.25" customHeight="1" x14ac:dyDescent="0.25">
      <c r="A1511" s="9" t="s">
        <v>2620</v>
      </c>
      <c r="B1511" s="9" t="s">
        <v>13</v>
      </c>
      <c r="C1511" s="9" t="s">
        <v>2033</v>
      </c>
      <c r="D1511" s="90">
        <v>4220</v>
      </c>
      <c r="E1511" s="15" t="s">
        <v>2621</v>
      </c>
      <c r="F1511" s="11">
        <v>39083</v>
      </c>
      <c r="G1511" s="11">
        <v>42369</v>
      </c>
      <c r="H1511" s="9" t="s">
        <v>2593</v>
      </c>
      <c r="I1511" s="16">
        <v>3089531.87</v>
      </c>
      <c r="J1511" s="16">
        <v>3089531.87</v>
      </c>
      <c r="K1511" s="112" t="s">
        <v>2033</v>
      </c>
      <c r="L1511" s="121"/>
      <c r="M1511" s="12"/>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row>
    <row r="1512" spans="1:60" s="4" customFormat="1" ht="14.25" customHeight="1" x14ac:dyDescent="0.25">
      <c r="A1512" s="13" t="s">
        <v>2622</v>
      </c>
      <c r="B1512" s="9" t="s">
        <v>13</v>
      </c>
      <c r="C1512" s="9" t="s">
        <v>2033</v>
      </c>
      <c r="D1512" s="90">
        <v>4230</v>
      </c>
      <c r="E1512" s="13" t="s">
        <v>2623</v>
      </c>
      <c r="F1512" s="14">
        <v>39083</v>
      </c>
      <c r="G1512" s="14">
        <v>42369</v>
      </c>
      <c r="H1512" s="9" t="s">
        <v>2593</v>
      </c>
      <c r="I1512" s="16">
        <v>1121598.1000000001</v>
      </c>
      <c r="J1512" s="16">
        <v>1121598.1000000001</v>
      </c>
      <c r="K1512" s="112" t="s">
        <v>2033</v>
      </c>
      <c r="L1512" s="121"/>
      <c r="M1512" s="12"/>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row>
    <row r="1513" spans="1:60" s="4" customFormat="1" ht="14.25" customHeight="1" x14ac:dyDescent="0.25">
      <c r="A1513" s="9" t="s">
        <v>2624</v>
      </c>
      <c r="B1513" s="9" t="s">
        <v>13</v>
      </c>
      <c r="C1513" s="9" t="s">
        <v>2033</v>
      </c>
      <c r="D1513" s="90">
        <v>4234</v>
      </c>
      <c r="E1513" s="15" t="s">
        <v>2597</v>
      </c>
      <c r="F1513" s="11">
        <v>39083</v>
      </c>
      <c r="G1513" s="11">
        <v>42369</v>
      </c>
      <c r="H1513" s="9" t="s">
        <v>2593</v>
      </c>
      <c r="I1513" s="16">
        <v>2474401.33</v>
      </c>
      <c r="J1513" s="16">
        <v>2474401.33</v>
      </c>
      <c r="K1513" s="112" t="s">
        <v>2033</v>
      </c>
      <c r="L1513" s="121"/>
      <c r="M1513" s="12"/>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AY1513" s="9"/>
      <c r="AZ1513" s="9"/>
      <c r="BA1513" s="9"/>
      <c r="BB1513" s="9"/>
      <c r="BC1513" s="9"/>
      <c r="BD1513" s="9"/>
      <c r="BE1513" s="9"/>
      <c r="BF1513" s="9"/>
      <c r="BG1513" s="9"/>
      <c r="BH1513" s="9"/>
    </row>
    <row r="1514" spans="1:60" s="4" customFormat="1" ht="14.25" customHeight="1" x14ac:dyDescent="0.25">
      <c r="A1514" s="9" t="s">
        <v>2625</v>
      </c>
      <c r="B1514" s="9" t="s">
        <v>13</v>
      </c>
      <c r="C1514" s="9" t="s">
        <v>2033</v>
      </c>
      <c r="D1514" s="90">
        <v>10239</v>
      </c>
      <c r="E1514" s="15" t="s">
        <v>2626</v>
      </c>
      <c r="F1514" s="11">
        <v>40533</v>
      </c>
      <c r="G1514" s="11">
        <v>42825</v>
      </c>
      <c r="H1514" s="9" t="s">
        <v>2593</v>
      </c>
      <c r="I1514" s="16">
        <v>2514443.85</v>
      </c>
      <c r="J1514" s="16">
        <v>2514443.85</v>
      </c>
      <c r="K1514" s="112" t="s">
        <v>2033</v>
      </c>
      <c r="L1514" s="121"/>
      <c r="M1514" s="12"/>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c r="AS1514" s="9"/>
      <c r="AT1514" s="9"/>
      <c r="AU1514" s="9"/>
      <c r="AV1514" s="9"/>
      <c r="AW1514" s="9"/>
      <c r="AX1514" s="9"/>
      <c r="AY1514" s="9"/>
      <c r="AZ1514" s="9"/>
      <c r="BA1514" s="9"/>
      <c r="BB1514" s="9"/>
      <c r="BC1514" s="9"/>
      <c r="BD1514" s="9"/>
      <c r="BE1514" s="9"/>
      <c r="BF1514" s="9"/>
      <c r="BG1514" s="9"/>
      <c r="BH1514" s="9"/>
    </row>
    <row r="1515" spans="1:60" s="4" customFormat="1" ht="14.25" customHeight="1" x14ac:dyDescent="0.25">
      <c r="A1515" s="9" t="s">
        <v>2627</v>
      </c>
      <c r="B1515" s="9" t="s">
        <v>13</v>
      </c>
      <c r="C1515" s="9" t="s">
        <v>2033</v>
      </c>
      <c r="D1515" s="90">
        <v>10242</v>
      </c>
      <c r="E1515" s="15" t="s">
        <v>2628</v>
      </c>
      <c r="F1515" s="11">
        <v>40533</v>
      </c>
      <c r="G1515" s="11">
        <v>42825</v>
      </c>
      <c r="H1515" s="9" t="s">
        <v>2593</v>
      </c>
      <c r="I1515" s="16">
        <v>2782717.15</v>
      </c>
      <c r="J1515" s="16">
        <v>2782717.15</v>
      </c>
      <c r="K1515" s="112" t="s">
        <v>2033</v>
      </c>
      <c r="L1515" s="121"/>
      <c r="M1515" s="12"/>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c r="AS1515" s="9"/>
      <c r="AT1515" s="9"/>
      <c r="AU1515" s="9"/>
      <c r="AV1515" s="9"/>
      <c r="AW1515" s="9"/>
      <c r="AX1515" s="9"/>
      <c r="AY1515" s="9"/>
      <c r="AZ1515" s="9"/>
      <c r="BA1515" s="9"/>
      <c r="BB1515" s="9"/>
      <c r="BC1515" s="9"/>
      <c r="BD1515" s="9"/>
      <c r="BE1515" s="9"/>
      <c r="BF1515" s="9"/>
      <c r="BG1515" s="9"/>
      <c r="BH1515" s="9"/>
    </row>
    <row r="1516" spans="1:60" s="4" customFormat="1" ht="14.25" customHeight="1" x14ac:dyDescent="0.25">
      <c r="A1516" s="9" t="s">
        <v>2629</v>
      </c>
      <c r="B1516" s="9" t="s">
        <v>13</v>
      </c>
      <c r="C1516" s="9" t="s">
        <v>2033</v>
      </c>
      <c r="D1516" s="90">
        <v>10247</v>
      </c>
      <c r="E1516" s="15" t="s">
        <v>2630</v>
      </c>
      <c r="F1516" s="11">
        <v>39264</v>
      </c>
      <c r="G1516" s="11">
        <v>42369</v>
      </c>
      <c r="H1516" s="9" t="s">
        <v>2593</v>
      </c>
      <c r="I1516" s="16">
        <v>178205.34</v>
      </c>
      <c r="J1516" s="16">
        <v>178205.34</v>
      </c>
      <c r="K1516" s="112" t="s">
        <v>2033</v>
      </c>
      <c r="L1516" s="121"/>
      <c r="M1516" s="12"/>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c r="AS1516" s="9"/>
      <c r="AT1516" s="9"/>
      <c r="AU1516" s="9"/>
      <c r="AV1516" s="9"/>
      <c r="AW1516" s="9"/>
      <c r="AX1516" s="9"/>
      <c r="AY1516" s="9"/>
      <c r="AZ1516" s="9"/>
      <c r="BA1516" s="9"/>
      <c r="BB1516" s="9"/>
      <c r="BC1516" s="9"/>
      <c r="BD1516" s="9"/>
      <c r="BE1516" s="9"/>
      <c r="BF1516" s="9"/>
      <c r="BG1516" s="9"/>
      <c r="BH1516" s="9"/>
    </row>
    <row r="1517" spans="1:60" s="4" customFormat="1" ht="14.25" customHeight="1" x14ac:dyDescent="0.25">
      <c r="A1517" s="9" t="s">
        <v>2631</v>
      </c>
      <c r="B1517" s="9" t="s">
        <v>13</v>
      </c>
      <c r="C1517" s="9" t="s">
        <v>2033</v>
      </c>
      <c r="D1517" s="90">
        <v>10248</v>
      </c>
      <c r="E1517" s="15" t="s">
        <v>2632</v>
      </c>
      <c r="F1517" s="11">
        <v>40533</v>
      </c>
      <c r="G1517" s="11">
        <v>42825</v>
      </c>
      <c r="H1517" s="9" t="s">
        <v>2593</v>
      </c>
      <c r="I1517" s="16">
        <v>1705755.04</v>
      </c>
      <c r="J1517" s="16">
        <v>1705775.04</v>
      </c>
      <c r="K1517" s="112" t="s">
        <v>2033</v>
      </c>
      <c r="L1517" s="119"/>
      <c r="M1517" s="3"/>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c r="AS1517" s="9"/>
      <c r="AT1517" s="9"/>
      <c r="AU1517" s="9"/>
      <c r="AV1517" s="9"/>
      <c r="AW1517" s="9"/>
      <c r="AX1517" s="9"/>
      <c r="AY1517" s="9"/>
      <c r="AZ1517" s="9"/>
      <c r="BA1517" s="9"/>
      <c r="BB1517" s="9"/>
      <c r="BC1517" s="9"/>
      <c r="BD1517" s="9"/>
      <c r="BE1517" s="9"/>
      <c r="BF1517" s="9"/>
      <c r="BG1517" s="9"/>
      <c r="BH1517" s="9"/>
    </row>
    <row r="1518" spans="1:60" s="32" customFormat="1" ht="14.25" customHeight="1" x14ac:dyDescent="0.25">
      <c r="A1518" s="13" t="s">
        <v>11518</v>
      </c>
      <c r="B1518" s="32" t="s">
        <v>13</v>
      </c>
      <c r="C1518" s="32" t="s">
        <v>14</v>
      </c>
      <c r="D1518" s="33">
        <v>12987</v>
      </c>
      <c r="E1518" s="13" t="s">
        <v>11519</v>
      </c>
      <c r="F1518" s="34">
        <v>40544</v>
      </c>
      <c r="G1518" s="34">
        <v>42825</v>
      </c>
      <c r="H1518" s="9" t="s">
        <v>3587</v>
      </c>
      <c r="I1518" s="94">
        <f>140569.47+28716.84</f>
        <v>169286.31</v>
      </c>
      <c r="J1518" s="94">
        <f>140569.47+28716.84</f>
        <v>169286.31</v>
      </c>
      <c r="K1518" s="38" t="s">
        <v>2033</v>
      </c>
      <c r="L1518" s="122"/>
    </row>
    <row r="1519" spans="1:60" s="32" customFormat="1" ht="14.25" customHeight="1" x14ac:dyDescent="0.25">
      <c r="A1519" s="13" t="s">
        <v>11520</v>
      </c>
      <c r="B1519" s="32" t="s">
        <v>13</v>
      </c>
      <c r="C1519" s="32" t="s">
        <v>14</v>
      </c>
      <c r="D1519" s="33">
        <v>12988</v>
      </c>
      <c r="E1519" s="13" t="s">
        <v>11521</v>
      </c>
      <c r="F1519" s="34">
        <v>40544</v>
      </c>
      <c r="G1519" s="34">
        <v>42825</v>
      </c>
      <c r="H1519" s="9" t="s">
        <v>3587</v>
      </c>
      <c r="I1519" s="94">
        <f>158450.4+47658.48</f>
        <v>206108.88</v>
      </c>
      <c r="J1519" s="94">
        <f>158450.4+47658.48</f>
        <v>206108.88</v>
      </c>
      <c r="K1519" s="38" t="s">
        <v>2033</v>
      </c>
      <c r="L1519" s="122"/>
    </row>
    <row r="1520" spans="1:60" s="32" customFormat="1" ht="14.25" customHeight="1" x14ac:dyDescent="0.25">
      <c r="A1520" s="13" t="s">
        <v>11522</v>
      </c>
      <c r="B1520" s="32" t="s">
        <v>13</v>
      </c>
      <c r="C1520" s="32" t="s">
        <v>14</v>
      </c>
      <c r="D1520" s="33">
        <v>13008</v>
      </c>
      <c r="E1520" s="13" t="s">
        <v>11523</v>
      </c>
      <c r="F1520" s="34">
        <v>40544</v>
      </c>
      <c r="G1520" s="34">
        <v>42825</v>
      </c>
      <c r="H1520" s="9" t="s">
        <v>3587</v>
      </c>
      <c r="I1520" s="94">
        <f>736611.54+165999.7</f>
        <v>902611.24</v>
      </c>
      <c r="J1520" s="94">
        <f>736611.54+165999.7</f>
        <v>902611.24</v>
      </c>
      <c r="K1520" s="38" t="s">
        <v>2033</v>
      </c>
      <c r="L1520" s="122"/>
    </row>
    <row r="1521" spans="1:14" s="32" customFormat="1" ht="14.25" customHeight="1" x14ac:dyDescent="0.25">
      <c r="A1521" s="13" t="s">
        <v>11524</v>
      </c>
      <c r="B1521" s="32" t="s">
        <v>13</v>
      </c>
      <c r="C1521" s="32" t="s">
        <v>14</v>
      </c>
      <c r="D1521" s="33">
        <v>13009</v>
      </c>
      <c r="E1521" s="13" t="s">
        <v>11525</v>
      </c>
      <c r="F1521" s="34">
        <v>40544</v>
      </c>
      <c r="G1521" s="34">
        <v>42825</v>
      </c>
      <c r="H1521" s="9" t="s">
        <v>3587</v>
      </c>
      <c r="I1521" s="94">
        <f>464407.7+103041.63</f>
        <v>567449.33000000007</v>
      </c>
      <c r="J1521" s="94">
        <f>464407.7+103041.63</f>
        <v>567449.33000000007</v>
      </c>
      <c r="K1521" s="38" t="s">
        <v>2033</v>
      </c>
      <c r="L1521" s="122"/>
    </row>
    <row r="1522" spans="1:14" s="32" customFormat="1" ht="14.25" customHeight="1" x14ac:dyDescent="0.25">
      <c r="A1522" s="13" t="s">
        <v>11526</v>
      </c>
      <c r="B1522" s="32" t="s">
        <v>13</v>
      </c>
      <c r="C1522" s="32" t="s">
        <v>14</v>
      </c>
      <c r="D1522" s="33">
        <v>13010</v>
      </c>
      <c r="E1522" s="13" t="s">
        <v>11527</v>
      </c>
      <c r="F1522" s="34">
        <v>40544</v>
      </c>
      <c r="G1522" s="34">
        <v>42825</v>
      </c>
      <c r="H1522" s="9" t="s">
        <v>3587</v>
      </c>
      <c r="I1522" s="94">
        <f>196803.66+18363.15</f>
        <v>215166.81</v>
      </c>
      <c r="J1522" s="94">
        <f>196803.66+18363.15</f>
        <v>215166.81</v>
      </c>
      <c r="K1522" s="38" t="s">
        <v>2033</v>
      </c>
      <c r="L1522" s="122"/>
    </row>
    <row r="1523" spans="1:14" s="32" customFormat="1" ht="14.25" customHeight="1" x14ac:dyDescent="0.25">
      <c r="A1523" s="13" t="s">
        <v>11528</v>
      </c>
      <c r="B1523" s="32" t="s">
        <v>13</v>
      </c>
      <c r="C1523" s="32" t="s">
        <v>14</v>
      </c>
      <c r="D1523" s="33">
        <v>13011</v>
      </c>
      <c r="E1523" s="13" t="s">
        <v>11529</v>
      </c>
      <c r="F1523" s="34">
        <v>40544</v>
      </c>
      <c r="G1523" s="34">
        <v>42825</v>
      </c>
      <c r="H1523" s="9" t="s">
        <v>3587</v>
      </c>
      <c r="I1523" s="94">
        <f>295796.4+103363.88</f>
        <v>399160.28</v>
      </c>
      <c r="J1523" s="94">
        <f>295796.4+103363.88</f>
        <v>399160.28</v>
      </c>
      <c r="K1523" s="38" t="s">
        <v>2033</v>
      </c>
      <c r="L1523" s="122"/>
    </row>
    <row r="1524" spans="1:14" s="32" customFormat="1" ht="14.25" customHeight="1" x14ac:dyDescent="0.25">
      <c r="A1524" s="13" t="s">
        <v>11530</v>
      </c>
      <c r="B1524" s="32" t="s">
        <v>13</v>
      </c>
      <c r="C1524" s="32" t="s">
        <v>14</v>
      </c>
      <c r="D1524" s="33">
        <v>13012</v>
      </c>
      <c r="E1524" s="13" t="s">
        <v>11531</v>
      </c>
      <c r="F1524" s="34">
        <v>40544</v>
      </c>
      <c r="G1524" s="34">
        <v>42825</v>
      </c>
      <c r="H1524" s="9" t="s">
        <v>3587</v>
      </c>
      <c r="I1524" s="94">
        <f>396599.34+82187.59</f>
        <v>478786.93000000005</v>
      </c>
      <c r="J1524" s="94">
        <f>396599.34+82187.59</f>
        <v>478786.93000000005</v>
      </c>
      <c r="K1524" s="38" t="s">
        <v>2033</v>
      </c>
      <c r="L1524" s="122"/>
    </row>
    <row r="1525" spans="1:14" s="32" customFormat="1" ht="14.25" customHeight="1" x14ac:dyDescent="0.25">
      <c r="A1525" s="13" t="s">
        <v>11532</v>
      </c>
      <c r="B1525" s="32" t="s">
        <v>13</v>
      </c>
      <c r="C1525" s="32" t="s">
        <v>14</v>
      </c>
      <c r="D1525" s="33">
        <v>13013</v>
      </c>
      <c r="E1525" s="13" t="s">
        <v>11533</v>
      </c>
      <c r="F1525" s="34">
        <v>40544</v>
      </c>
      <c r="G1525" s="34">
        <v>42825</v>
      </c>
      <c r="H1525" s="9" t="s">
        <v>3587</v>
      </c>
      <c r="I1525" s="94">
        <f>155699.25+56195.46</f>
        <v>211894.71</v>
      </c>
      <c r="J1525" s="94">
        <f>155699.25+56195.46</f>
        <v>211894.71</v>
      </c>
      <c r="K1525" s="38" t="s">
        <v>2033</v>
      </c>
      <c r="L1525" s="122"/>
    </row>
    <row r="1526" spans="1:14" s="32" customFormat="1" ht="14.25" customHeight="1" x14ac:dyDescent="0.25">
      <c r="A1526" s="13" t="s">
        <v>11534</v>
      </c>
      <c r="B1526" s="32" t="s">
        <v>13</v>
      </c>
      <c r="C1526" s="32" t="s">
        <v>14</v>
      </c>
      <c r="D1526" s="33">
        <v>13014</v>
      </c>
      <c r="E1526" s="13" t="s">
        <v>11535</v>
      </c>
      <c r="F1526" s="34">
        <v>40544</v>
      </c>
      <c r="G1526" s="34">
        <v>42825</v>
      </c>
      <c r="H1526" s="9" t="s">
        <v>3587</v>
      </c>
      <c r="I1526" s="94">
        <f>656404.32+115754.04</f>
        <v>772158.36</v>
      </c>
      <c r="J1526" s="94">
        <f>656404.32+115754.04</f>
        <v>772158.36</v>
      </c>
      <c r="K1526" s="38" t="s">
        <v>2033</v>
      </c>
      <c r="L1526" s="122"/>
    </row>
    <row r="1527" spans="1:14" s="32" customFormat="1" ht="14.25" customHeight="1" x14ac:dyDescent="0.25">
      <c r="A1527" s="13" t="s">
        <v>11536</v>
      </c>
      <c r="B1527" s="32" t="s">
        <v>13</v>
      </c>
      <c r="C1527" s="32" t="s">
        <v>14</v>
      </c>
      <c r="D1527" s="33">
        <v>13015</v>
      </c>
      <c r="E1527" s="13" t="s">
        <v>11537</v>
      </c>
      <c r="F1527" s="34">
        <v>40544</v>
      </c>
      <c r="G1527" s="34">
        <v>42825</v>
      </c>
      <c r="H1527" s="9" t="s">
        <v>3587</v>
      </c>
      <c r="I1527" s="94">
        <f>362210.56+70679.88</f>
        <v>432890.44</v>
      </c>
      <c r="J1527" s="94">
        <f>362210.56+70679.88</f>
        <v>432890.44</v>
      </c>
      <c r="K1527" s="38" t="s">
        <v>2033</v>
      </c>
      <c r="L1527" s="122"/>
    </row>
    <row r="1528" spans="1:14" s="32" customFormat="1" ht="14.25" customHeight="1" x14ac:dyDescent="0.25">
      <c r="A1528" s="13" t="s">
        <v>11538</v>
      </c>
      <c r="B1528" s="32" t="s">
        <v>13</v>
      </c>
      <c r="C1528" s="32" t="s">
        <v>14</v>
      </c>
      <c r="D1528" s="33">
        <v>13016</v>
      </c>
      <c r="E1528" s="13" t="s">
        <v>11539</v>
      </c>
      <c r="F1528" s="34">
        <v>40544</v>
      </c>
      <c r="G1528" s="34">
        <v>42825</v>
      </c>
      <c r="H1528" s="9" t="s">
        <v>3587</v>
      </c>
      <c r="I1528" s="94">
        <f>273497.32+45877.04</f>
        <v>319374.36</v>
      </c>
      <c r="J1528" s="94">
        <f>273497.32+45877.04</f>
        <v>319374.36</v>
      </c>
      <c r="K1528" s="38" t="s">
        <v>2033</v>
      </c>
      <c r="L1528" s="122"/>
    </row>
    <row r="1529" spans="1:14" s="32" customFormat="1" ht="14.25" customHeight="1" x14ac:dyDescent="0.25">
      <c r="A1529" s="13" t="s">
        <v>11540</v>
      </c>
      <c r="B1529" s="32" t="s">
        <v>13</v>
      </c>
      <c r="C1529" s="32" t="s">
        <v>14</v>
      </c>
      <c r="D1529" s="33">
        <v>13017</v>
      </c>
      <c r="E1529" s="13" t="s">
        <v>11541</v>
      </c>
      <c r="F1529" s="34">
        <v>40544</v>
      </c>
      <c r="G1529" s="34">
        <v>42825</v>
      </c>
      <c r="H1529" s="9" t="s">
        <v>3587</v>
      </c>
      <c r="I1529" s="94">
        <f>266462.35+62287.4</f>
        <v>328749.75</v>
      </c>
      <c r="J1529" s="94">
        <f>266462.35+62287.4</f>
        <v>328749.75</v>
      </c>
      <c r="K1529" s="38" t="s">
        <v>2033</v>
      </c>
      <c r="L1529" s="122"/>
    </row>
    <row r="1530" spans="1:14" s="4" customFormat="1" ht="14.25" customHeight="1" x14ac:dyDescent="0.25">
      <c r="A1530" s="4" t="s">
        <v>2633</v>
      </c>
      <c r="B1530" s="4" t="s">
        <v>13</v>
      </c>
      <c r="C1530" s="4" t="s">
        <v>14</v>
      </c>
      <c r="D1530" s="35">
        <v>3748</v>
      </c>
      <c r="E1530" s="4" t="s">
        <v>2634</v>
      </c>
      <c r="F1530" s="5">
        <v>39777</v>
      </c>
      <c r="G1530" s="5">
        <v>40907</v>
      </c>
      <c r="H1530" s="4" t="s">
        <v>2027</v>
      </c>
      <c r="I1530" s="6">
        <v>4959000</v>
      </c>
      <c r="J1530" s="6">
        <v>856419.3</v>
      </c>
      <c r="K1530" s="37" t="s">
        <v>2033</v>
      </c>
      <c r="L1530" s="119"/>
      <c r="M1530" s="3"/>
    </row>
    <row r="1531" spans="1:14" s="4" customFormat="1" ht="14.25" customHeight="1" x14ac:dyDescent="0.25">
      <c r="A1531" s="4" t="s">
        <v>2635</v>
      </c>
      <c r="B1531" s="4" t="s">
        <v>13</v>
      </c>
      <c r="C1531" s="4" t="s">
        <v>14</v>
      </c>
      <c r="D1531" s="35">
        <v>3722</v>
      </c>
      <c r="E1531" s="7" t="s">
        <v>2636</v>
      </c>
      <c r="F1531" s="5">
        <v>39083</v>
      </c>
      <c r="G1531" s="5">
        <v>42369</v>
      </c>
      <c r="H1531" s="4" t="s">
        <v>2637</v>
      </c>
      <c r="I1531" s="17">
        <v>225684</v>
      </c>
      <c r="J1531" s="17">
        <v>225684</v>
      </c>
      <c r="K1531" s="37" t="s">
        <v>2033</v>
      </c>
      <c r="L1531" s="119"/>
      <c r="M1531" s="3"/>
    </row>
    <row r="1532" spans="1:14" s="4" customFormat="1" ht="14.25" customHeight="1" x14ac:dyDescent="0.25">
      <c r="A1532" s="4" t="s">
        <v>2638</v>
      </c>
      <c r="B1532" s="4" t="s">
        <v>13</v>
      </c>
      <c r="C1532" s="4" t="s">
        <v>14</v>
      </c>
      <c r="D1532" s="35">
        <v>3991</v>
      </c>
      <c r="E1532" s="7" t="s">
        <v>2639</v>
      </c>
      <c r="F1532" s="5">
        <v>39083</v>
      </c>
      <c r="G1532" s="5">
        <v>42369</v>
      </c>
      <c r="H1532" s="4" t="s">
        <v>2637</v>
      </c>
      <c r="I1532" s="17">
        <v>2086030.21</v>
      </c>
      <c r="J1532" s="17">
        <v>2086030.21</v>
      </c>
      <c r="K1532" s="37" t="s">
        <v>2033</v>
      </c>
      <c r="L1532" s="119"/>
      <c r="M1532" s="3"/>
    </row>
    <row r="1533" spans="1:14" s="4" customFormat="1" ht="14.25" customHeight="1" x14ac:dyDescent="0.25">
      <c r="A1533" s="4" t="s">
        <v>2640</v>
      </c>
      <c r="B1533" s="4" t="s">
        <v>13</v>
      </c>
      <c r="C1533" s="4" t="s">
        <v>14</v>
      </c>
      <c r="D1533" s="35">
        <v>3992</v>
      </c>
      <c r="E1533" s="7" t="s">
        <v>2641</v>
      </c>
      <c r="F1533" s="5">
        <v>39083</v>
      </c>
      <c r="G1533" s="5">
        <v>42369</v>
      </c>
      <c r="H1533" s="4" t="s">
        <v>2637</v>
      </c>
      <c r="I1533" s="17">
        <v>453456.8</v>
      </c>
      <c r="J1533" s="17">
        <v>453456.8</v>
      </c>
      <c r="K1533" s="37" t="s">
        <v>2033</v>
      </c>
      <c r="L1533" s="119"/>
      <c r="M1533" s="3"/>
    </row>
    <row r="1534" spans="1:14" s="4" customFormat="1" ht="14.25" customHeight="1" x14ac:dyDescent="0.25">
      <c r="D1534" s="35"/>
      <c r="E1534" s="26" t="s">
        <v>2642</v>
      </c>
      <c r="F1534" s="28"/>
      <c r="G1534" s="28"/>
      <c r="H1534" s="26"/>
      <c r="I1534" s="27">
        <f>SUM(I1154:I1156)</f>
        <v>2504608.38</v>
      </c>
      <c r="J1534" s="27">
        <f>SUM(J1154:J1156)</f>
        <v>2504608.38</v>
      </c>
      <c r="K1534" s="37" t="s">
        <v>2033</v>
      </c>
      <c r="L1534" s="119"/>
      <c r="M1534" s="3"/>
    </row>
    <row r="1535" spans="1:14" s="4" customFormat="1" ht="14.25" customHeight="1" x14ac:dyDescent="0.25">
      <c r="D1535" s="35"/>
      <c r="E1535" s="26" t="s">
        <v>351</v>
      </c>
      <c r="F1535" s="28"/>
      <c r="G1535" s="28"/>
      <c r="H1535" s="26"/>
      <c r="I1535" s="27">
        <f>SUM(I1157:I1158)</f>
        <v>247670</v>
      </c>
      <c r="J1535" s="27">
        <f>SUM(J1157:J1158)</f>
        <v>50133</v>
      </c>
      <c r="K1535" s="37" t="s">
        <v>2033</v>
      </c>
      <c r="L1535" s="119"/>
      <c r="M1535" s="3"/>
    </row>
    <row r="1536" spans="1:14" s="4" customFormat="1" ht="14.25" customHeight="1" x14ac:dyDescent="0.25">
      <c r="D1536" s="35"/>
      <c r="E1536" s="26" t="s">
        <v>2643</v>
      </c>
      <c r="F1536" s="28"/>
      <c r="G1536" s="28"/>
      <c r="H1536" s="26"/>
      <c r="I1536" s="25">
        <f>SUM(I1159:I1263)</f>
        <v>9673199.8800000008</v>
      </c>
      <c r="J1536" s="27">
        <f>SUM(J1159:J1263)</f>
        <v>9673199.8760000002</v>
      </c>
      <c r="K1536" s="37" t="s">
        <v>2033</v>
      </c>
      <c r="L1536" s="119"/>
      <c r="M1536" s="3"/>
      <c r="N1536" s="3"/>
    </row>
    <row r="1537" spans="1:14" s="4" customFormat="1" ht="14.25" customHeight="1" x14ac:dyDescent="0.25">
      <c r="D1537" s="35"/>
      <c r="E1537" s="26" t="s">
        <v>786</v>
      </c>
      <c r="F1537" s="28"/>
      <c r="G1537" s="28"/>
      <c r="H1537" s="26"/>
      <c r="I1537" s="27">
        <f>SUM(I1264:I1265)</f>
        <v>145453.72</v>
      </c>
      <c r="J1537" s="27">
        <f>SUM(J1264:J1265)</f>
        <v>32296.9</v>
      </c>
      <c r="K1537" s="37" t="s">
        <v>2033</v>
      </c>
      <c r="L1537" s="119"/>
      <c r="M1537" s="3"/>
      <c r="N1537" s="3"/>
    </row>
    <row r="1538" spans="1:14" s="4" customFormat="1" ht="14.25" customHeight="1" x14ac:dyDescent="0.25">
      <c r="D1538" s="35"/>
      <c r="E1538" s="26" t="s">
        <v>2644</v>
      </c>
      <c r="F1538" s="28"/>
      <c r="G1538" s="28"/>
      <c r="H1538" s="26"/>
      <c r="I1538" s="27">
        <f>SUM(I1266)</f>
        <v>5316686.01</v>
      </c>
      <c r="J1538" s="27">
        <f>SUM(J1266)</f>
        <v>5316686.01</v>
      </c>
      <c r="K1538" s="37" t="s">
        <v>2033</v>
      </c>
      <c r="L1538" s="119"/>
      <c r="M1538" s="3"/>
      <c r="N1538" s="3"/>
    </row>
    <row r="1539" spans="1:14" s="4" customFormat="1" ht="14.25" customHeight="1" x14ac:dyDescent="0.25">
      <c r="D1539" s="35"/>
      <c r="E1539" s="26" t="s">
        <v>352</v>
      </c>
      <c r="F1539" s="28"/>
      <c r="G1539" s="28"/>
      <c r="H1539" s="26"/>
      <c r="I1539" s="27">
        <f>SUM(I1267:I1496)</f>
        <v>3989511.0800000005</v>
      </c>
      <c r="J1539" s="27">
        <f>SUM(J1267:J1496)</f>
        <v>3342607.6900000009</v>
      </c>
      <c r="K1539" s="37" t="s">
        <v>2033</v>
      </c>
      <c r="L1539" s="119"/>
      <c r="M1539" s="3"/>
      <c r="N1539" s="3"/>
    </row>
    <row r="1540" spans="1:14" s="4" customFormat="1" ht="14.25" customHeight="1" x14ac:dyDescent="0.25">
      <c r="D1540" s="35"/>
      <c r="E1540" s="26" t="s">
        <v>2645</v>
      </c>
      <c r="F1540" s="28"/>
      <c r="G1540" s="28"/>
      <c r="H1540" s="26"/>
      <c r="I1540" s="27">
        <f>SUM(I1497:I1517)</f>
        <v>35865229.990000002</v>
      </c>
      <c r="J1540" s="27">
        <f>SUM(J1497:J1517)</f>
        <v>35865249.390000001</v>
      </c>
      <c r="K1540" s="37" t="s">
        <v>2033</v>
      </c>
      <c r="L1540" s="119"/>
      <c r="M1540" s="3"/>
    </row>
    <row r="1541" spans="1:14" s="4" customFormat="1" ht="14.25" customHeight="1" x14ac:dyDescent="0.25">
      <c r="D1541" s="35"/>
      <c r="E1541" s="26" t="s">
        <v>4031</v>
      </c>
      <c r="F1541" s="28"/>
      <c r="G1541" s="28"/>
      <c r="H1541" s="26"/>
      <c r="I1541" s="27">
        <f>SUM(I1518:I1529)</f>
        <v>5003637.4000000004</v>
      </c>
      <c r="J1541" s="27">
        <f>SUM(J1518:J1529)</f>
        <v>5003637.4000000004</v>
      </c>
      <c r="K1541" s="37" t="s">
        <v>2033</v>
      </c>
      <c r="L1541" s="119"/>
      <c r="M1541" s="3"/>
    </row>
    <row r="1542" spans="1:14" s="4" customFormat="1" ht="14.25" customHeight="1" x14ac:dyDescent="0.25">
      <c r="D1542" s="35"/>
      <c r="E1542" s="26" t="s">
        <v>2028</v>
      </c>
      <c r="F1542" s="28"/>
      <c r="G1542" s="28"/>
      <c r="H1542" s="26"/>
      <c r="I1542" s="27">
        <f>SUM(I1530)</f>
        <v>4959000</v>
      </c>
      <c r="J1542" s="27">
        <f>SUM(J1530)</f>
        <v>856419.3</v>
      </c>
      <c r="K1542" s="37" t="s">
        <v>2033</v>
      </c>
      <c r="L1542" s="119"/>
      <c r="M1542" s="3"/>
    </row>
    <row r="1543" spans="1:14" s="4" customFormat="1" ht="14.25" customHeight="1" x14ac:dyDescent="0.25">
      <c r="D1543" s="35"/>
      <c r="E1543" s="26" t="s">
        <v>2646</v>
      </c>
      <c r="F1543" s="28"/>
      <c r="G1543" s="28"/>
      <c r="H1543" s="26"/>
      <c r="I1543" s="27">
        <f>SUM(I1531:I1533)</f>
        <v>2765171.01</v>
      </c>
      <c r="J1543" s="27">
        <f>SUM(J1531:J1533)</f>
        <v>2765171.01</v>
      </c>
      <c r="K1543" s="37" t="s">
        <v>2033</v>
      </c>
      <c r="L1543" s="119"/>
      <c r="M1543" s="3"/>
    </row>
    <row r="1544" spans="1:14" s="4" customFormat="1" ht="14.25" customHeight="1" x14ac:dyDescent="0.25">
      <c r="D1544" s="35"/>
      <c r="E1544" s="26" t="s">
        <v>2647</v>
      </c>
      <c r="F1544" s="28"/>
      <c r="G1544" s="28"/>
      <c r="H1544" s="26"/>
      <c r="I1544" s="27">
        <f>SUM(I1534:I1543)</f>
        <v>70470167.470000014</v>
      </c>
      <c r="J1544" s="27">
        <f>SUM(J1534:J1543)</f>
        <v>65410008.956</v>
      </c>
      <c r="K1544" s="37" t="s">
        <v>2033</v>
      </c>
      <c r="L1544" s="119"/>
      <c r="M1544" s="3"/>
    </row>
    <row r="1545" spans="1:14" s="4" customFormat="1" ht="14.25" customHeight="1" x14ac:dyDescent="0.25">
      <c r="D1545" s="35"/>
      <c r="E1545" s="7"/>
      <c r="F1545" s="5"/>
      <c r="G1545" s="5"/>
      <c r="I1545" s="17"/>
      <c r="J1545" s="17"/>
      <c r="K1545" s="37"/>
      <c r="L1545" s="119"/>
      <c r="M1545" s="3"/>
    </row>
    <row r="1546" spans="1:14" s="4" customFormat="1" ht="14.25" customHeight="1" x14ac:dyDescent="0.25">
      <c r="A1546" s="4" t="s">
        <v>2648</v>
      </c>
      <c r="B1546" s="4" t="s">
        <v>13</v>
      </c>
      <c r="C1546" s="4" t="s">
        <v>14</v>
      </c>
      <c r="D1546" s="35">
        <v>3922</v>
      </c>
      <c r="E1546" s="4" t="s">
        <v>2649</v>
      </c>
      <c r="F1546" s="5">
        <v>39188</v>
      </c>
      <c r="G1546" s="5">
        <v>39871</v>
      </c>
      <c r="H1546" s="4" t="s">
        <v>16</v>
      </c>
      <c r="I1546" s="6">
        <v>246600</v>
      </c>
      <c r="J1546" s="6">
        <v>73980</v>
      </c>
      <c r="K1546" s="37" t="s">
        <v>2650</v>
      </c>
      <c r="L1546" s="119"/>
      <c r="M1546" s="3"/>
    </row>
    <row r="1547" spans="1:14" s="4" customFormat="1" ht="14.25" customHeight="1" x14ac:dyDescent="0.25">
      <c r="A1547" s="4" t="s">
        <v>2651</v>
      </c>
      <c r="B1547" s="4" t="s">
        <v>13</v>
      </c>
      <c r="C1547" s="4" t="s">
        <v>14</v>
      </c>
      <c r="D1547" s="35">
        <v>4170</v>
      </c>
      <c r="E1547" s="4" t="s">
        <v>2652</v>
      </c>
      <c r="F1547" s="5">
        <v>39821</v>
      </c>
      <c r="G1547" s="5">
        <v>40170</v>
      </c>
      <c r="H1547" s="4" t="s">
        <v>16</v>
      </c>
      <c r="I1547" s="6">
        <v>97086.88</v>
      </c>
      <c r="J1547" s="6">
        <v>16320</v>
      </c>
      <c r="K1547" s="37" t="s">
        <v>2650</v>
      </c>
      <c r="L1547" s="119"/>
      <c r="M1547" s="3"/>
    </row>
    <row r="1548" spans="1:14" s="4" customFormat="1" ht="14.25" customHeight="1" x14ac:dyDescent="0.25">
      <c r="A1548" s="4" t="s">
        <v>2651</v>
      </c>
      <c r="B1548" s="4" t="s">
        <v>13</v>
      </c>
      <c r="C1548" s="4" t="s">
        <v>14</v>
      </c>
      <c r="D1548" s="35">
        <v>4176</v>
      </c>
      <c r="E1548" s="4" t="s">
        <v>2653</v>
      </c>
      <c r="F1548" s="5">
        <v>39792</v>
      </c>
      <c r="G1548" s="5">
        <v>40170</v>
      </c>
      <c r="H1548" s="4" t="s">
        <v>16</v>
      </c>
      <c r="I1548" s="6">
        <v>34605.18</v>
      </c>
      <c r="J1548" s="6">
        <v>8369</v>
      </c>
      <c r="K1548" s="37" t="s">
        <v>2650</v>
      </c>
      <c r="L1548" s="119"/>
      <c r="M1548" s="3"/>
    </row>
    <row r="1549" spans="1:14" s="4" customFormat="1" ht="14.25" customHeight="1" x14ac:dyDescent="0.25">
      <c r="A1549" s="4" t="s">
        <v>2654</v>
      </c>
      <c r="B1549" s="4" t="s">
        <v>13</v>
      </c>
      <c r="C1549" s="4" t="s">
        <v>14</v>
      </c>
      <c r="D1549" s="35">
        <v>4183</v>
      </c>
      <c r="E1549" s="4" t="s">
        <v>2655</v>
      </c>
      <c r="F1549" s="5">
        <v>39568</v>
      </c>
      <c r="G1549" s="5">
        <v>39933</v>
      </c>
      <c r="H1549" s="4" t="s">
        <v>16</v>
      </c>
      <c r="I1549" s="6">
        <v>276576</v>
      </c>
      <c r="J1549" s="6">
        <v>48750</v>
      </c>
      <c r="K1549" s="37" t="s">
        <v>2650</v>
      </c>
      <c r="L1549" s="119"/>
      <c r="M1549" s="3"/>
    </row>
    <row r="1550" spans="1:14" s="4" customFormat="1" ht="14.25" customHeight="1" x14ac:dyDescent="0.25">
      <c r="A1550" s="4" t="s">
        <v>2656</v>
      </c>
      <c r="B1550" s="4" t="s">
        <v>13</v>
      </c>
      <c r="C1550" s="4" t="s">
        <v>14</v>
      </c>
      <c r="D1550" s="35">
        <v>4197</v>
      </c>
      <c r="E1550" s="4" t="s">
        <v>2657</v>
      </c>
      <c r="F1550" s="5">
        <v>39342</v>
      </c>
      <c r="G1550" s="5">
        <v>39721</v>
      </c>
      <c r="H1550" s="4" t="s">
        <v>16</v>
      </c>
      <c r="I1550" s="6">
        <v>26433.98</v>
      </c>
      <c r="J1550" s="6">
        <v>5762</v>
      </c>
      <c r="K1550" s="37" t="s">
        <v>2650</v>
      </c>
      <c r="L1550" s="119"/>
      <c r="M1550" s="3"/>
    </row>
    <row r="1551" spans="1:14" s="4" customFormat="1" ht="14.25" customHeight="1" x14ac:dyDescent="0.25">
      <c r="A1551" s="4" t="s">
        <v>2658</v>
      </c>
      <c r="B1551" s="4" t="s">
        <v>13</v>
      </c>
      <c r="C1551" s="4" t="s">
        <v>14</v>
      </c>
      <c r="D1551" s="35">
        <v>4200</v>
      </c>
      <c r="E1551" s="4" t="s">
        <v>2659</v>
      </c>
      <c r="F1551" s="5">
        <v>39671</v>
      </c>
      <c r="G1551" s="5">
        <v>39805</v>
      </c>
      <c r="H1551" s="4" t="s">
        <v>16</v>
      </c>
      <c r="I1551" s="6">
        <v>5286</v>
      </c>
      <c r="J1551" s="6">
        <v>1314</v>
      </c>
      <c r="K1551" s="37" t="s">
        <v>2650</v>
      </c>
      <c r="L1551" s="119"/>
      <c r="M1551" s="3"/>
    </row>
    <row r="1552" spans="1:14" s="4" customFormat="1" ht="14.25" customHeight="1" x14ac:dyDescent="0.25">
      <c r="A1552" s="4" t="s">
        <v>2660</v>
      </c>
      <c r="B1552" s="4" t="s">
        <v>13</v>
      </c>
      <c r="C1552" s="4" t="s">
        <v>14</v>
      </c>
      <c r="D1552" s="35">
        <v>4205</v>
      </c>
      <c r="E1552" s="4" t="s">
        <v>2661</v>
      </c>
      <c r="F1552" s="5">
        <v>39596</v>
      </c>
      <c r="G1552" s="5">
        <v>39990</v>
      </c>
      <c r="H1552" s="4" t="s">
        <v>16</v>
      </c>
      <c r="I1552" s="6">
        <v>23366.400000000001</v>
      </c>
      <c r="J1552" s="6">
        <v>7009.92</v>
      </c>
      <c r="K1552" s="37" t="s">
        <v>2650</v>
      </c>
      <c r="L1552" s="119"/>
      <c r="M1552" s="3"/>
    </row>
    <row r="1553" spans="1:13" s="4" customFormat="1" ht="14.25" customHeight="1" x14ac:dyDescent="0.25">
      <c r="A1553" s="4" t="s">
        <v>2662</v>
      </c>
      <c r="B1553" s="4" t="s">
        <v>13</v>
      </c>
      <c r="C1553" s="4" t="s">
        <v>14</v>
      </c>
      <c r="D1553" s="35">
        <v>4207</v>
      </c>
      <c r="E1553" s="4" t="s">
        <v>2663</v>
      </c>
      <c r="F1553" s="5">
        <v>39972</v>
      </c>
      <c r="G1553" s="5">
        <v>40221</v>
      </c>
      <c r="H1553" s="4" t="s">
        <v>16</v>
      </c>
      <c r="I1553" s="6">
        <v>44203.44</v>
      </c>
      <c r="J1553" s="6">
        <v>13261.03</v>
      </c>
      <c r="K1553" s="37" t="s">
        <v>2650</v>
      </c>
      <c r="L1553" s="119"/>
      <c r="M1553" s="3"/>
    </row>
    <row r="1554" spans="1:13" s="4" customFormat="1" ht="14.25" customHeight="1" x14ac:dyDescent="0.25">
      <c r="A1554" s="4" t="s">
        <v>2662</v>
      </c>
      <c r="B1554" s="4" t="s">
        <v>13</v>
      </c>
      <c r="C1554" s="4" t="s">
        <v>14</v>
      </c>
      <c r="D1554" s="35">
        <v>4208</v>
      </c>
      <c r="E1554" s="4" t="s">
        <v>2664</v>
      </c>
      <c r="F1554" s="5">
        <v>39972</v>
      </c>
      <c r="G1554" s="5">
        <v>40221</v>
      </c>
      <c r="H1554" s="4" t="s">
        <v>16</v>
      </c>
      <c r="I1554" s="6">
        <v>7860.64</v>
      </c>
      <c r="J1554" s="6">
        <v>2343</v>
      </c>
      <c r="K1554" s="37" t="s">
        <v>2650</v>
      </c>
      <c r="L1554" s="119"/>
      <c r="M1554" s="3"/>
    </row>
    <row r="1555" spans="1:13" s="4" customFormat="1" ht="14.25" customHeight="1" x14ac:dyDescent="0.25">
      <c r="A1555" s="4" t="s">
        <v>361</v>
      </c>
      <c r="B1555" s="4" t="s">
        <v>13</v>
      </c>
      <c r="C1555" s="4" t="s">
        <v>14</v>
      </c>
      <c r="D1555" s="35">
        <v>4223</v>
      </c>
      <c r="E1555" s="4" t="s">
        <v>2665</v>
      </c>
      <c r="F1555" s="5">
        <v>39637</v>
      </c>
      <c r="G1555" s="5">
        <v>39752</v>
      </c>
      <c r="H1555" s="4" t="s">
        <v>16</v>
      </c>
      <c r="I1555" s="6">
        <v>7000</v>
      </c>
      <c r="J1555" s="8">
        <v>2800</v>
      </c>
      <c r="K1555" s="37" t="s">
        <v>2650</v>
      </c>
      <c r="L1555" s="119"/>
      <c r="M1555" s="3"/>
    </row>
    <row r="1556" spans="1:13" s="4" customFormat="1" ht="14.25" customHeight="1" x14ac:dyDescent="0.25">
      <c r="A1556" s="4" t="s">
        <v>2666</v>
      </c>
      <c r="B1556" s="4" t="s">
        <v>13</v>
      </c>
      <c r="C1556" s="4" t="s">
        <v>14</v>
      </c>
      <c r="D1556" s="35">
        <v>4224</v>
      </c>
      <c r="E1556" s="4" t="s">
        <v>2667</v>
      </c>
      <c r="F1556" s="5">
        <v>39399</v>
      </c>
      <c r="G1556" s="5">
        <v>39933</v>
      </c>
      <c r="H1556" s="4" t="s">
        <v>16</v>
      </c>
      <c r="I1556" s="6">
        <v>184524.77</v>
      </c>
      <c r="J1556" s="6">
        <v>55357.43</v>
      </c>
      <c r="K1556" s="37" t="s">
        <v>2650</v>
      </c>
      <c r="L1556" s="119"/>
      <c r="M1556" s="3"/>
    </row>
    <row r="1557" spans="1:13" s="4" customFormat="1" ht="14.25" customHeight="1" x14ac:dyDescent="0.25">
      <c r="A1557" s="4" t="s">
        <v>2668</v>
      </c>
      <c r="B1557" s="4" t="s">
        <v>13</v>
      </c>
      <c r="C1557" s="4" t="s">
        <v>14</v>
      </c>
      <c r="D1557" s="35">
        <v>9484</v>
      </c>
      <c r="E1557" s="4" t="s">
        <v>2669</v>
      </c>
      <c r="F1557" s="5">
        <v>39783</v>
      </c>
      <c r="G1557" s="5">
        <v>40087</v>
      </c>
      <c r="H1557" s="4" t="s">
        <v>16</v>
      </c>
      <c r="I1557" s="6">
        <v>30978</v>
      </c>
      <c r="J1557" s="6">
        <v>7779</v>
      </c>
      <c r="K1557" s="37" t="s">
        <v>2650</v>
      </c>
      <c r="L1557" s="119"/>
      <c r="M1557" s="3"/>
    </row>
    <row r="1558" spans="1:13" s="4" customFormat="1" ht="14.25" customHeight="1" x14ac:dyDescent="0.25">
      <c r="A1558" s="4" t="s">
        <v>2670</v>
      </c>
      <c r="B1558" s="4" t="s">
        <v>13</v>
      </c>
      <c r="C1558" s="4" t="s">
        <v>14</v>
      </c>
      <c r="D1558" s="35">
        <v>9521</v>
      </c>
      <c r="E1558" s="4" t="s">
        <v>2671</v>
      </c>
      <c r="F1558" s="5">
        <v>39847</v>
      </c>
      <c r="G1558" s="5">
        <v>40053</v>
      </c>
      <c r="H1558" s="4" t="s">
        <v>16</v>
      </c>
      <c r="I1558" s="6">
        <v>10060</v>
      </c>
      <c r="J1558" s="6">
        <v>3018</v>
      </c>
      <c r="K1558" s="37" t="s">
        <v>2650</v>
      </c>
      <c r="L1558" s="119"/>
      <c r="M1558" s="3"/>
    </row>
    <row r="1559" spans="1:13" s="4" customFormat="1" ht="14.25" customHeight="1" x14ac:dyDescent="0.25">
      <c r="A1559" s="4" t="s">
        <v>2672</v>
      </c>
      <c r="B1559" s="4" t="s">
        <v>13</v>
      </c>
      <c r="C1559" s="4" t="s">
        <v>14</v>
      </c>
      <c r="D1559" s="35">
        <v>9963</v>
      </c>
      <c r="E1559" s="4" t="s">
        <v>2673</v>
      </c>
      <c r="F1559" s="5">
        <v>40486</v>
      </c>
      <c r="G1559" s="5">
        <v>40598</v>
      </c>
      <c r="H1559" s="4" t="s">
        <v>16</v>
      </c>
      <c r="I1559" s="6">
        <v>15500</v>
      </c>
      <c r="J1559" s="6">
        <v>3398.4</v>
      </c>
      <c r="K1559" s="37" t="s">
        <v>2650</v>
      </c>
      <c r="L1559" s="119"/>
    </row>
    <row r="1560" spans="1:13" s="4" customFormat="1" ht="14.25" customHeight="1" x14ac:dyDescent="0.25">
      <c r="A1560" s="4" t="s">
        <v>2674</v>
      </c>
      <c r="B1560" s="4" t="s">
        <v>13</v>
      </c>
      <c r="C1560" s="4" t="s">
        <v>14</v>
      </c>
      <c r="D1560" s="35">
        <v>10005</v>
      </c>
      <c r="E1560" s="4" t="s">
        <v>2675</v>
      </c>
      <c r="F1560" s="5">
        <v>40353</v>
      </c>
      <c r="G1560" s="5">
        <v>40626</v>
      </c>
      <c r="H1560" s="4" t="s">
        <v>16</v>
      </c>
      <c r="I1560" s="6">
        <v>27758.799999999999</v>
      </c>
      <c r="J1560" s="6">
        <v>11103.52</v>
      </c>
      <c r="K1560" s="37" t="s">
        <v>2650</v>
      </c>
      <c r="L1560" s="119"/>
      <c r="M1560" s="3"/>
    </row>
    <row r="1561" spans="1:13" s="4" customFormat="1" ht="14.25" customHeight="1" x14ac:dyDescent="0.25">
      <c r="A1561" s="4" t="s">
        <v>2676</v>
      </c>
      <c r="B1561" s="4" t="s">
        <v>13</v>
      </c>
      <c r="C1561" s="4" t="s">
        <v>14</v>
      </c>
      <c r="D1561" s="35">
        <v>4397</v>
      </c>
      <c r="E1561" s="4" t="s">
        <v>2677</v>
      </c>
      <c r="F1561" s="5">
        <v>39400</v>
      </c>
      <c r="G1561" s="5">
        <v>40163</v>
      </c>
      <c r="H1561" s="4" t="s">
        <v>2039</v>
      </c>
      <c r="I1561" s="6">
        <v>76217.259999999995</v>
      </c>
      <c r="J1561" s="6">
        <v>76217.259999999995</v>
      </c>
      <c r="K1561" s="37" t="s">
        <v>2650</v>
      </c>
      <c r="L1561" s="119"/>
      <c r="M1561" s="3"/>
    </row>
    <row r="1562" spans="1:13" s="4" customFormat="1" ht="14.25" customHeight="1" x14ac:dyDescent="0.25">
      <c r="A1562" s="4" t="s">
        <v>2678</v>
      </c>
      <c r="B1562" s="4" t="s">
        <v>13</v>
      </c>
      <c r="C1562" s="4" t="s">
        <v>14</v>
      </c>
      <c r="D1562" s="35">
        <v>4398</v>
      </c>
      <c r="E1562" s="4" t="s">
        <v>2678</v>
      </c>
      <c r="F1562" s="5">
        <v>39580</v>
      </c>
      <c r="G1562" s="5">
        <v>40158</v>
      </c>
      <c r="H1562" s="4" t="s">
        <v>2039</v>
      </c>
      <c r="I1562" s="6">
        <v>58638.91</v>
      </c>
      <c r="J1562" s="6">
        <v>58638.91</v>
      </c>
      <c r="K1562" s="37" t="s">
        <v>2650</v>
      </c>
      <c r="L1562" s="119"/>
      <c r="M1562" s="3"/>
    </row>
    <row r="1563" spans="1:13" s="4" customFormat="1" ht="14.25" customHeight="1" x14ac:dyDescent="0.25">
      <c r="A1563" s="4" t="s">
        <v>2679</v>
      </c>
      <c r="B1563" s="4" t="s">
        <v>13</v>
      </c>
      <c r="C1563" s="4" t="s">
        <v>14</v>
      </c>
      <c r="D1563" s="35">
        <v>4402</v>
      </c>
      <c r="E1563" s="4" t="s">
        <v>2680</v>
      </c>
      <c r="F1563" s="5">
        <v>39264</v>
      </c>
      <c r="G1563" s="5">
        <v>39782</v>
      </c>
      <c r="H1563" s="4" t="s">
        <v>2039</v>
      </c>
      <c r="I1563" s="6">
        <v>76096.850000000006</v>
      </c>
      <c r="J1563" s="6">
        <v>76096.850000000006</v>
      </c>
      <c r="K1563" s="37" t="s">
        <v>2650</v>
      </c>
      <c r="L1563" s="119"/>
      <c r="M1563" s="3"/>
    </row>
    <row r="1564" spans="1:13" s="4" customFormat="1" ht="14.25" customHeight="1" x14ac:dyDescent="0.25">
      <c r="A1564" s="4" t="s">
        <v>2681</v>
      </c>
      <c r="B1564" s="4" t="s">
        <v>13</v>
      </c>
      <c r="C1564" s="4" t="s">
        <v>14</v>
      </c>
      <c r="D1564" s="35">
        <v>4406</v>
      </c>
      <c r="E1564" s="4" t="s">
        <v>2682</v>
      </c>
      <c r="F1564" s="5">
        <v>39448</v>
      </c>
      <c r="G1564" s="5">
        <v>39994</v>
      </c>
      <c r="H1564" s="4" t="s">
        <v>2039</v>
      </c>
      <c r="I1564" s="6">
        <v>84180.69</v>
      </c>
      <c r="J1564" s="6">
        <v>84180.69</v>
      </c>
      <c r="K1564" s="37" t="s">
        <v>2650</v>
      </c>
      <c r="L1564" s="119"/>
      <c r="M1564" s="3"/>
    </row>
    <row r="1565" spans="1:13" s="4" customFormat="1" ht="14.25" customHeight="1" x14ac:dyDescent="0.25">
      <c r="A1565" s="4" t="s">
        <v>2683</v>
      </c>
      <c r="B1565" s="4" t="s">
        <v>13</v>
      </c>
      <c r="C1565" s="4" t="s">
        <v>14</v>
      </c>
      <c r="D1565" s="35">
        <v>4417</v>
      </c>
      <c r="E1565" s="4" t="s">
        <v>2684</v>
      </c>
      <c r="F1565" s="5">
        <v>39783</v>
      </c>
      <c r="G1565" s="5">
        <v>40147</v>
      </c>
      <c r="H1565" s="4" t="s">
        <v>2039</v>
      </c>
      <c r="I1565" s="6">
        <v>134790</v>
      </c>
      <c r="J1565" s="6">
        <v>134790</v>
      </c>
      <c r="K1565" s="37" t="s">
        <v>2650</v>
      </c>
      <c r="L1565" s="119"/>
      <c r="M1565" s="3"/>
    </row>
    <row r="1566" spans="1:13" s="4" customFormat="1" ht="14.25" customHeight="1" x14ac:dyDescent="0.25">
      <c r="A1566" s="4" t="s">
        <v>2685</v>
      </c>
      <c r="B1566" s="4" t="s">
        <v>13</v>
      </c>
      <c r="C1566" s="4" t="s">
        <v>14</v>
      </c>
      <c r="D1566" s="35">
        <v>4419</v>
      </c>
      <c r="E1566" s="4" t="s">
        <v>2686</v>
      </c>
      <c r="F1566" s="5">
        <v>39569</v>
      </c>
      <c r="G1566" s="5">
        <v>40025</v>
      </c>
      <c r="H1566" s="4" t="s">
        <v>2039</v>
      </c>
      <c r="I1566" s="6">
        <v>77540</v>
      </c>
      <c r="J1566" s="6">
        <v>77540</v>
      </c>
      <c r="K1566" s="37" t="s">
        <v>2650</v>
      </c>
      <c r="L1566" s="119"/>
      <c r="M1566" s="3"/>
    </row>
    <row r="1567" spans="1:13" s="4" customFormat="1" ht="14.25" customHeight="1" x14ac:dyDescent="0.25">
      <c r="A1567" s="4" t="s">
        <v>2687</v>
      </c>
      <c r="B1567" s="4" t="s">
        <v>13</v>
      </c>
      <c r="C1567" s="4" t="s">
        <v>14</v>
      </c>
      <c r="D1567" s="35">
        <v>4533</v>
      </c>
      <c r="E1567" s="4" t="s">
        <v>2688</v>
      </c>
      <c r="F1567" s="5">
        <v>39904</v>
      </c>
      <c r="G1567" s="5">
        <v>40999</v>
      </c>
      <c r="H1567" s="4" t="s">
        <v>2039</v>
      </c>
      <c r="I1567" s="6">
        <f>235566.04+13299.66</f>
        <v>248865.7</v>
      </c>
      <c r="J1567" s="6">
        <f>235566.04+13299.66</f>
        <v>248865.7</v>
      </c>
      <c r="K1567" s="37" t="s">
        <v>2650</v>
      </c>
      <c r="L1567" s="119"/>
      <c r="M1567" s="3"/>
    </row>
    <row r="1568" spans="1:13" s="4" customFormat="1" ht="14.25" customHeight="1" x14ac:dyDescent="0.25">
      <c r="A1568" s="4" t="s">
        <v>2689</v>
      </c>
      <c r="B1568" s="4" t="s">
        <v>13</v>
      </c>
      <c r="C1568" s="4" t="s">
        <v>14</v>
      </c>
      <c r="D1568" s="35">
        <v>4535</v>
      </c>
      <c r="E1568" s="4" t="s">
        <v>2690</v>
      </c>
      <c r="F1568" s="5">
        <v>39981</v>
      </c>
      <c r="G1568" s="5">
        <v>40441</v>
      </c>
      <c r="H1568" s="4" t="s">
        <v>2039</v>
      </c>
      <c r="I1568" s="6">
        <v>65744.160000000003</v>
      </c>
      <c r="J1568" s="6">
        <v>65744.160000000003</v>
      </c>
      <c r="K1568" s="37" t="s">
        <v>2650</v>
      </c>
      <c r="L1568" s="119"/>
      <c r="M1568" s="3"/>
    </row>
    <row r="1569" spans="1:13" s="4" customFormat="1" ht="14.25" customHeight="1" x14ac:dyDescent="0.25">
      <c r="A1569" s="4" t="s">
        <v>2691</v>
      </c>
      <c r="B1569" s="4" t="s">
        <v>13</v>
      </c>
      <c r="C1569" s="4" t="s">
        <v>14</v>
      </c>
      <c r="D1569" s="35">
        <v>4537</v>
      </c>
      <c r="E1569" s="4" t="s">
        <v>2692</v>
      </c>
      <c r="F1569" s="5">
        <v>39904</v>
      </c>
      <c r="G1569" s="5">
        <v>40359</v>
      </c>
      <c r="H1569" s="4" t="s">
        <v>2039</v>
      </c>
      <c r="I1569" s="6">
        <v>34117.589999999997</v>
      </c>
      <c r="J1569" s="6">
        <v>34117.589999999997</v>
      </c>
      <c r="K1569" s="37" t="s">
        <v>2650</v>
      </c>
      <c r="L1569" s="119"/>
      <c r="M1569" s="3"/>
    </row>
    <row r="1570" spans="1:13" s="4" customFormat="1" ht="14.25" customHeight="1" x14ac:dyDescent="0.25">
      <c r="A1570" s="4" t="s">
        <v>2693</v>
      </c>
      <c r="B1570" s="4" t="s">
        <v>13</v>
      </c>
      <c r="C1570" s="4" t="s">
        <v>14</v>
      </c>
      <c r="D1570" s="35">
        <v>4543</v>
      </c>
      <c r="E1570" s="4" t="s">
        <v>2694</v>
      </c>
      <c r="F1570" s="5">
        <v>40025</v>
      </c>
      <c r="G1570" s="5">
        <v>40405</v>
      </c>
      <c r="H1570" s="4" t="s">
        <v>2039</v>
      </c>
      <c r="I1570" s="6">
        <v>67761.899999999994</v>
      </c>
      <c r="J1570" s="6">
        <v>67761.899999999994</v>
      </c>
      <c r="K1570" s="37" t="s">
        <v>2650</v>
      </c>
      <c r="L1570" s="119"/>
      <c r="M1570" s="3"/>
    </row>
    <row r="1571" spans="1:13" s="4" customFormat="1" ht="14.25" customHeight="1" x14ac:dyDescent="0.25">
      <c r="A1571" s="4" t="s">
        <v>2695</v>
      </c>
      <c r="B1571" s="4" t="s">
        <v>13</v>
      </c>
      <c r="C1571" s="4" t="s">
        <v>14</v>
      </c>
      <c r="D1571" s="35">
        <v>4574</v>
      </c>
      <c r="E1571" s="4" t="s">
        <v>2696</v>
      </c>
      <c r="F1571" s="5">
        <v>40057</v>
      </c>
      <c r="G1571" s="5">
        <v>41152</v>
      </c>
      <c r="H1571" s="4" t="s">
        <v>2039</v>
      </c>
      <c r="I1571" s="6">
        <f>121360.45+36934.82</f>
        <v>158295.26999999999</v>
      </c>
      <c r="J1571" s="6">
        <f>121360.45+36934.82</f>
        <v>158295.26999999999</v>
      </c>
      <c r="K1571" s="37" t="s">
        <v>2650</v>
      </c>
      <c r="L1571" s="119"/>
      <c r="M1571" s="3"/>
    </row>
    <row r="1572" spans="1:13" s="4" customFormat="1" ht="14.25" customHeight="1" x14ac:dyDescent="0.25">
      <c r="A1572" s="4" t="s">
        <v>2697</v>
      </c>
      <c r="B1572" s="4" t="s">
        <v>13</v>
      </c>
      <c r="C1572" s="4" t="s">
        <v>14</v>
      </c>
      <c r="D1572" s="35">
        <v>4575</v>
      </c>
      <c r="E1572" s="4" t="s">
        <v>2698</v>
      </c>
      <c r="F1572" s="5">
        <v>40057</v>
      </c>
      <c r="G1572" s="5">
        <v>40298</v>
      </c>
      <c r="H1572" s="4" t="s">
        <v>2039</v>
      </c>
      <c r="I1572" s="6">
        <v>54343.07</v>
      </c>
      <c r="J1572" s="6">
        <v>54343.07</v>
      </c>
      <c r="K1572" s="37" t="s">
        <v>2650</v>
      </c>
      <c r="L1572" s="119"/>
      <c r="M1572" s="3"/>
    </row>
    <row r="1573" spans="1:13" s="4" customFormat="1" ht="14.25" customHeight="1" x14ac:dyDescent="0.25">
      <c r="A1573" s="4" t="s">
        <v>2699</v>
      </c>
      <c r="B1573" s="4" t="s">
        <v>13</v>
      </c>
      <c r="C1573" s="4" t="s">
        <v>14</v>
      </c>
      <c r="D1573" s="35">
        <v>4576</v>
      </c>
      <c r="E1573" s="4" t="s">
        <v>2700</v>
      </c>
      <c r="F1573" s="5">
        <v>40086</v>
      </c>
      <c r="G1573" s="5">
        <v>40451</v>
      </c>
      <c r="H1573" s="4" t="s">
        <v>2039</v>
      </c>
      <c r="I1573" s="6">
        <v>68692.33</v>
      </c>
      <c r="J1573" s="6">
        <v>68692.33</v>
      </c>
      <c r="K1573" s="37" t="s">
        <v>2650</v>
      </c>
      <c r="L1573" s="119"/>
      <c r="M1573" s="3"/>
    </row>
    <row r="1574" spans="1:13" s="4" customFormat="1" ht="14.25" customHeight="1" x14ac:dyDescent="0.25">
      <c r="A1574" s="4" t="s">
        <v>2701</v>
      </c>
      <c r="B1574" s="4" t="s">
        <v>13</v>
      </c>
      <c r="C1574" s="4" t="s">
        <v>14</v>
      </c>
      <c r="D1574" s="35">
        <v>4577</v>
      </c>
      <c r="E1574" s="4" t="s">
        <v>2702</v>
      </c>
      <c r="F1574" s="5">
        <v>40117</v>
      </c>
      <c r="G1574" s="5">
        <v>40512</v>
      </c>
      <c r="H1574" s="4" t="s">
        <v>2039</v>
      </c>
      <c r="I1574" s="6">
        <v>59036.56</v>
      </c>
      <c r="J1574" s="6">
        <v>59036.56</v>
      </c>
      <c r="K1574" s="37" t="s">
        <v>2650</v>
      </c>
      <c r="L1574" s="119"/>
      <c r="M1574" s="3"/>
    </row>
    <row r="1575" spans="1:13" s="4" customFormat="1" ht="14.25" customHeight="1" x14ac:dyDescent="0.25">
      <c r="A1575" s="4" t="s">
        <v>2703</v>
      </c>
      <c r="B1575" s="4" t="s">
        <v>13</v>
      </c>
      <c r="C1575" s="4" t="s">
        <v>14</v>
      </c>
      <c r="D1575" s="35">
        <v>4578</v>
      </c>
      <c r="E1575" s="4" t="s">
        <v>2704</v>
      </c>
      <c r="F1575" s="5">
        <v>39540</v>
      </c>
      <c r="G1575" s="5">
        <v>40633</v>
      </c>
      <c r="H1575" s="4" t="s">
        <v>2039</v>
      </c>
      <c r="I1575" s="6">
        <v>316837.15999999997</v>
      </c>
      <c r="J1575" s="6">
        <v>316837.15999999997</v>
      </c>
      <c r="K1575" s="37" t="s">
        <v>2650</v>
      </c>
      <c r="L1575" s="119"/>
      <c r="M1575" s="3"/>
    </row>
    <row r="1576" spans="1:13" s="4" customFormat="1" ht="14.25" customHeight="1" x14ac:dyDescent="0.25">
      <c r="A1576" s="4" t="s">
        <v>2705</v>
      </c>
      <c r="B1576" s="4" t="s">
        <v>13</v>
      </c>
      <c r="C1576" s="4" t="s">
        <v>14</v>
      </c>
      <c r="D1576" s="35">
        <v>4579</v>
      </c>
      <c r="E1576" s="4" t="s">
        <v>2706</v>
      </c>
      <c r="F1576" s="5">
        <v>39721</v>
      </c>
      <c r="G1576" s="5">
        <v>40120</v>
      </c>
      <c r="H1576" s="4" t="s">
        <v>2039</v>
      </c>
      <c r="I1576" s="6">
        <v>98800.13</v>
      </c>
      <c r="J1576" s="6">
        <v>98800.13</v>
      </c>
      <c r="K1576" s="37" t="s">
        <v>2650</v>
      </c>
      <c r="L1576" s="119"/>
      <c r="M1576" s="3"/>
    </row>
    <row r="1577" spans="1:13" s="4" customFormat="1" ht="14.25" customHeight="1" x14ac:dyDescent="0.25">
      <c r="A1577" s="4" t="s">
        <v>2707</v>
      </c>
      <c r="B1577" s="4" t="s">
        <v>13</v>
      </c>
      <c r="C1577" s="4" t="s">
        <v>14</v>
      </c>
      <c r="D1577" s="35">
        <v>4580</v>
      </c>
      <c r="E1577" s="4" t="s">
        <v>2708</v>
      </c>
      <c r="F1577" s="5">
        <v>39479</v>
      </c>
      <c r="G1577" s="5">
        <v>40574</v>
      </c>
      <c r="H1577" s="4" t="s">
        <v>2039</v>
      </c>
      <c r="I1577" s="6">
        <v>301959.25</v>
      </c>
      <c r="J1577" s="6">
        <v>301959.25</v>
      </c>
      <c r="K1577" s="37" t="s">
        <v>2650</v>
      </c>
      <c r="L1577" s="119"/>
      <c r="M1577" s="3"/>
    </row>
    <row r="1578" spans="1:13" s="4" customFormat="1" ht="14.25" customHeight="1" x14ac:dyDescent="0.25">
      <c r="A1578" s="4" t="s">
        <v>2709</v>
      </c>
      <c r="B1578" s="4" t="s">
        <v>13</v>
      </c>
      <c r="C1578" s="4" t="s">
        <v>14</v>
      </c>
      <c r="D1578" s="35">
        <v>4581</v>
      </c>
      <c r="E1578" s="4" t="s">
        <v>2710</v>
      </c>
      <c r="F1578" s="5">
        <v>39722</v>
      </c>
      <c r="G1578" s="5">
        <v>40162</v>
      </c>
      <c r="H1578" s="4" t="s">
        <v>2039</v>
      </c>
      <c r="I1578" s="6">
        <v>73758.820000000007</v>
      </c>
      <c r="J1578" s="6">
        <v>73758.820000000007</v>
      </c>
      <c r="K1578" s="37" t="s">
        <v>2650</v>
      </c>
      <c r="L1578" s="119"/>
      <c r="M1578" s="3"/>
    </row>
    <row r="1579" spans="1:13" s="4" customFormat="1" ht="14.25" customHeight="1" x14ac:dyDescent="0.25">
      <c r="A1579" s="4" t="s">
        <v>2711</v>
      </c>
      <c r="B1579" s="4" t="s">
        <v>13</v>
      </c>
      <c r="C1579" s="4" t="s">
        <v>14</v>
      </c>
      <c r="D1579" s="35">
        <v>4583</v>
      </c>
      <c r="E1579" s="4" t="s">
        <v>2712</v>
      </c>
      <c r="F1579" s="5">
        <v>39722</v>
      </c>
      <c r="G1579" s="5">
        <v>40172</v>
      </c>
      <c r="H1579" s="4" t="s">
        <v>2039</v>
      </c>
      <c r="I1579" s="6">
        <v>68531.87</v>
      </c>
      <c r="J1579" s="6">
        <v>68531.87</v>
      </c>
      <c r="K1579" s="37" t="s">
        <v>2650</v>
      </c>
      <c r="L1579" s="119"/>
      <c r="M1579" s="3"/>
    </row>
    <row r="1580" spans="1:13" s="4" customFormat="1" ht="14.25" customHeight="1" x14ac:dyDescent="0.25">
      <c r="A1580" s="4" t="s">
        <v>2713</v>
      </c>
      <c r="B1580" s="4" t="s">
        <v>13</v>
      </c>
      <c r="C1580" s="4" t="s">
        <v>14</v>
      </c>
      <c r="D1580" s="35">
        <v>4584</v>
      </c>
      <c r="E1580" s="4" t="s">
        <v>2714</v>
      </c>
      <c r="F1580" s="5">
        <v>39800</v>
      </c>
      <c r="G1580" s="5">
        <v>40178</v>
      </c>
      <c r="H1580" s="4" t="s">
        <v>2039</v>
      </c>
      <c r="I1580" s="6">
        <v>93580.6</v>
      </c>
      <c r="J1580" s="6">
        <v>93580.6</v>
      </c>
      <c r="K1580" s="37" t="s">
        <v>2650</v>
      </c>
      <c r="L1580" s="119"/>
      <c r="M1580" s="3"/>
    </row>
    <row r="1581" spans="1:13" s="4" customFormat="1" ht="14.25" customHeight="1" x14ac:dyDescent="0.25">
      <c r="A1581" s="4" t="s">
        <v>2715</v>
      </c>
      <c r="B1581" s="4" t="s">
        <v>13</v>
      </c>
      <c r="C1581" s="4" t="s">
        <v>14</v>
      </c>
      <c r="D1581" s="35">
        <v>4585</v>
      </c>
      <c r="E1581" s="4" t="s">
        <v>2716</v>
      </c>
      <c r="F1581" s="5">
        <v>39782</v>
      </c>
      <c r="G1581" s="5">
        <v>40359</v>
      </c>
      <c r="H1581" s="4" t="s">
        <v>2039</v>
      </c>
      <c r="I1581" s="6">
        <v>40430.75</v>
      </c>
      <c r="J1581" s="6">
        <v>40430.75</v>
      </c>
      <c r="K1581" s="37" t="s">
        <v>2650</v>
      </c>
      <c r="L1581" s="119"/>
      <c r="M1581" s="3"/>
    </row>
    <row r="1582" spans="1:13" s="4" customFormat="1" ht="14.25" customHeight="1" x14ac:dyDescent="0.25">
      <c r="A1582" s="4" t="s">
        <v>2717</v>
      </c>
      <c r="B1582" s="4" t="s">
        <v>13</v>
      </c>
      <c r="C1582" s="4" t="s">
        <v>14</v>
      </c>
      <c r="D1582" s="35">
        <v>4587</v>
      </c>
      <c r="E1582" s="4" t="s">
        <v>2718</v>
      </c>
      <c r="F1582" s="5">
        <v>39783</v>
      </c>
      <c r="G1582" s="5">
        <v>40172</v>
      </c>
      <c r="H1582" s="4" t="s">
        <v>2039</v>
      </c>
      <c r="I1582" s="6">
        <v>73775.55</v>
      </c>
      <c r="J1582" s="6">
        <v>73775.55</v>
      </c>
      <c r="K1582" s="37" t="s">
        <v>2650</v>
      </c>
      <c r="L1582" s="119"/>
      <c r="M1582" s="3"/>
    </row>
    <row r="1583" spans="1:13" s="4" customFormat="1" ht="14.25" customHeight="1" x14ac:dyDescent="0.25">
      <c r="A1583" s="4" t="s">
        <v>2719</v>
      </c>
      <c r="B1583" s="4" t="s">
        <v>13</v>
      </c>
      <c r="C1583" s="4" t="s">
        <v>14</v>
      </c>
      <c r="D1583" s="35">
        <v>4588</v>
      </c>
      <c r="E1583" s="4" t="s">
        <v>2720</v>
      </c>
      <c r="F1583" s="5">
        <v>39722</v>
      </c>
      <c r="G1583" s="5">
        <v>40816</v>
      </c>
      <c r="H1583" s="4" t="s">
        <v>2039</v>
      </c>
      <c r="I1583" s="6">
        <v>302520.55</v>
      </c>
      <c r="J1583" s="6">
        <v>302520.55</v>
      </c>
      <c r="K1583" s="37" t="s">
        <v>2650</v>
      </c>
      <c r="L1583" s="119"/>
      <c r="M1583" s="3"/>
    </row>
    <row r="1584" spans="1:13" s="4" customFormat="1" ht="14.25" customHeight="1" x14ac:dyDescent="0.25">
      <c r="A1584" s="4" t="s">
        <v>2721</v>
      </c>
      <c r="B1584" s="4" t="s">
        <v>13</v>
      </c>
      <c r="C1584" s="4" t="s">
        <v>14</v>
      </c>
      <c r="D1584" s="35">
        <v>4589</v>
      </c>
      <c r="E1584" s="4" t="s">
        <v>2722</v>
      </c>
      <c r="F1584" s="5">
        <v>39755</v>
      </c>
      <c r="G1584" s="5">
        <v>40119</v>
      </c>
      <c r="H1584" s="4" t="s">
        <v>2039</v>
      </c>
      <c r="I1584" s="6">
        <v>78345.88</v>
      </c>
      <c r="J1584" s="6">
        <v>78345.88</v>
      </c>
      <c r="K1584" s="37" t="s">
        <v>2650</v>
      </c>
      <c r="L1584" s="119"/>
      <c r="M1584" s="3"/>
    </row>
    <row r="1585" spans="1:13" s="4" customFormat="1" ht="14.25" customHeight="1" x14ac:dyDescent="0.25">
      <c r="A1585" s="4" t="s">
        <v>2723</v>
      </c>
      <c r="B1585" s="4" t="s">
        <v>13</v>
      </c>
      <c r="C1585" s="4" t="s">
        <v>14</v>
      </c>
      <c r="D1585" s="35">
        <v>4590</v>
      </c>
      <c r="E1585" s="4" t="s">
        <v>2724</v>
      </c>
      <c r="F1585" s="5">
        <v>39813</v>
      </c>
      <c r="G1585" s="5">
        <v>40637</v>
      </c>
      <c r="H1585" s="4" t="s">
        <v>2039</v>
      </c>
      <c r="I1585" s="6">
        <v>171408.31</v>
      </c>
      <c r="J1585" s="6">
        <v>171408.31</v>
      </c>
      <c r="K1585" s="37" t="s">
        <v>2650</v>
      </c>
      <c r="L1585" s="119"/>
      <c r="M1585" s="3"/>
    </row>
    <row r="1586" spans="1:13" s="4" customFormat="1" ht="14.25" customHeight="1" x14ac:dyDescent="0.25">
      <c r="A1586" s="4" t="s">
        <v>2725</v>
      </c>
      <c r="B1586" s="4" t="s">
        <v>13</v>
      </c>
      <c r="C1586" s="4" t="s">
        <v>14</v>
      </c>
      <c r="D1586" s="35">
        <v>4591</v>
      </c>
      <c r="E1586" s="4" t="s">
        <v>2726</v>
      </c>
      <c r="F1586" s="5">
        <v>39727</v>
      </c>
      <c r="G1586" s="5">
        <v>40150</v>
      </c>
      <c r="H1586" s="4" t="s">
        <v>2039</v>
      </c>
      <c r="I1586" s="6">
        <v>54287.040000000001</v>
      </c>
      <c r="J1586" s="6">
        <v>54287.040000000001</v>
      </c>
      <c r="K1586" s="37" t="s">
        <v>2650</v>
      </c>
      <c r="L1586" s="119"/>
      <c r="M1586" s="3"/>
    </row>
    <row r="1587" spans="1:13" s="4" customFormat="1" ht="14.25" customHeight="1" x14ac:dyDescent="0.25">
      <c r="A1587" s="4" t="s">
        <v>2727</v>
      </c>
      <c r="B1587" s="4" t="s">
        <v>13</v>
      </c>
      <c r="C1587" s="4" t="s">
        <v>14</v>
      </c>
      <c r="D1587" s="35">
        <v>4592</v>
      </c>
      <c r="E1587" s="4" t="s">
        <v>2728</v>
      </c>
      <c r="F1587" s="5">
        <v>39814</v>
      </c>
      <c r="G1587" s="5">
        <v>40178</v>
      </c>
      <c r="H1587" s="4" t="s">
        <v>2039</v>
      </c>
      <c r="I1587" s="6">
        <v>89028.77</v>
      </c>
      <c r="J1587" s="6">
        <v>89028.77</v>
      </c>
      <c r="K1587" s="37" t="s">
        <v>2650</v>
      </c>
      <c r="L1587" s="119"/>
      <c r="M1587" s="3"/>
    </row>
    <row r="1588" spans="1:13" s="4" customFormat="1" ht="14.25" customHeight="1" x14ac:dyDescent="0.25">
      <c r="A1588" s="4" t="s">
        <v>2729</v>
      </c>
      <c r="B1588" s="4" t="s">
        <v>13</v>
      </c>
      <c r="C1588" s="4" t="s">
        <v>14</v>
      </c>
      <c r="D1588" s="35">
        <v>4593</v>
      </c>
      <c r="E1588" s="4" t="s">
        <v>2730</v>
      </c>
      <c r="F1588" s="5">
        <v>39814</v>
      </c>
      <c r="G1588" s="5">
        <v>40908</v>
      </c>
      <c r="H1588" s="4" t="s">
        <v>2039</v>
      </c>
      <c r="I1588" s="6">
        <f>254669.56+7260</f>
        <v>261929.56</v>
      </c>
      <c r="J1588" s="6">
        <f>254669.56+7260</f>
        <v>261929.56</v>
      </c>
      <c r="K1588" s="37" t="s">
        <v>2650</v>
      </c>
      <c r="L1588" s="119"/>
      <c r="M1588" s="3"/>
    </row>
    <row r="1589" spans="1:13" s="4" customFormat="1" ht="14.25" customHeight="1" x14ac:dyDescent="0.25">
      <c r="A1589" s="4" t="s">
        <v>2731</v>
      </c>
      <c r="B1589" s="4" t="s">
        <v>13</v>
      </c>
      <c r="C1589" s="4" t="s">
        <v>14</v>
      </c>
      <c r="D1589" s="35">
        <v>4594</v>
      </c>
      <c r="E1589" s="4" t="s">
        <v>2732</v>
      </c>
      <c r="F1589" s="5">
        <v>39845</v>
      </c>
      <c r="G1589" s="5">
        <v>40939</v>
      </c>
      <c r="H1589" s="4" t="s">
        <v>2039</v>
      </c>
      <c r="I1589" s="6">
        <f>221100.4+29877.81</f>
        <v>250978.21</v>
      </c>
      <c r="J1589" s="6">
        <f>221100.4+29877.81</f>
        <v>250978.21</v>
      </c>
      <c r="K1589" s="37" t="s">
        <v>2650</v>
      </c>
      <c r="L1589" s="119"/>
      <c r="M1589" s="3"/>
    </row>
    <row r="1590" spans="1:13" s="4" customFormat="1" ht="14.25" customHeight="1" x14ac:dyDescent="0.25">
      <c r="A1590" s="4" t="s">
        <v>2733</v>
      </c>
      <c r="B1590" s="4" t="s">
        <v>13</v>
      </c>
      <c r="C1590" s="4" t="s">
        <v>14</v>
      </c>
      <c r="D1590" s="35">
        <v>4595</v>
      </c>
      <c r="E1590" s="4" t="s">
        <v>2734</v>
      </c>
      <c r="F1590" s="5">
        <v>39814</v>
      </c>
      <c r="G1590" s="5">
        <v>40178</v>
      </c>
      <c r="H1590" s="4" t="s">
        <v>2039</v>
      </c>
      <c r="I1590" s="6">
        <v>37016.85</v>
      </c>
      <c r="J1590" s="6">
        <v>37016.85</v>
      </c>
      <c r="K1590" s="37" t="s">
        <v>2650</v>
      </c>
      <c r="L1590" s="119"/>
      <c r="M1590" s="3"/>
    </row>
    <row r="1591" spans="1:13" s="4" customFormat="1" ht="14.25" customHeight="1" x14ac:dyDescent="0.25">
      <c r="A1591" s="4" t="s">
        <v>2735</v>
      </c>
      <c r="B1591" s="4" t="s">
        <v>13</v>
      </c>
      <c r="C1591" s="4" t="s">
        <v>14</v>
      </c>
      <c r="D1591" s="35">
        <v>4596</v>
      </c>
      <c r="E1591" s="4" t="s">
        <v>2736</v>
      </c>
      <c r="F1591" s="5">
        <v>39840</v>
      </c>
      <c r="G1591" s="5">
        <v>40209</v>
      </c>
      <c r="H1591" s="4" t="s">
        <v>2039</v>
      </c>
      <c r="I1591" s="6">
        <v>50294.32</v>
      </c>
      <c r="J1591" s="6">
        <v>50294.32</v>
      </c>
      <c r="K1591" s="37" t="s">
        <v>2650</v>
      </c>
      <c r="L1591" s="119"/>
      <c r="M1591" s="3"/>
    </row>
    <row r="1592" spans="1:13" s="4" customFormat="1" ht="14.25" customHeight="1" x14ac:dyDescent="0.25">
      <c r="A1592" s="4" t="s">
        <v>2737</v>
      </c>
      <c r="B1592" s="4" t="s">
        <v>13</v>
      </c>
      <c r="C1592" s="4" t="s">
        <v>14</v>
      </c>
      <c r="D1592" s="35">
        <v>4597</v>
      </c>
      <c r="E1592" s="4" t="s">
        <v>2738</v>
      </c>
      <c r="F1592" s="5">
        <v>39295</v>
      </c>
      <c r="G1592" s="5">
        <v>40390</v>
      </c>
      <c r="H1592" s="4" t="s">
        <v>2039</v>
      </c>
      <c r="I1592" s="6">
        <f>301093.24-1853.48</f>
        <v>299239.76</v>
      </c>
      <c r="J1592" s="6">
        <f>301093.24-1853.48</f>
        <v>299239.76</v>
      </c>
      <c r="K1592" s="37" t="s">
        <v>2650</v>
      </c>
      <c r="L1592" s="119"/>
      <c r="M1592" s="3"/>
    </row>
    <row r="1593" spans="1:13" s="4" customFormat="1" ht="14.25" customHeight="1" x14ac:dyDescent="0.25">
      <c r="A1593" s="4" t="s">
        <v>2739</v>
      </c>
      <c r="B1593" s="4" t="s">
        <v>13</v>
      </c>
      <c r="C1593" s="4" t="s">
        <v>14</v>
      </c>
      <c r="D1593" s="35">
        <v>4598</v>
      </c>
      <c r="E1593" s="4" t="s">
        <v>2740</v>
      </c>
      <c r="F1593" s="5">
        <v>39356</v>
      </c>
      <c r="G1593" s="5">
        <v>40451</v>
      </c>
      <c r="H1593" s="4" t="s">
        <v>2039</v>
      </c>
      <c r="I1593" s="6">
        <v>281055.19</v>
      </c>
      <c r="J1593" s="6">
        <v>281055.19</v>
      </c>
      <c r="K1593" s="37" t="s">
        <v>2650</v>
      </c>
      <c r="L1593" s="119"/>
      <c r="M1593" s="3"/>
    </row>
    <row r="1594" spans="1:13" s="4" customFormat="1" ht="14.25" customHeight="1" x14ac:dyDescent="0.25">
      <c r="A1594" s="4" t="s">
        <v>2741</v>
      </c>
      <c r="B1594" s="4" t="s">
        <v>13</v>
      </c>
      <c r="C1594" s="4" t="s">
        <v>14</v>
      </c>
      <c r="D1594" s="35">
        <v>4599</v>
      </c>
      <c r="E1594" s="4" t="s">
        <v>2742</v>
      </c>
      <c r="F1594" s="5">
        <v>39417</v>
      </c>
      <c r="G1594" s="5">
        <v>40071</v>
      </c>
      <c r="H1594" s="4" t="s">
        <v>2039</v>
      </c>
      <c r="I1594" s="6">
        <v>72049.52</v>
      </c>
      <c r="J1594" s="6">
        <v>72049.52</v>
      </c>
      <c r="K1594" s="37" t="s">
        <v>2650</v>
      </c>
      <c r="L1594" s="119"/>
      <c r="M1594" s="3"/>
    </row>
    <row r="1595" spans="1:13" s="4" customFormat="1" ht="14.25" customHeight="1" x14ac:dyDescent="0.25">
      <c r="A1595" s="4" t="s">
        <v>2743</v>
      </c>
      <c r="B1595" s="4" t="s">
        <v>13</v>
      </c>
      <c r="C1595" s="4" t="s">
        <v>14</v>
      </c>
      <c r="D1595" s="35">
        <v>4600</v>
      </c>
      <c r="E1595" s="4" t="s">
        <v>2744</v>
      </c>
      <c r="F1595" s="5">
        <v>39224</v>
      </c>
      <c r="G1595" s="5">
        <v>40025</v>
      </c>
      <c r="H1595" s="4" t="s">
        <v>2039</v>
      </c>
      <c r="I1595" s="6">
        <v>49599.66</v>
      </c>
      <c r="J1595" s="6">
        <v>49599.66</v>
      </c>
      <c r="K1595" s="37" t="s">
        <v>2650</v>
      </c>
      <c r="L1595" s="119"/>
      <c r="M1595" s="3"/>
    </row>
    <row r="1596" spans="1:13" s="4" customFormat="1" ht="14.25" customHeight="1" x14ac:dyDescent="0.25">
      <c r="A1596" s="4" t="s">
        <v>2745</v>
      </c>
      <c r="B1596" s="4" t="s">
        <v>13</v>
      </c>
      <c r="C1596" s="4" t="s">
        <v>14</v>
      </c>
      <c r="D1596" s="35">
        <v>4601</v>
      </c>
      <c r="E1596" s="4" t="s">
        <v>2746</v>
      </c>
      <c r="F1596" s="5">
        <v>39224</v>
      </c>
      <c r="G1596" s="5">
        <v>40087</v>
      </c>
      <c r="H1596" s="4" t="s">
        <v>2039</v>
      </c>
      <c r="I1596" s="6">
        <v>63464.45</v>
      </c>
      <c r="J1596" s="6">
        <v>63464.45</v>
      </c>
      <c r="K1596" s="37" t="s">
        <v>2650</v>
      </c>
      <c r="L1596" s="119"/>
      <c r="M1596" s="3"/>
    </row>
    <row r="1597" spans="1:13" s="4" customFormat="1" ht="14.25" customHeight="1" x14ac:dyDescent="0.25">
      <c r="A1597" s="4" t="s">
        <v>2747</v>
      </c>
      <c r="B1597" s="4" t="s">
        <v>13</v>
      </c>
      <c r="C1597" s="4" t="s">
        <v>14</v>
      </c>
      <c r="D1597" s="35">
        <v>4602</v>
      </c>
      <c r="E1597" s="4" t="s">
        <v>2748</v>
      </c>
      <c r="F1597" s="5">
        <v>39338</v>
      </c>
      <c r="G1597" s="5">
        <v>40451</v>
      </c>
      <c r="H1597" s="4" t="s">
        <v>2039</v>
      </c>
      <c r="I1597" s="6">
        <v>250001.11</v>
      </c>
      <c r="J1597" s="6">
        <v>250001.11</v>
      </c>
      <c r="K1597" s="37" t="s">
        <v>2650</v>
      </c>
      <c r="L1597" s="119"/>
      <c r="M1597" s="3"/>
    </row>
    <row r="1598" spans="1:13" s="4" customFormat="1" ht="14.25" customHeight="1" x14ac:dyDescent="0.25">
      <c r="A1598" s="4" t="s">
        <v>2749</v>
      </c>
      <c r="B1598" s="4" t="s">
        <v>13</v>
      </c>
      <c r="C1598" s="4" t="s">
        <v>14</v>
      </c>
      <c r="D1598" s="35">
        <v>4604</v>
      </c>
      <c r="E1598" s="4" t="s">
        <v>2750</v>
      </c>
      <c r="F1598" s="5">
        <v>39363</v>
      </c>
      <c r="G1598" s="5">
        <v>39852</v>
      </c>
      <c r="H1598" s="4" t="s">
        <v>2039</v>
      </c>
      <c r="I1598" s="6">
        <v>53287.21</v>
      </c>
      <c r="J1598" s="6">
        <v>53287.21</v>
      </c>
      <c r="K1598" s="37" t="s">
        <v>2650</v>
      </c>
      <c r="L1598" s="119"/>
      <c r="M1598" s="3"/>
    </row>
    <row r="1599" spans="1:13" s="4" customFormat="1" ht="14.25" customHeight="1" x14ac:dyDescent="0.25">
      <c r="A1599" s="4" t="s">
        <v>2751</v>
      </c>
      <c r="B1599" s="4" t="s">
        <v>13</v>
      </c>
      <c r="C1599" s="4" t="s">
        <v>14</v>
      </c>
      <c r="D1599" s="35">
        <v>4605</v>
      </c>
      <c r="E1599" s="4" t="s">
        <v>2752</v>
      </c>
      <c r="F1599" s="5">
        <v>39346</v>
      </c>
      <c r="G1599" s="5">
        <v>39903</v>
      </c>
      <c r="H1599" s="4" t="s">
        <v>2039</v>
      </c>
      <c r="I1599" s="6">
        <v>64651.53</v>
      </c>
      <c r="J1599" s="6">
        <v>64651.53</v>
      </c>
      <c r="K1599" s="37" t="s">
        <v>2650</v>
      </c>
      <c r="L1599" s="119"/>
      <c r="M1599" s="3"/>
    </row>
    <row r="1600" spans="1:13" s="4" customFormat="1" ht="14.25" customHeight="1" x14ac:dyDescent="0.25">
      <c r="A1600" s="4" t="s">
        <v>2753</v>
      </c>
      <c r="B1600" s="4" t="s">
        <v>13</v>
      </c>
      <c r="C1600" s="4" t="s">
        <v>14</v>
      </c>
      <c r="D1600" s="35">
        <v>4606</v>
      </c>
      <c r="E1600" s="4" t="s">
        <v>2754</v>
      </c>
      <c r="F1600" s="5">
        <v>39821</v>
      </c>
      <c r="G1600" s="5">
        <v>40242</v>
      </c>
      <c r="H1600" s="4" t="s">
        <v>2039</v>
      </c>
      <c r="I1600" s="6">
        <v>64194.51</v>
      </c>
      <c r="J1600" s="6">
        <v>64194.51</v>
      </c>
      <c r="K1600" s="37" t="s">
        <v>2650</v>
      </c>
      <c r="L1600" s="119"/>
      <c r="M1600" s="3"/>
    </row>
    <row r="1601" spans="1:13" s="4" customFormat="1" ht="14.25" customHeight="1" x14ac:dyDescent="0.25">
      <c r="A1601" s="4" t="s">
        <v>2755</v>
      </c>
      <c r="B1601" s="4" t="s">
        <v>13</v>
      </c>
      <c r="C1601" s="4" t="s">
        <v>14</v>
      </c>
      <c r="D1601" s="35">
        <v>4607</v>
      </c>
      <c r="E1601" s="4" t="s">
        <v>2756</v>
      </c>
      <c r="F1601" s="5">
        <v>39539</v>
      </c>
      <c r="G1601" s="5">
        <v>40633</v>
      </c>
      <c r="H1601" s="4" t="s">
        <v>2039</v>
      </c>
      <c r="I1601" s="6">
        <v>313764.15000000002</v>
      </c>
      <c r="J1601" s="6">
        <v>313764.15000000002</v>
      </c>
      <c r="K1601" s="37" t="s">
        <v>2650</v>
      </c>
      <c r="L1601" s="119"/>
      <c r="M1601" s="3"/>
    </row>
    <row r="1602" spans="1:13" s="4" customFormat="1" ht="14.25" customHeight="1" x14ac:dyDescent="0.25">
      <c r="A1602" s="4" t="s">
        <v>2757</v>
      </c>
      <c r="B1602" s="4" t="s">
        <v>13</v>
      </c>
      <c r="C1602" s="4" t="s">
        <v>14</v>
      </c>
      <c r="D1602" s="35">
        <v>4608</v>
      </c>
      <c r="E1602" s="4" t="s">
        <v>2758</v>
      </c>
      <c r="F1602" s="5">
        <v>39569</v>
      </c>
      <c r="G1602" s="5">
        <v>40087</v>
      </c>
      <c r="H1602" s="4" t="s">
        <v>2039</v>
      </c>
      <c r="I1602" s="6">
        <v>70214.36</v>
      </c>
      <c r="J1602" s="6">
        <v>70214.36</v>
      </c>
      <c r="K1602" s="37" t="s">
        <v>2650</v>
      </c>
      <c r="L1602" s="119"/>
      <c r="M1602" s="3"/>
    </row>
    <row r="1603" spans="1:13" s="4" customFormat="1" ht="14.25" customHeight="1" x14ac:dyDescent="0.25">
      <c r="A1603" s="4" t="s">
        <v>2759</v>
      </c>
      <c r="B1603" s="4" t="s">
        <v>13</v>
      </c>
      <c r="C1603" s="4" t="s">
        <v>14</v>
      </c>
      <c r="D1603" s="35">
        <v>4609</v>
      </c>
      <c r="E1603" s="4" t="s">
        <v>2760</v>
      </c>
      <c r="F1603" s="5">
        <v>39630</v>
      </c>
      <c r="G1603" s="5">
        <v>40724</v>
      </c>
      <c r="H1603" s="4" t="s">
        <v>2039</v>
      </c>
      <c r="I1603" s="6">
        <f>291694.58-6523.26</f>
        <v>285171.32</v>
      </c>
      <c r="J1603" s="6">
        <f>291694.58-6523.26</f>
        <v>285171.32</v>
      </c>
      <c r="K1603" s="37" t="s">
        <v>2650</v>
      </c>
      <c r="L1603" s="119"/>
      <c r="M1603" s="3"/>
    </row>
    <row r="1604" spans="1:13" s="4" customFormat="1" ht="14.25" customHeight="1" x14ac:dyDescent="0.25">
      <c r="A1604" s="4" t="s">
        <v>2761</v>
      </c>
      <c r="B1604" s="4" t="s">
        <v>13</v>
      </c>
      <c r="C1604" s="4" t="s">
        <v>14</v>
      </c>
      <c r="D1604" s="35">
        <v>4610</v>
      </c>
      <c r="E1604" s="4" t="s">
        <v>2762</v>
      </c>
      <c r="F1604" s="5">
        <v>40117</v>
      </c>
      <c r="G1604" s="5">
        <v>41090</v>
      </c>
      <c r="H1604" s="4" t="s">
        <v>2039</v>
      </c>
      <c r="I1604" s="6">
        <f>203200.49+51396.94</f>
        <v>254597.43</v>
      </c>
      <c r="J1604" s="6">
        <f>203200.49+51396.94</f>
        <v>254597.43</v>
      </c>
      <c r="K1604" s="37" t="s">
        <v>2650</v>
      </c>
      <c r="L1604" s="119"/>
      <c r="M1604" s="3"/>
    </row>
    <row r="1605" spans="1:13" s="4" customFormat="1" ht="14.25" customHeight="1" x14ac:dyDescent="0.25">
      <c r="A1605" s="4" t="s">
        <v>2763</v>
      </c>
      <c r="B1605" s="4" t="s">
        <v>13</v>
      </c>
      <c r="C1605" s="4" t="s">
        <v>14</v>
      </c>
      <c r="D1605" s="35">
        <v>4611</v>
      </c>
      <c r="E1605" s="4" t="s">
        <v>2764</v>
      </c>
      <c r="F1605" s="5">
        <v>39417</v>
      </c>
      <c r="G1605" s="5">
        <v>40694</v>
      </c>
      <c r="H1605" s="4" t="s">
        <v>2039</v>
      </c>
      <c r="I1605" s="6">
        <v>302295.73</v>
      </c>
      <c r="J1605" s="6">
        <v>302295.73</v>
      </c>
      <c r="K1605" s="37" t="s">
        <v>2650</v>
      </c>
      <c r="L1605" s="119"/>
      <c r="M1605" s="3"/>
    </row>
    <row r="1606" spans="1:13" s="4" customFormat="1" ht="14.25" customHeight="1" x14ac:dyDescent="0.25">
      <c r="A1606" s="4" t="s">
        <v>2765</v>
      </c>
      <c r="B1606" s="4" t="s">
        <v>13</v>
      </c>
      <c r="C1606" s="4" t="s">
        <v>14</v>
      </c>
      <c r="D1606" s="35">
        <v>4612</v>
      </c>
      <c r="E1606" s="4" t="s">
        <v>2766</v>
      </c>
      <c r="F1606" s="5">
        <v>39448</v>
      </c>
      <c r="G1606" s="5">
        <v>40045</v>
      </c>
      <c r="H1606" s="4" t="s">
        <v>2039</v>
      </c>
      <c r="I1606" s="6">
        <v>72426.66</v>
      </c>
      <c r="J1606" s="6">
        <v>72426.66</v>
      </c>
      <c r="K1606" s="37" t="s">
        <v>2650</v>
      </c>
      <c r="L1606" s="119"/>
      <c r="M1606" s="3"/>
    </row>
    <row r="1607" spans="1:13" s="4" customFormat="1" ht="14.25" customHeight="1" x14ac:dyDescent="0.25">
      <c r="A1607" s="4" t="s">
        <v>2767</v>
      </c>
      <c r="B1607" s="4" t="s">
        <v>13</v>
      </c>
      <c r="C1607" s="4" t="s">
        <v>14</v>
      </c>
      <c r="D1607" s="35">
        <v>4613</v>
      </c>
      <c r="E1607" s="4" t="s">
        <v>2768</v>
      </c>
      <c r="F1607" s="5">
        <v>39429</v>
      </c>
      <c r="G1607" s="5">
        <v>40543</v>
      </c>
      <c r="H1607" s="4" t="s">
        <v>2039</v>
      </c>
      <c r="I1607" s="6">
        <v>298333.33</v>
      </c>
      <c r="J1607" s="6">
        <v>298333.33</v>
      </c>
      <c r="K1607" s="37" t="s">
        <v>2650</v>
      </c>
      <c r="L1607" s="119"/>
      <c r="M1607" s="3"/>
    </row>
    <row r="1608" spans="1:13" s="4" customFormat="1" ht="14.25" customHeight="1" x14ac:dyDescent="0.25">
      <c r="A1608" s="4" t="s">
        <v>2769</v>
      </c>
      <c r="B1608" s="4" t="s">
        <v>13</v>
      </c>
      <c r="C1608" s="4" t="s">
        <v>14</v>
      </c>
      <c r="D1608" s="35">
        <v>4614</v>
      </c>
      <c r="E1608" s="4" t="s">
        <v>2770</v>
      </c>
      <c r="F1608" s="5">
        <v>40086</v>
      </c>
      <c r="G1608" s="5">
        <v>40451</v>
      </c>
      <c r="H1608" s="4" t="s">
        <v>2039</v>
      </c>
      <c r="I1608" s="6">
        <v>75517.87</v>
      </c>
      <c r="J1608" s="6">
        <v>75517.87</v>
      </c>
      <c r="K1608" s="37" t="s">
        <v>2650</v>
      </c>
      <c r="L1608" s="119"/>
      <c r="M1608" s="3"/>
    </row>
    <row r="1609" spans="1:13" s="4" customFormat="1" ht="14.25" customHeight="1" x14ac:dyDescent="0.25">
      <c r="A1609" s="4" t="s">
        <v>2771</v>
      </c>
      <c r="B1609" s="4" t="s">
        <v>13</v>
      </c>
      <c r="C1609" s="4" t="s">
        <v>14</v>
      </c>
      <c r="D1609" s="35">
        <v>4615</v>
      </c>
      <c r="E1609" s="4" t="s">
        <v>2772</v>
      </c>
      <c r="F1609" s="5">
        <v>40118</v>
      </c>
      <c r="G1609" s="5">
        <v>41213</v>
      </c>
      <c r="H1609" s="4" t="s">
        <v>2039</v>
      </c>
      <c r="I1609" s="6">
        <f>178300.82+57410.51</f>
        <v>235711.33000000002</v>
      </c>
      <c r="J1609" s="6">
        <f>178300.82+57410.51</f>
        <v>235711.33000000002</v>
      </c>
      <c r="K1609" s="37" t="s">
        <v>2650</v>
      </c>
      <c r="L1609" s="119"/>
      <c r="M1609" s="3"/>
    </row>
    <row r="1610" spans="1:13" s="4" customFormat="1" ht="14.25" customHeight="1" x14ac:dyDescent="0.25">
      <c r="A1610" s="4" t="s">
        <v>2773</v>
      </c>
      <c r="B1610" s="4" t="s">
        <v>13</v>
      </c>
      <c r="C1610" s="4" t="s">
        <v>14</v>
      </c>
      <c r="D1610" s="35">
        <v>4620</v>
      </c>
      <c r="E1610" s="4" t="s">
        <v>2774</v>
      </c>
      <c r="F1610" s="5">
        <v>39539</v>
      </c>
      <c r="G1610" s="5">
        <v>39844</v>
      </c>
      <c r="H1610" s="4" t="s">
        <v>2039</v>
      </c>
      <c r="I1610" s="6">
        <v>80994</v>
      </c>
      <c r="J1610" s="6">
        <v>80994</v>
      </c>
      <c r="K1610" s="37" t="s">
        <v>2650</v>
      </c>
      <c r="L1610" s="119"/>
      <c r="M1610" s="3"/>
    </row>
    <row r="1611" spans="1:13" s="4" customFormat="1" ht="14.25" customHeight="1" x14ac:dyDescent="0.25">
      <c r="A1611" s="4" t="s">
        <v>2775</v>
      </c>
      <c r="B1611" s="4" t="s">
        <v>13</v>
      </c>
      <c r="C1611" s="4" t="s">
        <v>14</v>
      </c>
      <c r="D1611" s="35">
        <v>4621</v>
      </c>
      <c r="E1611" s="4" t="s">
        <v>2776</v>
      </c>
      <c r="F1611" s="5">
        <v>39370</v>
      </c>
      <c r="G1611" s="5">
        <v>39918</v>
      </c>
      <c r="H1611" s="4" t="s">
        <v>2039</v>
      </c>
      <c r="I1611" s="6">
        <v>74136</v>
      </c>
      <c r="J1611" s="6">
        <v>74136</v>
      </c>
      <c r="K1611" s="37" t="s">
        <v>2650</v>
      </c>
      <c r="L1611" s="119"/>
      <c r="M1611" s="3"/>
    </row>
    <row r="1612" spans="1:13" s="4" customFormat="1" ht="14.25" customHeight="1" x14ac:dyDescent="0.25">
      <c r="A1612" s="4" t="s">
        <v>2777</v>
      </c>
      <c r="B1612" s="4" t="s">
        <v>13</v>
      </c>
      <c r="C1612" s="4" t="s">
        <v>14</v>
      </c>
      <c r="D1612" s="35">
        <v>4622</v>
      </c>
      <c r="E1612" s="4" t="s">
        <v>2778</v>
      </c>
      <c r="F1612" s="5">
        <v>39417</v>
      </c>
      <c r="G1612" s="5">
        <v>39964</v>
      </c>
      <c r="H1612" s="4" t="s">
        <v>2039</v>
      </c>
      <c r="I1612" s="6">
        <v>83131</v>
      </c>
      <c r="J1612" s="6">
        <v>83131</v>
      </c>
      <c r="K1612" s="37" t="s">
        <v>2650</v>
      </c>
      <c r="L1612" s="119"/>
      <c r="M1612" s="3"/>
    </row>
    <row r="1613" spans="1:13" s="4" customFormat="1" ht="14.25" customHeight="1" x14ac:dyDescent="0.25">
      <c r="A1613" s="4" t="s">
        <v>2779</v>
      </c>
      <c r="B1613" s="4" t="s">
        <v>13</v>
      </c>
      <c r="C1613" s="4" t="s">
        <v>14</v>
      </c>
      <c r="D1613" s="35">
        <v>4623</v>
      </c>
      <c r="E1613" s="4" t="s">
        <v>2780</v>
      </c>
      <c r="F1613" s="5">
        <v>39461</v>
      </c>
      <c r="G1613" s="5">
        <v>39927</v>
      </c>
      <c r="H1613" s="4" t="s">
        <v>2039</v>
      </c>
      <c r="I1613" s="6">
        <v>77711</v>
      </c>
      <c r="J1613" s="6">
        <v>77711</v>
      </c>
      <c r="K1613" s="37" t="s">
        <v>2650</v>
      </c>
      <c r="L1613" s="119"/>
      <c r="M1613" s="3"/>
    </row>
    <row r="1614" spans="1:13" s="4" customFormat="1" ht="14.25" customHeight="1" x14ac:dyDescent="0.25">
      <c r="A1614" s="4" t="s">
        <v>2781</v>
      </c>
      <c r="B1614" s="4" t="s">
        <v>13</v>
      </c>
      <c r="C1614" s="4" t="s">
        <v>14</v>
      </c>
      <c r="D1614" s="35">
        <v>4624</v>
      </c>
      <c r="E1614" s="4" t="s">
        <v>2782</v>
      </c>
      <c r="F1614" s="5">
        <v>39387</v>
      </c>
      <c r="G1614" s="5">
        <v>39933</v>
      </c>
      <c r="H1614" s="4" t="s">
        <v>2039</v>
      </c>
      <c r="I1614" s="6">
        <v>96150</v>
      </c>
      <c r="J1614" s="6">
        <v>96150</v>
      </c>
      <c r="K1614" s="37" t="s">
        <v>2650</v>
      </c>
      <c r="L1614" s="119"/>
      <c r="M1614" s="3"/>
    </row>
    <row r="1615" spans="1:13" s="4" customFormat="1" ht="14.25" customHeight="1" x14ac:dyDescent="0.25">
      <c r="A1615" s="4" t="s">
        <v>2783</v>
      </c>
      <c r="B1615" s="4" t="s">
        <v>13</v>
      </c>
      <c r="C1615" s="4" t="s">
        <v>14</v>
      </c>
      <c r="D1615" s="35">
        <v>4625</v>
      </c>
      <c r="E1615" s="4" t="s">
        <v>2784</v>
      </c>
      <c r="F1615" s="5">
        <v>39479</v>
      </c>
      <c r="G1615" s="5">
        <v>39964</v>
      </c>
      <c r="H1615" s="4" t="s">
        <v>2039</v>
      </c>
      <c r="I1615" s="6">
        <v>75862</v>
      </c>
      <c r="J1615" s="6">
        <v>75862</v>
      </c>
      <c r="K1615" s="37" t="s">
        <v>2650</v>
      </c>
      <c r="L1615" s="119"/>
      <c r="M1615" s="3"/>
    </row>
    <row r="1616" spans="1:13" s="4" customFormat="1" ht="14.25" customHeight="1" x14ac:dyDescent="0.25">
      <c r="A1616" s="4" t="s">
        <v>2785</v>
      </c>
      <c r="B1616" s="4" t="s">
        <v>13</v>
      </c>
      <c r="C1616" s="4" t="s">
        <v>14</v>
      </c>
      <c r="D1616" s="35">
        <v>4626</v>
      </c>
      <c r="E1616" s="4" t="s">
        <v>2786</v>
      </c>
      <c r="F1616" s="5">
        <v>39569</v>
      </c>
      <c r="G1616" s="5">
        <v>40056</v>
      </c>
      <c r="H1616" s="4" t="s">
        <v>2039</v>
      </c>
      <c r="I1616" s="6">
        <v>82793</v>
      </c>
      <c r="J1616" s="6">
        <v>82793</v>
      </c>
      <c r="K1616" s="37" t="s">
        <v>2650</v>
      </c>
      <c r="L1616" s="119"/>
      <c r="M1616" s="3"/>
    </row>
    <row r="1617" spans="1:13" s="4" customFormat="1" ht="14.25" customHeight="1" x14ac:dyDescent="0.25">
      <c r="A1617" s="4" t="s">
        <v>2787</v>
      </c>
      <c r="B1617" s="4" t="s">
        <v>13</v>
      </c>
      <c r="C1617" s="4" t="s">
        <v>14</v>
      </c>
      <c r="D1617" s="35">
        <v>4627</v>
      </c>
      <c r="E1617" s="4" t="s">
        <v>2788</v>
      </c>
      <c r="F1617" s="5">
        <v>39873</v>
      </c>
      <c r="G1617" s="5">
        <v>40086</v>
      </c>
      <c r="H1617" s="4" t="s">
        <v>2039</v>
      </c>
      <c r="I1617" s="6">
        <v>31515</v>
      </c>
      <c r="J1617" s="6">
        <v>31515</v>
      </c>
      <c r="K1617" s="37" t="s">
        <v>2650</v>
      </c>
      <c r="L1617" s="119"/>
      <c r="M1617" s="3"/>
    </row>
    <row r="1618" spans="1:13" s="4" customFormat="1" ht="14.25" customHeight="1" x14ac:dyDescent="0.25">
      <c r="A1618" s="4" t="s">
        <v>2789</v>
      </c>
      <c r="B1618" s="4" t="s">
        <v>13</v>
      </c>
      <c r="C1618" s="4" t="s">
        <v>14</v>
      </c>
      <c r="D1618" s="35">
        <v>4628</v>
      </c>
      <c r="E1618" s="4" t="s">
        <v>2790</v>
      </c>
      <c r="F1618" s="5">
        <v>39426</v>
      </c>
      <c r="G1618" s="5">
        <v>39903</v>
      </c>
      <c r="H1618" s="4" t="s">
        <v>2039</v>
      </c>
      <c r="I1618" s="6">
        <v>73451</v>
      </c>
      <c r="J1618" s="6">
        <v>73451</v>
      </c>
      <c r="K1618" s="37" t="s">
        <v>2650</v>
      </c>
      <c r="L1618" s="119"/>
      <c r="M1618" s="3"/>
    </row>
    <row r="1619" spans="1:13" s="4" customFormat="1" ht="14.25" customHeight="1" x14ac:dyDescent="0.25">
      <c r="A1619" s="4" t="s">
        <v>2791</v>
      </c>
      <c r="B1619" s="4" t="s">
        <v>13</v>
      </c>
      <c r="C1619" s="4" t="s">
        <v>14</v>
      </c>
      <c r="D1619" s="35">
        <v>4629</v>
      </c>
      <c r="E1619" s="4" t="s">
        <v>2792</v>
      </c>
      <c r="F1619" s="5">
        <v>39569</v>
      </c>
      <c r="G1619" s="5">
        <v>40056</v>
      </c>
      <c r="H1619" s="4" t="s">
        <v>2039</v>
      </c>
      <c r="I1619" s="6">
        <v>63252</v>
      </c>
      <c r="J1619" s="6">
        <v>63252</v>
      </c>
      <c r="K1619" s="37" t="s">
        <v>2650</v>
      </c>
      <c r="L1619" s="119"/>
      <c r="M1619" s="3"/>
    </row>
    <row r="1620" spans="1:13" s="4" customFormat="1" ht="14.25" customHeight="1" x14ac:dyDescent="0.25">
      <c r="A1620" s="4" t="s">
        <v>2793</v>
      </c>
      <c r="B1620" s="4" t="s">
        <v>13</v>
      </c>
      <c r="C1620" s="4" t="s">
        <v>14</v>
      </c>
      <c r="D1620" s="35">
        <v>4630</v>
      </c>
      <c r="E1620" s="4" t="s">
        <v>2794</v>
      </c>
      <c r="F1620" s="5">
        <v>39569</v>
      </c>
      <c r="G1620" s="5">
        <v>40056</v>
      </c>
      <c r="H1620" s="4" t="s">
        <v>2039</v>
      </c>
      <c r="I1620" s="6">
        <v>87063</v>
      </c>
      <c r="J1620" s="6">
        <v>87063</v>
      </c>
      <c r="K1620" s="37" t="s">
        <v>2650</v>
      </c>
      <c r="L1620" s="119"/>
      <c r="M1620" s="3"/>
    </row>
    <row r="1621" spans="1:13" s="4" customFormat="1" ht="14.25" customHeight="1" x14ac:dyDescent="0.25">
      <c r="A1621" s="4" t="s">
        <v>2795</v>
      </c>
      <c r="B1621" s="4" t="s">
        <v>13</v>
      </c>
      <c r="C1621" s="4" t="s">
        <v>14</v>
      </c>
      <c r="D1621" s="35">
        <v>4631</v>
      </c>
      <c r="E1621" s="4" t="s">
        <v>2796</v>
      </c>
      <c r="F1621" s="5">
        <v>39569</v>
      </c>
      <c r="G1621" s="5">
        <v>40117</v>
      </c>
      <c r="H1621" s="4" t="s">
        <v>2039</v>
      </c>
      <c r="I1621" s="6">
        <v>83216</v>
      </c>
      <c r="J1621" s="6">
        <v>83216</v>
      </c>
      <c r="K1621" s="37" t="s">
        <v>2650</v>
      </c>
      <c r="L1621" s="119"/>
      <c r="M1621" s="3"/>
    </row>
    <row r="1622" spans="1:13" s="4" customFormat="1" ht="14.25" customHeight="1" x14ac:dyDescent="0.25">
      <c r="A1622" s="4" t="s">
        <v>2797</v>
      </c>
      <c r="B1622" s="4" t="s">
        <v>13</v>
      </c>
      <c r="C1622" s="4" t="s">
        <v>14</v>
      </c>
      <c r="D1622" s="35">
        <v>4632</v>
      </c>
      <c r="E1622" s="4" t="s">
        <v>2798</v>
      </c>
      <c r="F1622" s="5">
        <v>39762</v>
      </c>
      <c r="G1622" s="5">
        <v>40196</v>
      </c>
      <c r="H1622" s="4" t="s">
        <v>2039</v>
      </c>
      <c r="I1622" s="6">
        <v>70771</v>
      </c>
      <c r="J1622" s="6">
        <v>70771</v>
      </c>
      <c r="K1622" s="37" t="s">
        <v>2650</v>
      </c>
      <c r="L1622" s="119"/>
      <c r="M1622" s="3"/>
    </row>
    <row r="1623" spans="1:13" s="4" customFormat="1" ht="14.25" customHeight="1" x14ac:dyDescent="0.25">
      <c r="A1623" s="4" t="s">
        <v>2799</v>
      </c>
      <c r="B1623" s="4" t="s">
        <v>13</v>
      </c>
      <c r="C1623" s="4" t="s">
        <v>14</v>
      </c>
      <c r="D1623" s="35">
        <v>4633</v>
      </c>
      <c r="E1623" s="4" t="s">
        <v>2800</v>
      </c>
      <c r="F1623" s="5">
        <v>39692</v>
      </c>
      <c r="G1623" s="5">
        <v>40056</v>
      </c>
      <c r="H1623" s="4" t="s">
        <v>2039</v>
      </c>
      <c r="I1623" s="6">
        <v>76292.58</v>
      </c>
      <c r="J1623" s="6">
        <v>76292.58</v>
      </c>
      <c r="K1623" s="37" t="s">
        <v>2650</v>
      </c>
      <c r="L1623" s="119"/>
      <c r="M1623" s="3"/>
    </row>
    <row r="1624" spans="1:13" s="4" customFormat="1" ht="14.25" customHeight="1" x14ac:dyDescent="0.25">
      <c r="A1624" s="4" t="s">
        <v>2801</v>
      </c>
      <c r="B1624" s="4" t="s">
        <v>13</v>
      </c>
      <c r="C1624" s="4" t="s">
        <v>14</v>
      </c>
      <c r="D1624" s="35">
        <v>4634</v>
      </c>
      <c r="E1624" s="4" t="s">
        <v>2802</v>
      </c>
      <c r="F1624" s="5">
        <v>39846</v>
      </c>
      <c r="G1624" s="5">
        <v>40207</v>
      </c>
      <c r="H1624" s="4" t="s">
        <v>2039</v>
      </c>
      <c r="I1624" s="6">
        <v>63575</v>
      </c>
      <c r="J1624" s="6">
        <v>63575</v>
      </c>
      <c r="K1624" s="37" t="s">
        <v>2650</v>
      </c>
      <c r="L1624" s="119"/>
      <c r="M1624" s="3"/>
    </row>
    <row r="1625" spans="1:13" s="4" customFormat="1" ht="14.25" customHeight="1" x14ac:dyDescent="0.25">
      <c r="A1625" s="4" t="s">
        <v>2803</v>
      </c>
      <c r="B1625" s="4" t="s">
        <v>13</v>
      </c>
      <c r="C1625" s="4" t="s">
        <v>14</v>
      </c>
      <c r="D1625" s="35">
        <v>4635</v>
      </c>
      <c r="E1625" s="4" t="s">
        <v>2804</v>
      </c>
      <c r="F1625" s="5">
        <v>39727</v>
      </c>
      <c r="G1625" s="5">
        <v>40150</v>
      </c>
      <c r="H1625" s="4" t="s">
        <v>2039</v>
      </c>
      <c r="I1625" s="6">
        <v>13100</v>
      </c>
      <c r="J1625" s="6">
        <v>13100</v>
      </c>
      <c r="K1625" s="37" t="s">
        <v>2650</v>
      </c>
      <c r="L1625" s="119"/>
      <c r="M1625" s="3"/>
    </row>
    <row r="1626" spans="1:13" s="4" customFormat="1" ht="14.25" customHeight="1" x14ac:dyDescent="0.25">
      <c r="A1626" s="4" t="s">
        <v>2805</v>
      </c>
      <c r="B1626" s="4" t="s">
        <v>13</v>
      </c>
      <c r="C1626" s="4" t="s">
        <v>14</v>
      </c>
      <c r="D1626" s="35">
        <v>4636</v>
      </c>
      <c r="E1626" s="4" t="s">
        <v>2806</v>
      </c>
      <c r="F1626" s="5">
        <v>39722</v>
      </c>
      <c r="G1626" s="5">
        <v>40132</v>
      </c>
      <c r="H1626" s="4" t="s">
        <v>2039</v>
      </c>
      <c r="I1626" s="6">
        <v>63508</v>
      </c>
      <c r="J1626" s="6">
        <v>63508</v>
      </c>
      <c r="K1626" s="37" t="s">
        <v>2650</v>
      </c>
      <c r="L1626" s="119"/>
      <c r="M1626" s="3"/>
    </row>
    <row r="1627" spans="1:13" s="4" customFormat="1" ht="14.25" customHeight="1" x14ac:dyDescent="0.25">
      <c r="A1627" s="4" t="s">
        <v>2807</v>
      </c>
      <c r="B1627" s="4" t="s">
        <v>13</v>
      </c>
      <c r="C1627" s="4" t="s">
        <v>14</v>
      </c>
      <c r="D1627" s="35">
        <v>4637</v>
      </c>
      <c r="E1627" s="4" t="s">
        <v>2808</v>
      </c>
      <c r="F1627" s="5">
        <v>39772</v>
      </c>
      <c r="G1627" s="5">
        <v>40137</v>
      </c>
      <c r="H1627" s="4" t="s">
        <v>2039</v>
      </c>
      <c r="I1627" s="6">
        <v>50701</v>
      </c>
      <c r="J1627" s="6">
        <v>50701</v>
      </c>
      <c r="K1627" s="37" t="s">
        <v>2650</v>
      </c>
      <c r="L1627" s="119"/>
      <c r="M1627" s="3"/>
    </row>
    <row r="1628" spans="1:13" s="4" customFormat="1" ht="14.25" customHeight="1" x14ac:dyDescent="0.25">
      <c r="A1628" s="4" t="s">
        <v>2809</v>
      </c>
      <c r="B1628" s="4" t="s">
        <v>13</v>
      </c>
      <c r="C1628" s="4" t="s">
        <v>14</v>
      </c>
      <c r="D1628" s="35">
        <v>4638</v>
      </c>
      <c r="E1628" s="4" t="s">
        <v>2810</v>
      </c>
      <c r="F1628" s="5">
        <v>39832</v>
      </c>
      <c r="G1628" s="5">
        <v>40178</v>
      </c>
      <c r="H1628" s="4" t="s">
        <v>2039</v>
      </c>
      <c r="I1628" s="6">
        <v>64561</v>
      </c>
      <c r="J1628" s="6">
        <v>64561</v>
      </c>
      <c r="K1628" s="37" t="s">
        <v>2650</v>
      </c>
      <c r="L1628" s="119"/>
      <c r="M1628" s="3"/>
    </row>
    <row r="1629" spans="1:13" s="4" customFormat="1" ht="14.25" customHeight="1" x14ac:dyDescent="0.25">
      <c r="A1629" s="4" t="s">
        <v>2811</v>
      </c>
      <c r="B1629" s="4" t="s">
        <v>13</v>
      </c>
      <c r="C1629" s="4" t="s">
        <v>14</v>
      </c>
      <c r="D1629" s="35">
        <v>4639</v>
      </c>
      <c r="E1629" s="4" t="s">
        <v>2812</v>
      </c>
      <c r="F1629" s="5">
        <v>39904</v>
      </c>
      <c r="G1629" s="5">
        <v>40269</v>
      </c>
      <c r="H1629" s="4" t="s">
        <v>2039</v>
      </c>
      <c r="I1629" s="6">
        <v>84146</v>
      </c>
      <c r="J1629" s="6">
        <v>84146</v>
      </c>
      <c r="K1629" s="37" t="s">
        <v>2650</v>
      </c>
      <c r="L1629" s="119"/>
      <c r="M1629" s="3"/>
    </row>
    <row r="1630" spans="1:13" s="4" customFormat="1" ht="14.25" customHeight="1" x14ac:dyDescent="0.25">
      <c r="A1630" s="4" t="s">
        <v>2813</v>
      </c>
      <c r="B1630" s="4" t="s">
        <v>13</v>
      </c>
      <c r="C1630" s="4" t="s">
        <v>14</v>
      </c>
      <c r="D1630" s="35">
        <v>4640</v>
      </c>
      <c r="E1630" s="4" t="s">
        <v>2814</v>
      </c>
      <c r="F1630" s="5">
        <v>39792</v>
      </c>
      <c r="G1630" s="5">
        <v>40156</v>
      </c>
      <c r="H1630" s="4" t="s">
        <v>2039</v>
      </c>
      <c r="I1630" s="6">
        <v>94445</v>
      </c>
      <c r="J1630" s="6">
        <v>94445</v>
      </c>
      <c r="K1630" s="37" t="s">
        <v>2650</v>
      </c>
      <c r="L1630" s="119"/>
      <c r="M1630" s="3"/>
    </row>
    <row r="1631" spans="1:13" s="4" customFormat="1" ht="14.25" customHeight="1" x14ac:dyDescent="0.25">
      <c r="A1631" s="4" t="s">
        <v>2815</v>
      </c>
      <c r="B1631" s="4" t="s">
        <v>13</v>
      </c>
      <c r="C1631" s="4" t="s">
        <v>14</v>
      </c>
      <c r="D1631" s="35">
        <v>4641</v>
      </c>
      <c r="E1631" s="4" t="s">
        <v>2816</v>
      </c>
      <c r="F1631" s="5">
        <v>39832</v>
      </c>
      <c r="G1631" s="5">
        <v>40196</v>
      </c>
      <c r="H1631" s="4" t="s">
        <v>2039</v>
      </c>
      <c r="I1631" s="6">
        <v>55728</v>
      </c>
      <c r="J1631" s="6">
        <v>55728</v>
      </c>
      <c r="K1631" s="37" t="s">
        <v>2650</v>
      </c>
      <c r="L1631" s="119"/>
      <c r="M1631" s="3"/>
    </row>
    <row r="1632" spans="1:13" s="4" customFormat="1" ht="14.25" customHeight="1" x14ac:dyDescent="0.25">
      <c r="A1632" s="4" t="s">
        <v>2817</v>
      </c>
      <c r="B1632" s="4" t="s">
        <v>13</v>
      </c>
      <c r="C1632" s="4" t="s">
        <v>14</v>
      </c>
      <c r="D1632" s="35">
        <v>4642</v>
      </c>
      <c r="E1632" s="4" t="s">
        <v>2818</v>
      </c>
      <c r="F1632" s="5">
        <v>40057</v>
      </c>
      <c r="G1632" s="5">
        <v>40420</v>
      </c>
      <c r="H1632" s="4" t="s">
        <v>2039</v>
      </c>
      <c r="I1632" s="6">
        <v>45637</v>
      </c>
      <c r="J1632" s="6">
        <v>45637</v>
      </c>
      <c r="K1632" s="37" t="s">
        <v>2650</v>
      </c>
      <c r="L1632" s="119"/>
      <c r="M1632" s="3"/>
    </row>
    <row r="1633" spans="1:13" s="4" customFormat="1" ht="14.25" customHeight="1" x14ac:dyDescent="0.25">
      <c r="A1633" s="4" t="s">
        <v>2819</v>
      </c>
      <c r="B1633" s="4" t="s">
        <v>13</v>
      </c>
      <c r="C1633" s="4" t="s">
        <v>14</v>
      </c>
      <c r="D1633" s="35">
        <v>4643</v>
      </c>
      <c r="E1633" s="4" t="s">
        <v>2820</v>
      </c>
      <c r="F1633" s="5">
        <v>39995</v>
      </c>
      <c r="G1633" s="5">
        <v>40359</v>
      </c>
      <c r="H1633" s="4" t="s">
        <v>2039</v>
      </c>
      <c r="I1633" s="6">
        <v>86285</v>
      </c>
      <c r="J1633" s="6">
        <v>86285</v>
      </c>
      <c r="K1633" s="37" t="s">
        <v>2650</v>
      </c>
      <c r="L1633" s="119"/>
      <c r="M1633" s="3"/>
    </row>
    <row r="1634" spans="1:13" s="4" customFormat="1" ht="14.25" customHeight="1" x14ac:dyDescent="0.25">
      <c r="A1634" s="4" t="s">
        <v>2821</v>
      </c>
      <c r="B1634" s="4" t="s">
        <v>13</v>
      </c>
      <c r="C1634" s="4" t="s">
        <v>14</v>
      </c>
      <c r="D1634" s="35">
        <v>4644</v>
      </c>
      <c r="E1634" s="4" t="s">
        <v>2822</v>
      </c>
      <c r="F1634" s="5">
        <v>40091</v>
      </c>
      <c r="G1634" s="5">
        <v>40455</v>
      </c>
      <c r="H1634" s="4" t="s">
        <v>2039</v>
      </c>
      <c r="I1634" s="6">
        <v>52372</v>
      </c>
      <c r="J1634" s="6">
        <v>52372</v>
      </c>
      <c r="K1634" s="37" t="s">
        <v>2650</v>
      </c>
      <c r="L1634" s="119"/>
      <c r="M1634" s="3"/>
    </row>
    <row r="1635" spans="1:13" s="4" customFormat="1" ht="14.25" customHeight="1" x14ac:dyDescent="0.25">
      <c r="A1635" s="4" t="s">
        <v>2823</v>
      </c>
      <c r="B1635" s="4" t="s">
        <v>13</v>
      </c>
      <c r="C1635" s="4" t="s">
        <v>14</v>
      </c>
      <c r="D1635" s="35">
        <v>4645</v>
      </c>
      <c r="E1635" s="4" t="s">
        <v>2824</v>
      </c>
      <c r="F1635" s="5">
        <v>40118</v>
      </c>
      <c r="G1635" s="5">
        <v>40482</v>
      </c>
      <c r="H1635" s="4" t="s">
        <v>2039</v>
      </c>
      <c r="I1635" s="6">
        <v>47410</v>
      </c>
      <c r="J1635" s="6">
        <v>47410</v>
      </c>
      <c r="K1635" s="37" t="s">
        <v>2650</v>
      </c>
      <c r="L1635" s="119"/>
      <c r="M1635" s="3"/>
    </row>
    <row r="1636" spans="1:13" s="4" customFormat="1" ht="14.25" customHeight="1" x14ac:dyDescent="0.25">
      <c r="A1636" s="4" t="s">
        <v>2825</v>
      </c>
      <c r="B1636" s="4" t="s">
        <v>13</v>
      </c>
      <c r="C1636" s="4" t="s">
        <v>14</v>
      </c>
      <c r="D1636" s="35">
        <v>4646</v>
      </c>
      <c r="E1636" s="4" t="s">
        <v>2826</v>
      </c>
      <c r="F1636" s="5">
        <v>39265</v>
      </c>
      <c r="G1636" s="5">
        <v>39629</v>
      </c>
      <c r="H1636" s="4" t="s">
        <v>2039</v>
      </c>
      <c r="I1636" s="6">
        <v>66749</v>
      </c>
      <c r="J1636" s="6">
        <v>66749</v>
      </c>
      <c r="K1636" s="37" t="s">
        <v>2650</v>
      </c>
      <c r="L1636" s="119"/>
      <c r="M1636" s="3"/>
    </row>
    <row r="1637" spans="1:13" s="4" customFormat="1" ht="14.25" customHeight="1" x14ac:dyDescent="0.25">
      <c r="A1637" s="4" t="s">
        <v>2827</v>
      </c>
      <c r="B1637" s="4" t="s">
        <v>13</v>
      </c>
      <c r="C1637" s="4" t="s">
        <v>14</v>
      </c>
      <c r="D1637" s="35">
        <v>4647</v>
      </c>
      <c r="E1637" s="4" t="s">
        <v>2828</v>
      </c>
      <c r="F1637" s="5">
        <v>39265</v>
      </c>
      <c r="G1637" s="5">
        <v>39721</v>
      </c>
      <c r="H1637" s="4" t="s">
        <v>2039</v>
      </c>
      <c r="I1637" s="6">
        <v>55704</v>
      </c>
      <c r="J1637" s="6">
        <v>55704</v>
      </c>
      <c r="K1637" s="37" t="s">
        <v>2650</v>
      </c>
      <c r="L1637" s="119"/>
      <c r="M1637" s="3"/>
    </row>
    <row r="1638" spans="1:13" s="4" customFormat="1" ht="14.25" customHeight="1" x14ac:dyDescent="0.25">
      <c r="A1638" s="4" t="s">
        <v>2829</v>
      </c>
      <c r="B1638" s="4" t="s">
        <v>13</v>
      </c>
      <c r="C1638" s="4" t="s">
        <v>14</v>
      </c>
      <c r="D1638" s="35">
        <v>4648</v>
      </c>
      <c r="E1638" s="4" t="s">
        <v>2830</v>
      </c>
      <c r="F1638" s="5">
        <v>39265</v>
      </c>
      <c r="G1638" s="5">
        <v>39813</v>
      </c>
      <c r="H1638" s="4" t="s">
        <v>2039</v>
      </c>
      <c r="I1638" s="6">
        <v>73960</v>
      </c>
      <c r="J1638" s="6">
        <v>73960</v>
      </c>
      <c r="K1638" s="37" t="s">
        <v>2650</v>
      </c>
      <c r="L1638" s="119"/>
      <c r="M1638" s="3"/>
    </row>
    <row r="1639" spans="1:13" s="4" customFormat="1" ht="14.25" customHeight="1" x14ac:dyDescent="0.25">
      <c r="A1639" s="4" t="s">
        <v>2831</v>
      </c>
      <c r="B1639" s="4" t="s">
        <v>13</v>
      </c>
      <c r="C1639" s="4" t="s">
        <v>14</v>
      </c>
      <c r="D1639" s="35">
        <v>4649</v>
      </c>
      <c r="E1639" s="4" t="s">
        <v>2832</v>
      </c>
      <c r="F1639" s="5">
        <v>39265</v>
      </c>
      <c r="G1639" s="5">
        <v>39751</v>
      </c>
      <c r="H1639" s="4" t="s">
        <v>2039</v>
      </c>
      <c r="I1639" s="6">
        <v>80118</v>
      </c>
      <c r="J1639" s="6">
        <v>80118</v>
      </c>
      <c r="K1639" s="37" t="s">
        <v>2650</v>
      </c>
      <c r="L1639" s="119"/>
      <c r="M1639" s="3"/>
    </row>
    <row r="1640" spans="1:13" s="4" customFormat="1" ht="14.25" customHeight="1" x14ac:dyDescent="0.25">
      <c r="A1640" s="4" t="s">
        <v>2833</v>
      </c>
      <c r="B1640" s="4" t="s">
        <v>13</v>
      </c>
      <c r="C1640" s="4" t="s">
        <v>14</v>
      </c>
      <c r="D1640" s="35">
        <v>4650</v>
      </c>
      <c r="E1640" s="4" t="s">
        <v>2834</v>
      </c>
      <c r="F1640" s="5">
        <v>39356</v>
      </c>
      <c r="G1640" s="5">
        <v>39844</v>
      </c>
      <c r="H1640" s="4" t="s">
        <v>2039</v>
      </c>
      <c r="I1640" s="6">
        <v>72036</v>
      </c>
      <c r="J1640" s="6">
        <v>72036</v>
      </c>
      <c r="K1640" s="37" t="s">
        <v>2650</v>
      </c>
      <c r="L1640" s="119"/>
      <c r="M1640" s="3"/>
    </row>
    <row r="1641" spans="1:13" s="4" customFormat="1" ht="14.25" customHeight="1" x14ac:dyDescent="0.25">
      <c r="A1641" s="4" t="s">
        <v>2835</v>
      </c>
      <c r="B1641" s="4" t="s">
        <v>13</v>
      </c>
      <c r="C1641" s="4" t="s">
        <v>14</v>
      </c>
      <c r="D1641" s="35">
        <v>4651</v>
      </c>
      <c r="E1641" s="4" t="s">
        <v>2836</v>
      </c>
      <c r="F1641" s="5">
        <v>39426</v>
      </c>
      <c r="G1641" s="5">
        <v>39844</v>
      </c>
      <c r="H1641" s="4" t="s">
        <v>2039</v>
      </c>
      <c r="I1641" s="6">
        <v>73586</v>
      </c>
      <c r="J1641" s="6">
        <v>73586</v>
      </c>
      <c r="K1641" s="37" t="s">
        <v>2650</v>
      </c>
      <c r="L1641" s="119"/>
      <c r="M1641" s="3"/>
    </row>
    <row r="1642" spans="1:13" s="4" customFormat="1" ht="14.25" customHeight="1" x14ac:dyDescent="0.25">
      <c r="A1642" s="4" t="s">
        <v>2837</v>
      </c>
      <c r="B1642" s="4" t="s">
        <v>13</v>
      </c>
      <c r="C1642" s="4" t="s">
        <v>14</v>
      </c>
      <c r="D1642" s="35">
        <v>4652</v>
      </c>
      <c r="E1642" s="4" t="s">
        <v>2838</v>
      </c>
      <c r="F1642" s="5">
        <v>39426</v>
      </c>
      <c r="G1642" s="5">
        <v>39844</v>
      </c>
      <c r="H1642" s="4" t="s">
        <v>2039</v>
      </c>
      <c r="I1642" s="6">
        <v>88573</v>
      </c>
      <c r="J1642" s="6">
        <v>88573</v>
      </c>
      <c r="K1642" s="37" t="s">
        <v>2650</v>
      </c>
      <c r="L1642" s="119"/>
      <c r="M1642" s="3"/>
    </row>
    <row r="1643" spans="1:13" s="4" customFormat="1" ht="14.25" customHeight="1" x14ac:dyDescent="0.25">
      <c r="A1643" s="4" t="s">
        <v>2839</v>
      </c>
      <c r="B1643" s="4" t="s">
        <v>13</v>
      </c>
      <c r="C1643" s="4" t="s">
        <v>14</v>
      </c>
      <c r="D1643" s="35">
        <v>4654</v>
      </c>
      <c r="E1643" s="4" t="s">
        <v>2840</v>
      </c>
      <c r="F1643" s="5">
        <v>39426</v>
      </c>
      <c r="G1643" s="5">
        <v>39791</v>
      </c>
      <c r="H1643" s="4" t="s">
        <v>2039</v>
      </c>
      <c r="I1643" s="6">
        <v>38972</v>
      </c>
      <c r="J1643" s="6">
        <v>38972</v>
      </c>
      <c r="K1643" s="37" t="s">
        <v>2650</v>
      </c>
      <c r="L1643" s="119"/>
      <c r="M1643" s="3"/>
    </row>
    <row r="1644" spans="1:13" s="4" customFormat="1" ht="14.25" customHeight="1" x14ac:dyDescent="0.25">
      <c r="A1644" s="4" t="s">
        <v>2841</v>
      </c>
      <c r="B1644" s="4" t="s">
        <v>13</v>
      </c>
      <c r="C1644" s="4" t="s">
        <v>14</v>
      </c>
      <c r="D1644" s="35">
        <v>4655</v>
      </c>
      <c r="E1644" s="4" t="s">
        <v>2842</v>
      </c>
      <c r="F1644" s="5">
        <v>39203</v>
      </c>
      <c r="G1644" s="5">
        <v>40298</v>
      </c>
      <c r="H1644" s="4" t="s">
        <v>2039</v>
      </c>
      <c r="I1644" s="6">
        <v>344064</v>
      </c>
      <c r="J1644" s="6">
        <v>344064</v>
      </c>
      <c r="K1644" s="37" t="s">
        <v>2650</v>
      </c>
      <c r="L1644" s="119"/>
      <c r="M1644" s="3"/>
    </row>
    <row r="1645" spans="1:13" s="4" customFormat="1" ht="14.25" customHeight="1" x14ac:dyDescent="0.25">
      <c r="A1645" s="4" t="s">
        <v>2843</v>
      </c>
      <c r="B1645" s="4" t="s">
        <v>13</v>
      </c>
      <c r="C1645" s="4" t="s">
        <v>14</v>
      </c>
      <c r="D1645" s="35">
        <v>4656</v>
      </c>
      <c r="E1645" s="4" t="s">
        <v>2844</v>
      </c>
      <c r="F1645" s="5">
        <v>39264</v>
      </c>
      <c r="G1645" s="5">
        <v>40194</v>
      </c>
      <c r="H1645" s="4" t="s">
        <v>2039</v>
      </c>
      <c r="I1645" s="6">
        <v>399992</v>
      </c>
      <c r="J1645" s="6">
        <v>399992</v>
      </c>
      <c r="K1645" s="37" t="s">
        <v>2650</v>
      </c>
      <c r="L1645" s="119"/>
      <c r="M1645" s="3"/>
    </row>
    <row r="1646" spans="1:13" s="4" customFormat="1" ht="14.25" customHeight="1" x14ac:dyDescent="0.25">
      <c r="A1646" s="4" t="s">
        <v>2845</v>
      </c>
      <c r="B1646" s="4" t="s">
        <v>13</v>
      </c>
      <c r="C1646" s="4" t="s">
        <v>14</v>
      </c>
      <c r="D1646" s="35">
        <v>4658</v>
      </c>
      <c r="E1646" s="4" t="s">
        <v>2846</v>
      </c>
      <c r="F1646" s="5">
        <v>39264</v>
      </c>
      <c r="G1646" s="5">
        <v>40086</v>
      </c>
      <c r="H1646" s="4" t="s">
        <v>2039</v>
      </c>
      <c r="I1646" s="6">
        <v>267912</v>
      </c>
      <c r="J1646" s="6">
        <v>267912</v>
      </c>
      <c r="K1646" s="37" t="s">
        <v>2650</v>
      </c>
      <c r="L1646" s="119"/>
      <c r="M1646" s="3"/>
    </row>
    <row r="1647" spans="1:13" s="4" customFormat="1" ht="14.25" customHeight="1" x14ac:dyDescent="0.25">
      <c r="A1647" s="4" t="s">
        <v>2847</v>
      </c>
      <c r="B1647" s="4" t="s">
        <v>13</v>
      </c>
      <c r="C1647" s="4" t="s">
        <v>14</v>
      </c>
      <c r="D1647" s="35">
        <v>4660</v>
      </c>
      <c r="E1647" s="4" t="s">
        <v>2848</v>
      </c>
      <c r="F1647" s="5">
        <v>39234</v>
      </c>
      <c r="G1647" s="5">
        <v>40452</v>
      </c>
      <c r="H1647" s="4" t="s">
        <v>2039</v>
      </c>
      <c r="I1647" s="6">
        <v>291895.38</v>
      </c>
      <c r="J1647" s="6">
        <v>291895.38</v>
      </c>
      <c r="K1647" s="37" t="s">
        <v>2650</v>
      </c>
      <c r="L1647" s="119"/>
      <c r="M1647" s="3"/>
    </row>
    <row r="1648" spans="1:13" s="4" customFormat="1" ht="14.25" customHeight="1" x14ac:dyDescent="0.25">
      <c r="A1648" s="4" t="s">
        <v>2849</v>
      </c>
      <c r="B1648" s="4" t="s">
        <v>13</v>
      </c>
      <c r="C1648" s="4" t="s">
        <v>14</v>
      </c>
      <c r="D1648" s="35">
        <v>4661</v>
      </c>
      <c r="E1648" s="4" t="s">
        <v>2850</v>
      </c>
      <c r="F1648" s="5">
        <v>39356</v>
      </c>
      <c r="G1648" s="5">
        <v>40359</v>
      </c>
      <c r="H1648" s="4" t="s">
        <v>2039</v>
      </c>
      <c r="I1648" s="6">
        <v>355200</v>
      </c>
      <c r="J1648" s="6">
        <v>355200</v>
      </c>
      <c r="K1648" s="37" t="s">
        <v>2650</v>
      </c>
      <c r="L1648" s="119"/>
      <c r="M1648" s="3"/>
    </row>
    <row r="1649" spans="1:13" s="4" customFormat="1" ht="14.25" customHeight="1" x14ac:dyDescent="0.25">
      <c r="A1649" s="4" t="s">
        <v>2851</v>
      </c>
      <c r="B1649" s="4" t="s">
        <v>13</v>
      </c>
      <c r="C1649" s="4" t="s">
        <v>14</v>
      </c>
      <c r="D1649" s="35">
        <v>4662</v>
      </c>
      <c r="E1649" s="4" t="s">
        <v>2852</v>
      </c>
      <c r="F1649" s="5">
        <v>39600</v>
      </c>
      <c r="G1649" s="5">
        <v>40512</v>
      </c>
      <c r="H1649" s="4" t="s">
        <v>2039</v>
      </c>
      <c r="I1649" s="6">
        <v>178981</v>
      </c>
      <c r="J1649" s="6">
        <v>178981</v>
      </c>
      <c r="K1649" s="37" t="s">
        <v>2650</v>
      </c>
      <c r="L1649" s="119"/>
      <c r="M1649" s="3"/>
    </row>
    <row r="1650" spans="1:13" s="4" customFormat="1" ht="14.25" customHeight="1" x14ac:dyDescent="0.25">
      <c r="A1650" s="4" t="s">
        <v>2853</v>
      </c>
      <c r="B1650" s="4" t="s">
        <v>13</v>
      </c>
      <c r="C1650" s="4" t="s">
        <v>14</v>
      </c>
      <c r="D1650" s="35">
        <v>4664</v>
      </c>
      <c r="E1650" s="4" t="s">
        <v>2854</v>
      </c>
      <c r="F1650" s="5">
        <v>39479</v>
      </c>
      <c r="G1650" s="5">
        <v>40389</v>
      </c>
      <c r="H1650" s="4" t="s">
        <v>2039</v>
      </c>
      <c r="I1650" s="6">
        <v>354540</v>
      </c>
      <c r="J1650" s="6">
        <v>354540</v>
      </c>
      <c r="K1650" s="37" t="s">
        <v>2650</v>
      </c>
      <c r="L1650" s="119"/>
      <c r="M1650" s="3"/>
    </row>
    <row r="1651" spans="1:13" s="4" customFormat="1" ht="14.25" customHeight="1" x14ac:dyDescent="0.25">
      <c r="A1651" s="4" t="s">
        <v>2855</v>
      </c>
      <c r="B1651" s="4" t="s">
        <v>13</v>
      </c>
      <c r="C1651" s="4" t="s">
        <v>14</v>
      </c>
      <c r="D1651" s="35">
        <v>4666</v>
      </c>
      <c r="E1651" s="4" t="s">
        <v>2856</v>
      </c>
      <c r="F1651" s="5">
        <v>39722</v>
      </c>
      <c r="G1651" s="5">
        <v>40816</v>
      </c>
      <c r="H1651" s="4" t="s">
        <v>2039</v>
      </c>
      <c r="I1651" s="6">
        <v>292474.15999999997</v>
      </c>
      <c r="J1651" s="6">
        <v>292474.15999999997</v>
      </c>
      <c r="K1651" s="37" t="s">
        <v>2650</v>
      </c>
      <c r="L1651" s="119"/>
      <c r="M1651" s="3"/>
    </row>
    <row r="1652" spans="1:13" s="4" customFormat="1" ht="14.25" customHeight="1" x14ac:dyDescent="0.25">
      <c r="A1652" s="4" t="s">
        <v>2857</v>
      </c>
      <c r="B1652" s="4" t="s">
        <v>13</v>
      </c>
      <c r="C1652" s="4" t="s">
        <v>14</v>
      </c>
      <c r="D1652" s="35">
        <v>4667</v>
      </c>
      <c r="E1652" s="4" t="s">
        <v>2858</v>
      </c>
      <c r="F1652" s="5">
        <v>39692</v>
      </c>
      <c r="G1652" s="5">
        <v>40421</v>
      </c>
      <c r="H1652" s="4" t="s">
        <v>2039</v>
      </c>
      <c r="I1652" s="6">
        <v>160824</v>
      </c>
      <c r="J1652" s="6">
        <v>160824</v>
      </c>
      <c r="K1652" s="37" t="s">
        <v>2650</v>
      </c>
      <c r="L1652" s="119"/>
      <c r="M1652" s="3"/>
    </row>
    <row r="1653" spans="1:13" s="4" customFormat="1" ht="14.25" customHeight="1" x14ac:dyDescent="0.25">
      <c r="A1653" s="4" t="s">
        <v>2859</v>
      </c>
      <c r="B1653" s="4" t="s">
        <v>13</v>
      </c>
      <c r="C1653" s="4" t="s">
        <v>14</v>
      </c>
      <c r="D1653" s="35">
        <v>4668</v>
      </c>
      <c r="E1653" s="4" t="s">
        <v>2860</v>
      </c>
      <c r="F1653" s="5">
        <v>39722</v>
      </c>
      <c r="G1653" s="5">
        <v>40817</v>
      </c>
      <c r="H1653" s="4" t="s">
        <v>2039</v>
      </c>
      <c r="I1653" s="6">
        <f>333531.14+17099.49</f>
        <v>350630.63</v>
      </c>
      <c r="J1653" s="6">
        <f>333531.14+17099.49</f>
        <v>350630.63</v>
      </c>
      <c r="K1653" s="37" t="s">
        <v>2650</v>
      </c>
      <c r="L1653" s="119"/>
      <c r="M1653" s="3"/>
    </row>
    <row r="1654" spans="1:13" s="4" customFormat="1" ht="14.25" customHeight="1" x14ac:dyDescent="0.25">
      <c r="A1654" s="4" t="s">
        <v>2861</v>
      </c>
      <c r="B1654" s="4" t="s">
        <v>13</v>
      </c>
      <c r="C1654" s="4" t="s">
        <v>14</v>
      </c>
      <c r="D1654" s="35">
        <v>4671</v>
      </c>
      <c r="E1654" s="4" t="s">
        <v>2862</v>
      </c>
      <c r="F1654" s="5">
        <v>40087</v>
      </c>
      <c r="G1654" s="5">
        <v>40816</v>
      </c>
      <c r="H1654" s="4" t="s">
        <v>2039</v>
      </c>
      <c r="I1654" s="6">
        <v>174751.1</v>
      </c>
      <c r="J1654" s="6">
        <v>174751.1</v>
      </c>
      <c r="K1654" s="37" t="s">
        <v>2650</v>
      </c>
      <c r="L1654" s="119"/>
      <c r="M1654" s="3"/>
    </row>
    <row r="1655" spans="1:13" s="4" customFormat="1" ht="14.25" customHeight="1" x14ac:dyDescent="0.25">
      <c r="A1655" s="4" t="s">
        <v>2863</v>
      </c>
      <c r="B1655" s="4" t="s">
        <v>13</v>
      </c>
      <c r="C1655" s="4" t="s">
        <v>14</v>
      </c>
      <c r="D1655" s="35">
        <v>5769</v>
      </c>
      <c r="E1655" s="4" t="s">
        <v>2864</v>
      </c>
      <c r="F1655" s="5">
        <v>40133</v>
      </c>
      <c r="G1655" s="5">
        <v>40313</v>
      </c>
      <c r="H1655" s="4" t="s">
        <v>2039</v>
      </c>
      <c r="I1655" s="6">
        <v>9375</v>
      </c>
      <c r="J1655" s="6">
        <v>9375</v>
      </c>
      <c r="K1655" s="37" t="s">
        <v>2650</v>
      </c>
      <c r="L1655" s="119"/>
      <c r="M1655" s="3"/>
    </row>
    <row r="1656" spans="1:13" s="4" customFormat="1" ht="14.25" customHeight="1" x14ac:dyDescent="0.25">
      <c r="A1656" s="4" t="s">
        <v>2865</v>
      </c>
      <c r="B1656" s="4" t="s">
        <v>13</v>
      </c>
      <c r="C1656" s="4" t="s">
        <v>14</v>
      </c>
      <c r="D1656" s="35">
        <v>5770</v>
      </c>
      <c r="E1656" s="7" t="s">
        <v>2866</v>
      </c>
      <c r="F1656" s="5">
        <v>39332</v>
      </c>
      <c r="G1656" s="5">
        <v>39828</v>
      </c>
      <c r="H1656" s="4" t="s">
        <v>2039</v>
      </c>
      <c r="I1656" s="6">
        <v>81170.399999999994</v>
      </c>
      <c r="J1656" s="6">
        <v>81170.399999999994</v>
      </c>
      <c r="K1656" s="37" t="s">
        <v>2650</v>
      </c>
      <c r="L1656" s="119"/>
      <c r="M1656" s="3"/>
    </row>
    <row r="1657" spans="1:13" s="4" customFormat="1" ht="14.25" customHeight="1" x14ac:dyDescent="0.25">
      <c r="A1657" s="4" t="s">
        <v>2867</v>
      </c>
      <c r="B1657" s="4" t="s">
        <v>13</v>
      </c>
      <c r="C1657" s="4" t="s">
        <v>14</v>
      </c>
      <c r="D1657" s="35">
        <v>5778</v>
      </c>
      <c r="E1657" s="4" t="s">
        <v>2868</v>
      </c>
      <c r="F1657" s="5">
        <v>39426</v>
      </c>
      <c r="G1657" s="5">
        <v>39895</v>
      </c>
      <c r="H1657" s="4" t="s">
        <v>2039</v>
      </c>
      <c r="I1657" s="6">
        <v>61726.29</v>
      </c>
      <c r="J1657" s="6">
        <v>61726.29</v>
      </c>
      <c r="K1657" s="37" t="s">
        <v>2650</v>
      </c>
      <c r="L1657" s="119"/>
      <c r="M1657" s="3"/>
    </row>
    <row r="1658" spans="1:13" s="4" customFormat="1" ht="14.25" customHeight="1" x14ac:dyDescent="0.25">
      <c r="A1658" s="4" t="s">
        <v>2869</v>
      </c>
      <c r="B1658" s="4" t="s">
        <v>13</v>
      </c>
      <c r="C1658" s="4" t="s">
        <v>14</v>
      </c>
      <c r="D1658" s="35">
        <v>5795</v>
      </c>
      <c r="E1658" s="4" t="s">
        <v>2870</v>
      </c>
      <c r="F1658" s="5">
        <v>39387</v>
      </c>
      <c r="G1658" s="5">
        <v>39994</v>
      </c>
      <c r="H1658" s="4" t="s">
        <v>2039</v>
      </c>
      <c r="I1658" s="6">
        <v>80709.95</v>
      </c>
      <c r="J1658" s="6">
        <v>80709.95</v>
      </c>
      <c r="K1658" s="37" t="s">
        <v>2650</v>
      </c>
      <c r="L1658" s="119"/>
      <c r="M1658" s="3"/>
    </row>
    <row r="1659" spans="1:13" s="4" customFormat="1" ht="14.25" customHeight="1" x14ac:dyDescent="0.25">
      <c r="A1659" s="4" t="s">
        <v>2871</v>
      </c>
      <c r="B1659" s="4" t="s">
        <v>13</v>
      </c>
      <c r="C1659" s="4" t="s">
        <v>14</v>
      </c>
      <c r="D1659" s="35">
        <v>5798</v>
      </c>
      <c r="E1659" s="4" t="s">
        <v>2872</v>
      </c>
      <c r="F1659" s="5">
        <v>39753</v>
      </c>
      <c r="G1659" s="5">
        <v>40116</v>
      </c>
      <c r="H1659" s="4" t="s">
        <v>2039</v>
      </c>
      <c r="I1659" s="6">
        <v>80241.210000000006</v>
      </c>
      <c r="J1659" s="6">
        <v>80241.210000000006</v>
      </c>
      <c r="K1659" s="37" t="s">
        <v>2650</v>
      </c>
      <c r="L1659" s="119"/>
      <c r="M1659" s="3"/>
    </row>
    <row r="1660" spans="1:13" s="4" customFormat="1" ht="14.25" customHeight="1" x14ac:dyDescent="0.25">
      <c r="A1660" s="4" t="s">
        <v>2873</v>
      </c>
      <c r="B1660" s="4" t="s">
        <v>13</v>
      </c>
      <c r="C1660" s="4" t="s">
        <v>14</v>
      </c>
      <c r="D1660" s="35">
        <v>5800</v>
      </c>
      <c r="E1660" s="4" t="s">
        <v>2874</v>
      </c>
      <c r="F1660" s="5">
        <v>39814</v>
      </c>
      <c r="G1660" s="5">
        <v>40178</v>
      </c>
      <c r="H1660" s="4" t="s">
        <v>2039</v>
      </c>
      <c r="I1660" s="6">
        <v>83433.72</v>
      </c>
      <c r="J1660" s="6">
        <v>83433.72</v>
      </c>
      <c r="K1660" s="37" t="s">
        <v>2650</v>
      </c>
      <c r="L1660" s="119"/>
      <c r="M1660" s="3"/>
    </row>
    <row r="1661" spans="1:13" s="4" customFormat="1" ht="14.25" customHeight="1" x14ac:dyDescent="0.25">
      <c r="A1661" s="4" t="s">
        <v>2875</v>
      </c>
      <c r="B1661" s="4" t="s">
        <v>13</v>
      </c>
      <c r="C1661" s="4" t="s">
        <v>14</v>
      </c>
      <c r="D1661" s="35">
        <v>5803</v>
      </c>
      <c r="E1661" s="4" t="s">
        <v>2876</v>
      </c>
      <c r="F1661" s="5">
        <v>39845</v>
      </c>
      <c r="G1661" s="5">
        <v>40209</v>
      </c>
      <c r="H1661" s="4" t="s">
        <v>2039</v>
      </c>
      <c r="I1661" s="6">
        <v>73421.41</v>
      </c>
      <c r="J1661" s="6">
        <v>73421.41</v>
      </c>
      <c r="K1661" s="37" t="s">
        <v>2650</v>
      </c>
      <c r="L1661" s="119"/>
      <c r="M1661" s="3"/>
    </row>
    <row r="1662" spans="1:13" s="4" customFormat="1" ht="14.25" customHeight="1" x14ac:dyDescent="0.25">
      <c r="A1662" s="4" t="s">
        <v>2877</v>
      </c>
      <c r="B1662" s="4" t="s">
        <v>13</v>
      </c>
      <c r="C1662" s="4" t="s">
        <v>14</v>
      </c>
      <c r="D1662" s="35">
        <v>5805</v>
      </c>
      <c r="E1662" s="4" t="s">
        <v>2878</v>
      </c>
      <c r="F1662" s="5">
        <v>39818</v>
      </c>
      <c r="G1662" s="5">
        <v>40183</v>
      </c>
      <c r="H1662" s="4" t="s">
        <v>2039</v>
      </c>
      <c r="I1662" s="6">
        <v>107344.48</v>
      </c>
      <c r="J1662" s="6">
        <v>107344.48</v>
      </c>
      <c r="K1662" s="37" t="s">
        <v>2650</v>
      </c>
      <c r="L1662" s="119"/>
      <c r="M1662" s="3"/>
    </row>
    <row r="1663" spans="1:13" s="4" customFormat="1" ht="14.25" customHeight="1" x14ac:dyDescent="0.25">
      <c r="A1663" s="4" t="s">
        <v>2879</v>
      </c>
      <c r="B1663" s="4" t="s">
        <v>13</v>
      </c>
      <c r="C1663" s="4" t="s">
        <v>14</v>
      </c>
      <c r="D1663" s="35">
        <v>5809</v>
      </c>
      <c r="E1663" s="4" t="s">
        <v>2880</v>
      </c>
      <c r="F1663" s="5">
        <v>39845</v>
      </c>
      <c r="G1663" s="5">
        <v>40268</v>
      </c>
      <c r="H1663" s="4" t="s">
        <v>2039</v>
      </c>
      <c r="I1663" s="6">
        <v>78200.91</v>
      </c>
      <c r="J1663" s="6">
        <v>78200.91</v>
      </c>
      <c r="K1663" s="37" t="s">
        <v>2650</v>
      </c>
      <c r="L1663" s="119"/>
      <c r="M1663" s="3"/>
    </row>
    <row r="1664" spans="1:13" s="4" customFormat="1" ht="14.25" customHeight="1" x14ac:dyDescent="0.25">
      <c r="A1664" s="4" t="s">
        <v>2881</v>
      </c>
      <c r="B1664" s="4" t="s">
        <v>13</v>
      </c>
      <c r="C1664" s="4" t="s">
        <v>14</v>
      </c>
      <c r="D1664" s="35">
        <v>5811</v>
      </c>
      <c r="E1664" s="4" t="s">
        <v>2882</v>
      </c>
      <c r="F1664" s="5">
        <v>40087</v>
      </c>
      <c r="G1664" s="5">
        <v>40862</v>
      </c>
      <c r="H1664" s="4" t="s">
        <v>2039</v>
      </c>
      <c r="I1664" s="6">
        <v>43305.62</v>
      </c>
      <c r="J1664" s="6">
        <v>43305.62</v>
      </c>
      <c r="K1664" s="37" t="s">
        <v>2650</v>
      </c>
      <c r="L1664" s="119"/>
      <c r="M1664" s="3"/>
    </row>
    <row r="1665" spans="1:13" s="4" customFormat="1" ht="14.25" customHeight="1" x14ac:dyDescent="0.25">
      <c r="A1665" s="4" t="s">
        <v>2883</v>
      </c>
      <c r="B1665" s="4" t="s">
        <v>13</v>
      </c>
      <c r="C1665" s="4" t="s">
        <v>14</v>
      </c>
      <c r="D1665" s="35">
        <v>5812</v>
      </c>
      <c r="E1665" s="4" t="s">
        <v>2884</v>
      </c>
      <c r="F1665" s="5">
        <v>40098</v>
      </c>
      <c r="G1665" s="5">
        <v>40535</v>
      </c>
      <c r="H1665" s="4" t="s">
        <v>2039</v>
      </c>
      <c r="I1665" s="6">
        <v>94171.5</v>
      </c>
      <c r="J1665" s="8">
        <v>94171.5</v>
      </c>
      <c r="K1665" s="37" t="s">
        <v>2650</v>
      </c>
      <c r="L1665" s="119"/>
      <c r="M1665" s="3"/>
    </row>
    <row r="1666" spans="1:13" s="4" customFormat="1" ht="14.25" customHeight="1" x14ac:dyDescent="0.25">
      <c r="A1666" s="4" t="s">
        <v>2885</v>
      </c>
      <c r="B1666" s="4" t="s">
        <v>13</v>
      </c>
      <c r="C1666" s="4" t="s">
        <v>14</v>
      </c>
      <c r="D1666" s="35">
        <v>5814</v>
      </c>
      <c r="E1666" s="4" t="s">
        <v>2886</v>
      </c>
      <c r="F1666" s="5">
        <v>39264</v>
      </c>
      <c r="G1666" s="5">
        <v>39752</v>
      </c>
      <c r="H1666" s="4" t="s">
        <v>2039</v>
      </c>
      <c r="I1666" s="6">
        <v>69528.350000000006</v>
      </c>
      <c r="J1666" s="6">
        <v>69528.350000000006</v>
      </c>
      <c r="K1666" s="37" t="s">
        <v>2650</v>
      </c>
      <c r="L1666" s="119"/>
      <c r="M1666" s="3"/>
    </row>
    <row r="1667" spans="1:13" s="4" customFormat="1" ht="14.25" customHeight="1" x14ac:dyDescent="0.25">
      <c r="A1667" s="4" t="s">
        <v>2887</v>
      </c>
      <c r="B1667" s="4" t="s">
        <v>13</v>
      </c>
      <c r="C1667" s="4" t="s">
        <v>14</v>
      </c>
      <c r="D1667" s="35">
        <v>5815</v>
      </c>
      <c r="E1667" s="7" t="s">
        <v>2888</v>
      </c>
      <c r="F1667" s="5">
        <v>39187</v>
      </c>
      <c r="G1667" s="5">
        <v>39782</v>
      </c>
      <c r="H1667" s="4" t="s">
        <v>2039</v>
      </c>
      <c r="I1667" s="6">
        <v>57079.83</v>
      </c>
      <c r="J1667" s="6">
        <v>57079.83</v>
      </c>
      <c r="K1667" s="37" t="s">
        <v>2650</v>
      </c>
      <c r="L1667" s="119"/>
      <c r="M1667" s="3"/>
    </row>
    <row r="1668" spans="1:13" s="4" customFormat="1" ht="14.25" customHeight="1" x14ac:dyDescent="0.25">
      <c r="A1668" s="4" t="s">
        <v>2889</v>
      </c>
      <c r="B1668" s="4" t="s">
        <v>13</v>
      </c>
      <c r="C1668" s="4" t="s">
        <v>14</v>
      </c>
      <c r="D1668" s="35">
        <v>5816</v>
      </c>
      <c r="E1668" s="4" t="s">
        <v>2890</v>
      </c>
      <c r="F1668" s="5">
        <v>39356</v>
      </c>
      <c r="G1668" s="5">
        <v>40574</v>
      </c>
      <c r="H1668" s="4" t="s">
        <v>2039</v>
      </c>
      <c r="I1668" s="6">
        <v>265575.08</v>
      </c>
      <c r="J1668" s="6">
        <v>265575.08</v>
      </c>
      <c r="K1668" s="37" t="s">
        <v>2650</v>
      </c>
      <c r="L1668" s="119"/>
      <c r="M1668" s="3"/>
    </row>
    <row r="1669" spans="1:13" s="4" customFormat="1" ht="14.25" customHeight="1" x14ac:dyDescent="0.25">
      <c r="A1669" s="4" t="s">
        <v>2867</v>
      </c>
      <c r="B1669" s="4" t="s">
        <v>13</v>
      </c>
      <c r="C1669" s="4" t="s">
        <v>14</v>
      </c>
      <c r="D1669" s="35">
        <v>5817</v>
      </c>
      <c r="E1669" s="4" t="s">
        <v>2891</v>
      </c>
      <c r="F1669" s="5">
        <v>39988</v>
      </c>
      <c r="G1669" s="5">
        <v>41090</v>
      </c>
      <c r="H1669" s="4" t="s">
        <v>2039</v>
      </c>
      <c r="I1669" s="6">
        <f>276906.03+66820.94</f>
        <v>343726.97000000003</v>
      </c>
      <c r="J1669" s="6">
        <f>276906.03+66820.94</f>
        <v>343726.97000000003</v>
      </c>
      <c r="K1669" s="37" t="s">
        <v>2650</v>
      </c>
      <c r="L1669" s="119"/>
      <c r="M1669" s="3"/>
    </row>
    <row r="1670" spans="1:13" s="4" customFormat="1" ht="14.25" customHeight="1" x14ac:dyDescent="0.25">
      <c r="A1670" s="4" t="s">
        <v>2892</v>
      </c>
      <c r="B1670" s="4" t="s">
        <v>13</v>
      </c>
      <c r="C1670" s="4" t="s">
        <v>14</v>
      </c>
      <c r="D1670" s="35">
        <v>5818</v>
      </c>
      <c r="E1670" s="7" t="s">
        <v>2893</v>
      </c>
      <c r="F1670" s="5">
        <v>40118</v>
      </c>
      <c r="G1670" s="5">
        <v>41577</v>
      </c>
      <c r="H1670" s="4" t="s">
        <v>2039</v>
      </c>
      <c r="I1670" s="6">
        <f>199745.59+68522.32</f>
        <v>268267.91000000003</v>
      </c>
      <c r="J1670" s="6">
        <f>199745.59+68522.32</f>
        <v>268267.91000000003</v>
      </c>
      <c r="K1670" s="37" t="s">
        <v>2650</v>
      </c>
      <c r="L1670" s="119"/>
      <c r="M1670" s="3"/>
    </row>
    <row r="1671" spans="1:13" s="4" customFormat="1" ht="14.25" customHeight="1" x14ac:dyDescent="0.25">
      <c r="A1671" s="4" t="s">
        <v>2894</v>
      </c>
      <c r="B1671" s="4" t="s">
        <v>13</v>
      </c>
      <c r="C1671" s="4" t="s">
        <v>14</v>
      </c>
      <c r="D1671" s="35">
        <v>5819</v>
      </c>
      <c r="E1671" s="7" t="s">
        <v>2895</v>
      </c>
      <c r="F1671" s="5">
        <v>39295</v>
      </c>
      <c r="G1671" s="5">
        <v>40497</v>
      </c>
      <c r="H1671" s="4" t="s">
        <v>2039</v>
      </c>
      <c r="I1671" s="6">
        <v>326100.7</v>
      </c>
      <c r="J1671" s="6">
        <v>326100.7</v>
      </c>
      <c r="K1671" s="37" t="s">
        <v>2650</v>
      </c>
      <c r="L1671" s="119"/>
      <c r="M1671" s="3"/>
    </row>
    <row r="1672" spans="1:13" s="4" customFormat="1" ht="14.25" customHeight="1" x14ac:dyDescent="0.25">
      <c r="A1672" s="4" t="s">
        <v>2896</v>
      </c>
      <c r="B1672" s="4" t="s">
        <v>13</v>
      </c>
      <c r="C1672" s="4" t="s">
        <v>14</v>
      </c>
      <c r="D1672" s="35">
        <v>5858</v>
      </c>
      <c r="E1672" s="4" t="s">
        <v>2897</v>
      </c>
      <c r="F1672" s="5">
        <v>39995</v>
      </c>
      <c r="G1672" s="5">
        <v>40451</v>
      </c>
      <c r="H1672" s="4" t="s">
        <v>2039</v>
      </c>
      <c r="I1672" s="6">
        <v>83556</v>
      </c>
      <c r="J1672" s="6">
        <v>83556</v>
      </c>
      <c r="K1672" s="37" t="s">
        <v>2650</v>
      </c>
      <c r="L1672" s="119"/>
      <c r="M1672" s="3"/>
    </row>
    <row r="1673" spans="1:13" s="4" customFormat="1" ht="14.25" customHeight="1" x14ac:dyDescent="0.25">
      <c r="A1673" s="4" t="s">
        <v>2898</v>
      </c>
      <c r="B1673" s="4" t="s">
        <v>13</v>
      </c>
      <c r="C1673" s="4" t="s">
        <v>14</v>
      </c>
      <c r="D1673" s="35">
        <v>5859</v>
      </c>
      <c r="E1673" s="7" t="s">
        <v>2899</v>
      </c>
      <c r="F1673" s="5">
        <v>39934</v>
      </c>
      <c r="G1673" s="5">
        <v>40847</v>
      </c>
      <c r="H1673" s="4" t="s">
        <v>2039</v>
      </c>
      <c r="I1673" s="6">
        <f>321686.44-1605.76</f>
        <v>320080.68</v>
      </c>
      <c r="J1673" s="6">
        <f>321686.44-1605.76</f>
        <v>320080.68</v>
      </c>
      <c r="K1673" s="37" t="s">
        <v>2650</v>
      </c>
      <c r="L1673" s="119"/>
      <c r="M1673" s="3"/>
    </row>
    <row r="1674" spans="1:13" s="4" customFormat="1" ht="14.25" customHeight="1" x14ac:dyDescent="0.25">
      <c r="A1674" s="4" t="s">
        <v>2900</v>
      </c>
      <c r="B1674" s="4" t="s">
        <v>13</v>
      </c>
      <c r="C1674" s="4" t="s">
        <v>14</v>
      </c>
      <c r="D1674" s="35">
        <v>5974</v>
      </c>
      <c r="E1674" s="4" t="s">
        <v>2900</v>
      </c>
      <c r="F1674" s="5">
        <v>39873</v>
      </c>
      <c r="G1674" s="5">
        <v>40388</v>
      </c>
      <c r="H1674" s="4" t="s">
        <v>2039</v>
      </c>
      <c r="I1674" s="6">
        <v>58337.919999999998</v>
      </c>
      <c r="J1674" s="6">
        <v>58337.919999999998</v>
      </c>
      <c r="K1674" s="37" t="s">
        <v>2650</v>
      </c>
      <c r="L1674" s="119"/>
      <c r="M1674" s="3"/>
    </row>
    <row r="1675" spans="1:13" s="4" customFormat="1" ht="14.25" customHeight="1" x14ac:dyDescent="0.25">
      <c r="A1675" s="4" t="s">
        <v>2901</v>
      </c>
      <c r="B1675" s="4" t="s">
        <v>13</v>
      </c>
      <c r="C1675" s="4" t="s">
        <v>14</v>
      </c>
      <c r="D1675" s="35">
        <v>5975</v>
      </c>
      <c r="E1675" s="4" t="s">
        <v>2901</v>
      </c>
      <c r="F1675" s="5">
        <v>39995</v>
      </c>
      <c r="G1675" s="5">
        <v>40330</v>
      </c>
      <c r="H1675" s="4" t="s">
        <v>2039</v>
      </c>
      <c r="I1675" s="6">
        <v>21866.19</v>
      </c>
      <c r="J1675" s="6">
        <v>21866.19</v>
      </c>
      <c r="K1675" s="37" t="s">
        <v>2650</v>
      </c>
      <c r="L1675" s="119"/>
      <c r="M1675" s="3"/>
    </row>
    <row r="1676" spans="1:13" s="4" customFormat="1" ht="14.25" customHeight="1" x14ac:dyDescent="0.25">
      <c r="A1676" s="4" t="s">
        <v>2902</v>
      </c>
      <c r="B1676" s="4" t="s">
        <v>13</v>
      </c>
      <c r="C1676" s="4" t="s">
        <v>14</v>
      </c>
      <c r="D1676" s="35">
        <v>5976</v>
      </c>
      <c r="E1676" s="4" t="s">
        <v>2903</v>
      </c>
      <c r="F1676" s="5">
        <v>39539</v>
      </c>
      <c r="G1676" s="5">
        <v>39872</v>
      </c>
      <c r="H1676" s="4" t="s">
        <v>2039</v>
      </c>
      <c r="I1676" s="6">
        <v>38678.49</v>
      </c>
      <c r="J1676" s="6">
        <v>38678.49</v>
      </c>
      <c r="K1676" s="37" t="s">
        <v>2650</v>
      </c>
      <c r="L1676" s="119"/>
      <c r="M1676" s="3"/>
    </row>
    <row r="1677" spans="1:13" s="4" customFormat="1" ht="14.25" customHeight="1" x14ac:dyDescent="0.25">
      <c r="A1677" s="4" t="s">
        <v>2904</v>
      </c>
      <c r="B1677" s="4" t="s">
        <v>13</v>
      </c>
      <c r="C1677" s="4" t="s">
        <v>14</v>
      </c>
      <c r="D1677" s="35">
        <v>5978</v>
      </c>
      <c r="E1677" s="4" t="s">
        <v>2905</v>
      </c>
      <c r="F1677" s="5">
        <v>39617</v>
      </c>
      <c r="G1677" s="5">
        <v>40214</v>
      </c>
      <c r="H1677" s="4" t="s">
        <v>2039</v>
      </c>
      <c r="I1677" s="6">
        <v>77001.87</v>
      </c>
      <c r="J1677" s="6">
        <v>77001.87</v>
      </c>
      <c r="K1677" s="37" t="s">
        <v>2650</v>
      </c>
      <c r="L1677" s="119"/>
      <c r="M1677" s="3"/>
    </row>
    <row r="1678" spans="1:13" s="4" customFormat="1" ht="14.25" customHeight="1" x14ac:dyDescent="0.25">
      <c r="A1678" s="4" t="s">
        <v>2906</v>
      </c>
      <c r="B1678" s="4" t="s">
        <v>13</v>
      </c>
      <c r="C1678" s="4" t="s">
        <v>14</v>
      </c>
      <c r="D1678" s="35">
        <v>5979</v>
      </c>
      <c r="E1678" s="4" t="s">
        <v>2907</v>
      </c>
      <c r="F1678" s="5">
        <v>39618</v>
      </c>
      <c r="G1678" s="5">
        <v>40329</v>
      </c>
      <c r="H1678" s="4" t="s">
        <v>2039</v>
      </c>
      <c r="I1678" s="6">
        <v>58114.720000000001</v>
      </c>
      <c r="J1678" s="6">
        <v>58114.720000000001</v>
      </c>
      <c r="K1678" s="37" t="s">
        <v>2650</v>
      </c>
      <c r="L1678" s="119"/>
      <c r="M1678" s="3"/>
    </row>
    <row r="1679" spans="1:13" s="4" customFormat="1" ht="14.25" customHeight="1" x14ac:dyDescent="0.25">
      <c r="A1679" s="4" t="s">
        <v>2908</v>
      </c>
      <c r="B1679" s="4" t="s">
        <v>13</v>
      </c>
      <c r="C1679" s="4" t="s">
        <v>14</v>
      </c>
      <c r="D1679" s="35">
        <v>5980</v>
      </c>
      <c r="E1679" s="4" t="s">
        <v>2909</v>
      </c>
      <c r="F1679" s="5">
        <v>39722</v>
      </c>
      <c r="G1679" s="5">
        <v>40268</v>
      </c>
      <c r="H1679" s="4" t="s">
        <v>2039</v>
      </c>
      <c r="I1679" s="6">
        <v>64302.44</v>
      </c>
      <c r="J1679" s="6">
        <v>64302.44</v>
      </c>
      <c r="K1679" s="37" t="s">
        <v>2650</v>
      </c>
      <c r="L1679" s="119"/>
      <c r="M1679" s="3"/>
    </row>
    <row r="1680" spans="1:13" s="4" customFormat="1" ht="14.25" customHeight="1" x14ac:dyDescent="0.25">
      <c r="A1680" s="4" t="s">
        <v>2910</v>
      </c>
      <c r="B1680" s="4" t="s">
        <v>13</v>
      </c>
      <c r="C1680" s="4" t="s">
        <v>14</v>
      </c>
      <c r="D1680" s="35">
        <v>5982</v>
      </c>
      <c r="E1680" s="4" t="s">
        <v>2911</v>
      </c>
      <c r="F1680" s="5">
        <v>39845</v>
      </c>
      <c r="G1680" s="5">
        <v>40295</v>
      </c>
      <c r="H1680" s="4" t="s">
        <v>2039</v>
      </c>
      <c r="I1680" s="6">
        <v>55319.35</v>
      </c>
      <c r="J1680" s="6">
        <v>55319.35</v>
      </c>
      <c r="K1680" s="37" t="s">
        <v>2650</v>
      </c>
      <c r="L1680" s="119"/>
      <c r="M1680" s="3"/>
    </row>
    <row r="1681" spans="1:13" s="4" customFormat="1" ht="14.25" customHeight="1" x14ac:dyDescent="0.25">
      <c r="A1681" s="4" t="s">
        <v>2912</v>
      </c>
      <c r="B1681" s="4" t="s">
        <v>13</v>
      </c>
      <c r="C1681" s="4" t="s">
        <v>14</v>
      </c>
      <c r="D1681" s="35">
        <v>5983</v>
      </c>
      <c r="E1681" s="4" t="s">
        <v>2913</v>
      </c>
      <c r="F1681" s="5">
        <v>40087</v>
      </c>
      <c r="G1681" s="5">
        <v>40451</v>
      </c>
      <c r="H1681" s="4" t="s">
        <v>2039</v>
      </c>
      <c r="I1681" s="6">
        <v>76970.11</v>
      </c>
      <c r="J1681" s="6">
        <v>76970.11</v>
      </c>
      <c r="K1681" s="37" t="s">
        <v>2650</v>
      </c>
      <c r="L1681" s="119"/>
      <c r="M1681" s="3"/>
    </row>
    <row r="1682" spans="1:13" s="4" customFormat="1" ht="14.25" customHeight="1" x14ac:dyDescent="0.25">
      <c r="A1682" s="4" t="s">
        <v>2914</v>
      </c>
      <c r="B1682" s="4" t="s">
        <v>13</v>
      </c>
      <c r="C1682" s="4" t="s">
        <v>14</v>
      </c>
      <c r="D1682" s="35">
        <v>5984</v>
      </c>
      <c r="E1682" s="4" t="s">
        <v>2914</v>
      </c>
      <c r="F1682" s="5">
        <v>39265</v>
      </c>
      <c r="G1682" s="5">
        <v>39660</v>
      </c>
      <c r="H1682" s="4" t="s">
        <v>2039</v>
      </c>
      <c r="I1682" s="6">
        <v>67890.429999999993</v>
      </c>
      <c r="J1682" s="6">
        <v>67890.429999999993</v>
      </c>
      <c r="K1682" s="37" t="s">
        <v>2650</v>
      </c>
      <c r="L1682" s="119"/>
      <c r="M1682" s="3"/>
    </row>
    <row r="1683" spans="1:13" s="4" customFormat="1" ht="14.25" customHeight="1" x14ac:dyDescent="0.25">
      <c r="A1683" s="4" t="s">
        <v>2915</v>
      </c>
      <c r="B1683" s="4" t="s">
        <v>13</v>
      </c>
      <c r="C1683" s="4" t="s">
        <v>14</v>
      </c>
      <c r="D1683" s="35">
        <v>5985</v>
      </c>
      <c r="E1683" s="4" t="s">
        <v>2916</v>
      </c>
      <c r="F1683" s="5">
        <v>39356</v>
      </c>
      <c r="G1683" s="5">
        <v>40018</v>
      </c>
      <c r="H1683" s="4" t="s">
        <v>2039</v>
      </c>
      <c r="I1683" s="6">
        <v>63467.4</v>
      </c>
      <c r="J1683" s="6">
        <v>63467.4</v>
      </c>
      <c r="K1683" s="37" t="s">
        <v>2650</v>
      </c>
      <c r="L1683" s="119"/>
      <c r="M1683" s="3"/>
    </row>
    <row r="1684" spans="1:13" s="4" customFormat="1" ht="14.25" customHeight="1" x14ac:dyDescent="0.25">
      <c r="A1684" s="4" t="s">
        <v>2917</v>
      </c>
      <c r="B1684" s="4" t="s">
        <v>13</v>
      </c>
      <c r="C1684" s="4" t="s">
        <v>14</v>
      </c>
      <c r="D1684" s="35">
        <v>5986</v>
      </c>
      <c r="E1684" s="4" t="s">
        <v>2918</v>
      </c>
      <c r="F1684" s="5">
        <v>39426</v>
      </c>
      <c r="G1684" s="5">
        <v>40055</v>
      </c>
      <c r="H1684" s="4" t="s">
        <v>2039</v>
      </c>
      <c r="I1684" s="6">
        <v>51207.19</v>
      </c>
      <c r="J1684" s="6">
        <v>51207.19</v>
      </c>
      <c r="K1684" s="37" t="s">
        <v>2650</v>
      </c>
      <c r="L1684" s="119"/>
      <c r="M1684" s="3"/>
    </row>
    <row r="1685" spans="1:13" s="4" customFormat="1" ht="14.25" customHeight="1" x14ac:dyDescent="0.25">
      <c r="A1685" s="4" t="s">
        <v>2919</v>
      </c>
      <c r="B1685" s="4" t="s">
        <v>13</v>
      </c>
      <c r="C1685" s="4" t="s">
        <v>14</v>
      </c>
      <c r="D1685" s="35">
        <v>5987</v>
      </c>
      <c r="E1685" s="4" t="s">
        <v>2920</v>
      </c>
      <c r="F1685" s="5">
        <v>39727</v>
      </c>
      <c r="G1685" s="5">
        <v>40144</v>
      </c>
      <c r="H1685" s="4" t="s">
        <v>2039</v>
      </c>
      <c r="I1685" s="6">
        <v>37091.870000000003</v>
      </c>
      <c r="J1685" s="6">
        <v>37091.870000000003</v>
      </c>
      <c r="K1685" s="37" t="s">
        <v>2650</v>
      </c>
      <c r="L1685" s="119"/>
      <c r="M1685" s="3"/>
    </row>
    <row r="1686" spans="1:13" s="4" customFormat="1" ht="14.25" customHeight="1" x14ac:dyDescent="0.25">
      <c r="A1686" s="4" t="s">
        <v>2921</v>
      </c>
      <c r="B1686" s="4" t="s">
        <v>13</v>
      </c>
      <c r="C1686" s="4" t="s">
        <v>14</v>
      </c>
      <c r="D1686" s="35">
        <v>5989</v>
      </c>
      <c r="E1686" s="4" t="s">
        <v>2922</v>
      </c>
      <c r="F1686" s="5">
        <v>40087</v>
      </c>
      <c r="G1686" s="5">
        <v>40451</v>
      </c>
      <c r="H1686" s="4" t="s">
        <v>2039</v>
      </c>
      <c r="I1686" s="6">
        <v>40373.26</v>
      </c>
      <c r="J1686" s="6">
        <v>40373.26</v>
      </c>
      <c r="K1686" s="37" t="s">
        <v>2650</v>
      </c>
      <c r="L1686" s="119"/>
      <c r="M1686" s="3"/>
    </row>
    <row r="1687" spans="1:13" s="4" customFormat="1" ht="14.25" customHeight="1" x14ac:dyDescent="0.25">
      <c r="A1687" s="4" t="s">
        <v>2923</v>
      </c>
      <c r="B1687" s="4" t="s">
        <v>13</v>
      </c>
      <c r="C1687" s="4" t="s">
        <v>14</v>
      </c>
      <c r="D1687" s="35">
        <v>5990</v>
      </c>
      <c r="E1687" s="4" t="s">
        <v>2924</v>
      </c>
      <c r="F1687" s="5">
        <v>40026</v>
      </c>
      <c r="G1687" s="5">
        <v>40329</v>
      </c>
      <c r="H1687" s="4" t="s">
        <v>2039</v>
      </c>
      <c r="I1687" s="6">
        <v>68106.28</v>
      </c>
      <c r="J1687" s="6">
        <v>68106.28</v>
      </c>
      <c r="K1687" s="37" t="s">
        <v>2650</v>
      </c>
      <c r="L1687" s="119"/>
      <c r="M1687" s="3"/>
    </row>
    <row r="1688" spans="1:13" s="4" customFormat="1" ht="14.25" customHeight="1" x14ac:dyDescent="0.25">
      <c r="A1688" s="4" t="s">
        <v>2925</v>
      </c>
      <c r="B1688" s="4" t="s">
        <v>13</v>
      </c>
      <c r="C1688" s="4" t="s">
        <v>14</v>
      </c>
      <c r="D1688" s="35">
        <v>5991</v>
      </c>
      <c r="E1688" s="4" t="s">
        <v>2926</v>
      </c>
      <c r="F1688" s="5">
        <v>39454</v>
      </c>
      <c r="G1688" s="5">
        <v>40365</v>
      </c>
      <c r="H1688" s="4" t="s">
        <v>2039</v>
      </c>
      <c r="I1688" s="6">
        <v>380919.67</v>
      </c>
      <c r="J1688" s="6">
        <v>380919.67</v>
      </c>
      <c r="K1688" s="37" t="s">
        <v>2650</v>
      </c>
      <c r="L1688" s="119"/>
      <c r="M1688" s="3"/>
    </row>
    <row r="1689" spans="1:13" s="4" customFormat="1" ht="14.25" customHeight="1" x14ac:dyDescent="0.25">
      <c r="A1689" s="4" t="s">
        <v>2927</v>
      </c>
      <c r="B1689" s="4" t="s">
        <v>13</v>
      </c>
      <c r="C1689" s="4" t="s">
        <v>14</v>
      </c>
      <c r="D1689" s="35">
        <v>5992</v>
      </c>
      <c r="E1689" s="4" t="s">
        <v>2928</v>
      </c>
      <c r="F1689" s="5">
        <v>39508</v>
      </c>
      <c r="G1689" s="5">
        <v>40602</v>
      </c>
      <c r="H1689" s="4" t="s">
        <v>2039</v>
      </c>
      <c r="I1689" s="6">
        <f>251459.2+25162.59+187017.13</f>
        <v>463638.92000000004</v>
      </c>
      <c r="J1689" s="6">
        <v>463638.92</v>
      </c>
      <c r="K1689" s="37" t="s">
        <v>2650</v>
      </c>
      <c r="L1689" s="119"/>
      <c r="M1689" s="3"/>
    </row>
    <row r="1690" spans="1:13" s="4" customFormat="1" ht="14.25" customHeight="1" x14ac:dyDescent="0.25">
      <c r="A1690" s="4" t="s">
        <v>2929</v>
      </c>
      <c r="B1690" s="4" t="s">
        <v>13</v>
      </c>
      <c r="C1690" s="4" t="s">
        <v>14</v>
      </c>
      <c r="D1690" s="35">
        <v>5993</v>
      </c>
      <c r="E1690" s="4" t="s">
        <v>2930</v>
      </c>
      <c r="F1690" s="5">
        <v>40087</v>
      </c>
      <c r="G1690" s="5">
        <v>40633</v>
      </c>
      <c r="H1690" s="4" t="s">
        <v>2039</v>
      </c>
      <c r="I1690" s="6">
        <f>18966.3+69483.09+89201.88+103200.91</f>
        <v>280852.18000000005</v>
      </c>
      <c r="J1690" s="6">
        <f>211369.09+69483.09</f>
        <v>280852.18</v>
      </c>
      <c r="K1690" s="37" t="s">
        <v>2650</v>
      </c>
      <c r="L1690" s="119"/>
      <c r="M1690" s="3"/>
    </row>
    <row r="1691" spans="1:13" s="4" customFormat="1" ht="14.25" customHeight="1" x14ac:dyDescent="0.25">
      <c r="A1691" s="4" t="s">
        <v>2931</v>
      </c>
      <c r="B1691" s="4" t="s">
        <v>13</v>
      </c>
      <c r="C1691" s="4" t="s">
        <v>14</v>
      </c>
      <c r="D1691" s="35">
        <v>6197</v>
      </c>
      <c r="E1691" s="4" t="s">
        <v>2932</v>
      </c>
      <c r="F1691" s="5">
        <v>39814</v>
      </c>
      <c r="G1691" s="5">
        <v>40178</v>
      </c>
      <c r="H1691" s="4" t="s">
        <v>2039</v>
      </c>
      <c r="I1691" s="6">
        <v>106443.02</v>
      </c>
      <c r="J1691" s="6">
        <v>106443.02</v>
      </c>
      <c r="K1691" s="37" t="s">
        <v>2650</v>
      </c>
      <c r="L1691" s="119"/>
      <c r="M1691" s="3"/>
    </row>
    <row r="1692" spans="1:13" s="4" customFormat="1" ht="14.25" customHeight="1" x14ac:dyDescent="0.25">
      <c r="A1692" s="4" t="s">
        <v>2933</v>
      </c>
      <c r="B1692" s="4" t="s">
        <v>13</v>
      </c>
      <c r="C1692" s="4" t="s">
        <v>14</v>
      </c>
      <c r="D1692" s="35">
        <v>6199</v>
      </c>
      <c r="E1692" s="4" t="s">
        <v>2934</v>
      </c>
      <c r="F1692" s="5">
        <v>40026</v>
      </c>
      <c r="G1692" s="5">
        <v>40209</v>
      </c>
      <c r="H1692" s="4" t="s">
        <v>2039</v>
      </c>
      <c r="I1692" s="6">
        <v>28690.5</v>
      </c>
      <c r="J1692" s="6">
        <v>28690.5</v>
      </c>
      <c r="K1692" s="37" t="s">
        <v>2650</v>
      </c>
      <c r="L1692" s="119"/>
      <c r="M1692" s="3"/>
    </row>
    <row r="1693" spans="1:13" s="4" customFormat="1" ht="14.25" customHeight="1" x14ac:dyDescent="0.25">
      <c r="A1693" s="4" t="s">
        <v>2935</v>
      </c>
      <c r="B1693" s="4" t="s">
        <v>13</v>
      </c>
      <c r="C1693" s="4" t="s">
        <v>14</v>
      </c>
      <c r="D1693" s="35">
        <v>6200</v>
      </c>
      <c r="E1693" s="4" t="s">
        <v>2936</v>
      </c>
      <c r="F1693" s="5">
        <v>40071</v>
      </c>
      <c r="G1693" s="5">
        <v>40359</v>
      </c>
      <c r="H1693" s="4" t="s">
        <v>2039</v>
      </c>
      <c r="I1693" s="6">
        <v>37432.699999999997</v>
      </c>
      <c r="J1693" s="6">
        <v>37432.699999999997</v>
      </c>
      <c r="K1693" s="37" t="s">
        <v>2650</v>
      </c>
      <c r="L1693" s="119"/>
      <c r="M1693" s="3"/>
    </row>
    <row r="1694" spans="1:13" s="4" customFormat="1" ht="14.25" customHeight="1" x14ac:dyDescent="0.25">
      <c r="A1694" s="4" t="s">
        <v>2937</v>
      </c>
      <c r="B1694" s="4" t="s">
        <v>13</v>
      </c>
      <c r="C1694" s="4" t="s">
        <v>14</v>
      </c>
      <c r="D1694" s="35">
        <v>6201</v>
      </c>
      <c r="E1694" s="4" t="s">
        <v>2938</v>
      </c>
      <c r="F1694" s="5">
        <v>39203</v>
      </c>
      <c r="G1694" s="5">
        <v>39599</v>
      </c>
      <c r="H1694" s="4" t="s">
        <v>2039</v>
      </c>
      <c r="I1694" s="6">
        <v>57101.78</v>
      </c>
      <c r="J1694" s="6">
        <v>57101.78</v>
      </c>
      <c r="K1694" s="37" t="s">
        <v>2650</v>
      </c>
      <c r="L1694" s="119"/>
      <c r="M1694" s="3"/>
    </row>
    <row r="1695" spans="1:13" s="4" customFormat="1" ht="14.25" customHeight="1" x14ac:dyDescent="0.25">
      <c r="A1695" s="4" t="s">
        <v>2939</v>
      </c>
      <c r="B1695" s="4" t="s">
        <v>13</v>
      </c>
      <c r="C1695" s="4" t="s">
        <v>14</v>
      </c>
      <c r="D1695" s="35">
        <v>6202</v>
      </c>
      <c r="E1695" s="4" t="s">
        <v>2940</v>
      </c>
      <c r="F1695" s="5">
        <v>39326</v>
      </c>
      <c r="G1695" s="5">
        <v>39878</v>
      </c>
      <c r="H1695" s="4" t="s">
        <v>2039</v>
      </c>
      <c r="I1695" s="6">
        <v>94932.3</v>
      </c>
      <c r="J1695" s="6">
        <v>94932.3</v>
      </c>
      <c r="K1695" s="37" t="s">
        <v>2650</v>
      </c>
      <c r="L1695" s="119"/>
      <c r="M1695" s="3"/>
    </row>
    <row r="1696" spans="1:13" s="4" customFormat="1" ht="14.25" customHeight="1" x14ac:dyDescent="0.25">
      <c r="A1696" s="4" t="s">
        <v>2941</v>
      </c>
      <c r="B1696" s="4" t="s">
        <v>13</v>
      </c>
      <c r="C1696" s="4" t="s">
        <v>14</v>
      </c>
      <c r="D1696" s="35">
        <v>6203</v>
      </c>
      <c r="E1696" s="4" t="s">
        <v>2942</v>
      </c>
      <c r="F1696" s="5">
        <v>39508</v>
      </c>
      <c r="G1696" s="5">
        <v>39994</v>
      </c>
      <c r="H1696" s="4" t="s">
        <v>2039</v>
      </c>
      <c r="I1696" s="6">
        <v>75777.789999999994</v>
      </c>
      <c r="J1696" s="6">
        <v>75777.789999999994</v>
      </c>
      <c r="K1696" s="37" t="s">
        <v>2650</v>
      </c>
      <c r="L1696" s="119"/>
      <c r="M1696" s="3"/>
    </row>
    <row r="1697" spans="1:13" s="4" customFormat="1" ht="14.25" customHeight="1" x14ac:dyDescent="0.25">
      <c r="A1697" s="4" t="s">
        <v>2943</v>
      </c>
      <c r="B1697" s="4" t="s">
        <v>13</v>
      </c>
      <c r="C1697" s="4" t="s">
        <v>14</v>
      </c>
      <c r="D1697" s="35">
        <v>6205</v>
      </c>
      <c r="E1697" s="4" t="s">
        <v>2944</v>
      </c>
      <c r="F1697" s="5">
        <v>39539</v>
      </c>
      <c r="G1697" s="5">
        <v>40178</v>
      </c>
      <c r="H1697" s="4" t="s">
        <v>2039</v>
      </c>
      <c r="I1697" s="6">
        <v>36130.19</v>
      </c>
      <c r="J1697" s="6">
        <v>36130.19</v>
      </c>
      <c r="K1697" s="37" t="s">
        <v>2650</v>
      </c>
      <c r="L1697" s="119"/>
      <c r="M1697" s="3"/>
    </row>
    <row r="1698" spans="1:13" s="4" customFormat="1" ht="14.25" customHeight="1" x14ac:dyDescent="0.25">
      <c r="A1698" s="4" t="s">
        <v>2945</v>
      </c>
      <c r="B1698" s="4" t="s">
        <v>13</v>
      </c>
      <c r="C1698" s="4" t="s">
        <v>14</v>
      </c>
      <c r="D1698" s="35">
        <v>6206</v>
      </c>
      <c r="E1698" s="4" t="s">
        <v>2946</v>
      </c>
      <c r="F1698" s="5">
        <v>39426</v>
      </c>
      <c r="G1698" s="5">
        <v>39762</v>
      </c>
      <c r="H1698" s="4" t="s">
        <v>2039</v>
      </c>
      <c r="I1698" s="6">
        <v>48759.49</v>
      </c>
      <c r="J1698" s="6">
        <v>48759.49</v>
      </c>
      <c r="K1698" s="37" t="s">
        <v>2650</v>
      </c>
      <c r="L1698" s="119"/>
      <c r="M1698" s="3"/>
    </row>
    <row r="1699" spans="1:13" s="4" customFormat="1" ht="14.25" customHeight="1" x14ac:dyDescent="0.25">
      <c r="A1699" s="4" t="s">
        <v>2947</v>
      </c>
      <c r="B1699" s="4" t="s">
        <v>13</v>
      </c>
      <c r="C1699" s="4" t="s">
        <v>14</v>
      </c>
      <c r="D1699" s="35">
        <v>6207</v>
      </c>
      <c r="E1699" s="4" t="s">
        <v>2948</v>
      </c>
      <c r="F1699" s="5">
        <v>39508</v>
      </c>
      <c r="G1699" s="5">
        <v>39871</v>
      </c>
      <c r="H1699" s="4" t="s">
        <v>2039</v>
      </c>
      <c r="I1699" s="6">
        <v>78618</v>
      </c>
      <c r="J1699" s="6">
        <v>78618</v>
      </c>
      <c r="K1699" s="37" t="s">
        <v>2650</v>
      </c>
      <c r="L1699" s="119"/>
      <c r="M1699" s="3"/>
    </row>
    <row r="1700" spans="1:13" s="4" customFormat="1" ht="14.25" customHeight="1" x14ac:dyDescent="0.25">
      <c r="A1700" s="4" t="s">
        <v>2949</v>
      </c>
      <c r="B1700" s="4" t="s">
        <v>13</v>
      </c>
      <c r="C1700" s="4" t="s">
        <v>14</v>
      </c>
      <c r="D1700" s="35">
        <v>6208</v>
      </c>
      <c r="E1700" s="4" t="s">
        <v>2950</v>
      </c>
      <c r="F1700" s="5">
        <v>39569</v>
      </c>
      <c r="G1700" s="5">
        <v>39933</v>
      </c>
      <c r="H1700" s="4" t="s">
        <v>2039</v>
      </c>
      <c r="I1700" s="6">
        <v>77461.259999999995</v>
      </c>
      <c r="J1700" s="6">
        <v>77461.259999999995</v>
      </c>
      <c r="K1700" s="37" t="s">
        <v>2650</v>
      </c>
      <c r="L1700" s="119"/>
      <c r="M1700" s="3"/>
    </row>
    <row r="1701" spans="1:13" s="4" customFormat="1" ht="14.25" customHeight="1" x14ac:dyDescent="0.25">
      <c r="A1701" s="4" t="s">
        <v>2951</v>
      </c>
      <c r="B1701" s="4" t="s">
        <v>13</v>
      </c>
      <c r="C1701" s="4" t="s">
        <v>14</v>
      </c>
      <c r="D1701" s="35">
        <v>6209</v>
      </c>
      <c r="E1701" s="4" t="s">
        <v>2952</v>
      </c>
      <c r="F1701" s="5">
        <v>39426</v>
      </c>
      <c r="G1701" s="5">
        <v>39974</v>
      </c>
      <c r="H1701" s="4" t="s">
        <v>2039</v>
      </c>
      <c r="I1701" s="6">
        <v>61999.48</v>
      </c>
      <c r="J1701" s="6">
        <v>61999.48</v>
      </c>
      <c r="K1701" s="37" t="s">
        <v>2650</v>
      </c>
      <c r="L1701" s="119"/>
      <c r="M1701" s="3"/>
    </row>
    <row r="1702" spans="1:13" s="4" customFormat="1" ht="14.25" customHeight="1" x14ac:dyDescent="0.25">
      <c r="A1702" s="4" t="s">
        <v>2953</v>
      </c>
      <c r="B1702" s="4" t="s">
        <v>13</v>
      </c>
      <c r="C1702" s="4" t="s">
        <v>14</v>
      </c>
      <c r="D1702" s="35">
        <v>6210</v>
      </c>
      <c r="E1702" s="4" t="s">
        <v>2954</v>
      </c>
      <c r="F1702" s="5">
        <v>39508</v>
      </c>
      <c r="G1702" s="5">
        <v>39872</v>
      </c>
      <c r="H1702" s="4" t="s">
        <v>2039</v>
      </c>
      <c r="I1702" s="6">
        <v>76284.259999999995</v>
      </c>
      <c r="J1702" s="6">
        <v>76284.259999999995</v>
      </c>
      <c r="K1702" s="37" t="s">
        <v>2650</v>
      </c>
      <c r="L1702" s="119"/>
      <c r="M1702" s="3"/>
    </row>
    <row r="1703" spans="1:13" s="4" customFormat="1" ht="14.25" customHeight="1" x14ac:dyDescent="0.25">
      <c r="A1703" s="4" t="s">
        <v>2955</v>
      </c>
      <c r="B1703" s="4" t="s">
        <v>13</v>
      </c>
      <c r="C1703" s="4" t="s">
        <v>14</v>
      </c>
      <c r="D1703" s="35">
        <v>6211</v>
      </c>
      <c r="E1703" s="4" t="s">
        <v>2956</v>
      </c>
      <c r="F1703" s="5">
        <v>39645</v>
      </c>
      <c r="G1703" s="5">
        <v>40009</v>
      </c>
      <c r="H1703" s="4" t="s">
        <v>2039</v>
      </c>
      <c r="I1703" s="6">
        <v>74822.13</v>
      </c>
      <c r="J1703" s="6">
        <v>74822.13</v>
      </c>
      <c r="K1703" s="37" t="s">
        <v>2650</v>
      </c>
      <c r="L1703" s="119"/>
      <c r="M1703" s="3"/>
    </row>
    <row r="1704" spans="1:13" s="4" customFormat="1" ht="14.25" customHeight="1" x14ac:dyDescent="0.25">
      <c r="A1704" s="4" t="s">
        <v>2957</v>
      </c>
      <c r="B1704" s="4" t="s">
        <v>13</v>
      </c>
      <c r="C1704" s="4" t="s">
        <v>14</v>
      </c>
      <c r="D1704" s="35">
        <v>6212</v>
      </c>
      <c r="E1704" s="4" t="s">
        <v>2958</v>
      </c>
      <c r="F1704" s="5">
        <v>39783</v>
      </c>
      <c r="G1704" s="5">
        <v>40178</v>
      </c>
      <c r="H1704" s="4" t="s">
        <v>2039</v>
      </c>
      <c r="I1704" s="6">
        <v>55305.01</v>
      </c>
      <c r="J1704" s="6">
        <v>55305.01</v>
      </c>
      <c r="K1704" s="37" t="s">
        <v>2650</v>
      </c>
      <c r="L1704" s="119"/>
      <c r="M1704" s="3"/>
    </row>
    <row r="1705" spans="1:13" s="4" customFormat="1" ht="14.25" customHeight="1" x14ac:dyDescent="0.25">
      <c r="A1705" s="4" t="s">
        <v>2959</v>
      </c>
      <c r="B1705" s="4" t="s">
        <v>13</v>
      </c>
      <c r="C1705" s="4" t="s">
        <v>14</v>
      </c>
      <c r="D1705" s="35">
        <v>6213</v>
      </c>
      <c r="E1705" s="4" t="s">
        <v>2960</v>
      </c>
      <c r="F1705" s="5">
        <v>39755</v>
      </c>
      <c r="G1705" s="5">
        <v>40116</v>
      </c>
      <c r="H1705" s="4" t="s">
        <v>2039</v>
      </c>
      <c r="I1705" s="6">
        <v>68245.14</v>
      </c>
      <c r="J1705" s="6">
        <v>68245.14</v>
      </c>
      <c r="K1705" s="37" t="s">
        <v>2650</v>
      </c>
      <c r="L1705" s="119"/>
      <c r="M1705" s="3"/>
    </row>
    <row r="1706" spans="1:13" s="4" customFormat="1" ht="14.25" customHeight="1" x14ac:dyDescent="0.25">
      <c r="A1706" s="4" t="s">
        <v>2961</v>
      </c>
      <c r="B1706" s="4" t="s">
        <v>13</v>
      </c>
      <c r="C1706" s="4" t="s">
        <v>14</v>
      </c>
      <c r="D1706" s="35">
        <v>6215</v>
      </c>
      <c r="E1706" s="4" t="s">
        <v>2962</v>
      </c>
      <c r="F1706" s="5">
        <v>39722</v>
      </c>
      <c r="G1706" s="5">
        <v>40154</v>
      </c>
      <c r="H1706" s="4" t="s">
        <v>2039</v>
      </c>
      <c r="I1706" s="6">
        <v>80792.81</v>
      </c>
      <c r="J1706" s="6">
        <v>80792.81</v>
      </c>
      <c r="K1706" s="37" t="s">
        <v>2650</v>
      </c>
      <c r="L1706" s="119"/>
      <c r="M1706" s="3"/>
    </row>
    <row r="1707" spans="1:13" s="4" customFormat="1" ht="14.25" customHeight="1" x14ac:dyDescent="0.25">
      <c r="A1707" s="4" t="s">
        <v>2963</v>
      </c>
      <c r="B1707" s="4" t="s">
        <v>13</v>
      </c>
      <c r="C1707" s="4" t="s">
        <v>14</v>
      </c>
      <c r="D1707" s="35">
        <v>6216</v>
      </c>
      <c r="E1707" s="4" t="s">
        <v>2964</v>
      </c>
      <c r="F1707" s="5">
        <v>39817</v>
      </c>
      <c r="G1707" s="5">
        <v>40209</v>
      </c>
      <c r="H1707" s="4" t="s">
        <v>2039</v>
      </c>
      <c r="I1707" s="6">
        <v>70523.27</v>
      </c>
      <c r="J1707" s="6">
        <v>70523.27</v>
      </c>
      <c r="K1707" s="37" t="s">
        <v>2650</v>
      </c>
      <c r="L1707" s="119"/>
      <c r="M1707" s="3"/>
    </row>
    <row r="1708" spans="1:13" s="4" customFormat="1" ht="14.25" customHeight="1" x14ac:dyDescent="0.25">
      <c r="A1708" s="4" t="s">
        <v>2965</v>
      </c>
      <c r="B1708" s="4" t="s">
        <v>13</v>
      </c>
      <c r="C1708" s="4" t="s">
        <v>14</v>
      </c>
      <c r="D1708" s="35">
        <v>6217</v>
      </c>
      <c r="E1708" s="4" t="s">
        <v>2966</v>
      </c>
      <c r="F1708" s="5">
        <v>39783</v>
      </c>
      <c r="G1708" s="5">
        <v>40339</v>
      </c>
      <c r="H1708" s="4" t="s">
        <v>2039</v>
      </c>
      <c r="I1708" s="6">
        <v>87119.64</v>
      </c>
      <c r="J1708" s="6">
        <v>87119.64</v>
      </c>
      <c r="K1708" s="37" t="s">
        <v>2650</v>
      </c>
      <c r="L1708" s="119"/>
      <c r="M1708" s="3"/>
    </row>
    <row r="1709" spans="1:13" s="4" customFormat="1" ht="14.25" customHeight="1" x14ac:dyDescent="0.25">
      <c r="A1709" s="4" t="s">
        <v>2967</v>
      </c>
      <c r="B1709" s="4" t="s">
        <v>13</v>
      </c>
      <c r="C1709" s="4" t="s">
        <v>14</v>
      </c>
      <c r="D1709" s="35">
        <v>6218</v>
      </c>
      <c r="E1709" s="4" t="s">
        <v>2968</v>
      </c>
      <c r="F1709" s="5">
        <v>39891</v>
      </c>
      <c r="G1709" s="5">
        <v>40298</v>
      </c>
      <c r="H1709" s="4" t="s">
        <v>2039</v>
      </c>
      <c r="I1709" s="6">
        <v>58359.82</v>
      </c>
      <c r="J1709" s="6">
        <v>58359.82</v>
      </c>
      <c r="K1709" s="37" t="s">
        <v>2650</v>
      </c>
      <c r="L1709" s="119"/>
      <c r="M1709" s="3"/>
    </row>
    <row r="1710" spans="1:13" s="4" customFormat="1" ht="14.25" customHeight="1" x14ac:dyDescent="0.25">
      <c r="A1710" s="4" t="s">
        <v>2969</v>
      </c>
      <c r="B1710" s="4" t="s">
        <v>13</v>
      </c>
      <c r="C1710" s="4" t="s">
        <v>14</v>
      </c>
      <c r="D1710" s="35">
        <v>6219</v>
      </c>
      <c r="E1710" s="4" t="s">
        <v>2970</v>
      </c>
      <c r="F1710" s="5">
        <v>39934</v>
      </c>
      <c r="G1710" s="5">
        <v>40421</v>
      </c>
      <c r="H1710" s="4" t="s">
        <v>2039</v>
      </c>
      <c r="I1710" s="6">
        <v>41276.68</v>
      </c>
      <c r="J1710" s="6">
        <v>41276.68</v>
      </c>
      <c r="K1710" s="37" t="s">
        <v>2650</v>
      </c>
      <c r="L1710" s="119"/>
      <c r="M1710" s="3"/>
    </row>
    <row r="1711" spans="1:13" s="4" customFormat="1" ht="14.25" customHeight="1" x14ac:dyDescent="0.25">
      <c r="A1711" s="4" t="s">
        <v>2971</v>
      </c>
      <c r="B1711" s="4" t="s">
        <v>13</v>
      </c>
      <c r="C1711" s="4" t="s">
        <v>14</v>
      </c>
      <c r="D1711" s="35">
        <v>6220</v>
      </c>
      <c r="E1711" s="4" t="s">
        <v>2972</v>
      </c>
      <c r="F1711" s="5">
        <v>40057</v>
      </c>
      <c r="G1711" s="5">
        <v>40513</v>
      </c>
      <c r="H1711" s="4" t="s">
        <v>2039</v>
      </c>
      <c r="I1711" s="6">
        <v>41897.85</v>
      </c>
      <c r="J1711" s="6">
        <v>41897.85</v>
      </c>
      <c r="K1711" s="37" t="s">
        <v>2650</v>
      </c>
      <c r="L1711" s="119"/>
      <c r="M1711" s="3"/>
    </row>
    <row r="1712" spans="1:13" s="4" customFormat="1" ht="14.25" customHeight="1" x14ac:dyDescent="0.25">
      <c r="A1712" s="4" t="s">
        <v>2973</v>
      </c>
      <c r="B1712" s="4" t="s">
        <v>13</v>
      </c>
      <c r="C1712" s="4" t="s">
        <v>14</v>
      </c>
      <c r="D1712" s="35">
        <v>6221</v>
      </c>
      <c r="E1712" s="4" t="s">
        <v>2974</v>
      </c>
      <c r="F1712" s="5">
        <v>39934</v>
      </c>
      <c r="G1712" s="5">
        <v>40390</v>
      </c>
      <c r="H1712" s="4" t="s">
        <v>2039</v>
      </c>
      <c r="I1712" s="6">
        <v>89044.25</v>
      </c>
      <c r="J1712" s="6">
        <v>89044.25</v>
      </c>
      <c r="K1712" s="37" t="s">
        <v>2650</v>
      </c>
      <c r="L1712" s="119"/>
      <c r="M1712" s="3"/>
    </row>
    <row r="1713" spans="1:13" s="4" customFormat="1" ht="14.25" customHeight="1" x14ac:dyDescent="0.25">
      <c r="A1713" s="13" t="s">
        <v>2975</v>
      </c>
      <c r="B1713" s="4" t="s">
        <v>13</v>
      </c>
      <c r="C1713" s="4" t="s">
        <v>14</v>
      </c>
      <c r="D1713" s="35">
        <v>6222</v>
      </c>
      <c r="E1713" s="13" t="s">
        <v>2976</v>
      </c>
      <c r="F1713" s="5"/>
      <c r="G1713" s="5"/>
      <c r="H1713" s="4" t="s">
        <v>2039</v>
      </c>
      <c r="I1713" s="6">
        <v>30.32</v>
      </c>
      <c r="J1713" s="6">
        <v>30.32</v>
      </c>
      <c r="K1713" s="37" t="s">
        <v>2650</v>
      </c>
      <c r="L1713" s="119"/>
      <c r="M1713" s="3"/>
    </row>
    <row r="1714" spans="1:13" s="4" customFormat="1" ht="14.25" customHeight="1" x14ac:dyDescent="0.25">
      <c r="A1714" s="4" t="s">
        <v>2977</v>
      </c>
      <c r="B1714" s="4" t="s">
        <v>13</v>
      </c>
      <c r="C1714" s="4" t="s">
        <v>14</v>
      </c>
      <c r="D1714" s="35">
        <v>6223</v>
      </c>
      <c r="E1714" s="4" t="s">
        <v>2978</v>
      </c>
      <c r="F1714" s="5">
        <v>40071</v>
      </c>
      <c r="G1714" s="5">
        <v>40435</v>
      </c>
      <c r="H1714" s="4" t="s">
        <v>2039</v>
      </c>
      <c r="I1714" s="6">
        <v>20119.669999999998</v>
      </c>
      <c r="J1714" s="6">
        <v>20119.669999999998</v>
      </c>
      <c r="K1714" s="37" t="s">
        <v>2650</v>
      </c>
      <c r="L1714" s="119"/>
      <c r="M1714" s="3"/>
    </row>
    <row r="1715" spans="1:13" s="4" customFormat="1" ht="14.25" customHeight="1" x14ac:dyDescent="0.25">
      <c r="A1715" s="4" t="s">
        <v>2979</v>
      </c>
      <c r="B1715" s="4" t="s">
        <v>13</v>
      </c>
      <c r="C1715" s="4" t="s">
        <v>14</v>
      </c>
      <c r="D1715" s="35">
        <v>6224</v>
      </c>
      <c r="E1715" s="4" t="s">
        <v>2980</v>
      </c>
      <c r="F1715" s="5">
        <v>40057</v>
      </c>
      <c r="G1715" s="5">
        <v>40497</v>
      </c>
      <c r="H1715" s="4" t="s">
        <v>2039</v>
      </c>
      <c r="I1715" s="6">
        <v>68357.17</v>
      </c>
      <c r="J1715" s="6">
        <v>68357.17</v>
      </c>
      <c r="K1715" s="37" t="s">
        <v>2650</v>
      </c>
      <c r="L1715" s="119"/>
      <c r="M1715" s="3"/>
    </row>
    <row r="1716" spans="1:13" s="4" customFormat="1" ht="14.25" customHeight="1" x14ac:dyDescent="0.25">
      <c r="A1716" s="4" t="s">
        <v>2981</v>
      </c>
      <c r="B1716" s="4" t="s">
        <v>13</v>
      </c>
      <c r="C1716" s="4" t="s">
        <v>14</v>
      </c>
      <c r="D1716" s="35">
        <v>6225</v>
      </c>
      <c r="E1716" s="4" t="s">
        <v>2982</v>
      </c>
      <c r="F1716" s="5">
        <v>40140</v>
      </c>
      <c r="G1716" s="5">
        <v>40504</v>
      </c>
      <c r="H1716" s="4" t="s">
        <v>2039</v>
      </c>
      <c r="I1716" s="6">
        <v>45478.35</v>
      </c>
      <c r="J1716" s="6">
        <v>45478.35</v>
      </c>
      <c r="K1716" s="37" t="s">
        <v>2650</v>
      </c>
      <c r="L1716" s="119"/>
      <c r="M1716" s="3"/>
    </row>
    <row r="1717" spans="1:13" s="4" customFormat="1" ht="14.25" customHeight="1" x14ac:dyDescent="0.25">
      <c r="A1717" s="13" t="s">
        <v>2983</v>
      </c>
      <c r="B1717" s="4" t="s">
        <v>13</v>
      </c>
      <c r="C1717" s="4" t="s">
        <v>14</v>
      </c>
      <c r="D1717" s="35">
        <v>6226</v>
      </c>
      <c r="E1717" s="13" t="s">
        <v>2984</v>
      </c>
      <c r="F1717" s="5"/>
      <c r="G1717" s="5"/>
      <c r="H1717" s="4" t="s">
        <v>2039</v>
      </c>
      <c r="I1717" s="6">
        <v>9014.1</v>
      </c>
      <c r="J1717" s="6">
        <v>9014.1</v>
      </c>
      <c r="K1717" s="37" t="s">
        <v>2650</v>
      </c>
      <c r="L1717" s="119"/>
      <c r="M1717" s="3"/>
    </row>
    <row r="1718" spans="1:13" s="4" customFormat="1" ht="14.25" customHeight="1" x14ac:dyDescent="0.25">
      <c r="A1718" s="4" t="s">
        <v>2985</v>
      </c>
      <c r="B1718" s="4" t="s">
        <v>13</v>
      </c>
      <c r="C1718" s="4" t="s">
        <v>14</v>
      </c>
      <c r="D1718" s="35">
        <v>6227</v>
      </c>
      <c r="E1718" s="4" t="s">
        <v>2986</v>
      </c>
      <c r="F1718" s="5">
        <v>40148</v>
      </c>
      <c r="G1718" s="5">
        <v>40512</v>
      </c>
      <c r="H1718" s="4" t="s">
        <v>2039</v>
      </c>
      <c r="I1718" s="6">
        <v>44201.25</v>
      </c>
      <c r="J1718" s="6">
        <v>44201.25</v>
      </c>
      <c r="K1718" s="37" t="s">
        <v>2650</v>
      </c>
      <c r="L1718" s="119"/>
      <c r="M1718" s="3"/>
    </row>
    <row r="1719" spans="1:13" s="4" customFormat="1" ht="14.25" customHeight="1" x14ac:dyDescent="0.25">
      <c r="A1719" s="4" t="s">
        <v>2987</v>
      </c>
      <c r="B1719" s="4" t="s">
        <v>13</v>
      </c>
      <c r="C1719" s="4" t="s">
        <v>14</v>
      </c>
      <c r="D1719" s="35">
        <v>6228</v>
      </c>
      <c r="E1719" s="4" t="s">
        <v>2988</v>
      </c>
      <c r="F1719" s="5">
        <v>40118</v>
      </c>
      <c r="G1719" s="5">
        <v>40663</v>
      </c>
      <c r="H1719" s="4" t="s">
        <v>2039</v>
      </c>
      <c r="I1719" s="6">
        <v>46460.72</v>
      </c>
      <c r="J1719" s="6">
        <v>46460.72</v>
      </c>
      <c r="K1719" s="37" t="s">
        <v>2650</v>
      </c>
      <c r="L1719" s="119"/>
      <c r="M1719" s="3"/>
    </row>
    <row r="1720" spans="1:13" s="4" customFormat="1" ht="14.25" customHeight="1" x14ac:dyDescent="0.25">
      <c r="A1720" s="4" t="s">
        <v>2989</v>
      </c>
      <c r="B1720" s="4" t="s">
        <v>13</v>
      </c>
      <c r="C1720" s="4" t="s">
        <v>14</v>
      </c>
      <c r="D1720" s="35">
        <v>6229</v>
      </c>
      <c r="E1720" s="4" t="s">
        <v>2990</v>
      </c>
      <c r="F1720" s="5">
        <v>40148</v>
      </c>
      <c r="G1720" s="5">
        <v>40602</v>
      </c>
      <c r="H1720" s="4" t="s">
        <v>2039</v>
      </c>
      <c r="I1720" s="6">
        <v>57704.59</v>
      </c>
      <c r="J1720" s="6">
        <v>57704.59</v>
      </c>
      <c r="K1720" s="37" t="s">
        <v>2650</v>
      </c>
      <c r="L1720" s="119"/>
      <c r="M1720" s="3"/>
    </row>
    <row r="1721" spans="1:13" s="4" customFormat="1" ht="14.25" customHeight="1" x14ac:dyDescent="0.25">
      <c r="A1721" s="4" t="s">
        <v>2991</v>
      </c>
      <c r="B1721" s="4" t="s">
        <v>13</v>
      </c>
      <c r="C1721" s="4" t="s">
        <v>14</v>
      </c>
      <c r="D1721" s="35">
        <v>6230</v>
      </c>
      <c r="E1721" s="4" t="s">
        <v>2992</v>
      </c>
      <c r="F1721" s="5">
        <v>39234</v>
      </c>
      <c r="G1721" s="5">
        <v>39660</v>
      </c>
      <c r="H1721" s="4" t="s">
        <v>2039</v>
      </c>
      <c r="I1721" s="6">
        <v>54002.19</v>
      </c>
      <c r="J1721" s="6">
        <v>54002.19</v>
      </c>
      <c r="K1721" s="37" t="s">
        <v>2650</v>
      </c>
      <c r="L1721" s="119"/>
      <c r="M1721" s="3"/>
    </row>
    <row r="1722" spans="1:13" s="4" customFormat="1" ht="14.25" customHeight="1" x14ac:dyDescent="0.25">
      <c r="A1722" s="4" t="s">
        <v>2993</v>
      </c>
      <c r="B1722" s="4" t="s">
        <v>13</v>
      </c>
      <c r="C1722" s="4" t="s">
        <v>14</v>
      </c>
      <c r="D1722" s="35">
        <v>6231</v>
      </c>
      <c r="E1722" s="4" t="s">
        <v>2994</v>
      </c>
      <c r="F1722" s="5">
        <v>39188</v>
      </c>
      <c r="G1722" s="5">
        <v>39645</v>
      </c>
      <c r="H1722" s="4" t="s">
        <v>2039</v>
      </c>
      <c r="I1722" s="6">
        <v>83112.990000000005</v>
      </c>
      <c r="J1722" s="6">
        <v>83112.990000000005</v>
      </c>
      <c r="K1722" s="37" t="s">
        <v>2650</v>
      </c>
      <c r="L1722" s="119"/>
      <c r="M1722" s="3"/>
    </row>
    <row r="1723" spans="1:13" s="4" customFormat="1" ht="14.25" customHeight="1" x14ac:dyDescent="0.25">
      <c r="A1723" s="4" t="s">
        <v>2995</v>
      </c>
      <c r="B1723" s="4" t="s">
        <v>13</v>
      </c>
      <c r="C1723" s="4" t="s">
        <v>14</v>
      </c>
      <c r="D1723" s="35">
        <v>6232</v>
      </c>
      <c r="E1723" s="4" t="s">
        <v>2996</v>
      </c>
      <c r="F1723" s="5">
        <v>39356</v>
      </c>
      <c r="G1723" s="5">
        <v>39721</v>
      </c>
      <c r="H1723" s="4" t="s">
        <v>2039</v>
      </c>
      <c r="I1723" s="6">
        <v>73701.08</v>
      </c>
      <c r="J1723" s="6">
        <v>73701.08</v>
      </c>
      <c r="K1723" s="37" t="s">
        <v>2650</v>
      </c>
      <c r="L1723" s="119"/>
      <c r="M1723" s="3"/>
    </row>
    <row r="1724" spans="1:13" s="4" customFormat="1" ht="14.25" customHeight="1" x14ac:dyDescent="0.25">
      <c r="A1724" s="4" t="s">
        <v>2997</v>
      </c>
      <c r="B1724" s="4" t="s">
        <v>13</v>
      </c>
      <c r="C1724" s="4" t="s">
        <v>14</v>
      </c>
      <c r="D1724" s="35">
        <v>6233</v>
      </c>
      <c r="E1724" s="4" t="s">
        <v>2998</v>
      </c>
      <c r="F1724" s="5">
        <v>39387</v>
      </c>
      <c r="G1724" s="5">
        <v>39752</v>
      </c>
      <c r="H1724" s="4" t="s">
        <v>2039</v>
      </c>
      <c r="I1724" s="6">
        <v>84084.38</v>
      </c>
      <c r="J1724" s="6">
        <v>84084.38</v>
      </c>
      <c r="K1724" s="37" t="s">
        <v>2650</v>
      </c>
      <c r="L1724" s="119"/>
      <c r="M1724" s="3"/>
    </row>
    <row r="1725" spans="1:13" s="4" customFormat="1" ht="14.25" customHeight="1" x14ac:dyDescent="0.25">
      <c r="A1725" s="4" t="s">
        <v>2999</v>
      </c>
      <c r="B1725" s="4" t="s">
        <v>13</v>
      </c>
      <c r="C1725" s="4" t="s">
        <v>14</v>
      </c>
      <c r="D1725" s="35">
        <v>6234</v>
      </c>
      <c r="E1725" s="4" t="s">
        <v>3000</v>
      </c>
      <c r="F1725" s="5">
        <v>39454</v>
      </c>
      <c r="G1725" s="5">
        <v>39820</v>
      </c>
      <c r="H1725" s="4" t="s">
        <v>2039</v>
      </c>
      <c r="I1725" s="6">
        <v>54684.28</v>
      </c>
      <c r="J1725" s="6">
        <v>54684.28</v>
      </c>
      <c r="K1725" s="37" t="s">
        <v>2650</v>
      </c>
      <c r="L1725" s="119"/>
      <c r="M1725" s="3"/>
    </row>
    <row r="1726" spans="1:13" s="4" customFormat="1" ht="14.25" customHeight="1" x14ac:dyDescent="0.25">
      <c r="A1726" s="4" t="s">
        <v>3001</v>
      </c>
      <c r="B1726" s="4" t="s">
        <v>13</v>
      </c>
      <c r="C1726" s="4" t="s">
        <v>14</v>
      </c>
      <c r="D1726" s="35">
        <v>6235</v>
      </c>
      <c r="E1726" s="4" t="s">
        <v>3002</v>
      </c>
      <c r="F1726" s="5">
        <v>39482</v>
      </c>
      <c r="G1726" s="5">
        <v>39844</v>
      </c>
      <c r="H1726" s="4" t="s">
        <v>2039</v>
      </c>
      <c r="I1726" s="6">
        <v>68656.210000000006</v>
      </c>
      <c r="J1726" s="6">
        <v>68656.210000000006</v>
      </c>
      <c r="K1726" s="37" t="s">
        <v>2650</v>
      </c>
      <c r="L1726" s="119"/>
      <c r="M1726" s="3"/>
    </row>
    <row r="1727" spans="1:13" s="4" customFormat="1" ht="14.25" customHeight="1" x14ac:dyDescent="0.25">
      <c r="A1727" s="4" t="s">
        <v>3003</v>
      </c>
      <c r="B1727" s="4" t="s">
        <v>13</v>
      </c>
      <c r="C1727" s="4" t="s">
        <v>14</v>
      </c>
      <c r="D1727" s="35">
        <v>6236</v>
      </c>
      <c r="E1727" s="4" t="s">
        <v>3004</v>
      </c>
      <c r="F1727" s="5">
        <v>39569</v>
      </c>
      <c r="G1727" s="5">
        <v>39912</v>
      </c>
      <c r="H1727" s="4" t="s">
        <v>2039</v>
      </c>
      <c r="I1727" s="6">
        <v>81968.88</v>
      </c>
      <c r="J1727" s="6">
        <v>81968.88</v>
      </c>
      <c r="K1727" s="37" t="s">
        <v>2650</v>
      </c>
      <c r="L1727" s="119"/>
      <c r="M1727" s="3"/>
    </row>
    <row r="1728" spans="1:13" s="4" customFormat="1" ht="14.25" customHeight="1" x14ac:dyDescent="0.25">
      <c r="A1728" s="4" t="s">
        <v>3005</v>
      </c>
      <c r="B1728" s="4" t="s">
        <v>13</v>
      </c>
      <c r="C1728" s="4" t="s">
        <v>14</v>
      </c>
      <c r="D1728" s="35">
        <v>6237</v>
      </c>
      <c r="E1728" s="4" t="s">
        <v>3006</v>
      </c>
      <c r="F1728" s="5">
        <v>39326</v>
      </c>
      <c r="G1728" s="5">
        <v>40602</v>
      </c>
      <c r="H1728" s="4" t="s">
        <v>2039</v>
      </c>
      <c r="I1728" s="6">
        <v>256400.92</v>
      </c>
      <c r="J1728" s="6">
        <v>256400.92</v>
      </c>
      <c r="K1728" s="37" t="s">
        <v>2650</v>
      </c>
      <c r="L1728" s="119"/>
      <c r="M1728" s="3"/>
    </row>
    <row r="1729" spans="1:13" s="4" customFormat="1" ht="14.25" customHeight="1" x14ac:dyDescent="0.25">
      <c r="A1729" s="4" t="s">
        <v>3007</v>
      </c>
      <c r="B1729" s="4" t="s">
        <v>13</v>
      </c>
      <c r="C1729" s="4" t="s">
        <v>14</v>
      </c>
      <c r="D1729" s="35">
        <v>6238</v>
      </c>
      <c r="E1729" s="4" t="s">
        <v>3008</v>
      </c>
      <c r="F1729" s="5">
        <v>39630</v>
      </c>
      <c r="G1729" s="5">
        <v>40724</v>
      </c>
      <c r="H1729" s="4" t="s">
        <v>2039</v>
      </c>
      <c r="I1729" s="6">
        <v>170386</v>
      </c>
      <c r="J1729" s="6">
        <v>170386</v>
      </c>
      <c r="K1729" s="37" t="s">
        <v>2650</v>
      </c>
      <c r="L1729" s="119"/>
      <c r="M1729" s="3"/>
    </row>
    <row r="1730" spans="1:13" s="4" customFormat="1" ht="14.25" customHeight="1" x14ac:dyDescent="0.25">
      <c r="A1730" s="4" t="s">
        <v>3009</v>
      </c>
      <c r="B1730" s="4" t="s">
        <v>13</v>
      </c>
      <c r="C1730" s="4" t="s">
        <v>14</v>
      </c>
      <c r="D1730" s="35">
        <v>6239</v>
      </c>
      <c r="E1730" s="4" t="s">
        <v>3010</v>
      </c>
      <c r="F1730" s="5">
        <v>39722</v>
      </c>
      <c r="G1730" s="5">
        <v>40451</v>
      </c>
      <c r="H1730" s="4" t="s">
        <v>2039</v>
      </c>
      <c r="I1730" s="6">
        <v>231276.28</v>
      </c>
      <c r="J1730" s="6">
        <v>231276.28</v>
      </c>
      <c r="K1730" s="37" t="s">
        <v>2650</v>
      </c>
      <c r="L1730" s="119"/>
      <c r="M1730" s="3"/>
    </row>
    <row r="1731" spans="1:13" s="4" customFormat="1" ht="14.25" customHeight="1" x14ac:dyDescent="0.25">
      <c r="A1731" s="4" t="s">
        <v>3011</v>
      </c>
      <c r="B1731" s="4" t="s">
        <v>13</v>
      </c>
      <c r="C1731" s="4" t="s">
        <v>14</v>
      </c>
      <c r="D1731" s="35">
        <v>6240</v>
      </c>
      <c r="E1731" s="4" t="s">
        <v>3012</v>
      </c>
      <c r="F1731" s="5">
        <v>39722</v>
      </c>
      <c r="G1731" s="5">
        <v>40451</v>
      </c>
      <c r="H1731" s="4" t="s">
        <v>2039</v>
      </c>
      <c r="I1731" s="6">
        <v>324311.53999999998</v>
      </c>
      <c r="J1731" s="6">
        <v>324311.53999999998</v>
      </c>
      <c r="K1731" s="37" t="s">
        <v>2650</v>
      </c>
      <c r="L1731" s="119"/>
      <c r="M1731" s="3"/>
    </row>
    <row r="1732" spans="1:13" s="4" customFormat="1" ht="14.25" customHeight="1" x14ac:dyDescent="0.25">
      <c r="A1732" s="4" t="s">
        <v>3013</v>
      </c>
      <c r="B1732" s="4" t="s">
        <v>13</v>
      </c>
      <c r="C1732" s="4" t="s">
        <v>14</v>
      </c>
      <c r="D1732" s="35">
        <v>6241</v>
      </c>
      <c r="E1732" s="4" t="s">
        <v>3014</v>
      </c>
      <c r="F1732" s="5">
        <v>39845</v>
      </c>
      <c r="G1732" s="5">
        <v>40939</v>
      </c>
      <c r="H1732" s="4" t="s">
        <v>2039</v>
      </c>
      <c r="I1732" s="6">
        <v>246766.16</v>
      </c>
      <c r="J1732" s="6">
        <v>246766.16</v>
      </c>
      <c r="K1732" s="37" t="s">
        <v>2650</v>
      </c>
      <c r="L1732" s="119"/>
      <c r="M1732" s="3"/>
    </row>
    <row r="1733" spans="1:13" s="4" customFormat="1" ht="14.25" customHeight="1" x14ac:dyDescent="0.25">
      <c r="A1733" s="4" t="s">
        <v>3015</v>
      </c>
      <c r="B1733" s="4" t="s">
        <v>13</v>
      </c>
      <c r="C1733" s="4" t="s">
        <v>14</v>
      </c>
      <c r="D1733" s="35">
        <v>6242</v>
      </c>
      <c r="E1733" s="4" t="s">
        <v>3016</v>
      </c>
      <c r="F1733" s="5">
        <v>40118</v>
      </c>
      <c r="G1733" s="5">
        <v>40907</v>
      </c>
      <c r="H1733" s="4" t="s">
        <v>2039</v>
      </c>
      <c r="I1733" s="6">
        <f>226402.58+30130.43</f>
        <v>256533.00999999998</v>
      </c>
      <c r="J1733" s="6">
        <f>226402.58+30130.43</f>
        <v>256533.00999999998</v>
      </c>
      <c r="K1733" s="37" t="s">
        <v>2650</v>
      </c>
      <c r="L1733" s="119"/>
      <c r="M1733" s="3"/>
    </row>
    <row r="1734" spans="1:13" s="4" customFormat="1" ht="14.25" customHeight="1" x14ac:dyDescent="0.25">
      <c r="A1734" s="4" t="s">
        <v>3017</v>
      </c>
      <c r="B1734" s="4" t="s">
        <v>13</v>
      </c>
      <c r="C1734" s="4" t="s">
        <v>14</v>
      </c>
      <c r="D1734" s="35">
        <v>6243</v>
      </c>
      <c r="E1734" s="4" t="s">
        <v>3018</v>
      </c>
      <c r="F1734" s="5">
        <v>40057</v>
      </c>
      <c r="G1734" s="5">
        <v>40848</v>
      </c>
      <c r="H1734" s="4" t="s">
        <v>2039</v>
      </c>
      <c r="I1734" s="6">
        <f>272030.31+15774.31</f>
        <v>287804.62</v>
      </c>
      <c r="J1734" s="6">
        <f>272030.31+15774.31</f>
        <v>287804.62</v>
      </c>
      <c r="K1734" s="37" t="s">
        <v>2650</v>
      </c>
      <c r="L1734" s="119"/>
      <c r="M1734" s="3"/>
    </row>
    <row r="1735" spans="1:13" s="4" customFormat="1" ht="14.25" customHeight="1" x14ac:dyDescent="0.25">
      <c r="A1735" s="4" t="s">
        <v>3019</v>
      </c>
      <c r="B1735" s="4" t="s">
        <v>13</v>
      </c>
      <c r="C1735" s="4" t="s">
        <v>14</v>
      </c>
      <c r="D1735" s="35">
        <v>6516</v>
      </c>
      <c r="E1735" s="4" t="s">
        <v>3020</v>
      </c>
      <c r="F1735" s="5">
        <v>39326</v>
      </c>
      <c r="G1735" s="5">
        <v>40515</v>
      </c>
      <c r="H1735" s="4" t="s">
        <v>2039</v>
      </c>
      <c r="I1735" s="6">
        <v>38433.82</v>
      </c>
      <c r="J1735" s="6">
        <v>38433.82</v>
      </c>
      <c r="K1735" s="37" t="s">
        <v>2650</v>
      </c>
      <c r="L1735" s="119"/>
      <c r="M1735" s="3"/>
    </row>
    <row r="1736" spans="1:13" s="4" customFormat="1" ht="14.25" customHeight="1" x14ac:dyDescent="0.25">
      <c r="A1736" s="4" t="s">
        <v>3021</v>
      </c>
      <c r="B1736" s="4" t="s">
        <v>13</v>
      </c>
      <c r="C1736" s="4" t="s">
        <v>14</v>
      </c>
      <c r="D1736" s="35">
        <v>6517</v>
      </c>
      <c r="E1736" s="4" t="s">
        <v>3022</v>
      </c>
      <c r="F1736" s="5">
        <v>40269</v>
      </c>
      <c r="G1736" s="5">
        <v>40632</v>
      </c>
      <c r="H1736" s="4" t="s">
        <v>2039</v>
      </c>
      <c r="I1736" s="6">
        <v>63576.7</v>
      </c>
      <c r="J1736" s="6">
        <v>63576.7</v>
      </c>
      <c r="K1736" s="37" t="s">
        <v>2650</v>
      </c>
      <c r="L1736" s="119"/>
      <c r="M1736" s="3"/>
    </row>
    <row r="1737" spans="1:13" s="4" customFormat="1" ht="14.25" customHeight="1" x14ac:dyDescent="0.25">
      <c r="A1737" s="4" t="s">
        <v>3023</v>
      </c>
      <c r="B1737" s="4" t="s">
        <v>13</v>
      </c>
      <c r="C1737" s="4" t="s">
        <v>14</v>
      </c>
      <c r="D1737" s="35">
        <v>6518</v>
      </c>
      <c r="E1737" s="4" t="s">
        <v>3024</v>
      </c>
      <c r="F1737" s="5">
        <v>40269</v>
      </c>
      <c r="G1737" s="5">
        <v>40663</v>
      </c>
      <c r="H1737" s="4" t="s">
        <v>2039</v>
      </c>
      <c r="I1737" s="6">
        <v>49577.79</v>
      </c>
      <c r="J1737" s="6">
        <v>49577.79</v>
      </c>
      <c r="K1737" s="37" t="s">
        <v>2650</v>
      </c>
      <c r="L1737" s="119"/>
      <c r="M1737" s="3"/>
    </row>
    <row r="1738" spans="1:13" s="4" customFormat="1" ht="14.25" customHeight="1" x14ac:dyDescent="0.25">
      <c r="A1738" s="13" t="s">
        <v>3025</v>
      </c>
      <c r="B1738" s="4" t="s">
        <v>13</v>
      </c>
      <c r="C1738" s="4" t="s">
        <v>14</v>
      </c>
      <c r="D1738" s="35">
        <v>6544</v>
      </c>
      <c r="E1738" s="13" t="s">
        <v>3026</v>
      </c>
      <c r="F1738" s="5">
        <v>40269</v>
      </c>
      <c r="G1738" s="5">
        <v>40663</v>
      </c>
      <c r="H1738" s="4" t="s">
        <v>2039</v>
      </c>
      <c r="I1738" s="6">
        <v>56840.03</v>
      </c>
      <c r="J1738" s="6">
        <v>56840.03</v>
      </c>
      <c r="K1738" s="37" t="s">
        <v>2650</v>
      </c>
      <c r="L1738" s="119"/>
      <c r="M1738" s="3"/>
    </row>
    <row r="1739" spans="1:13" s="4" customFormat="1" ht="14.25" customHeight="1" x14ac:dyDescent="0.25">
      <c r="A1739" s="13" t="s">
        <v>3027</v>
      </c>
      <c r="B1739" s="4" t="s">
        <v>13</v>
      </c>
      <c r="C1739" s="4" t="s">
        <v>14</v>
      </c>
      <c r="D1739" s="35">
        <v>6545</v>
      </c>
      <c r="E1739" s="13" t="s">
        <v>3028</v>
      </c>
      <c r="F1739" s="5">
        <v>40269</v>
      </c>
      <c r="G1739" s="5">
        <v>40663</v>
      </c>
      <c r="H1739" s="4" t="s">
        <v>2039</v>
      </c>
      <c r="I1739" s="6">
        <f>98056.5+17054.21</f>
        <v>115110.70999999999</v>
      </c>
      <c r="J1739" s="6">
        <f>98056.55+17054.16</f>
        <v>115110.71</v>
      </c>
      <c r="K1739" s="37" t="s">
        <v>2650</v>
      </c>
      <c r="L1739" s="119"/>
      <c r="M1739" s="3"/>
    </row>
    <row r="1740" spans="1:13" s="4" customFormat="1" ht="14.25" customHeight="1" x14ac:dyDescent="0.25">
      <c r="A1740" s="4" t="s">
        <v>3029</v>
      </c>
      <c r="B1740" s="4" t="s">
        <v>13</v>
      </c>
      <c r="C1740" s="4" t="s">
        <v>14</v>
      </c>
      <c r="D1740" s="35">
        <v>8483</v>
      </c>
      <c r="E1740" s="4" t="s">
        <v>3030</v>
      </c>
      <c r="F1740" s="5">
        <v>40299</v>
      </c>
      <c r="G1740" s="5">
        <v>41394</v>
      </c>
      <c r="H1740" s="4" t="s">
        <v>2039</v>
      </c>
      <c r="I1740" s="6">
        <f>113641.45+38913.64</f>
        <v>152555.09</v>
      </c>
      <c r="J1740" s="6">
        <f>113641.45+38913.64</f>
        <v>152555.09</v>
      </c>
      <c r="K1740" s="37" t="s">
        <v>2650</v>
      </c>
      <c r="L1740" s="119"/>
      <c r="M1740" s="3"/>
    </row>
    <row r="1741" spans="1:13" s="4" customFormat="1" ht="14.25" customHeight="1" x14ac:dyDescent="0.25">
      <c r="A1741" s="4" t="s">
        <v>3031</v>
      </c>
      <c r="B1741" s="4" t="s">
        <v>13</v>
      </c>
      <c r="C1741" s="4" t="s">
        <v>14</v>
      </c>
      <c r="D1741" s="35">
        <v>8484</v>
      </c>
      <c r="E1741" s="4" t="s">
        <v>3032</v>
      </c>
      <c r="F1741" s="5">
        <v>40238</v>
      </c>
      <c r="G1741" s="5">
        <v>40516</v>
      </c>
      <c r="H1741" s="4" t="s">
        <v>2039</v>
      </c>
      <c r="I1741" s="6">
        <v>54316.71</v>
      </c>
      <c r="J1741" s="6">
        <v>54316.71</v>
      </c>
      <c r="K1741" s="37" t="s">
        <v>2650</v>
      </c>
      <c r="L1741" s="119"/>
      <c r="M1741" s="3"/>
    </row>
    <row r="1742" spans="1:13" s="4" customFormat="1" ht="14.25" customHeight="1" x14ac:dyDescent="0.2">
      <c r="A1742" s="95" t="s">
        <v>11619</v>
      </c>
      <c r="B1742" s="4" t="s">
        <v>13</v>
      </c>
      <c r="C1742" s="4" t="s">
        <v>14</v>
      </c>
      <c r="D1742" s="35">
        <v>10291</v>
      </c>
      <c r="E1742" s="95" t="s">
        <v>11619</v>
      </c>
      <c r="F1742" s="96">
        <v>39264</v>
      </c>
      <c r="G1742" s="96">
        <v>40086</v>
      </c>
      <c r="H1742" s="4" t="s">
        <v>2039</v>
      </c>
      <c r="I1742" s="6">
        <v>-19000</v>
      </c>
      <c r="J1742" s="6">
        <v>-19000</v>
      </c>
      <c r="K1742" s="37" t="s">
        <v>2650</v>
      </c>
      <c r="L1742" s="119"/>
      <c r="M1742" s="3"/>
    </row>
    <row r="1743" spans="1:13" s="4" customFormat="1" ht="14.25" customHeight="1" x14ac:dyDescent="0.25">
      <c r="A1743" s="4" t="s">
        <v>3033</v>
      </c>
      <c r="B1743" s="4" t="s">
        <v>13</v>
      </c>
      <c r="C1743" s="4" t="s">
        <v>14</v>
      </c>
      <c r="D1743" s="35">
        <v>11196</v>
      </c>
      <c r="E1743" s="4" t="s">
        <v>3034</v>
      </c>
      <c r="F1743" s="5">
        <v>40575</v>
      </c>
      <c r="G1743" s="5">
        <v>41222</v>
      </c>
      <c r="H1743" s="4" t="s">
        <v>2039</v>
      </c>
      <c r="I1743" s="6">
        <f>79703.62+145003.85</f>
        <v>224707.47</v>
      </c>
      <c r="J1743" s="6">
        <f>79703.62+145003.85</f>
        <v>224707.47</v>
      </c>
      <c r="K1743" s="37" t="s">
        <v>2650</v>
      </c>
      <c r="L1743" s="119"/>
      <c r="M1743" s="3"/>
    </row>
    <row r="1744" spans="1:13" s="4" customFormat="1" ht="14.25" customHeight="1" x14ac:dyDescent="0.25">
      <c r="A1744" s="4" t="s">
        <v>3035</v>
      </c>
      <c r="B1744" s="4" t="s">
        <v>13</v>
      </c>
      <c r="C1744" s="4" t="s">
        <v>14</v>
      </c>
      <c r="D1744" s="35">
        <v>11197</v>
      </c>
      <c r="E1744" s="4" t="s">
        <v>3036</v>
      </c>
      <c r="F1744" s="5">
        <v>40575</v>
      </c>
      <c r="G1744" s="5">
        <v>41075</v>
      </c>
      <c r="H1744" s="4" t="s">
        <v>2039</v>
      </c>
      <c r="I1744" s="6">
        <v>38601.65</v>
      </c>
      <c r="J1744" s="6">
        <v>38601.65</v>
      </c>
      <c r="K1744" s="37" t="s">
        <v>2650</v>
      </c>
      <c r="L1744" s="119"/>
      <c r="M1744" s="3"/>
    </row>
    <row r="1745" spans="1:13" s="4" customFormat="1" ht="14.25" customHeight="1" x14ac:dyDescent="0.25">
      <c r="A1745" s="4" t="s">
        <v>3037</v>
      </c>
      <c r="B1745" s="4" t="s">
        <v>13</v>
      </c>
      <c r="C1745" s="4" t="s">
        <v>14</v>
      </c>
      <c r="D1745" s="35">
        <v>11198</v>
      </c>
      <c r="E1745" s="4" t="s">
        <v>3038</v>
      </c>
      <c r="F1745" s="5">
        <v>40787</v>
      </c>
      <c r="G1745" s="5">
        <v>41184</v>
      </c>
      <c r="H1745" s="4" t="s">
        <v>2039</v>
      </c>
      <c r="I1745" s="6">
        <f>10568.16+53464.79</f>
        <v>64032.95</v>
      </c>
      <c r="J1745" s="6">
        <f>10568.16+53464.79</f>
        <v>64032.95</v>
      </c>
      <c r="K1745" s="37" t="s">
        <v>2650</v>
      </c>
      <c r="L1745" s="119"/>
      <c r="M1745" s="3"/>
    </row>
    <row r="1746" spans="1:13" s="4" customFormat="1" ht="14.25" customHeight="1" x14ac:dyDescent="0.25">
      <c r="A1746" s="13" t="s">
        <v>3039</v>
      </c>
      <c r="B1746" s="4" t="s">
        <v>13</v>
      </c>
      <c r="C1746" s="4" t="s">
        <v>14</v>
      </c>
      <c r="D1746" s="35">
        <v>11256</v>
      </c>
      <c r="E1746" s="13" t="s">
        <v>3039</v>
      </c>
      <c r="F1746" s="14">
        <v>40623</v>
      </c>
      <c r="G1746" s="14">
        <v>41049</v>
      </c>
      <c r="H1746" s="4" t="s">
        <v>2039</v>
      </c>
      <c r="I1746" s="6">
        <f>52809.52+39314.69+47561.68</f>
        <v>139685.88999999998</v>
      </c>
      <c r="J1746" s="6">
        <f>52809.52+39314.69+47561.68</f>
        <v>139685.88999999998</v>
      </c>
      <c r="K1746" s="37" t="s">
        <v>2650</v>
      </c>
      <c r="L1746" s="119"/>
      <c r="M1746" s="3"/>
    </row>
    <row r="1747" spans="1:13" s="4" customFormat="1" ht="14.25" customHeight="1" x14ac:dyDescent="0.25">
      <c r="A1747" s="13" t="s">
        <v>3040</v>
      </c>
      <c r="B1747" s="4" t="s">
        <v>13</v>
      </c>
      <c r="C1747" s="4" t="s">
        <v>14</v>
      </c>
      <c r="D1747" s="35">
        <v>11257</v>
      </c>
      <c r="E1747" s="13" t="s">
        <v>3040</v>
      </c>
      <c r="F1747" s="14">
        <v>40623</v>
      </c>
      <c r="G1747" s="14">
        <v>41049</v>
      </c>
      <c r="H1747" s="4" t="s">
        <v>2039</v>
      </c>
      <c r="I1747" s="6">
        <f>50882.82+25622.94</f>
        <v>76505.759999999995</v>
      </c>
      <c r="J1747" s="6">
        <f>50882.82+25622.94</f>
        <v>76505.759999999995</v>
      </c>
      <c r="K1747" s="37" t="s">
        <v>2650</v>
      </c>
      <c r="L1747" s="119"/>
      <c r="M1747" s="3"/>
    </row>
    <row r="1748" spans="1:13" s="4" customFormat="1" ht="14.25" customHeight="1" x14ac:dyDescent="0.25">
      <c r="A1748" s="13" t="s">
        <v>3041</v>
      </c>
      <c r="B1748" s="4" t="s">
        <v>13</v>
      </c>
      <c r="C1748" s="4" t="s">
        <v>14</v>
      </c>
      <c r="D1748" s="35">
        <v>11258</v>
      </c>
      <c r="E1748" s="13" t="s">
        <v>3041</v>
      </c>
      <c r="F1748" s="14">
        <v>40623</v>
      </c>
      <c r="G1748" s="14">
        <v>41049</v>
      </c>
      <c r="H1748" s="4" t="s">
        <v>2039</v>
      </c>
      <c r="I1748" s="6">
        <f>50261.14+23691.59</f>
        <v>73952.73</v>
      </c>
      <c r="J1748" s="6">
        <f>50261.14+23691.59</f>
        <v>73952.73</v>
      </c>
      <c r="K1748" s="37" t="s">
        <v>2650</v>
      </c>
      <c r="L1748" s="119"/>
      <c r="M1748" s="3"/>
    </row>
    <row r="1749" spans="1:13" s="4" customFormat="1" ht="14.25" customHeight="1" x14ac:dyDescent="0.25">
      <c r="A1749" s="13" t="s">
        <v>3042</v>
      </c>
      <c r="B1749" s="4" t="s">
        <v>13</v>
      </c>
      <c r="C1749" s="4" t="s">
        <v>14</v>
      </c>
      <c r="D1749" s="35">
        <v>11259</v>
      </c>
      <c r="E1749" s="13" t="s">
        <v>3042</v>
      </c>
      <c r="F1749" s="14">
        <v>40623</v>
      </c>
      <c r="G1749" s="14">
        <v>41049</v>
      </c>
      <c r="H1749" s="4" t="s">
        <v>2039</v>
      </c>
      <c r="I1749" s="6">
        <v>27867.88</v>
      </c>
      <c r="J1749" s="6">
        <v>27867.88</v>
      </c>
      <c r="K1749" s="37" t="s">
        <v>2650</v>
      </c>
      <c r="L1749" s="119"/>
      <c r="M1749" s="3"/>
    </row>
    <row r="1750" spans="1:13" s="4" customFormat="1" ht="14.25" customHeight="1" x14ac:dyDescent="0.25">
      <c r="A1750" s="13" t="s">
        <v>3043</v>
      </c>
      <c r="B1750" s="4" t="s">
        <v>13</v>
      </c>
      <c r="C1750" s="4" t="s">
        <v>14</v>
      </c>
      <c r="D1750" s="35">
        <v>11260</v>
      </c>
      <c r="E1750" s="13" t="s">
        <v>3043</v>
      </c>
      <c r="F1750" s="14">
        <v>40623</v>
      </c>
      <c r="G1750" s="14">
        <v>41049</v>
      </c>
      <c r="H1750" s="4" t="s">
        <v>2039</v>
      </c>
      <c r="I1750" s="6">
        <f>19380.14+55339.52</f>
        <v>74719.66</v>
      </c>
      <c r="J1750" s="6">
        <f>19380.14+55339.52</f>
        <v>74719.66</v>
      </c>
      <c r="K1750" s="37" t="s">
        <v>2650</v>
      </c>
      <c r="L1750" s="119"/>
      <c r="M1750" s="3"/>
    </row>
    <row r="1751" spans="1:13" s="4" customFormat="1" ht="14.25" customHeight="1" x14ac:dyDescent="0.25">
      <c r="A1751" s="13" t="s">
        <v>3044</v>
      </c>
      <c r="B1751" s="4" t="s">
        <v>13</v>
      </c>
      <c r="C1751" s="4" t="s">
        <v>14</v>
      </c>
      <c r="D1751" s="35">
        <v>11261</v>
      </c>
      <c r="E1751" s="13" t="s">
        <v>3044</v>
      </c>
      <c r="F1751" s="14">
        <v>40623</v>
      </c>
      <c r="G1751" s="14">
        <v>41049</v>
      </c>
      <c r="H1751" s="4" t="s">
        <v>2039</v>
      </c>
      <c r="I1751" s="6">
        <f>33143.61+35673.28</f>
        <v>68816.89</v>
      </c>
      <c r="J1751" s="6">
        <f>33143.61+35673.28</f>
        <v>68816.89</v>
      </c>
      <c r="K1751" s="37" t="s">
        <v>2650</v>
      </c>
      <c r="L1751" s="119"/>
      <c r="M1751" s="3"/>
    </row>
    <row r="1752" spans="1:13" s="4" customFormat="1" ht="14.25" customHeight="1" x14ac:dyDescent="0.25">
      <c r="A1752" s="13" t="s">
        <v>3045</v>
      </c>
      <c r="B1752" s="4" t="s">
        <v>13</v>
      </c>
      <c r="C1752" s="4" t="s">
        <v>14</v>
      </c>
      <c r="D1752" s="35">
        <v>11265</v>
      </c>
      <c r="E1752" s="13" t="s">
        <v>3045</v>
      </c>
      <c r="F1752" s="14">
        <v>40623</v>
      </c>
      <c r="G1752" s="14">
        <v>41049</v>
      </c>
      <c r="H1752" s="4" t="s">
        <v>2039</v>
      </c>
      <c r="I1752" s="6">
        <f>17799.2+32380.44</f>
        <v>50179.64</v>
      </c>
      <c r="J1752" s="6">
        <f>17799.2+32380.44</f>
        <v>50179.64</v>
      </c>
      <c r="K1752" s="37" t="s">
        <v>2650</v>
      </c>
      <c r="L1752" s="119"/>
      <c r="M1752" s="3"/>
    </row>
    <row r="1753" spans="1:13" s="4" customFormat="1" ht="14.25" customHeight="1" x14ac:dyDescent="0.25">
      <c r="A1753" s="13" t="s">
        <v>3046</v>
      </c>
      <c r="B1753" s="4" t="s">
        <v>13</v>
      </c>
      <c r="C1753" s="4" t="s">
        <v>14</v>
      </c>
      <c r="D1753" s="35">
        <v>11266</v>
      </c>
      <c r="E1753" s="13" t="s">
        <v>3046</v>
      </c>
      <c r="F1753" s="14">
        <v>40623</v>
      </c>
      <c r="G1753" s="14">
        <v>41049</v>
      </c>
      <c r="H1753" s="4" t="s">
        <v>2039</v>
      </c>
      <c r="I1753" s="6">
        <f>8172.9+1177.76</f>
        <v>9350.66</v>
      </c>
      <c r="J1753" s="6">
        <f>8172.9+1177.76</f>
        <v>9350.66</v>
      </c>
      <c r="K1753" s="37" t="s">
        <v>2650</v>
      </c>
      <c r="L1753" s="119"/>
      <c r="M1753" s="3"/>
    </row>
    <row r="1754" spans="1:13" s="4" customFormat="1" ht="14.25" customHeight="1" x14ac:dyDescent="0.25">
      <c r="A1754" s="13" t="s">
        <v>3047</v>
      </c>
      <c r="B1754" s="4" t="s">
        <v>13</v>
      </c>
      <c r="C1754" s="4" t="s">
        <v>14</v>
      </c>
      <c r="D1754" s="35">
        <v>11267</v>
      </c>
      <c r="E1754" s="13" t="s">
        <v>3047</v>
      </c>
      <c r="F1754" s="14">
        <v>40623</v>
      </c>
      <c r="G1754" s="14">
        <v>41049</v>
      </c>
      <c r="H1754" s="4" t="s">
        <v>2039</v>
      </c>
      <c r="I1754" s="6">
        <v>987.57</v>
      </c>
      <c r="J1754" s="6">
        <v>987.57</v>
      </c>
      <c r="K1754" s="37" t="s">
        <v>2650</v>
      </c>
      <c r="L1754" s="119"/>
      <c r="M1754" s="3"/>
    </row>
    <row r="1755" spans="1:13" s="32" customFormat="1" ht="14.25" customHeight="1" x14ac:dyDescent="0.25">
      <c r="A1755" s="13" t="s">
        <v>11416</v>
      </c>
      <c r="B1755" s="32" t="s">
        <v>13</v>
      </c>
      <c r="C1755" s="32" t="s">
        <v>14</v>
      </c>
      <c r="D1755" s="33">
        <v>11268</v>
      </c>
      <c r="E1755" s="13" t="s">
        <v>11417</v>
      </c>
      <c r="F1755" s="34">
        <v>40817</v>
      </c>
      <c r="G1755" s="34">
        <v>41274</v>
      </c>
      <c r="H1755" s="4" t="s">
        <v>2039</v>
      </c>
      <c r="I1755" s="94">
        <f>30639.36+36868.9</f>
        <v>67508.260000000009</v>
      </c>
      <c r="J1755" s="94">
        <f>30639.36+36868.9</f>
        <v>67508.260000000009</v>
      </c>
      <c r="K1755" s="38" t="s">
        <v>2650</v>
      </c>
      <c r="L1755" s="119"/>
    </row>
    <row r="1756" spans="1:13" s="32" customFormat="1" ht="14.25" customHeight="1" x14ac:dyDescent="0.25">
      <c r="A1756" s="13" t="s">
        <v>11418</v>
      </c>
      <c r="B1756" s="32" t="s">
        <v>13</v>
      </c>
      <c r="C1756" s="32" t="s">
        <v>14</v>
      </c>
      <c r="D1756" s="33">
        <v>11269</v>
      </c>
      <c r="E1756" s="13" t="s">
        <v>11419</v>
      </c>
      <c r="F1756" s="34">
        <v>40878</v>
      </c>
      <c r="G1756" s="34">
        <v>41333</v>
      </c>
      <c r="H1756" s="4" t="s">
        <v>2039</v>
      </c>
      <c r="I1756" s="94">
        <f>37261.87+10513.36</f>
        <v>47775.23</v>
      </c>
      <c r="J1756" s="94">
        <f>37261.87+10513.36</f>
        <v>47775.23</v>
      </c>
      <c r="K1756" s="38" t="s">
        <v>2650</v>
      </c>
      <c r="L1756" s="119"/>
    </row>
    <row r="1757" spans="1:13" s="32" customFormat="1" ht="14.25" customHeight="1" x14ac:dyDescent="0.25">
      <c r="A1757" s="13" t="s">
        <v>11420</v>
      </c>
      <c r="B1757" s="32" t="s">
        <v>13</v>
      </c>
      <c r="C1757" s="32" t="s">
        <v>14</v>
      </c>
      <c r="D1757" s="33">
        <v>11271</v>
      </c>
      <c r="E1757" s="13" t="s">
        <v>11665</v>
      </c>
      <c r="F1757" s="34">
        <v>40909</v>
      </c>
      <c r="G1757" s="34">
        <v>41275</v>
      </c>
      <c r="H1757" s="4" t="s">
        <v>2039</v>
      </c>
      <c r="I1757" s="94">
        <f>61505.72+121942.08</f>
        <v>183447.8</v>
      </c>
      <c r="J1757" s="94">
        <f>61505.72+121942.08</f>
        <v>183447.8</v>
      </c>
      <c r="K1757" s="38" t="s">
        <v>2650</v>
      </c>
      <c r="L1757" s="119"/>
    </row>
    <row r="1758" spans="1:13" s="32" customFormat="1" ht="14.25" customHeight="1" x14ac:dyDescent="0.25">
      <c r="A1758" s="13" t="s">
        <v>11422</v>
      </c>
      <c r="B1758" s="32" t="s">
        <v>13</v>
      </c>
      <c r="C1758" s="32" t="s">
        <v>14</v>
      </c>
      <c r="D1758" s="33">
        <v>11272</v>
      </c>
      <c r="E1758" s="13" t="s">
        <v>11423</v>
      </c>
      <c r="F1758" s="34">
        <v>40940</v>
      </c>
      <c r="G1758" s="34">
        <v>41365</v>
      </c>
      <c r="H1758" s="4" t="s">
        <v>2039</v>
      </c>
      <c r="I1758" s="94">
        <f>55808.97+18055.4</f>
        <v>73864.37</v>
      </c>
      <c r="J1758" s="94">
        <f>55808.97+18055.4</f>
        <v>73864.37</v>
      </c>
      <c r="K1758" s="38" t="s">
        <v>2650</v>
      </c>
      <c r="L1758" s="119"/>
    </row>
    <row r="1759" spans="1:13" s="32" customFormat="1" ht="14.25" customHeight="1" x14ac:dyDescent="0.2">
      <c r="A1759" s="91" t="s">
        <v>11672</v>
      </c>
      <c r="B1759" s="32" t="s">
        <v>13</v>
      </c>
      <c r="C1759" s="32" t="s">
        <v>14</v>
      </c>
      <c r="D1759" s="33">
        <v>11273</v>
      </c>
      <c r="E1759" s="91" t="s">
        <v>11672</v>
      </c>
      <c r="F1759" s="34">
        <v>40909</v>
      </c>
      <c r="G1759" s="34">
        <v>41274</v>
      </c>
      <c r="H1759" s="4" t="s">
        <v>2039</v>
      </c>
      <c r="I1759" s="94">
        <v>62253.89</v>
      </c>
      <c r="J1759" s="94">
        <v>62253.89</v>
      </c>
      <c r="K1759" s="38" t="s">
        <v>2650</v>
      </c>
      <c r="L1759" s="119"/>
    </row>
    <row r="1760" spans="1:13" s="32" customFormat="1" ht="14.25" customHeight="1" x14ac:dyDescent="0.25">
      <c r="A1760" s="13" t="s">
        <v>11424</v>
      </c>
      <c r="B1760" s="32" t="s">
        <v>13</v>
      </c>
      <c r="C1760" s="32" t="s">
        <v>14</v>
      </c>
      <c r="D1760" s="33">
        <v>11274</v>
      </c>
      <c r="E1760" s="13" t="s">
        <v>11425</v>
      </c>
      <c r="F1760" s="34">
        <v>40878</v>
      </c>
      <c r="G1760" s="34">
        <v>41275</v>
      </c>
      <c r="H1760" s="4" t="s">
        <v>2039</v>
      </c>
      <c r="I1760" s="94">
        <f>12037.82+18323.41</f>
        <v>30361.23</v>
      </c>
      <c r="J1760" s="94">
        <f>12037.82+18323.41</f>
        <v>30361.23</v>
      </c>
      <c r="K1760" s="38" t="s">
        <v>2650</v>
      </c>
      <c r="L1760" s="119"/>
    </row>
    <row r="1761" spans="1:13" s="32" customFormat="1" ht="14.25" customHeight="1" x14ac:dyDescent="0.25">
      <c r="A1761" s="107" t="s">
        <v>11673</v>
      </c>
      <c r="B1761" s="32" t="s">
        <v>13</v>
      </c>
      <c r="C1761" s="32" t="s">
        <v>14</v>
      </c>
      <c r="D1761" s="33">
        <v>11275</v>
      </c>
      <c r="E1761" s="107" t="s">
        <v>11673</v>
      </c>
      <c r="F1761" s="34">
        <v>40940</v>
      </c>
      <c r="G1761" s="34">
        <v>41639</v>
      </c>
      <c r="H1761" s="4" t="s">
        <v>2039</v>
      </c>
      <c r="I1761" s="94">
        <v>134074.45000000001</v>
      </c>
      <c r="J1761" s="94">
        <v>134074.45000000001</v>
      </c>
      <c r="K1761" s="38" t="s">
        <v>2650</v>
      </c>
      <c r="L1761" s="119"/>
    </row>
    <row r="1762" spans="1:13" s="32" customFormat="1" ht="14.25" customHeight="1" x14ac:dyDescent="0.25">
      <c r="A1762" s="13" t="s">
        <v>11426</v>
      </c>
      <c r="B1762" s="32" t="s">
        <v>13</v>
      </c>
      <c r="C1762" s="32" t="s">
        <v>14</v>
      </c>
      <c r="D1762" s="33">
        <v>11276</v>
      </c>
      <c r="E1762" s="13" t="s">
        <v>11427</v>
      </c>
      <c r="F1762" s="34">
        <v>40940</v>
      </c>
      <c r="G1762" s="34">
        <v>41243</v>
      </c>
      <c r="H1762" s="4" t="s">
        <v>2039</v>
      </c>
      <c r="I1762" s="94">
        <v>36577.33</v>
      </c>
      <c r="J1762" s="94">
        <v>36577.33</v>
      </c>
      <c r="K1762" s="38" t="s">
        <v>2650</v>
      </c>
      <c r="L1762" s="119"/>
    </row>
    <row r="1763" spans="1:13" s="4" customFormat="1" ht="14.25" customHeight="1" x14ac:dyDescent="0.25">
      <c r="A1763" s="4" t="s">
        <v>3048</v>
      </c>
      <c r="B1763" s="4" t="s">
        <v>13</v>
      </c>
      <c r="C1763" s="4" t="s">
        <v>14</v>
      </c>
      <c r="D1763" s="35">
        <v>11363</v>
      </c>
      <c r="E1763" s="4" t="s">
        <v>3048</v>
      </c>
      <c r="F1763" s="5">
        <v>40603</v>
      </c>
      <c r="G1763" s="5">
        <v>40968</v>
      </c>
      <c r="H1763" s="4" t="s">
        <v>2039</v>
      </c>
      <c r="I1763" s="6">
        <f>70074.28+9652</f>
        <v>79726.28</v>
      </c>
      <c r="J1763" s="6">
        <f>70074.28+9652</f>
        <v>79726.28</v>
      </c>
      <c r="K1763" s="37" t="s">
        <v>2650</v>
      </c>
      <c r="L1763" s="119"/>
      <c r="M1763" s="3"/>
    </row>
    <row r="1764" spans="1:13" s="4" customFormat="1" ht="14.25" customHeight="1" x14ac:dyDescent="0.25">
      <c r="A1764" s="4" t="s">
        <v>3049</v>
      </c>
      <c r="B1764" s="4" t="s">
        <v>13</v>
      </c>
      <c r="C1764" s="4" t="s">
        <v>14</v>
      </c>
      <c r="D1764" s="35">
        <v>11364</v>
      </c>
      <c r="E1764" s="4" t="s">
        <v>3049</v>
      </c>
      <c r="F1764" s="5">
        <v>40664</v>
      </c>
      <c r="G1764" s="5">
        <v>41029</v>
      </c>
      <c r="H1764" s="4" t="s">
        <v>2039</v>
      </c>
      <c r="I1764" s="6">
        <f>50642.66+63689.81</f>
        <v>114332.47</v>
      </c>
      <c r="J1764" s="6">
        <f>50642.66+63689.81</f>
        <v>114332.47</v>
      </c>
      <c r="K1764" s="37" t="s">
        <v>2650</v>
      </c>
      <c r="L1764" s="119"/>
      <c r="M1764" s="3"/>
    </row>
    <row r="1765" spans="1:13" s="4" customFormat="1" ht="14.25" customHeight="1" x14ac:dyDescent="0.25">
      <c r="A1765" s="4" t="s">
        <v>3050</v>
      </c>
      <c r="B1765" s="4" t="s">
        <v>13</v>
      </c>
      <c r="C1765" s="4" t="s">
        <v>14</v>
      </c>
      <c r="D1765" s="35">
        <v>11365</v>
      </c>
      <c r="E1765" s="4" t="s">
        <v>3051</v>
      </c>
      <c r="F1765" s="5">
        <v>40575</v>
      </c>
      <c r="G1765" s="5">
        <v>40999</v>
      </c>
      <c r="H1765" s="4" t="s">
        <v>2039</v>
      </c>
      <c r="I1765" s="6">
        <v>44140.2</v>
      </c>
      <c r="J1765" s="6">
        <v>44140.2</v>
      </c>
      <c r="K1765" s="37" t="s">
        <v>2650</v>
      </c>
      <c r="L1765" s="119"/>
      <c r="M1765" s="3"/>
    </row>
    <row r="1766" spans="1:13" s="4" customFormat="1" ht="14.25" customHeight="1" x14ac:dyDescent="0.25">
      <c r="A1766" s="4" t="s">
        <v>3052</v>
      </c>
      <c r="B1766" s="4" t="s">
        <v>13</v>
      </c>
      <c r="C1766" s="4" t="s">
        <v>14</v>
      </c>
      <c r="D1766" s="90">
        <v>11366</v>
      </c>
      <c r="E1766" s="4" t="s">
        <v>3052</v>
      </c>
      <c r="F1766" s="5">
        <v>40787</v>
      </c>
      <c r="G1766" s="5">
        <v>40908</v>
      </c>
      <c r="H1766" s="4" t="s">
        <v>2039</v>
      </c>
      <c r="I1766" s="6">
        <f>25308.15+117508.81+44664.02</f>
        <v>187480.97999999998</v>
      </c>
      <c r="J1766" s="6">
        <f>25308.15+117508.81+44664.02</f>
        <v>187480.97999999998</v>
      </c>
      <c r="K1766" s="37" t="s">
        <v>2650</v>
      </c>
      <c r="L1766" s="119"/>
      <c r="M1766" s="3"/>
    </row>
    <row r="1767" spans="1:13" s="4" customFormat="1" ht="14.25" customHeight="1" x14ac:dyDescent="0.25">
      <c r="A1767" s="4" t="s">
        <v>3053</v>
      </c>
      <c r="B1767" s="4" t="s">
        <v>13</v>
      </c>
      <c r="C1767" s="4" t="s">
        <v>14</v>
      </c>
      <c r="D1767" s="90">
        <v>11367</v>
      </c>
      <c r="E1767" s="4" t="s">
        <v>3053</v>
      </c>
      <c r="F1767" s="5">
        <v>40756</v>
      </c>
      <c r="G1767" s="5">
        <v>40908</v>
      </c>
      <c r="H1767" s="4" t="s">
        <v>2039</v>
      </c>
      <c r="I1767" s="6">
        <f>17136.19+40541.39</f>
        <v>57677.58</v>
      </c>
      <c r="J1767" s="6">
        <f>17136.19+40541.39</f>
        <v>57677.58</v>
      </c>
      <c r="K1767" s="37" t="s">
        <v>2650</v>
      </c>
      <c r="L1767" s="119"/>
      <c r="M1767" s="3"/>
    </row>
    <row r="1768" spans="1:13" s="4" customFormat="1" ht="14.25" customHeight="1" x14ac:dyDescent="0.25">
      <c r="A1768" s="4" t="s">
        <v>3054</v>
      </c>
      <c r="B1768" s="4" t="s">
        <v>13</v>
      </c>
      <c r="C1768" s="4" t="s">
        <v>14</v>
      </c>
      <c r="D1768" s="90">
        <v>11368</v>
      </c>
      <c r="E1768" s="4" t="s">
        <v>3054</v>
      </c>
      <c r="F1768" s="5">
        <v>40695</v>
      </c>
      <c r="G1768" s="5">
        <v>40908</v>
      </c>
      <c r="H1768" s="4" t="s">
        <v>2039</v>
      </c>
      <c r="I1768" s="6">
        <f>14302.12+77506.9</f>
        <v>91809.01999999999</v>
      </c>
      <c r="J1768" s="6">
        <f>14302.12+77506.9</f>
        <v>91809.01999999999</v>
      </c>
      <c r="K1768" s="37" t="s">
        <v>2650</v>
      </c>
      <c r="L1768" s="119"/>
      <c r="M1768" s="3"/>
    </row>
    <row r="1769" spans="1:13" s="4" customFormat="1" ht="14.25" customHeight="1" x14ac:dyDescent="0.25">
      <c r="A1769" s="4" t="s">
        <v>3055</v>
      </c>
      <c r="B1769" s="4" t="s">
        <v>13</v>
      </c>
      <c r="C1769" s="4" t="s">
        <v>14</v>
      </c>
      <c r="D1769" s="90">
        <v>11369</v>
      </c>
      <c r="E1769" s="4" t="s">
        <v>3055</v>
      </c>
      <c r="F1769" s="5">
        <v>40634</v>
      </c>
      <c r="G1769" s="5">
        <v>40908</v>
      </c>
      <c r="H1769" s="4" t="s">
        <v>2039</v>
      </c>
      <c r="I1769" s="6">
        <f>841.25+60952</f>
        <v>61793.25</v>
      </c>
      <c r="J1769" s="6">
        <f>841.25+60952</f>
        <v>61793.25</v>
      </c>
      <c r="K1769" s="37" t="s">
        <v>2650</v>
      </c>
      <c r="L1769" s="119"/>
    </row>
    <row r="1770" spans="1:13" s="4" customFormat="1" ht="14.25" customHeight="1" x14ac:dyDescent="0.25">
      <c r="A1770" s="4" t="s">
        <v>3056</v>
      </c>
      <c r="B1770" s="4" t="s">
        <v>13</v>
      </c>
      <c r="C1770" s="4" t="s">
        <v>14</v>
      </c>
      <c r="D1770" s="35">
        <v>11579</v>
      </c>
      <c r="E1770" s="4" t="s">
        <v>3057</v>
      </c>
      <c r="F1770" s="5">
        <v>40544</v>
      </c>
      <c r="G1770" s="5">
        <v>40908</v>
      </c>
      <c r="H1770" s="4" t="s">
        <v>2039</v>
      </c>
      <c r="I1770" s="6">
        <f>72689.2-5.02</f>
        <v>72684.179999999993</v>
      </c>
      <c r="J1770" s="6">
        <f>72689.2-5.02</f>
        <v>72684.179999999993</v>
      </c>
      <c r="K1770" s="37" t="s">
        <v>2650</v>
      </c>
      <c r="L1770" s="119"/>
      <c r="M1770" s="3"/>
    </row>
    <row r="1771" spans="1:13" s="4" customFormat="1" ht="14.25" customHeight="1" x14ac:dyDescent="0.25">
      <c r="A1771" s="4" t="s">
        <v>3058</v>
      </c>
      <c r="B1771" s="4" t="s">
        <v>13</v>
      </c>
      <c r="C1771" s="4" t="s">
        <v>14</v>
      </c>
      <c r="D1771" s="35">
        <v>11580</v>
      </c>
      <c r="E1771" s="4" t="s">
        <v>3059</v>
      </c>
      <c r="F1771" s="5">
        <v>40634</v>
      </c>
      <c r="G1771" s="5">
        <v>40999</v>
      </c>
      <c r="H1771" s="4" t="s">
        <v>2039</v>
      </c>
      <c r="I1771" s="6">
        <f>27741.11+16953.98</f>
        <v>44695.09</v>
      </c>
      <c r="J1771" s="6">
        <f>27741.11+16953.98</f>
        <v>44695.09</v>
      </c>
      <c r="K1771" s="37" t="s">
        <v>2650</v>
      </c>
      <c r="L1771" s="119"/>
      <c r="M1771" s="3"/>
    </row>
    <row r="1772" spans="1:13" s="4" customFormat="1" ht="14.25" customHeight="1" x14ac:dyDescent="0.25">
      <c r="A1772" s="4" t="s">
        <v>3060</v>
      </c>
      <c r="B1772" s="4" t="s">
        <v>13</v>
      </c>
      <c r="C1772" s="4" t="s">
        <v>14</v>
      </c>
      <c r="D1772" s="35">
        <v>11581</v>
      </c>
      <c r="E1772" s="4" t="s">
        <v>3061</v>
      </c>
      <c r="F1772" s="5">
        <v>40664</v>
      </c>
      <c r="G1772" s="5">
        <v>41213</v>
      </c>
      <c r="H1772" s="4" t="s">
        <v>2039</v>
      </c>
      <c r="I1772" s="6">
        <f>9995.43+70270.5</f>
        <v>80265.929999999993</v>
      </c>
      <c r="J1772" s="6">
        <f>9995.43+70270.5</f>
        <v>80265.929999999993</v>
      </c>
      <c r="K1772" s="37" t="s">
        <v>2650</v>
      </c>
      <c r="L1772" s="119"/>
      <c r="M1772" s="3"/>
    </row>
    <row r="1773" spans="1:13" s="4" customFormat="1" ht="14.25" customHeight="1" x14ac:dyDescent="0.25">
      <c r="A1773" s="106" t="s">
        <v>11664</v>
      </c>
      <c r="B1773" s="4" t="s">
        <v>13</v>
      </c>
      <c r="C1773" s="4" t="s">
        <v>14</v>
      </c>
      <c r="D1773" s="35">
        <v>11582</v>
      </c>
      <c r="E1773" s="106" t="s">
        <v>11664</v>
      </c>
      <c r="F1773" s="5">
        <v>40786</v>
      </c>
      <c r="G1773" s="5">
        <v>41394</v>
      </c>
      <c r="H1773" s="4" t="s">
        <v>2039</v>
      </c>
      <c r="I1773" s="6">
        <f>29282.96+134081.83+47006.8</f>
        <v>210371.58999999997</v>
      </c>
      <c r="J1773" s="6">
        <f>29282.96+134081.83+47006.8</f>
        <v>210371.58999999997</v>
      </c>
      <c r="K1773" s="37" t="s">
        <v>2650</v>
      </c>
      <c r="L1773" s="119"/>
      <c r="M1773" s="3"/>
    </row>
    <row r="1774" spans="1:13" s="4" customFormat="1" ht="14.25" customHeight="1" x14ac:dyDescent="0.25">
      <c r="A1774" s="4" t="s">
        <v>3064</v>
      </c>
      <c r="B1774" s="4" t="s">
        <v>13</v>
      </c>
      <c r="C1774" s="4" t="s">
        <v>14</v>
      </c>
      <c r="D1774" s="35">
        <v>11583</v>
      </c>
      <c r="E1774" s="4" t="s">
        <v>3065</v>
      </c>
      <c r="F1774" s="5">
        <v>40787</v>
      </c>
      <c r="G1774" s="5">
        <v>41455</v>
      </c>
      <c r="H1774" s="4" t="s">
        <v>2039</v>
      </c>
      <c r="I1774" s="6">
        <f>6118.69+106683.89+70137.58</f>
        <v>182940.16</v>
      </c>
      <c r="J1774" s="6">
        <f>6118.69+106683.89+70137.58</f>
        <v>182940.16</v>
      </c>
      <c r="K1774" s="37" t="s">
        <v>2650</v>
      </c>
      <c r="L1774" s="119"/>
    </row>
    <row r="1775" spans="1:13" s="4" customFormat="1" ht="14.25" customHeight="1" x14ac:dyDescent="0.25">
      <c r="A1775" s="4" t="s">
        <v>3066</v>
      </c>
      <c r="B1775" s="4" t="s">
        <v>13</v>
      </c>
      <c r="C1775" s="4" t="s">
        <v>14</v>
      </c>
      <c r="D1775" s="35">
        <v>12005</v>
      </c>
      <c r="E1775" s="4" t="s">
        <v>3067</v>
      </c>
      <c r="F1775" s="5">
        <v>40805</v>
      </c>
      <c r="G1775" s="5">
        <v>40895</v>
      </c>
      <c r="H1775" s="4" t="s">
        <v>2039</v>
      </c>
      <c r="I1775" s="6">
        <v>9000</v>
      </c>
      <c r="J1775" s="6">
        <v>9000</v>
      </c>
      <c r="K1775" s="37" t="s">
        <v>2650</v>
      </c>
      <c r="L1775" s="119"/>
      <c r="M1775" s="3"/>
    </row>
    <row r="1776" spans="1:13" s="32" customFormat="1" ht="14.25" customHeight="1" x14ac:dyDescent="0.25">
      <c r="A1776" s="13" t="s">
        <v>11428</v>
      </c>
      <c r="B1776" s="32" t="s">
        <v>13</v>
      </c>
      <c r="C1776" s="32" t="s">
        <v>14</v>
      </c>
      <c r="D1776" s="33">
        <v>12918</v>
      </c>
      <c r="E1776" s="13" t="s">
        <v>11428</v>
      </c>
      <c r="F1776" s="34">
        <v>40756</v>
      </c>
      <c r="G1776" s="34">
        <v>41487</v>
      </c>
      <c r="H1776" s="4" t="s">
        <v>2039</v>
      </c>
      <c r="I1776" s="94">
        <f>96665.48+72459.61</f>
        <v>169125.09</v>
      </c>
      <c r="J1776" s="94">
        <f>96665.48+72459.61</f>
        <v>169125.09</v>
      </c>
      <c r="K1776" s="38" t="s">
        <v>2650</v>
      </c>
      <c r="L1776" s="119"/>
    </row>
    <row r="1777" spans="1:12" s="32" customFormat="1" ht="14.25" customHeight="1" x14ac:dyDescent="0.25">
      <c r="A1777" s="13" t="s">
        <v>11429</v>
      </c>
      <c r="B1777" s="32" t="s">
        <v>13</v>
      </c>
      <c r="C1777" s="32" t="s">
        <v>14</v>
      </c>
      <c r="D1777" s="33">
        <v>12919</v>
      </c>
      <c r="E1777" s="13" t="s">
        <v>11430</v>
      </c>
      <c r="F1777" s="34">
        <v>40787</v>
      </c>
      <c r="G1777" s="34">
        <v>42218</v>
      </c>
      <c r="H1777" s="4" t="s">
        <v>2039</v>
      </c>
      <c r="I1777" s="94">
        <f>64350.55+47235.19</f>
        <v>111585.74</v>
      </c>
      <c r="J1777" s="94">
        <f>64350.55+47235.19</f>
        <v>111585.74</v>
      </c>
      <c r="K1777" s="38" t="s">
        <v>2650</v>
      </c>
      <c r="L1777" s="119"/>
    </row>
    <row r="1778" spans="1:12" s="32" customFormat="1" ht="14.25" customHeight="1" x14ac:dyDescent="0.25">
      <c r="A1778" s="13" t="s">
        <v>11431</v>
      </c>
      <c r="B1778" s="32" t="s">
        <v>13</v>
      </c>
      <c r="C1778" s="32" t="s">
        <v>14</v>
      </c>
      <c r="D1778" s="33">
        <v>12920</v>
      </c>
      <c r="E1778" s="13" t="s">
        <v>11431</v>
      </c>
      <c r="F1778" s="34">
        <v>40878</v>
      </c>
      <c r="G1778" s="34">
        <v>41852</v>
      </c>
      <c r="H1778" s="4" t="s">
        <v>2039</v>
      </c>
      <c r="I1778" s="94">
        <f>103749.68+179826</f>
        <v>283575.67999999999</v>
      </c>
      <c r="J1778" s="94">
        <f>103749.68+179826</f>
        <v>283575.67999999999</v>
      </c>
      <c r="K1778" s="38" t="s">
        <v>2650</v>
      </c>
      <c r="L1778" s="119"/>
    </row>
    <row r="1779" spans="1:12" s="32" customFormat="1" ht="14.25" customHeight="1" x14ac:dyDescent="0.25">
      <c r="A1779" s="13" t="s">
        <v>11432</v>
      </c>
      <c r="B1779" s="32" t="s">
        <v>13</v>
      </c>
      <c r="C1779" s="32" t="s">
        <v>14</v>
      </c>
      <c r="D1779" s="33">
        <v>12921</v>
      </c>
      <c r="E1779" s="13" t="s">
        <v>11432</v>
      </c>
      <c r="F1779" s="34">
        <v>40861</v>
      </c>
      <c r="G1779" s="34">
        <v>41227</v>
      </c>
      <c r="H1779" s="4" t="s">
        <v>2039</v>
      </c>
      <c r="I1779" s="94">
        <v>50402.05</v>
      </c>
      <c r="J1779" s="94">
        <v>50402.05</v>
      </c>
      <c r="K1779" s="38" t="s">
        <v>2650</v>
      </c>
      <c r="L1779" s="119"/>
    </row>
    <row r="1780" spans="1:12" s="32" customFormat="1" ht="14.25" customHeight="1" x14ac:dyDescent="0.25">
      <c r="A1780" s="13" t="s">
        <v>11433</v>
      </c>
      <c r="B1780" s="32" t="s">
        <v>13</v>
      </c>
      <c r="C1780" s="32" t="s">
        <v>14</v>
      </c>
      <c r="D1780" s="33">
        <v>12922</v>
      </c>
      <c r="E1780" s="13" t="s">
        <v>11434</v>
      </c>
      <c r="F1780" s="34">
        <v>40940</v>
      </c>
      <c r="G1780" s="34">
        <v>41882</v>
      </c>
      <c r="H1780" s="4" t="s">
        <v>2039</v>
      </c>
      <c r="I1780" s="94">
        <f>48595.93+34251.11</f>
        <v>82847.040000000008</v>
      </c>
      <c r="J1780" s="94">
        <f>48595.93+34251.11</f>
        <v>82847.040000000008</v>
      </c>
      <c r="K1780" s="38" t="s">
        <v>2650</v>
      </c>
      <c r="L1780" s="119"/>
    </row>
    <row r="1781" spans="1:12" s="32" customFormat="1" ht="14.25" customHeight="1" x14ac:dyDescent="0.25">
      <c r="A1781" s="13" t="s">
        <v>11435</v>
      </c>
      <c r="B1781" s="32" t="s">
        <v>13</v>
      </c>
      <c r="C1781" s="32" t="s">
        <v>14</v>
      </c>
      <c r="D1781" s="33">
        <v>12923</v>
      </c>
      <c r="E1781" s="13" t="s">
        <v>11436</v>
      </c>
      <c r="F1781" s="34">
        <v>40924</v>
      </c>
      <c r="G1781" s="34">
        <v>41836</v>
      </c>
      <c r="H1781" s="4" t="s">
        <v>2039</v>
      </c>
      <c r="I1781" s="94">
        <f>28240.62+16912.66</f>
        <v>45153.279999999999</v>
      </c>
      <c r="J1781" s="94">
        <f>28240.62+16912.66</f>
        <v>45153.279999999999</v>
      </c>
      <c r="K1781" s="38" t="s">
        <v>2650</v>
      </c>
      <c r="L1781" s="119"/>
    </row>
    <row r="1782" spans="1:12" s="32" customFormat="1" ht="14.25" customHeight="1" x14ac:dyDescent="0.25">
      <c r="A1782" s="13" t="s">
        <v>11437</v>
      </c>
      <c r="B1782" s="32" t="s">
        <v>13</v>
      </c>
      <c r="C1782" s="32" t="s">
        <v>14</v>
      </c>
      <c r="D1782" s="33">
        <v>12924</v>
      </c>
      <c r="E1782" s="13" t="s">
        <v>11438</v>
      </c>
      <c r="F1782" s="34">
        <v>41153</v>
      </c>
      <c r="G1782" s="34">
        <v>42154</v>
      </c>
      <c r="H1782" s="4" t="s">
        <v>2039</v>
      </c>
      <c r="I1782" s="94">
        <f>13913.45+49620.28</f>
        <v>63533.729999999996</v>
      </c>
      <c r="J1782" s="94">
        <f>13913.45+49620.28</f>
        <v>63533.729999999996</v>
      </c>
      <c r="K1782" s="38" t="s">
        <v>2650</v>
      </c>
      <c r="L1782" s="119"/>
    </row>
    <row r="1783" spans="1:12" s="32" customFormat="1" ht="14.25" customHeight="1" x14ac:dyDescent="0.25">
      <c r="A1783" s="13" t="s">
        <v>11439</v>
      </c>
      <c r="B1783" s="32" t="s">
        <v>13</v>
      </c>
      <c r="C1783" s="32" t="s">
        <v>14</v>
      </c>
      <c r="D1783" s="33">
        <v>12925</v>
      </c>
      <c r="E1783" s="13" t="s">
        <v>11440</v>
      </c>
      <c r="F1783" s="34">
        <v>41106</v>
      </c>
      <c r="G1783" s="34">
        <v>41851</v>
      </c>
      <c r="H1783" s="4" t="s">
        <v>2039</v>
      </c>
      <c r="I1783" s="94">
        <f>37301.83+106778.34</f>
        <v>144080.16999999998</v>
      </c>
      <c r="J1783" s="94">
        <f>37301.83+106778.34</f>
        <v>144080.16999999998</v>
      </c>
      <c r="K1783" s="38" t="s">
        <v>2650</v>
      </c>
      <c r="L1783" s="119"/>
    </row>
    <row r="1784" spans="1:12" s="32" customFormat="1" ht="14.25" customHeight="1" x14ac:dyDescent="0.25">
      <c r="A1784" s="13" t="s">
        <v>11441</v>
      </c>
      <c r="B1784" s="32" t="s">
        <v>13</v>
      </c>
      <c r="C1784" s="32" t="s">
        <v>14</v>
      </c>
      <c r="D1784" s="33">
        <v>12926</v>
      </c>
      <c r="E1784" s="13" t="s">
        <v>11442</v>
      </c>
      <c r="F1784" s="34">
        <v>41091</v>
      </c>
      <c r="G1784" s="34">
        <v>41881</v>
      </c>
      <c r="H1784" s="4" t="s">
        <v>2039</v>
      </c>
      <c r="I1784" s="94">
        <f>27509+76462.2</f>
        <v>103971.2</v>
      </c>
      <c r="J1784" s="94">
        <f>27509+76462.2</f>
        <v>103971.2</v>
      </c>
      <c r="K1784" s="38" t="s">
        <v>2650</v>
      </c>
      <c r="L1784" s="119"/>
    </row>
    <row r="1785" spans="1:12" s="32" customFormat="1" ht="14.25" customHeight="1" x14ac:dyDescent="0.25">
      <c r="A1785" s="13" t="s">
        <v>11443</v>
      </c>
      <c r="B1785" s="32" t="s">
        <v>13</v>
      </c>
      <c r="C1785" s="32" t="s">
        <v>14</v>
      </c>
      <c r="D1785" s="33">
        <v>12927</v>
      </c>
      <c r="E1785" s="13" t="s">
        <v>11443</v>
      </c>
      <c r="F1785" s="34">
        <v>41091</v>
      </c>
      <c r="G1785" s="34">
        <v>41578</v>
      </c>
      <c r="H1785" s="4" t="s">
        <v>2039</v>
      </c>
      <c r="I1785" s="94">
        <f>17013.55+48276.05</f>
        <v>65289.600000000006</v>
      </c>
      <c r="J1785" s="94">
        <f>17013.55+48276.05</f>
        <v>65289.600000000006</v>
      </c>
      <c r="K1785" s="38" t="s">
        <v>2650</v>
      </c>
      <c r="L1785" s="119"/>
    </row>
    <row r="1786" spans="1:12" s="32" customFormat="1" ht="14.25" customHeight="1" x14ac:dyDescent="0.25">
      <c r="A1786" s="13" t="s">
        <v>11444</v>
      </c>
      <c r="B1786" s="32" t="s">
        <v>13</v>
      </c>
      <c r="C1786" s="32" t="s">
        <v>14</v>
      </c>
      <c r="D1786" s="33">
        <v>12928</v>
      </c>
      <c r="E1786" s="13" t="s">
        <v>11445</v>
      </c>
      <c r="F1786" s="34">
        <v>41092</v>
      </c>
      <c r="G1786" s="34">
        <v>41549</v>
      </c>
      <c r="H1786" s="4" t="s">
        <v>2039</v>
      </c>
      <c r="I1786" s="94">
        <f>16728.81+36855.36</f>
        <v>53584.17</v>
      </c>
      <c r="J1786" s="94">
        <f>16728.81+36855.36</f>
        <v>53584.17</v>
      </c>
      <c r="K1786" s="38" t="s">
        <v>2650</v>
      </c>
      <c r="L1786" s="119"/>
    </row>
    <row r="1787" spans="1:12" s="32" customFormat="1" ht="14.25" customHeight="1" x14ac:dyDescent="0.25">
      <c r="A1787" s="13" t="s">
        <v>11446</v>
      </c>
      <c r="B1787" s="32" t="s">
        <v>13</v>
      </c>
      <c r="C1787" s="32" t="s">
        <v>14</v>
      </c>
      <c r="D1787" s="33">
        <v>12929</v>
      </c>
      <c r="E1787" s="13" t="s">
        <v>11446</v>
      </c>
      <c r="F1787" s="34">
        <v>41122</v>
      </c>
      <c r="G1787" s="34">
        <v>41486</v>
      </c>
      <c r="H1787" s="4" t="s">
        <v>2039</v>
      </c>
      <c r="I1787" s="94">
        <f>19719.42+50166.52</f>
        <v>69885.94</v>
      </c>
      <c r="J1787" s="94">
        <f>19719.42+50166.52</f>
        <v>69885.94</v>
      </c>
      <c r="K1787" s="38" t="s">
        <v>2650</v>
      </c>
      <c r="L1787" s="119"/>
    </row>
    <row r="1788" spans="1:12" s="32" customFormat="1" ht="14.25" customHeight="1" x14ac:dyDescent="0.25">
      <c r="A1788" s="13" t="s">
        <v>11447</v>
      </c>
      <c r="B1788" s="32" t="s">
        <v>13</v>
      </c>
      <c r="C1788" s="32" t="s">
        <v>14</v>
      </c>
      <c r="D1788" s="33">
        <v>12930</v>
      </c>
      <c r="E1788" s="13" t="s">
        <v>11447</v>
      </c>
      <c r="F1788" s="34">
        <v>41153</v>
      </c>
      <c r="G1788" s="34">
        <v>41698</v>
      </c>
      <c r="H1788" s="4" t="s">
        <v>2039</v>
      </c>
      <c r="I1788" s="94">
        <f>6962.04+57332.8</f>
        <v>64294.840000000004</v>
      </c>
      <c r="J1788" s="94">
        <f>6962.04+57332.8</f>
        <v>64294.840000000004</v>
      </c>
      <c r="K1788" s="38" t="s">
        <v>2650</v>
      </c>
      <c r="L1788" s="119"/>
    </row>
    <row r="1789" spans="1:12" s="32" customFormat="1" ht="14.25" customHeight="1" x14ac:dyDescent="0.25">
      <c r="A1789" s="13" t="s">
        <v>11448</v>
      </c>
      <c r="B1789" s="32" t="s">
        <v>13</v>
      </c>
      <c r="C1789" s="32" t="s">
        <v>14</v>
      </c>
      <c r="D1789" s="33">
        <v>12931</v>
      </c>
      <c r="E1789" s="13" t="s">
        <v>11448</v>
      </c>
      <c r="F1789" s="34">
        <v>41197</v>
      </c>
      <c r="G1789" s="34">
        <v>41274</v>
      </c>
      <c r="H1789" s="4" t="s">
        <v>2039</v>
      </c>
      <c r="I1789" s="94">
        <f>13121.95+90253.98</f>
        <v>103375.93</v>
      </c>
      <c r="J1789" s="94">
        <f>13121.95+90253.98</f>
        <v>103375.93</v>
      </c>
      <c r="K1789" s="38" t="s">
        <v>2650</v>
      </c>
      <c r="L1789" s="119"/>
    </row>
    <row r="1790" spans="1:12" s="32" customFormat="1" ht="14.25" customHeight="1" x14ac:dyDescent="0.25">
      <c r="A1790" s="13" t="s">
        <v>11449</v>
      </c>
      <c r="B1790" s="32" t="s">
        <v>13</v>
      </c>
      <c r="C1790" s="32" t="s">
        <v>14</v>
      </c>
      <c r="D1790" s="33">
        <v>12958</v>
      </c>
      <c r="E1790" s="13" t="s">
        <v>11449</v>
      </c>
      <c r="F1790" s="34">
        <v>40756</v>
      </c>
      <c r="G1790" s="34">
        <v>41364</v>
      </c>
      <c r="H1790" s="4" t="s">
        <v>2039</v>
      </c>
      <c r="I1790" s="94">
        <v>55536.5</v>
      </c>
      <c r="J1790" s="94">
        <v>55536.5</v>
      </c>
      <c r="K1790" s="38" t="s">
        <v>2650</v>
      </c>
      <c r="L1790" s="119"/>
    </row>
    <row r="1791" spans="1:12" s="32" customFormat="1" ht="14.25" customHeight="1" x14ac:dyDescent="0.25">
      <c r="A1791" s="13" t="s">
        <v>11450</v>
      </c>
      <c r="B1791" s="32" t="s">
        <v>13</v>
      </c>
      <c r="C1791" s="32" t="s">
        <v>14</v>
      </c>
      <c r="D1791" s="33">
        <v>12959</v>
      </c>
      <c r="E1791" s="13" t="s">
        <v>11450</v>
      </c>
      <c r="F1791" s="34">
        <v>40787</v>
      </c>
      <c r="G1791" s="34">
        <v>41944</v>
      </c>
      <c r="H1791" s="4" t="s">
        <v>2039</v>
      </c>
      <c r="I1791" s="94">
        <v>43743.29</v>
      </c>
      <c r="J1791" s="94">
        <v>43743.29</v>
      </c>
      <c r="K1791" s="38" t="s">
        <v>2650</v>
      </c>
      <c r="L1791" s="119"/>
    </row>
    <row r="1792" spans="1:12" s="32" customFormat="1" ht="14.25" customHeight="1" x14ac:dyDescent="0.25">
      <c r="A1792" s="13" t="s">
        <v>11451</v>
      </c>
      <c r="B1792" s="32" t="s">
        <v>13</v>
      </c>
      <c r="C1792" s="32" t="s">
        <v>14</v>
      </c>
      <c r="D1792" s="33">
        <v>12960</v>
      </c>
      <c r="E1792" s="13" t="s">
        <v>11451</v>
      </c>
      <c r="F1792" s="34">
        <v>40787</v>
      </c>
      <c r="G1792" s="34">
        <v>41534</v>
      </c>
      <c r="H1792" s="4" t="s">
        <v>2039</v>
      </c>
      <c r="I1792" s="94">
        <f>13936.04+49989.83-1743.66</f>
        <v>62182.21</v>
      </c>
      <c r="J1792" s="94">
        <f>13936.04+49989.83-1743.66</f>
        <v>62182.21</v>
      </c>
      <c r="K1792" s="38" t="s">
        <v>2650</v>
      </c>
      <c r="L1792" s="119"/>
    </row>
    <row r="1793" spans="1:12" s="32" customFormat="1" ht="14.25" customHeight="1" x14ac:dyDescent="0.25">
      <c r="A1793" s="13" t="s">
        <v>11452</v>
      </c>
      <c r="B1793" s="32" t="s">
        <v>13</v>
      </c>
      <c r="C1793" s="32" t="s">
        <v>14</v>
      </c>
      <c r="D1793" s="33">
        <v>12961</v>
      </c>
      <c r="E1793" s="13" t="s">
        <v>11452</v>
      </c>
      <c r="F1793" s="34">
        <v>40756</v>
      </c>
      <c r="G1793" s="34">
        <v>41122</v>
      </c>
      <c r="H1793" s="4" t="s">
        <v>2039</v>
      </c>
      <c r="I1793" s="94">
        <v>52127.47</v>
      </c>
      <c r="J1793" s="94">
        <v>52127.47</v>
      </c>
      <c r="K1793" s="38" t="s">
        <v>2650</v>
      </c>
      <c r="L1793" s="119"/>
    </row>
    <row r="1794" spans="1:12" s="32" customFormat="1" ht="14.25" customHeight="1" x14ac:dyDescent="0.25">
      <c r="A1794" s="13" t="s">
        <v>11453</v>
      </c>
      <c r="B1794" s="32" t="s">
        <v>13</v>
      </c>
      <c r="C1794" s="32" t="s">
        <v>14</v>
      </c>
      <c r="D1794" s="33">
        <v>12962</v>
      </c>
      <c r="E1794" s="13" t="s">
        <v>11453</v>
      </c>
      <c r="F1794" s="34">
        <v>40938</v>
      </c>
      <c r="G1794" s="34">
        <v>41397</v>
      </c>
      <c r="H1794" s="4" t="s">
        <v>2039</v>
      </c>
      <c r="I1794" s="94">
        <v>32001.17</v>
      </c>
      <c r="J1794" s="94">
        <v>32001.17</v>
      </c>
      <c r="K1794" s="38" t="s">
        <v>2650</v>
      </c>
      <c r="L1794" s="119"/>
    </row>
    <row r="1795" spans="1:12" s="32" customFormat="1" ht="14.25" customHeight="1" x14ac:dyDescent="0.25">
      <c r="A1795" s="13" t="s">
        <v>11454</v>
      </c>
      <c r="B1795" s="32" t="s">
        <v>13</v>
      </c>
      <c r="C1795" s="32" t="s">
        <v>14</v>
      </c>
      <c r="D1795" s="33">
        <v>12963</v>
      </c>
      <c r="E1795" s="13" t="s">
        <v>11454</v>
      </c>
      <c r="F1795" s="34">
        <v>40924</v>
      </c>
      <c r="G1795" s="34">
        <v>41655</v>
      </c>
      <c r="H1795" s="4" t="s">
        <v>2039</v>
      </c>
      <c r="I1795" s="94">
        <f>132930.61+149879.08</f>
        <v>282809.68999999994</v>
      </c>
      <c r="J1795" s="94">
        <f>132930.61+149879.08</f>
        <v>282809.68999999994</v>
      </c>
      <c r="K1795" s="38" t="s">
        <v>2650</v>
      </c>
      <c r="L1795" s="119"/>
    </row>
    <row r="1796" spans="1:12" s="32" customFormat="1" ht="14.25" customHeight="1" x14ac:dyDescent="0.25">
      <c r="A1796" s="13" t="s">
        <v>11455</v>
      </c>
      <c r="B1796" s="32" t="s">
        <v>13</v>
      </c>
      <c r="C1796" s="32" t="s">
        <v>14</v>
      </c>
      <c r="D1796" s="33">
        <v>12964</v>
      </c>
      <c r="E1796" s="13" t="s">
        <v>11455</v>
      </c>
      <c r="F1796" s="34">
        <v>40909</v>
      </c>
      <c r="G1796" s="34">
        <v>41275</v>
      </c>
      <c r="H1796" s="4" t="s">
        <v>2039</v>
      </c>
      <c r="I1796" s="94">
        <v>79075.45</v>
      </c>
      <c r="J1796" s="94">
        <v>79075.45</v>
      </c>
      <c r="K1796" s="38" t="s">
        <v>2650</v>
      </c>
      <c r="L1796" s="119"/>
    </row>
    <row r="1797" spans="1:12" s="32" customFormat="1" ht="14.25" customHeight="1" x14ac:dyDescent="0.25">
      <c r="A1797" s="13" t="s">
        <v>11456</v>
      </c>
      <c r="B1797" s="32" t="s">
        <v>13</v>
      </c>
      <c r="C1797" s="32" t="s">
        <v>14</v>
      </c>
      <c r="D1797" s="33">
        <v>12965</v>
      </c>
      <c r="E1797" s="13" t="s">
        <v>11456</v>
      </c>
      <c r="F1797" s="34">
        <v>40909</v>
      </c>
      <c r="G1797" s="34">
        <v>41670</v>
      </c>
      <c r="H1797" s="4" t="s">
        <v>2039</v>
      </c>
      <c r="I1797" s="94">
        <f>62473.99+85736.57</f>
        <v>148210.56</v>
      </c>
      <c r="J1797" s="94">
        <f>62473.99+85736.57</f>
        <v>148210.56</v>
      </c>
      <c r="K1797" s="38" t="s">
        <v>2650</v>
      </c>
      <c r="L1797" s="119"/>
    </row>
    <row r="1798" spans="1:12" s="32" customFormat="1" ht="14.25" customHeight="1" x14ac:dyDescent="0.25">
      <c r="A1798" s="13" t="s">
        <v>11457</v>
      </c>
      <c r="B1798" s="32" t="s">
        <v>13</v>
      </c>
      <c r="C1798" s="32" t="s">
        <v>14</v>
      </c>
      <c r="D1798" s="33">
        <v>12966</v>
      </c>
      <c r="E1798" s="13" t="s">
        <v>11457</v>
      </c>
      <c r="F1798" s="34">
        <v>40909</v>
      </c>
      <c r="G1798" s="34">
        <v>41425</v>
      </c>
      <c r="H1798" s="4" t="s">
        <v>2039</v>
      </c>
      <c r="I1798" s="94">
        <v>48075.72</v>
      </c>
      <c r="J1798" s="94">
        <v>48075.72</v>
      </c>
      <c r="K1798" s="38" t="s">
        <v>2650</v>
      </c>
      <c r="L1798" s="119"/>
    </row>
    <row r="1799" spans="1:12" s="32" customFormat="1" ht="14.25" customHeight="1" x14ac:dyDescent="0.25">
      <c r="A1799" s="13" t="s">
        <v>11458</v>
      </c>
      <c r="B1799" s="32" t="s">
        <v>13</v>
      </c>
      <c r="C1799" s="32" t="s">
        <v>14</v>
      </c>
      <c r="D1799" s="33">
        <v>12967</v>
      </c>
      <c r="E1799" s="13" t="s">
        <v>11458</v>
      </c>
      <c r="F1799" s="34">
        <v>40940</v>
      </c>
      <c r="G1799" s="34">
        <v>41394</v>
      </c>
      <c r="H1799" s="4" t="s">
        <v>2039</v>
      </c>
      <c r="I1799" s="94">
        <f>103683.4+40500.93</f>
        <v>144184.32999999999</v>
      </c>
      <c r="J1799" s="94">
        <f>103683.4+40500.93</f>
        <v>144184.32999999999</v>
      </c>
      <c r="K1799" s="38" t="s">
        <v>2650</v>
      </c>
      <c r="L1799" s="119"/>
    </row>
    <row r="1800" spans="1:12" s="32" customFormat="1" ht="14.25" customHeight="1" x14ac:dyDescent="0.25">
      <c r="A1800" s="13" t="s">
        <v>11459</v>
      </c>
      <c r="B1800" s="32" t="s">
        <v>13</v>
      </c>
      <c r="C1800" s="32" t="s">
        <v>14</v>
      </c>
      <c r="D1800" s="33">
        <v>12968</v>
      </c>
      <c r="E1800" s="13" t="s">
        <v>11459</v>
      </c>
      <c r="F1800" s="34">
        <v>40969</v>
      </c>
      <c r="G1800" s="34">
        <v>41883</v>
      </c>
      <c r="H1800" s="4" t="s">
        <v>2039</v>
      </c>
      <c r="I1800" s="94">
        <f>18193.26+105994.54</f>
        <v>124187.79999999999</v>
      </c>
      <c r="J1800" s="94">
        <f>18193.26+105994.54</f>
        <v>124187.79999999999</v>
      </c>
      <c r="K1800" s="38" t="s">
        <v>2650</v>
      </c>
      <c r="L1800" s="119"/>
    </row>
    <row r="1801" spans="1:12" s="32" customFormat="1" ht="14.25" customHeight="1" x14ac:dyDescent="0.25">
      <c r="A1801" s="13" t="s">
        <v>11460</v>
      </c>
      <c r="B1801" s="32" t="s">
        <v>13</v>
      </c>
      <c r="C1801" s="32" t="s">
        <v>14</v>
      </c>
      <c r="D1801" s="33">
        <v>12969</v>
      </c>
      <c r="E1801" s="13" t="s">
        <v>11460</v>
      </c>
      <c r="F1801" s="34">
        <v>41061</v>
      </c>
      <c r="G1801" s="34">
        <v>41426</v>
      </c>
      <c r="H1801" s="4" t="s">
        <v>2039</v>
      </c>
      <c r="I1801" s="94">
        <f>31641.88+30980.69</f>
        <v>62622.57</v>
      </c>
      <c r="J1801" s="94">
        <f>31641.88+30980.69</f>
        <v>62622.57</v>
      </c>
      <c r="K1801" s="38" t="s">
        <v>2650</v>
      </c>
      <c r="L1801" s="119"/>
    </row>
    <row r="1802" spans="1:12" s="32" customFormat="1" ht="14.25" customHeight="1" x14ac:dyDescent="0.25">
      <c r="A1802" s="13" t="s">
        <v>11461</v>
      </c>
      <c r="B1802" s="32" t="s">
        <v>13</v>
      </c>
      <c r="C1802" s="32" t="s">
        <v>14</v>
      </c>
      <c r="D1802" s="33">
        <v>12970</v>
      </c>
      <c r="E1802" s="13" t="s">
        <v>11461</v>
      </c>
      <c r="F1802" s="34">
        <v>41054</v>
      </c>
      <c r="G1802" s="34">
        <v>41419</v>
      </c>
      <c r="H1802" s="4" t="s">
        <v>2039</v>
      </c>
      <c r="I1802" s="94">
        <f>45989.77+32544.84</f>
        <v>78534.61</v>
      </c>
      <c r="J1802" s="94">
        <f>45989.77+32544.84</f>
        <v>78534.61</v>
      </c>
      <c r="K1802" s="38" t="s">
        <v>2650</v>
      </c>
      <c r="L1802" s="119"/>
    </row>
    <row r="1803" spans="1:12" s="32" customFormat="1" ht="14.25" customHeight="1" x14ac:dyDescent="0.25">
      <c r="A1803" s="13" t="s">
        <v>11462</v>
      </c>
      <c r="B1803" s="32" t="s">
        <v>13</v>
      </c>
      <c r="C1803" s="32" t="s">
        <v>14</v>
      </c>
      <c r="D1803" s="33">
        <v>12971</v>
      </c>
      <c r="E1803" s="13" t="s">
        <v>11462</v>
      </c>
      <c r="F1803" s="34">
        <v>41091</v>
      </c>
      <c r="G1803" s="34">
        <v>41456</v>
      </c>
      <c r="H1803" s="4" t="s">
        <v>2039</v>
      </c>
      <c r="I1803" s="94">
        <f>81117.81-276.48</f>
        <v>80841.33</v>
      </c>
      <c r="J1803" s="94">
        <f>81117.81-276.48</f>
        <v>80841.33</v>
      </c>
      <c r="K1803" s="38" t="s">
        <v>2650</v>
      </c>
      <c r="L1803" s="119"/>
    </row>
    <row r="1804" spans="1:12" s="32" customFormat="1" ht="14.25" customHeight="1" x14ac:dyDescent="0.25">
      <c r="A1804" s="13" t="s">
        <v>11463</v>
      </c>
      <c r="B1804" s="32" t="s">
        <v>13</v>
      </c>
      <c r="C1804" s="32" t="s">
        <v>14</v>
      </c>
      <c r="D1804" s="33">
        <v>12972</v>
      </c>
      <c r="E1804" s="13" t="s">
        <v>11463</v>
      </c>
      <c r="F1804" s="34">
        <v>41061</v>
      </c>
      <c r="G1804" s="34">
        <v>41426</v>
      </c>
      <c r="H1804" s="4" t="s">
        <v>2039</v>
      </c>
      <c r="I1804" s="94">
        <v>29619.66</v>
      </c>
      <c r="J1804" s="94">
        <v>29619.66</v>
      </c>
      <c r="K1804" s="38" t="s">
        <v>2650</v>
      </c>
      <c r="L1804" s="119"/>
    </row>
    <row r="1805" spans="1:12" s="32" customFormat="1" ht="14.25" customHeight="1" x14ac:dyDescent="0.25">
      <c r="A1805" s="13" t="s">
        <v>11464</v>
      </c>
      <c r="B1805" s="32" t="s">
        <v>13</v>
      </c>
      <c r="C1805" s="32" t="s">
        <v>14</v>
      </c>
      <c r="D1805" s="33">
        <v>12973</v>
      </c>
      <c r="E1805" s="13" t="s">
        <v>11464</v>
      </c>
      <c r="F1805" s="34">
        <v>41122</v>
      </c>
      <c r="G1805" s="34">
        <v>41487</v>
      </c>
      <c r="H1805" s="4" t="s">
        <v>2039</v>
      </c>
      <c r="I1805" s="94">
        <f>12794.41+46065.88</f>
        <v>58860.289999999994</v>
      </c>
      <c r="J1805" s="94">
        <f>12794.41+46065.88</f>
        <v>58860.289999999994</v>
      </c>
      <c r="K1805" s="38" t="s">
        <v>2650</v>
      </c>
      <c r="L1805" s="119"/>
    </row>
    <row r="1806" spans="1:12" s="32" customFormat="1" ht="14.25" customHeight="1" x14ac:dyDescent="0.25">
      <c r="A1806" s="13" t="s">
        <v>11465</v>
      </c>
      <c r="B1806" s="32" t="s">
        <v>13</v>
      </c>
      <c r="C1806" s="32" t="s">
        <v>14</v>
      </c>
      <c r="D1806" s="33">
        <v>12974</v>
      </c>
      <c r="E1806" s="13" t="s">
        <v>11465</v>
      </c>
      <c r="F1806" s="34">
        <v>41091</v>
      </c>
      <c r="G1806" s="34">
        <v>41685</v>
      </c>
      <c r="H1806" s="4" t="s">
        <v>2039</v>
      </c>
      <c r="I1806" s="94">
        <f>8878.6+50990.12</f>
        <v>59868.72</v>
      </c>
      <c r="J1806" s="94">
        <f>8878.6+50990.12</f>
        <v>59868.72</v>
      </c>
      <c r="K1806" s="38" t="s">
        <v>2650</v>
      </c>
      <c r="L1806" s="119"/>
    </row>
    <row r="1807" spans="1:12" s="32" customFormat="1" ht="14.25" customHeight="1" x14ac:dyDescent="0.25">
      <c r="A1807" s="13" t="s">
        <v>11466</v>
      </c>
      <c r="B1807" s="32" t="s">
        <v>13</v>
      </c>
      <c r="C1807" s="32" t="s">
        <v>14</v>
      </c>
      <c r="D1807" s="33">
        <v>12975</v>
      </c>
      <c r="E1807" s="13" t="s">
        <v>11466</v>
      </c>
      <c r="F1807" s="34">
        <v>41183</v>
      </c>
      <c r="G1807" s="34">
        <v>41365</v>
      </c>
      <c r="H1807" s="4" t="s">
        <v>2039</v>
      </c>
      <c r="I1807" s="94">
        <f>22024.01+25290.09</f>
        <v>47314.1</v>
      </c>
      <c r="J1807" s="94">
        <f>22024.01+25290.09</f>
        <v>47314.1</v>
      </c>
      <c r="K1807" s="38" t="s">
        <v>2650</v>
      </c>
      <c r="L1807" s="119"/>
    </row>
    <row r="1808" spans="1:12" s="32" customFormat="1" ht="14.25" customHeight="1" x14ac:dyDescent="0.25">
      <c r="A1808" s="13" t="s">
        <v>11467</v>
      </c>
      <c r="B1808" s="32" t="s">
        <v>13</v>
      </c>
      <c r="C1808" s="32" t="s">
        <v>14</v>
      </c>
      <c r="D1808" s="33">
        <v>12976</v>
      </c>
      <c r="E1808" s="13" t="s">
        <v>11467</v>
      </c>
      <c r="F1808" s="34">
        <v>41176</v>
      </c>
      <c r="G1808" s="34">
        <v>41906</v>
      </c>
      <c r="H1808" s="4" t="s">
        <v>2039</v>
      </c>
      <c r="I1808" s="94">
        <f>12729.57+225160.53</f>
        <v>237890.1</v>
      </c>
      <c r="J1808" s="94">
        <f>12729.57+225160.53</f>
        <v>237890.1</v>
      </c>
      <c r="K1808" s="38" t="s">
        <v>2650</v>
      </c>
      <c r="L1808" s="119"/>
    </row>
    <row r="1809" spans="1:14" s="32" customFormat="1" ht="14.25" customHeight="1" x14ac:dyDescent="0.25">
      <c r="A1809" s="13" t="s">
        <v>11468</v>
      </c>
      <c r="B1809" s="32" t="s">
        <v>13</v>
      </c>
      <c r="C1809" s="32" t="s">
        <v>14</v>
      </c>
      <c r="D1809" s="33">
        <v>12977</v>
      </c>
      <c r="E1809" s="13" t="s">
        <v>11468</v>
      </c>
      <c r="F1809" s="34">
        <v>41183</v>
      </c>
      <c r="G1809" s="34">
        <v>41730</v>
      </c>
      <c r="H1809" s="4" t="s">
        <v>2039</v>
      </c>
      <c r="I1809" s="94">
        <f>131.73+248857.04</f>
        <v>248988.77000000002</v>
      </c>
      <c r="J1809" s="94">
        <f>131.73+248857.04</f>
        <v>248988.77000000002</v>
      </c>
      <c r="K1809" s="38" t="s">
        <v>2650</v>
      </c>
      <c r="L1809" s="119"/>
    </row>
    <row r="1810" spans="1:14" s="32" customFormat="1" ht="14.25" customHeight="1" x14ac:dyDescent="0.25">
      <c r="A1810" s="13" t="s">
        <v>11496</v>
      </c>
      <c r="B1810" s="32" t="s">
        <v>13</v>
      </c>
      <c r="C1810" s="32" t="s">
        <v>14</v>
      </c>
      <c r="D1810" s="33">
        <v>13035</v>
      </c>
      <c r="E1810" s="13" t="s">
        <v>11497</v>
      </c>
      <c r="F1810" s="34">
        <v>41153</v>
      </c>
      <c r="G1810" s="34">
        <v>41699</v>
      </c>
      <c r="H1810" s="4" t="s">
        <v>2039</v>
      </c>
      <c r="I1810" s="94">
        <v>177.58</v>
      </c>
      <c r="J1810" s="94">
        <v>177.58</v>
      </c>
      <c r="K1810" s="38" t="s">
        <v>2650</v>
      </c>
      <c r="L1810" s="119"/>
    </row>
    <row r="1811" spans="1:14" s="32" customFormat="1" ht="14.25" customHeight="1" x14ac:dyDescent="0.25">
      <c r="A1811" s="13" t="s">
        <v>11498</v>
      </c>
      <c r="B1811" s="32" t="s">
        <v>13</v>
      </c>
      <c r="C1811" s="32" t="s">
        <v>14</v>
      </c>
      <c r="D1811" s="33">
        <v>13036</v>
      </c>
      <c r="E1811" s="13" t="s">
        <v>11499</v>
      </c>
      <c r="F1811" s="34">
        <v>41085</v>
      </c>
      <c r="G1811" s="34">
        <v>41388</v>
      </c>
      <c r="H1811" s="4" t="s">
        <v>2039</v>
      </c>
      <c r="I1811" s="94">
        <v>3135.92</v>
      </c>
      <c r="J1811" s="94">
        <v>3135.92</v>
      </c>
      <c r="K1811" s="38" t="s">
        <v>2650</v>
      </c>
      <c r="L1811" s="119"/>
    </row>
    <row r="1812" spans="1:14" s="21" customFormat="1" ht="14.25" customHeight="1" x14ac:dyDescent="0.25">
      <c r="A1812" s="4" t="s">
        <v>11500</v>
      </c>
      <c r="B1812" s="21" t="s">
        <v>13</v>
      </c>
      <c r="C1812" s="21" t="s">
        <v>14</v>
      </c>
      <c r="D1812" s="36">
        <v>13037</v>
      </c>
      <c r="E1812" s="4" t="s">
        <v>11501</v>
      </c>
      <c r="F1812" s="22">
        <v>41153</v>
      </c>
      <c r="G1812" s="22">
        <v>42154</v>
      </c>
      <c r="H1812" s="4" t="s">
        <v>2039</v>
      </c>
      <c r="I1812" s="23">
        <v>572.52</v>
      </c>
      <c r="J1812" s="23">
        <v>572.52</v>
      </c>
      <c r="K1812" s="39" t="s">
        <v>2650</v>
      </c>
      <c r="L1812" s="119"/>
      <c r="M1812" s="23"/>
    </row>
    <row r="1813" spans="1:14" s="21" customFormat="1" ht="14.25" customHeight="1" x14ac:dyDescent="0.25">
      <c r="A1813" s="4" t="s">
        <v>11502</v>
      </c>
      <c r="B1813" s="21" t="s">
        <v>13</v>
      </c>
      <c r="C1813" s="21" t="s">
        <v>14</v>
      </c>
      <c r="D1813" s="36">
        <v>13038</v>
      </c>
      <c r="E1813" s="4" t="s">
        <v>11503</v>
      </c>
      <c r="F1813" s="22">
        <v>40909</v>
      </c>
      <c r="G1813" s="22">
        <v>41425</v>
      </c>
      <c r="H1813" s="4" t="s">
        <v>2039</v>
      </c>
      <c r="I1813" s="23">
        <v>128063.97</v>
      </c>
      <c r="J1813" s="23">
        <v>128063.97</v>
      </c>
      <c r="K1813" s="39" t="s">
        <v>2650</v>
      </c>
      <c r="L1813" s="119"/>
      <c r="M1813" s="23"/>
    </row>
    <row r="1814" spans="1:14" s="21" customFormat="1" ht="14.25" customHeight="1" x14ac:dyDescent="0.25">
      <c r="A1814" s="4" t="s">
        <v>11504</v>
      </c>
      <c r="B1814" s="21" t="s">
        <v>13</v>
      </c>
      <c r="C1814" s="21" t="s">
        <v>14</v>
      </c>
      <c r="D1814" s="36">
        <v>13039</v>
      </c>
      <c r="E1814" s="4" t="s">
        <v>11505</v>
      </c>
      <c r="F1814" s="22">
        <v>40756</v>
      </c>
      <c r="G1814" s="22">
        <v>41228</v>
      </c>
      <c r="H1814" s="4" t="s">
        <v>2039</v>
      </c>
      <c r="I1814" s="23">
        <v>35459.339999999997</v>
      </c>
      <c r="J1814" s="23">
        <v>35459.339999999997</v>
      </c>
      <c r="K1814" s="39" t="s">
        <v>2650</v>
      </c>
      <c r="L1814" s="119"/>
    </row>
    <row r="1815" spans="1:14" s="21" customFormat="1" ht="14.25" customHeight="1" x14ac:dyDescent="0.25">
      <c r="A1815" s="4" t="s">
        <v>11441</v>
      </c>
      <c r="B1815" s="21" t="s">
        <v>13</v>
      </c>
      <c r="C1815" s="21" t="s">
        <v>14</v>
      </c>
      <c r="D1815" s="36">
        <v>13051</v>
      </c>
      <c r="E1815" s="4" t="s">
        <v>11612</v>
      </c>
      <c r="F1815" s="22">
        <v>41091</v>
      </c>
      <c r="G1815" s="22">
        <v>41881</v>
      </c>
      <c r="H1815" s="4" t="s">
        <v>2039</v>
      </c>
      <c r="I1815" s="23">
        <f>5829.04+32799.2</f>
        <v>38628.239999999998</v>
      </c>
      <c r="J1815" s="23">
        <f>5829.04+32799.2</f>
        <v>38628.239999999998</v>
      </c>
      <c r="K1815" s="39" t="s">
        <v>2650</v>
      </c>
      <c r="L1815" s="119"/>
    </row>
    <row r="1816" spans="1:14" s="21" customFormat="1" ht="14.25" customHeight="1" x14ac:dyDescent="0.25">
      <c r="A1816" s="4" t="s">
        <v>11388</v>
      </c>
      <c r="B1816" s="21" t="s">
        <v>13</v>
      </c>
      <c r="C1816" s="21" t="s">
        <v>14</v>
      </c>
      <c r="D1816" s="36">
        <v>13052</v>
      </c>
      <c r="E1816" s="4" t="s">
        <v>11389</v>
      </c>
      <c r="F1816" s="22">
        <v>41122</v>
      </c>
      <c r="G1816" s="22">
        <v>41486</v>
      </c>
      <c r="H1816" s="4" t="s">
        <v>2039</v>
      </c>
      <c r="I1816" s="23">
        <v>14615.23</v>
      </c>
      <c r="J1816" s="23">
        <v>14615.23</v>
      </c>
      <c r="K1816" s="39" t="s">
        <v>2650</v>
      </c>
      <c r="L1816" s="119"/>
    </row>
    <row r="1817" spans="1:14" s="4" customFormat="1" ht="14.25" customHeight="1" x14ac:dyDescent="0.25">
      <c r="A1817" s="99" t="s">
        <v>11689</v>
      </c>
      <c r="B1817" s="21" t="s">
        <v>13</v>
      </c>
      <c r="C1817" s="21" t="s">
        <v>14</v>
      </c>
      <c r="D1817" s="36">
        <v>13053</v>
      </c>
      <c r="E1817" s="99" t="s">
        <v>11689</v>
      </c>
      <c r="F1817" s="98">
        <v>41072</v>
      </c>
      <c r="G1817" s="97">
        <v>41436</v>
      </c>
      <c r="H1817" s="4" t="s">
        <v>2039</v>
      </c>
      <c r="I1817" s="17">
        <v>25650.22</v>
      </c>
      <c r="J1817" s="17">
        <v>25650.22</v>
      </c>
      <c r="K1817" s="39" t="s">
        <v>2650</v>
      </c>
      <c r="L1817" s="119"/>
    </row>
    <row r="1818" spans="1:14" s="21" customFormat="1" ht="14.25" customHeight="1" x14ac:dyDescent="0.25">
      <c r="A1818" s="4" t="s">
        <v>11390</v>
      </c>
      <c r="B1818" s="21" t="s">
        <v>13</v>
      </c>
      <c r="C1818" s="21" t="s">
        <v>14</v>
      </c>
      <c r="D1818" s="36">
        <v>13054</v>
      </c>
      <c r="E1818" s="4" t="s">
        <v>11390</v>
      </c>
      <c r="F1818" s="22">
        <v>41187</v>
      </c>
      <c r="G1818" s="22">
        <v>41551</v>
      </c>
      <c r="H1818" s="4" t="s">
        <v>2039</v>
      </c>
      <c r="I1818" s="23">
        <f>15218.92+71668.88</f>
        <v>86887.8</v>
      </c>
      <c r="J1818" s="23">
        <f>15218.92+71668.88</f>
        <v>86887.8</v>
      </c>
      <c r="K1818" s="39" t="s">
        <v>2650</v>
      </c>
      <c r="L1818" s="119"/>
      <c r="N1818" s="80"/>
    </row>
    <row r="1819" spans="1:14" s="21" customFormat="1" ht="14.25" customHeight="1" x14ac:dyDescent="0.25">
      <c r="A1819" s="4" t="s">
        <v>11391</v>
      </c>
      <c r="B1819" s="21" t="s">
        <v>13</v>
      </c>
      <c r="C1819" s="21" t="s">
        <v>14</v>
      </c>
      <c r="D1819" s="36">
        <v>13055</v>
      </c>
      <c r="E1819" s="4" t="s">
        <v>11391</v>
      </c>
      <c r="F1819" s="22">
        <v>41074</v>
      </c>
      <c r="G1819" s="22">
        <v>41121</v>
      </c>
      <c r="H1819" s="4" t="s">
        <v>2039</v>
      </c>
      <c r="I1819" s="23">
        <v>13000</v>
      </c>
      <c r="J1819" s="23">
        <v>13000</v>
      </c>
      <c r="K1819" s="39" t="s">
        <v>2650</v>
      </c>
      <c r="L1819" s="119"/>
    </row>
    <row r="1820" spans="1:14" s="21" customFormat="1" ht="14.25" customHeight="1" x14ac:dyDescent="0.25">
      <c r="A1820" s="4" t="s">
        <v>11613</v>
      </c>
      <c r="B1820" s="21" t="s">
        <v>13</v>
      </c>
      <c r="C1820" s="21" t="s">
        <v>14</v>
      </c>
      <c r="D1820" s="36">
        <v>13056</v>
      </c>
      <c r="E1820" s="4" t="s">
        <v>11613</v>
      </c>
      <c r="F1820" s="22">
        <v>41214</v>
      </c>
      <c r="G1820" s="22">
        <v>41547</v>
      </c>
      <c r="H1820" s="4" t="s">
        <v>2039</v>
      </c>
      <c r="I1820" s="23">
        <f>16432.79+120869.18</f>
        <v>137301.97</v>
      </c>
      <c r="J1820" s="23">
        <f>16432.79+120869.18</f>
        <v>137301.97</v>
      </c>
      <c r="K1820" s="39" t="s">
        <v>2650</v>
      </c>
      <c r="L1820" s="119"/>
    </row>
    <row r="1821" spans="1:14" s="21" customFormat="1" ht="14.25" customHeight="1" x14ac:dyDescent="0.25">
      <c r="A1821" s="4" t="s">
        <v>11392</v>
      </c>
      <c r="B1821" s="21" t="s">
        <v>13</v>
      </c>
      <c r="C1821" s="21" t="s">
        <v>14</v>
      </c>
      <c r="D1821" s="36">
        <v>13057</v>
      </c>
      <c r="E1821" s="4" t="s">
        <v>11392</v>
      </c>
      <c r="F1821" s="22">
        <v>41155</v>
      </c>
      <c r="G1821" s="22">
        <v>41516</v>
      </c>
      <c r="H1821" s="4" t="s">
        <v>2039</v>
      </c>
      <c r="I1821" s="23">
        <f>10296.56+78552.62</f>
        <v>88849.18</v>
      </c>
      <c r="J1821" s="23">
        <f>10296.56+78552.62</f>
        <v>88849.18</v>
      </c>
      <c r="K1821" s="39" t="s">
        <v>2650</v>
      </c>
      <c r="L1821" s="119"/>
    </row>
    <row r="1822" spans="1:14" s="21" customFormat="1" ht="14.25" customHeight="1" x14ac:dyDescent="0.25">
      <c r="A1822" s="4" t="s">
        <v>11393</v>
      </c>
      <c r="B1822" s="21" t="s">
        <v>13</v>
      </c>
      <c r="C1822" s="21" t="s">
        <v>14</v>
      </c>
      <c r="D1822" s="36">
        <v>13059</v>
      </c>
      <c r="E1822" s="4" t="s">
        <v>11393</v>
      </c>
      <c r="F1822" s="22">
        <v>41000</v>
      </c>
      <c r="G1822" s="22">
        <v>41364</v>
      </c>
      <c r="H1822" s="4" t="s">
        <v>2039</v>
      </c>
      <c r="I1822" s="23">
        <f>17693.09+32411.36</f>
        <v>50104.45</v>
      </c>
      <c r="J1822" s="23">
        <f>17693.09+32411.36</f>
        <v>50104.45</v>
      </c>
      <c r="K1822" s="39" t="s">
        <v>2650</v>
      </c>
      <c r="L1822" s="119"/>
    </row>
    <row r="1823" spans="1:14" s="4" customFormat="1" ht="14.25" customHeight="1" x14ac:dyDescent="0.25">
      <c r="A1823" s="99" t="s">
        <v>11687</v>
      </c>
      <c r="B1823" s="21" t="s">
        <v>13</v>
      </c>
      <c r="C1823" s="21" t="s">
        <v>14</v>
      </c>
      <c r="D1823" s="36">
        <v>13060</v>
      </c>
      <c r="E1823" s="108" t="s">
        <v>11688</v>
      </c>
      <c r="F1823" s="97">
        <v>41030</v>
      </c>
      <c r="G1823" s="98">
        <v>41578</v>
      </c>
      <c r="H1823" s="4" t="s">
        <v>2039</v>
      </c>
      <c r="I1823" s="17">
        <v>29819.64</v>
      </c>
      <c r="J1823" s="17">
        <v>29819.64</v>
      </c>
      <c r="K1823" s="39" t="s">
        <v>2650</v>
      </c>
      <c r="L1823" s="119"/>
    </row>
    <row r="1824" spans="1:14" s="21" customFormat="1" ht="14.25" customHeight="1" x14ac:dyDescent="0.25">
      <c r="A1824" s="4" t="s">
        <v>11394</v>
      </c>
      <c r="B1824" s="21" t="s">
        <v>13</v>
      </c>
      <c r="C1824" s="21" t="s">
        <v>14</v>
      </c>
      <c r="D1824" s="36">
        <v>13062</v>
      </c>
      <c r="E1824" s="4" t="s">
        <v>11394</v>
      </c>
      <c r="F1824" s="22">
        <v>41169</v>
      </c>
      <c r="G1824" s="22">
        <v>42095</v>
      </c>
      <c r="H1824" s="4" t="s">
        <v>2039</v>
      </c>
      <c r="I1824" s="23">
        <f>10510.36+228244.1</f>
        <v>238754.46000000002</v>
      </c>
      <c r="J1824" s="23">
        <f>10510.36+228244.1</f>
        <v>238754.46000000002</v>
      </c>
      <c r="K1824" s="39" t="s">
        <v>2650</v>
      </c>
      <c r="L1824" s="119"/>
    </row>
    <row r="1825" spans="1:12" s="21" customFormat="1" ht="14.25" customHeight="1" x14ac:dyDescent="0.25">
      <c r="A1825" s="109" t="s">
        <v>11707</v>
      </c>
      <c r="B1825" s="21" t="s">
        <v>13</v>
      </c>
      <c r="C1825" s="21" t="s">
        <v>14</v>
      </c>
      <c r="D1825" s="36">
        <v>13370</v>
      </c>
      <c r="E1825" s="109" t="s">
        <v>11707</v>
      </c>
      <c r="F1825" s="110">
        <v>41866</v>
      </c>
      <c r="G1825" s="110">
        <v>42120</v>
      </c>
      <c r="H1825" s="4" t="s">
        <v>2039</v>
      </c>
      <c r="I1825" s="23">
        <v>19372.86</v>
      </c>
      <c r="J1825" s="23">
        <v>19372.86</v>
      </c>
      <c r="K1825" s="39" t="s">
        <v>2650</v>
      </c>
      <c r="L1825" s="119"/>
    </row>
    <row r="1826" spans="1:12" s="21" customFormat="1" ht="14.25" customHeight="1" x14ac:dyDescent="0.25">
      <c r="A1826" s="108" t="s">
        <v>11706</v>
      </c>
      <c r="B1826" s="21" t="s">
        <v>13</v>
      </c>
      <c r="C1826" s="21" t="s">
        <v>14</v>
      </c>
      <c r="D1826" s="36">
        <v>13371</v>
      </c>
      <c r="E1826" s="108" t="s">
        <v>11706</v>
      </c>
      <c r="F1826" s="98">
        <v>41659</v>
      </c>
      <c r="G1826" s="97">
        <v>42307</v>
      </c>
      <c r="H1826" s="4" t="s">
        <v>2039</v>
      </c>
      <c r="I1826" s="23">
        <v>7567.5</v>
      </c>
      <c r="J1826" s="23">
        <v>7567.5</v>
      </c>
      <c r="K1826" s="39" t="s">
        <v>2650</v>
      </c>
      <c r="L1826" s="119"/>
    </row>
    <row r="1827" spans="1:12" s="4" customFormat="1" ht="14.25" customHeight="1" x14ac:dyDescent="0.25">
      <c r="A1827" s="99" t="s">
        <v>11703</v>
      </c>
      <c r="B1827" s="21" t="s">
        <v>13</v>
      </c>
      <c r="C1827" s="21" t="s">
        <v>14</v>
      </c>
      <c r="D1827" s="35">
        <v>13372</v>
      </c>
      <c r="E1827" s="99" t="s">
        <v>11703</v>
      </c>
      <c r="F1827" s="98">
        <v>41367</v>
      </c>
      <c r="G1827" s="97">
        <v>41913</v>
      </c>
      <c r="H1827" s="4" t="s">
        <v>2039</v>
      </c>
      <c r="I1827" s="17">
        <v>150343.94</v>
      </c>
      <c r="J1827" s="17">
        <v>150343.94</v>
      </c>
      <c r="K1827" s="39" t="s">
        <v>2650</v>
      </c>
      <c r="L1827" s="119"/>
    </row>
    <row r="1828" spans="1:12" s="4" customFormat="1" ht="14.25" customHeight="1" x14ac:dyDescent="0.25">
      <c r="A1828" s="99" t="s">
        <v>11698</v>
      </c>
      <c r="B1828" s="21" t="s">
        <v>13</v>
      </c>
      <c r="C1828" s="21" t="s">
        <v>14</v>
      </c>
      <c r="D1828" s="35">
        <v>13373</v>
      </c>
      <c r="E1828" s="108" t="s">
        <v>11699</v>
      </c>
      <c r="F1828" s="97">
        <v>41640</v>
      </c>
      <c r="G1828" s="98">
        <v>42369</v>
      </c>
      <c r="H1828" s="4" t="s">
        <v>2039</v>
      </c>
      <c r="I1828" s="17">
        <v>122215.19</v>
      </c>
      <c r="J1828" s="17">
        <v>122215.19</v>
      </c>
      <c r="K1828" s="39" t="s">
        <v>2650</v>
      </c>
      <c r="L1828" s="119"/>
    </row>
    <row r="1829" spans="1:12" s="4" customFormat="1" ht="14.25" customHeight="1" x14ac:dyDescent="0.25">
      <c r="A1829" s="99" t="s">
        <v>11697</v>
      </c>
      <c r="B1829" s="21" t="s">
        <v>13</v>
      </c>
      <c r="C1829" s="21" t="s">
        <v>14</v>
      </c>
      <c r="D1829" s="35">
        <v>13374</v>
      </c>
      <c r="E1829" s="99" t="s">
        <v>11697</v>
      </c>
      <c r="F1829" s="98">
        <v>41699</v>
      </c>
      <c r="G1829" s="97">
        <v>42614</v>
      </c>
      <c r="H1829" s="4" t="s">
        <v>2039</v>
      </c>
      <c r="I1829" s="17">
        <v>67095.92</v>
      </c>
      <c r="J1829" s="17">
        <v>67095.92</v>
      </c>
      <c r="K1829" s="39" t="s">
        <v>2650</v>
      </c>
      <c r="L1829" s="119"/>
    </row>
    <row r="1830" spans="1:12" s="21" customFormat="1" ht="14.25" customHeight="1" x14ac:dyDescent="0.25">
      <c r="A1830" s="108" t="s">
        <v>11418</v>
      </c>
      <c r="B1830" s="21" t="s">
        <v>13</v>
      </c>
      <c r="C1830" s="21" t="s">
        <v>14</v>
      </c>
      <c r="D1830" s="36">
        <v>13377</v>
      </c>
      <c r="E1830" s="108" t="s">
        <v>11418</v>
      </c>
      <c r="F1830" s="98">
        <v>41334</v>
      </c>
      <c r="G1830" s="97">
        <v>41759</v>
      </c>
      <c r="H1830" s="4" t="s">
        <v>2039</v>
      </c>
      <c r="I1830" s="23">
        <v>52522.7</v>
      </c>
      <c r="J1830" s="23">
        <v>52522.7</v>
      </c>
      <c r="K1830" s="39" t="s">
        <v>2650</v>
      </c>
      <c r="L1830" s="119"/>
    </row>
    <row r="1831" spans="1:12" s="21" customFormat="1" ht="14.25" customHeight="1" x14ac:dyDescent="0.25">
      <c r="A1831" s="108" t="s">
        <v>11693</v>
      </c>
      <c r="B1831" s="21" t="s">
        <v>13</v>
      </c>
      <c r="C1831" s="21" t="s">
        <v>14</v>
      </c>
      <c r="D1831" s="36">
        <v>13383</v>
      </c>
      <c r="E1831" s="108" t="s">
        <v>11693</v>
      </c>
      <c r="F1831" s="97">
        <v>41334</v>
      </c>
      <c r="G1831" s="97">
        <v>42332</v>
      </c>
      <c r="H1831" s="4" t="s">
        <v>2039</v>
      </c>
      <c r="I1831" s="23">
        <v>48474.14</v>
      </c>
      <c r="J1831" s="23">
        <v>48474.14</v>
      </c>
      <c r="K1831" s="39" t="s">
        <v>2650</v>
      </c>
      <c r="L1831" s="119"/>
    </row>
    <row r="1832" spans="1:12" s="21" customFormat="1" ht="14.25" customHeight="1" x14ac:dyDescent="0.25">
      <c r="A1832" s="108" t="s">
        <v>11467</v>
      </c>
      <c r="B1832" s="21" t="s">
        <v>13</v>
      </c>
      <c r="C1832" s="21" t="s">
        <v>14</v>
      </c>
      <c r="D1832" s="36">
        <v>13384</v>
      </c>
      <c r="E1832" s="108" t="s">
        <v>11467</v>
      </c>
      <c r="F1832" s="98">
        <v>41579</v>
      </c>
      <c r="G1832" s="98">
        <v>41973</v>
      </c>
      <c r="H1832" s="4" t="s">
        <v>2039</v>
      </c>
      <c r="I1832" s="23">
        <v>11973</v>
      </c>
      <c r="J1832" s="23">
        <v>11973</v>
      </c>
      <c r="K1832" s="39" t="s">
        <v>2650</v>
      </c>
      <c r="L1832" s="119"/>
    </row>
    <row r="1833" spans="1:12" s="21" customFormat="1" ht="14.25" customHeight="1" x14ac:dyDescent="0.25">
      <c r="A1833" s="108" t="s">
        <v>11685</v>
      </c>
      <c r="B1833" s="21" t="s">
        <v>13</v>
      </c>
      <c r="C1833" s="21" t="s">
        <v>14</v>
      </c>
      <c r="D1833" s="36">
        <v>13386</v>
      </c>
      <c r="E1833" s="108" t="s">
        <v>11686</v>
      </c>
      <c r="F1833" s="97">
        <v>41275</v>
      </c>
      <c r="G1833" s="97">
        <v>41851</v>
      </c>
      <c r="H1833" s="4" t="s">
        <v>2039</v>
      </c>
      <c r="I1833" s="23">
        <v>52919.3</v>
      </c>
      <c r="J1833" s="23">
        <v>52919.3</v>
      </c>
      <c r="K1833" s="39" t="s">
        <v>2650</v>
      </c>
      <c r="L1833" s="119"/>
    </row>
    <row r="1834" spans="1:12" s="21" customFormat="1" ht="14.25" customHeight="1" x14ac:dyDescent="0.25">
      <c r="A1834" s="108" t="s">
        <v>11678</v>
      </c>
      <c r="B1834" s="21" t="s">
        <v>13</v>
      </c>
      <c r="C1834" s="21" t="s">
        <v>14</v>
      </c>
      <c r="D1834" s="36">
        <v>13387</v>
      </c>
      <c r="E1834" s="108" t="s">
        <v>11678</v>
      </c>
      <c r="F1834" s="22">
        <v>41275</v>
      </c>
      <c r="G1834" s="22">
        <v>41640</v>
      </c>
      <c r="H1834" s="4" t="s">
        <v>2039</v>
      </c>
      <c r="I1834" s="23">
        <v>56514.41</v>
      </c>
      <c r="J1834" s="23">
        <v>56514.41</v>
      </c>
      <c r="K1834" s="39" t="s">
        <v>2650</v>
      </c>
      <c r="L1834" s="119"/>
    </row>
    <row r="1835" spans="1:12" s="21" customFormat="1" ht="14.25" customHeight="1" x14ac:dyDescent="0.25">
      <c r="A1835" s="99" t="s">
        <v>11704</v>
      </c>
      <c r="B1835" s="21" t="s">
        <v>13</v>
      </c>
      <c r="C1835" s="21" t="s">
        <v>14</v>
      </c>
      <c r="D1835" s="36">
        <v>13388</v>
      </c>
      <c r="E1835" s="99" t="s">
        <v>11704</v>
      </c>
      <c r="F1835" s="98">
        <v>41600</v>
      </c>
      <c r="G1835" s="97">
        <v>41957</v>
      </c>
      <c r="H1835" s="4" t="s">
        <v>2039</v>
      </c>
      <c r="I1835" s="23">
        <v>129951.54</v>
      </c>
      <c r="J1835" s="23">
        <v>129951.54</v>
      </c>
      <c r="K1835" s="39" t="s">
        <v>2650</v>
      </c>
      <c r="L1835" s="119"/>
    </row>
    <row r="1836" spans="1:12" s="21" customFormat="1" ht="14.25" customHeight="1" x14ac:dyDescent="0.25">
      <c r="A1836" s="99" t="s">
        <v>11674</v>
      </c>
      <c r="B1836" s="21" t="s">
        <v>13</v>
      </c>
      <c r="C1836" s="21" t="s">
        <v>14</v>
      </c>
      <c r="D1836" s="36">
        <v>13389</v>
      </c>
      <c r="E1836" s="108" t="s">
        <v>11675</v>
      </c>
      <c r="F1836" s="97">
        <v>41155</v>
      </c>
      <c r="G1836" s="97">
        <v>42432</v>
      </c>
      <c r="H1836" s="4" t="s">
        <v>2039</v>
      </c>
      <c r="I1836" s="23">
        <v>25027.1</v>
      </c>
      <c r="J1836" s="23">
        <v>25027.1</v>
      </c>
      <c r="K1836" s="39" t="s">
        <v>2650</v>
      </c>
      <c r="L1836" s="119"/>
    </row>
    <row r="1837" spans="1:12" s="21" customFormat="1" ht="14.25" customHeight="1" x14ac:dyDescent="0.25">
      <c r="A1837" s="108" t="s">
        <v>11679</v>
      </c>
      <c r="B1837" s="21" t="s">
        <v>13</v>
      </c>
      <c r="C1837" s="21" t="s">
        <v>14</v>
      </c>
      <c r="D1837" s="36">
        <v>13390</v>
      </c>
      <c r="E1837" s="108" t="s">
        <v>11679</v>
      </c>
      <c r="F1837" s="97">
        <v>41244</v>
      </c>
      <c r="G1837" s="97">
        <v>42247</v>
      </c>
      <c r="H1837" s="4" t="s">
        <v>2039</v>
      </c>
      <c r="I1837" s="23">
        <v>50020.98</v>
      </c>
      <c r="J1837" s="23">
        <v>50020.98</v>
      </c>
      <c r="K1837" s="39" t="s">
        <v>2650</v>
      </c>
      <c r="L1837" s="119"/>
    </row>
    <row r="1838" spans="1:12" s="21" customFormat="1" ht="14.25" customHeight="1" x14ac:dyDescent="0.25">
      <c r="A1838" s="108" t="s">
        <v>11690</v>
      </c>
      <c r="B1838" s="21" t="s">
        <v>13</v>
      </c>
      <c r="C1838" s="21" t="s">
        <v>14</v>
      </c>
      <c r="D1838" s="36">
        <v>13391</v>
      </c>
      <c r="E1838" s="108" t="s">
        <v>11690</v>
      </c>
      <c r="F1838" s="97">
        <v>41289</v>
      </c>
      <c r="G1838" s="98">
        <v>41789</v>
      </c>
      <c r="H1838" s="4" t="s">
        <v>2039</v>
      </c>
      <c r="I1838" s="23">
        <v>98366.06</v>
      </c>
      <c r="J1838" s="23">
        <v>98366.06</v>
      </c>
      <c r="K1838" s="39" t="s">
        <v>2650</v>
      </c>
      <c r="L1838" s="119"/>
    </row>
    <row r="1839" spans="1:12" s="21" customFormat="1" ht="14.25" customHeight="1" x14ac:dyDescent="0.25">
      <c r="A1839" s="108" t="s">
        <v>11691</v>
      </c>
      <c r="B1839" s="21" t="s">
        <v>13</v>
      </c>
      <c r="C1839" s="21" t="s">
        <v>14</v>
      </c>
      <c r="D1839" s="36">
        <v>13392</v>
      </c>
      <c r="E1839" s="108" t="s">
        <v>11691</v>
      </c>
      <c r="F1839" s="97">
        <v>41275</v>
      </c>
      <c r="G1839" s="98">
        <v>41790</v>
      </c>
      <c r="H1839" s="4" t="s">
        <v>2039</v>
      </c>
      <c r="I1839" s="23">
        <v>136395.93</v>
      </c>
      <c r="J1839" s="23">
        <v>136395.93</v>
      </c>
      <c r="K1839" s="39" t="s">
        <v>2650</v>
      </c>
      <c r="L1839" s="119"/>
    </row>
    <row r="1840" spans="1:12" s="21" customFormat="1" ht="14.25" customHeight="1" x14ac:dyDescent="0.25">
      <c r="A1840" s="99" t="s">
        <v>11692</v>
      </c>
      <c r="B1840" s="21" t="s">
        <v>13</v>
      </c>
      <c r="C1840" s="21" t="s">
        <v>14</v>
      </c>
      <c r="D1840" s="36">
        <v>13393</v>
      </c>
      <c r="E1840" s="99" t="s">
        <v>11692</v>
      </c>
      <c r="F1840" s="97">
        <v>41334</v>
      </c>
      <c r="G1840" s="97">
        <v>42004</v>
      </c>
      <c r="H1840" s="4" t="s">
        <v>2039</v>
      </c>
      <c r="I1840" s="23">
        <v>78236.539999999994</v>
      </c>
      <c r="J1840" s="23">
        <v>78236.539999999994</v>
      </c>
      <c r="K1840" s="39" t="s">
        <v>2650</v>
      </c>
      <c r="L1840" s="119"/>
    </row>
    <row r="1841" spans="1:12" s="21" customFormat="1" ht="14.25" customHeight="1" x14ac:dyDescent="0.25">
      <c r="A1841" s="108" t="s">
        <v>11694</v>
      </c>
      <c r="B1841" s="21" t="s">
        <v>13</v>
      </c>
      <c r="C1841" s="21" t="s">
        <v>14</v>
      </c>
      <c r="D1841" s="36">
        <v>13394</v>
      </c>
      <c r="E1841" s="108" t="s">
        <v>11694</v>
      </c>
      <c r="F1841" s="98">
        <v>41518</v>
      </c>
      <c r="G1841" s="97">
        <v>41973</v>
      </c>
      <c r="H1841" s="4" t="s">
        <v>2039</v>
      </c>
      <c r="I1841" s="23">
        <v>57083.05</v>
      </c>
      <c r="J1841" s="23">
        <v>57083.05</v>
      </c>
      <c r="K1841" s="39" t="s">
        <v>2650</v>
      </c>
      <c r="L1841" s="119"/>
    </row>
    <row r="1842" spans="1:12" s="21" customFormat="1" ht="14.25" customHeight="1" x14ac:dyDescent="0.25">
      <c r="A1842" s="108" t="s">
        <v>11695</v>
      </c>
      <c r="B1842" s="21" t="s">
        <v>13</v>
      </c>
      <c r="C1842" s="21" t="s">
        <v>14</v>
      </c>
      <c r="D1842" s="36">
        <v>13395</v>
      </c>
      <c r="E1842" s="108" t="s">
        <v>11696</v>
      </c>
      <c r="F1842" s="98">
        <v>41519</v>
      </c>
      <c r="G1842" s="98">
        <v>42615</v>
      </c>
      <c r="H1842" s="4" t="s">
        <v>2039</v>
      </c>
      <c r="I1842" s="23">
        <v>119571.52</v>
      </c>
      <c r="J1842" s="23">
        <v>119571.52</v>
      </c>
      <c r="K1842" s="39" t="s">
        <v>2650</v>
      </c>
      <c r="L1842" s="119"/>
    </row>
    <row r="1843" spans="1:12" s="21" customFormat="1" ht="14.25" customHeight="1" x14ac:dyDescent="0.25">
      <c r="A1843" s="108" t="s">
        <v>11700</v>
      </c>
      <c r="B1843" s="21" t="s">
        <v>13</v>
      </c>
      <c r="C1843" s="21" t="s">
        <v>14</v>
      </c>
      <c r="D1843" s="36">
        <v>13396</v>
      </c>
      <c r="E1843" s="108" t="s">
        <v>11701</v>
      </c>
      <c r="F1843" s="98">
        <v>41671</v>
      </c>
      <c r="G1843" s="98">
        <v>42338</v>
      </c>
      <c r="H1843" s="4" t="s">
        <v>2039</v>
      </c>
      <c r="I1843" s="23">
        <v>90121.05</v>
      </c>
      <c r="J1843" s="23">
        <v>90121.05</v>
      </c>
      <c r="K1843" s="39" t="s">
        <v>2650</v>
      </c>
      <c r="L1843" s="119"/>
    </row>
    <row r="1844" spans="1:12" s="21" customFormat="1" ht="14.25" customHeight="1" x14ac:dyDescent="0.25">
      <c r="A1844" s="99" t="s">
        <v>11702</v>
      </c>
      <c r="B1844" s="21" t="s">
        <v>13</v>
      </c>
      <c r="C1844" s="21" t="s">
        <v>14</v>
      </c>
      <c r="D1844" s="36">
        <v>13397</v>
      </c>
      <c r="E1844" s="99" t="s">
        <v>11702</v>
      </c>
      <c r="F1844" s="98">
        <v>41640</v>
      </c>
      <c r="G1844" s="98">
        <v>42338</v>
      </c>
      <c r="H1844" s="4" t="s">
        <v>2039</v>
      </c>
      <c r="I1844" s="23">
        <v>105480.82</v>
      </c>
      <c r="J1844" s="23">
        <v>105480.82</v>
      </c>
      <c r="K1844" s="39" t="s">
        <v>2650</v>
      </c>
      <c r="L1844" s="119"/>
    </row>
    <row r="1845" spans="1:12" s="21" customFormat="1" ht="14.25" customHeight="1" x14ac:dyDescent="0.25">
      <c r="A1845" s="108" t="s">
        <v>11705</v>
      </c>
      <c r="B1845" s="21" t="s">
        <v>13</v>
      </c>
      <c r="C1845" s="21" t="s">
        <v>14</v>
      </c>
      <c r="D1845" s="36">
        <v>13398</v>
      </c>
      <c r="E1845" s="108" t="s">
        <v>11705</v>
      </c>
      <c r="F1845" s="98">
        <v>41652</v>
      </c>
      <c r="G1845" s="98">
        <v>42550</v>
      </c>
      <c r="H1845" s="4" t="s">
        <v>2039</v>
      </c>
      <c r="I1845" s="23">
        <v>148797.12</v>
      </c>
      <c r="J1845" s="23">
        <v>148797.12</v>
      </c>
      <c r="K1845" s="39" t="s">
        <v>2650</v>
      </c>
      <c r="L1845" s="119"/>
    </row>
    <row r="1846" spans="1:12" s="21" customFormat="1" ht="14.25" customHeight="1" x14ac:dyDescent="0.25">
      <c r="A1846" s="99" t="s">
        <v>11708</v>
      </c>
      <c r="B1846" s="21" t="s">
        <v>13</v>
      </c>
      <c r="C1846" s="21" t="s">
        <v>14</v>
      </c>
      <c r="D1846" s="36">
        <v>13409</v>
      </c>
      <c r="E1846" s="99" t="s">
        <v>11709</v>
      </c>
      <c r="F1846" s="97">
        <v>41179</v>
      </c>
      <c r="G1846" s="98">
        <v>41578</v>
      </c>
      <c r="H1846" s="4" t="s">
        <v>2039</v>
      </c>
      <c r="I1846" s="23">
        <v>82525.69</v>
      </c>
      <c r="J1846" s="23">
        <v>82525.69</v>
      </c>
      <c r="K1846" s="39" t="s">
        <v>2650</v>
      </c>
      <c r="L1846" s="119"/>
    </row>
    <row r="1847" spans="1:12" s="21" customFormat="1" ht="14.25" customHeight="1" x14ac:dyDescent="0.25">
      <c r="A1847" s="99" t="s">
        <v>11669</v>
      </c>
      <c r="B1847" s="21" t="s">
        <v>13</v>
      </c>
      <c r="C1847" s="21" t="s">
        <v>14</v>
      </c>
      <c r="D1847" s="36">
        <v>13410</v>
      </c>
      <c r="E1847" s="108" t="s">
        <v>11450</v>
      </c>
      <c r="F1847" s="22">
        <v>40787</v>
      </c>
      <c r="G1847" s="22">
        <v>42036</v>
      </c>
      <c r="H1847" s="4" t="s">
        <v>2039</v>
      </c>
      <c r="I1847" s="23">
        <v>62150.18</v>
      </c>
      <c r="J1847" s="23">
        <v>62150.18</v>
      </c>
      <c r="K1847" s="39" t="s">
        <v>2650</v>
      </c>
      <c r="L1847" s="119"/>
    </row>
    <row r="1848" spans="1:12" s="21" customFormat="1" ht="14.25" customHeight="1" x14ac:dyDescent="0.25">
      <c r="A1848" s="99" t="s">
        <v>11676</v>
      </c>
      <c r="B1848" s="21" t="s">
        <v>13</v>
      </c>
      <c r="C1848" s="21" t="s">
        <v>14</v>
      </c>
      <c r="D1848" s="36">
        <v>13411</v>
      </c>
      <c r="E1848" s="108" t="s">
        <v>11677</v>
      </c>
      <c r="F1848" s="97">
        <v>41609</v>
      </c>
      <c r="G1848" s="98">
        <v>41820</v>
      </c>
      <c r="H1848" s="4" t="s">
        <v>2039</v>
      </c>
      <c r="I1848" s="23">
        <v>78075.539999999994</v>
      </c>
      <c r="J1848" s="23">
        <v>78075.539999999994</v>
      </c>
      <c r="K1848" s="39" t="s">
        <v>2650</v>
      </c>
      <c r="L1848" s="119"/>
    </row>
    <row r="1849" spans="1:12" s="21" customFormat="1" ht="14.25" customHeight="1" x14ac:dyDescent="0.25">
      <c r="A1849" s="108" t="s">
        <v>11680</v>
      </c>
      <c r="B1849" s="21" t="s">
        <v>13</v>
      </c>
      <c r="C1849" s="21" t="s">
        <v>14</v>
      </c>
      <c r="D1849" s="36">
        <v>13412</v>
      </c>
      <c r="E1849" s="108" t="s">
        <v>11680</v>
      </c>
      <c r="F1849" s="97">
        <v>41281</v>
      </c>
      <c r="G1849" s="98">
        <v>41866</v>
      </c>
      <c r="H1849" s="4" t="s">
        <v>2039</v>
      </c>
      <c r="I1849" s="23">
        <v>75944.17</v>
      </c>
      <c r="J1849" s="23">
        <v>75944.17</v>
      </c>
      <c r="K1849" s="39" t="s">
        <v>2650</v>
      </c>
      <c r="L1849" s="119"/>
    </row>
    <row r="1850" spans="1:12" s="21" customFormat="1" ht="14.25" customHeight="1" x14ac:dyDescent="0.25">
      <c r="A1850" s="108" t="s">
        <v>11681</v>
      </c>
      <c r="B1850" s="21" t="s">
        <v>13</v>
      </c>
      <c r="C1850" s="21" t="s">
        <v>14</v>
      </c>
      <c r="D1850" s="36">
        <v>13413</v>
      </c>
      <c r="E1850" s="108" t="s">
        <v>11682</v>
      </c>
      <c r="F1850" s="97">
        <v>41281</v>
      </c>
      <c r="G1850" s="98">
        <v>42253</v>
      </c>
      <c r="H1850" s="4" t="s">
        <v>2039</v>
      </c>
      <c r="I1850" s="23">
        <v>216986.66</v>
      </c>
      <c r="J1850" s="23">
        <v>216986.66</v>
      </c>
      <c r="K1850" s="39" t="s">
        <v>2650</v>
      </c>
      <c r="L1850" s="119"/>
    </row>
    <row r="1851" spans="1:12" s="21" customFormat="1" ht="14.25" customHeight="1" x14ac:dyDescent="0.25">
      <c r="A1851" s="99" t="s">
        <v>11683</v>
      </c>
      <c r="B1851" s="21" t="s">
        <v>13</v>
      </c>
      <c r="C1851" s="21" t="s">
        <v>14</v>
      </c>
      <c r="D1851" s="36">
        <v>13414</v>
      </c>
      <c r="E1851" s="99" t="s">
        <v>11684</v>
      </c>
      <c r="F1851" s="97">
        <v>41295</v>
      </c>
      <c r="G1851" s="98">
        <v>41916</v>
      </c>
      <c r="H1851" s="4" t="s">
        <v>2039</v>
      </c>
      <c r="I1851" s="23">
        <v>120310.68</v>
      </c>
      <c r="J1851" s="23">
        <v>120310.68</v>
      </c>
      <c r="K1851" s="39" t="s">
        <v>2650</v>
      </c>
      <c r="L1851" s="119"/>
    </row>
    <row r="1852" spans="1:12" s="21" customFormat="1" ht="14.25" customHeight="1" x14ac:dyDescent="0.25">
      <c r="A1852" s="108" t="s">
        <v>11713</v>
      </c>
      <c r="B1852" s="21" t="s">
        <v>13</v>
      </c>
      <c r="C1852" s="21" t="s">
        <v>14</v>
      </c>
      <c r="D1852" s="36">
        <v>13415</v>
      </c>
      <c r="E1852" s="108" t="s">
        <v>11714</v>
      </c>
      <c r="F1852" s="97">
        <v>41323</v>
      </c>
      <c r="G1852" s="97">
        <v>42308</v>
      </c>
      <c r="H1852" s="4" t="s">
        <v>2039</v>
      </c>
      <c r="I1852" s="23">
        <v>350905.02</v>
      </c>
      <c r="J1852" s="23">
        <v>350905.02</v>
      </c>
      <c r="K1852" s="39" t="s">
        <v>2650</v>
      </c>
      <c r="L1852" s="119"/>
    </row>
    <row r="1853" spans="1:12" s="21" customFormat="1" ht="14.25" customHeight="1" x14ac:dyDescent="0.25">
      <c r="A1853" s="108" t="s">
        <v>11711</v>
      </c>
      <c r="B1853" s="21" t="s">
        <v>13</v>
      </c>
      <c r="C1853" s="21" t="s">
        <v>14</v>
      </c>
      <c r="D1853" s="36">
        <v>13416</v>
      </c>
      <c r="E1853" s="108" t="s">
        <v>11712</v>
      </c>
      <c r="F1853" s="97">
        <v>41291</v>
      </c>
      <c r="G1853" s="97">
        <v>41820</v>
      </c>
      <c r="H1853" s="4" t="s">
        <v>2039</v>
      </c>
      <c r="I1853" s="23">
        <v>230042.05</v>
      </c>
      <c r="J1853" s="23">
        <v>230042.05</v>
      </c>
      <c r="K1853" s="39" t="s">
        <v>2650</v>
      </c>
      <c r="L1853" s="119"/>
    </row>
    <row r="1854" spans="1:12" s="21" customFormat="1" ht="14.25" customHeight="1" x14ac:dyDescent="0.25">
      <c r="A1854" s="108" t="s">
        <v>11710</v>
      </c>
      <c r="B1854" s="21" t="s">
        <v>13</v>
      </c>
      <c r="C1854" s="21" t="s">
        <v>14</v>
      </c>
      <c r="D1854" s="36">
        <v>13417</v>
      </c>
      <c r="E1854" s="108" t="s">
        <v>11710</v>
      </c>
      <c r="F1854" s="97">
        <v>41334</v>
      </c>
      <c r="G1854" s="98">
        <v>42332</v>
      </c>
      <c r="H1854" s="4" t="s">
        <v>2039</v>
      </c>
      <c r="I1854" s="23">
        <v>165726.19</v>
      </c>
      <c r="J1854" s="23">
        <v>165726.19</v>
      </c>
      <c r="K1854" s="39" t="s">
        <v>2650</v>
      </c>
      <c r="L1854" s="119"/>
    </row>
    <row r="1855" spans="1:12" s="21" customFormat="1" ht="14.25" customHeight="1" x14ac:dyDescent="0.25">
      <c r="A1855" s="108" t="s">
        <v>11729</v>
      </c>
      <c r="B1855" s="21" t="s">
        <v>13</v>
      </c>
      <c r="C1855" s="21" t="s">
        <v>14</v>
      </c>
      <c r="D1855" s="36">
        <v>13418</v>
      </c>
      <c r="E1855" s="108" t="s">
        <v>11730</v>
      </c>
      <c r="F1855" s="97">
        <v>41414</v>
      </c>
      <c r="G1855" s="98">
        <v>41598</v>
      </c>
      <c r="H1855" s="4" t="s">
        <v>2039</v>
      </c>
      <c r="I1855" s="23">
        <v>73221.69</v>
      </c>
      <c r="J1855" s="23">
        <v>73221.69</v>
      </c>
      <c r="K1855" s="39" t="s">
        <v>2650</v>
      </c>
      <c r="L1855" s="119"/>
    </row>
    <row r="1856" spans="1:12" s="21" customFormat="1" ht="14.25" customHeight="1" x14ac:dyDescent="0.25">
      <c r="A1856" s="108" t="s">
        <v>11727</v>
      </c>
      <c r="B1856" s="21" t="s">
        <v>13</v>
      </c>
      <c r="C1856" s="21" t="s">
        <v>14</v>
      </c>
      <c r="D1856" s="36">
        <v>13419</v>
      </c>
      <c r="E1856" s="108" t="s">
        <v>11728</v>
      </c>
      <c r="F1856" s="97">
        <v>41365</v>
      </c>
      <c r="G1856" s="97">
        <v>41820</v>
      </c>
      <c r="H1856" s="4" t="s">
        <v>2039</v>
      </c>
      <c r="I1856" s="23">
        <v>166736.5</v>
      </c>
      <c r="J1856" s="23">
        <v>166736.5</v>
      </c>
      <c r="K1856" s="39" t="s">
        <v>2650</v>
      </c>
      <c r="L1856" s="119"/>
    </row>
    <row r="1857" spans="1:13" s="21" customFormat="1" ht="14.25" customHeight="1" x14ac:dyDescent="0.25">
      <c r="A1857" s="99" t="s">
        <v>11731</v>
      </c>
      <c r="B1857" s="21" t="s">
        <v>13</v>
      </c>
      <c r="C1857" s="21" t="s">
        <v>14</v>
      </c>
      <c r="D1857" s="36">
        <v>13420</v>
      </c>
      <c r="E1857" s="99" t="s">
        <v>11732</v>
      </c>
      <c r="F1857" s="98">
        <v>41395</v>
      </c>
      <c r="G1857" s="97">
        <v>41820</v>
      </c>
      <c r="H1857" s="4" t="s">
        <v>2039</v>
      </c>
      <c r="I1857" s="23">
        <v>133449.76</v>
      </c>
      <c r="J1857" s="23">
        <v>133449.76</v>
      </c>
      <c r="K1857" s="39" t="s">
        <v>2650</v>
      </c>
      <c r="L1857" s="119"/>
    </row>
    <row r="1858" spans="1:13" s="21" customFormat="1" ht="14.25" customHeight="1" x14ac:dyDescent="0.25">
      <c r="A1858" s="108" t="s">
        <v>11733</v>
      </c>
      <c r="B1858" s="21" t="s">
        <v>13</v>
      </c>
      <c r="C1858" s="21" t="s">
        <v>14</v>
      </c>
      <c r="D1858" s="36">
        <v>13421</v>
      </c>
      <c r="E1858" s="99" t="s">
        <v>11734</v>
      </c>
      <c r="F1858" s="97">
        <v>41426</v>
      </c>
      <c r="G1858" s="97">
        <v>42185</v>
      </c>
      <c r="H1858" s="4" t="s">
        <v>2039</v>
      </c>
      <c r="I1858" s="23">
        <v>303808.23</v>
      </c>
      <c r="J1858" s="23">
        <v>303808.23</v>
      </c>
      <c r="K1858" s="39" t="s">
        <v>2650</v>
      </c>
      <c r="L1858" s="119"/>
    </row>
    <row r="1859" spans="1:13" s="21" customFormat="1" ht="14.25" customHeight="1" x14ac:dyDescent="0.25">
      <c r="A1859" s="108" t="s">
        <v>11735</v>
      </c>
      <c r="B1859" s="21" t="s">
        <v>13</v>
      </c>
      <c r="C1859" s="21" t="s">
        <v>14</v>
      </c>
      <c r="D1859" s="36">
        <v>13422</v>
      </c>
      <c r="E1859" s="108" t="s">
        <v>11736</v>
      </c>
      <c r="F1859" s="97">
        <v>41472</v>
      </c>
      <c r="G1859" s="98">
        <v>41564</v>
      </c>
      <c r="H1859" s="4" t="s">
        <v>2039</v>
      </c>
      <c r="I1859" s="23">
        <v>29174.55</v>
      </c>
      <c r="J1859" s="23">
        <v>29174.55</v>
      </c>
      <c r="K1859" s="39" t="s">
        <v>2650</v>
      </c>
      <c r="L1859" s="119"/>
    </row>
    <row r="1860" spans="1:13" s="21" customFormat="1" ht="14.25" customHeight="1" x14ac:dyDescent="0.25">
      <c r="A1860" s="108" t="s">
        <v>11717</v>
      </c>
      <c r="B1860" s="21" t="s">
        <v>13</v>
      </c>
      <c r="C1860" s="21" t="s">
        <v>14</v>
      </c>
      <c r="D1860" s="36">
        <v>13423</v>
      </c>
      <c r="E1860" s="108" t="s">
        <v>11718</v>
      </c>
      <c r="F1860" s="97">
        <v>41518</v>
      </c>
      <c r="G1860" s="98">
        <v>42308</v>
      </c>
      <c r="H1860" s="4" t="s">
        <v>2039</v>
      </c>
      <c r="I1860" s="23">
        <v>74651.97</v>
      </c>
      <c r="J1860" s="23">
        <v>74651.97</v>
      </c>
      <c r="K1860" s="39" t="s">
        <v>2650</v>
      </c>
      <c r="L1860" s="119"/>
    </row>
    <row r="1861" spans="1:13" s="21" customFormat="1" ht="14.25" customHeight="1" x14ac:dyDescent="0.25">
      <c r="A1861" s="108" t="s">
        <v>11715</v>
      </c>
      <c r="B1861" s="21" t="s">
        <v>13</v>
      </c>
      <c r="C1861" s="21" t="s">
        <v>14</v>
      </c>
      <c r="D1861" s="36">
        <v>13424</v>
      </c>
      <c r="E1861" s="108" t="s">
        <v>11716</v>
      </c>
      <c r="F1861" s="98">
        <v>41518</v>
      </c>
      <c r="G1861" s="97">
        <v>42369</v>
      </c>
      <c r="H1861" s="4" t="s">
        <v>2039</v>
      </c>
      <c r="I1861" s="23">
        <v>53175.88</v>
      </c>
      <c r="J1861" s="23">
        <v>53175.88</v>
      </c>
      <c r="K1861" s="39" t="s">
        <v>2650</v>
      </c>
      <c r="L1861" s="119"/>
    </row>
    <row r="1862" spans="1:13" s="21" customFormat="1" ht="14.25" customHeight="1" x14ac:dyDescent="0.25">
      <c r="A1862" s="108" t="s">
        <v>11719</v>
      </c>
      <c r="B1862" s="21" t="s">
        <v>13</v>
      </c>
      <c r="C1862" s="21" t="s">
        <v>14</v>
      </c>
      <c r="D1862" s="36">
        <v>13425</v>
      </c>
      <c r="E1862" s="99" t="s">
        <v>11720</v>
      </c>
      <c r="F1862" s="98">
        <v>41518</v>
      </c>
      <c r="G1862" s="98">
        <v>42144</v>
      </c>
      <c r="H1862" s="4" t="s">
        <v>2039</v>
      </c>
      <c r="I1862" s="23">
        <v>137858.18</v>
      </c>
      <c r="J1862" s="23">
        <v>137858.18</v>
      </c>
      <c r="K1862" s="39" t="s">
        <v>2650</v>
      </c>
      <c r="L1862" s="119"/>
    </row>
    <row r="1863" spans="1:13" s="21" customFormat="1" ht="14.25" customHeight="1" x14ac:dyDescent="0.25">
      <c r="A1863" s="99" t="s">
        <v>11721</v>
      </c>
      <c r="B1863" s="21" t="s">
        <v>13</v>
      </c>
      <c r="C1863" s="21" t="s">
        <v>14</v>
      </c>
      <c r="D1863" s="36">
        <v>13426</v>
      </c>
      <c r="E1863" s="108" t="s">
        <v>11722</v>
      </c>
      <c r="F1863" s="97">
        <v>41487</v>
      </c>
      <c r="G1863" s="97">
        <v>42063</v>
      </c>
      <c r="H1863" s="4" t="s">
        <v>2039</v>
      </c>
      <c r="I1863" s="23">
        <v>73281.05</v>
      </c>
      <c r="J1863" s="23">
        <v>73281.05</v>
      </c>
      <c r="K1863" s="39" t="s">
        <v>2650</v>
      </c>
      <c r="L1863" s="119"/>
    </row>
    <row r="1864" spans="1:13" s="21" customFormat="1" ht="14.25" customHeight="1" x14ac:dyDescent="0.25">
      <c r="A1864" s="108" t="s">
        <v>11737</v>
      </c>
      <c r="B1864" s="21" t="s">
        <v>13</v>
      </c>
      <c r="C1864" s="21" t="s">
        <v>14</v>
      </c>
      <c r="D1864" s="36">
        <v>13427</v>
      </c>
      <c r="E1864" s="108" t="s">
        <v>11738</v>
      </c>
      <c r="F1864" s="98">
        <v>41518</v>
      </c>
      <c r="G1864" s="98">
        <v>41730</v>
      </c>
      <c r="H1864" s="4" t="s">
        <v>2039</v>
      </c>
      <c r="I1864" s="23">
        <v>43796.32</v>
      </c>
      <c r="J1864" s="23">
        <v>43796.32</v>
      </c>
      <c r="K1864" s="39" t="s">
        <v>2650</v>
      </c>
      <c r="L1864" s="119"/>
    </row>
    <row r="1865" spans="1:13" s="21" customFormat="1" ht="14.25" customHeight="1" x14ac:dyDescent="0.25">
      <c r="A1865" s="99" t="s">
        <v>11725</v>
      </c>
      <c r="B1865" s="21" t="s">
        <v>13</v>
      </c>
      <c r="C1865" s="21" t="s">
        <v>14</v>
      </c>
      <c r="D1865" s="36">
        <v>13428</v>
      </c>
      <c r="E1865" s="99" t="s">
        <v>11726</v>
      </c>
      <c r="F1865" s="98">
        <v>41609</v>
      </c>
      <c r="G1865" s="98">
        <v>41974</v>
      </c>
      <c r="H1865" s="4" t="s">
        <v>2039</v>
      </c>
      <c r="I1865" s="23">
        <v>135709.35999999999</v>
      </c>
      <c r="J1865" s="23">
        <v>135709.35999999999</v>
      </c>
      <c r="K1865" s="39" t="s">
        <v>2650</v>
      </c>
      <c r="L1865" s="119"/>
    </row>
    <row r="1866" spans="1:13" s="21" customFormat="1" ht="14.25" customHeight="1" x14ac:dyDescent="0.25">
      <c r="A1866" s="108" t="s">
        <v>11739</v>
      </c>
      <c r="B1866" s="21" t="s">
        <v>13</v>
      </c>
      <c r="C1866" s="21" t="s">
        <v>14</v>
      </c>
      <c r="D1866" s="36">
        <v>13429</v>
      </c>
      <c r="E1866" s="108" t="s">
        <v>11740</v>
      </c>
      <c r="F1866" s="97">
        <v>41652</v>
      </c>
      <c r="G1866" s="98">
        <v>41895</v>
      </c>
      <c r="H1866" s="4" t="s">
        <v>2039</v>
      </c>
      <c r="I1866" s="23">
        <v>92664.38</v>
      </c>
      <c r="J1866" s="23">
        <v>92664.38</v>
      </c>
      <c r="K1866" s="39" t="s">
        <v>2650</v>
      </c>
      <c r="L1866" s="119"/>
    </row>
    <row r="1867" spans="1:13" s="21" customFormat="1" ht="14.25" customHeight="1" x14ac:dyDescent="0.25">
      <c r="A1867" s="108" t="s">
        <v>11723</v>
      </c>
      <c r="B1867" s="21" t="s">
        <v>13</v>
      </c>
      <c r="C1867" s="21" t="s">
        <v>14</v>
      </c>
      <c r="D1867" s="36">
        <v>13430</v>
      </c>
      <c r="E1867" s="108" t="s">
        <v>11724</v>
      </c>
      <c r="F1867" s="98">
        <v>41640</v>
      </c>
      <c r="G1867" s="97">
        <v>42094</v>
      </c>
      <c r="H1867" s="4" t="s">
        <v>2039</v>
      </c>
      <c r="I1867" s="23">
        <v>51325.9</v>
      </c>
      <c r="J1867" s="23">
        <v>51325.9</v>
      </c>
      <c r="K1867" s="39" t="s">
        <v>2650</v>
      </c>
      <c r="L1867" s="119"/>
    </row>
    <row r="1868" spans="1:13" s="21" customFormat="1" ht="14.25" customHeight="1" x14ac:dyDescent="0.25">
      <c r="A1868" s="99" t="s">
        <v>11670</v>
      </c>
      <c r="B1868" s="21" t="s">
        <v>13</v>
      </c>
      <c r="C1868" s="21" t="s">
        <v>14</v>
      </c>
      <c r="D1868" s="36">
        <v>13431</v>
      </c>
      <c r="E1868" s="99" t="s">
        <v>11671</v>
      </c>
      <c r="F1868" s="22">
        <v>40756</v>
      </c>
      <c r="G1868" s="22">
        <v>41440</v>
      </c>
      <c r="H1868" s="4" t="s">
        <v>2039</v>
      </c>
      <c r="I1868" s="23">
        <v>1956.15</v>
      </c>
      <c r="J1868" s="23">
        <v>1956.15</v>
      </c>
      <c r="K1868" s="39" t="s">
        <v>2650</v>
      </c>
      <c r="L1868" s="119"/>
    </row>
    <row r="1869" spans="1:13" s="4" customFormat="1" ht="14.25" customHeight="1" x14ac:dyDescent="0.25">
      <c r="A1869" s="4" t="s">
        <v>3068</v>
      </c>
      <c r="B1869" s="4" t="s">
        <v>13</v>
      </c>
      <c r="C1869" s="4" t="s">
        <v>14</v>
      </c>
      <c r="D1869" s="35">
        <v>9464</v>
      </c>
      <c r="E1869" s="4" t="s">
        <v>3069</v>
      </c>
      <c r="F1869" s="5">
        <v>40081</v>
      </c>
      <c r="G1869" s="5">
        <v>40177</v>
      </c>
      <c r="H1869" s="4" t="s">
        <v>389</v>
      </c>
      <c r="I1869" s="6">
        <v>96191</v>
      </c>
      <c r="J1869" s="6">
        <v>25971.57</v>
      </c>
      <c r="K1869" s="37" t="s">
        <v>2650</v>
      </c>
      <c r="L1869" s="119"/>
      <c r="M1869" s="3"/>
    </row>
    <row r="1870" spans="1:13" s="4" customFormat="1" ht="14.25" customHeight="1" x14ac:dyDescent="0.25">
      <c r="A1870" s="4" t="s">
        <v>3070</v>
      </c>
      <c r="B1870" s="4" t="s">
        <v>13</v>
      </c>
      <c r="C1870" s="4" t="s">
        <v>14</v>
      </c>
      <c r="D1870" s="35">
        <v>9466</v>
      </c>
      <c r="E1870" s="4" t="s">
        <v>3071</v>
      </c>
      <c r="F1870" s="5">
        <v>40065</v>
      </c>
      <c r="G1870" s="5">
        <v>40170</v>
      </c>
      <c r="H1870" s="4" t="s">
        <v>389</v>
      </c>
      <c r="I1870" s="6">
        <v>121767</v>
      </c>
      <c r="J1870" s="6">
        <v>35242</v>
      </c>
      <c r="K1870" s="37" t="s">
        <v>2650</v>
      </c>
      <c r="L1870" s="119"/>
      <c r="M1870" s="3"/>
    </row>
    <row r="1871" spans="1:13" s="4" customFormat="1" ht="14.25" customHeight="1" x14ac:dyDescent="0.25">
      <c r="A1871" s="4" t="s">
        <v>3072</v>
      </c>
      <c r="B1871" s="4" t="s">
        <v>13</v>
      </c>
      <c r="C1871" s="4" t="s">
        <v>14</v>
      </c>
      <c r="D1871" s="35">
        <v>9470</v>
      </c>
      <c r="E1871" s="4" t="s">
        <v>3073</v>
      </c>
      <c r="F1871" s="5">
        <v>40085</v>
      </c>
      <c r="G1871" s="5">
        <v>40170</v>
      </c>
      <c r="H1871" s="4" t="s">
        <v>389</v>
      </c>
      <c r="I1871" s="6">
        <v>114000</v>
      </c>
      <c r="J1871" s="6">
        <v>39900</v>
      </c>
      <c r="K1871" s="37" t="s">
        <v>2650</v>
      </c>
      <c r="L1871" s="119"/>
      <c r="M1871" s="3"/>
    </row>
    <row r="1872" spans="1:13" s="4" customFormat="1" ht="14.25" customHeight="1" x14ac:dyDescent="0.25">
      <c r="A1872" s="4" t="s">
        <v>3074</v>
      </c>
      <c r="B1872" s="4" t="s">
        <v>13</v>
      </c>
      <c r="C1872" s="4" t="s">
        <v>14</v>
      </c>
      <c r="D1872" s="35">
        <v>9477</v>
      </c>
      <c r="E1872" s="4" t="s">
        <v>3075</v>
      </c>
      <c r="F1872" s="5">
        <v>40099</v>
      </c>
      <c r="G1872" s="5">
        <v>40158</v>
      </c>
      <c r="H1872" s="4" t="s">
        <v>389</v>
      </c>
      <c r="I1872" s="6">
        <v>111146.04</v>
      </c>
      <c r="J1872" s="6">
        <v>38901.11</v>
      </c>
      <c r="K1872" s="37" t="s">
        <v>2650</v>
      </c>
      <c r="L1872" s="119"/>
      <c r="M1872" s="3"/>
    </row>
    <row r="1873" spans="1:13" s="4" customFormat="1" ht="14.25" customHeight="1" x14ac:dyDescent="0.25">
      <c r="A1873" s="4" t="s">
        <v>3076</v>
      </c>
      <c r="B1873" s="4" t="s">
        <v>13</v>
      </c>
      <c r="C1873" s="4" t="s">
        <v>14</v>
      </c>
      <c r="D1873" s="35">
        <v>9478</v>
      </c>
      <c r="E1873" s="4" t="s">
        <v>3077</v>
      </c>
      <c r="F1873" s="5">
        <v>40086</v>
      </c>
      <c r="G1873" s="5">
        <v>40164</v>
      </c>
      <c r="H1873" s="4" t="s">
        <v>389</v>
      </c>
      <c r="I1873" s="6">
        <v>23348.42</v>
      </c>
      <c r="J1873" s="6">
        <v>8171.95</v>
      </c>
      <c r="K1873" s="37" t="s">
        <v>2650</v>
      </c>
      <c r="L1873" s="119"/>
      <c r="M1873" s="3"/>
    </row>
    <row r="1874" spans="1:13" s="4" customFormat="1" ht="14.25" customHeight="1" x14ac:dyDescent="0.25">
      <c r="A1874" s="4" t="s">
        <v>3078</v>
      </c>
      <c r="B1874" s="4" t="s">
        <v>13</v>
      </c>
      <c r="C1874" s="4" t="s">
        <v>14</v>
      </c>
      <c r="D1874" s="35">
        <v>9490</v>
      </c>
      <c r="E1874" s="4" t="s">
        <v>3079</v>
      </c>
      <c r="F1874" s="5">
        <v>40099</v>
      </c>
      <c r="G1874" s="5">
        <v>40158</v>
      </c>
      <c r="H1874" s="4" t="s">
        <v>389</v>
      </c>
      <c r="I1874" s="6">
        <v>171665</v>
      </c>
      <c r="J1874" s="6">
        <v>60082.75</v>
      </c>
      <c r="K1874" s="37" t="s">
        <v>2650</v>
      </c>
      <c r="L1874" s="119"/>
      <c r="M1874" s="3"/>
    </row>
    <row r="1875" spans="1:13" s="4" customFormat="1" ht="14.25" customHeight="1" x14ac:dyDescent="0.25">
      <c r="A1875" s="4" t="s">
        <v>3080</v>
      </c>
      <c r="B1875" s="4" t="s">
        <v>13</v>
      </c>
      <c r="C1875" s="4" t="s">
        <v>14</v>
      </c>
      <c r="D1875" s="35">
        <v>9492</v>
      </c>
      <c r="E1875" s="4" t="s">
        <v>3081</v>
      </c>
      <c r="F1875" s="5">
        <v>40099</v>
      </c>
      <c r="G1875" s="5">
        <v>40165</v>
      </c>
      <c r="H1875" s="4" t="s">
        <v>389</v>
      </c>
      <c r="I1875" s="6">
        <v>207447.5</v>
      </c>
      <c r="J1875" s="6">
        <v>72606.63</v>
      </c>
      <c r="K1875" s="37" t="s">
        <v>2650</v>
      </c>
      <c r="L1875" s="119"/>
      <c r="M1875" s="3"/>
    </row>
    <row r="1876" spans="1:13" s="4" customFormat="1" ht="14.25" customHeight="1" x14ac:dyDescent="0.25">
      <c r="A1876" s="4" t="s">
        <v>3082</v>
      </c>
      <c r="B1876" s="4" t="s">
        <v>13</v>
      </c>
      <c r="C1876" s="4" t="s">
        <v>14</v>
      </c>
      <c r="D1876" s="35">
        <v>9863</v>
      </c>
      <c r="E1876" s="4" t="s">
        <v>3083</v>
      </c>
      <c r="F1876" s="5">
        <v>41106</v>
      </c>
      <c r="G1876" s="5">
        <v>41632</v>
      </c>
      <c r="H1876" s="4" t="s">
        <v>392</v>
      </c>
      <c r="I1876" s="6">
        <v>480000</v>
      </c>
      <c r="J1876" s="6">
        <v>168000</v>
      </c>
      <c r="K1876" s="37" t="s">
        <v>2650</v>
      </c>
      <c r="L1876" s="119"/>
      <c r="M1876" s="3"/>
    </row>
    <row r="1877" spans="1:13" s="4" customFormat="1" ht="14.25" customHeight="1" x14ac:dyDescent="0.25">
      <c r="A1877" s="4" t="s">
        <v>3084</v>
      </c>
      <c r="B1877" s="4" t="s">
        <v>13</v>
      </c>
      <c r="C1877" s="4" t="s">
        <v>14</v>
      </c>
      <c r="D1877" s="35">
        <v>9867</v>
      </c>
      <c r="E1877" s="4" t="s">
        <v>3085</v>
      </c>
      <c r="F1877" s="5">
        <v>40774</v>
      </c>
      <c r="G1877" s="5">
        <v>40900</v>
      </c>
      <c r="H1877" s="4" t="s">
        <v>392</v>
      </c>
      <c r="I1877" s="6">
        <v>766367.16</v>
      </c>
      <c r="J1877" s="6">
        <v>268228.11</v>
      </c>
      <c r="K1877" s="37" t="s">
        <v>2650</v>
      </c>
      <c r="L1877" s="119"/>
      <c r="M1877" s="3"/>
    </row>
    <row r="1878" spans="1:13" s="4" customFormat="1" ht="14.25" customHeight="1" x14ac:dyDescent="0.25">
      <c r="A1878" s="4" t="s">
        <v>2034</v>
      </c>
      <c r="B1878" s="4" t="s">
        <v>13</v>
      </c>
      <c r="C1878" s="4" t="s">
        <v>14</v>
      </c>
      <c r="D1878" s="35">
        <v>9880</v>
      </c>
      <c r="E1878" s="7" t="s">
        <v>3086</v>
      </c>
      <c r="F1878" s="5">
        <v>41106</v>
      </c>
      <c r="G1878" s="5">
        <v>41297</v>
      </c>
      <c r="H1878" s="4" t="s">
        <v>392</v>
      </c>
      <c r="I1878" s="6">
        <v>1250010.44</v>
      </c>
      <c r="J1878" s="6">
        <v>250002</v>
      </c>
      <c r="K1878" s="37" t="s">
        <v>2650</v>
      </c>
      <c r="L1878" s="119"/>
      <c r="M1878" s="3"/>
    </row>
    <row r="1879" spans="1:13" s="4" customFormat="1" ht="14.25" customHeight="1" x14ac:dyDescent="0.25">
      <c r="A1879" s="4" t="s">
        <v>2648</v>
      </c>
      <c r="B1879" s="4" t="s">
        <v>13</v>
      </c>
      <c r="C1879" s="4" t="s">
        <v>14</v>
      </c>
      <c r="D1879" s="35">
        <v>9899</v>
      </c>
      <c r="E1879" s="4" t="s">
        <v>3087</v>
      </c>
      <c r="F1879" s="5">
        <v>40792</v>
      </c>
      <c r="G1879" s="5">
        <v>40897</v>
      </c>
      <c r="H1879" s="4" t="s">
        <v>392</v>
      </c>
      <c r="I1879" s="6">
        <v>568854.35</v>
      </c>
      <c r="J1879" s="6">
        <v>56885.440000000002</v>
      </c>
      <c r="K1879" s="37" t="s">
        <v>2650</v>
      </c>
      <c r="L1879" s="119"/>
      <c r="M1879" s="3"/>
    </row>
    <row r="1880" spans="1:13" s="4" customFormat="1" ht="14.25" customHeight="1" x14ac:dyDescent="0.25">
      <c r="A1880" s="4" t="s">
        <v>3088</v>
      </c>
      <c r="B1880" s="4" t="s">
        <v>13</v>
      </c>
      <c r="C1880" s="4" t="s">
        <v>14</v>
      </c>
      <c r="D1880" s="35">
        <v>10015</v>
      </c>
      <c r="E1880" s="4" t="s">
        <v>3089</v>
      </c>
      <c r="F1880" s="5">
        <v>41142</v>
      </c>
      <c r="G1880" s="5">
        <v>41250</v>
      </c>
      <c r="H1880" s="4" t="s">
        <v>392</v>
      </c>
      <c r="I1880" s="6">
        <v>148752.72</v>
      </c>
      <c r="J1880" s="6">
        <v>52063.45</v>
      </c>
      <c r="K1880" s="37" t="s">
        <v>2650</v>
      </c>
      <c r="L1880" s="119"/>
      <c r="M1880" s="3"/>
    </row>
    <row r="1881" spans="1:13" s="4" customFormat="1" ht="14.25" customHeight="1" x14ac:dyDescent="0.25">
      <c r="A1881" s="4" t="s">
        <v>3090</v>
      </c>
      <c r="B1881" s="4" t="s">
        <v>13</v>
      </c>
      <c r="C1881" s="4" t="s">
        <v>14</v>
      </c>
      <c r="D1881" s="35">
        <v>10019</v>
      </c>
      <c r="E1881" s="4" t="s">
        <v>3091</v>
      </c>
      <c r="F1881" s="5">
        <v>41134</v>
      </c>
      <c r="G1881" s="5">
        <v>41381</v>
      </c>
      <c r="H1881" s="4" t="s">
        <v>392</v>
      </c>
      <c r="I1881" s="6">
        <v>266478.57</v>
      </c>
      <c r="J1881" s="6">
        <v>53295.72</v>
      </c>
      <c r="K1881" s="37" t="s">
        <v>2650</v>
      </c>
      <c r="L1881" s="119"/>
      <c r="M1881" s="3"/>
    </row>
    <row r="1882" spans="1:13" s="4" customFormat="1" ht="14.25" customHeight="1" x14ac:dyDescent="0.25">
      <c r="A1882" s="4" t="s">
        <v>3092</v>
      </c>
      <c r="B1882" s="4" t="s">
        <v>13</v>
      </c>
      <c r="C1882" s="4" t="s">
        <v>14</v>
      </c>
      <c r="D1882" s="35">
        <v>10023</v>
      </c>
      <c r="E1882" s="4" t="s">
        <v>3093</v>
      </c>
      <c r="F1882" s="5">
        <v>40422</v>
      </c>
      <c r="G1882" s="5">
        <v>40513</v>
      </c>
      <c r="H1882" s="4" t="s">
        <v>392</v>
      </c>
      <c r="I1882" s="6">
        <v>84687</v>
      </c>
      <c r="J1882" s="6">
        <v>29640.45</v>
      </c>
      <c r="K1882" s="37" t="s">
        <v>2650</v>
      </c>
      <c r="L1882" s="119"/>
      <c r="M1882" s="3"/>
    </row>
    <row r="1883" spans="1:13" s="4" customFormat="1" ht="14.25" customHeight="1" x14ac:dyDescent="0.25">
      <c r="A1883" s="4" t="s">
        <v>3094</v>
      </c>
      <c r="B1883" s="4" t="s">
        <v>13</v>
      </c>
      <c r="C1883" s="4" t="s">
        <v>14</v>
      </c>
      <c r="D1883" s="35">
        <v>10030</v>
      </c>
      <c r="E1883" s="4" t="s">
        <v>3095</v>
      </c>
      <c r="F1883" s="5">
        <v>40448</v>
      </c>
      <c r="G1883" s="5">
        <v>40522</v>
      </c>
      <c r="H1883" s="4" t="s">
        <v>392</v>
      </c>
      <c r="I1883" s="6">
        <v>196319</v>
      </c>
      <c r="J1883" s="6">
        <v>49079.75</v>
      </c>
      <c r="K1883" s="37" t="s">
        <v>2650</v>
      </c>
      <c r="L1883" s="119"/>
      <c r="M1883" s="3"/>
    </row>
    <row r="1884" spans="1:13" s="4" customFormat="1" ht="14.25" customHeight="1" x14ac:dyDescent="0.25">
      <c r="A1884" s="4" t="s">
        <v>2034</v>
      </c>
      <c r="B1884" s="4" t="s">
        <v>13</v>
      </c>
      <c r="C1884" s="4" t="s">
        <v>14</v>
      </c>
      <c r="D1884" s="35">
        <v>10036</v>
      </c>
      <c r="E1884" s="4" t="s">
        <v>3096</v>
      </c>
      <c r="F1884" s="5">
        <v>40394</v>
      </c>
      <c r="G1884" s="5">
        <v>40583</v>
      </c>
      <c r="H1884" s="4" t="s">
        <v>392</v>
      </c>
      <c r="I1884" s="6">
        <v>830192.47</v>
      </c>
      <c r="J1884" s="6">
        <v>290567.37</v>
      </c>
      <c r="K1884" s="37" t="s">
        <v>2650</v>
      </c>
      <c r="L1884" s="119"/>
      <c r="M1884" s="3"/>
    </row>
    <row r="1885" spans="1:13" s="4" customFormat="1" ht="14.25" customHeight="1" x14ac:dyDescent="0.25">
      <c r="A1885" s="4" t="s">
        <v>3097</v>
      </c>
      <c r="B1885" s="4" t="s">
        <v>13</v>
      </c>
      <c r="C1885" s="4" t="s">
        <v>14</v>
      </c>
      <c r="D1885" s="35">
        <v>10075</v>
      </c>
      <c r="E1885" s="4" t="s">
        <v>3098</v>
      </c>
      <c r="F1885" s="5">
        <v>40812</v>
      </c>
      <c r="G1885" s="5">
        <v>40897</v>
      </c>
      <c r="H1885" s="4" t="s">
        <v>392</v>
      </c>
      <c r="I1885" s="6">
        <v>82981</v>
      </c>
      <c r="J1885" s="6">
        <v>24894.3</v>
      </c>
      <c r="K1885" s="37" t="s">
        <v>2650</v>
      </c>
      <c r="L1885" s="119"/>
      <c r="M1885" s="3"/>
    </row>
    <row r="1886" spans="1:13" s="4" customFormat="1" ht="14.25" customHeight="1" x14ac:dyDescent="0.25">
      <c r="A1886" s="4" t="s">
        <v>3074</v>
      </c>
      <c r="B1886" s="4" t="s">
        <v>13</v>
      </c>
      <c r="C1886" s="4" t="s">
        <v>14</v>
      </c>
      <c r="D1886" s="35">
        <v>10151</v>
      </c>
      <c r="E1886" s="4" t="s">
        <v>3099</v>
      </c>
      <c r="F1886" s="5">
        <v>40766</v>
      </c>
      <c r="G1886" s="5">
        <v>40897</v>
      </c>
      <c r="H1886" s="4" t="s">
        <v>392</v>
      </c>
      <c r="I1886" s="6">
        <v>153568.17000000001</v>
      </c>
      <c r="J1886" s="6">
        <v>53748.86</v>
      </c>
      <c r="K1886" s="37" t="s">
        <v>2650</v>
      </c>
      <c r="L1886" s="119"/>
      <c r="M1886" s="3"/>
    </row>
    <row r="1887" spans="1:13" s="4" customFormat="1" ht="14.25" customHeight="1" x14ac:dyDescent="0.25">
      <c r="A1887" s="4" t="s">
        <v>3100</v>
      </c>
      <c r="B1887" s="4" t="s">
        <v>13</v>
      </c>
      <c r="C1887" s="4" t="s">
        <v>14</v>
      </c>
      <c r="D1887" s="35">
        <v>10184</v>
      </c>
      <c r="E1887" s="4" t="s">
        <v>3101</v>
      </c>
      <c r="F1887" s="5">
        <v>41129</v>
      </c>
      <c r="G1887" s="5">
        <v>41250</v>
      </c>
      <c r="H1887" s="4" t="s">
        <v>392</v>
      </c>
      <c r="I1887" s="6">
        <v>164118</v>
      </c>
      <c r="J1887" s="6">
        <v>57441.37</v>
      </c>
      <c r="K1887" s="37" t="s">
        <v>2650</v>
      </c>
      <c r="L1887" s="119"/>
      <c r="M1887" s="3"/>
    </row>
    <row r="1888" spans="1:13" s="4" customFormat="1" ht="14.25" customHeight="1" x14ac:dyDescent="0.25">
      <c r="A1888" s="4" t="s">
        <v>3072</v>
      </c>
      <c r="B1888" s="4" t="s">
        <v>13</v>
      </c>
      <c r="C1888" s="4" t="s">
        <v>14</v>
      </c>
      <c r="D1888" s="35">
        <v>10202</v>
      </c>
      <c r="E1888" s="4" t="s">
        <v>3102</v>
      </c>
      <c r="F1888" s="5">
        <v>40751</v>
      </c>
      <c r="G1888" s="5">
        <v>40897</v>
      </c>
      <c r="H1888" s="4" t="s">
        <v>392</v>
      </c>
      <c r="I1888" s="6">
        <v>212542.32</v>
      </c>
      <c r="J1888" s="6">
        <v>74389.81</v>
      </c>
      <c r="K1888" s="37" t="s">
        <v>2650</v>
      </c>
      <c r="L1888" s="119"/>
      <c r="M1888" s="3"/>
    </row>
    <row r="1889" spans="1:13" s="4" customFormat="1" ht="14.25" customHeight="1" x14ac:dyDescent="0.25">
      <c r="A1889" s="4" t="s">
        <v>3103</v>
      </c>
      <c r="B1889" s="4" t="s">
        <v>13</v>
      </c>
      <c r="C1889" s="4" t="s">
        <v>14</v>
      </c>
      <c r="D1889" s="35">
        <v>10212</v>
      </c>
      <c r="E1889" s="7" t="s">
        <v>3104</v>
      </c>
      <c r="F1889" s="5">
        <v>41134</v>
      </c>
      <c r="G1889" s="5">
        <v>41271</v>
      </c>
      <c r="H1889" s="4" t="s">
        <v>392</v>
      </c>
      <c r="I1889" s="6">
        <v>160810.57999999999</v>
      </c>
      <c r="J1889" s="6">
        <v>56283.7</v>
      </c>
      <c r="K1889" s="37" t="s">
        <v>2650</v>
      </c>
      <c r="L1889" s="119"/>
      <c r="M1889" s="3"/>
    </row>
    <row r="1890" spans="1:13" s="4" customFormat="1" ht="14.25" customHeight="1" x14ac:dyDescent="0.25">
      <c r="A1890" s="4" t="s">
        <v>3105</v>
      </c>
      <c r="B1890" s="4" t="s">
        <v>13</v>
      </c>
      <c r="C1890" s="4" t="s">
        <v>14</v>
      </c>
      <c r="D1890" s="35">
        <v>8225</v>
      </c>
      <c r="E1890" s="4" t="s">
        <v>3106</v>
      </c>
      <c r="F1890" s="5">
        <v>40105</v>
      </c>
      <c r="G1890" s="5">
        <v>41274</v>
      </c>
      <c r="H1890" s="4" t="s">
        <v>2195</v>
      </c>
      <c r="I1890" s="6">
        <v>4192862.26</v>
      </c>
      <c r="J1890" s="6">
        <v>4192862.26</v>
      </c>
      <c r="K1890" s="37" t="s">
        <v>2650</v>
      </c>
      <c r="L1890" s="119"/>
      <c r="M1890" s="3"/>
    </row>
    <row r="1891" spans="1:13" s="4" customFormat="1" ht="14.25" customHeight="1" x14ac:dyDescent="0.25">
      <c r="A1891" s="4" t="s">
        <v>5884</v>
      </c>
      <c r="B1891" s="4" t="s">
        <v>13</v>
      </c>
      <c r="C1891" s="4" t="s">
        <v>14</v>
      </c>
      <c r="D1891" s="35">
        <v>13407</v>
      </c>
      <c r="E1891" s="4" t="s">
        <v>11661</v>
      </c>
      <c r="F1891" s="97">
        <v>41488</v>
      </c>
      <c r="G1891" s="98">
        <v>42760</v>
      </c>
      <c r="H1891" s="4" t="s">
        <v>11659</v>
      </c>
      <c r="I1891" s="6">
        <v>2108182.14</v>
      </c>
      <c r="J1891" s="6">
        <v>1054091.07</v>
      </c>
      <c r="K1891" s="37" t="s">
        <v>2650</v>
      </c>
      <c r="L1891" s="119"/>
      <c r="M1891" s="3"/>
    </row>
    <row r="1892" spans="1:13" s="4" customFormat="1" ht="14.25" customHeight="1" x14ac:dyDescent="0.25">
      <c r="A1892" s="4" t="s">
        <v>3109</v>
      </c>
      <c r="B1892" s="4" t="s">
        <v>59</v>
      </c>
      <c r="C1892" s="4" t="s">
        <v>14</v>
      </c>
      <c r="D1892" s="35">
        <v>615</v>
      </c>
      <c r="E1892" s="4" t="s">
        <v>3110</v>
      </c>
      <c r="F1892" s="5">
        <v>39119</v>
      </c>
      <c r="H1892" s="4" t="s">
        <v>40</v>
      </c>
      <c r="I1892" s="6">
        <v>12000</v>
      </c>
      <c r="J1892" s="6">
        <v>12000</v>
      </c>
      <c r="K1892" s="37" t="s">
        <v>2650</v>
      </c>
      <c r="L1892" s="120"/>
      <c r="M1892" s="3"/>
    </row>
    <row r="1893" spans="1:13" s="4" customFormat="1" ht="14.25" customHeight="1" x14ac:dyDescent="0.25">
      <c r="A1893" s="4" t="s">
        <v>3113</v>
      </c>
      <c r="B1893" s="4" t="s">
        <v>59</v>
      </c>
      <c r="C1893" s="4" t="s">
        <v>14</v>
      </c>
      <c r="D1893" s="35">
        <v>717</v>
      </c>
      <c r="E1893" s="4" t="s">
        <v>3114</v>
      </c>
      <c r="F1893" s="5">
        <v>39162</v>
      </c>
      <c r="G1893" s="5">
        <v>39528</v>
      </c>
      <c r="H1893" s="4" t="s">
        <v>40</v>
      </c>
      <c r="I1893" s="6">
        <v>15000</v>
      </c>
      <c r="J1893" s="6">
        <v>15000</v>
      </c>
      <c r="K1893" s="37" t="s">
        <v>2650</v>
      </c>
      <c r="L1893" s="120"/>
      <c r="M1893" s="3"/>
    </row>
    <row r="1894" spans="1:13" s="4" customFormat="1" ht="14.25" customHeight="1" x14ac:dyDescent="0.25">
      <c r="A1894" s="4" t="s">
        <v>3115</v>
      </c>
      <c r="B1894" s="4" t="s">
        <v>3116</v>
      </c>
      <c r="C1894" s="4" t="s">
        <v>14</v>
      </c>
      <c r="D1894" s="35">
        <v>720</v>
      </c>
      <c r="E1894" s="4" t="s">
        <v>3117</v>
      </c>
      <c r="F1894" s="5">
        <v>39162</v>
      </c>
      <c r="G1894" s="5">
        <v>39528</v>
      </c>
      <c r="H1894" s="4" t="s">
        <v>40</v>
      </c>
      <c r="I1894" s="6">
        <v>130000</v>
      </c>
      <c r="J1894" s="6">
        <v>65000</v>
      </c>
      <c r="K1894" s="37" t="s">
        <v>2650</v>
      </c>
      <c r="L1894" s="120"/>
      <c r="M1894" s="3"/>
    </row>
    <row r="1895" spans="1:13" s="4" customFormat="1" ht="14.25" customHeight="1" x14ac:dyDescent="0.25">
      <c r="A1895" s="4" t="s">
        <v>3118</v>
      </c>
      <c r="B1895" s="4" t="s">
        <v>50</v>
      </c>
      <c r="C1895" s="4" t="s">
        <v>14</v>
      </c>
      <c r="D1895" s="35">
        <v>744</v>
      </c>
      <c r="E1895" s="4" t="s">
        <v>3119</v>
      </c>
      <c r="F1895" s="5">
        <v>39162</v>
      </c>
      <c r="G1895" s="5">
        <v>39528</v>
      </c>
      <c r="H1895" s="4" t="s">
        <v>40</v>
      </c>
      <c r="I1895" s="6">
        <v>148666.22</v>
      </c>
      <c r="J1895" s="6">
        <v>74333.11</v>
      </c>
      <c r="K1895" s="37" t="s">
        <v>2650</v>
      </c>
      <c r="L1895" s="120"/>
      <c r="M1895" s="3"/>
    </row>
    <row r="1896" spans="1:13" s="4" customFormat="1" ht="14.25" customHeight="1" x14ac:dyDescent="0.25">
      <c r="A1896" s="4" t="s">
        <v>3120</v>
      </c>
      <c r="B1896" s="4" t="s">
        <v>90</v>
      </c>
      <c r="C1896" s="4" t="s">
        <v>14</v>
      </c>
      <c r="D1896" s="35">
        <v>746</v>
      </c>
      <c r="E1896" s="4" t="s">
        <v>3121</v>
      </c>
      <c r="F1896" s="5">
        <v>39162</v>
      </c>
      <c r="G1896" s="5">
        <v>39528</v>
      </c>
      <c r="H1896" s="4" t="s">
        <v>40</v>
      </c>
      <c r="I1896" s="6">
        <v>5242.2700000000004</v>
      </c>
      <c r="J1896" s="6">
        <v>3000</v>
      </c>
      <c r="K1896" s="37" t="s">
        <v>2650</v>
      </c>
      <c r="L1896" s="120"/>
      <c r="M1896" s="3"/>
    </row>
    <row r="1897" spans="1:13" s="4" customFormat="1" ht="14.25" customHeight="1" x14ac:dyDescent="0.25">
      <c r="A1897" s="4" t="s">
        <v>3122</v>
      </c>
      <c r="B1897" s="4" t="s">
        <v>50</v>
      </c>
      <c r="C1897" s="4" t="s">
        <v>14</v>
      </c>
      <c r="D1897" s="35">
        <v>747</v>
      </c>
      <c r="E1897" s="4" t="s">
        <v>3123</v>
      </c>
      <c r="F1897" s="5">
        <v>39162</v>
      </c>
      <c r="G1897" s="5">
        <v>39528</v>
      </c>
      <c r="H1897" s="4" t="s">
        <v>40</v>
      </c>
      <c r="I1897" s="6">
        <v>135752.16</v>
      </c>
      <c r="J1897" s="6">
        <v>67876.08</v>
      </c>
      <c r="K1897" s="37" t="s">
        <v>2650</v>
      </c>
      <c r="L1897" s="120"/>
      <c r="M1897" s="3"/>
    </row>
    <row r="1898" spans="1:13" s="4" customFormat="1" ht="14.25" customHeight="1" x14ac:dyDescent="0.25">
      <c r="A1898" s="4" t="s">
        <v>3124</v>
      </c>
      <c r="B1898" s="4" t="s">
        <v>90</v>
      </c>
      <c r="C1898" s="4" t="s">
        <v>14</v>
      </c>
      <c r="D1898" s="35">
        <v>749</v>
      </c>
      <c r="E1898" s="4" t="s">
        <v>3125</v>
      </c>
      <c r="F1898" s="5">
        <v>39162</v>
      </c>
      <c r="G1898" s="5">
        <v>39528</v>
      </c>
      <c r="H1898" s="4" t="s">
        <v>40</v>
      </c>
      <c r="I1898" s="6">
        <v>4584.57</v>
      </c>
      <c r="J1898" s="6">
        <v>2584.7800000000002</v>
      </c>
      <c r="K1898" s="37" t="s">
        <v>2650</v>
      </c>
      <c r="L1898" s="120"/>
      <c r="M1898" s="3"/>
    </row>
    <row r="1899" spans="1:13" s="4" customFormat="1" ht="14.25" customHeight="1" x14ac:dyDescent="0.25">
      <c r="A1899" s="4" t="s">
        <v>3126</v>
      </c>
      <c r="B1899" s="4" t="s">
        <v>90</v>
      </c>
      <c r="C1899" s="4" t="s">
        <v>14</v>
      </c>
      <c r="D1899" s="35">
        <v>750</v>
      </c>
      <c r="E1899" s="4" t="s">
        <v>3127</v>
      </c>
      <c r="F1899" s="5">
        <v>39162</v>
      </c>
      <c r="G1899" s="5">
        <v>39528</v>
      </c>
      <c r="H1899" s="4" t="s">
        <v>40</v>
      </c>
      <c r="I1899" s="6">
        <v>10200</v>
      </c>
      <c r="J1899" s="6">
        <v>5100</v>
      </c>
      <c r="K1899" s="37" t="s">
        <v>2650</v>
      </c>
      <c r="L1899" s="120"/>
      <c r="M1899" s="3"/>
    </row>
    <row r="1900" spans="1:13" s="4" customFormat="1" ht="14.25" customHeight="1" x14ac:dyDescent="0.25">
      <c r="A1900" s="4" t="s">
        <v>3128</v>
      </c>
      <c r="B1900" s="4" t="s">
        <v>59</v>
      </c>
      <c r="C1900" s="4" t="s">
        <v>14</v>
      </c>
      <c r="D1900" s="35">
        <v>752</v>
      </c>
      <c r="E1900" s="4" t="s">
        <v>3129</v>
      </c>
      <c r="F1900" s="5">
        <v>39162</v>
      </c>
      <c r="G1900" s="5">
        <v>39528</v>
      </c>
      <c r="H1900" s="4" t="s">
        <v>40</v>
      </c>
      <c r="I1900" s="6">
        <v>7500</v>
      </c>
      <c r="J1900" s="6">
        <v>7500</v>
      </c>
      <c r="K1900" s="37" t="s">
        <v>2650</v>
      </c>
      <c r="L1900" s="120"/>
      <c r="M1900" s="3"/>
    </row>
    <row r="1901" spans="1:13" s="4" customFormat="1" ht="14.25" customHeight="1" x14ac:dyDescent="0.25">
      <c r="A1901" s="4" t="s">
        <v>3130</v>
      </c>
      <c r="B1901" s="4" t="s">
        <v>59</v>
      </c>
      <c r="C1901" s="4" t="s">
        <v>14</v>
      </c>
      <c r="D1901" s="35">
        <v>753</v>
      </c>
      <c r="E1901" s="4" t="s">
        <v>3129</v>
      </c>
      <c r="F1901" s="5">
        <v>39162</v>
      </c>
      <c r="G1901" s="5">
        <v>39528</v>
      </c>
      <c r="H1901" s="4" t="s">
        <v>40</v>
      </c>
      <c r="I1901" s="6">
        <v>7500</v>
      </c>
      <c r="J1901" s="6">
        <v>7500</v>
      </c>
      <c r="K1901" s="37" t="s">
        <v>2650</v>
      </c>
      <c r="L1901" s="120"/>
      <c r="M1901" s="3"/>
    </row>
    <row r="1902" spans="1:13" s="4" customFormat="1" ht="14.25" customHeight="1" x14ac:dyDescent="0.25">
      <c r="A1902" s="4" t="s">
        <v>3131</v>
      </c>
      <c r="B1902" s="4" t="s">
        <v>3116</v>
      </c>
      <c r="C1902" s="4" t="s">
        <v>14</v>
      </c>
      <c r="D1902" s="35">
        <v>755</v>
      </c>
      <c r="E1902" s="4" t="s">
        <v>3132</v>
      </c>
      <c r="F1902" s="5">
        <v>39211</v>
      </c>
      <c r="G1902" s="5">
        <v>39577</v>
      </c>
      <c r="H1902" s="4" t="s">
        <v>40</v>
      </c>
      <c r="I1902" s="6">
        <v>140000</v>
      </c>
      <c r="J1902" s="6">
        <v>70000</v>
      </c>
      <c r="K1902" s="37" t="s">
        <v>2650</v>
      </c>
      <c r="L1902" s="120"/>
      <c r="M1902" s="3"/>
    </row>
    <row r="1903" spans="1:13" s="4" customFormat="1" ht="14.25" customHeight="1" x14ac:dyDescent="0.25">
      <c r="A1903" s="4" t="s">
        <v>3133</v>
      </c>
      <c r="B1903" s="4" t="s">
        <v>90</v>
      </c>
      <c r="C1903" s="4" t="s">
        <v>14</v>
      </c>
      <c r="D1903" s="35">
        <v>756</v>
      </c>
      <c r="E1903" s="4" t="s">
        <v>3134</v>
      </c>
      <c r="F1903" s="5">
        <v>39211</v>
      </c>
      <c r="G1903" s="5">
        <v>39577</v>
      </c>
      <c r="H1903" s="4" t="s">
        <v>40</v>
      </c>
      <c r="I1903" s="6">
        <v>8091.5</v>
      </c>
      <c r="J1903" s="6">
        <v>4100</v>
      </c>
      <c r="K1903" s="37" t="s">
        <v>2650</v>
      </c>
      <c r="L1903" s="120"/>
      <c r="M1903" s="3"/>
    </row>
    <row r="1904" spans="1:13" s="4" customFormat="1" ht="14.25" customHeight="1" x14ac:dyDescent="0.25">
      <c r="A1904" s="4" t="s">
        <v>3135</v>
      </c>
      <c r="B1904" s="4" t="s">
        <v>90</v>
      </c>
      <c r="C1904" s="4" t="s">
        <v>14</v>
      </c>
      <c r="D1904" s="35">
        <v>758</v>
      </c>
      <c r="E1904" s="4" t="s">
        <v>3136</v>
      </c>
      <c r="F1904" s="5">
        <v>39211</v>
      </c>
      <c r="G1904" s="5">
        <v>39577</v>
      </c>
      <c r="H1904" s="4" t="s">
        <v>40</v>
      </c>
      <c r="I1904" s="6">
        <v>5240</v>
      </c>
      <c r="J1904" s="6">
        <v>2620</v>
      </c>
      <c r="K1904" s="37" t="s">
        <v>2650</v>
      </c>
      <c r="L1904" s="120"/>
      <c r="M1904" s="3"/>
    </row>
    <row r="1905" spans="1:13" s="4" customFormat="1" ht="14.25" customHeight="1" x14ac:dyDescent="0.25">
      <c r="A1905" s="4" t="s">
        <v>3137</v>
      </c>
      <c r="B1905" s="4" t="s">
        <v>59</v>
      </c>
      <c r="C1905" s="4" t="s">
        <v>14</v>
      </c>
      <c r="D1905" s="35">
        <v>761</v>
      </c>
      <c r="E1905" s="4" t="s">
        <v>3129</v>
      </c>
      <c r="F1905" s="5">
        <v>39211</v>
      </c>
      <c r="G1905" s="5">
        <v>39577</v>
      </c>
      <c r="H1905" s="4" t="s">
        <v>40</v>
      </c>
      <c r="I1905" s="6">
        <v>7500</v>
      </c>
      <c r="J1905" s="6">
        <v>7500</v>
      </c>
      <c r="K1905" s="37" t="s">
        <v>2650</v>
      </c>
      <c r="L1905" s="120"/>
      <c r="M1905" s="3"/>
    </row>
    <row r="1906" spans="1:13" s="4" customFormat="1" ht="14.25" customHeight="1" x14ac:dyDescent="0.25">
      <c r="A1906" s="4" t="s">
        <v>3140</v>
      </c>
      <c r="B1906" s="4" t="s">
        <v>59</v>
      </c>
      <c r="C1906" s="4" t="s">
        <v>14</v>
      </c>
      <c r="D1906" s="35">
        <v>767</v>
      </c>
      <c r="E1906" s="4" t="s">
        <v>3141</v>
      </c>
      <c r="F1906" s="5">
        <v>39252</v>
      </c>
      <c r="G1906" s="5">
        <v>39618</v>
      </c>
      <c r="H1906" s="4" t="s">
        <v>40</v>
      </c>
      <c r="I1906" s="6">
        <v>15000</v>
      </c>
      <c r="J1906" s="6">
        <v>15000</v>
      </c>
      <c r="K1906" s="37" t="s">
        <v>2650</v>
      </c>
      <c r="L1906" s="120"/>
      <c r="M1906" s="3"/>
    </row>
    <row r="1907" spans="1:13" s="4" customFormat="1" ht="14.25" customHeight="1" x14ac:dyDescent="0.25">
      <c r="A1907" s="4" t="s">
        <v>3142</v>
      </c>
      <c r="B1907" s="4" t="s">
        <v>59</v>
      </c>
      <c r="C1907" s="4" t="s">
        <v>14</v>
      </c>
      <c r="D1907" s="35">
        <v>770</v>
      </c>
      <c r="E1907" s="4" t="s">
        <v>3143</v>
      </c>
      <c r="F1907" s="5">
        <v>39252</v>
      </c>
      <c r="G1907" s="5">
        <v>39618</v>
      </c>
      <c r="H1907" s="4" t="s">
        <v>40</v>
      </c>
      <c r="I1907" s="6">
        <v>15000</v>
      </c>
      <c r="J1907" s="6">
        <v>15000</v>
      </c>
      <c r="K1907" s="37" t="s">
        <v>2650</v>
      </c>
      <c r="L1907" s="120"/>
      <c r="M1907" s="3"/>
    </row>
    <row r="1908" spans="1:13" s="4" customFormat="1" ht="14.25" customHeight="1" x14ac:dyDescent="0.25">
      <c r="A1908" s="4" t="s">
        <v>3144</v>
      </c>
      <c r="B1908" s="4" t="s">
        <v>50</v>
      </c>
      <c r="C1908" s="4" t="s">
        <v>14</v>
      </c>
      <c r="D1908" s="35">
        <v>772</v>
      </c>
      <c r="E1908" s="4" t="s">
        <v>3145</v>
      </c>
      <c r="F1908" s="5">
        <v>39252</v>
      </c>
      <c r="G1908" s="5">
        <v>39618</v>
      </c>
      <c r="H1908" s="4" t="s">
        <v>40</v>
      </c>
      <c r="I1908" s="6">
        <v>44112.76</v>
      </c>
      <c r="J1908" s="6">
        <v>22056.38</v>
      </c>
      <c r="K1908" s="37" t="s">
        <v>2650</v>
      </c>
      <c r="L1908" s="120"/>
      <c r="M1908" s="3"/>
    </row>
    <row r="1909" spans="1:13" s="4" customFormat="1" ht="14.25" customHeight="1" x14ac:dyDescent="0.25">
      <c r="A1909" s="4" t="s">
        <v>3146</v>
      </c>
      <c r="B1909" s="4" t="s">
        <v>90</v>
      </c>
      <c r="C1909" s="4" t="s">
        <v>14</v>
      </c>
      <c r="D1909" s="35">
        <v>773</v>
      </c>
      <c r="E1909" s="4" t="s">
        <v>3136</v>
      </c>
      <c r="F1909" s="5">
        <v>39252</v>
      </c>
      <c r="G1909" s="5">
        <v>39618</v>
      </c>
      <c r="H1909" s="4" t="s">
        <v>40</v>
      </c>
      <c r="I1909" s="6">
        <v>5500</v>
      </c>
      <c r="J1909" s="6">
        <v>2750</v>
      </c>
      <c r="K1909" s="37" t="s">
        <v>2650</v>
      </c>
      <c r="L1909" s="120"/>
      <c r="M1909" s="3"/>
    </row>
    <row r="1910" spans="1:13" s="4" customFormat="1" ht="14.25" customHeight="1" x14ac:dyDescent="0.25">
      <c r="A1910" s="4" t="s">
        <v>3148</v>
      </c>
      <c r="B1910" s="4" t="s">
        <v>50</v>
      </c>
      <c r="C1910" s="4" t="s">
        <v>14</v>
      </c>
      <c r="D1910" s="35">
        <v>775</v>
      </c>
      <c r="E1910" s="4" t="s">
        <v>3149</v>
      </c>
      <c r="F1910" s="5">
        <v>39252</v>
      </c>
      <c r="G1910" s="5">
        <v>39618</v>
      </c>
      <c r="H1910" s="4" t="s">
        <v>40</v>
      </c>
      <c r="I1910" s="6">
        <v>2710.26</v>
      </c>
      <c r="J1910" s="6">
        <v>1355.13</v>
      </c>
      <c r="K1910" s="37" t="s">
        <v>2650</v>
      </c>
      <c r="L1910" s="120"/>
      <c r="M1910" s="3"/>
    </row>
    <row r="1911" spans="1:13" s="4" customFormat="1" ht="14.25" customHeight="1" x14ac:dyDescent="0.25">
      <c r="A1911" s="4" t="s">
        <v>3150</v>
      </c>
      <c r="B1911" s="4" t="s">
        <v>59</v>
      </c>
      <c r="C1911" s="4" t="s">
        <v>14</v>
      </c>
      <c r="D1911" s="35">
        <v>776</v>
      </c>
      <c r="E1911" s="4" t="s">
        <v>3151</v>
      </c>
      <c r="F1911" s="5">
        <v>39252</v>
      </c>
      <c r="G1911" s="5">
        <v>39618</v>
      </c>
      <c r="H1911" s="4" t="s">
        <v>40</v>
      </c>
      <c r="I1911" s="6">
        <v>15000</v>
      </c>
      <c r="J1911" s="6">
        <v>15000</v>
      </c>
      <c r="K1911" s="37" t="s">
        <v>2650</v>
      </c>
      <c r="L1911" s="120"/>
      <c r="M1911" s="3"/>
    </row>
    <row r="1912" spans="1:13" s="4" customFormat="1" ht="14.25" customHeight="1" x14ac:dyDescent="0.25">
      <c r="A1912" s="4" t="s">
        <v>3152</v>
      </c>
      <c r="B1912" s="4" t="s">
        <v>59</v>
      </c>
      <c r="C1912" s="4" t="s">
        <v>14</v>
      </c>
      <c r="D1912" s="35">
        <v>781</v>
      </c>
      <c r="E1912" s="4" t="s">
        <v>3153</v>
      </c>
      <c r="F1912" s="5">
        <v>39287</v>
      </c>
      <c r="G1912" s="5">
        <v>39653</v>
      </c>
      <c r="H1912" s="4" t="s">
        <v>40</v>
      </c>
      <c r="I1912" s="6">
        <v>15000</v>
      </c>
      <c r="J1912" s="6">
        <v>15000</v>
      </c>
      <c r="K1912" s="37" t="s">
        <v>2650</v>
      </c>
      <c r="L1912" s="120"/>
      <c r="M1912" s="3"/>
    </row>
    <row r="1913" spans="1:13" s="4" customFormat="1" ht="14.25" customHeight="1" x14ac:dyDescent="0.25">
      <c r="A1913" s="4" t="s">
        <v>3154</v>
      </c>
      <c r="B1913" s="4" t="s">
        <v>3116</v>
      </c>
      <c r="C1913" s="4" t="s">
        <v>14</v>
      </c>
      <c r="D1913" s="35">
        <v>788</v>
      </c>
      <c r="E1913" s="4" t="s">
        <v>3155</v>
      </c>
      <c r="F1913" s="5">
        <v>39343</v>
      </c>
      <c r="G1913" s="5">
        <v>39709</v>
      </c>
      <c r="H1913" s="4" t="s">
        <v>40</v>
      </c>
      <c r="I1913" s="6">
        <v>80000</v>
      </c>
      <c r="J1913" s="6">
        <v>40000</v>
      </c>
      <c r="K1913" s="37" t="s">
        <v>2650</v>
      </c>
      <c r="L1913" s="120"/>
      <c r="M1913" s="3"/>
    </row>
    <row r="1914" spans="1:13" s="4" customFormat="1" ht="14.25" customHeight="1" x14ac:dyDescent="0.25">
      <c r="A1914" s="4" t="s">
        <v>3156</v>
      </c>
      <c r="B1914" s="4" t="s">
        <v>90</v>
      </c>
      <c r="C1914" s="4" t="s">
        <v>14</v>
      </c>
      <c r="D1914" s="35">
        <v>791</v>
      </c>
      <c r="E1914" s="4" t="s">
        <v>3157</v>
      </c>
      <c r="F1914" s="5">
        <v>39343</v>
      </c>
      <c r="G1914" s="5">
        <v>39709</v>
      </c>
      <c r="H1914" s="4" t="s">
        <v>40</v>
      </c>
      <c r="I1914" s="6">
        <v>10200</v>
      </c>
      <c r="J1914" s="6">
        <v>5100</v>
      </c>
      <c r="K1914" s="37" t="s">
        <v>2650</v>
      </c>
      <c r="L1914" s="120"/>
      <c r="M1914" s="3"/>
    </row>
    <row r="1915" spans="1:13" s="4" customFormat="1" ht="14.25" customHeight="1" x14ac:dyDescent="0.25">
      <c r="A1915" s="4" t="s">
        <v>3158</v>
      </c>
      <c r="B1915" s="4" t="s">
        <v>50</v>
      </c>
      <c r="C1915" s="4" t="s">
        <v>14</v>
      </c>
      <c r="D1915" s="35">
        <v>823</v>
      </c>
      <c r="E1915" s="4" t="s">
        <v>3159</v>
      </c>
      <c r="F1915" s="5">
        <v>39343</v>
      </c>
      <c r="G1915" s="5">
        <v>39709</v>
      </c>
      <c r="H1915" s="4" t="s">
        <v>40</v>
      </c>
      <c r="I1915" s="6">
        <v>26369.88</v>
      </c>
      <c r="J1915" s="6">
        <v>13184.94</v>
      </c>
      <c r="K1915" s="37" t="s">
        <v>2650</v>
      </c>
      <c r="L1915" s="120"/>
      <c r="M1915" s="3"/>
    </row>
    <row r="1916" spans="1:13" s="4" customFormat="1" ht="14.25" customHeight="1" x14ac:dyDescent="0.25">
      <c r="A1916" s="4" t="s">
        <v>3160</v>
      </c>
      <c r="B1916" s="4" t="s">
        <v>90</v>
      </c>
      <c r="C1916" s="4" t="s">
        <v>14</v>
      </c>
      <c r="D1916" s="35">
        <v>824</v>
      </c>
      <c r="E1916" s="4" t="s">
        <v>3161</v>
      </c>
      <c r="F1916" s="5">
        <v>39343</v>
      </c>
      <c r="G1916" s="5">
        <v>39709</v>
      </c>
      <c r="H1916" s="4" t="s">
        <v>40</v>
      </c>
      <c r="I1916" s="6">
        <v>10000</v>
      </c>
      <c r="J1916" s="6">
        <v>5000</v>
      </c>
      <c r="K1916" s="37" t="s">
        <v>2650</v>
      </c>
      <c r="L1916" s="120"/>
      <c r="M1916" s="3"/>
    </row>
    <row r="1917" spans="1:13" s="4" customFormat="1" ht="14.25" customHeight="1" x14ac:dyDescent="0.25">
      <c r="A1917" s="4" t="s">
        <v>3162</v>
      </c>
      <c r="B1917" s="4" t="s">
        <v>59</v>
      </c>
      <c r="C1917" s="4" t="s">
        <v>14</v>
      </c>
      <c r="D1917" s="35">
        <v>825</v>
      </c>
      <c r="E1917" s="4" t="s">
        <v>3163</v>
      </c>
      <c r="F1917" s="5">
        <v>39343</v>
      </c>
      <c r="G1917" s="5">
        <v>39709</v>
      </c>
      <c r="H1917" s="4" t="s">
        <v>40</v>
      </c>
      <c r="I1917" s="6">
        <v>15000</v>
      </c>
      <c r="J1917" s="6">
        <v>15000</v>
      </c>
      <c r="K1917" s="37" t="s">
        <v>2650</v>
      </c>
      <c r="L1917" s="120"/>
      <c r="M1917" s="3"/>
    </row>
    <row r="1918" spans="1:13" s="4" customFormat="1" ht="14.25" customHeight="1" x14ac:dyDescent="0.25">
      <c r="A1918" s="4" t="s">
        <v>3164</v>
      </c>
      <c r="B1918" s="4" t="s">
        <v>59</v>
      </c>
      <c r="C1918" s="4" t="s">
        <v>14</v>
      </c>
      <c r="D1918" s="35">
        <v>834</v>
      </c>
      <c r="E1918" s="4" t="s">
        <v>3165</v>
      </c>
      <c r="F1918" s="5">
        <v>39343</v>
      </c>
      <c r="G1918" s="5">
        <v>39709</v>
      </c>
      <c r="H1918" s="4" t="s">
        <v>40</v>
      </c>
      <c r="I1918" s="6">
        <v>15000</v>
      </c>
      <c r="J1918" s="6">
        <v>15000</v>
      </c>
      <c r="K1918" s="37" t="s">
        <v>2650</v>
      </c>
      <c r="L1918" s="120"/>
      <c r="M1918" s="3"/>
    </row>
    <row r="1919" spans="1:13" s="4" customFormat="1" ht="14.25" customHeight="1" x14ac:dyDescent="0.25">
      <c r="A1919" s="4" t="s">
        <v>3166</v>
      </c>
      <c r="B1919" s="4" t="s">
        <v>59</v>
      </c>
      <c r="C1919" s="4" t="s">
        <v>14</v>
      </c>
      <c r="D1919" s="35">
        <v>838</v>
      </c>
      <c r="E1919" s="4" t="s">
        <v>3129</v>
      </c>
      <c r="F1919" s="5">
        <v>39343</v>
      </c>
      <c r="G1919" s="5">
        <v>39709</v>
      </c>
      <c r="H1919" s="4" t="s">
        <v>40</v>
      </c>
      <c r="I1919" s="6">
        <v>7500</v>
      </c>
      <c r="J1919" s="6">
        <v>7500</v>
      </c>
      <c r="K1919" s="37" t="s">
        <v>2650</v>
      </c>
      <c r="L1919" s="120"/>
      <c r="M1919" s="3"/>
    </row>
    <row r="1920" spans="1:13" s="4" customFormat="1" ht="14.25" customHeight="1" x14ac:dyDescent="0.25">
      <c r="A1920" s="4" t="s">
        <v>3167</v>
      </c>
      <c r="B1920" s="4" t="s">
        <v>90</v>
      </c>
      <c r="C1920" s="4" t="s">
        <v>14</v>
      </c>
      <c r="D1920" s="35">
        <v>841</v>
      </c>
      <c r="E1920" s="4" t="s">
        <v>3168</v>
      </c>
      <c r="F1920" s="5">
        <v>39343</v>
      </c>
      <c r="G1920" s="5">
        <v>40071</v>
      </c>
      <c r="H1920" s="4" t="s">
        <v>40</v>
      </c>
      <c r="I1920" s="6">
        <v>3750</v>
      </c>
      <c r="J1920" s="6">
        <v>3750</v>
      </c>
      <c r="K1920" s="37" t="s">
        <v>2650</v>
      </c>
      <c r="L1920" s="120"/>
      <c r="M1920" s="3"/>
    </row>
    <row r="1921" spans="1:13" s="4" customFormat="1" ht="14.25" customHeight="1" x14ac:dyDescent="0.25">
      <c r="A1921" s="4" t="s">
        <v>3169</v>
      </c>
      <c r="B1921" s="4" t="s">
        <v>50</v>
      </c>
      <c r="C1921" s="4" t="s">
        <v>14</v>
      </c>
      <c r="D1921" s="35">
        <v>843</v>
      </c>
      <c r="E1921" s="4" t="s">
        <v>3170</v>
      </c>
      <c r="F1921" s="5">
        <v>39380</v>
      </c>
      <c r="G1921" s="5">
        <v>39746</v>
      </c>
      <c r="H1921" s="4" t="s">
        <v>40</v>
      </c>
      <c r="I1921" s="6">
        <v>90000</v>
      </c>
      <c r="J1921" s="6">
        <v>45000</v>
      </c>
      <c r="K1921" s="37" t="s">
        <v>2650</v>
      </c>
      <c r="L1921" s="120"/>
      <c r="M1921" s="3"/>
    </row>
    <row r="1922" spans="1:13" s="4" customFormat="1" ht="14.25" customHeight="1" x14ac:dyDescent="0.25">
      <c r="A1922" s="4" t="s">
        <v>3171</v>
      </c>
      <c r="B1922" s="4" t="s">
        <v>90</v>
      </c>
      <c r="C1922" s="4" t="s">
        <v>14</v>
      </c>
      <c r="D1922" s="35">
        <v>1051</v>
      </c>
      <c r="E1922" s="4" t="s">
        <v>3136</v>
      </c>
      <c r="F1922" s="5">
        <v>39380</v>
      </c>
      <c r="G1922" s="5">
        <v>39746</v>
      </c>
      <c r="H1922" s="4" t="s">
        <v>40</v>
      </c>
      <c r="I1922" s="6">
        <v>10200</v>
      </c>
      <c r="J1922" s="6">
        <v>5100</v>
      </c>
      <c r="K1922" s="37" t="s">
        <v>2650</v>
      </c>
      <c r="L1922" s="120"/>
      <c r="M1922" s="3"/>
    </row>
    <row r="1923" spans="1:13" s="4" customFormat="1" ht="14.25" customHeight="1" x14ac:dyDescent="0.25">
      <c r="A1923" s="4" t="s">
        <v>3172</v>
      </c>
      <c r="B1923" s="4" t="s">
        <v>90</v>
      </c>
      <c r="C1923" s="4" t="s">
        <v>14</v>
      </c>
      <c r="D1923" s="35">
        <v>1052</v>
      </c>
      <c r="E1923" s="4" t="s">
        <v>3173</v>
      </c>
      <c r="F1923" s="5">
        <v>39380</v>
      </c>
      <c r="G1923" s="5">
        <v>39746</v>
      </c>
      <c r="H1923" s="4" t="s">
        <v>40</v>
      </c>
      <c r="I1923" s="6">
        <v>5500</v>
      </c>
      <c r="J1923" s="6">
        <v>2750</v>
      </c>
      <c r="K1923" s="37" t="s">
        <v>2650</v>
      </c>
      <c r="L1923" s="120"/>
      <c r="M1923" s="3"/>
    </row>
    <row r="1924" spans="1:13" s="4" customFormat="1" ht="14.25" customHeight="1" x14ac:dyDescent="0.25">
      <c r="A1924" s="4" t="s">
        <v>3174</v>
      </c>
      <c r="B1924" s="4" t="s">
        <v>90</v>
      </c>
      <c r="C1924" s="4" t="s">
        <v>14</v>
      </c>
      <c r="D1924" s="35">
        <v>1123</v>
      </c>
      <c r="E1924" s="4" t="s">
        <v>3175</v>
      </c>
      <c r="F1924" s="5">
        <v>39380</v>
      </c>
      <c r="G1924" s="5">
        <v>39746</v>
      </c>
      <c r="H1924" s="4" t="s">
        <v>40</v>
      </c>
      <c r="I1924" s="6">
        <v>7562.54</v>
      </c>
      <c r="J1924" s="6">
        <v>4545.7700000000004</v>
      </c>
      <c r="K1924" s="37" t="s">
        <v>2650</v>
      </c>
      <c r="L1924" s="120"/>
      <c r="M1924" s="3"/>
    </row>
    <row r="1925" spans="1:13" s="4" customFormat="1" ht="14.25" customHeight="1" x14ac:dyDescent="0.25">
      <c r="A1925" s="4" t="s">
        <v>3176</v>
      </c>
      <c r="B1925" s="4" t="s">
        <v>59</v>
      </c>
      <c r="C1925" s="4" t="s">
        <v>14</v>
      </c>
      <c r="D1925" s="35">
        <v>1125</v>
      </c>
      <c r="E1925" s="4" t="s">
        <v>3177</v>
      </c>
      <c r="F1925" s="5">
        <v>39380</v>
      </c>
      <c r="G1925" s="5">
        <v>39746</v>
      </c>
      <c r="H1925" s="4" t="s">
        <v>40</v>
      </c>
      <c r="I1925" s="6">
        <v>15000</v>
      </c>
      <c r="J1925" s="6">
        <v>15000</v>
      </c>
      <c r="K1925" s="37" t="s">
        <v>2650</v>
      </c>
      <c r="L1925" s="120"/>
      <c r="M1925" s="3"/>
    </row>
    <row r="1926" spans="1:13" s="4" customFormat="1" ht="14.25" customHeight="1" x14ac:dyDescent="0.25">
      <c r="A1926" s="4" t="s">
        <v>3180</v>
      </c>
      <c r="B1926" s="4" t="s">
        <v>90</v>
      </c>
      <c r="C1926" s="4" t="s">
        <v>14</v>
      </c>
      <c r="D1926" s="35">
        <v>1201</v>
      </c>
      <c r="E1926" s="4" t="s">
        <v>3181</v>
      </c>
      <c r="F1926" s="5">
        <v>39380</v>
      </c>
      <c r="G1926" s="5">
        <v>39746</v>
      </c>
      <c r="H1926" s="4" t="s">
        <v>40</v>
      </c>
      <c r="I1926" s="6">
        <v>3074</v>
      </c>
      <c r="J1926" s="6">
        <v>3074</v>
      </c>
      <c r="K1926" s="37" t="s">
        <v>2650</v>
      </c>
      <c r="L1926" s="120"/>
      <c r="M1926" s="3"/>
    </row>
    <row r="1927" spans="1:13" s="4" customFormat="1" ht="14.25" customHeight="1" x14ac:dyDescent="0.25">
      <c r="A1927" s="4" t="s">
        <v>3182</v>
      </c>
      <c r="B1927" s="4" t="s">
        <v>90</v>
      </c>
      <c r="C1927" s="4" t="s">
        <v>14</v>
      </c>
      <c r="D1927" s="35">
        <v>1646</v>
      </c>
      <c r="E1927" s="4" t="s">
        <v>3183</v>
      </c>
      <c r="F1927" s="5">
        <v>39406</v>
      </c>
      <c r="G1927" s="5">
        <v>39772</v>
      </c>
      <c r="H1927" s="4" t="s">
        <v>40</v>
      </c>
      <c r="I1927" s="6">
        <v>8294.02</v>
      </c>
      <c r="J1927" s="6">
        <v>4147.01</v>
      </c>
      <c r="K1927" s="37" t="s">
        <v>2650</v>
      </c>
      <c r="L1927" s="120"/>
      <c r="M1927" s="3"/>
    </row>
    <row r="1928" spans="1:13" s="4" customFormat="1" ht="14.25" customHeight="1" x14ac:dyDescent="0.25">
      <c r="A1928" s="4" t="s">
        <v>3184</v>
      </c>
      <c r="B1928" s="4" t="s">
        <v>59</v>
      </c>
      <c r="C1928" s="4" t="s">
        <v>14</v>
      </c>
      <c r="D1928" s="35">
        <v>1647</v>
      </c>
      <c r="E1928" s="4" t="s">
        <v>3185</v>
      </c>
      <c r="F1928" s="5">
        <v>39406</v>
      </c>
      <c r="G1928" s="5">
        <v>39772</v>
      </c>
      <c r="H1928" s="4" t="s">
        <v>40</v>
      </c>
      <c r="I1928" s="6">
        <v>7500</v>
      </c>
      <c r="J1928" s="6">
        <v>7500</v>
      </c>
      <c r="K1928" s="37" t="s">
        <v>2650</v>
      </c>
      <c r="L1928" s="120"/>
      <c r="M1928" s="3"/>
    </row>
    <row r="1929" spans="1:13" s="4" customFormat="1" ht="14.25" customHeight="1" x14ac:dyDescent="0.25">
      <c r="A1929" s="4" t="s">
        <v>3186</v>
      </c>
      <c r="B1929" s="4" t="s">
        <v>59</v>
      </c>
      <c r="C1929" s="4" t="s">
        <v>14</v>
      </c>
      <c r="D1929" s="35">
        <v>1648</v>
      </c>
      <c r="E1929" s="4" t="s">
        <v>3187</v>
      </c>
      <c r="F1929" s="5">
        <v>39427</v>
      </c>
      <c r="G1929" s="5">
        <v>39793</v>
      </c>
      <c r="H1929" s="4" t="s">
        <v>40</v>
      </c>
      <c r="I1929" s="6">
        <v>7500</v>
      </c>
      <c r="J1929" s="6">
        <v>7500</v>
      </c>
      <c r="K1929" s="37" t="s">
        <v>2650</v>
      </c>
      <c r="L1929" s="120"/>
      <c r="M1929" s="3"/>
    </row>
    <row r="1930" spans="1:13" s="4" customFormat="1" ht="14.25" customHeight="1" x14ac:dyDescent="0.25">
      <c r="A1930" s="4" t="s">
        <v>3188</v>
      </c>
      <c r="B1930" s="4" t="s">
        <v>59</v>
      </c>
      <c r="C1930" s="4" t="s">
        <v>14</v>
      </c>
      <c r="D1930" s="35">
        <v>1650</v>
      </c>
      <c r="E1930" s="4" t="s">
        <v>3189</v>
      </c>
      <c r="F1930" s="5">
        <v>39427</v>
      </c>
      <c r="G1930" s="5">
        <v>39793</v>
      </c>
      <c r="H1930" s="4" t="s">
        <v>40</v>
      </c>
      <c r="I1930" s="6">
        <v>5000</v>
      </c>
      <c r="J1930" s="6">
        <v>5000</v>
      </c>
      <c r="K1930" s="37" t="s">
        <v>2650</v>
      </c>
      <c r="L1930" s="120"/>
      <c r="M1930" s="3"/>
    </row>
    <row r="1931" spans="1:13" s="4" customFormat="1" ht="14.25" customHeight="1" x14ac:dyDescent="0.25">
      <c r="A1931" s="4" t="s">
        <v>3191</v>
      </c>
      <c r="B1931" s="4" t="s">
        <v>59</v>
      </c>
      <c r="C1931" s="4" t="s">
        <v>14</v>
      </c>
      <c r="D1931" s="35">
        <v>1652</v>
      </c>
      <c r="E1931" s="4" t="s">
        <v>59</v>
      </c>
      <c r="F1931" s="5">
        <v>39483</v>
      </c>
      <c r="G1931" s="5">
        <v>39849</v>
      </c>
      <c r="H1931" s="4" t="s">
        <v>40</v>
      </c>
      <c r="I1931" s="6">
        <v>5000</v>
      </c>
      <c r="J1931" s="6">
        <v>5000</v>
      </c>
      <c r="K1931" s="37" t="s">
        <v>2650</v>
      </c>
      <c r="L1931" s="120"/>
      <c r="M1931" s="3"/>
    </row>
    <row r="1932" spans="1:13" s="4" customFormat="1" ht="14.25" customHeight="1" x14ac:dyDescent="0.25">
      <c r="A1932" s="4" t="s">
        <v>3192</v>
      </c>
      <c r="B1932" s="4" t="s">
        <v>59</v>
      </c>
      <c r="C1932" s="4" t="s">
        <v>14</v>
      </c>
      <c r="D1932" s="35">
        <v>1656</v>
      </c>
      <c r="E1932" s="4" t="s">
        <v>3193</v>
      </c>
      <c r="F1932" s="5">
        <v>39483</v>
      </c>
      <c r="G1932" s="5">
        <v>39849</v>
      </c>
      <c r="H1932" s="4" t="s">
        <v>40</v>
      </c>
      <c r="I1932" s="6">
        <v>7500</v>
      </c>
      <c r="J1932" s="6">
        <v>7500</v>
      </c>
      <c r="K1932" s="37" t="s">
        <v>2650</v>
      </c>
      <c r="L1932" s="120"/>
      <c r="M1932" s="3"/>
    </row>
    <row r="1933" spans="1:13" s="4" customFormat="1" ht="14.25" customHeight="1" x14ac:dyDescent="0.25">
      <c r="A1933" s="4" t="s">
        <v>3196</v>
      </c>
      <c r="B1933" s="4" t="s">
        <v>90</v>
      </c>
      <c r="C1933" s="4" t="s">
        <v>14</v>
      </c>
      <c r="D1933" s="35">
        <v>1660</v>
      </c>
      <c r="E1933" s="4" t="s">
        <v>3197</v>
      </c>
      <c r="F1933" s="5">
        <v>39483</v>
      </c>
      <c r="G1933" s="5">
        <v>39849</v>
      </c>
      <c r="H1933" s="4" t="s">
        <v>40</v>
      </c>
      <c r="I1933" s="6">
        <v>9800</v>
      </c>
      <c r="J1933" s="6">
        <v>4900</v>
      </c>
      <c r="K1933" s="37" t="s">
        <v>2650</v>
      </c>
      <c r="L1933" s="120"/>
      <c r="M1933" s="3"/>
    </row>
    <row r="1934" spans="1:13" s="4" customFormat="1" ht="14.25" customHeight="1" x14ac:dyDescent="0.25">
      <c r="A1934" s="4" t="s">
        <v>3198</v>
      </c>
      <c r="B1934" s="4" t="s">
        <v>90</v>
      </c>
      <c r="C1934" s="4" t="s">
        <v>14</v>
      </c>
      <c r="D1934" s="35">
        <v>1661</v>
      </c>
      <c r="E1934" s="4" t="s">
        <v>3199</v>
      </c>
      <c r="F1934" s="5">
        <v>39483</v>
      </c>
      <c r="G1934" s="5">
        <v>39849</v>
      </c>
      <c r="H1934" s="4" t="s">
        <v>40</v>
      </c>
      <c r="I1934" s="6">
        <v>6776</v>
      </c>
      <c r="J1934" s="6">
        <v>3387.5</v>
      </c>
      <c r="K1934" s="37" t="s">
        <v>2650</v>
      </c>
      <c r="L1934" s="120"/>
      <c r="M1934" s="3"/>
    </row>
    <row r="1935" spans="1:13" s="4" customFormat="1" ht="14.25" customHeight="1" x14ac:dyDescent="0.25">
      <c r="A1935" s="4" t="s">
        <v>3200</v>
      </c>
      <c r="B1935" s="4" t="s">
        <v>59</v>
      </c>
      <c r="C1935" s="4" t="s">
        <v>14</v>
      </c>
      <c r="D1935" s="35">
        <v>1663</v>
      </c>
      <c r="E1935" s="4" t="s">
        <v>59</v>
      </c>
      <c r="F1935" s="5">
        <v>39483</v>
      </c>
      <c r="G1935" s="5">
        <v>39849</v>
      </c>
      <c r="H1935" s="4" t="s">
        <v>40</v>
      </c>
      <c r="I1935" s="6">
        <v>7500</v>
      </c>
      <c r="J1935" s="6">
        <v>7500</v>
      </c>
      <c r="K1935" s="37" t="s">
        <v>2650</v>
      </c>
      <c r="L1935" s="120"/>
      <c r="M1935" s="3"/>
    </row>
    <row r="1936" spans="1:13" s="4" customFormat="1" ht="14.25" customHeight="1" x14ac:dyDescent="0.25">
      <c r="A1936" s="4" t="s">
        <v>3201</v>
      </c>
      <c r="B1936" s="4" t="s">
        <v>59</v>
      </c>
      <c r="C1936" s="4" t="s">
        <v>14</v>
      </c>
      <c r="D1936" s="35">
        <v>1664</v>
      </c>
      <c r="E1936" s="4" t="s">
        <v>3202</v>
      </c>
      <c r="F1936" s="5">
        <v>39483</v>
      </c>
      <c r="G1936" s="5">
        <v>39849</v>
      </c>
      <c r="H1936" s="4" t="s">
        <v>40</v>
      </c>
      <c r="I1936" s="6">
        <v>10000</v>
      </c>
      <c r="J1936" s="6">
        <v>10000</v>
      </c>
      <c r="K1936" s="37" t="s">
        <v>2650</v>
      </c>
      <c r="L1936" s="120"/>
      <c r="M1936" s="3"/>
    </row>
    <row r="1937" spans="1:13" s="4" customFormat="1" ht="14.25" customHeight="1" x14ac:dyDescent="0.25">
      <c r="A1937" s="4" t="s">
        <v>3203</v>
      </c>
      <c r="B1937" s="4" t="s">
        <v>59</v>
      </c>
      <c r="C1937" s="4" t="s">
        <v>14</v>
      </c>
      <c r="D1937" s="35">
        <v>1665</v>
      </c>
      <c r="E1937" s="4" t="s">
        <v>3121</v>
      </c>
      <c r="F1937" s="5">
        <v>39483</v>
      </c>
      <c r="G1937" s="5">
        <v>39849</v>
      </c>
      <c r="H1937" s="4" t="s">
        <v>40</v>
      </c>
      <c r="I1937" s="6">
        <v>7500</v>
      </c>
      <c r="J1937" s="6">
        <v>7500</v>
      </c>
      <c r="K1937" s="37" t="s">
        <v>2650</v>
      </c>
      <c r="L1937" s="120"/>
      <c r="M1937" s="3"/>
    </row>
    <row r="1938" spans="1:13" s="4" customFormat="1" ht="14.25" customHeight="1" x14ac:dyDescent="0.25">
      <c r="A1938" s="4" t="s">
        <v>3204</v>
      </c>
      <c r="B1938" s="4" t="s">
        <v>90</v>
      </c>
      <c r="C1938" s="4" t="s">
        <v>14</v>
      </c>
      <c r="D1938" s="35">
        <v>1666</v>
      </c>
      <c r="E1938" s="4" t="s">
        <v>3205</v>
      </c>
      <c r="F1938" s="5">
        <v>39483</v>
      </c>
      <c r="G1938" s="5">
        <v>39849</v>
      </c>
      <c r="H1938" s="4" t="s">
        <v>40</v>
      </c>
      <c r="I1938" s="6">
        <v>10200</v>
      </c>
      <c r="J1938" s="6">
        <v>5100</v>
      </c>
      <c r="K1938" s="37" t="s">
        <v>2650</v>
      </c>
      <c r="L1938" s="120"/>
      <c r="M1938" s="3"/>
    </row>
    <row r="1939" spans="1:13" s="4" customFormat="1" ht="14.25" customHeight="1" x14ac:dyDescent="0.25">
      <c r="A1939" s="4" t="s">
        <v>3208</v>
      </c>
      <c r="B1939" s="4" t="s">
        <v>59</v>
      </c>
      <c r="C1939" s="4" t="s">
        <v>14</v>
      </c>
      <c r="D1939" s="35">
        <v>1683</v>
      </c>
      <c r="E1939" s="4" t="s">
        <v>3209</v>
      </c>
      <c r="F1939" s="5">
        <v>39518</v>
      </c>
      <c r="G1939" s="5">
        <v>39883</v>
      </c>
      <c r="H1939" s="4" t="s">
        <v>40</v>
      </c>
      <c r="I1939" s="6">
        <v>7500</v>
      </c>
      <c r="J1939" s="6">
        <v>7500</v>
      </c>
      <c r="K1939" s="37" t="s">
        <v>2650</v>
      </c>
      <c r="L1939" s="120"/>
      <c r="M1939" s="3"/>
    </row>
    <row r="1940" spans="1:13" s="4" customFormat="1" ht="14.25" customHeight="1" x14ac:dyDescent="0.25">
      <c r="A1940" s="4" t="s">
        <v>3210</v>
      </c>
      <c r="B1940" s="4" t="s">
        <v>59</v>
      </c>
      <c r="C1940" s="4" t="s">
        <v>14</v>
      </c>
      <c r="D1940" s="35">
        <v>1687</v>
      </c>
      <c r="E1940" s="4" t="s">
        <v>3211</v>
      </c>
      <c r="F1940" s="5">
        <v>39567</v>
      </c>
      <c r="G1940" s="5">
        <v>39867</v>
      </c>
      <c r="H1940" s="4" t="s">
        <v>40</v>
      </c>
      <c r="I1940" s="6">
        <v>3750</v>
      </c>
      <c r="J1940" s="6">
        <v>3750</v>
      </c>
      <c r="K1940" s="37" t="s">
        <v>2650</v>
      </c>
      <c r="L1940" s="120"/>
      <c r="M1940" s="3"/>
    </row>
    <row r="1941" spans="1:13" s="4" customFormat="1" ht="14.25" customHeight="1" x14ac:dyDescent="0.25">
      <c r="A1941" s="4" t="s">
        <v>3212</v>
      </c>
      <c r="B1941" s="4" t="s">
        <v>59</v>
      </c>
      <c r="C1941" s="4" t="s">
        <v>14</v>
      </c>
      <c r="D1941" s="35">
        <v>1691</v>
      </c>
      <c r="E1941" s="4" t="s">
        <v>3185</v>
      </c>
      <c r="F1941" s="5">
        <v>39567</v>
      </c>
      <c r="G1941" s="5">
        <v>39932</v>
      </c>
      <c r="H1941" s="4" t="s">
        <v>40</v>
      </c>
      <c r="I1941" s="6">
        <v>15000</v>
      </c>
      <c r="J1941" s="6">
        <v>15000</v>
      </c>
      <c r="K1941" s="37" t="s">
        <v>2650</v>
      </c>
      <c r="L1941" s="120"/>
      <c r="M1941" s="3"/>
    </row>
    <row r="1942" spans="1:13" s="4" customFormat="1" ht="14.25" customHeight="1" x14ac:dyDescent="0.25">
      <c r="A1942" s="4" t="s">
        <v>3213</v>
      </c>
      <c r="B1942" s="4" t="s">
        <v>59</v>
      </c>
      <c r="C1942" s="4" t="s">
        <v>14</v>
      </c>
      <c r="D1942" s="35">
        <v>1693</v>
      </c>
      <c r="E1942" s="4" t="s">
        <v>3214</v>
      </c>
      <c r="F1942" s="5">
        <v>39707</v>
      </c>
      <c r="G1942" s="5">
        <v>39980</v>
      </c>
      <c r="H1942" s="4" t="s">
        <v>40</v>
      </c>
      <c r="I1942" s="6">
        <v>3750</v>
      </c>
      <c r="J1942" s="6">
        <v>3750</v>
      </c>
      <c r="K1942" s="37" t="s">
        <v>2650</v>
      </c>
      <c r="L1942" s="120"/>
      <c r="M1942" s="3"/>
    </row>
    <row r="1943" spans="1:13" s="4" customFormat="1" ht="14.25" customHeight="1" x14ac:dyDescent="0.25">
      <c r="A1943" s="4" t="s">
        <v>3215</v>
      </c>
      <c r="B1943" s="4" t="s">
        <v>59</v>
      </c>
      <c r="C1943" s="4" t="s">
        <v>14</v>
      </c>
      <c r="D1943" s="35">
        <v>1707</v>
      </c>
      <c r="E1943" s="4" t="s">
        <v>3216</v>
      </c>
      <c r="F1943" s="5">
        <v>39707</v>
      </c>
      <c r="G1943" s="5">
        <v>39980</v>
      </c>
      <c r="H1943" s="4" t="s">
        <v>40</v>
      </c>
      <c r="I1943" s="6">
        <v>3750</v>
      </c>
      <c r="J1943" s="6">
        <v>3750</v>
      </c>
      <c r="K1943" s="37" t="s">
        <v>2650</v>
      </c>
      <c r="L1943" s="120"/>
      <c r="M1943" s="3"/>
    </row>
    <row r="1944" spans="1:13" s="4" customFormat="1" ht="14.25" customHeight="1" x14ac:dyDescent="0.25">
      <c r="A1944" s="4" t="s">
        <v>3217</v>
      </c>
      <c r="B1944" s="4" t="s">
        <v>59</v>
      </c>
      <c r="C1944" s="4" t="s">
        <v>14</v>
      </c>
      <c r="D1944" s="35">
        <v>1709</v>
      </c>
      <c r="E1944" s="4" t="s">
        <v>3218</v>
      </c>
      <c r="F1944" s="5">
        <v>39707</v>
      </c>
      <c r="G1944" s="5">
        <v>39980</v>
      </c>
      <c r="H1944" s="4" t="s">
        <v>40</v>
      </c>
      <c r="I1944" s="6">
        <v>3750</v>
      </c>
      <c r="J1944" s="6">
        <v>3750</v>
      </c>
      <c r="K1944" s="37" t="s">
        <v>2650</v>
      </c>
      <c r="L1944" s="120"/>
      <c r="M1944" s="3"/>
    </row>
    <row r="1945" spans="1:13" s="4" customFormat="1" ht="14.25" customHeight="1" x14ac:dyDescent="0.25">
      <c r="A1945" s="4" t="s">
        <v>3219</v>
      </c>
      <c r="B1945" s="4" t="s">
        <v>38</v>
      </c>
      <c r="C1945" s="4" t="s">
        <v>14</v>
      </c>
      <c r="D1945" s="35">
        <v>2377</v>
      </c>
      <c r="E1945" s="4" t="s">
        <v>3220</v>
      </c>
      <c r="F1945" s="5">
        <v>39083</v>
      </c>
      <c r="G1945" s="5">
        <v>41639</v>
      </c>
      <c r="H1945" s="4" t="s">
        <v>40</v>
      </c>
      <c r="I1945" s="6">
        <v>0</v>
      </c>
      <c r="J1945" s="6">
        <v>0</v>
      </c>
      <c r="K1945" s="37" t="s">
        <v>2650</v>
      </c>
      <c r="L1945" s="120"/>
      <c r="M1945" s="3"/>
    </row>
    <row r="1946" spans="1:13" s="4" customFormat="1" ht="14.25" customHeight="1" x14ac:dyDescent="0.25">
      <c r="A1946" s="4" t="s">
        <v>3221</v>
      </c>
      <c r="B1946" s="4" t="s">
        <v>38</v>
      </c>
      <c r="C1946" s="4" t="s">
        <v>14</v>
      </c>
      <c r="D1946" s="35">
        <v>2400</v>
      </c>
      <c r="E1946" s="4" t="s">
        <v>3222</v>
      </c>
      <c r="F1946" s="5">
        <v>39083</v>
      </c>
      <c r="G1946" s="5">
        <v>41639</v>
      </c>
      <c r="H1946" s="4" t="s">
        <v>40</v>
      </c>
      <c r="I1946" s="6">
        <v>0</v>
      </c>
      <c r="J1946" s="6">
        <v>0</v>
      </c>
      <c r="K1946" s="37" t="s">
        <v>2650</v>
      </c>
      <c r="L1946" s="120"/>
      <c r="M1946" s="3"/>
    </row>
    <row r="1947" spans="1:13" s="4" customFormat="1" ht="14.25" customHeight="1" x14ac:dyDescent="0.25">
      <c r="A1947" s="4" t="s">
        <v>3223</v>
      </c>
      <c r="B1947" s="4" t="s">
        <v>38</v>
      </c>
      <c r="C1947" s="4" t="s">
        <v>14</v>
      </c>
      <c r="D1947" s="35">
        <v>2404</v>
      </c>
      <c r="E1947" s="4" t="s">
        <v>3224</v>
      </c>
      <c r="F1947" s="5">
        <v>39083</v>
      </c>
      <c r="G1947" s="5">
        <v>41639</v>
      </c>
      <c r="H1947" s="4" t="s">
        <v>40</v>
      </c>
      <c r="I1947" s="6">
        <v>0</v>
      </c>
      <c r="J1947" s="6">
        <v>0</v>
      </c>
      <c r="K1947" s="37" t="s">
        <v>2650</v>
      </c>
      <c r="L1947" s="120"/>
      <c r="M1947" s="3"/>
    </row>
    <row r="1948" spans="1:13" s="4" customFormat="1" ht="14.25" customHeight="1" x14ac:dyDescent="0.25">
      <c r="A1948" s="4" t="s">
        <v>3225</v>
      </c>
      <c r="B1948" s="4" t="s">
        <v>38</v>
      </c>
      <c r="C1948" s="4" t="s">
        <v>14</v>
      </c>
      <c r="D1948" s="35">
        <v>2409</v>
      </c>
      <c r="E1948" s="4" t="s">
        <v>3226</v>
      </c>
      <c r="F1948" s="5">
        <v>39083</v>
      </c>
      <c r="G1948" s="5">
        <v>41639</v>
      </c>
      <c r="H1948" s="4" t="s">
        <v>40</v>
      </c>
      <c r="I1948" s="6">
        <f>20000+10000+10000+17500</f>
        <v>57500</v>
      </c>
      <c r="J1948" s="6">
        <v>57500</v>
      </c>
      <c r="K1948" s="37" t="s">
        <v>2650</v>
      </c>
      <c r="L1948" s="120"/>
      <c r="M1948" s="3"/>
    </row>
    <row r="1949" spans="1:13" s="4" customFormat="1" ht="14.25" customHeight="1" x14ac:dyDescent="0.25">
      <c r="A1949" s="4" t="s">
        <v>3227</v>
      </c>
      <c r="B1949" s="4" t="s">
        <v>38</v>
      </c>
      <c r="C1949" s="4" t="s">
        <v>14</v>
      </c>
      <c r="D1949" s="35">
        <v>2414</v>
      </c>
      <c r="E1949" s="4" t="s">
        <v>3228</v>
      </c>
      <c r="F1949" s="5">
        <v>39083</v>
      </c>
      <c r="G1949" s="5">
        <v>41639</v>
      </c>
      <c r="H1949" s="4" t="s">
        <v>40</v>
      </c>
      <c r="I1949" s="6">
        <v>288654.44</v>
      </c>
      <c r="J1949" s="6">
        <v>288654.44</v>
      </c>
      <c r="K1949" s="37" t="s">
        <v>2650</v>
      </c>
      <c r="L1949" s="120"/>
      <c r="M1949" s="3"/>
    </row>
    <row r="1950" spans="1:13" s="4" customFormat="1" ht="14.25" customHeight="1" x14ac:dyDescent="0.25">
      <c r="A1950" s="4" t="s">
        <v>3229</v>
      </c>
      <c r="B1950" s="4" t="s">
        <v>38</v>
      </c>
      <c r="C1950" s="4" t="s">
        <v>14</v>
      </c>
      <c r="D1950" s="35">
        <v>2419</v>
      </c>
      <c r="E1950" s="4" t="s">
        <v>3230</v>
      </c>
      <c r="F1950" s="5">
        <v>39083</v>
      </c>
      <c r="G1950" s="5">
        <v>41609</v>
      </c>
      <c r="H1950" s="4" t="s">
        <v>40</v>
      </c>
      <c r="I1950" s="6">
        <f>8807.56+2500+2500+2200</f>
        <v>16007.56</v>
      </c>
      <c r="J1950" s="6">
        <f>13507.56+2500</f>
        <v>16007.56</v>
      </c>
      <c r="K1950" s="37" t="s">
        <v>2650</v>
      </c>
      <c r="L1950" s="120"/>
      <c r="M1950" s="3"/>
    </row>
    <row r="1951" spans="1:13" s="4" customFormat="1" ht="14.25" customHeight="1" x14ac:dyDescent="0.25">
      <c r="A1951" s="4" t="s">
        <v>3231</v>
      </c>
      <c r="B1951" s="4" t="s">
        <v>38</v>
      </c>
      <c r="C1951" s="4" t="s">
        <v>14</v>
      </c>
      <c r="D1951" s="35">
        <v>2420</v>
      </c>
      <c r="E1951" s="4" t="s">
        <v>3232</v>
      </c>
      <c r="F1951" s="5">
        <v>39083</v>
      </c>
      <c r="G1951" s="5">
        <v>41639</v>
      </c>
      <c r="H1951" s="4" t="s">
        <v>40</v>
      </c>
      <c r="I1951" s="6">
        <f>112931.22+24912.28+30778.31+35346.32</f>
        <v>203968.13</v>
      </c>
      <c r="J1951" s="6">
        <f>179055.88+24912.28</f>
        <v>203968.16</v>
      </c>
      <c r="K1951" s="37" t="s">
        <v>2650</v>
      </c>
      <c r="L1951" s="120"/>
      <c r="M1951" s="3"/>
    </row>
    <row r="1952" spans="1:13" s="4" customFormat="1" ht="14.25" customHeight="1" x14ac:dyDescent="0.25">
      <c r="A1952" s="4" t="s">
        <v>3233</v>
      </c>
      <c r="B1952" s="4" t="s">
        <v>38</v>
      </c>
      <c r="C1952" s="4" t="s">
        <v>14</v>
      </c>
      <c r="D1952" s="35">
        <v>2421</v>
      </c>
      <c r="E1952" s="4" t="s">
        <v>3234</v>
      </c>
      <c r="F1952" s="5">
        <v>39083</v>
      </c>
      <c r="G1952" s="5">
        <v>41639</v>
      </c>
      <c r="H1952" s="4" t="s">
        <v>40</v>
      </c>
      <c r="I1952" s="6">
        <v>39015.19</v>
      </c>
      <c r="J1952" s="6">
        <v>39015.19</v>
      </c>
      <c r="K1952" s="37" t="s">
        <v>2650</v>
      </c>
      <c r="L1952" s="120"/>
      <c r="M1952" s="3"/>
    </row>
    <row r="1953" spans="1:13" s="4" customFormat="1" ht="14.25" customHeight="1" x14ac:dyDescent="0.25">
      <c r="A1953" s="4" t="s">
        <v>3235</v>
      </c>
      <c r="B1953" s="4" t="s">
        <v>38</v>
      </c>
      <c r="C1953" s="4" t="s">
        <v>14</v>
      </c>
      <c r="D1953" s="35">
        <v>2422</v>
      </c>
      <c r="E1953" s="4" t="s">
        <v>3236</v>
      </c>
      <c r="F1953" s="5">
        <v>39083</v>
      </c>
      <c r="G1953" s="5">
        <v>41639</v>
      </c>
      <c r="H1953" s="4" t="s">
        <v>40</v>
      </c>
      <c r="I1953" s="6">
        <f>22310.22+7730.68+7962.16+3498</f>
        <v>41501.06</v>
      </c>
      <c r="J1953" s="6">
        <f>33538.9+7962.16</f>
        <v>41501.06</v>
      </c>
      <c r="K1953" s="37" t="s">
        <v>2650</v>
      </c>
      <c r="L1953" s="120"/>
      <c r="M1953" s="3"/>
    </row>
    <row r="1954" spans="1:13" s="4" customFormat="1" ht="14.25" customHeight="1" x14ac:dyDescent="0.25">
      <c r="A1954" s="4" t="s">
        <v>3237</v>
      </c>
      <c r="B1954" s="4" t="s">
        <v>38</v>
      </c>
      <c r="C1954" s="4" t="s">
        <v>14</v>
      </c>
      <c r="D1954" s="35">
        <v>2424</v>
      </c>
      <c r="E1954" s="4" t="s">
        <v>3238</v>
      </c>
      <c r="F1954" s="5">
        <v>39083</v>
      </c>
      <c r="G1954" s="5">
        <v>41639</v>
      </c>
      <c r="H1954" s="4" t="s">
        <v>40</v>
      </c>
      <c r="I1954" s="6">
        <f>93792.57+10216.18+20859.59+65010.92</f>
        <v>189879.26</v>
      </c>
      <c r="J1954" s="6">
        <f>119760.25+65101.92</f>
        <v>184862.16999999998</v>
      </c>
      <c r="K1954" s="37" t="s">
        <v>2650</v>
      </c>
      <c r="L1954" s="120"/>
      <c r="M1954" s="3"/>
    </row>
    <row r="1955" spans="1:13" s="4" customFormat="1" ht="14.25" customHeight="1" x14ac:dyDescent="0.25">
      <c r="A1955" s="4" t="s">
        <v>3239</v>
      </c>
      <c r="B1955" s="4" t="s">
        <v>38</v>
      </c>
      <c r="C1955" s="4" t="s">
        <v>14</v>
      </c>
      <c r="D1955" s="35">
        <v>2425</v>
      </c>
      <c r="E1955" s="4" t="s">
        <v>3240</v>
      </c>
      <c r="F1955" s="5">
        <v>39083</v>
      </c>
      <c r="G1955" s="5">
        <v>41274</v>
      </c>
      <c r="H1955" s="4" t="s">
        <v>40</v>
      </c>
      <c r="I1955" s="6">
        <v>54442.04</v>
      </c>
      <c r="J1955" s="6">
        <v>54442.04</v>
      </c>
      <c r="K1955" s="37" t="s">
        <v>2650</v>
      </c>
      <c r="L1955" s="120"/>
      <c r="M1955" s="3"/>
    </row>
    <row r="1956" spans="1:13" s="4" customFormat="1" ht="14.25" customHeight="1" x14ac:dyDescent="0.25">
      <c r="A1956" s="4" t="s">
        <v>3159</v>
      </c>
      <c r="B1956" s="4" t="s">
        <v>38</v>
      </c>
      <c r="C1956" s="4" t="s">
        <v>14</v>
      </c>
      <c r="D1956" s="35">
        <v>2426</v>
      </c>
      <c r="E1956" s="4" t="s">
        <v>3241</v>
      </c>
      <c r="F1956" s="5">
        <v>39083</v>
      </c>
      <c r="G1956" s="5">
        <v>41639</v>
      </c>
      <c r="H1956" s="4" t="s">
        <v>40</v>
      </c>
      <c r="I1956" s="6">
        <v>11597.86</v>
      </c>
      <c r="J1956" s="6">
        <v>11597.86</v>
      </c>
      <c r="K1956" s="37" t="s">
        <v>2650</v>
      </c>
      <c r="L1956" s="120"/>
      <c r="M1956" s="3"/>
    </row>
    <row r="1957" spans="1:13" s="4" customFormat="1" ht="14.25" customHeight="1" x14ac:dyDescent="0.25">
      <c r="A1957" s="4" t="s">
        <v>3242</v>
      </c>
      <c r="B1957" s="4" t="s">
        <v>38</v>
      </c>
      <c r="C1957" s="4" t="s">
        <v>14</v>
      </c>
      <c r="D1957" s="35">
        <v>2428</v>
      </c>
      <c r="E1957" s="4" t="s">
        <v>3243</v>
      </c>
      <c r="F1957" s="5">
        <v>39083</v>
      </c>
      <c r="G1957" s="5">
        <v>41639</v>
      </c>
      <c r="H1957" s="4" t="s">
        <v>40</v>
      </c>
      <c r="I1957" s="6">
        <f>30077.87+7919.8+17913.6+7124.07</f>
        <v>63035.34</v>
      </c>
      <c r="J1957" s="6">
        <f>55911.27+7124.07</f>
        <v>63035.34</v>
      </c>
      <c r="K1957" s="37" t="s">
        <v>2650</v>
      </c>
      <c r="L1957" s="120"/>
      <c r="M1957" s="3"/>
    </row>
    <row r="1958" spans="1:13" s="4" customFormat="1" ht="14.25" customHeight="1" x14ac:dyDescent="0.25">
      <c r="A1958" s="4" t="s">
        <v>3244</v>
      </c>
      <c r="B1958" s="4" t="s">
        <v>38</v>
      </c>
      <c r="C1958" s="4" t="s">
        <v>14</v>
      </c>
      <c r="D1958" s="35">
        <v>2487</v>
      </c>
      <c r="E1958" s="7" t="s">
        <v>3245</v>
      </c>
      <c r="F1958" s="5">
        <v>39083</v>
      </c>
      <c r="G1958" s="5">
        <v>41639</v>
      </c>
      <c r="H1958" s="4" t="s">
        <v>40</v>
      </c>
      <c r="I1958" s="6">
        <v>33784.67</v>
      </c>
      <c r="J1958" s="6">
        <v>33784.67</v>
      </c>
      <c r="K1958" s="37" t="s">
        <v>2650</v>
      </c>
      <c r="L1958" s="120"/>
      <c r="M1958" s="3"/>
    </row>
    <row r="1959" spans="1:13" s="4" customFormat="1" ht="14.25" customHeight="1" x14ac:dyDescent="0.25">
      <c r="A1959" s="4" t="s">
        <v>3246</v>
      </c>
      <c r="B1959" s="4" t="s">
        <v>38</v>
      </c>
      <c r="C1959" s="4" t="s">
        <v>14</v>
      </c>
      <c r="D1959" s="35">
        <v>2488</v>
      </c>
      <c r="E1959" s="4" t="s">
        <v>3247</v>
      </c>
      <c r="F1959" s="5">
        <v>39083</v>
      </c>
      <c r="G1959" s="5">
        <v>41639</v>
      </c>
      <c r="H1959" s="4" t="s">
        <v>40</v>
      </c>
      <c r="I1959" s="6">
        <v>34235</v>
      </c>
      <c r="J1959" s="6">
        <v>34235</v>
      </c>
      <c r="K1959" s="37" t="s">
        <v>2650</v>
      </c>
      <c r="L1959" s="120"/>
      <c r="M1959" s="3"/>
    </row>
    <row r="1960" spans="1:13" s="4" customFormat="1" ht="14.25" customHeight="1" x14ac:dyDescent="0.25">
      <c r="A1960" s="4" t="s">
        <v>3248</v>
      </c>
      <c r="B1960" s="4" t="s">
        <v>38</v>
      </c>
      <c r="C1960" s="4" t="s">
        <v>14</v>
      </c>
      <c r="D1960" s="35">
        <v>2489</v>
      </c>
      <c r="E1960" s="4" t="s">
        <v>3249</v>
      </c>
      <c r="F1960" s="5">
        <v>39083</v>
      </c>
      <c r="G1960" s="5">
        <v>41639</v>
      </c>
      <c r="H1960" s="4" t="s">
        <v>40</v>
      </c>
      <c r="I1960" s="6">
        <v>26110.35</v>
      </c>
      <c r="J1960" s="6">
        <f>22430.35+3680</f>
        <v>26110.35</v>
      </c>
      <c r="K1960" s="37" t="s">
        <v>2650</v>
      </c>
      <c r="L1960" s="120"/>
      <c r="M1960" s="3"/>
    </row>
    <row r="1961" spans="1:13" s="4" customFormat="1" ht="14.25" customHeight="1" x14ac:dyDescent="0.25">
      <c r="A1961" s="4" t="s">
        <v>3250</v>
      </c>
      <c r="B1961" s="4" t="s">
        <v>38</v>
      </c>
      <c r="C1961" s="4" t="s">
        <v>14</v>
      </c>
      <c r="D1961" s="35">
        <v>2491</v>
      </c>
      <c r="E1961" s="4" t="s">
        <v>3251</v>
      </c>
      <c r="F1961" s="5">
        <v>39083</v>
      </c>
      <c r="G1961" s="5">
        <v>41639</v>
      </c>
      <c r="H1961" s="4" t="s">
        <v>40</v>
      </c>
      <c r="I1961" s="6">
        <v>262310</v>
      </c>
      <c r="J1961" s="6">
        <f>222110+40200</f>
        <v>262310</v>
      </c>
      <c r="K1961" s="37" t="s">
        <v>2650</v>
      </c>
      <c r="L1961" s="120"/>
      <c r="M1961" s="3"/>
    </row>
    <row r="1962" spans="1:13" s="4" customFormat="1" ht="14.25" customHeight="1" x14ac:dyDescent="0.25">
      <c r="A1962" s="4" t="s">
        <v>3252</v>
      </c>
      <c r="B1962" s="4" t="s">
        <v>38</v>
      </c>
      <c r="C1962" s="4" t="s">
        <v>14</v>
      </c>
      <c r="D1962" s="35">
        <v>2492</v>
      </c>
      <c r="E1962" s="4" t="s">
        <v>3253</v>
      </c>
      <c r="F1962" s="5">
        <v>39083</v>
      </c>
      <c r="G1962" s="5">
        <v>41639</v>
      </c>
      <c r="H1962" s="4" t="s">
        <v>40</v>
      </c>
      <c r="I1962" s="6">
        <v>33237</v>
      </c>
      <c r="J1962" s="6">
        <v>33237</v>
      </c>
      <c r="K1962" s="37" t="s">
        <v>2650</v>
      </c>
      <c r="L1962" s="120"/>
      <c r="M1962" s="3"/>
    </row>
    <row r="1963" spans="1:13" s="4" customFormat="1" ht="14.25" customHeight="1" x14ac:dyDescent="0.25">
      <c r="A1963" s="4" t="s">
        <v>3254</v>
      </c>
      <c r="B1963" s="4" t="s">
        <v>38</v>
      </c>
      <c r="C1963" s="4" t="s">
        <v>14</v>
      </c>
      <c r="D1963" s="35">
        <v>2493</v>
      </c>
      <c r="E1963" s="4" t="s">
        <v>3255</v>
      </c>
      <c r="F1963" s="5">
        <v>39083</v>
      </c>
      <c r="G1963" s="5">
        <v>41639</v>
      </c>
      <c r="H1963" s="4" t="s">
        <v>40</v>
      </c>
      <c r="I1963" s="6">
        <v>14076</v>
      </c>
      <c r="J1963" s="6">
        <v>14076</v>
      </c>
      <c r="K1963" s="37" t="s">
        <v>2650</v>
      </c>
      <c r="L1963" s="120"/>
      <c r="M1963" s="3"/>
    </row>
    <row r="1964" spans="1:13" s="4" customFormat="1" ht="14.25" customHeight="1" x14ac:dyDescent="0.25">
      <c r="A1964" s="4" t="s">
        <v>3256</v>
      </c>
      <c r="B1964" s="4" t="s">
        <v>38</v>
      </c>
      <c r="C1964" s="4" t="s">
        <v>14</v>
      </c>
      <c r="D1964" s="35">
        <v>2494</v>
      </c>
      <c r="E1964" s="4" t="s">
        <v>3257</v>
      </c>
      <c r="F1964" s="5">
        <v>39083</v>
      </c>
      <c r="G1964" s="5">
        <v>41609</v>
      </c>
      <c r="H1964" s="4" t="s">
        <v>40</v>
      </c>
      <c r="I1964" s="6">
        <v>12153.2</v>
      </c>
      <c r="J1964" s="6">
        <v>12153.2</v>
      </c>
      <c r="K1964" s="37" t="s">
        <v>2650</v>
      </c>
      <c r="L1964" s="120"/>
      <c r="M1964" s="3"/>
    </row>
    <row r="1965" spans="1:13" s="4" customFormat="1" ht="14.25" customHeight="1" x14ac:dyDescent="0.25">
      <c r="A1965" s="4" t="s">
        <v>3258</v>
      </c>
      <c r="B1965" s="4" t="s">
        <v>38</v>
      </c>
      <c r="C1965" s="4" t="s">
        <v>14</v>
      </c>
      <c r="D1965" s="35">
        <v>2496</v>
      </c>
      <c r="E1965" s="4" t="s">
        <v>3259</v>
      </c>
      <c r="F1965" s="5">
        <v>39083</v>
      </c>
      <c r="G1965" s="5">
        <v>41639</v>
      </c>
      <c r="H1965" s="4" t="s">
        <v>40</v>
      </c>
      <c r="I1965" s="6">
        <v>28752.29</v>
      </c>
      <c r="J1965" s="6">
        <v>28752.29</v>
      </c>
      <c r="K1965" s="37" t="s">
        <v>2650</v>
      </c>
      <c r="L1965" s="120"/>
      <c r="M1965" s="3"/>
    </row>
    <row r="1966" spans="1:13" s="4" customFormat="1" ht="14.25" customHeight="1" x14ac:dyDescent="0.25">
      <c r="A1966" s="4" t="s">
        <v>3260</v>
      </c>
      <c r="B1966" s="4" t="s">
        <v>38</v>
      </c>
      <c r="C1966" s="4" t="s">
        <v>14</v>
      </c>
      <c r="D1966" s="35">
        <v>2498</v>
      </c>
      <c r="E1966" s="4" t="s">
        <v>3261</v>
      </c>
      <c r="F1966" s="5">
        <v>39083</v>
      </c>
      <c r="G1966" s="5">
        <v>41639</v>
      </c>
      <c r="H1966" s="4" t="s">
        <v>40</v>
      </c>
      <c r="I1966" s="6">
        <v>52330.29</v>
      </c>
      <c r="J1966" s="6">
        <v>52330.29</v>
      </c>
      <c r="K1966" s="37" t="s">
        <v>2650</v>
      </c>
      <c r="L1966" s="120"/>
      <c r="M1966" s="3"/>
    </row>
    <row r="1967" spans="1:13" s="4" customFormat="1" ht="14.25" customHeight="1" x14ac:dyDescent="0.25">
      <c r="A1967" s="4" t="s">
        <v>3262</v>
      </c>
      <c r="B1967" s="4" t="s">
        <v>38</v>
      </c>
      <c r="C1967" s="4" t="s">
        <v>14</v>
      </c>
      <c r="D1967" s="35">
        <v>2500</v>
      </c>
      <c r="E1967" s="7" t="s">
        <v>3263</v>
      </c>
      <c r="F1967" s="5">
        <v>39083</v>
      </c>
      <c r="G1967" s="5">
        <v>41639</v>
      </c>
      <c r="H1967" s="4" t="s">
        <v>40</v>
      </c>
      <c r="I1967" s="6">
        <v>45763.94</v>
      </c>
      <c r="J1967" s="6">
        <v>45763.94</v>
      </c>
      <c r="K1967" s="37" t="s">
        <v>2650</v>
      </c>
      <c r="L1967" s="120"/>
      <c r="M1967" s="3"/>
    </row>
    <row r="1968" spans="1:13" s="4" customFormat="1" ht="14.25" customHeight="1" x14ac:dyDescent="0.25">
      <c r="A1968" s="4" t="s">
        <v>109</v>
      </c>
      <c r="B1968" s="4" t="s">
        <v>38</v>
      </c>
      <c r="C1968" s="4" t="s">
        <v>14</v>
      </c>
      <c r="D1968" s="35">
        <v>2502</v>
      </c>
      <c r="E1968" s="4" t="s">
        <v>3264</v>
      </c>
      <c r="F1968" s="5">
        <v>39083</v>
      </c>
      <c r="G1968" s="5">
        <v>41639</v>
      </c>
      <c r="H1968" s="4" t="s">
        <v>40</v>
      </c>
      <c r="I1968" s="6">
        <v>37435.839999999997</v>
      </c>
      <c r="J1968" s="6">
        <v>37435.839999999997</v>
      </c>
      <c r="K1968" s="37" t="s">
        <v>2650</v>
      </c>
      <c r="L1968" s="120"/>
      <c r="M1968" s="3"/>
    </row>
    <row r="1969" spans="1:13" s="4" customFormat="1" ht="14.25" customHeight="1" x14ac:dyDescent="0.25">
      <c r="A1969" s="4" t="s">
        <v>3265</v>
      </c>
      <c r="B1969" s="4" t="s">
        <v>38</v>
      </c>
      <c r="C1969" s="4" t="s">
        <v>14</v>
      </c>
      <c r="D1969" s="35">
        <v>2503</v>
      </c>
      <c r="E1969" s="4" t="s">
        <v>3266</v>
      </c>
      <c r="F1969" s="5">
        <v>39083</v>
      </c>
      <c r="G1969" s="5">
        <v>41639</v>
      </c>
      <c r="H1969" s="4" t="s">
        <v>40</v>
      </c>
      <c r="I1969" s="6">
        <f>90368.45+12296.88+16320+18831.54</f>
        <v>137816.87</v>
      </c>
      <c r="J1969" s="6">
        <f>125519.99+12296.88</f>
        <v>137816.87</v>
      </c>
      <c r="K1969" s="37" t="s">
        <v>2650</v>
      </c>
      <c r="L1969" s="120"/>
      <c r="M1969" s="3"/>
    </row>
    <row r="1970" spans="1:13" ht="14.25" customHeight="1" thickBot="1" x14ac:dyDescent="0.3">
      <c r="A1970" s="13" t="s">
        <v>10491</v>
      </c>
      <c r="B1970" s="13" t="s">
        <v>38</v>
      </c>
      <c r="C1970" s="13" t="s">
        <v>14</v>
      </c>
      <c r="D1970" s="19">
        <v>3365</v>
      </c>
      <c r="E1970" s="13" t="s">
        <v>10492</v>
      </c>
      <c r="F1970" s="14">
        <v>41275</v>
      </c>
      <c r="G1970" s="14">
        <v>41639</v>
      </c>
      <c r="H1970" s="13" t="s">
        <v>651</v>
      </c>
      <c r="I1970" s="18">
        <v>6947.46</v>
      </c>
      <c r="J1970" s="18">
        <v>6947.46</v>
      </c>
      <c r="K1970" s="20" t="s">
        <v>2650</v>
      </c>
    </row>
    <row r="1971" spans="1:13" ht="14.25" customHeight="1" thickBot="1" x14ac:dyDescent="0.3">
      <c r="A1971" s="152" t="s">
        <v>11762</v>
      </c>
      <c r="B1971" s="13" t="s">
        <v>38</v>
      </c>
      <c r="C1971" s="13" t="s">
        <v>14</v>
      </c>
      <c r="D1971" s="19">
        <v>3366</v>
      </c>
      <c r="E1971" s="124" t="s">
        <v>11763</v>
      </c>
      <c r="F1971" s="14">
        <v>39083</v>
      </c>
      <c r="G1971" s="14">
        <v>39813</v>
      </c>
      <c r="H1971" s="13" t="s">
        <v>651</v>
      </c>
      <c r="I1971" s="18">
        <v>-598.05999999999995</v>
      </c>
      <c r="J1971" s="18">
        <v>-598.05999999999995</v>
      </c>
      <c r="K1971" s="20" t="s">
        <v>2650</v>
      </c>
    </row>
    <row r="1972" spans="1:13" s="4" customFormat="1" ht="14.25" customHeight="1" x14ac:dyDescent="0.25">
      <c r="A1972" s="4" t="s">
        <v>3267</v>
      </c>
      <c r="B1972" s="4" t="s">
        <v>38</v>
      </c>
      <c r="C1972" s="4" t="s">
        <v>14</v>
      </c>
      <c r="D1972" s="35">
        <v>3377</v>
      </c>
      <c r="E1972" s="4" t="s">
        <v>3268</v>
      </c>
      <c r="F1972" s="5">
        <v>39083</v>
      </c>
      <c r="G1972" s="5">
        <v>41639</v>
      </c>
      <c r="H1972" s="4" t="s">
        <v>40</v>
      </c>
      <c r="I1972" s="6">
        <v>142159.48000000001</v>
      </c>
      <c r="J1972" s="6">
        <v>142159.48000000001</v>
      </c>
      <c r="K1972" s="37" t="s">
        <v>2650</v>
      </c>
      <c r="L1972" s="120"/>
      <c r="M1972" s="3"/>
    </row>
    <row r="1973" spans="1:13" s="4" customFormat="1" ht="14.25" customHeight="1" x14ac:dyDescent="0.25">
      <c r="A1973" s="4" t="s">
        <v>3269</v>
      </c>
      <c r="B1973" s="4" t="s">
        <v>38</v>
      </c>
      <c r="C1973" s="4" t="s">
        <v>14</v>
      </c>
      <c r="D1973" s="35">
        <v>7852</v>
      </c>
      <c r="E1973" s="4" t="s">
        <v>3270</v>
      </c>
      <c r="F1973" s="5">
        <v>40544</v>
      </c>
      <c r="G1973" s="5">
        <v>41639</v>
      </c>
      <c r="H1973" s="4" t="s">
        <v>40</v>
      </c>
      <c r="I1973" s="6">
        <v>11804.5</v>
      </c>
      <c r="J1973" s="6">
        <f>8278+3526.5</f>
        <v>11804.5</v>
      </c>
      <c r="K1973" s="37" t="s">
        <v>2650</v>
      </c>
      <c r="L1973" s="120"/>
      <c r="M1973" s="3"/>
    </row>
    <row r="1974" spans="1:13" s="4" customFormat="1" ht="14.25" customHeight="1" x14ac:dyDescent="0.25">
      <c r="A1974" s="4" t="s">
        <v>3271</v>
      </c>
      <c r="B1974" s="4" t="s">
        <v>183</v>
      </c>
      <c r="C1974" s="4" t="s">
        <v>14</v>
      </c>
      <c r="D1974" s="35">
        <v>7893</v>
      </c>
      <c r="E1974" s="4" t="s">
        <v>3272</v>
      </c>
      <c r="F1974" s="5">
        <v>40246</v>
      </c>
      <c r="G1974" s="5">
        <v>41639</v>
      </c>
      <c r="H1974" s="4" t="s">
        <v>40</v>
      </c>
      <c r="I1974" s="6">
        <v>5000</v>
      </c>
      <c r="J1974" s="6">
        <v>5000</v>
      </c>
      <c r="K1974" s="37" t="s">
        <v>2650</v>
      </c>
      <c r="L1974" s="120"/>
      <c r="M1974" s="3"/>
    </row>
    <row r="1975" spans="1:13" s="4" customFormat="1" ht="14.25" customHeight="1" x14ac:dyDescent="0.25">
      <c r="A1975" s="4" t="s">
        <v>3273</v>
      </c>
      <c r="B1975" s="4" t="s">
        <v>183</v>
      </c>
      <c r="C1975" s="4" t="s">
        <v>14</v>
      </c>
      <c r="D1975" s="35">
        <v>7898</v>
      </c>
      <c r="E1975" s="4" t="s">
        <v>3274</v>
      </c>
      <c r="F1975" s="5">
        <v>40470</v>
      </c>
      <c r="G1975" s="5">
        <v>41639</v>
      </c>
      <c r="H1975" s="4" t="s">
        <v>40</v>
      </c>
      <c r="I1975" s="6">
        <v>11250</v>
      </c>
      <c r="J1975" s="6">
        <v>11250</v>
      </c>
      <c r="K1975" s="37" t="s">
        <v>2650</v>
      </c>
      <c r="L1975" s="120"/>
      <c r="M1975" s="3"/>
    </row>
    <row r="1976" spans="1:13" s="4" customFormat="1" ht="14.25" customHeight="1" x14ac:dyDescent="0.25">
      <c r="A1976" s="4" t="s">
        <v>3275</v>
      </c>
      <c r="B1976" s="4" t="s">
        <v>183</v>
      </c>
      <c r="C1976" s="4" t="s">
        <v>14</v>
      </c>
      <c r="D1976" s="35">
        <v>7899</v>
      </c>
      <c r="E1976" s="4" t="s">
        <v>3276</v>
      </c>
      <c r="F1976" s="5">
        <v>40435</v>
      </c>
      <c r="G1976" s="5">
        <v>41639</v>
      </c>
      <c r="H1976" s="4" t="s">
        <v>40</v>
      </c>
      <c r="I1976" s="6">
        <v>3750</v>
      </c>
      <c r="J1976" s="6">
        <v>3750</v>
      </c>
      <c r="K1976" s="37" t="s">
        <v>2650</v>
      </c>
      <c r="L1976" s="120"/>
      <c r="M1976" s="3"/>
    </row>
    <row r="1977" spans="1:13" s="4" customFormat="1" ht="14.25" customHeight="1" x14ac:dyDescent="0.25">
      <c r="A1977" s="4" t="s">
        <v>3277</v>
      </c>
      <c r="B1977" s="4" t="s">
        <v>190</v>
      </c>
      <c r="C1977" s="4" t="s">
        <v>14</v>
      </c>
      <c r="D1977" s="35">
        <v>7901</v>
      </c>
      <c r="E1977" s="4" t="s">
        <v>3278</v>
      </c>
      <c r="F1977" s="5">
        <v>40295</v>
      </c>
      <c r="G1977" s="5">
        <v>41639</v>
      </c>
      <c r="H1977" s="4" t="s">
        <v>40</v>
      </c>
      <c r="I1977" s="6">
        <v>15000</v>
      </c>
      <c r="J1977" s="6">
        <v>10000</v>
      </c>
      <c r="K1977" s="37" t="s">
        <v>2650</v>
      </c>
      <c r="L1977" s="120"/>
      <c r="M1977" s="3"/>
    </row>
    <row r="1978" spans="1:13" s="4" customFormat="1" ht="14.25" customHeight="1" x14ac:dyDescent="0.25">
      <c r="A1978" s="4" t="s">
        <v>3279</v>
      </c>
      <c r="B1978" s="4" t="s">
        <v>183</v>
      </c>
      <c r="C1978" s="4" t="s">
        <v>14</v>
      </c>
      <c r="D1978" s="35">
        <v>7907</v>
      </c>
      <c r="E1978" s="4" t="s">
        <v>3280</v>
      </c>
      <c r="F1978" s="5">
        <v>40435</v>
      </c>
      <c r="G1978" s="5">
        <v>41639</v>
      </c>
      <c r="H1978" s="4" t="s">
        <v>40</v>
      </c>
      <c r="I1978" s="6">
        <v>3750</v>
      </c>
      <c r="J1978" s="6">
        <v>3750</v>
      </c>
      <c r="K1978" s="37" t="s">
        <v>2650</v>
      </c>
      <c r="L1978" s="120"/>
      <c r="M1978" s="3"/>
    </row>
    <row r="1979" spans="1:13" s="4" customFormat="1" ht="14.25" customHeight="1" x14ac:dyDescent="0.25">
      <c r="A1979" s="4" t="s">
        <v>3281</v>
      </c>
      <c r="B1979" s="4" t="s">
        <v>183</v>
      </c>
      <c r="C1979" s="4" t="s">
        <v>14</v>
      </c>
      <c r="D1979" s="35">
        <v>7914</v>
      </c>
      <c r="E1979" s="4" t="s">
        <v>3282</v>
      </c>
      <c r="F1979" s="5">
        <v>40344</v>
      </c>
      <c r="G1979" s="5">
        <v>41639</v>
      </c>
      <c r="H1979" s="4" t="s">
        <v>40</v>
      </c>
      <c r="I1979" s="6">
        <v>2500</v>
      </c>
      <c r="J1979" s="6">
        <v>2500</v>
      </c>
      <c r="K1979" s="37" t="s">
        <v>2650</v>
      </c>
      <c r="L1979" s="120"/>
      <c r="M1979" s="3"/>
    </row>
    <row r="1980" spans="1:13" s="4" customFormat="1" ht="14.25" customHeight="1" x14ac:dyDescent="0.25">
      <c r="A1980" s="4" t="s">
        <v>3283</v>
      </c>
      <c r="B1980" s="4" t="s">
        <v>183</v>
      </c>
      <c r="C1980" s="4" t="s">
        <v>14</v>
      </c>
      <c r="D1980" s="35">
        <v>7916</v>
      </c>
      <c r="E1980" s="4" t="s">
        <v>3284</v>
      </c>
      <c r="F1980" s="5">
        <v>40498</v>
      </c>
      <c r="G1980" s="5">
        <v>41639</v>
      </c>
      <c r="H1980" s="4" t="s">
        <v>40</v>
      </c>
      <c r="I1980" s="6">
        <v>7500</v>
      </c>
      <c r="J1980" s="6">
        <v>7500</v>
      </c>
      <c r="K1980" s="37" t="s">
        <v>2650</v>
      </c>
      <c r="L1980" s="120"/>
      <c r="M1980" s="3"/>
    </row>
    <row r="1981" spans="1:13" s="4" customFormat="1" ht="14.25" customHeight="1" x14ac:dyDescent="0.25">
      <c r="A1981" s="4" t="s">
        <v>3285</v>
      </c>
      <c r="B1981" s="4" t="s">
        <v>38</v>
      </c>
      <c r="C1981" s="4" t="s">
        <v>14</v>
      </c>
      <c r="D1981" s="35">
        <v>8921</v>
      </c>
      <c r="E1981" s="4" t="s">
        <v>3286</v>
      </c>
      <c r="F1981" s="5">
        <v>40544</v>
      </c>
      <c r="G1981" s="5">
        <v>41639</v>
      </c>
      <c r="H1981" s="4" t="s">
        <v>40</v>
      </c>
      <c r="I1981" s="6">
        <v>5010</v>
      </c>
      <c r="J1981" s="6">
        <f>4560+450</f>
        <v>5010</v>
      </c>
      <c r="K1981" s="37" t="s">
        <v>2650</v>
      </c>
      <c r="L1981" s="120"/>
      <c r="M1981" s="3"/>
    </row>
    <row r="1982" spans="1:13" s="4" customFormat="1" ht="14.25" customHeight="1" x14ac:dyDescent="0.25">
      <c r="A1982" s="4" t="s">
        <v>3287</v>
      </c>
      <c r="B1982" s="4" t="s">
        <v>38</v>
      </c>
      <c r="C1982" s="4" t="s">
        <v>14</v>
      </c>
      <c r="D1982" s="35">
        <v>8922</v>
      </c>
      <c r="E1982" s="4" t="s">
        <v>3288</v>
      </c>
      <c r="F1982" s="5">
        <v>40544</v>
      </c>
      <c r="G1982" s="5">
        <v>41639</v>
      </c>
      <c r="H1982" s="4" t="s">
        <v>40</v>
      </c>
      <c r="I1982" s="6">
        <v>1911.5</v>
      </c>
      <c r="J1982" s="6">
        <f>1071.5+840</f>
        <v>1911.5</v>
      </c>
      <c r="K1982" s="37" t="s">
        <v>2650</v>
      </c>
      <c r="L1982" s="120"/>
      <c r="M1982" s="3"/>
    </row>
    <row r="1983" spans="1:13" s="4" customFormat="1" ht="14.25" customHeight="1" x14ac:dyDescent="0.25">
      <c r="A1983" s="4" t="s">
        <v>3289</v>
      </c>
      <c r="B1983" s="4" t="s">
        <v>38</v>
      </c>
      <c r="C1983" s="4" t="s">
        <v>14</v>
      </c>
      <c r="D1983" s="35">
        <v>8923</v>
      </c>
      <c r="E1983" s="4" t="s">
        <v>3290</v>
      </c>
      <c r="F1983" s="5">
        <v>40544</v>
      </c>
      <c r="G1983" s="5">
        <v>41639</v>
      </c>
      <c r="H1983" s="4" t="s">
        <v>40</v>
      </c>
      <c r="I1983" s="6">
        <v>5076</v>
      </c>
      <c r="J1983" s="6">
        <f>2451+2625</f>
        <v>5076</v>
      </c>
      <c r="K1983" s="37" t="s">
        <v>2650</v>
      </c>
      <c r="L1983" s="120"/>
      <c r="M1983" s="3"/>
    </row>
    <row r="1984" spans="1:13" ht="14.25" customHeight="1" x14ac:dyDescent="0.25">
      <c r="A1984" s="13" t="s">
        <v>10493</v>
      </c>
      <c r="B1984" s="13" t="s">
        <v>38</v>
      </c>
      <c r="C1984" s="13" t="s">
        <v>14</v>
      </c>
      <c r="D1984" s="19">
        <v>8924</v>
      </c>
      <c r="E1984" s="13" t="s">
        <v>10494</v>
      </c>
      <c r="F1984" s="14">
        <v>41275</v>
      </c>
      <c r="G1984" s="14">
        <v>41639</v>
      </c>
      <c r="H1984" s="13" t="s">
        <v>651</v>
      </c>
      <c r="I1984" s="18">
        <v>665</v>
      </c>
      <c r="J1984" s="18">
        <v>665</v>
      </c>
      <c r="K1984" s="20" t="s">
        <v>2650</v>
      </c>
    </row>
    <row r="1985" spans="1:13" s="4" customFormat="1" ht="14.25" customHeight="1" x14ac:dyDescent="0.25">
      <c r="A1985" s="4" t="s">
        <v>3291</v>
      </c>
      <c r="B1985" s="4" t="s">
        <v>38</v>
      </c>
      <c r="C1985" s="4" t="s">
        <v>14</v>
      </c>
      <c r="D1985" s="35">
        <v>8926</v>
      </c>
      <c r="E1985" s="4" t="s">
        <v>3292</v>
      </c>
      <c r="F1985" s="5">
        <v>40544</v>
      </c>
      <c r="G1985" s="5">
        <v>40908</v>
      </c>
      <c r="H1985" s="4" t="s">
        <v>40</v>
      </c>
      <c r="I1985" s="6">
        <v>840</v>
      </c>
      <c r="J1985" s="6">
        <v>840</v>
      </c>
      <c r="K1985" s="37" t="s">
        <v>2650</v>
      </c>
      <c r="L1985" s="120"/>
      <c r="M1985" s="3"/>
    </row>
    <row r="1986" spans="1:13" s="4" customFormat="1" ht="14.25" customHeight="1" x14ac:dyDescent="0.25">
      <c r="A1986" s="4" t="s">
        <v>3293</v>
      </c>
      <c r="B1986" s="4" t="s">
        <v>38</v>
      </c>
      <c r="C1986" s="4" t="s">
        <v>14</v>
      </c>
      <c r="D1986" s="35">
        <v>8927</v>
      </c>
      <c r="E1986" s="4" t="s">
        <v>3294</v>
      </c>
      <c r="F1986" s="5">
        <v>40544</v>
      </c>
      <c r="G1986" s="5">
        <v>41639</v>
      </c>
      <c r="H1986" s="4" t="s">
        <v>40</v>
      </c>
      <c r="I1986" s="6">
        <v>2714.6</v>
      </c>
      <c r="J1986" s="6">
        <f>1724.6+990</f>
        <v>2714.6</v>
      </c>
      <c r="K1986" s="37" t="s">
        <v>2650</v>
      </c>
      <c r="L1986" s="120"/>
      <c r="M1986" s="3"/>
    </row>
    <row r="1987" spans="1:13" s="4" customFormat="1" ht="14.25" customHeight="1" x14ac:dyDescent="0.25">
      <c r="A1987" s="4" t="s">
        <v>3295</v>
      </c>
      <c r="B1987" s="4" t="s">
        <v>38</v>
      </c>
      <c r="C1987" s="4" t="s">
        <v>14</v>
      </c>
      <c r="D1987" s="35">
        <v>8930</v>
      </c>
      <c r="E1987" s="4" t="s">
        <v>3296</v>
      </c>
      <c r="F1987" s="5">
        <v>40544</v>
      </c>
      <c r="G1987" s="5">
        <v>40908</v>
      </c>
      <c r="H1987" s="4" t="s">
        <v>40</v>
      </c>
      <c r="I1987" s="6">
        <v>1476.5</v>
      </c>
      <c r="J1987" s="6">
        <v>1476.5</v>
      </c>
      <c r="K1987" s="37" t="s">
        <v>2650</v>
      </c>
      <c r="L1987" s="120"/>
      <c r="M1987" s="3"/>
    </row>
    <row r="1988" spans="1:13" s="4" customFormat="1" ht="14.25" customHeight="1" x14ac:dyDescent="0.25">
      <c r="A1988" s="4" t="s">
        <v>3297</v>
      </c>
      <c r="B1988" s="4" t="s">
        <v>38</v>
      </c>
      <c r="C1988" s="4" t="s">
        <v>14</v>
      </c>
      <c r="D1988" s="35">
        <v>8933</v>
      </c>
      <c r="E1988" s="4" t="s">
        <v>3298</v>
      </c>
      <c r="F1988" s="5">
        <v>40544</v>
      </c>
      <c r="G1988" s="5">
        <v>41639</v>
      </c>
      <c r="H1988" s="4" t="s">
        <v>40</v>
      </c>
      <c r="I1988" s="6">
        <v>4166.25</v>
      </c>
      <c r="J1988" s="6">
        <f>3961.25+205</f>
        <v>4166.25</v>
      </c>
      <c r="K1988" s="37" t="s">
        <v>2650</v>
      </c>
      <c r="L1988" s="120"/>
      <c r="M1988" s="3"/>
    </row>
    <row r="1989" spans="1:13" s="4" customFormat="1" ht="14.25" customHeight="1" x14ac:dyDescent="0.25">
      <c r="A1989" s="4" t="s">
        <v>3299</v>
      </c>
      <c r="B1989" s="4" t="s">
        <v>38</v>
      </c>
      <c r="C1989" s="4" t="s">
        <v>14</v>
      </c>
      <c r="D1989" s="35">
        <v>8934</v>
      </c>
      <c r="E1989" s="4" t="s">
        <v>3300</v>
      </c>
      <c r="F1989" s="5">
        <v>40544</v>
      </c>
      <c r="G1989" s="5">
        <v>41639</v>
      </c>
      <c r="H1989" s="4" t="s">
        <v>40</v>
      </c>
      <c r="I1989" s="6">
        <f>1015+405</f>
        <v>1420</v>
      </c>
      <c r="J1989" s="6">
        <f>1015+405</f>
        <v>1420</v>
      </c>
      <c r="K1989" s="37" t="s">
        <v>2650</v>
      </c>
      <c r="L1989" s="120"/>
      <c r="M1989" s="3"/>
    </row>
    <row r="1990" spans="1:13" s="4" customFormat="1" ht="14.25" customHeight="1" x14ac:dyDescent="0.25">
      <c r="A1990" s="4" t="s">
        <v>3301</v>
      </c>
      <c r="B1990" s="4" t="s">
        <v>38</v>
      </c>
      <c r="C1990" s="4" t="s">
        <v>14</v>
      </c>
      <c r="D1990" s="35">
        <v>8948</v>
      </c>
      <c r="E1990" s="4" t="s">
        <v>3302</v>
      </c>
      <c r="F1990" s="5">
        <v>40544</v>
      </c>
      <c r="G1990" s="5">
        <v>41274</v>
      </c>
      <c r="H1990" s="4" t="s">
        <v>40</v>
      </c>
      <c r="I1990" s="6">
        <v>7792.39</v>
      </c>
      <c r="J1990" s="6">
        <v>7795.39</v>
      </c>
      <c r="K1990" s="37" t="s">
        <v>2650</v>
      </c>
      <c r="L1990" s="120"/>
      <c r="M1990" s="3"/>
    </row>
    <row r="1991" spans="1:13" s="4" customFormat="1" ht="14.25" customHeight="1" x14ac:dyDescent="0.25">
      <c r="A1991" s="4" t="s">
        <v>3303</v>
      </c>
      <c r="B1991" s="4" t="s">
        <v>38</v>
      </c>
      <c r="C1991" s="4" t="s">
        <v>14</v>
      </c>
      <c r="D1991" s="35">
        <v>8951</v>
      </c>
      <c r="E1991" s="4" t="s">
        <v>3304</v>
      </c>
      <c r="F1991" s="5">
        <v>40544</v>
      </c>
      <c r="G1991" s="5">
        <v>40908</v>
      </c>
      <c r="H1991" s="4" t="s">
        <v>40</v>
      </c>
      <c r="I1991" s="6">
        <v>1085</v>
      </c>
      <c r="J1991" s="6">
        <v>1085</v>
      </c>
      <c r="K1991" s="37" t="s">
        <v>2650</v>
      </c>
      <c r="L1991" s="120"/>
      <c r="M1991" s="3"/>
    </row>
    <row r="1992" spans="1:13" s="4" customFormat="1" ht="14.25" customHeight="1" x14ac:dyDescent="0.25">
      <c r="A1992" s="4" t="s">
        <v>3305</v>
      </c>
      <c r="B1992" s="4" t="s">
        <v>38</v>
      </c>
      <c r="C1992" s="4" t="s">
        <v>14</v>
      </c>
      <c r="D1992" s="35">
        <v>8953</v>
      </c>
      <c r="E1992" s="4" t="s">
        <v>3306</v>
      </c>
      <c r="F1992" s="5">
        <v>40544</v>
      </c>
      <c r="G1992" s="5">
        <v>40908</v>
      </c>
      <c r="H1992" s="4" t="s">
        <v>40</v>
      </c>
      <c r="I1992" s="6">
        <v>11122.51</v>
      </c>
      <c r="J1992" s="6">
        <v>11122.51</v>
      </c>
      <c r="K1992" s="37" t="s">
        <v>2650</v>
      </c>
      <c r="L1992" s="120"/>
      <c r="M1992" s="3"/>
    </row>
    <row r="1993" spans="1:13" s="4" customFormat="1" ht="14.25" customHeight="1" x14ac:dyDescent="0.25">
      <c r="A1993" s="4" t="s">
        <v>3307</v>
      </c>
      <c r="B1993" s="4" t="s">
        <v>38</v>
      </c>
      <c r="C1993" s="4" t="s">
        <v>14</v>
      </c>
      <c r="D1993" s="35">
        <v>9011</v>
      </c>
      <c r="E1993" s="4" t="s">
        <v>3308</v>
      </c>
      <c r="F1993" s="5">
        <v>40544</v>
      </c>
      <c r="G1993" s="5">
        <v>41639</v>
      </c>
      <c r="H1993" s="4" t="s">
        <v>40</v>
      </c>
      <c r="I1993" s="6">
        <v>63035.25</v>
      </c>
      <c r="J1993" s="6">
        <f>40361.04+22674.21</f>
        <v>63035.25</v>
      </c>
      <c r="K1993" s="37" t="s">
        <v>2650</v>
      </c>
      <c r="L1993" s="120"/>
      <c r="M1993" s="3"/>
    </row>
    <row r="1994" spans="1:13" s="4" customFormat="1" ht="14.25" customHeight="1" x14ac:dyDescent="0.25">
      <c r="A1994" s="4" t="s">
        <v>3309</v>
      </c>
      <c r="B1994" s="4" t="s">
        <v>38</v>
      </c>
      <c r="C1994" s="4" t="s">
        <v>14</v>
      </c>
      <c r="D1994" s="35">
        <v>9012</v>
      </c>
      <c r="E1994" s="4" t="s">
        <v>3308</v>
      </c>
      <c r="F1994" s="5">
        <v>40544</v>
      </c>
      <c r="G1994" s="5">
        <v>41639</v>
      </c>
      <c r="H1994" s="4" t="s">
        <v>40</v>
      </c>
      <c r="I1994" s="6">
        <v>73708.61</v>
      </c>
      <c r="J1994" s="6">
        <f>43079.26+30629.35</f>
        <v>73708.61</v>
      </c>
      <c r="K1994" s="37" t="s">
        <v>2650</v>
      </c>
      <c r="L1994" s="120"/>
      <c r="M1994" s="3"/>
    </row>
    <row r="1995" spans="1:13" s="4" customFormat="1" ht="14.25" customHeight="1" x14ac:dyDescent="0.25">
      <c r="A1995" s="4" t="s">
        <v>3310</v>
      </c>
      <c r="B1995" s="4" t="s">
        <v>38</v>
      </c>
      <c r="C1995" s="4" t="s">
        <v>14</v>
      </c>
      <c r="D1995" s="35">
        <v>9013</v>
      </c>
      <c r="E1995" s="4" t="s">
        <v>3308</v>
      </c>
      <c r="F1995" s="5">
        <v>40544</v>
      </c>
      <c r="G1995" s="5">
        <v>41639</v>
      </c>
      <c r="H1995" s="4" t="s">
        <v>40</v>
      </c>
      <c r="I1995" s="6">
        <v>73098.289999999994</v>
      </c>
      <c r="J1995" s="6">
        <f>52326.52+20771.77</f>
        <v>73098.289999999994</v>
      </c>
      <c r="K1995" s="37" t="s">
        <v>2650</v>
      </c>
      <c r="L1995" s="120"/>
      <c r="M1995" s="3"/>
    </row>
    <row r="1996" spans="1:13" s="4" customFormat="1" ht="14.25" customHeight="1" x14ac:dyDescent="0.25">
      <c r="A1996" s="4" t="s">
        <v>3311</v>
      </c>
      <c r="B1996" s="4" t="s">
        <v>38</v>
      </c>
      <c r="C1996" s="4" t="s">
        <v>14</v>
      </c>
      <c r="D1996" s="35">
        <v>9014</v>
      </c>
      <c r="E1996" s="4" t="s">
        <v>3308</v>
      </c>
      <c r="F1996" s="5">
        <v>40544</v>
      </c>
      <c r="G1996" s="5">
        <v>41639</v>
      </c>
      <c r="H1996" s="4" t="s">
        <v>40</v>
      </c>
      <c r="I1996" s="6">
        <v>83755.429999999993</v>
      </c>
      <c r="J1996" s="6">
        <f>59192.72+24562.71</f>
        <v>83755.429999999993</v>
      </c>
      <c r="K1996" s="37" t="s">
        <v>2650</v>
      </c>
      <c r="L1996" s="120"/>
      <c r="M1996" s="3"/>
    </row>
    <row r="1997" spans="1:13" s="4" customFormat="1" ht="14.25" customHeight="1" x14ac:dyDescent="0.25">
      <c r="A1997" s="4" t="s">
        <v>3312</v>
      </c>
      <c r="B1997" s="4" t="s">
        <v>183</v>
      </c>
      <c r="C1997" s="4" t="s">
        <v>14</v>
      </c>
      <c r="D1997" s="35">
        <v>9015</v>
      </c>
      <c r="E1997" s="4" t="s">
        <v>3313</v>
      </c>
      <c r="F1997" s="5">
        <v>40344</v>
      </c>
      <c r="G1997" s="5">
        <v>41639</v>
      </c>
      <c r="H1997" s="4" t="s">
        <v>40</v>
      </c>
      <c r="I1997" s="6">
        <v>8000</v>
      </c>
      <c r="J1997" s="6">
        <v>4000</v>
      </c>
      <c r="K1997" s="37" t="s">
        <v>2650</v>
      </c>
      <c r="L1997" s="120"/>
      <c r="M1997" s="3"/>
    </row>
    <row r="1998" spans="1:13" s="4" customFormat="1" ht="14.25" customHeight="1" x14ac:dyDescent="0.25">
      <c r="A1998" s="4" t="s">
        <v>3314</v>
      </c>
      <c r="B1998" s="4" t="s">
        <v>183</v>
      </c>
      <c r="C1998" s="4" t="s">
        <v>14</v>
      </c>
      <c r="D1998" s="35">
        <v>9016</v>
      </c>
      <c r="E1998" s="4" t="s">
        <v>3315</v>
      </c>
      <c r="F1998" s="5">
        <v>40530</v>
      </c>
      <c r="G1998" s="5">
        <v>41639</v>
      </c>
      <c r="H1998" s="4" t="s">
        <v>40</v>
      </c>
      <c r="I1998" s="6">
        <v>2500</v>
      </c>
      <c r="J1998" s="6">
        <v>2500</v>
      </c>
      <c r="K1998" s="37" t="s">
        <v>2650</v>
      </c>
      <c r="L1998" s="120"/>
      <c r="M1998" s="3"/>
    </row>
    <row r="1999" spans="1:13" s="4" customFormat="1" ht="14.25" customHeight="1" x14ac:dyDescent="0.25">
      <c r="A1999" s="4" t="s">
        <v>3316</v>
      </c>
      <c r="B1999" s="4" t="s">
        <v>90</v>
      </c>
      <c r="C1999" s="4" t="s">
        <v>14</v>
      </c>
      <c r="D1999" s="35">
        <v>9017</v>
      </c>
      <c r="E1999" s="4" t="s">
        <v>3317</v>
      </c>
      <c r="F1999" s="5">
        <v>40883</v>
      </c>
      <c r="G1999" s="5">
        <v>41639</v>
      </c>
      <c r="H1999" s="4" t="s">
        <v>40</v>
      </c>
      <c r="I1999" s="6">
        <v>6654.74</v>
      </c>
      <c r="J1999" s="6">
        <v>3327.37</v>
      </c>
      <c r="K1999" s="37" t="s">
        <v>2650</v>
      </c>
      <c r="L1999" s="120"/>
      <c r="M1999" s="3"/>
    </row>
    <row r="2000" spans="1:13" s="4" customFormat="1" ht="14.25" customHeight="1" x14ac:dyDescent="0.25">
      <c r="A2000" s="4" t="s">
        <v>3318</v>
      </c>
      <c r="B2000" s="4" t="s">
        <v>90</v>
      </c>
      <c r="C2000" s="4" t="s">
        <v>14</v>
      </c>
      <c r="D2000" s="35">
        <v>9018</v>
      </c>
      <c r="E2000" s="4" t="s">
        <v>3319</v>
      </c>
      <c r="F2000" s="5">
        <v>40645</v>
      </c>
      <c r="G2000" s="5">
        <v>41639</v>
      </c>
      <c r="H2000" s="4" t="s">
        <v>40</v>
      </c>
      <c r="I2000" s="6">
        <v>10000</v>
      </c>
      <c r="J2000" s="6">
        <v>5000</v>
      </c>
      <c r="K2000" s="37" t="s">
        <v>2650</v>
      </c>
      <c r="L2000" s="120"/>
      <c r="M2000" s="3"/>
    </row>
    <row r="2001" spans="1:13" s="4" customFormat="1" ht="14.25" customHeight="1" x14ac:dyDescent="0.25">
      <c r="A2001" s="4" t="s">
        <v>3320</v>
      </c>
      <c r="B2001" s="4" t="s">
        <v>183</v>
      </c>
      <c r="C2001" s="4" t="s">
        <v>14</v>
      </c>
      <c r="D2001" s="35">
        <v>9019</v>
      </c>
      <c r="E2001" s="4" t="s">
        <v>3321</v>
      </c>
      <c r="F2001" s="5">
        <v>40498</v>
      </c>
      <c r="G2001" s="5">
        <v>41305</v>
      </c>
      <c r="H2001" s="4" t="s">
        <v>40</v>
      </c>
      <c r="I2001" s="6">
        <v>7500</v>
      </c>
      <c r="J2001" s="6">
        <v>7500</v>
      </c>
      <c r="K2001" s="37" t="s">
        <v>2650</v>
      </c>
      <c r="L2001" s="120"/>
      <c r="M2001" s="3"/>
    </row>
    <row r="2002" spans="1:13" s="4" customFormat="1" ht="14.25" customHeight="1" x14ac:dyDescent="0.25">
      <c r="A2002" s="4" t="s">
        <v>3322</v>
      </c>
      <c r="B2002" s="4" t="s">
        <v>183</v>
      </c>
      <c r="C2002" s="4" t="s">
        <v>14</v>
      </c>
      <c r="D2002" s="35">
        <v>9020</v>
      </c>
      <c r="E2002" s="4" t="s">
        <v>3323</v>
      </c>
      <c r="F2002" s="5">
        <v>40382</v>
      </c>
      <c r="G2002" s="5">
        <v>41639</v>
      </c>
      <c r="H2002" s="4" t="s">
        <v>40</v>
      </c>
      <c r="I2002" s="6">
        <v>7332.12</v>
      </c>
      <c r="J2002" s="6">
        <v>3666.06</v>
      </c>
      <c r="K2002" s="37" t="s">
        <v>2650</v>
      </c>
      <c r="L2002" s="120"/>
      <c r="M2002" s="3"/>
    </row>
    <row r="2003" spans="1:13" s="4" customFormat="1" ht="14.25" customHeight="1" x14ac:dyDescent="0.25">
      <c r="A2003" s="4" t="s">
        <v>3324</v>
      </c>
      <c r="B2003" s="4" t="s">
        <v>90</v>
      </c>
      <c r="C2003" s="4" t="s">
        <v>14</v>
      </c>
      <c r="D2003" s="35">
        <v>9021</v>
      </c>
      <c r="E2003" s="4" t="s">
        <v>3325</v>
      </c>
      <c r="F2003" s="5">
        <v>40645</v>
      </c>
      <c r="G2003" s="5">
        <v>41639</v>
      </c>
      <c r="H2003" s="4" t="s">
        <v>40</v>
      </c>
      <c r="I2003" s="6">
        <v>8000</v>
      </c>
      <c r="J2003" s="6">
        <v>4000</v>
      </c>
      <c r="K2003" s="37" t="s">
        <v>2650</v>
      </c>
      <c r="L2003" s="120"/>
      <c r="M2003" s="3"/>
    </row>
    <row r="2004" spans="1:13" s="4" customFormat="1" ht="14.25" customHeight="1" x14ac:dyDescent="0.25">
      <c r="A2004" s="4" t="s">
        <v>3326</v>
      </c>
      <c r="B2004" s="4" t="s">
        <v>183</v>
      </c>
      <c r="C2004" s="4" t="s">
        <v>14</v>
      </c>
      <c r="D2004" s="35">
        <v>9022</v>
      </c>
      <c r="E2004" s="4" t="s">
        <v>3327</v>
      </c>
      <c r="F2004" s="5">
        <v>40470</v>
      </c>
      <c r="G2004" s="5">
        <v>41639</v>
      </c>
      <c r="H2004" s="4" t="s">
        <v>40</v>
      </c>
      <c r="I2004" s="6">
        <v>3750</v>
      </c>
      <c r="J2004" s="6">
        <v>3750</v>
      </c>
      <c r="K2004" s="37" t="s">
        <v>2650</v>
      </c>
      <c r="L2004" s="120"/>
      <c r="M2004" s="3"/>
    </row>
    <row r="2005" spans="1:13" s="4" customFormat="1" ht="14.25" customHeight="1" x14ac:dyDescent="0.25">
      <c r="A2005" s="4" t="s">
        <v>3328</v>
      </c>
      <c r="B2005" s="4" t="s">
        <v>90</v>
      </c>
      <c r="C2005" s="4" t="s">
        <v>14</v>
      </c>
      <c r="D2005" s="35">
        <v>9023</v>
      </c>
      <c r="E2005" s="4" t="s">
        <v>3329</v>
      </c>
      <c r="F2005" s="5">
        <v>40708</v>
      </c>
      <c r="G2005" s="5">
        <v>41639</v>
      </c>
      <c r="H2005" s="4" t="s">
        <v>40</v>
      </c>
      <c r="I2005" s="6">
        <v>15000</v>
      </c>
      <c r="J2005" s="6">
        <v>7500</v>
      </c>
      <c r="K2005" s="37" t="s">
        <v>2650</v>
      </c>
      <c r="L2005" s="120"/>
      <c r="M2005" s="3"/>
    </row>
    <row r="2006" spans="1:13" s="4" customFormat="1" ht="14.25" customHeight="1" x14ac:dyDescent="0.25">
      <c r="A2006" s="4" t="s">
        <v>3330</v>
      </c>
      <c r="B2006" s="4" t="s">
        <v>190</v>
      </c>
      <c r="C2006" s="4" t="s">
        <v>14</v>
      </c>
      <c r="D2006" s="35">
        <v>9024</v>
      </c>
      <c r="E2006" s="4" t="s">
        <v>3331</v>
      </c>
      <c r="F2006" s="5">
        <v>40379</v>
      </c>
      <c r="G2006" s="5">
        <v>41639</v>
      </c>
      <c r="H2006" s="4" t="s">
        <v>40</v>
      </c>
      <c r="I2006" s="6">
        <v>3750</v>
      </c>
      <c r="J2006" s="6">
        <v>3750</v>
      </c>
      <c r="K2006" s="37" t="s">
        <v>2650</v>
      </c>
      <c r="L2006" s="120"/>
      <c r="M2006" s="3"/>
    </row>
    <row r="2007" spans="1:13" s="4" customFormat="1" ht="14.25" customHeight="1" x14ac:dyDescent="0.25">
      <c r="A2007" s="4" t="s">
        <v>3332</v>
      </c>
      <c r="B2007" s="4" t="s">
        <v>183</v>
      </c>
      <c r="C2007" s="4" t="s">
        <v>14</v>
      </c>
      <c r="D2007" s="35">
        <v>9025</v>
      </c>
      <c r="E2007" s="4" t="s">
        <v>3333</v>
      </c>
      <c r="F2007" s="5">
        <v>40645</v>
      </c>
      <c r="G2007" s="5">
        <v>41639</v>
      </c>
      <c r="H2007" s="4" t="s">
        <v>40</v>
      </c>
      <c r="I2007" s="6">
        <v>15000</v>
      </c>
      <c r="J2007" s="6">
        <v>7500</v>
      </c>
      <c r="K2007" s="37" t="s">
        <v>2650</v>
      </c>
      <c r="L2007" s="120"/>
      <c r="M2007" s="3"/>
    </row>
    <row r="2008" spans="1:13" s="4" customFormat="1" ht="14.25" customHeight="1" x14ac:dyDescent="0.25">
      <c r="A2008" s="4" t="s">
        <v>3334</v>
      </c>
      <c r="B2008" s="4" t="s">
        <v>190</v>
      </c>
      <c r="C2008" s="4" t="s">
        <v>14</v>
      </c>
      <c r="D2008" s="35">
        <v>9026</v>
      </c>
      <c r="E2008" s="4" t="s">
        <v>3335</v>
      </c>
      <c r="F2008" s="5">
        <v>40708</v>
      </c>
      <c r="G2008" s="5">
        <v>41639</v>
      </c>
      <c r="H2008" s="4" t="s">
        <v>40</v>
      </c>
      <c r="I2008" s="6">
        <v>22431</v>
      </c>
      <c r="J2008" s="6">
        <v>18715.5</v>
      </c>
      <c r="K2008" s="37" t="s">
        <v>2650</v>
      </c>
      <c r="L2008" s="120"/>
      <c r="M2008" s="3"/>
    </row>
    <row r="2009" spans="1:13" s="4" customFormat="1" ht="14.25" customHeight="1" x14ac:dyDescent="0.25">
      <c r="A2009" s="4" t="s">
        <v>3336</v>
      </c>
      <c r="B2009" s="4" t="s">
        <v>183</v>
      </c>
      <c r="C2009" s="4" t="s">
        <v>14</v>
      </c>
      <c r="D2009" s="35">
        <v>9027</v>
      </c>
      <c r="E2009" s="4" t="s">
        <v>3337</v>
      </c>
      <c r="F2009" s="5">
        <v>40862</v>
      </c>
      <c r="G2009" s="5">
        <v>41639</v>
      </c>
      <c r="H2009" s="4" t="s">
        <v>40</v>
      </c>
      <c r="I2009" s="6">
        <v>52500</v>
      </c>
      <c r="J2009" s="6">
        <f>26250+26250</f>
        <v>52500</v>
      </c>
      <c r="K2009" s="37" t="s">
        <v>2650</v>
      </c>
      <c r="L2009" s="120"/>
      <c r="M2009" s="3"/>
    </row>
    <row r="2010" spans="1:13" s="4" customFormat="1" ht="14.25" customHeight="1" x14ac:dyDescent="0.25">
      <c r="A2010" s="4" t="s">
        <v>3338</v>
      </c>
      <c r="B2010" s="4" t="s">
        <v>190</v>
      </c>
      <c r="C2010" s="4" t="s">
        <v>14</v>
      </c>
      <c r="D2010" s="35">
        <v>9028</v>
      </c>
      <c r="E2010" s="4" t="s">
        <v>3339</v>
      </c>
      <c r="F2010" s="5">
        <v>40470</v>
      </c>
      <c r="G2010" s="5">
        <v>41639</v>
      </c>
      <c r="H2010" s="4" t="s">
        <v>40</v>
      </c>
      <c r="I2010" s="6">
        <v>23437.5</v>
      </c>
      <c r="J2010" s="6">
        <v>18750</v>
      </c>
      <c r="K2010" s="37" t="s">
        <v>2650</v>
      </c>
      <c r="L2010" s="120"/>
      <c r="M2010" s="3"/>
    </row>
    <row r="2011" spans="1:13" s="4" customFormat="1" ht="14.25" customHeight="1" x14ac:dyDescent="0.25">
      <c r="A2011" s="4" t="s">
        <v>3342</v>
      </c>
      <c r="B2011" s="4" t="s">
        <v>183</v>
      </c>
      <c r="C2011" s="4" t="s">
        <v>14</v>
      </c>
      <c r="D2011" s="35">
        <v>9030</v>
      </c>
      <c r="E2011" s="4" t="s">
        <v>3343</v>
      </c>
      <c r="F2011" s="5">
        <v>40520</v>
      </c>
      <c r="G2011" s="5">
        <v>41639</v>
      </c>
      <c r="H2011" s="4" t="s">
        <v>40</v>
      </c>
      <c r="I2011" s="6">
        <v>11250</v>
      </c>
      <c r="J2011" s="6">
        <v>7500</v>
      </c>
      <c r="K2011" s="37" t="s">
        <v>2650</v>
      </c>
      <c r="L2011" s="120"/>
      <c r="M2011" s="3"/>
    </row>
    <row r="2012" spans="1:13" s="4" customFormat="1" ht="14.25" customHeight="1" x14ac:dyDescent="0.25">
      <c r="A2012" s="4" t="s">
        <v>3344</v>
      </c>
      <c r="B2012" s="4" t="s">
        <v>183</v>
      </c>
      <c r="C2012" s="4" t="s">
        <v>14</v>
      </c>
      <c r="D2012" s="35">
        <v>9031</v>
      </c>
      <c r="E2012" s="4" t="s">
        <v>3345</v>
      </c>
      <c r="F2012" s="5">
        <v>40645</v>
      </c>
      <c r="G2012" s="5">
        <v>41639</v>
      </c>
      <c r="H2012" s="4" t="s">
        <v>40</v>
      </c>
      <c r="I2012" s="6">
        <v>32500</v>
      </c>
      <c r="J2012" s="6">
        <v>27500</v>
      </c>
      <c r="K2012" s="37" t="s">
        <v>2650</v>
      </c>
      <c r="L2012" s="120"/>
      <c r="M2012" s="3"/>
    </row>
    <row r="2013" spans="1:13" s="4" customFormat="1" ht="14.25" customHeight="1" x14ac:dyDescent="0.25">
      <c r="A2013" s="4" t="s">
        <v>3346</v>
      </c>
      <c r="B2013" s="4" t="s">
        <v>183</v>
      </c>
      <c r="C2013" s="4" t="s">
        <v>14</v>
      </c>
      <c r="D2013" s="35">
        <v>9032</v>
      </c>
      <c r="E2013" s="4" t="s">
        <v>3347</v>
      </c>
      <c r="F2013" s="5">
        <v>40379</v>
      </c>
      <c r="G2013" s="5">
        <v>41639</v>
      </c>
      <c r="H2013" s="4" t="s">
        <v>40</v>
      </c>
      <c r="I2013" s="6">
        <v>5149.6000000000004</v>
      </c>
      <c r="J2013" s="6">
        <v>2575</v>
      </c>
      <c r="K2013" s="37" t="s">
        <v>2650</v>
      </c>
      <c r="L2013" s="120"/>
      <c r="M2013" s="3"/>
    </row>
    <row r="2014" spans="1:13" s="4" customFormat="1" ht="14.25" customHeight="1" x14ac:dyDescent="0.25">
      <c r="A2014" s="4" t="s">
        <v>3348</v>
      </c>
      <c r="B2014" s="4" t="s">
        <v>183</v>
      </c>
      <c r="C2014" s="4" t="s">
        <v>14</v>
      </c>
      <c r="D2014" s="35">
        <v>9033</v>
      </c>
      <c r="E2014" s="4" t="s">
        <v>3349</v>
      </c>
      <c r="F2014" s="5">
        <v>40344</v>
      </c>
      <c r="G2014" s="5">
        <v>41639</v>
      </c>
      <c r="H2014" s="4" t="s">
        <v>40</v>
      </c>
      <c r="I2014" s="6">
        <v>30000</v>
      </c>
      <c r="J2014" s="6">
        <v>15000</v>
      </c>
      <c r="K2014" s="37" t="s">
        <v>2650</v>
      </c>
      <c r="L2014" s="120"/>
      <c r="M2014" s="3"/>
    </row>
    <row r="2015" spans="1:13" s="4" customFormat="1" ht="14.25" customHeight="1" x14ac:dyDescent="0.25">
      <c r="A2015" s="4" t="s">
        <v>3350</v>
      </c>
      <c r="B2015" s="4" t="s">
        <v>183</v>
      </c>
      <c r="C2015" s="4" t="s">
        <v>14</v>
      </c>
      <c r="D2015" s="35">
        <v>9034</v>
      </c>
      <c r="E2015" s="4" t="s">
        <v>3351</v>
      </c>
      <c r="F2015" s="5">
        <v>40743</v>
      </c>
      <c r="G2015" s="5">
        <v>41639</v>
      </c>
      <c r="H2015" s="4" t="s">
        <v>40</v>
      </c>
      <c r="I2015" s="6">
        <v>10000</v>
      </c>
      <c r="J2015" s="6">
        <v>5000</v>
      </c>
      <c r="K2015" s="37" t="s">
        <v>2650</v>
      </c>
      <c r="L2015" s="120"/>
      <c r="M2015" s="3"/>
    </row>
    <row r="2016" spans="1:13" s="4" customFormat="1" ht="14.25" customHeight="1" x14ac:dyDescent="0.25">
      <c r="A2016" s="4" t="s">
        <v>3352</v>
      </c>
      <c r="B2016" s="4" t="s">
        <v>183</v>
      </c>
      <c r="C2016" s="4" t="s">
        <v>14</v>
      </c>
      <c r="D2016" s="35">
        <v>9035</v>
      </c>
      <c r="E2016" s="4" t="s">
        <v>3353</v>
      </c>
      <c r="F2016" s="5">
        <v>40435</v>
      </c>
      <c r="G2016" s="5">
        <v>41639</v>
      </c>
      <c r="H2016" s="4" t="s">
        <v>40</v>
      </c>
      <c r="I2016" s="6">
        <v>7500</v>
      </c>
      <c r="J2016" s="6">
        <v>7500</v>
      </c>
      <c r="K2016" s="37" t="s">
        <v>2650</v>
      </c>
      <c r="L2016" s="120"/>
      <c r="M2016" s="3"/>
    </row>
    <row r="2017" spans="1:13" s="4" customFormat="1" ht="14.25" customHeight="1" x14ac:dyDescent="0.25">
      <c r="A2017" s="4" t="s">
        <v>3354</v>
      </c>
      <c r="B2017" s="4" t="s">
        <v>190</v>
      </c>
      <c r="C2017" s="4" t="s">
        <v>14</v>
      </c>
      <c r="D2017" s="35">
        <v>9036</v>
      </c>
      <c r="E2017" s="4" t="s">
        <v>3355</v>
      </c>
      <c r="F2017" s="5">
        <v>40498</v>
      </c>
      <c r="G2017" s="5">
        <v>41639</v>
      </c>
      <c r="H2017" s="4" t="s">
        <v>40</v>
      </c>
      <c r="I2017" s="6">
        <v>3750</v>
      </c>
      <c r="J2017" s="6">
        <v>3750</v>
      </c>
      <c r="K2017" s="37" t="s">
        <v>2650</v>
      </c>
      <c r="L2017" s="120"/>
      <c r="M2017" s="3"/>
    </row>
    <row r="2018" spans="1:13" s="4" customFormat="1" ht="14.25" customHeight="1" x14ac:dyDescent="0.25">
      <c r="A2018" s="4" t="s">
        <v>3358</v>
      </c>
      <c r="B2018" s="4" t="s">
        <v>190</v>
      </c>
      <c r="C2018" s="4" t="s">
        <v>14</v>
      </c>
      <c r="D2018" s="35">
        <v>9038</v>
      </c>
      <c r="E2018" s="4" t="s">
        <v>3359</v>
      </c>
      <c r="F2018" s="5">
        <v>40862</v>
      </c>
      <c r="G2018" s="5">
        <v>41639</v>
      </c>
      <c r="H2018" s="4" t="s">
        <v>40</v>
      </c>
      <c r="I2018" s="6">
        <v>27500</v>
      </c>
      <c r="J2018" s="6">
        <v>17500</v>
      </c>
      <c r="K2018" s="37" t="s">
        <v>2650</v>
      </c>
      <c r="L2018" s="120"/>
      <c r="M2018" s="3"/>
    </row>
    <row r="2019" spans="1:13" s="4" customFormat="1" ht="14.25" customHeight="1" x14ac:dyDescent="0.25">
      <c r="A2019" s="4" t="s">
        <v>3360</v>
      </c>
      <c r="B2019" s="4" t="s">
        <v>190</v>
      </c>
      <c r="C2019" s="4" t="s">
        <v>14</v>
      </c>
      <c r="D2019" s="35">
        <v>9039</v>
      </c>
      <c r="E2019" s="4" t="s">
        <v>3361</v>
      </c>
      <c r="F2019" s="5">
        <v>40344</v>
      </c>
      <c r="G2019" s="5">
        <v>41639</v>
      </c>
      <c r="H2019" s="4" t="s">
        <v>40</v>
      </c>
      <c r="I2019" s="6">
        <v>39965</v>
      </c>
      <c r="J2019" s="6">
        <v>19983</v>
      </c>
      <c r="K2019" s="37" t="s">
        <v>2650</v>
      </c>
      <c r="L2019" s="120"/>
      <c r="M2019" s="3"/>
    </row>
    <row r="2020" spans="1:13" s="4" customFormat="1" ht="14.25" customHeight="1" x14ac:dyDescent="0.25">
      <c r="A2020" s="4" t="s">
        <v>3362</v>
      </c>
      <c r="B2020" s="4" t="s">
        <v>183</v>
      </c>
      <c r="C2020" s="4" t="s">
        <v>14</v>
      </c>
      <c r="D2020" s="35">
        <v>9040</v>
      </c>
      <c r="E2020" s="4" t="s">
        <v>3363</v>
      </c>
      <c r="F2020" s="5">
        <v>40871</v>
      </c>
      <c r="G2020" s="5">
        <v>41305</v>
      </c>
      <c r="H2020" s="4" t="s">
        <v>40</v>
      </c>
      <c r="I2020" s="6">
        <v>17377.599999999999</v>
      </c>
      <c r="J2020" s="6">
        <v>12438</v>
      </c>
      <c r="K2020" s="37" t="s">
        <v>2650</v>
      </c>
      <c r="L2020" s="120"/>
      <c r="M2020" s="3"/>
    </row>
    <row r="2021" spans="1:13" s="4" customFormat="1" ht="14.25" customHeight="1" x14ac:dyDescent="0.25">
      <c r="A2021" s="4" t="s">
        <v>3364</v>
      </c>
      <c r="B2021" s="4" t="s">
        <v>190</v>
      </c>
      <c r="C2021" s="4" t="s">
        <v>14</v>
      </c>
      <c r="D2021" s="35">
        <v>9041</v>
      </c>
      <c r="E2021" s="4" t="s">
        <v>3365</v>
      </c>
      <c r="F2021" s="5">
        <v>40590</v>
      </c>
      <c r="G2021" s="5">
        <v>41639</v>
      </c>
      <c r="H2021" s="4" t="s">
        <v>40</v>
      </c>
      <c r="I2021" s="6">
        <v>11250</v>
      </c>
      <c r="J2021" s="6">
        <v>11250</v>
      </c>
      <c r="K2021" s="37" t="s">
        <v>2650</v>
      </c>
      <c r="L2021" s="120"/>
      <c r="M2021" s="3"/>
    </row>
    <row r="2022" spans="1:13" s="4" customFormat="1" ht="14.25" customHeight="1" x14ac:dyDescent="0.25">
      <c r="A2022" s="4" t="s">
        <v>3366</v>
      </c>
      <c r="B2022" s="4" t="s">
        <v>190</v>
      </c>
      <c r="C2022" s="4" t="s">
        <v>14</v>
      </c>
      <c r="D2022" s="35">
        <v>9042</v>
      </c>
      <c r="E2022" s="4" t="s">
        <v>3367</v>
      </c>
      <c r="F2022" s="5">
        <v>40498</v>
      </c>
      <c r="G2022" s="5">
        <v>41639</v>
      </c>
      <c r="H2022" s="4" t="s">
        <v>40</v>
      </c>
      <c r="I2022" s="6">
        <v>4750</v>
      </c>
      <c r="J2022" s="6">
        <v>4250</v>
      </c>
      <c r="K2022" s="37" t="s">
        <v>2650</v>
      </c>
      <c r="L2022" s="120"/>
      <c r="M2022" s="3"/>
    </row>
    <row r="2023" spans="1:13" s="4" customFormat="1" ht="14.25" customHeight="1" x14ac:dyDescent="0.25">
      <c r="A2023" s="4" t="s">
        <v>3368</v>
      </c>
      <c r="B2023" s="4" t="s">
        <v>183</v>
      </c>
      <c r="C2023" s="4" t="s">
        <v>14</v>
      </c>
      <c r="D2023" s="35">
        <v>9043</v>
      </c>
      <c r="E2023" s="4" t="s">
        <v>3369</v>
      </c>
      <c r="F2023" s="5">
        <v>40498</v>
      </c>
      <c r="G2023" s="5">
        <v>41639</v>
      </c>
      <c r="H2023" s="4" t="s">
        <v>40</v>
      </c>
      <c r="I2023" s="6">
        <v>5808.38</v>
      </c>
      <c r="J2023" s="6">
        <v>4779.1899999999996</v>
      </c>
      <c r="K2023" s="37" t="s">
        <v>2650</v>
      </c>
      <c r="L2023" s="120"/>
      <c r="M2023" s="3"/>
    </row>
    <row r="2024" spans="1:13" s="4" customFormat="1" ht="14.25" customHeight="1" x14ac:dyDescent="0.25">
      <c r="A2024" s="4" t="s">
        <v>3368</v>
      </c>
      <c r="B2024" s="4" t="s">
        <v>183</v>
      </c>
      <c r="C2024" s="4" t="s">
        <v>14</v>
      </c>
      <c r="D2024" s="35">
        <v>9044</v>
      </c>
      <c r="E2024" s="4" t="s">
        <v>3370</v>
      </c>
      <c r="F2024" s="5">
        <v>40544</v>
      </c>
      <c r="G2024" s="5">
        <v>40908</v>
      </c>
      <c r="H2024" s="4" t="s">
        <v>40</v>
      </c>
      <c r="I2024" s="6">
        <v>12060</v>
      </c>
      <c r="J2024" s="6">
        <v>9780</v>
      </c>
      <c r="K2024" s="37" t="s">
        <v>2650</v>
      </c>
      <c r="L2024" s="120"/>
      <c r="M2024" s="3"/>
    </row>
    <row r="2025" spans="1:13" s="4" customFormat="1" ht="14.25" customHeight="1" x14ac:dyDescent="0.25">
      <c r="A2025" s="4" t="s">
        <v>3371</v>
      </c>
      <c r="B2025" s="4" t="s">
        <v>190</v>
      </c>
      <c r="C2025" s="4" t="s">
        <v>14</v>
      </c>
      <c r="D2025" s="35">
        <v>9045</v>
      </c>
      <c r="E2025" s="4" t="s">
        <v>3372</v>
      </c>
      <c r="F2025" s="5">
        <v>40520</v>
      </c>
      <c r="G2025" s="5">
        <v>41639</v>
      </c>
      <c r="H2025" s="4" t="s">
        <v>40</v>
      </c>
      <c r="I2025" s="6">
        <v>10000</v>
      </c>
      <c r="J2025" s="6">
        <v>10000</v>
      </c>
      <c r="K2025" s="37" t="s">
        <v>2650</v>
      </c>
      <c r="L2025" s="120"/>
      <c r="M2025" s="3"/>
    </row>
    <row r="2026" spans="1:13" s="4" customFormat="1" ht="14.25" customHeight="1" x14ac:dyDescent="0.25">
      <c r="A2026" s="4" t="s">
        <v>3373</v>
      </c>
      <c r="B2026" s="4" t="s">
        <v>90</v>
      </c>
      <c r="C2026" s="4" t="s">
        <v>14</v>
      </c>
      <c r="D2026" s="35">
        <v>9046</v>
      </c>
      <c r="E2026" s="4" t="s">
        <v>3374</v>
      </c>
      <c r="F2026" s="5">
        <v>40862</v>
      </c>
      <c r="G2026" s="5">
        <v>41639</v>
      </c>
      <c r="H2026" s="4" t="s">
        <v>40</v>
      </c>
      <c r="I2026" s="6">
        <v>7335</v>
      </c>
      <c r="J2026" s="6">
        <v>3667.5</v>
      </c>
      <c r="K2026" s="37" t="s">
        <v>2650</v>
      </c>
      <c r="L2026" s="120"/>
      <c r="M2026" s="3"/>
    </row>
    <row r="2027" spans="1:13" s="4" customFormat="1" ht="14.25" customHeight="1" x14ac:dyDescent="0.25">
      <c r="A2027" s="4" t="s">
        <v>3375</v>
      </c>
      <c r="B2027" s="4" t="s">
        <v>183</v>
      </c>
      <c r="C2027" s="4" t="s">
        <v>14</v>
      </c>
      <c r="D2027" s="35">
        <v>9047</v>
      </c>
      <c r="E2027" s="4" t="s">
        <v>3376</v>
      </c>
      <c r="F2027" s="5">
        <v>40743</v>
      </c>
      <c r="G2027" s="5">
        <v>41639</v>
      </c>
      <c r="H2027" s="4" t="s">
        <v>40</v>
      </c>
      <c r="I2027" s="6">
        <v>39000</v>
      </c>
      <c r="J2027" s="6">
        <v>32000</v>
      </c>
      <c r="K2027" s="37" t="s">
        <v>2650</v>
      </c>
      <c r="L2027" s="120"/>
      <c r="M2027" s="3"/>
    </row>
    <row r="2028" spans="1:13" s="4" customFormat="1" ht="14.25" customHeight="1" x14ac:dyDescent="0.25">
      <c r="A2028" s="4" t="s">
        <v>3377</v>
      </c>
      <c r="B2028" s="4" t="s">
        <v>183</v>
      </c>
      <c r="C2028" s="4" t="s">
        <v>14</v>
      </c>
      <c r="D2028" s="35">
        <v>9048</v>
      </c>
      <c r="E2028" s="4" t="s">
        <v>3378</v>
      </c>
      <c r="F2028" s="5">
        <v>40379</v>
      </c>
      <c r="G2028" s="5">
        <v>41639</v>
      </c>
      <c r="H2028" s="4" t="s">
        <v>40</v>
      </c>
      <c r="I2028" s="6">
        <v>3750</v>
      </c>
      <c r="J2028" s="6">
        <v>3750</v>
      </c>
      <c r="K2028" s="37" t="s">
        <v>2650</v>
      </c>
      <c r="L2028" s="120"/>
      <c r="M2028" s="3"/>
    </row>
    <row r="2029" spans="1:13" s="4" customFormat="1" ht="14.25" customHeight="1" x14ac:dyDescent="0.25">
      <c r="A2029" s="4" t="s">
        <v>3379</v>
      </c>
      <c r="B2029" s="4" t="s">
        <v>90</v>
      </c>
      <c r="C2029" s="4" t="s">
        <v>14</v>
      </c>
      <c r="D2029" s="35">
        <v>9049</v>
      </c>
      <c r="E2029" s="4" t="s">
        <v>3380</v>
      </c>
      <c r="F2029" s="5">
        <v>40708</v>
      </c>
      <c r="G2029" s="5">
        <v>41639</v>
      </c>
      <c r="H2029" s="4" t="s">
        <v>40</v>
      </c>
      <c r="I2029" s="6">
        <v>10000</v>
      </c>
      <c r="J2029" s="6">
        <v>5000</v>
      </c>
      <c r="K2029" s="37" t="s">
        <v>2650</v>
      </c>
      <c r="L2029" s="120"/>
      <c r="M2029" s="3"/>
    </row>
    <row r="2030" spans="1:13" s="4" customFormat="1" ht="14.25" customHeight="1" x14ac:dyDescent="0.25">
      <c r="A2030" s="4" t="s">
        <v>3381</v>
      </c>
      <c r="B2030" s="4" t="s">
        <v>183</v>
      </c>
      <c r="C2030" s="4" t="s">
        <v>14</v>
      </c>
      <c r="D2030" s="35">
        <v>9051</v>
      </c>
      <c r="E2030" s="4" t="s">
        <v>3382</v>
      </c>
      <c r="F2030" s="5">
        <v>40344</v>
      </c>
      <c r="G2030" s="5">
        <v>41639</v>
      </c>
      <c r="H2030" s="4" t="s">
        <v>40</v>
      </c>
      <c r="I2030" s="6">
        <v>3750</v>
      </c>
      <c r="J2030" s="6">
        <v>3750</v>
      </c>
      <c r="K2030" s="37" t="s">
        <v>2650</v>
      </c>
      <c r="L2030" s="120"/>
      <c r="M2030" s="3"/>
    </row>
    <row r="2031" spans="1:13" s="4" customFormat="1" ht="14.25" customHeight="1" x14ac:dyDescent="0.25">
      <c r="A2031" s="4" t="s">
        <v>3383</v>
      </c>
      <c r="B2031" s="4" t="s">
        <v>183</v>
      </c>
      <c r="C2031" s="4" t="s">
        <v>14</v>
      </c>
      <c r="D2031" s="35">
        <v>9052</v>
      </c>
      <c r="E2031" s="4" t="s">
        <v>3384</v>
      </c>
      <c r="F2031" s="5">
        <v>40645</v>
      </c>
      <c r="G2031" s="5">
        <v>41639</v>
      </c>
      <c r="H2031" s="4" t="s">
        <v>40</v>
      </c>
      <c r="I2031" s="6">
        <v>20674.22</v>
      </c>
      <c r="J2031" s="6">
        <v>17837.11</v>
      </c>
      <c r="K2031" s="37" t="s">
        <v>2650</v>
      </c>
      <c r="L2031" s="120"/>
      <c r="M2031" s="3"/>
    </row>
    <row r="2032" spans="1:13" s="4" customFormat="1" ht="14.25" customHeight="1" x14ac:dyDescent="0.25">
      <c r="A2032" s="4" t="s">
        <v>3385</v>
      </c>
      <c r="B2032" s="4" t="s">
        <v>190</v>
      </c>
      <c r="C2032" s="4" t="s">
        <v>14</v>
      </c>
      <c r="D2032" s="35">
        <v>9053</v>
      </c>
      <c r="E2032" s="4" t="s">
        <v>3386</v>
      </c>
      <c r="F2032" s="5">
        <v>40379</v>
      </c>
      <c r="G2032" s="5">
        <v>41639</v>
      </c>
      <c r="H2032" s="4" t="s">
        <v>40</v>
      </c>
      <c r="I2032" s="6">
        <v>5000</v>
      </c>
      <c r="J2032" s="6">
        <v>5000</v>
      </c>
      <c r="K2032" s="37" t="s">
        <v>2650</v>
      </c>
      <c r="L2032" s="120"/>
      <c r="M2032" s="3"/>
    </row>
    <row r="2033" spans="1:13" s="4" customFormat="1" ht="14.25" customHeight="1" x14ac:dyDescent="0.25">
      <c r="A2033" s="4" t="s">
        <v>3387</v>
      </c>
      <c r="B2033" s="4" t="s">
        <v>183</v>
      </c>
      <c r="C2033" s="4" t="s">
        <v>14</v>
      </c>
      <c r="D2033" s="35">
        <v>9054</v>
      </c>
      <c r="E2033" s="4" t="s">
        <v>3388</v>
      </c>
      <c r="F2033" s="5">
        <v>40883</v>
      </c>
      <c r="G2033" s="5">
        <v>41639</v>
      </c>
      <c r="H2033" s="4" t="s">
        <v>40</v>
      </c>
      <c r="I2033" s="6">
        <v>37500</v>
      </c>
      <c r="J2033" s="6">
        <v>37500</v>
      </c>
      <c r="K2033" s="37" t="s">
        <v>2650</v>
      </c>
      <c r="L2033" s="120"/>
      <c r="M2033" s="3"/>
    </row>
    <row r="2034" spans="1:13" s="4" customFormat="1" ht="14.25" customHeight="1" x14ac:dyDescent="0.25">
      <c r="A2034" s="4" t="s">
        <v>3389</v>
      </c>
      <c r="B2034" s="4" t="s">
        <v>183</v>
      </c>
      <c r="C2034" s="4" t="s">
        <v>14</v>
      </c>
      <c r="D2034" s="35">
        <v>9055</v>
      </c>
      <c r="E2034" s="4" t="s">
        <v>3390</v>
      </c>
      <c r="F2034" s="5">
        <v>40743</v>
      </c>
      <c r="G2034" s="5">
        <v>40908</v>
      </c>
      <c r="H2034" s="4" t="s">
        <v>40</v>
      </c>
      <c r="I2034" s="6">
        <v>30281.599999999999</v>
      </c>
      <c r="J2034" s="6">
        <v>22640.799999999999</v>
      </c>
      <c r="K2034" s="37" t="s">
        <v>2650</v>
      </c>
      <c r="L2034" s="120"/>
      <c r="M2034" s="3"/>
    </row>
    <row r="2035" spans="1:13" s="4" customFormat="1" ht="14.25" customHeight="1" x14ac:dyDescent="0.25">
      <c r="A2035" s="4" t="s">
        <v>3391</v>
      </c>
      <c r="B2035" s="4" t="s">
        <v>183</v>
      </c>
      <c r="C2035" s="4" t="s">
        <v>14</v>
      </c>
      <c r="D2035" s="35">
        <v>9056</v>
      </c>
      <c r="E2035" s="4" t="s">
        <v>3392</v>
      </c>
      <c r="F2035" s="5">
        <v>40743</v>
      </c>
      <c r="G2035" s="5">
        <v>41639</v>
      </c>
      <c r="H2035" s="4" t="s">
        <v>40</v>
      </c>
      <c r="I2035" s="6">
        <v>7500</v>
      </c>
      <c r="J2035" s="6">
        <v>7500</v>
      </c>
      <c r="K2035" s="37" t="s">
        <v>2650</v>
      </c>
      <c r="L2035" s="120"/>
      <c r="M2035" s="3"/>
    </row>
    <row r="2036" spans="1:13" s="4" customFormat="1" ht="14.25" customHeight="1" x14ac:dyDescent="0.25">
      <c r="A2036" s="4" t="s">
        <v>3393</v>
      </c>
      <c r="B2036" s="4" t="s">
        <v>190</v>
      </c>
      <c r="C2036" s="4" t="s">
        <v>14</v>
      </c>
      <c r="D2036" s="35">
        <v>9057</v>
      </c>
      <c r="E2036" s="4" t="s">
        <v>3394</v>
      </c>
      <c r="F2036" s="5">
        <v>40862</v>
      </c>
      <c r="G2036" s="5">
        <v>41639</v>
      </c>
      <c r="H2036" s="4" t="s">
        <v>40</v>
      </c>
      <c r="I2036" s="6">
        <v>11550.68</v>
      </c>
      <c r="J2036" s="6">
        <v>9525.34</v>
      </c>
      <c r="K2036" s="37" t="s">
        <v>2650</v>
      </c>
      <c r="L2036" s="120"/>
      <c r="M2036" s="3"/>
    </row>
    <row r="2037" spans="1:13" s="4" customFormat="1" ht="14.25" customHeight="1" x14ac:dyDescent="0.25">
      <c r="A2037" s="4" t="s">
        <v>3395</v>
      </c>
      <c r="B2037" s="4" t="s">
        <v>90</v>
      </c>
      <c r="C2037" s="4" t="s">
        <v>14</v>
      </c>
      <c r="D2037" s="35">
        <v>9058</v>
      </c>
      <c r="E2037" s="4" t="s">
        <v>3396</v>
      </c>
      <c r="F2037" s="5">
        <v>40498</v>
      </c>
      <c r="G2037" s="5">
        <v>41639</v>
      </c>
      <c r="H2037" s="4" t="s">
        <v>40</v>
      </c>
      <c r="I2037" s="6">
        <v>1270.8</v>
      </c>
      <c r="J2037" s="6">
        <v>635.4</v>
      </c>
      <c r="K2037" s="37" t="s">
        <v>2650</v>
      </c>
      <c r="L2037" s="120"/>
      <c r="M2037" s="3"/>
    </row>
    <row r="2038" spans="1:13" s="4" customFormat="1" ht="14.25" customHeight="1" x14ac:dyDescent="0.25">
      <c r="A2038" s="4" t="s">
        <v>3397</v>
      </c>
      <c r="B2038" s="4" t="s">
        <v>183</v>
      </c>
      <c r="C2038" s="4" t="s">
        <v>14</v>
      </c>
      <c r="D2038" s="35">
        <v>9059</v>
      </c>
      <c r="E2038" s="4" t="s">
        <v>3398</v>
      </c>
      <c r="F2038" s="5">
        <v>40743</v>
      </c>
      <c r="G2038" s="5">
        <v>41639</v>
      </c>
      <c r="H2038" s="4" t="s">
        <v>40</v>
      </c>
      <c r="I2038" s="6">
        <v>15000</v>
      </c>
      <c r="J2038" s="6">
        <v>15000</v>
      </c>
      <c r="K2038" s="37" t="s">
        <v>2650</v>
      </c>
      <c r="L2038" s="120"/>
      <c r="M2038" s="3"/>
    </row>
    <row r="2039" spans="1:13" s="4" customFormat="1" ht="14.25" customHeight="1" x14ac:dyDescent="0.25">
      <c r="A2039" s="4" t="s">
        <v>3399</v>
      </c>
      <c r="B2039" s="4" t="s">
        <v>90</v>
      </c>
      <c r="C2039" s="4" t="s">
        <v>14</v>
      </c>
      <c r="D2039" s="35">
        <v>9060</v>
      </c>
      <c r="E2039" s="4" t="s">
        <v>3400</v>
      </c>
      <c r="F2039" s="5">
        <v>40435</v>
      </c>
      <c r="G2039" s="5">
        <v>41639</v>
      </c>
      <c r="H2039" s="4" t="s">
        <v>40</v>
      </c>
      <c r="I2039" s="6">
        <v>3986</v>
      </c>
      <c r="J2039" s="6">
        <v>1993</v>
      </c>
      <c r="K2039" s="37" t="s">
        <v>2650</v>
      </c>
      <c r="L2039" s="120"/>
      <c r="M2039" s="3"/>
    </row>
    <row r="2040" spans="1:13" s="4" customFormat="1" ht="14.25" customHeight="1" x14ac:dyDescent="0.25">
      <c r="A2040" s="4" t="s">
        <v>3401</v>
      </c>
      <c r="B2040" s="4" t="s">
        <v>183</v>
      </c>
      <c r="C2040" s="4" t="s">
        <v>14</v>
      </c>
      <c r="D2040" s="35">
        <v>9061</v>
      </c>
      <c r="E2040" s="4" t="s">
        <v>3402</v>
      </c>
      <c r="F2040" s="5">
        <v>40498</v>
      </c>
      <c r="G2040" s="5">
        <v>41639</v>
      </c>
      <c r="H2040" s="4" t="s">
        <v>40</v>
      </c>
      <c r="I2040" s="6">
        <v>11000</v>
      </c>
      <c r="J2040" s="6">
        <v>5500</v>
      </c>
      <c r="K2040" s="37" t="s">
        <v>2650</v>
      </c>
      <c r="L2040" s="120"/>
      <c r="M2040" s="3"/>
    </row>
    <row r="2041" spans="1:13" s="4" customFormat="1" ht="14.25" customHeight="1" x14ac:dyDescent="0.25">
      <c r="A2041" s="4" t="s">
        <v>3405</v>
      </c>
      <c r="B2041" s="4" t="s">
        <v>183</v>
      </c>
      <c r="C2041" s="4" t="s">
        <v>14</v>
      </c>
      <c r="D2041" s="35">
        <v>9063</v>
      </c>
      <c r="E2041" s="4" t="s">
        <v>3406</v>
      </c>
      <c r="F2041" s="5">
        <v>40470</v>
      </c>
      <c r="G2041" s="5">
        <v>41639</v>
      </c>
      <c r="H2041" s="4" t="s">
        <v>40</v>
      </c>
      <c r="I2041" s="6">
        <v>16250</v>
      </c>
      <c r="J2041" s="6">
        <v>13750</v>
      </c>
      <c r="K2041" s="37" t="s">
        <v>2650</v>
      </c>
      <c r="L2041" s="120"/>
      <c r="M2041" s="3"/>
    </row>
    <row r="2042" spans="1:13" s="4" customFormat="1" ht="14.25" customHeight="1" x14ac:dyDescent="0.25">
      <c r="A2042" s="4" t="s">
        <v>3409</v>
      </c>
      <c r="B2042" s="4" t="s">
        <v>183</v>
      </c>
      <c r="C2042" s="4" t="s">
        <v>14</v>
      </c>
      <c r="D2042" s="35">
        <v>9065</v>
      </c>
      <c r="E2042" s="4" t="s">
        <v>3410</v>
      </c>
      <c r="F2042" s="5">
        <v>40344</v>
      </c>
      <c r="G2042" s="5">
        <v>41639</v>
      </c>
      <c r="H2042" s="4" t="s">
        <v>40</v>
      </c>
      <c r="I2042" s="6">
        <v>2500</v>
      </c>
      <c r="J2042" s="6">
        <v>2500</v>
      </c>
      <c r="K2042" s="37" t="s">
        <v>2650</v>
      </c>
      <c r="L2042" s="120"/>
      <c r="M2042" s="3"/>
    </row>
    <row r="2043" spans="1:13" s="4" customFormat="1" ht="14.25" customHeight="1" x14ac:dyDescent="0.25">
      <c r="A2043" s="4" t="s">
        <v>3411</v>
      </c>
      <c r="B2043" s="4" t="s">
        <v>190</v>
      </c>
      <c r="C2043" s="4" t="s">
        <v>14</v>
      </c>
      <c r="D2043" s="35">
        <v>9066</v>
      </c>
      <c r="E2043" s="4" t="s">
        <v>3412</v>
      </c>
      <c r="F2043" s="5">
        <v>40862</v>
      </c>
      <c r="G2043" s="5">
        <v>41639</v>
      </c>
      <c r="H2043" s="4" t="s">
        <v>40</v>
      </c>
      <c r="I2043" s="6">
        <v>83750</v>
      </c>
      <c r="J2043" s="6">
        <v>43750</v>
      </c>
      <c r="K2043" s="37" t="s">
        <v>2650</v>
      </c>
      <c r="L2043" s="120"/>
      <c r="M2043" s="3"/>
    </row>
    <row r="2044" spans="1:13" s="4" customFormat="1" ht="14.25" customHeight="1" x14ac:dyDescent="0.25">
      <c r="A2044" s="4" t="s">
        <v>3413</v>
      </c>
      <c r="B2044" s="4" t="s">
        <v>190</v>
      </c>
      <c r="C2044" s="4" t="s">
        <v>14</v>
      </c>
      <c r="D2044" s="35">
        <v>9067</v>
      </c>
      <c r="E2044" s="4" t="s">
        <v>3414</v>
      </c>
      <c r="F2044" s="5">
        <v>40862</v>
      </c>
      <c r="G2044" s="5">
        <v>41639</v>
      </c>
      <c r="H2044" s="4" t="s">
        <v>40</v>
      </c>
      <c r="I2044" s="6">
        <v>15000</v>
      </c>
      <c r="J2044" s="6">
        <v>15000</v>
      </c>
      <c r="K2044" s="37" t="s">
        <v>2650</v>
      </c>
      <c r="L2044" s="120"/>
      <c r="M2044" s="3"/>
    </row>
    <row r="2045" spans="1:13" s="4" customFormat="1" ht="14.25" customHeight="1" x14ac:dyDescent="0.25">
      <c r="A2045" s="4" t="s">
        <v>3415</v>
      </c>
      <c r="B2045" s="4" t="s">
        <v>190</v>
      </c>
      <c r="C2045" s="4" t="s">
        <v>14</v>
      </c>
      <c r="D2045" s="35">
        <v>9069</v>
      </c>
      <c r="E2045" s="4" t="s">
        <v>3416</v>
      </c>
      <c r="F2045" s="5">
        <v>40862</v>
      </c>
      <c r="G2045" s="5">
        <v>41639</v>
      </c>
      <c r="H2045" s="4" t="s">
        <v>40</v>
      </c>
      <c r="I2045" s="6">
        <v>13000</v>
      </c>
      <c r="J2045" s="6">
        <v>10250</v>
      </c>
      <c r="K2045" s="37" t="s">
        <v>2650</v>
      </c>
      <c r="L2045" s="120"/>
      <c r="M2045" s="3"/>
    </row>
    <row r="2046" spans="1:13" s="4" customFormat="1" ht="14.25" customHeight="1" x14ac:dyDescent="0.25">
      <c r="A2046" s="4" t="s">
        <v>3417</v>
      </c>
      <c r="B2046" s="4" t="s">
        <v>90</v>
      </c>
      <c r="C2046" s="4" t="s">
        <v>14</v>
      </c>
      <c r="D2046" s="35">
        <v>9070</v>
      </c>
      <c r="E2046" s="4" t="s">
        <v>3418</v>
      </c>
      <c r="F2046" s="5">
        <v>40708</v>
      </c>
      <c r="G2046" s="5">
        <v>41639</v>
      </c>
      <c r="H2046" s="4" t="s">
        <v>40</v>
      </c>
      <c r="I2046" s="6">
        <v>5000</v>
      </c>
      <c r="J2046" s="6">
        <v>2500</v>
      </c>
      <c r="K2046" s="37" t="s">
        <v>2650</v>
      </c>
      <c r="L2046" s="120"/>
      <c r="M2046" s="3"/>
    </row>
    <row r="2047" spans="1:13" s="4" customFormat="1" ht="14.25" customHeight="1" x14ac:dyDescent="0.25">
      <c r="A2047" s="4" t="s">
        <v>3419</v>
      </c>
      <c r="B2047" s="4" t="s">
        <v>183</v>
      </c>
      <c r="C2047" s="4" t="s">
        <v>14</v>
      </c>
      <c r="D2047" s="35">
        <v>9071</v>
      </c>
      <c r="E2047" s="4" t="s">
        <v>3420</v>
      </c>
      <c r="F2047" s="5">
        <v>40470</v>
      </c>
      <c r="G2047" s="5">
        <v>41639</v>
      </c>
      <c r="H2047" s="4" t="s">
        <v>40</v>
      </c>
      <c r="I2047" s="6">
        <v>11250</v>
      </c>
      <c r="J2047" s="6">
        <v>11250</v>
      </c>
      <c r="K2047" s="37" t="s">
        <v>2650</v>
      </c>
      <c r="L2047" s="120"/>
      <c r="M2047" s="3"/>
    </row>
    <row r="2048" spans="1:13" s="4" customFormat="1" ht="14.25" customHeight="1" x14ac:dyDescent="0.25">
      <c r="A2048" s="4" t="s">
        <v>3421</v>
      </c>
      <c r="B2048" s="4" t="s">
        <v>90</v>
      </c>
      <c r="C2048" s="4" t="s">
        <v>14</v>
      </c>
      <c r="D2048" s="35">
        <v>9072</v>
      </c>
      <c r="E2048" s="4" t="s">
        <v>3422</v>
      </c>
      <c r="F2048" s="5">
        <v>40883</v>
      </c>
      <c r="G2048" s="5">
        <v>41639</v>
      </c>
      <c r="H2048" s="4" t="s">
        <v>40</v>
      </c>
      <c r="I2048" s="6">
        <v>10000</v>
      </c>
      <c r="J2048" s="6">
        <v>5000</v>
      </c>
      <c r="K2048" s="37" t="s">
        <v>2650</v>
      </c>
      <c r="L2048" s="120"/>
      <c r="M2048" s="3"/>
    </row>
    <row r="2049" spans="1:13" s="4" customFormat="1" ht="14.25" customHeight="1" x14ac:dyDescent="0.25">
      <c r="A2049" s="4" t="s">
        <v>3425</v>
      </c>
      <c r="B2049" s="4" t="s">
        <v>183</v>
      </c>
      <c r="C2049" s="4" t="s">
        <v>14</v>
      </c>
      <c r="D2049" s="35">
        <v>9076</v>
      </c>
      <c r="E2049" s="4" t="s">
        <v>3426</v>
      </c>
      <c r="F2049" s="5">
        <v>40520</v>
      </c>
      <c r="G2049" s="5">
        <v>41639</v>
      </c>
      <c r="H2049" s="4" t="s">
        <v>40</v>
      </c>
      <c r="I2049" s="6">
        <v>10000</v>
      </c>
      <c r="J2049" s="6">
        <v>10000</v>
      </c>
      <c r="K2049" s="37" t="s">
        <v>2650</v>
      </c>
      <c r="L2049" s="120"/>
      <c r="M2049" s="3"/>
    </row>
    <row r="2050" spans="1:13" s="4" customFormat="1" ht="14.25" customHeight="1" x14ac:dyDescent="0.25">
      <c r="A2050" s="4" t="s">
        <v>3429</v>
      </c>
      <c r="B2050" s="4" t="s">
        <v>183</v>
      </c>
      <c r="C2050" s="4" t="s">
        <v>14</v>
      </c>
      <c r="D2050" s="35">
        <v>9097</v>
      </c>
      <c r="E2050" s="4" t="s">
        <v>3430</v>
      </c>
      <c r="F2050" s="5">
        <v>40799</v>
      </c>
      <c r="G2050" s="5">
        <v>41639</v>
      </c>
      <c r="H2050" s="4" t="s">
        <v>40</v>
      </c>
      <c r="I2050" s="6">
        <v>7500</v>
      </c>
      <c r="J2050" s="6">
        <v>7500</v>
      </c>
      <c r="K2050" s="37" t="s">
        <v>2650</v>
      </c>
      <c r="L2050" s="120"/>
      <c r="M2050" s="3"/>
    </row>
    <row r="2051" spans="1:13" s="4" customFormat="1" ht="14.25" customHeight="1" x14ac:dyDescent="0.25">
      <c r="A2051" s="4" t="s">
        <v>3431</v>
      </c>
      <c r="B2051" s="4" t="s">
        <v>190</v>
      </c>
      <c r="C2051" s="4" t="s">
        <v>14</v>
      </c>
      <c r="D2051" s="35">
        <v>9101</v>
      </c>
      <c r="E2051" s="4" t="s">
        <v>3432</v>
      </c>
      <c r="F2051" s="5">
        <v>40520</v>
      </c>
      <c r="G2051" s="5">
        <v>41639</v>
      </c>
      <c r="H2051" s="4" t="s">
        <v>40</v>
      </c>
      <c r="I2051" s="6">
        <v>7500</v>
      </c>
      <c r="J2051" s="6">
        <v>5000</v>
      </c>
      <c r="K2051" s="37" t="s">
        <v>2650</v>
      </c>
      <c r="L2051" s="120"/>
      <c r="M2051" s="3"/>
    </row>
    <row r="2052" spans="1:13" s="4" customFormat="1" ht="14.25" customHeight="1" x14ac:dyDescent="0.25">
      <c r="A2052" s="4" t="s">
        <v>3433</v>
      </c>
      <c r="B2052" s="4" t="s">
        <v>90</v>
      </c>
      <c r="C2052" s="4" t="s">
        <v>14</v>
      </c>
      <c r="D2052" s="35">
        <v>9104</v>
      </c>
      <c r="E2052" s="4" t="s">
        <v>3434</v>
      </c>
      <c r="F2052" s="5">
        <v>40799</v>
      </c>
      <c r="G2052" s="5">
        <v>41639</v>
      </c>
      <c r="H2052" s="4" t="s">
        <v>40</v>
      </c>
      <c r="I2052" s="6">
        <v>6000</v>
      </c>
      <c r="J2052" s="6">
        <v>3000</v>
      </c>
      <c r="K2052" s="37" t="s">
        <v>2650</v>
      </c>
      <c r="L2052" s="120"/>
      <c r="M2052" s="3"/>
    </row>
    <row r="2053" spans="1:13" s="4" customFormat="1" ht="14.25" customHeight="1" x14ac:dyDescent="0.25">
      <c r="A2053" s="4" t="s">
        <v>3435</v>
      </c>
      <c r="B2053" s="4" t="s">
        <v>183</v>
      </c>
      <c r="C2053" s="4" t="s">
        <v>14</v>
      </c>
      <c r="D2053" s="35">
        <v>9106</v>
      </c>
      <c r="E2053" s="4" t="s">
        <v>3436</v>
      </c>
      <c r="F2053" s="5">
        <v>40520</v>
      </c>
      <c r="G2053" s="5">
        <v>41639</v>
      </c>
      <c r="H2053" s="4" t="s">
        <v>40</v>
      </c>
      <c r="I2053" s="6">
        <v>4687.5</v>
      </c>
      <c r="J2053" s="6">
        <v>3750</v>
      </c>
      <c r="K2053" s="37" t="s">
        <v>2650</v>
      </c>
      <c r="L2053" s="120"/>
      <c r="M2053" s="3"/>
    </row>
    <row r="2054" spans="1:13" s="4" customFormat="1" ht="14.25" customHeight="1" x14ac:dyDescent="0.25">
      <c r="A2054" s="4" t="s">
        <v>3437</v>
      </c>
      <c r="B2054" s="4" t="s">
        <v>90</v>
      </c>
      <c r="C2054" s="4" t="s">
        <v>14</v>
      </c>
      <c r="D2054" s="35">
        <v>9109</v>
      </c>
      <c r="E2054" s="4" t="s">
        <v>3438</v>
      </c>
      <c r="F2054" s="5">
        <v>40862</v>
      </c>
      <c r="G2054" s="5">
        <v>41639</v>
      </c>
      <c r="H2054" s="4" t="s">
        <v>40</v>
      </c>
      <c r="I2054" s="6">
        <v>15000</v>
      </c>
      <c r="J2054" s="6">
        <v>7500</v>
      </c>
      <c r="K2054" s="37" t="s">
        <v>2650</v>
      </c>
      <c r="L2054" s="120"/>
      <c r="M2054" s="3"/>
    </row>
    <row r="2055" spans="1:13" s="4" customFormat="1" ht="14.25" customHeight="1" x14ac:dyDescent="0.25">
      <c r="A2055" s="4" t="s">
        <v>3441</v>
      </c>
      <c r="B2055" s="4" t="s">
        <v>183</v>
      </c>
      <c r="C2055" s="4" t="s">
        <v>14</v>
      </c>
      <c r="D2055" s="35">
        <v>9113</v>
      </c>
      <c r="E2055" s="4" t="s">
        <v>3442</v>
      </c>
      <c r="F2055" s="5">
        <v>40520</v>
      </c>
      <c r="G2055" s="5">
        <v>41639</v>
      </c>
      <c r="H2055" s="4" t="s">
        <v>40</v>
      </c>
      <c r="I2055" s="6">
        <v>5000</v>
      </c>
      <c r="J2055" s="6">
        <v>5000</v>
      </c>
      <c r="K2055" s="37" t="s">
        <v>2650</v>
      </c>
      <c r="L2055" s="120"/>
      <c r="M2055" s="3"/>
    </row>
    <row r="2056" spans="1:13" s="4" customFormat="1" ht="14.25" customHeight="1" x14ac:dyDescent="0.25">
      <c r="A2056" s="4" t="s">
        <v>3443</v>
      </c>
      <c r="B2056" s="4" t="s">
        <v>183</v>
      </c>
      <c r="C2056" s="4" t="s">
        <v>14</v>
      </c>
      <c r="D2056" s="35">
        <v>9116</v>
      </c>
      <c r="E2056" s="4" t="s">
        <v>3444</v>
      </c>
      <c r="F2056" s="5">
        <v>40799</v>
      </c>
      <c r="G2056" s="5">
        <v>41639</v>
      </c>
      <c r="H2056" s="4" t="s">
        <v>40</v>
      </c>
      <c r="I2056" s="6">
        <v>25000</v>
      </c>
      <c r="J2056" s="6">
        <v>20000</v>
      </c>
      <c r="K2056" s="37" t="s">
        <v>2650</v>
      </c>
      <c r="L2056" s="120"/>
      <c r="M2056" s="3"/>
    </row>
    <row r="2057" spans="1:13" s="4" customFormat="1" ht="14.25" customHeight="1" x14ac:dyDescent="0.25">
      <c r="A2057" s="4" t="s">
        <v>3445</v>
      </c>
      <c r="B2057" s="4" t="s">
        <v>183</v>
      </c>
      <c r="C2057" s="4" t="s">
        <v>14</v>
      </c>
      <c r="D2057" s="35">
        <v>9117</v>
      </c>
      <c r="E2057" s="4" t="s">
        <v>3446</v>
      </c>
      <c r="F2057" s="5">
        <v>40708</v>
      </c>
      <c r="G2057" s="5">
        <v>41639</v>
      </c>
      <c r="H2057" s="4" t="s">
        <v>40</v>
      </c>
      <c r="I2057" s="6">
        <v>18560.8</v>
      </c>
      <c r="J2057" s="6">
        <v>9280.4</v>
      </c>
      <c r="K2057" s="37" t="s">
        <v>2650</v>
      </c>
      <c r="L2057" s="120"/>
      <c r="M2057" s="3"/>
    </row>
    <row r="2058" spans="1:13" s="4" customFormat="1" ht="14.25" customHeight="1" x14ac:dyDescent="0.25">
      <c r="A2058" s="4" t="s">
        <v>3447</v>
      </c>
      <c r="B2058" s="4" t="s">
        <v>190</v>
      </c>
      <c r="C2058" s="4" t="s">
        <v>14</v>
      </c>
      <c r="D2058" s="35">
        <v>9120</v>
      </c>
      <c r="E2058" s="4" t="s">
        <v>3448</v>
      </c>
      <c r="F2058" s="5">
        <v>40862</v>
      </c>
      <c r="G2058" s="5">
        <v>41274</v>
      </c>
      <c r="H2058" s="4" t="s">
        <v>40</v>
      </c>
      <c r="I2058" s="6">
        <v>52500</v>
      </c>
      <c r="J2058" s="6">
        <v>30000</v>
      </c>
      <c r="K2058" s="37" t="s">
        <v>2650</v>
      </c>
      <c r="L2058" s="120"/>
      <c r="M2058" s="3"/>
    </row>
    <row r="2059" spans="1:13" s="4" customFormat="1" ht="14.25" customHeight="1" x14ac:dyDescent="0.25">
      <c r="A2059" s="4" t="s">
        <v>3449</v>
      </c>
      <c r="B2059" s="4" t="s">
        <v>190</v>
      </c>
      <c r="C2059" s="4" t="s">
        <v>14</v>
      </c>
      <c r="D2059" s="35">
        <v>9121</v>
      </c>
      <c r="E2059" s="4" t="s">
        <v>3450</v>
      </c>
      <c r="F2059" s="5">
        <v>40708</v>
      </c>
      <c r="G2059" s="5">
        <v>41639</v>
      </c>
      <c r="H2059" s="4" t="s">
        <v>40</v>
      </c>
      <c r="I2059" s="6">
        <v>7500</v>
      </c>
      <c r="J2059" s="6">
        <v>7500</v>
      </c>
      <c r="K2059" s="37" t="s">
        <v>2650</v>
      </c>
      <c r="L2059" s="120"/>
      <c r="M2059" s="3"/>
    </row>
    <row r="2060" spans="1:13" s="4" customFormat="1" ht="14.25" customHeight="1" x14ac:dyDescent="0.25">
      <c r="A2060" s="4" t="s">
        <v>3451</v>
      </c>
      <c r="B2060" s="4" t="s">
        <v>90</v>
      </c>
      <c r="C2060" s="4" t="s">
        <v>14</v>
      </c>
      <c r="D2060" s="35">
        <v>9123</v>
      </c>
      <c r="E2060" s="4" t="s">
        <v>3452</v>
      </c>
      <c r="F2060" s="5">
        <v>40799</v>
      </c>
      <c r="G2060" s="5">
        <v>41639</v>
      </c>
      <c r="H2060" s="4" t="s">
        <v>40</v>
      </c>
      <c r="I2060" s="6">
        <v>8000</v>
      </c>
      <c r="J2060" s="6">
        <v>4000</v>
      </c>
      <c r="K2060" s="37" t="s">
        <v>2650</v>
      </c>
      <c r="L2060" s="120"/>
      <c r="M2060" s="3"/>
    </row>
    <row r="2061" spans="1:13" s="4" customFormat="1" ht="14.25" customHeight="1" x14ac:dyDescent="0.25">
      <c r="A2061" s="4" t="s">
        <v>3453</v>
      </c>
      <c r="B2061" s="4" t="s">
        <v>183</v>
      </c>
      <c r="C2061" s="4" t="s">
        <v>14</v>
      </c>
      <c r="D2061" s="35">
        <v>9126</v>
      </c>
      <c r="E2061" s="4" t="s">
        <v>3454</v>
      </c>
      <c r="F2061" s="5">
        <v>40708</v>
      </c>
      <c r="G2061" s="5">
        <v>41274</v>
      </c>
      <c r="H2061" s="4" t="s">
        <v>40</v>
      </c>
      <c r="I2061" s="6">
        <v>15000</v>
      </c>
      <c r="J2061" s="6">
        <v>15000</v>
      </c>
      <c r="K2061" s="37" t="s">
        <v>2650</v>
      </c>
      <c r="L2061" s="120"/>
      <c r="M2061" s="3"/>
    </row>
    <row r="2062" spans="1:13" s="4" customFormat="1" ht="14.25" customHeight="1" x14ac:dyDescent="0.25">
      <c r="A2062" s="4" t="s">
        <v>3455</v>
      </c>
      <c r="B2062" s="4" t="s">
        <v>190</v>
      </c>
      <c r="C2062" s="4" t="s">
        <v>14</v>
      </c>
      <c r="D2062" s="35">
        <v>9127</v>
      </c>
      <c r="E2062" s="4" t="s">
        <v>3456</v>
      </c>
      <c r="F2062" s="5">
        <v>40862</v>
      </c>
      <c r="G2062" s="5">
        <v>41274</v>
      </c>
      <c r="H2062" s="4" t="s">
        <v>40</v>
      </c>
      <c r="I2062" s="6">
        <v>15500</v>
      </c>
      <c r="J2062" s="6">
        <v>11500</v>
      </c>
      <c r="K2062" s="37" t="s">
        <v>2650</v>
      </c>
      <c r="L2062" s="120"/>
      <c r="M2062" s="3"/>
    </row>
    <row r="2063" spans="1:13" s="4" customFormat="1" ht="14.25" customHeight="1" x14ac:dyDescent="0.25">
      <c r="A2063" s="4" t="s">
        <v>3457</v>
      </c>
      <c r="B2063" s="4" t="s">
        <v>190</v>
      </c>
      <c r="C2063" s="4" t="s">
        <v>14</v>
      </c>
      <c r="D2063" s="35">
        <v>9128</v>
      </c>
      <c r="E2063" s="4" t="s">
        <v>3458</v>
      </c>
      <c r="F2063" s="5">
        <v>40576</v>
      </c>
      <c r="G2063" s="5">
        <v>41639</v>
      </c>
      <c r="H2063" s="4" t="s">
        <v>40</v>
      </c>
      <c r="I2063" s="6">
        <v>7500</v>
      </c>
      <c r="J2063" s="6">
        <v>7500</v>
      </c>
      <c r="K2063" s="37" t="s">
        <v>2650</v>
      </c>
      <c r="L2063" s="120"/>
      <c r="M2063" s="3"/>
    </row>
    <row r="2064" spans="1:13" s="4" customFormat="1" ht="14.25" customHeight="1" x14ac:dyDescent="0.25">
      <c r="A2064" s="4" t="s">
        <v>3463</v>
      </c>
      <c r="B2064" s="4" t="s">
        <v>90</v>
      </c>
      <c r="C2064" s="4" t="s">
        <v>14</v>
      </c>
      <c r="D2064" s="35">
        <v>9135</v>
      </c>
      <c r="E2064" s="4" t="s">
        <v>3464</v>
      </c>
      <c r="F2064" s="5">
        <v>40379</v>
      </c>
      <c r="G2064" s="5">
        <v>41639</v>
      </c>
      <c r="H2064" s="4" t="s">
        <v>40</v>
      </c>
      <c r="I2064" s="6">
        <v>6611.56</v>
      </c>
      <c r="J2064" s="6">
        <v>3305.78</v>
      </c>
      <c r="K2064" s="37" t="s">
        <v>2650</v>
      </c>
      <c r="L2064" s="120"/>
      <c r="M2064" s="3"/>
    </row>
    <row r="2065" spans="1:13" s="4" customFormat="1" ht="14.25" customHeight="1" x14ac:dyDescent="0.25">
      <c r="A2065" s="4" t="s">
        <v>3465</v>
      </c>
      <c r="B2065" s="4" t="s">
        <v>183</v>
      </c>
      <c r="C2065" s="4" t="s">
        <v>14</v>
      </c>
      <c r="D2065" s="35">
        <v>9137</v>
      </c>
      <c r="E2065" s="4" t="s">
        <v>3466</v>
      </c>
      <c r="F2065" s="5">
        <v>40435</v>
      </c>
      <c r="G2065" s="5">
        <v>41639</v>
      </c>
      <c r="H2065" s="4" t="s">
        <v>40</v>
      </c>
      <c r="I2065" s="6">
        <v>25000</v>
      </c>
      <c r="J2065" s="6">
        <v>12500</v>
      </c>
      <c r="K2065" s="37" t="s">
        <v>2650</v>
      </c>
      <c r="L2065" s="120"/>
      <c r="M2065" s="3"/>
    </row>
    <row r="2066" spans="1:13" s="4" customFormat="1" ht="14.25" customHeight="1" x14ac:dyDescent="0.25">
      <c r="A2066" s="4" t="s">
        <v>3469</v>
      </c>
      <c r="B2066" s="4" t="s">
        <v>183</v>
      </c>
      <c r="C2066" s="4" t="s">
        <v>14</v>
      </c>
      <c r="D2066" s="35">
        <v>10449</v>
      </c>
      <c r="E2066" s="4" t="s">
        <v>3470</v>
      </c>
      <c r="F2066" s="5">
        <v>41163</v>
      </c>
      <c r="G2066" s="5">
        <v>41639</v>
      </c>
      <c r="H2066" s="4" t="s">
        <v>40</v>
      </c>
      <c r="I2066" s="6">
        <v>7500</v>
      </c>
      <c r="J2066" s="6">
        <v>7500</v>
      </c>
      <c r="K2066" s="37" t="s">
        <v>2650</v>
      </c>
      <c r="L2066" s="120"/>
      <c r="M2066" s="3"/>
    </row>
    <row r="2067" spans="1:13" s="4" customFormat="1" ht="14.25" customHeight="1" x14ac:dyDescent="0.25">
      <c r="A2067" s="4" t="s">
        <v>3471</v>
      </c>
      <c r="B2067" s="4" t="s">
        <v>183</v>
      </c>
      <c r="C2067" s="4" t="s">
        <v>14</v>
      </c>
      <c r="D2067" s="35">
        <v>10450</v>
      </c>
      <c r="E2067" s="4" t="s">
        <v>3472</v>
      </c>
      <c r="F2067" s="5">
        <v>40990</v>
      </c>
      <c r="G2067" s="5">
        <v>41274</v>
      </c>
      <c r="H2067" s="4" t="s">
        <v>40</v>
      </c>
      <c r="I2067" s="6">
        <v>18750</v>
      </c>
      <c r="J2067" s="6">
        <v>18750</v>
      </c>
      <c r="K2067" s="37" t="s">
        <v>2650</v>
      </c>
      <c r="L2067" s="120"/>
      <c r="M2067" s="3"/>
    </row>
    <row r="2068" spans="1:13" s="4" customFormat="1" ht="14.25" customHeight="1" x14ac:dyDescent="0.25">
      <c r="A2068" s="4" t="s">
        <v>3473</v>
      </c>
      <c r="B2068" s="4" t="s">
        <v>90</v>
      </c>
      <c r="C2068" s="4" t="s">
        <v>14</v>
      </c>
      <c r="D2068" s="35">
        <v>10451</v>
      </c>
      <c r="E2068" s="4" t="s">
        <v>3474</v>
      </c>
      <c r="F2068" s="5">
        <v>41030</v>
      </c>
      <c r="G2068" s="5">
        <v>41274</v>
      </c>
      <c r="H2068" s="4" t="s">
        <v>40</v>
      </c>
      <c r="I2068" s="6">
        <v>4893.3</v>
      </c>
      <c r="J2068" s="6">
        <v>2446.65</v>
      </c>
      <c r="K2068" s="37" t="s">
        <v>2650</v>
      </c>
      <c r="L2068" s="120"/>
      <c r="M2068" s="3"/>
    </row>
    <row r="2069" spans="1:13" s="4" customFormat="1" ht="14.25" customHeight="1" x14ac:dyDescent="0.25">
      <c r="A2069" s="4" t="s">
        <v>3475</v>
      </c>
      <c r="B2069" s="4" t="s">
        <v>183</v>
      </c>
      <c r="C2069" s="4" t="s">
        <v>14</v>
      </c>
      <c r="D2069" s="35">
        <v>10452</v>
      </c>
      <c r="E2069" s="4" t="s">
        <v>3476</v>
      </c>
      <c r="F2069" s="5">
        <v>41114</v>
      </c>
      <c r="G2069" s="5">
        <v>41639</v>
      </c>
      <c r="H2069" s="4" t="s">
        <v>40</v>
      </c>
      <c r="I2069" s="6">
        <v>9500</v>
      </c>
      <c r="J2069" s="6">
        <f>3750+4750</f>
        <v>8500</v>
      </c>
      <c r="K2069" s="37" t="s">
        <v>2650</v>
      </c>
      <c r="L2069" s="120"/>
      <c r="M2069" s="3"/>
    </row>
    <row r="2070" spans="1:13" s="4" customFormat="1" ht="14.25" customHeight="1" x14ac:dyDescent="0.25">
      <c r="A2070" s="4" t="s">
        <v>3477</v>
      </c>
      <c r="B2070" s="4" t="s">
        <v>183</v>
      </c>
      <c r="C2070" s="4" t="s">
        <v>14</v>
      </c>
      <c r="D2070" s="35">
        <v>10453</v>
      </c>
      <c r="E2070" s="4" t="s">
        <v>3478</v>
      </c>
      <c r="F2070" s="5">
        <v>40708</v>
      </c>
      <c r="G2070" s="5">
        <v>41274</v>
      </c>
      <c r="H2070" s="4" t="s">
        <v>40</v>
      </c>
      <c r="I2070" s="6">
        <v>3750</v>
      </c>
      <c r="J2070" s="6">
        <v>3750</v>
      </c>
      <c r="K2070" s="37" t="s">
        <v>2650</v>
      </c>
      <c r="L2070" s="120"/>
      <c r="M2070" s="3"/>
    </row>
    <row r="2071" spans="1:13" s="4" customFormat="1" ht="14.25" customHeight="1" x14ac:dyDescent="0.25">
      <c r="A2071" s="4" t="s">
        <v>3481</v>
      </c>
      <c r="B2071" s="4" t="s">
        <v>90</v>
      </c>
      <c r="C2071" s="4" t="s">
        <v>14</v>
      </c>
      <c r="D2071" s="35">
        <v>10670</v>
      </c>
      <c r="E2071" s="4" t="s">
        <v>3482</v>
      </c>
      <c r="F2071" s="5">
        <v>40799</v>
      </c>
      <c r="G2071" s="5">
        <v>41274</v>
      </c>
      <c r="H2071" s="4" t="s">
        <v>40</v>
      </c>
      <c r="I2071" s="6">
        <v>3056.88</v>
      </c>
      <c r="J2071" s="6">
        <v>1528.44</v>
      </c>
      <c r="K2071" s="37" t="s">
        <v>2650</v>
      </c>
      <c r="L2071" s="120"/>
      <c r="M2071" s="3"/>
    </row>
    <row r="2072" spans="1:13" s="4" customFormat="1" ht="14.25" customHeight="1" x14ac:dyDescent="0.25">
      <c r="A2072" s="4" t="s">
        <v>3483</v>
      </c>
      <c r="B2072" s="4" t="s">
        <v>183</v>
      </c>
      <c r="C2072" s="4" t="s">
        <v>14</v>
      </c>
      <c r="D2072" s="35">
        <v>10671</v>
      </c>
      <c r="E2072" s="4" t="s">
        <v>3484</v>
      </c>
      <c r="F2072" s="5">
        <v>41163</v>
      </c>
      <c r="G2072" s="5">
        <v>41274</v>
      </c>
      <c r="H2072" s="4" t="s">
        <v>40</v>
      </c>
      <c r="I2072" s="6">
        <v>87028.44</v>
      </c>
      <c r="J2072" s="6">
        <v>58514.22</v>
      </c>
      <c r="K2072" s="37" t="s">
        <v>2650</v>
      </c>
      <c r="L2072" s="120"/>
      <c r="M2072" s="3"/>
    </row>
    <row r="2073" spans="1:13" s="4" customFormat="1" ht="14.25" customHeight="1" x14ac:dyDescent="0.25">
      <c r="A2073" s="4" t="s">
        <v>3485</v>
      </c>
      <c r="B2073" s="4" t="s">
        <v>90</v>
      </c>
      <c r="C2073" s="4" t="s">
        <v>14</v>
      </c>
      <c r="D2073" s="35">
        <v>10672</v>
      </c>
      <c r="E2073" s="4" t="s">
        <v>3486</v>
      </c>
      <c r="F2073" s="5">
        <v>41030</v>
      </c>
      <c r="G2073" s="5">
        <v>41274</v>
      </c>
      <c r="H2073" s="4" t="s">
        <v>40</v>
      </c>
      <c r="I2073" s="6">
        <v>6000</v>
      </c>
      <c r="J2073" s="6">
        <v>3000</v>
      </c>
      <c r="K2073" s="37" t="s">
        <v>2650</v>
      </c>
      <c r="L2073" s="120"/>
      <c r="M2073" s="3"/>
    </row>
    <row r="2074" spans="1:13" s="4" customFormat="1" ht="14.25" customHeight="1" x14ac:dyDescent="0.25">
      <c r="A2074" s="4" t="s">
        <v>3487</v>
      </c>
      <c r="B2074" s="4" t="s">
        <v>183</v>
      </c>
      <c r="C2074" s="4" t="s">
        <v>14</v>
      </c>
      <c r="D2074" s="35">
        <v>10673</v>
      </c>
      <c r="E2074" s="4" t="s">
        <v>3488</v>
      </c>
      <c r="F2074" s="5">
        <v>41072</v>
      </c>
      <c r="G2074" s="5">
        <v>41639</v>
      </c>
      <c r="H2074" s="4" t="s">
        <v>40</v>
      </c>
      <c r="I2074" s="6">
        <v>15000</v>
      </c>
      <c r="J2074" s="6">
        <f>7500+7500</f>
        <v>15000</v>
      </c>
      <c r="K2074" s="37" t="s">
        <v>2650</v>
      </c>
      <c r="L2074" s="120"/>
      <c r="M2074" s="3"/>
    </row>
    <row r="2075" spans="1:13" s="4" customFormat="1" ht="14.25" customHeight="1" x14ac:dyDescent="0.25">
      <c r="A2075" s="4" t="s">
        <v>3489</v>
      </c>
      <c r="B2075" s="4" t="s">
        <v>183</v>
      </c>
      <c r="C2075" s="4" t="s">
        <v>14</v>
      </c>
      <c r="D2075" s="35">
        <v>10674</v>
      </c>
      <c r="E2075" s="7" t="s">
        <v>3490</v>
      </c>
      <c r="F2075" s="5">
        <v>40862</v>
      </c>
      <c r="G2075" s="5">
        <v>41274</v>
      </c>
      <c r="H2075" s="4" t="s">
        <v>40</v>
      </c>
      <c r="I2075" s="6">
        <v>12398</v>
      </c>
      <c r="J2075" s="6">
        <v>6199</v>
      </c>
      <c r="K2075" s="37" t="s">
        <v>2650</v>
      </c>
      <c r="L2075" s="120"/>
      <c r="M2075" s="3"/>
    </row>
    <row r="2076" spans="1:13" s="4" customFormat="1" ht="14.25" customHeight="1" x14ac:dyDescent="0.25">
      <c r="A2076" s="4" t="s">
        <v>3493</v>
      </c>
      <c r="B2076" s="4" t="s">
        <v>190</v>
      </c>
      <c r="C2076" s="4" t="s">
        <v>14</v>
      </c>
      <c r="D2076" s="35">
        <v>10678</v>
      </c>
      <c r="E2076" s="4" t="s">
        <v>3494</v>
      </c>
      <c r="F2076" s="5">
        <v>41247</v>
      </c>
      <c r="G2076" s="5">
        <v>41274</v>
      </c>
      <c r="H2076" s="4" t="s">
        <v>40</v>
      </c>
      <c r="I2076" s="6">
        <v>15000</v>
      </c>
      <c r="J2076" s="6">
        <v>15000</v>
      </c>
      <c r="K2076" s="37" t="s">
        <v>2650</v>
      </c>
      <c r="L2076" s="120"/>
      <c r="M2076" s="3"/>
    </row>
    <row r="2077" spans="1:13" s="4" customFormat="1" ht="14.25" customHeight="1" x14ac:dyDescent="0.25">
      <c r="A2077" s="4" t="s">
        <v>3495</v>
      </c>
      <c r="B2077" s="4" t="s">
        <v>90</v>
      </c>
      <c r="C2077" s="4" t="s">
        <v>14</v>
      </c>
      <c r="D2077" s="35">
        <v>10679</v>
      </c>
      <c r="E2077" s="4" t="s">
        <v>3496</v>
      </c>
      <c r="F2077" s="5">
        <v>40990</v>
      </c>
      <c r="G2077" s="5">
        <v>41274</v>
      </c>
      <c r="H2077" s="4" t="s">
        <v>40</v>
      </c>
      <c r="I2077" s="6">
        <v>15000</v>
      </c>
      <c r="J2077" s="6">
        <v>7500</v>
      </c>
      <c r="K2077" s="37" t="s">
        <v>2650</v>
      </c>
      <c r="L2077" s="120"/>
      <c r="M2077" s="3"/>
    </row>
    <row r="2078" spans="1:13" s="4" customFormat="1" ht="14.25" customHeight="1" x14ac:dyDescent="0.25">
      <c r="A2078" s="4" t="s">
        <v>3497</v>
      </c>
      <c r="B2078" s="4" t="s">
        <v>90</v>
      </c>
      <c r="C2078" s="4" t="s">
        <v>14</v>
      </c>
      <c r="D2078" s="35">
        <v>10680</v>
      </c>
      <c r="E2078" s="4" t="s">
        <v>3498</v>
      </c>
      <c r="F2078" s="5">
        <v>41030</v>
      </c>
      <c r="G2078" s="5">
        <v>41274</v>
      </c>
      <c r="H2078" s="4" t="s">
        <v>40</v>
      </c>
      <c r="I2078" s="6">
        <v>4135</v>
      </c>
      <c r="J2078" s="6">
        <v>2067.5</v>
      </c>
      <c r="K2078" s="37" t="s">
        <v>2650</v>
      </c>
      <c r="L2078" s="120"/>
      <c r="M2078" s="3"/>
    </row>
    <row r="2079" spans="1:13" s="4" customFormat="1" ht="14.25" customHeight="1" x14ac:dyDescent="0.25">
      <c r="A2079" s="4" t="s">
        <v>3499</v>
      </c>
      <c r="B2079" s="4" t="s">
        <v>183</v>
      </c>
      <c r="C2079" s="4" t="s">
        <v>14</v>
      </c>
      <c r="D2079" s="35">
        <v>10681</v>
      </c>
      <c r="E2079" s="4" t="s">
        <v>3500</v>
      </c>
      <c r="F2079" s="5">
        <v>40946</v>
      </c>
      <c r="G2079" s="5">
        <v>41274</v>
      </c>
      <c r="H2079" s="4" t="s">
        <v>40</v>
      </c>
      <c r="I2079" s="6">
        <v>3750</v>
      </c>
      <c r="J2079" s="6">
        <v>3750</v>
      </c>
      <c r="K2079" s="37" t="s">
        <v>2650</v>
      </c>
      <c r="L2079" s="120"/>
      <c r="M2079" s="3"/>
    </row>
    <row r="2080" spans="1:13" s="4" customFormat="1" ht="14.25" customHeight="1" x14ac:dyDescent="0.25">
      <c r="A2080" s="4" t="s">
        <v>3501</v>
      </c>
      <c r="B2080" s="4" t="s">
        <v>90</v>
      </c>
      <c r="C2080" s="4" t="s">
        <v>14</v>
      </c>
      <c r="D2080" s="35">
        <v>10682</v>
      </c>
      <c r="E2080" s="4" t="s">
        <v>3502</v>
      </c>
      <c r="F2080" s="5">
        <v>41030</v>
      </c>
      <c r="G2080" s="5">
        <v>41274</v>
      </c>
      <c r="H2080" s="4" t="s">
        <v>40</v>
      </c>
      <c r="I2080" s="6">
        <v>9821</v>
      </c>
      <c r="J2080" s="6">
        <v>4910.5</v>
      </c>
      <c r="K2080" s="37" t="s">
        <v>2650</v>
      </c>
      <c r="L2080" s="120"/>
      <c r="M2080" s="3"/>
    </row>
    <row r="2081" spans="1:13" s="4" customFormat="1" ht="14.25" customHeight="1" x14ac:dyDescent="0.25">
      <c r="A2081" s="4" t="s">
        <v>3503</v>
      </c>
      <c r="B2081" s="4" t="s">
        <v>183</v>
      </c>
      <c r="C2081" s="4" t="s">
        <v>14</v>
      </c>
      <c r="D2081" s="35">
        <v>10683</v>
      </c>
      <c r="E2081" s="4" t="s">
        <v>3504</v>
      </c>
      <c r="F2081" s="5">
        <v>41072</v>
      </c>
      <c r="G2081" s="5">
        <v>41274</v>
      </c>
      <c r="H2081" s="4" t="s">
        <v>40</v>
      </c>
      <c r="I2081" s="6">
        <v>31250</v>
      </c>
      <c r="J2081" s="6">
        <v>21250</v>
      </c>
      <c r="K2081" s="37" t="s">
        <v>2650</v>
      </c>
      <c r="L2081" s="120"/>
      <c r="M2081" s="3"/>
    </row>
    <row r="2082" spans="1:13" s="4" customFormat="1" ht="14.25" customHeight="1" x14ac:dyDescent="0.25">
      <c r="A2082" s="4" t="s">
        <v>3505</v>
      </c>
      <c r="B2082" s="4" t="s">
        <v>183</v>
      </c>
      <c r="C2082" s="4" t="s">
        <v>14</v>
      </c>
      <c r="D2082" s="35">
        <v>10684</v>
      </c>
      <c r="E2082" s="4" t="s">
        <v>3506</v>
      </c>
      <c r="F2082" s="5">
        <v>40743</v>
      </c>
      <c r="G2082" s="5">
        <v>41274</v>
      </c>
      <c r="H2082" s="4" t="s">
        <v>40</v>
      </c>
      <c r="I2082" s="6">
        <v>3750</v>
      </c>
      <c r="J2082" s="6">
        <v>3750</v>
      </c>
      <c r="K2082" s="37" t="s">
        <v>2650</v>
      </c>
      <c r="L2082" s="120"/>
      <c r="M2082" s="3"/>
    </row>
    <row r="2083" spans="1:13" s="4" customFormat="1" ht="14.25" customHeight="1" x14ac:dyDescent="0.25">
      <c r="A2083" s="4" t="s">
        <v>3507</v>
      </c>
      <c r="B2083" s="4" t="s">
        <v>90</v>
      </c>
      <c r="C2083" s="4" t="s">
        <v>14</v>
      </c>
      <c r="D2083" s="35">
        <v>10687</v>
      </c>
      <c r="E2083" s="4" t="s">
        <v>3508</v>
      </c>
      <c r="F2083" s="5">
        <v>40946</v>
      </c>
      <c r="G2083" s="5">
        <v>41274</v>
      </c>
      <c r="H2083" s="4" t="s">
        <v>40</v>
      </c>
      <c r="I2083" s="6">
        <v>12452.9</v>
      </c>
      <c r="J2083" s="6">
        <v>6226.44</v>
      </c>
      <c r="K2083" s="37" t="s">
        <v>2650</v>
      </c>
      <c r="L2083" s="120"/>
      <c r="M2083" s="3"/>
    </row>
    <row r="2084" spans="1:13" s="4" customFormat="1" ht="14.25" customHeight="1" x14ac:dyDescent="0.25">
      <c r="A2084" s="4" t="s">
        <v>3509</v>
      </c>
      <c r="B2084" s="4" t="s">
        <v>90</v>
      </c>
      <c r="C2084" s="4" t="s">
        <v>14</v>
      </c>
      <c r="D2084" s="35">
        <v>10688</v>
      </c>
      <c r="E2084" s="4" t="s">
        <v>3510</v>
      </c>
      <c r="F2084" s="5">
        <v>41072</v>
      </c>
      <c r="G2084" s="5">
        <v>41274</v>
      </c>
      <c r="H2084" s="4" t="s">
        <v>40</v>
      </c>
      <c r="I2084" s="6">
        <v>4000</v>
      </c>
      <c r="J2084" s="6">
        <v>2000</v>
      </c>
      <c r="K2084" s="37" t="s">
        <v>2650</v>
      </c>
      <c r="L2084" s="120"/>
      <c r="M2084" s="3"/>
    </row>
    <row r="2085" spans="1:13" s="4" customFormat="1" ht="14.25" customHeight="1" x14ac:dyDescent="0.25">
      <c r="A2085" s="4" t="s">
        <v>3511</v>
      </c>
      <c r="B2085" s="4" t="s">
        <v>90</v>
      </c>
      <c r="C2085" s="4" t="s">
        <v>14</v>
      </c>
      <c r="D2085" s="35">
        <v>10689</v>
      </c>
      <c r="E2085" s="4" t="s">
        <v>3512</v>
      </c>
      <c r="F2085" s="5">
        <v>40862</v>
      </c>
      <c r="G2085" s="5">
        <v>41274</v>
      </c>
      <c r="H2085" s="4" t="s">
        <v>40</v>
      </c>
      <c r="I2085" s="6">
        <v>9547.5</v>
      </c>
      <c r="J2085" s="6">
        <v>4784</v>
      </c>
      <c r="K2085" s="37" t="s">
        <v>2650</v>
      </c>
      <c r="L2085" s="120"/>
      <c r="M2085" s="3"/>
    </row>
    <row r="2086" spans="1:13" s="4" customFormat="1" ht="14.25" customHeight="1" x14ac:dyDescent="0.25">
      <c r="A2086" s="4" t="s">
        <v>3513</v>
      </c>
      <c r="B2086" s="4" t="s">
        <v>183</v>
      </c>
      <c r="C2086" s="4" t="s">
        <v>14</v>
      </c>
      <c r="D2086" s="35">
        <v>10693</v>
      </c>
      <c r="E2086" s="4" t="s">
        <v>3514</v>
      </c>
      <c r="F2086" s="5">
        <v>40883</v>
      </c>
      <c r="G2086" s="5">
        <v>41274</v>
      </c>
      <c r="H2086" s="4" t="s">
        <v>40</v>
      </c>
      <c r="I2086" s="6">
        <v>42500</v>
      </c>
      <c r="J2086" s="6">
        <v>32500</v>
      </c>
      <c r="K2086" s="37" t="s">
        <v>2650</v>
      </c>
      <c r="L2086" s="120"/>
      <c r="M2086" s="3"/>
    </row>
    <row r="2087" spans="1:13" s="4" customFormat="1" ht="14.25" customHeight="1" x14ac:dyDescent="0.25">
      <c r="A2087" s="4" t="s">
        <v>3515</v>
      </c>
      <c r="B2087" s="4" t="s">
        <v>190</v>
      </c>
      <c r="C2087" s="4" t="s">
        <v>14</v>
      </c>
      <c r="D2087" s="35">
        <v>10694</v>
      </c>
      <c r="E2087" s="4" t="s">
        <v>3516</v>
      </c>
      <c r="F2087" s="5">
        <v>40743</v>
      </c>
      <c r="G2087" s="5">
        <v>41274</v>
      </c>
      <c r="H2087" s="4" t="s">
        <v>40</v>
      </c>
      <c r="I2087" s="6">
        <v>3750</v>
      </c>
      <c r="J2087" s="6">
        <v>3750</v>
      </c>
      <c r="K2087" s="37" t="s">
        <v>2650</v>
      </c>
      <c r="L2087" s="120"/>
      <c r="M2087" s="3"/>
    </row>
    <row r="2088" spans="1:13" s="4" customFormat="1" ht="14.25" customHeight="1" x14ac:dyDescent="0.25">
      <c r="A2088" s="4" t="s">
        <v>3517</v>
      </c>
      <c r="B2088" s="4" t="s">
        <v>90</v>
      </c>
      <c r="C2088" s="4" t="s">
        <v>14</v>
      </c>
      <c r="D2088" s="35">
        <v>10713</v>
      </c>
      <c r="E2088" s="4" t="s">
        <v>3518</v>
      </c>
      <c r="F2088" s="5">
        <v>41030</v>
      </c>
      <c r="G2088" s="5">
        <v>41274</v>
      </c>
      <c r="H2088" s="4" t="s">
        <v>40</v>
      </c>
      <c r="I2088" s="6">
        <v>7168.2</v>
      </c>
      <c r="J2088" s="6">
        <v>3584.1</v>
      </c>
      <c r="K2088" s="37" t="s">
        <v>2650</v>
      </c>
      <c r="L2088" s="120"/>
      <c r="M2088" s="3"/>
    </row>
    <row r="2089" spans="1:13" s="4" customFormat="1" ht="14.25" customHeight="1" x14ac:dyDescent="0.25">
      <c r="A2089" s="4" t="s">
        <v>3519</v>
      </c>
      <c r="B2089" s="4" t="s">
        <v>190</v>
      </c>
      <c r="C2089" s="4" t="s">
        <v>14</v>
      </c>
      <c r="D2089" s="35">
        <v>10718</v>
      </c>
      <c r="E2089" s="4" t="s">
        <v>3520</v>
      </c>
      <c r="F2089" s="5">
        <v>41114</v>
      </c>
      <c r="G2089" s="5">
        <v>41639</v>
      </c>
      <c r="H2089" s="4" t="s">
        <v>40</v>
      </c>
      <c r="I2089" s="6">
        <v>15000</v>
      </c>
      <c r="J2089" s="6">
        <f>7500+7500</f>
        <v>15000</v>
      </c>
      <c r="K2089" s="37" t="s">
        <v>2650</v>
      </c>
      <c r="L2089" s="120"/>
      <c r="M2089" s="3"/>
    </row>
    <row r="2090" spans="1:13" s="4" customFormat="1" ht="14.25" customHeight="1" x14ac:dyDescent="0.25">
      <c r="A2090" s="4" t="s">
        <v>3521</v>
      </c>
      <c r="B2090" s="4" t="s">
        <v>183</v>
      </c>
      <c r="C2090" s="4" t="s">
        <v>14</v>
      </c>
      <c r="D2090" s="35">
        <v>10719</v>
      </c>
      <c r="E2090" s="4" t="s">
        <v>3522</v>
      </c>
      <c r="F2090" s="5">
        <v>41072</v>
      </c>
      <c r="G2090" s="5">
        <v>41639</v>
      </c>
      <c r="H2090" s="4" t="s">
        <v>40</v>
      </c>
      <c r="I2090" s="6">
        <v>19000</v>
      </c>
      <c r="J2090" s="6">
        <f>15930.5+1069.5</f>
        <v>17000</v>
      </c>
      <c r="K2090" s="37" t="s">
        <v>2650</v>
      </c>
      <c r="L2090" s="120"/>
      <c r="M2090" s="3"/>
    </row>
    <row r="2091" spans="1:13" s="4" customFormat="1" ht="14.25" customHeight="1" x14ac:dyDescent="0.25">
      <c r="A2091" s="4" t="s">
        <v>3523</v>
      </c>
      <c r="B2091" s="4" t="s">
        <v>90</v>
      </c>
      <c r="C2091" s="4" t="s">
        <v>14</v>
      </c>
      <c r="D2091" s="35">
        <v>10721</v>
      </c>
      <c r="E2091" s="4" t="s">
        <v>3524</v>
      </c>
      <c r="F2091" s="5">
        <v>41163</v>
      </c>
      <c r="G2091" s="5">
        <v>41274</v>
      </c>
      <c r="H2091" s="4" t="s">
        <v>40</v>
      </c>
      <c r="I2091" s="6">
        <v>30000</v>
      </c>
      <c r="J2091" s="6">
        <v>15000</v>
      </c>
      <c r="K2091" s="37" t="s">
        <v>2650</v>
      </c>
      <c r="L2091" s="120"/>
      <c r="M2091" s="3"/>
    </row>
    <row r="2092" spans="1:13" s="4" customFormat="1" ht="14.25" customHeight="1" x14ac:dyDescent="0.25">
      <c r="A2092" s="4" t="s">
        <v>3525</v>
      </c>
      <c r="B2092" s="4" t="s">
        <v>90</v>
      </c>
      <c r="C2092" s="4" t="s">
        <v>14</v>
      </c>
      <c r="D2092" s="35">
        <v>10746</v>
      </c>
      <c r="E2092" s="4" t="s">
        <v>3526</v>
      </c>
      <c r="F2092" s="5">
        <v>40946</v>
      </c>
      <c r="G2092" s="5">
        <v>41274</v>
      </c>
      <c r="H2092" s="4" t="s">
        <v>40</v>
      </c>
      <c r="I2092" s="6">
        <v>8000</v>
      </c>
      <c r="J2092" s="6">
        <v>4000</v>
      </c>
      <c r="K2092" s="37" t="s">
        <v>2650</v>
      </c>
      <c r="L2092" s="120"/>
      <c r="M2092" s="3"/>
    </row>
    <row r="2093" spans="1:13" s="4" customFormat="1" ht="14.25" customHeight="1" x14ac:dyDescent="0.25">
      <c r="A2093" s="4" t="s">
        <v>3527</v>
      </c>
      <c r="B2093" s="4" t="s">
        <v>183</v>
      </c>
      <c r="C2093" s="4" t="s">
        <v>14</v>
      </c>
      <c r="D2093" s="35">
        <v>10747</v>
      </c>
      <c r="E2093" s="4" t="s">
        <v>3528</v>
      </c>
      <c r="F2093" s="5">
        <v>41030</v>
      </c>
      <c r="G2093" s="5">
        <v>41274</v>
      </c>
      <c r="H2093" s="4" t="s">
        <v>40</v>
      </c>
      <c r="I2093" s="6">
        <v>61250</v>
      </c>
      <c r="J2093" s="6">
        <v>40000</v>
      </c>
      <c r="K2093" s="37" t="s">
        <v>2650</v>
      </c>
      <c r="L2093" s="120"/>
      <c r="M2093" s="3"/>
    </row>
    <row r="2094" spans="1:13" s="4" customFormat="1" ht="14.25" customHeight="1" x14ac:dyDescent="0.25">
      <c r="A2094" s="4" t="s">
        <v>3529</v>
      </c>
      <c r="B2094" s="4" t="s">
        <v>183</v>
      </c>
      <c r="C2094" s="4" t="s">
        <v>14</v>
      </c>
      <c r="D2094" s="35">
        <v>10748</v>
      </c>
      <c r="E2094" s="4" t="s">
        <v>3530</v>
      </c>
      <c r="F2094" s="5">
        <v>41072</v>
      </c>
      <c r="G2094" s="5">
        <v>41639</v>
      </c>
      <c r="H2094" s="4" t="s">
        <v>40</v>
      </c>
      <c r="I2094" s="6">
        <v>29522.3</v>
      </c>
      <c r="J2094" s="6">
        <f>9750+10636.15</f>
        <v>20386.150000000001</v>
      </c>
      <c r="K2094" s="37" t="s">
        <v>2650</v>
      </c>
      <c r="L2094" s="120"/>
      <c r="M2094" s="3"/>
    </row>
    <row r="2095" spans="1:13" s="4" customFormat="1" ht="14.25" customHeight="1" x14ac:dyDescent="0.25">
      <c r="A2095" s="4" t="s">
        <v>3533</v>
      </c>
      <c r="B2095" s="4" t="s">
        <v>183</v>
      </c>
      <c r="C2095" s="4" t="s">
        <v>14</v>
      </c>
      <c r="D2095" s="35">
        <v>10750</v>
      </c>
      <c r="E2095" s="4" t="s">
        <v>3534</v>
      </c>
      <c r="F2095" s="5">
        <v>41030</v>
      </c>
      <c r="G2095" s="5">
        <v>41274</v>
      </c>
      <c r="H2095" s="4" t="s">
        <v>40</v>
      </c>
      <c r="I2095" s="6">
        <v>3750</v>
      </c>
      <c r="J2095" s="6">
        <v>3750</v>
      </c>
      <c r="K2095" s="37" t="s">
        <v>2650</v>
      </c>
      <c r="L2095" s="120"/>
      <c r="M2095" s="3"/>
    </row>
    <row r="2096" spans="1:13" s="4" customFormat="1" ht="14.25" customHeight="1" x14ac:dyDescent="0.25">
      <c r="A2096" s="4" t="s">
        <v>3535</v>
      </c>
      <c r="B2096" s="4" t="s">
        <v>183</v>
      </c>
      <c r="C2096" s="4" t="s">
        <v>14</v>
      </c>
      <c r="D2096" s="35">
        <v>10751</v>
      </c>
      <c r="E2096" s="4" t="s">
        <v>3536</v>
      </c>
      <c r="F2096" s="5">
        <v>41072</v>
      </c>
      <c r="G2096" s="5">
        <v>41639</v>
      </c>
      <c r="H2096" s="4" t="s">
        <v>40</v>
      </c>
      <c r="I2096" s="6">
        <v>7500</v>
      </c>
      <c r="J2096" s="6">
        <f>3750+3750</f>
        <v>7500</v>
      </c>
      <c r="K2096" s="37" t="s">
        <v>2650</v>
      </c>
      <c r="L2096" s="120"/>
      <c r="M2096" s="3"/>
    </row>
    <row r="2097" spans="1:13" s="4" customFormat="1" ht="14.25" customHeight="1" x14ac:dyDescent="0.25">
      <c r="A2097" s="4" t="s">
        <v>3537</v>
      </c>
      <c r="B2097" s="4" t="s">
        <v>183</v>
      </c>
      <c r="C2097" s="4" t="s">
        <v>14</v>
      </c>
      <c r="D2097" s="35">
        <v>10753</v>
      </c>
      <c r="E2097" s="4" t="s">
        <v>3538</v>
      </c>
      <c r="F2097" s="5">
        <v>41030</v>
      </c>
      <c r="G2097" s="5">
        <v>41639</v>
      </c>
      <c r="H2097" s="4" t="s">
        <v>40</v>
      </c>
      <c r="I2097" s="6">
        <v>7500</v>
      </c>
      <c r="J2097" s="6">
        <f>3750+3750</f>
        <v>7500</v>
      </c>
      <c r="K2097" s="37" t="s">
        <v>2650</v>
      </c>
      <c r="L2097" s="120"/>
      <c r="M2097" s="3"/>
    </row>
    <row r="2098" spans="1:13" s="4" customFormat="1" ht="14.25" customHeight="1" x14ac:dyDescent="0.25">
      <c r="A2098" s="4" t="s">
        <v>3539</v>
      </c>
      <c r="B2098" s="4" t="s">
        <v>90</v>
      </c>
      <c r="C2098" s="4" t="s">
        <v>14</v>
      </c>
      <c r="D2098" s="35">
        <v>10754</v>
      </c>
      <c r="E2098" s="4" t="s">
        <v>3540</v>
      </c>
      <c r="F2098" s="5">
        <v>40834</v>
      </c>
      <c r="G2098" s="5">
        <v>41274</v>
      </c>
      <c r="H2098" s="4" t="s">
        <v>40</v>
      </c>
      <c r="I2098" s="6">
        <v>15000</v>
      </c>
      <c r="J2098" s="6">
        <v>7500</v>
      </c>
      <c r="K2098" s="37" t="s">
        <v>2650</v>
      </c>
      <c r="L2098" s="120"/>
      <c r="M2098" s="3"/>
    </row>
    <row r="2099" spans="1:13" s="4" customFormat="1" ht="14.25" customHeight="1" x14ac:dyDescent="0.25">
      <c r="A2099" s="4" t="s">
        <v>3541</v>
      </c>
      <c r="B2099" s="4" t="s">
        <v>38</v>
      </c>
      <c r="C2099" s="4" t="s">
        <v>14</v>
      </c>
      <c r="D2099" s="35">
        <v>10755</v>
      </c>
      <c r="E2099" s="4" t="s">
        <v>3542</v>
      </c>
      <c r="F2099" s="5">
        <v>41226</v>
      </c>
      <c r="G2099" s="5">
        <v>41274</v>
      </c>
      <c r="H2099" s="4" t="s">
        <v>40</v>
      </c>
      <c r="I2099" s="6">
        <v>30000</v>
      </c>
      <c r="J2099" s="6">
        <v>30000</v>
      </c>
      <c r="K2099" s="37" t="s">
        <v>2650</v>
      </c>
      <c r="L2099" s="120"/>
      <c r="M2099" s="3"/>
    </row>
    <row r="2100" spans="1:13" s="4" customFormat="1" ht="14.25" customHeight="1" x14ac:dyDescent="0.25">
      <c r="A2100" s="4" t="s">
        <v>3543</v>
      </c>
      <c r="B2100" s="4" t="s">
        <v>183</v>
      </c>
      <c r="C2100" s="4" t="s">
        <v>14</v>
      </c>
      <c r="D2100" s="35">
        <v>10756</v>
      </c>
      <c r="E2100" s="4" t="s">
        <v>3544</v>
      </c>
      <c r="F2100" s="5">
        <v>41163</v>
      </c>
      <c r="G2100" s="5">
        <v>41274</v>
      </c>
      <c r="H2100" s="4" t="s">
        <v>40</v>
      </c>
      <c r="I2100" s="6">
        <v>8818</v>
      </c>
      <c r="J2100" s="6">
        <v>8159</v>
      </c>
      <c r="K2100" s="37" t="s">
        <v>2650</v>
      </c>
      <c r="L2100" s="120"/>
      <c r="M2100" s="3"/>
    </row>
    <row r="2101" spans="1:13" s="4" customFormat="1" ht="14.25" customHeight="1" x14ac:dyDescent="0.25">
      <c r="A2101" s="4" t="s">
        <v>3545</v>
      </c>
      <c r="B2101" s="4" t="s">
        <v>190</v>
      </c>
      <c r="C2101" s="4" t="s">
        <v>14</v>
      </c>
      <c r="D2101" s="35">
        <v>10757</v>
      </c>
      <c r="E2101" s="4" t="s">
        <v>3546</v>
      </c>
      <c r="F2101" s="5">
        <v>40520</v>
      </c>
      <c r="G2101" s="5">
        <v>41274</v>
      </c>
      <c r="H2101" s="4" t="s">
        <v>40</v>
      </c>
      <c r="I2101" s="6">
        <v>3890</v>
      </c>
      <c r="J2101" s="6">
        <v>3195</v>
      </c>
      <c r="K2101" s="37" t="s">
        <v>2650</v>
      </c>
      <c r="L2101" s="120"/>
      <c r="M2101" s="3"/>
    </row>
    <row r="2102" spans="1:13" s="4" customFormat="1" ht="14.25" customHeight="1" x14ac:dyDescent="0.25">
      <c r="A2102" s="4" t="s">
        <v>3547</v>
      </c>
      <c r="B2102" s="4" t="s">
        <v>183</v>
      </c>
      <c r="C2102" s="4" t="s">
        <v>14</v>
      </c>
      <c r="D2102" s="35">
        <v>10759</v>
      </c>
      <c r="E2102" s="4" t="s">
        <v>3548</v>
      </c>
      <c r="F2102" s="5">
        <v>40862</v>
      </c>
      <c r="G2102" s="5">
        <v>41274</v>
      </c>
      <c r="H2102" s="4" t="s">
        <v>40</v>
      </c>
      <c r="I2102" s="6">
        <v>6271.14</v>
      </c>
      <c r="J2102" s="6">
        <v>3135.57</v>
      </c>
      <c r="K2102" s="37" t="s">
        <v>2650</v>
      </c>
      <c r="L2102" s="120"/>
      <c r="M2102" s="3"/>
    </row>
    <row r="2103" spans="1:13" s="4" customFormat="1" ht="14.25" customHeight="1" x14ac:dyDescent="0.25">
      <c r="A2103" s="4" t="s">
        <v>3549</v>
      </c>
      <c r="B2103" s="4" t="s">
        <v>90</v>
      </c>
      <c r="C2103" s="4" t="s">
        <v>14</v>
      </c>
      <c r="D2103" s="35">
        <v>10760</v>
      </c>
      <c r="E2103" s="4" t="s">
        <v>3550</v>
      </c>
      <c r="F2103" s="5">
        <v>41030</v>
      </c>
      <c r="G2103" s="5">
        <v>41274</v>
      </c>
      <c r="H2103" s="4" t="s">
        <v>40</v>
      </c>
      <c r="I2103" s="6">
        <v>10000</v>
      </c>
      <c r="J2103" s="6">
        <v>5000</v>
      </c>
      <c r="K2103" s="37" t="s">
        <v>2650</v>
      </c>
      <c r="L2103" s="120"/>
      <c r="M2103" s="3"/>
    </row>
    <row r="2104" spans="1:13" s="4" customFormat="1" ht="14.25" customHeight="1" x14ac:dyDescent="0.25">
      <c r="A2104" s="4" t="s">
        <v>3447</v>
      </c>
      <c r="B2104" s="4" t="s">
        <v>190</v>
      </c>
      <c r="C2104" s="4" t="s">
        <v>14</v>
      </c>
      <c r="D2104" s="35">
        <v>10762</v>
      </c>
      <c r="E2104" s="4" t="s">
        <v>3551</v>
      </c>
      <c r="F2104" s="5">
        <v>41163</v>
      </c>
      <c r="G2104" s="5">
        <v>41639</v>
      </c>
      <c r="H2104" s="4" t="s">
        <v>40</v>
      </c>
      <c r="I2104" s="6">
        <v>11250</v>
      </c>
      <c r="J2104" s="6">
        <f>7500+3750</f>
        <v>11250</v>
      </c>
      <c r="K2104" s="37" t="s">
        <v>2650</v>
      </c>
      <c r="L2104" s="120"/>
      <c r="M2104" s="3"/>
    </row>
    <row r="2105" spans="1:13" s="4" customFormat="1" ht="14.25" customHeight="1" x14ac:dyDescent="0.25">
      <c r="A2105" s="4" t="s">
        <v>3552</v>
      </c>
      <c r="B2105" s="4" t="s">
        <v>183</v>
      </c>
      <c r="C2105" s="4" t="s">
        <v>14</v>
      </c>
      <c r="D2105" s="35">
        <v>10763</v>
      </c>
      <c r="E2105" s="4" t="s">
        <v>3553</v>
      </c>
      <c r="F2105" s="5">
        <v>40883</v>
      </c>
      <c r="G2105" s="5">
        <v>41639</v>
      </c>
      <c r="H2105" s="4" t="s">
        <v>40</v>
      </c>
      <c r="I2105" s="6">
        <v>9000</v>
      </c>
      <c r="J2105" s="6">
        <f>4500+3750</f>
        <v>8250</v>
      </c>
      <c r="K2105" s="37" t="s">
        <v>2650</v>
      </c>
      <c r="L2105" s="120"/>
      <c r="M2105" s="3"/>
    </row>
    <row r="2106" spans="1:13" s="4" customFormat="1" ht="14.25" customHeight="1" x14ac:dyDescent="0.25">
      <c r="A2106" s="4" t="s">
        <v>3554</v>
      </c>
      <c r="B2106" s="4" t="s">
        <v>90</v>
      </c>
      <c r="C2106" s="4" t="s">
        <v>14</v>
      </c>
      <c r="D2106" s="35">
        <v>10764</v>
      </c>
      <c r="E2106" s="4" t="s">
        <v>3555</v>
      </c>
      <c r="F2106" s="5">
        <v>40862</v>
      </c>
      <c r="G2106" s="5">
        <v>41274</v>
      </c>
      <c r="H2106" s="4" t="s">
        <v>40</v>
      </c>
      <c r="I2106" s="6">
        <v>10000</v>
      </c>
      <c r="J2106" s="6">
        <v>5000</v>
      </c>
      <c r="K2106" s="37" t="s">
        <v>2650</v>
      </c>
      <c r="L2106" s="120"/>
      <c r="M2106" s="3"/>
    </row>
    <row r="2107" spans="1:13" s="4" customFormat="1" ht="14.25" customHeight="1" x14ac:dyDescent="0.25">
      <c r="A2107" s="4" t="s">
        <v>3558</v>
      </c>
      <c r="B2107" s="4" t="s">
        <v>38</v>
      </c>
      <c r="C2107" s="4" t="s">
        <v>14</v>
      </c>
      <c r="D2107" s="35">
        <v>10821</v>
      </c>
      <c r="E2107" s="4" t="s">
        <v>3559</v>
      </c>
      <c r="F2107" s="5">
        <v>40909</v>
      </c>
      <c r="G2107" s="5">
        <v>41639</v>
      </c>
      <c r="H2107" s="4" t="s">
        <v>40</v>
      </c>
      <c r="I2107" s="6">
        <v>6415.6</v>
      </c>
      <c r="J2107" s="6">
        <f>1886+4529.6</f>
        <v>6415.6</v>
      </c>
      <c r="K2107" s="37" t="s">
        <v>2650</v>
      </c>
      <c r="L2107" s="120"/>
      <c r="M2107" s="3"/>
    </row>
    <row r="2108" spans="1:13" ht="14.25" customHeight="1" x14ac:dyDescent="0.25">
      <c r="A2108" s="13" t="s">
        <v>10495</v>
      </c>
      <c r="B2108" s="13" t="s">
        <v>10220</v>
      </c>
      <c r="C2108" s="13" t="s">
        <v>14</v>
      </c>
      <c r="D2108" s="19">
        <v>12486</v>
      </c>
      <c r="E2108" s="13" t="s">
        <v>10496</v>
      </c>
      <c r="F2108" s="14">
        <v>41275</v>
      </c>
      <c r="G2108" s="14">
        <v>41639</v>
      </c>
      <c r="H2108" s="13" t="s">
        <v>651</v>
      </c>
      <c r="I2108" s="18">
        <v>19800</v>
      </c>
      <c r="J2108" s="18">
        <v>9900</v>
      </c>
      <c r="K2108" s="20" t="s">
        <v>2650</v>
      </c>
    </row>
    <row r="2109" spans="1:13" ht="14.25" customHeight="1" x14ac:dyDescent="0.25">
      <c r="A2109" s="13" t="s">
        <v>10497</v>
      </c>
      <c r="B2109" s="13" t="s">
        <v>10192</v>
      </c>
      <c r="C2109" s="13" t="s">
        <v>14</v>
      </c>
      <c r="D2109" s="19">
        <v>12487</v>
      </c>
      <c r="E2109" s="13" t="s">
        <v>10498</v>
      </c>
      <c r="F2109" s="14">
        <v>41275</v>
      </c>
      <c r="G2109" s="14">
        <v>41639</v>
      </c>
      <c r="H2109" s="13" t="s">
        <v>651</v>
      </c>
      <c r="I2109" s="18">
        <v>3750</v>
      </c>
      <c r="J2109" s="18">
        <v>3750</v>
      </c>
      <c r="K2109" s="20" t="s">
        <v>2650</v>
      </c>
    </row>
    <row r="2110" spans="1:13" ht="14.25" customHeight="1" x14ac:dyDescent="0.25">
      <c r="A2110" s="13" t="s">
        <v>10499</v>
      </c>
      <c r="B2110" s="13" t="s">
        <v>10192</v>
      </c>
      <c r="C2110" s="13" t="s">
        <v>14</v>
      </c>
      <c r="D2110" s="19">
        <v>12488</v>
      </c>
      <c r="E2110" s="13" t="s">
        <v>10500</v>
      </c>
      <c r="F2110" s="14">
        <v>41373</v>
      </c>
      <c r="G2110" s="14">
        <v>41639</v>
      </c>
      <c r="H2110" s="13" t="s">
        <v>651</v>
      </c>
      <c r="I2110" s="18">
        <v>11250</v>
      </c>
      <c r="J2110" s="18">
        <v>11250</v>
      </c>
      <c r="K2110" s="20" t="s">
        <v>2650</v>
      </c>
    </row>
    <row r="2111" spans="1:13" ht="14.25" customHeight="1" x14ac:dyDescent="0.25">
      <c r="A2111" s="13" t="s">
        <v>10501</v>
      </c>
      <c r="B2111" s="13" t="s">
        <v>10195</v>
      </c>
      <c r="C2111" s="13" t="s">
        <v>14</v>
      </c>
      <c r="D2111" s="19">
        <v>12489</v>
      </c>
      <c r="E2111" s="13" t="s">
        <v>10502</v>
      </c>
      <c r="F2111" s="14">
        <v>41478</v>
      </c>
      <c r="G2111" s="14">
        <v>41639</v>
      </c>
      <c r="H2111" s="13" t="s">
        <v>651</v>
      </c>
      <c r="I2111" s="18">
        <v>3750</v>
      </c>
      <c r="J2111" s="18">
        <v>3750</v>
      </c>
      <c r="K2111" s="20" t="s">
        <v>2650</v>
      </c>
    </row>
    <row r="2112" spans="1:13" ht="14.25" customHeight="1" x14ac:dyDescent="0.25">
      <c r="A2112" s="13" t="s">
        <v>10503</v>
      </c>
      <c r="B2112" s="13" t="s">
        <v>10192</v>
      </c>
      <c r="C2112" s="13" t="s">
        <v>14</v>
      </c>
      <c r="D2112" s="19">
        <v>12490</v>
      </c>
      <c r="E2112" s="13" t="s">
        <v>10504</v>
      </c>
      <c r="F2112" s="14">
        <v>41373</v>
      </c>
      <c r="G2112" s="14">
        <v>41639</v>
      </c>
      <c r="H2112" s="13" t="s">
        <v>651</v>
      </c>
      <c r="I2112" s="18">
        <v>11250</v>
      </c>
      <c r="J2112" s="18">
        <v>11250</v>
      </c>
      <c r="K2112" s="20" t="s">
        <v>2650</v>
      </c>
    </row>
    <row r="2113" spans="1:11" ht="14.25" customHeight="1" x14ac:dyDescent="0.25">
      <c r="A2113" s="13" t="s">
        <v>10505</v>
      </c>
      <c r="B2113" s="13" t="s">
        <v>10220</v>
      </c>
      <c r="C2113" s="13" t="s">
        <v>14</v>
      </c>
      <c r="D2113" s="19">
        <v>12492</v>
      </c>
      <c r="E2113" s="13" t="s">
        <v>10506</v>
      </c>
      <c r="F2113" s="14">
        <v>41310</v>
      </c>
      <c r="G2113" s="14">
        <v>41639</v>
      </c>
      <c r="H2113" s="13" t="s">
        <v>651</v>
      </c>
      <c r="I2113" s="18">
        <v>10000</v>
      </c>
      <c r="J2113" s="18">
        <v>5000</v>
      </c>
      <c r="K2113" s="20" t="s">
        <v>2650</v>
      </c>
    </row>
    <row r="2114" spans="1:11" ht="14.25" customHeight="1" x14ac:dyDescent="0.25">
      <c r="A2114" s="13" t="s">
        <v>10509</v>
      </c>
      <c r="B2114" s="13" t="s">
        <v>10220</v>
      </c>
      <c r="C2114" s="13" t="s">
        <v>14</v>
      </c>
      <c r="D2114" s="19">
        <v>12494</v>
      </c>
      <c r="E2114" s="13" t="s">
        <v>10510</v>
      </c>
      <c r="F2114" s="14">
        <v>41275</v>
      </c>
      <c r="G2114" s="14">
        <v>41639</v>
      </c>
      <c r="H2114" s="13" t="s">
        <v>651</v>
      </c>
      <c r="I2114" s="18">
        <v>1200</v>
      </c>
      <c r="J2114" s="18">
        <v>600</v>
      </c>
      <c r="K2114" s="20" t="s">
        <v>2650</v>
      </c>
    </row>
    <row r="2115" spans="1:11" ht="14.25" customHeight="1" x14ac:dyDescent="0.25">
      <c r="A2115" s="13" t="s">
        <v>10511</v>
      </c>
      <c r="B2115" s="13" t="s">
        <v>10192</v>
      </c>
      <c r="C2115" s="13" t="s">
        <v>14</v>
      </c>
      <c r="D2115" s="19">
        <v>12496</v>
      </c>
      <c r="E2115" s="13" t="s">
        <v>10512</v>
      </c>
      <c r="F2115" s="14">
        <v>41275</v>
      </c>
      <c r="G2115" s="14">
        <v>41639</v>
      </c>
      <c r="H2115" s="13" t="s">
        <v>651</v>
      </c>
      <c r="I2115" s="18">
        <v>11250</v>
      </c>
      <c r="J2115" s="18">
        <v>11250</v>
      </c>
      <c r="K2115" s="20" t="s">
        <v>2650</v>
      </c>
    </row>
    <row r="2116" spans="1:11" ht="14.25" customHeight="1" x14ac:dyDescent="0.25">
      <c r="A2116" s="13" t="s">
        <v>10513</v>
      </c>
      <c r="B2116" s="13" t="s">
        <v>10192</v>
      </c>
      <c r="C2116" s="13" t="s">
        <v>14</v>
      </c>
      <c r="D2116" s="19">
        <v>12497</v>
      </c>
      <c r="E2116" s="13" t="s">
        <v>10514</v>
      </c>
      <c r="F2116" s="14">
        <v>41422</v>
      </c>
      <c r="G2116" s="14">
        <v>41639</v>
      </c>
      <c r="H2116" s="13" t="s">
        <v>651</v>
      </c>
      <c r="I2116" s="18">
        <v>3750</v>
      </c>
      <c r="J2116" s="18">
        <v>3750</v>
      </c>
      <c r="K2116" s="20" t="s">
        <v>2650</v>
      </c>
    </row>
    <row r="2117" spans="1:11" ht="14.25" customHeight="1" x14ac:dyDescent="0.25">
      <c r="A2117" s="13" t="s">
        <v>10515</v>
      </c>
      <c r="B2117" s="13" t="s">
        <v>10192</v>
      </c>
      <c r="C2117" s="13" t="s">
        <v>14</v>
      </c>
      <c r="D2117" s="19">
        <v>12498</v>
      </c>
      <c r="E2117" s="13" t="s">
        <v>10516</v>
      </c>
      <c r="F2117" s="14">
        <v>41541</v>
      </c>
      <c r="G2117" s="14">
        <v>41639</v>
      </c>
      <c r="H2117" s="13" t="s">
        <v>651</v>
      </c>
      <c r="I2117" s="18">
        <v>7500</v>
      </c>
      <c r="J2117" s="18">
        <v>7500</v>
      </c>
      <c r="K2117" s="20" t="s">
        <v>2650</v>
      </c>
    </row>
    <row r="2118" spans="1:11" ht="14.25" customHeight="1" x14ac:dyDescent="0.25">
      <c r="A2118" s="13" t="s">
        <v>10519</v>
      </c>
      <c r="B2118" s="13" t="s">
        <v>10192</v>
      </c>
      <c r="C2118" s="13" t="s">
        <v>14</v>
      </c>
      <c r="D2118" s="19">
        <v>12501</v>
      </c>
      <c r="E2118" s="13" t="s">
        <v>10520</v>
      </c>
      <c r="F2118" s="14">
        <v>41275</v>
      </c>
      <c r="G2118" s="14">
        <v>41639</v>
      </c>
      <c r="H2118" s="13" t="s">
        <v>651</v>
      </c>
      <c r="I2118" s="18">
        <v>11348</v>
      </c>
      <c r="J2118" s="18">
        <v>9424</v>
      </c>
      <c r="K2118" s="20" t="s">
        <v>2650</v>
      </c>
    </row>
    <row r="2119" spans="1:11" ht="14.25" customHeight="1" x14ac:dyDescent="0.25">
      <c r="A2119" s="13" t="s">
        <v>10521</v>
      </c>
      <c r="B2119" s="13" t="s">
        <v>10220</v>
      </c>
      <c r="C2119" s="13" t="s">
        <v>14</v>
      </c>
      <c r="D2119" s="19">
        <v>12508</v>
      </c>
      <c r="E2119" s="13" t="s">
        <v>10522</v>
      </c>
      <c r="F2119" s="14">
        <v>41275</v>
      </c>
      <c r="G2119" s="14">
        <v>41639</v>
      </c>
      <c r="H2119" s="13" t="s">
        <v>651</v>
      </c>
      <c r="I2119" s="18">
        <v>15000</v>
      </c>
      <c r="J2119" s="18">
        <v>7500</v>
      </c>
      <c r="K2119" s="20" t="s">
        <v>2650</v>
      </c>
    </row>
    <row r="2120" spans="1:11" ht="14.25" customHeight="1" x14ac:dyDescent="0.25">
      <c r="A2120" s="13" t="s">
        <v>10523</v>
      </c>
      <c r="B2120" s="13" t="s">
        <v>10192</v>
      </c>
      <c r="C2120" s="13" t="s">
        <v>14</v>
      </c>
      <c r="D2120" s="19">
        <v>12509</v>
      </c>
      <c r="E2120" s="13" t="s">
        <v>10524</v>
      </c>
      <c r="F2120" s="14">
        <v>41422</v>
      </c>
      <c r="G2120" s="14">
        <v>41639</v>
      </c>
      <c r="H2120" s="13" t="s">
        <v>651</v>
      </c>
      <c r="I2120" s="18">
        <v>32500</v>
      </c>
      <c r="J2120" s="18">
        <v>20000</v>
      </c>
      <c r="K2120" s="20" t="s">
        <v>2650</v>
      </c>
    </row>
    <row r="2121" spans="1:11" ht="14.25" customHeight="1" x14ac:dyDescent="0.25">
      <c r="A2121" s="13" t="s">
        <v>10525</v>
      </c>
      <c r="B2121" s="13" t="s">
        <v>10192</v>
      </c>
      <c r="C2121" s="13" t="s">
        <v>14</v>
      </c>
      <c r="D2121" s="19">
        <v>12510</v>
      </c>
      <c r="E2121" s="13" t="s">
        <v>10526</v>
      </c>
      <c r="F2121" s="14">
        <v>41478</v>
      </c>
      <c r="G2121" s="14">
        <v>41639</v>
      </c>
      <c r="H2121" s="13" t="s">
        <v>651</v>
      </c>
      <c r="I2121" s="18">
        <v>5100</v>
      </c>
      <c r="J2121" s="18">
        <v>4425</v>
      </c>
      <c r="K2121" s="20" t="s">
        <v>2650</v>
      </c>
    </row>
    <row r="2122" spans="1:11" ht="14.25" customHeight="1" x14ac:dyDescent="0.25">
      <c r="A2122" s="13" t="s">
        <v>10527</v>
      </c>
      <c r="B2122" s="13" t="s">
        <v>10220</v>
      </c>
      <c r="C2122" s="13" t="s">
        <v>14</v>
      </c>
      <c r="D2122" s="19">
        <v>12511</v>
      </c>
      <c r="E2122" s="13" t="s">
        <v>10528</v>
      </c>
      <c r="F2122" s="14">
        <v>41422</v>
      </c>
      <c r="G2122" s="14">
        <v>41639</v>
      </c>
      <c r="H2122" s="13" t="s">
        <v>651</v>
      </c>
      <c r="I2122" s="18">
        <v>7426</v>
      </c>
      <c r="J2122" s="18">
        <v>3713</v>
      </c>
      <c r="K2122" s="20" t="s">
        <v>2650</v>
      </c>
    </row>
    <row r="2123" spans="1:11" ht="14.25" customHeight="1" x14ac:dyDescent="0.25">
      <c r="A2123" s="13" t="s">
        <v>10529</v>
      </c>
      <c r="B2123" s="13" t="s">
        <v>10192</v>
      </c>
      <c r="C2123" s="13" t="s">
        <v>14</v>
      </c>
      <c r="D2123" s="19">
        <v>12512</v>
      </c>
      <c r="E2123" s="13" t="s">
        <v>10530</v>
      </c>
      <c r="F2123" s="14">
        <v>41275</v>
      </c>
      <c r="G2123" s="14">
        <v>41639</v>
      </c>
      <c r="H2123" s="13" t="s">
        <v>651</v>
      </c>
      <c r="I2123" s="18">
        <v>9304</v>
      </c>
      <c r="J2123" s="18">
        <v>4652</v>
      </c>
      <c r="K2123" s="20" t="s">
        <v>2650</v>
      </c>
    </row>
    <row r="2124" spans="1:11" ht="14.25" customHeight="1" x14ac:dyDescent="0.25">
      <c r="A2124" s="13" t="s">
        <v>10531</v>
      </c>
      <c r="B2124" s="13" t="s">
        <v>10192</v>
      </c>
      <c r="C2124" s="13" t="s">
        <v>14</v>
      </c>
      <c r="D2124" s="19">
        <v>12513</v>
      </c>
      <c r="E2124" s="13" t="s">
        <v>10532</v>
      </c>
      <c r="F2124" s="14">
        <v>41275</v>
      </c>
      <c r="G2124" s="14">
        <v>41639</v>
      </c>
      <c r="H2124" s="13" t="s">
        <v>651</v>
      </c>
      <c r="I2124" s="18">
        <v>7500</v>
      </c>
      <c r="J2124" s="18">
        <v>7500</v>
      </c>
      <c r="K2124" s="20" t="s">
        <v>2650</v>
      </c>
    </row>
    <row r="2125" spans="1:11" ht="14.25" customHeight="1" x14ac:dyDescent="0.25">
      <c r="A2125" s="13" t="s">
        <v>10533</v>
      </c>
      <c r="B2125" s="13" t="s">
        <v>10192</v>
      </c>
      <c r="C2125" s="13" t="s">
        <v>14</v>
      </c>
      <c r="D2125" s="19">
        <v>12514</v>
      </c>
      <c r="E2125" s="13" t="s">
        <v>10534</v>
      </c>
      <c r="F2125" s="14">
        <v>41275</v>
      </c>
      <c r="G2125" s="14">
        <v>41639</v>
      </c>
      <c r="H2125" s="13" t="s">
        <v>651</v>
      </c>
      <c r="I2125" s="18">
        <v>28786</v>
      </c>
      <c r="J2125" s="18">
        <v>20018</v>
      </c>
      <c r="K2125" s="20" t="s">
        <v>2650</v>
      </c>
    </row>
    <row r="2126" spans="1:11" ht="14.25" customHeight="1" x14ac:dyDescent="0.25">
      <c r="A2126" s="13" t="s">
        <v>10535</v>
      </c>
      <c r="B2126" s="13" t="s">
        <v>10192</v>
      </c>
      <c r="C2126" s="13" t="s">
        <v>14</v>
      </c>
      <c r="D2126" s="19">
        <v>12515</v>
      </c>
      <c r="E2126" s="13" t="s">
        <v>10536</v>
      </c>
      <c r="F2126" s="14">
        <v>41422</v>
      </c>
      <c r="G2126" s="14">
        <v>41639</v>
      </c>
      <c r="H2126" s="13" t="s">
        <v>651</v>
      </c>
      <c r="I2126" s="18">
        <v>8750</v>
      </c>
      <c r="J2126" s="18">
        <v>6250</v>
      </c>
      <c r="K2126" s="20" t="s">
        <v>2650</v>
      </c>
    </row>
    <row r="2127" spans="1:11" ht="14.25" customHeight="1" x14ac:dyDescent="0.25">
      <c r="A2127" s="13" t="s">
        <v>10539</v>
      </c>
      <c r="B2127" s="13" t="s">
        <v>10192</v>
      </c>
      <c r="C2127" s="13" t="s">
        <v>14</v>
      </c>
      <c r="D2127" s="19">
        <v>12517</v>
      </c>
      <c r="E2127" s="13" t="s">
        <v>10540</v>
      </c>
      <c r="F2127" s="14">
        <v>41478</v>
      </c>
      <c r="G2127" s="14">
        <v>41639</v>
      </c>
      <c r="H2127" s="13" t="s">
        <v>651</v>
      </c>
      <c r="I2127" s="18">
        <v>18750</v>
      </c>
      <c r="J2127" s="18">
        <v>18750</v>
      </c>
      <c r="K2127" s="20" t="s">
        <v>2650</v>
      </c>
    </row>
    <row r="2128" spans="1:11" ht="14.25" customHeight="1" x14ac:dyDescent="0.25">
      <c r="A2128" s="13" t="s">
        <v>10541</v>
      </c>
      <c r="B2128" s="13" t="s">
        <v>10192</v>
      </c>
      <c r="C2128" s="13" t="s">
        <v>14</v>
      </c>
      <c r="D2128" s="19">
        <v>12518</v>
      </c>
      <c r="E2128" s="13" t="s">
        <v>10542</v>
      </c>
      <c r="F2128" s="14">
        <v>41310</v>
      </c>
      <c r="G2128" s="14">
        <v>41639</v>
      </c>
      <c r="H2128" s="13" t="s">
        <v>651</v>
      </c>
      <c r="I2128" s="18">
        <v>7500</v>
      </c>
      <c r="J2128" s="18">
        <v>7500</v>
      </c>
      <c r="K2128" s="20" t="s">
        <v>2650</v>
      </c>
    </row>
    <row r="2129" spans="1:60" ht="14.25" customHeight="1" x14ac:dyDescent="0.25">
      <c r="A2129" s="13" t="s">
        <v>10545</v>
      </c>
      <c r="B2129" s="13" t="s">
        <v>10220</v>
      </c>
      <c r="C2129" s="13" t="s">
        <v>14</v>
      </c>
      <c r="D2129" s="19">
        <v>12520</v>
      </c>
      <c r="E2129" s="13" t="s">
        <v>10546</v>
      </c>
      <c r="F2129" s="14">
        <v>41373</v>
      </c>
      <c r="G2129" s="14">
        <v>41639</v>
      </c>
      <c r="H2129" s="13" t="s">
        <v>651</v>
      </c>
      <c r="I2129" s="18">
        <v>5000</v>
      </c>
      <c r="J2129" s="18">
        <v>2500</v>
      </c>
      <c r="K2129" s="20" t="s">
        <v>2650</v>
      </c>
    </row>
    <row r="2130" spans="1:60" ht="14.25" customHeight="1" x14ac:dyDescent="0.25">
      <c r="A2130" s="13" t="s">
        <v>10547</v>
      </c>
      <c r="B2130" s="13" t="s">
        <v>10192</v>
      </c>
      <c r="C2130" s="13" t="s">
        <v>14</v>
      </c>
      <c r="D2130" s="19">
        <v>12539</v>
      </c>
      <c r="E2130" s="13" t="s">
        <v>10548</v>
      </c>
      <c r="F2130" s="14">
        <v>41422</v>
      </c>
      <c r="G2130" s="14">
        <v>41639</v>
      </c>
      <c r="H2130" s="13" t="s">
        <v>651</v>
      </c>
      <c r="I2130" s="18">
        <v>7500</v>
      </c>
      <c r="J2130" s="18">
        <v>7500</v>
      </c>
      <c r="K2130" s="20" t="s">
        <v>2650</v>
      </c>
    </row>
    <row r="2131" spans="1:60" ht="14.25" customHeight="1" x14ac:dyDescent="0.25">
      <c r="A2131" s="13" t="s">
        <v>10549</v>
      </c>
      <c r="B2131" s="13" t="s">
        <v>10192</v>
      </c>
      <c r="C2131" s="13" t="s">
        <v>14</v>
      </c>
      <c r="D2131" s="19">
        <v>12540</v>
      </c>
      <c r="E2131" s="13" t="s">
        <v>10550</v>
      </c>
      <c r="F2131" s="14">
        <v>41422</v>
      </c>
      <c r="G2131" s="14">
        <v>41639</v>
      </c>
      <c r="H2131" s="13" t="s">
        <v>651</v>
      </c>
      <c r="I2131" s="18">
        <v>18800.96</v>
      </c>
      <c r="J2131" s="18">
        <v>11275.48</v>
      </c>
      <c r="K2131" s="20" t="s">
        <v>2650</v>
      </c>
    </row>
    <row r="2132" spans="1:60" ht="14.25" customHeight="1" x14ac:dyDescent="0.25">
      <c r="A2132" s="13" t="s">
        <v>10551</v>
      </c>
      <c r="B2132" s="13" t="s">
        <v>10220</v>
      </c>
      <c r="C2132" s="13" t="s">
        <v>14</v>
      </c>
      <c r="D2132" s="19">
        <v>12541</v>
      </c>
      <c r="E2132" s="13" t="s">
        <v>10552</v>
      </c>
      <c r="F2132" s="14">
        <v>41422</v>
      </c>
      <c r="G2132" s="14">
        <v>41639</v>
      </c>
      <c r="H2132" s="13" t="s">
        <v>651</v>
      </c>
      <c r="I2132" s="18">
        <v>7090</v>
      </c>
      <c r="J2132" s="18">
        <v>3545</v>
      </c>
      <c r="K2132" s="20" t="s">
        <v>2650</v>
      </c>
    </row>
    <row r="2133" spans="1:60" ht="14.25" customHeight="1" x14ac:dyDescent="0.25">
      <c r="A2133" s="13" t="s">
        <v>10553</v>
      </c>
      <c r="B2133" s="13" t="s">
        <v>10220</v>
      </c>
      <c r="C2133" s="13" t="s">
        <v>14</v>
      </c>
      <c r="D2133" s="19">
        <v>12542</v>
      </c>
      <c r="E2133" s="13" t="s">
        <v>10554</v>
      </c>
      <c r="F2133" s="14">
        <v>41275</v>
      </c>
      <c r="G2133" s="14">
        <v>41639</v>
      </c>
      <c r="H2133" s="13" t="s">
        <v>651</v>
      </c>
      <c r="I2133" s="18">
        <v>9000</v>
      </c>
      <c r="J2133" s="18">
        <v>4500</v>
      </c>
      <c r="K2133" s="20" t="s">
        <v>2650</v>
      </c>
    </row>
    <row r="2134" spans="1:60" ht="14.25" customHeight="1" x14ac:dyDescent="0.25">
      <c r="A2134" s="13" t="s">
        <v>10555</v>
      </c>
      <c r="B2134" s="13" t="s">
        <v>10220</v>
      </c>
      <c r="C2134" s="13" t="s">
        <v>14</v>
      </c>
      <c r="D2134" s="19">
        <v>12543</v>
      </c>
      <c r="E2134" s="13" t="s">
        <v>10556</v>
      </c>
      <c r="F2134" s="14">
        <v>41422</v>
      </c>
      <c r="G2134" s="14">
        <v>41639</v>
      </c>
      <c r="H2134" s="13" t="s">
        <v>651</v>
      </c>
      <c r="I2134" s="18">
        <v>15591.6</v>
      </c>
      <c r="J2134" s="18">
        <v>7795.8</v>
      </c>
      <c r="K2134" s="20" t="s">
        <v>2650</v>
      </c>
    </row>
    <row r="2135" spans="1:60" ht="14.25" customHeight="1" x14ac:dyDescent="0.25">
      <c r="A2135" s="13" t="s">
        <v>10557</v>
      </c>
      <c r="B2135" s="13" t="s">
        <v>10192</v>
      </c>
      <c r="C2135" s="13" t="s">
        <v>14</v>
      </c>
      <c r="D2135" s="19">
        <v>12545</v>
      </c>
      <c r="E2135" s="13" t="s">
        <v>10558</v>
      </c>
      <c r="F2135" s="14">
        <v>41569</v>
      </c>
      <c r="G2135" s="14">
        <v>41639</v>
      </c>
      <c r="H2135" s="13" t="s">
        <v>651</v>
      </c>
      <c r="I2135" s="18">
        <v>4962.5</v>
      </c>
      <c r="J2135" s="18">
        <v>4355.25</v>
      </c>
      <c r="K2135" s="20" t="s">
        <v>2650</v>
      </c>
    </row>
    <row r="2136" spans="1:60" s="4" customFormat="1" ht="14.25" customHeight="1" x14ac:dyDescent="0.25">
      <c r="A2136" s="99" t="s">
        <v>11760</v>
      </c>
      <c r="B2136" s="4" t="s">
        <v>10220</v>
      </c>
      <c r="C2136" s="4" t="s">
        <v>14</v>
      </c>
      <c r="D2136" s="35">
        <v>12546</v>
      </c>
      <c r="E2136" s="108" t="s">
        <v>11761</v>
      </c>
      <c r="F2136" s="5">
        <v>41275</v>
      </c>
      <c r="G2136" s="5">
        <v>41639</v>
      </c>
      <c r="H2136" s="4" t="s">
        <v>651</v>
      </c>
      <c r="I2136" s="6">
        <v>1375</v>
      </c>
      <c r="J2136" s="6">
        <v>685.5</v>
      </c>
      <c r="K2136" s="37" t="s">
        <v>2650</v>
      </c>
      <c r="L2136" s="119"/>
    </row>
    <row r="2137" spans="1:60" ht="14.25" customHeight="1" x14ac:dyDescent="0.25">
      <c r="A2137" s="13" t="s">
        <v>10559</v>
      </c>
      <c r="B2137" s="13" t="s">
        <v>10192</v>
      </c>
      <c r="C2137" s="13" t="s">
        <v>14</v>
      </c>
      <c r="D2137" s="19">
        <v>12547</v>
      </c>
      <c r="E2137" s="13" t="s">
        <v>10560</v>
      </c>
      <c r="F2137" s="14">
        <v>41275</v>
      </c>
      <c r="G2137" s="14">
        <v>41639</v>
      </c>
      <c r="H2137" s="13" t="s">
        <v>651</v>
      </c>
      <c r="I2137" s="18">
        <v>5007.3599999999997</v>
      </c>
      <c r="J2137" s="18">
        <v>4378.12</v>
      </c>
      <c r="K2137" s="20" t="s">
        <v>2650</v>
      </c>
    </row>
    <row r="2138" spans="1:60" ht="14.25" customHeight="1" x14ac:dyDescent="0.25">
      <c r="A2138" s="13" t="s">
        <v>10561</v>
      </c>
      <c r="B2138" s="13" t="s">
        <v>10220</v>
      </c>
      <c r="C2138" s="13" t="s">
        <v>14</v>
      </c>
      <c r="D2138" s="19">
        <v>12548</v>
      </c>
      <c r="E2138" s="13" t="s">
        <v>10562</v>
      </c>
      <c r="F2138" s="14">
        <v>41275</v>
      </c>
      <c r="G2138" s="14">
        <v>41639</v>
      </c>
      <c r="H2138" s="13" t="s">
        <v>651</v>
      </c>
      <c r="I2138" s="18">
        <v>7702</v>
      </c>
      <c r="J2138" s="18">
        <v>3851</v>
      </c>
      <c r="K2138" s="20" t="s">
        <v>2650</v>
      </c>
    </row>
    <row r="2139" spans="1:60" ht="14.25" customHeight="1" x14ac:dyDescent="0.25">
      <c r="A2139" s="13" t="s">
        <v>10563</v>
      </c>
      <c r="B2139" s="13" t="s">
        <v>10192</v>
      </c>
      <c r="C2139" s="13" t="s">
        <v>14</v>
      </c>
      <c r="D2139" s="19">
        <v>12549</v>
      </c>
      <c r="E2139" s="13" t="s">
        <v>10564</v>
      </c>
      <c r="F2139" s="14">
        <v>41275</v>
      </c>
      <c r="G2139" s="14">
        <v>41639</v>
      </c>
      <c r="H2139" s="13" t="s">
        <v>651</v>
      </c>
      <c r="I2139" s="18">
        <v>7500</v>
      </c>
      <c r="J2139" s="18">
        <v>7500</v>
      </c>
      <c r="K2139" s="20" t="s">
        <v>2650</v>
      </c>
    </row>
    <row r="2140" spans="1:60" ht="14.25" customHeight="1" x14ac:dyDescent="0.25">
      <c r="A2140" s="13" t="s">
        <v>10565</v>
      </c>
      <c r="B2140" s="13" t="s">
        <v>10192</v>
      </c>
      <c r="C2140" s="13" t="s">
        <v>14</v>
      </c>
      <c r="D2140" s="19">
        <v>12552</v>
      </c>
      <c r="E2140" s="13" t="s">
        <v>10566</v>
      </c>
      <c r="F2140" s="14">
        <v>41541</v>
      </c>
      <c r="G2140" s="14">
        <v>41639</v>
      </c>
      <c r="H2140" s="13" t="s">
        <v>651</v>
      </c>
      <c r="I2140" s="18">
        <v>7500</v>
      </c>
      <c r="J2140" s="18">
        <v>7500</v>
      </c>
      <c r="K2140" s="20" t="s">
        <v>2650</v>
      </c>
    </row>
    <row r="2141" spans="1:60" s="4" customFormat="1" ht="14.25" customHeight="1" x14ac:dyDescent="0.25">
      <c r="A2141" s="9" t="s">
        <v>3560</v>
      </c>
      <c r="B2141" s="9" t="s">
        <v>13</v>
      </c>
      <c r="C2141" s="9" t="s">
        <v>2650</v>
      </c>
      <c r="D2141" s="90">
        <v>3336</v>
      </c>
      <c r="E2141" s="15" t="s">
        <v>3561</v>
      </c>
      <c r="F2141" s="11">
        <v>39083</v>
      </c>
      <c r="G2141" s="11">
        <v>42369</v>
      </c>
      <c r="H2141" s="9" t="s">
        <v>2593</v>
      </c>
      <c r="I2141" s="16">
        <v>1766947.16</v>
      </c>
      <c r="J2141" s="16">
        <v>1766947.16</v>
      </c>
      <c r="K2141" s="112" t="s">
        <v>2650</v>
      </c>
      <c r="L2141" s="121"/>
      <c r="M2141" s="12"/>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AY2141" s="9"/>
      <c r="AZ2141" s="9"/>
      <c r="BA2141" s="9"/>
      <c r="BB2141" s="9"/>
      <c r="BC2141" s="9"/>
      <c r="BD2141" s="9"/>
      <c r="BE2141" s="9"/>
      <c r="BF2141" s="9"/>
      <c r="BG2141" s="9"/>
      <c r="BH2141" s="9"/>
    </row>
    <row r="2142" spans="1:60" s="4" customFormat="1" ht="14.25" customHeight="1" x14ac:dyDescent="0.25">
      <c r="A2142" s="9" t="s">
        <v>3562</v>
      </c>
      <c r="B2142" s="9" t="s">
        <v>13</v>
      </c>
      <c r="C2142" s="9" t="s">
        <v>2650</v>
      </c>
      <c r="D2142" s="90">
        <v>3378</v>
      </c>
      <c r="E2142" s="9" t="s">
        <v>3563</v>
      </c>
      <c r="F2142" s="11">
        <v>38205</v>
      </c>
      <c r="G2142" s="11">
        <v>39813</v>
      </c>
      <c r="H2142" s="9" t="s">
        <v>2593</v>
      </c>
      <c r="I2142" s="16">
        <f>2580208-499125</f>
        <v>2081083</v>
      </c>
      <c r="J2142" s="16">
        <f>2580208-499125</f>
        <v>2081083</v>
      </c>
      <c r="K2142" s="112" t="s">
        <v>2650</v>
      </c>
      <c r="L2142" s="121"/>
      <c r="M2142" s="12"/>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row>
    <row r="2143" spans="1:60" s="4" customFormat="1" ht="14.25" customHeight="1" x14ac:dyDescent="0.25">
      <c r="A2143" s="9" t="s">
        <v>3564</v>
      </c>
      <c r="B2143" s="9" t="s">
        <v>13</v>
      </c>
      <c r="C2143" s="9" t="s">
        <v>2650</v>
      </c>
      <c r="D2143" s="90">
        <v>3472</v>
      </c>
      <c r="E2143" s="15" t="s">
        <v>2597</v>
      </c>
      <c r="F2143" s="11">
        <v>39083</v>
      </c>
      <c r="G2143" s="11">
        <v>42369</v>
      </c>
      <c r="H2143" s="9" t="s">
        <v>2593</v>
      </c>
      <c r="I2143" s="16">
        <v>939369.34</v>
      </c>
      <c r="J2143" s="16">
        <v>939369.34</v>
      </c>
      <c r="K2143" s="112" t="s">
        <v>2650</v>
      </c>
      <c r="L2143" s="121"/>
      <c r="M2143" s="12"/>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c r="AV2143" s="9"/>
      <c r="AW2143" s="9"/>
      <c r="AX2143" s="9"/>
      <c r="AY2143" s="9"/>
      <c r="AZ2143" s="9"/>
      <c r="BA2143" s="9"/>
      <c r="BB2143" s="9"/>
      <c r="BC2143" s="9"/>
      <c r="BD2143" s="9"/>
      <c r="BE2143" s="9"/>
      <c r="BF2143" s="9"/>
      <c r="BG2143" s="9"/>
      <c r="BH2143" s="9"/>
    </row>
    <row r="2144" spans="1:60" s="4" customFormat="1" ht="14.25" customHeight="1" x14ac:dyDescent="0.25">
      <c r="A2144" s="9" t="s">
        <v>3565</v>
      </c>
      <c r="B2144" s="9" t="s">
        <v>13</v>
      </c>
      <c r="C2144" s="9" t="s">
        <v>2650</v>
      </c>
      <c r="D2144" s="90">
        <v>3473</v>
      </c>
      <c r="E2144" s="15" t="s">
        <v>3566</v>
      </c>
      <c r="F2144" s="11">
        <v>39083</v>
      </c>
      <c r="G2144" s="11">
        <v>42369</v>
      </c>
      <c r="H2144" s="9" t="s">
        <v>2593</v>
      </c>
      <c r="I2144" s="16">
        <v>837774.5</v>
      </c>
      <c r="J2144" s="16">
        <v>837774.5</v>
      </c>
      <c r="K2144" s="112" t="s">
        <v>2650</v>
      </c>
      <c r="L2144" s="121"/>
      <c r="M2144" s="12"/>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c r="AV2144" s="9"/>
      <c r="AW2144" s="9"/>
      <c r="AX2144" s="9"/>
      <c r="AY2144" s="9"/>
      <c r="AZ2144" s="9"/>
      <c r="BA2144" s="9"/>
      <c r="BB2144" s="9"/>
      <c r="BC2144" s="9"/>
      <c r="BD2144" s="9"/>
      <c r="BE2144" s="9"/>
      <c r="BF2144" s="9"/>
      <c r="BG2144" s="9"/>
      <c r="BH2144" s="9"/>
    </row>
    <row r="2145" spans="1:60" s="4" customFormat="1" ht="14.25" customHeight="1" x14ac:dyDescent="0.25">
      <c r="A2145" s="9" t="s">
        <v>3567</v>
      </c>
      <c r="B2145" s="9" t="s">
        <v>13</v>
      </c>
      <c r="C2145" s="9" t="s">
        <v>2650</v>
      </c>
      <c r="D2145" s="90">
        <v>3474</v>
      </c>
      <c r="E2145" s="15" t="s">
        <v>2597</v>
      </c>
      <c r="F2145" s="11">
        <v>39083</v>
      </c>
      <c r="G2145" s="11">
        <v>42369</v>
      </c>
      <c r="H2145" s="9" t="s">
        <v>2593</v>
      </c>
      <c r="I2145" s="16">
        <v>1511928.55</v>
      </c>
      <c r="J2145" s="16">
        <v>1511928.55</v>
      </c>
      <c r="K2145" s="112" t="s">
        <v>2650</v>
      </c>
      <c r="L2145" s="121"/>
      <c r="M2145" s="12"/>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c r="AV2145" s="9"/>
      <c r="AW2145" s="9"/>
      <c r="AX2145" s="9"/>
      <c r="AY2145" s="9"/>
      <c r="AZ2145" s="9"/>
      <c r="BA2145" s="9"/>
      <c r="BB2145" s="9"/>
      <c r="BC2145" s="9"/>
      <c r="BD2145" s="9"/>
      <c r="BE2145" s="9"/>
      <c r="BF2145" s="9"/>
      <c r="BG2145" s="9"/>
      <c r="BH2145" s="9"/>
    </row>
    <row r="2146" spans="1:60" s="4" customFormat="1" ht="14.25" customHeight="1" x14ac:dyDescent="0.2">
      <c r="A2146" s="92" t="s">
        <v>11662</v>
      </c>
      <c r="B2146" s="9" t="s">
        <v>13</v>
      </c>
      <c r="C2146" s="9" t="s">
        <v>2650</v>
      </c>
      <c r="D2146" s="90">
        <v>13404</v>
      </c>
      <c r="E2146" s="93" t="s">
        <v>11663</v>
      </c>
      <c r="F2146" s="11">
        <v>40544</v>
      </c>
      <c r="G2146" s="11">
        <v>42825</v>
      </c>
      <c r="H2146" s="9" t="s">
        <v>2593</v>
      </c>
      <c r="I2146" s="16">
        <v>9435120.2899999991</v>
      </c>
      <c r="J2146" s="16">
        <v>9435120.2899999991</v>
      </c>
      <c r="K2146" s="112" t="s">
        <v>2650</v>
      </c>
      <c r="L2146" s="121"/>
      <c r="M2146" s="12"/>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c r="AV2146" s="9"/>
      <c r="AW2146" s="9"/>
      <c r="AX2146" s="9"/>
      <c r="AY2146" s="9"/>
      <c r="AZ2146" s="9"/>
      <c r="BA2146" s="9"/>
      <c r="BB2146" s="9"/>
      <c r="BC2146" s="9"/>
      <c r="BD2146" s="9"/>
      <c r="BE2146" s="9"/>
      <c r="BF2146" s="9"/>
      <c r="BG2146" s="9"/>
      <c r="BH2146" s="9"/>
    </row>
    <row r="2147" spans="1:60" s="4" customFormat="1" ht="14.25" customHeight="1" x14ac:dyDescent="0.25">
      <c r="A2147" s="9" t="s">
        <v>3568</v>
      </c>
      <c r="B2147" s="9" t="s">
        <v>13</v>
      </c>
      <c r="C2147" s="9" t="s">
        <v>2650</v>
      </c>
      <c r="D2147" s="90">
        <v>3475</v>
      </c>
      <c r="E2147" s="9" t="s">
        <v>2615</v>
      </c>
      <c r="F2147" s="11">
        <v>39083</v>
      </c>
      <c r="G2147" s="11">
        <v>42369</v>
      </c>
      <c r="H2147" s="9" t="s">
        <v>2593</v>
      </c>
      <c r="I2147" s="16">
        <v>2082121.1</v>
      </c>
      <c r="J2147" s="16">
        <v>2082121.1</v>
      </c>
      <c r="K2147" s="112" t="s">
        <v>2650</v>
      </c>
      <c r="L2147" s="121"/>
      <c r="M2147" s="12"/>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c r="AV2147" s="9"/>
      <c r="AW2147" s="9"/>
      <c r="AX2147" s="9"/>
      <c r="AY2147" s="9"/>
      <c r="AZ2147" s="9"/>
      <c r="BA2147" s="9"/>
      <c r="BB2147" s="9"/>
      <c r="BC2147" s="9"/>
      <c r="BD2147" s="9"/>
      <c r="BE2147" s="9"/>
      <c r="BF2147" s="9"/>
      <c r="BG2147" s="9"/>
      <c r="BH2147" s="9"/>
    </row>
    <row r="2148" spans="1:60" s="4" customFormat="1" ht="14.25" customHeight="1" x14ac:dyDescent="0.25">
      <c r="A2148" s="9" t="s">
        <v>3569</v>
      </c>
      <c r="B2148" s="9" t="s">
        <v>13</v>
      </c>
      <c r="C2148" s="9" t="s">
        <v>2650</v>
      </c>
      <c r="D2148" s="90">
        <v>3971</v>
      </c>
      <c r="E2148" s="15" t="s">
        <v>3570</v>
      </c>
      <c r="F2148" s="11">
        <v>39083</v>
      </c>
      <c r="G2148" s="11">
        <v>42369</v>
      </c>
      <c r="H2148" s="9" t="s">
        <v>2593</v>
      </c>
      <c r="I2148" s="16">
        <v>552006.53</v>
      </c>
      <c r="J2148" s="16">
        <v>552006.53</v>
      </c>
      <c r="K2148" s="112" t="s">
        <v>2650</v>
      </c>
      <c r="L2148" s="121"/>
      <c r="M2148" s="12"/>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c r="AV2148" s="9"/>
      <c r="AW2148" s="9"/>
      <c r="AX2148" s="9"/>
      <c r="AY2148" s="9"/>
      <c r="AZ2148" s="9"/>
      <c r="BA2148" s="9"/>
      <c r="BB2148" s="9"/>
      <c r="BC2148" s="9"/>
      <c r="BD2148" s="9"/>
      <c r="BE2148" s="9"/>
      <c r="BF2148" s="9"/>
      <c r="BG2148" s="9"/>
      <c r="BH2148" s="9"/>
    </row>
    <row r="2149" spans="1:60" s="4" customFormat="1" ht="14.25" customHeight="1" x14ac:dyDescent="0.25">
      <c r="A2149" s="9" t="s">
        <v>3571</v>
      </c>
      <c r="B2149" s="9" t="s">
        <v>13</v>
      </c>
      <c r="C2149" s="9" t="s">
        <v>2650</v>
      </c>
      <c r="D2149" s="90">
        <v>3972</v>
      </c>
      <c r="E2149" s="15" t="s">
        <v>3572</v>
      </c>
      <c r="F2149" s="11">
        <v>39083</v>
      </c>
      <c r="G2149" s="11">
        <v>42369</v>
      </c>
      <c r="H2149" s="9" t="s">
        <v>2593</v>
      </c>
      <c r="I2149" s="16">
        <v>639850.02</v>
      </c>
      <c r="J2149" s="16">
        <v>639850.02</v>
      </c>
      <c r="K2149" s="112" t="s">
        <v>2650</v>
      </c>
      <c r="L2149" s="121"/>
      <c r="M2149" s="12"/>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c r="AV2149" s="9"/>
      <c r="AW2149" s="9"/>
      <c r="AX2149" s="9"/>
      <c r="AY2149" s="9"/>
      <c r="AZ2149" s="9"/>
      <c r="BA2149" s="9"/>
      <c r="BB2149" s="9"/>
      <c r="BC2149" s="9"/>
      <c r="BD2149" s="9"/>
      <c r="BE2149" s="9"/>
      <c r="BF2149" s="9"/>
      <c r="BG2149" s="9"/>
      <c r="BH2149" s="9"/>
    </row>
    <row r="2150" spans="1:60" s="4" customFormat="1" ht="14.25" customHeight="1" x14ac:dyDescent="0.25">
      <c r="A2150" s="9" t="s">
        <v>3573</v>
      </c>
      <c r="B2150" s="9" t="s">
        <v>13</v>
      </c>
      <c r="C2150" s="9" t="s">
        <v>2650</v>
      </c>
      <c r="D2150" s="90">
        <v>3996</v>
      </c>
      <c r="E2150" s="9" t="s">
        <v>3574</v>
      </c>
      <c r="F2150" s="11">
        <v>39083</v>
      </c>
      <c r="G2150" s="11">
        <v>42369</v>
      </c>
      <c r="H2150" s="9" t="s">
        <v>2593</v>
      </c>
      <c r="I2150" s="16">
        <v>286320.56</v>
      </c>
      <c r="J2150" s="16">
        <v>286320.56</v>
      </c>
      <c r="K2150" s="112" t="s">
        <v>2650</v>
      </c>
      <c r="L2150" s="121"/>
      <c r="M2150" s="12"/>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c r="AV2150" s="9"/>
      <c r="AW2150" s="9"/>
      <c r="AX2150" s="9"/>
      <c r="AY2150" s="9"/>
      <c r="AZ2150" s="9"/>
      <c r="BA2150" s="9"/>
      <c r="BB2150" s="9"/>
      <c r="BC2150" s="9"/>
      <c r="BD2150" s="9"/>
      <c r="BE2150" s="9"/>
      <c r="BF2150" s="9"/>
      <c r="BG2150" s="9"/>
      <c r="BH2150" s="9"/>
    </row>
    <row r="2151" spans="1:60" s="4" customFormat="1" ht="14.25" customHeight="1" x14ac:dyDescent="0.25">
      <c r="A2151" s="9" t="s">
        <v>3575</v>
      </c>
      <c r="B2151" s="9" t="s">
        <v>13</v>
      </c>
      <c r="C2151" s="9" t="s">
        <v>2650</v>
      </c>
      <c r="D2151" s="90">
        <v>3997</v>
      </c>
      <c r="E2151" s="15" t="s">
        <v>2597</v>
      </c>
      <c r="F2151" s="11">
        <v>39083</v>
      </c>
      <c r="G2151" s="11">
        <v>42369</v>
      </c>
      <c r="H2151" s="9" t="s">
        <v>2593</v>
      </c>
      <c r="I2151" s="16">
        <v>1917371.46</v>
      </c>
      <c r="J2151" s="16">
        <v>1917371.46</v>
      </c>
      <c r="K2151" s="112" t="s">
        <v>2650</v>
      </c>
      <c r="L2151" s="121"/>
      <c r="M2151" s="12"/>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c r="AS2151" s="9"/>
      <c r="AT2151" s="9"/>
      <c r="AU2151" s="9"/>
      <c r="AV2151" s="9"/>
      <c r="AW2151" s="9"/>
      <c r="AX2151" s="9"/>
      <c r="AY2151" s="9"/>
      <c r="AZ2151" s="9"/>
      <c r="BA2151" s="9"/>
      <c r="BB2151" s="9"/>
      <c r="BC2151" s="9"/>
      <c r="BD2151" s="9"/>
      <c r="BE2151" s="9"/>
      <c r="BF2151" s="9"/>
      <c r="BG2151" s="9"/>
      <c r="BH2151" s="9"/>
    </row>
    <row r="2152" spans="1:60" s="4" customFormat="1" ht="14.25" customHeight="1" x14ac:dyDescent="0.25">
      <c r="A2152" s="9" t="s">
        <v>3576</v>
      </c>
      <c r="B2152" s="9" t="s">
        <v>13</v>
      </c>
      <c r="C2152" s="9" t="s">
        <v>2650</v>
      </c>
      <c r="D2152" s="90">
        <v>4236</v>
      </c>
      <c r="E2152" s="15" t="s">
        <v>3577</v>
      </c>
      <c r="F2152" s="11">
        <v>39083</v>
      </c>
      <c r="G2152" s="11">
        <v>42369</v>
      </c>
      <c r="H2152" s="9" t="s">
        <v>2593</v>
      </c>
      <c r="I2152" s="16">
        <v>-9</v>
      </c>
      <c r="J2152" s="16">
        <v>-9</v>
      </c>
      <c r="K2152" s="112" t="s">
        <v>2650</v>
      </c>
      <c r="L2152" s="121"/>
      <c r="M2152" s="12"/>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c r="AS2152" s="9"/>
      <c r="AT2152" s="9"/>
      <c r="AU2152" s="9"/>
      <c r="AV2152" s="9"/>
      <c r="AW2152" s="9"/>
      <c r="AX2152" s="9"/>
      <c r="AY2152" s="9"/>
      <c r="AZ2152" s="9"/>
      <c r="BA2152" s="9"/>
      <c r="BB2152" s="9"/>
      <c r="BC2152" s="9"/>
      <c r="BD2152" s="9"/>
      <c r="BE2152" s="9"/>
      <c r="BF2152" s="9"/>
      <c r="BG2152" s="9"/>
      <c r="BH2152" s="9"/>
    </row>
    <row r="2153" spans="1:60" s="4" customFormat="1" ht="14.25" customHeight="1" x14ac:dyDescent="0.25">
      <c r="A2153" s="9" t="s">
        <v>3579</v>
      </c>
      <c r="B2153" s="9" t="s">
        <v>13</v>
      </c>
      <c r="C2153" s="9" t="s">
        <v>2650</v>
      </c>
      <c r="D2153" s="90">
        <v>10240</v>
      </c>
      <c r="E2153" s="9" t="s">
        <v>3580</v>
      </c>
      <c r="F2153" s="11">
        <v>40533</v>
      </c>
      <c r="G2153" s="11">
        <v>42825</v>
      </c>
      <c r="H2153" s="9" t="s">
        <v>2593</v>
      </c>
      <c r="I2153" s="16">
        <v>668926.85</v>
      </c>
      <c r="J2153" s="16">
        <v>668926.85</v>
      </c>
      <c r="K2153" s="112" t="s">
        <v>2650</v>
      </c>
      <c r="L2153" s="121"/>
      <c r="M2153" s="12"/>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c r="AS2153" s="9"/>
      <c r="AT2153" s="9"/>
      <c r="AU2153" s="9"/>
      <c r="AV2153" s="9"/>
      <c r="AW2153" s="9"/>
      <c r="AX2153" s="9"/>
      <c r="AY2153" s="9"/>
      <c r="AZ2153" s="9"/>
      <c r="BA2153" s="9"/>
      <c r="BB2153" s="9"/>
      <c r="BC2153" s="9"/>
      <c r="BD2153" s="9"/>
      <c r="BE2153" s="9"/>
      <c r="BF2153" s="9"/>
      <c r="BG2153" s="9"/>
      <c r="BH2153" s="9"/>
    </row>
    <row r="2154" spans="1:60" s="4" customFormat="1" ht="14.25" customHeight="1" x14ac:dyDescent="0.25">
      <c r="A2154" s="9" t="s">
        <v>3581</v>
      </c>
      <c r="B2154" s="9" t="s">
        <v>13</v>
      </c>
      <c r="C2154" s="9" t="s">
        <v>2650</v>
      </c>
      <c r="D2154" s="90">
        <v>10241</v>
      </c>
      <c r="E2154" s="15" t="s">
        <v>3582</v>
      </c>
      <c r="F2154" s="11">
        <v>40533</v>
      </c>
      <c r="G2154" s="11">
        <v>43465</v>
      </c>
      <c r="H2154" s="9" t="s">
        <v>2593</v>
      </c>
      <c r="I2154" s="16">
        <v>2226185.4700000002</v>
      </c>
      <c r="J2154" s="16">
        <v>2226185.4700000002</v>
      </c>
      <c r="K2154" s="112" t="s">
        <v>2650</v>
      </c>
      <c r="L2154" s="11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c r="AS2154" s="9"/>
      <c r="AT2154" s="9"/>
      <c r="AU2154" s="9"/>
      <c r="AV2154" s="9"/>
      <c r="AW2154" s="9"/>
      <c r="AX2154" s="9"/>
      <c r="AY2154" s="9"/>
      <c r="AZ2154" s="9"/>
      <c r="BA2154" s="9"/>
      <c r="BB2154" s="9"/>
      <c r="BC2154" s="9"/>
      <c r="BD2154" s="9"/>
      <c r="BE2154" s="9"/>
      <c r="BF2154" s="9"/>
      <c r="BG2154" s="9"/>
      <c r="BH2154" s="9"/>
    </row>
    <row r="2155" spans="1:60" s="4" customFormat="1" ht="14.25" customHeight="1" x14ac:dyDescent="0.25">
      <c r="A2155" s="4" t="s">
        <v>3583</v>
      </c>
      <c r="B2155" s="9" t="s">
        <v>13</v>
      </c>
      <c r="C2155" s="9" t="s">
        <v>2650</v>
      </c>
      <c r="D2155" s="35">
        <v>12014</v>
      </c>
      <c r="E2155" s="7" t="s">
        <v>3584</v>
      </c>
      <c r="F2155" s="5">
        <v>41264</v>
      </c>
      <c r="G2155" s="5">
        <v>42825</v>
      </c>
      <c r="H2155" s="9" t="s">
        <v>2593</v>
      </c>
      <c r="I2155" s="6">
        <v>10888237.43</v>
      </c>
      <c r="J2155" s="6">
        <v>10888237.43</v>
      </c>
      <c r="K2155" s="37" t="s">
        <v>2650</v>
      </c>
      <c r="L2155" s="121"/>
      <c r="M2155" s="12"/>
    </row>
    <row r="2156" spans="1:60" s="4" customFormat="1" ht="14.25" customHeight="1" x14ac:dyDescent="0.25">
      <c r="A2156" s="9" t="s">
        <v>3578</v>
      </c>
      <c r="B2156" s="9" t="s">
        <v>13</v>
      </c>
      <c r="C2156" s="9" t="s">
        <v>2650</v>
      </c>
      <c r="D2156" s="90">
        <v>4329</v>
      </c>
      <c r="E2156" s="15" t="s">
        <v>3572</v>
      </c>
      <c r="F2156" s="11">
        <v>39083</v>
      </c>
      <c r="G2156" s="11">
        <v>42369</v>
      </c>
      <c r="H2156" s="9" t="s">
        <v>2593</v>
      </c>
      <c r="I2156" s="16">
        <v>222371.13</v>
      </c>
      <c r="J2156" s="16">
        <v>222371.13</v>
      </c>
      <c r="K2156" s="112" t="s">
        <v>2650</v>
      </c>
      <c r="L2156" s="121"/>
      <c r="M2156" s="12"/>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c r="AS2156" s="9"/>
      <c r="AT2156" s="9"/>
      <c r="AU2156" s="9"/>
      <c r="AV2156" s="9"/>
      <c r="AW2156" s="9"/>
      <c r="AX2156" s="9"/>
      <c r="AY2156" s="9"/>
      <c r="AZ2156" s="9"/>
      <c r="BA2156" s="9"/>
      <c r="BB2156" s="9"/>
      <c r="BC2156" s="9"/>
      <c r="BD2156" s="9"/>
      <c r="BE2156" s="9"/>
      <c r="BF2156" s="9"/>
      <c r="BG2156" s="9"/>
      <c r="BH2156" s="9"/>
    </row>
    <row r="2157" spans="1:60" s="4" customFormat="1" ht="14.25" customHeight="1" x14ac:dyDescent="0.25">
      <c r="A2157" s="4" t="s">
        <v>3585</v>
      </c>
      <c r="B2157" s="4" t="s">
        <v>13</v>
      </c>
      <c r="C2157" s="9" t="s">
        <v>2650</v>
      </c>
      <c r="D2157" s="90">
        <v>12011</v>
      </c>
      <c r="E2157" s="7" t="s">
        <v>3586</v>
      </c>
      <c r="F2157" s="5">
        <v>40544</v>
      </c>
      <c r="G2157" s="5">
        <v>42825</v>
      </c>
      <c r="H2157" s="4" t="s">
        <v>3587</v>
      </c>
      <c r="I2157" s="6">
        <v>1557288.13</v>
      </c>
      <c r="J2157" s="6">
        <f>890536.82+413654.9+253096.41</f>
        <v>1557288.13</v>
      </c>
      <c r="K2157" s="37" t="s">
        <v>2650</v>
      </c>
      <c r="L2157" s="119"/>
      <c r="M2157" s="3"/>
    </row>
    <row r="2158" spans="1:60" s="4" customFormat="1" ht="14.25" customHeight="1" x14ac:dyDescent="0.25">
      <c r="A2158" s="4" t="s">
        <v>3588</v>
      </c>
      <c r="B2158" s="4" t="s">
        <v>13</v>
      </c>
      <c r="C2158" s="9" t="s">
        <v>2650</v>
      </c>
      <c r="D2158" s="90">
        <v>12056</v>
      </c>
      <c r="E2158" s="7" t="s">
        <v>3589</v>
      </c>
      <c r="F2158" s="5">
        <v>40544</v>
      </c>
      <c r="G2158" s="5">
        <v>42825</v>
      </c>
      <c r="H2158" s="4" t="s">
        <v>3587</v>
      </c>
      <c r="I2158" s="6">
        <v>1567404.73</v>
      </c>
      <c r="J2158" s="6">
        <f>983394.96+380010.28</f>
        <v>1363405.24</v>
      </c>
      <c r="K2158" s="37" t="s">
        <v>2650</v>
      </c>
      <c r="L2158" s="119"/>
      <c r="M2158" s="3"/>
    </row>
    <row r="2159" spans="1:60" s="4" customFormat="1" ht="14.25" customHeight="1" x14ac:dyDescent="0.25">
      <c r="A2159" s="4" t="s">
        <v>3590</v>
      </c>
      <c r="B2159" s="4" t="s">
        <v>13</v>
      </c>
      <c r="C2159" s="9" t="s">
        <v>2650</v>
      </c>
      <c r="D2159" s="90">
        <v>12057</v>
      </c>
      <c r="E2159" s="7" t="s">
        <v>3591</v>
      </c>
      <c r="F2159" s="5">
        <v>40544</v>
      </c>
      <c r="G2159" s="5">
        <v>42825</v>
      </c>
      <c r="H2159" s="4" t="s">
        <v>3587</v>
      </c>
      <c r="I2159" s="6">
        <f>1032867.84+162666.26+303249.4</f>
        <v>1498783.5</v>
      </c>
      <c r="J2159" s="6">
        <f>2968000+303249.4+203999.49+162666.26</f>
        <v>3637915.1499999994</v>
      </c>
      <c r="K2159" s="37" t="s">
        <v>2650</v>
      </c>
      <c r="L2159" s="119"/>
      <c r="M2159" s="3"/>
    </row>
    <row r="2160" spans="1:60" s="4" customFormat="1" ht="14.25" customHeight="1" x14ac:dyDescent="0.25">
      <c r="A2160" s="4" t="s">
        <v>3592</v>
      </c>
      <c r="B2160" s="4" t="s">
        <v>13</v>
      </c>
      <c r="C2160" s="9" t="s">
        <v>2650</v>
      </c>
      <c r="D2160" s="90">
        <v>12058</v>
      </c>
      <c r="E2160" s="7" t="s">
        <v>3593</v>
      </c>
      <c r="F2160" s="5">
        <v>40544</v>
      </c>
      <c r="G2160" s="5">
        <v>42825</v>
      </c>
      <c r="H2160" s="4" t="s">
        <v>3587</v>
      </c>
      <c r="I2160" s="6">
        <f>907775.82+333942.87+260689.41</f>
        <v>1502408.0999999999</v>
      </c>
      <c r="J2160" s="6">
        <f>907775.82+333942.87+260689.41</f>
        <v>1502408.0999999999</v>
      </c>
      <c r="K2160" s="37" t="s">
        <v>2650</v>
      </c>
      <c r="L2160" s="119"/>
      <c r="M2160" s="3"/>
    </row>
    <row r="2161" spans="1:13" s="32" customFormat="1" ht="14.25" customHeight="1" x14ac:dyDescent="0.25">
      <c r="A2161" s="13" t="s">
        <v>11542</v>
      </c>
      <c r="B2161" s="32" t="s">
        <v>13</v>
      </c>
      <c r="C2161" s="32" t="s">
        <v>14</v>
      </c>
      <c r="D2161" s="33">
        <v>12989</v>
      </c>
      <c r="E2161" s="13" t="s">
        <v>11543</v>
      </c>
      <c r="F2161" s="34">
        <v>40544</v>
      </c>
      <c r="G2161" s="34">
        <v>42825</v>
      </c>
      <c r="H2161" s="4" t="s">
        <v>3587</v>
      </c>
      <c r="I2161" s="94">
        <f>467198.79+95999.76</f>
        <v>563198.54999999993</v>
      </c>
      <c r="J2161" s="94">
        <f>467198.79+95999.76</f>
        <v>563198.54999999993</v>
      </c>
      <c r="K2161" s="38" t="s">
        <v>2650</v>
      </c>
      <c r="L2161" s="122"/>
    </row>
    <row r="2162" spans="1:13" s="32" customFormat="1" ht="14.25" customHeight="1" x14ac:dyDescent="0.25">
      <c r="A2162" s="13" t="s">
        <v>11544</v>
      </c>
      <c r="B2162" s="32" t="s">
        <v>13</v>
      </c>
      <c r="C2162" s="32" t="s">
        <v>14</v>
      </c>
      <c r="D2162" s="33">
        <v>12990</v>
      </c>
      <c r="E2162" s="13" t="s">
        <v>11531</v>
      </c>
      <c r="F2162" s="34">
        <v>40544</v>
      </c>
      <c r="G2162" s="34">
        <v>42825</v>
      </c>
      <c r="H2162" s="4" t="s">
        <v>3587</v>
      </c>
      <c r="I2162" s="94">
        <f>219961.53+7999.98</f>
        <v>227961.51</v>
      </c>
      <c r="J2162" s="94">
        <f>219961.53+7999.98</f>
        <v>227961.51</v>
      </c>
      <c r="K2162" s="38" t="s">
        <v>2650</v>
      </c>
      <c r="L2162" s="122"/>
    </row>
    <row r="2163" spans="1:13" s="32" customFormat="1" ht="14.25" customHeight="1" x14ac:dyDescent="0.25">
      <c r="A2163" s="13" t="s">
        <v>11545</v>
      </c>
      <c r="B2163" s="32" t="s">
        <v>13</v>
      </c>
      <c r="C2163" s="32" t="s">
        <v>14</v>
      </c>
      <c r="D2163" s="33">
        <v>12991</v>
      </c>
      <c r="E2163" s="13" t="s">
        <v>11546</v>
      </c>
      <c r="F2163" s="34">
        <v>40544</v>
      </c>
      <c r="G2163" s="34">
        <v>42825</v>
      </c>
      <c r="H2163" s="4" t="s">
        <v>3587</v>
      </c>
      <c r="I2163" s="94">
        <f>96728.86+40870.78</f>
        <v>137599.64000000001</v>
      </c>
      <c r="J2163" s="94">
        <f>96728.86+40870.78</f>
        <v>137599.64000000001</v>
      </c>
      <c r="K2163" s="38" t="s">
        <v>2650</v>
      </c>
      <c r="L2163" s="122"/>
    </row>
    <row r="2164" spans="1:13" s="32" customFormat="1" ht="14.25" customHeight="1" x14ac:dyDescent="0.25">
      <c r="A2164" s="13" t="s">
        <v>11547</v>
      </c>
      <c r="B2164" s="32" t="s">
        <v>13</v>
      </c>
      <c r="C2164" s="32" t="s">
        <v>14</v>
      </c>
      <c r="D2164" s="33">
        <v>12992</v>
      </c>
      <c r="E2164" s="13" t="s">
        <v>11548</v>
      </c>
      <c r="F2164" s="34">
        <v>40544</v>
      </c>
      <c r="G2164" s="34">
        <v>42825</v>
      </c>
      <c r="H2164" s="4" t="s">
        <v>3587</v>
      </c>
      <c r="I2164" s="94">
        <v>179349.01</v>
      </c>
      <c r="J2164" s="94">
        <v>179349.01</v>
      </c>
      <c r="K2164" s="38" t="s">
        <v>2650</v>
      </c>
      <c r="L2164" s="122"/>
    </row>
    <row r="2165" spans="1:13" s="32" customFormat="1" ht="14.25" customHeight="1" x14ac:dyDescent="0.25">
      <c r="A2165" s="13" t="s">
        <v>11549</v>
      </c>
      <c r="B2165" s="32" t="s">
        <v>13</v>
      </c>
      <c r="C2165" s="32" t="s">
        <v>14</v>
      </c>
      <c r="D2165" s="33">
        <v>12997</v>
      </c>
      <c r="E2165" s="13" t="s">
        <v>11550</v>
      </c>
      <c r="F2165" s="34">
        <v>40544</v>
      </c>
      <c r="G2165" s="34">
        <v>42825</v>
      </c>
      <c r="H2165" s="4" t="s">
        <v>3587</v>
      </c>
      <c r="I2165" s="94">
        <f>899549.2+111177.25</f>
        <v>1010726.45</v>
      </c>
      <c r="J2165" s="94">
        <f>899549.2+111177.25</f>
        <v>1010726.45</v>
      </c>
      <c r="K2165" s="38" t="s">
        <v>2650</v>
      </c>
      <c r="L2165" s="122"/>
    </row>
    <row r="2166" spans="1:13" s="32" customFormat="1" ht="14.25" customHeight="1" x14ac:dyDescent="0.25">
      <c r="A2166" s="13" t="s">
        <v>11551</v>
      </c>
      <c r="B2166" s="32" t="s">
        <v>13</v>
      </c>
      <c r="C2166" s="32" t="s">
        <v>14</v>
      </c>
      <c r="D2166" s="33">
        <v>12998</v>
      </c>
      <c r="E2166" s="13" t="s">
        <v>11552</v>
      </c>
      <c r="F2166" s="34">
        <v>40544</v>
      </c>
      <c r="G2166" s="34">
        <v>42825</v>
      </c>
      <c r="H2166" s="4" t="s">
        <v>3587</v>
      </c>
      <c r="I2166" s="94">
        <f>236001.02+41843.96</f>
        <v>277844.98</v>
      </c>
      <c r="J2166" s="94">
        <f>236001.02+41843.96</f>
        <v>277844.98</v>
      </c>
      <c r="K2166" s="38" t="s">
        <v>2650</v>
      </c>
      <c r="L2166" s="122"/>
    </row>
    <row r="2167" spans="1:13" s="32" customFormat="1" ht="14.25" customHeight="1" x14ac:dyDescent="0.25">
      <c r="A2167" s="13" t="s">
        <v>11553</v>
      </c>
      <c r="B2167" s="32" t="s">
        <v>13</v>
      </c>
      <c r="C2167" s="32" t="s">
        <v>14</v>
      </c>
      <c r="D2167" s="33">
        <v>12999</v>
      </c>
      <c r="E2167" s="13" t="s">
        <v>11554</v>
      </c>
      <c r="F2167" s="34">
        <v>40544</v>
      </c>
      <c r="G2167" s="34">
        <v>42825</v>
      </c>
      <c r="H2167" s="4" t="s">
        <v>3587</v>
      </c>
      <c r="I2167" s="94">
        <f>121472.11+36343.98</f>
        <v>157816.09</v>
      </c>
      <c r="J2167" s="94">
        <f>121472.11+36343.98</f>
        <v>157816.09</v>
      </c>
      <c r="K2167" s="38" t="s">
        <v>2650</v>
      </c>
      <c r="L2167" s="122"/>
    </row>
    <row r="2168" spans="1:13" s="32" customFormat="1" ht="14.25" customHeight="1" x14ac:dyDescent="0.25">
      <c r="A2168" s="13" t="s">
        <v>11555</v>
      </c>
      <c r="B2168" s="32" t="s">
        <v>13</v>
      </c>
      <c r="C2168" s="32" t="s">
        <v>14</v>
      </c>
      <c r="D2168" s="33">
        <v>13000</v>
      </c>
      <c r="E2168" s="13" t="s">
        <v>11539</v>
      </c>
      <c r="F2168" s="34">
        <v>40544</v>
      </c>
      <c r="G2168" s="34">
        <v>42825</v>
      </c>
      <c r="H2168" s="4" t="s">
        <v>3587</v>
      </c>
      <c r="I2168" s="94">
        <f>589682.52+89333.11</f>
        <v>679015.63</v>
      </c>
      <c r="J2168" s="94">
        <f>589682.52+89333.11</f>
        <v>679015.63</v>
      </c>
      <c r="K2168" s="38" t="s">
        <v>2650</v>
      </c>
      <c r="L2168" s="122"/>
    </row>
    <row r="2169" spans="1:13" s="32" customFormat="1" ht="14.25" customHeight="1" x14ac:dyDescent="0.25">
      <c r="A2169" s="13" t="s">
        <v>11556</v>
      </c>
      <c r="B2169" s="32" t="s">
        <v>13</v>
      </c>
      <c r="C2169" s="32" t="s">
        <v>14</v>
      </c>
      <c r="D2169" s="33">
        <v>13001</v>
      </c>
      <c r="E2169" s="13" t="s">
        <v>11557</v>
      </c>
      <c r="F2169" s="34">
        <v>40544</v>
      </c>
      <c r="G2169" s="34">
        <v>42825</v>
      </c>
      <c r="H2169" s="4" t="s">
        <v>3587</v>
      </c>
      <c r="I2169" s="94">
        <v>27538</v>
      </c>
      <c r="J2169" s="94">
        <v>27538</v>
      </c>
      <c r="K2169" s="38" t="s">
        <v>2650</v>
      </c>
      <c r="L2169" s="122"/>
    </row>
    <row r="2170" spans="1:13" s="32" customFormat="1" ht="14.25" customHeight="1" x14ac:dyDescent="0.25">
      <c r="A2170" s="13" t="s">
        <v>11558</v>
      </c>
      <c r="B2170" s="32" t="s">
        <v>13</v>
      </c>
      <c r="C2170" s="32" t="s">
        <v>14</v>
      </c>
      <c r="D2170" s="33">
        <v>13002</v>
      </c>
      <c r="E2170" s="13" t="s">
        <v>11559</v>
      </c>
      <c r="F2170" s="34">
        <v>40544</v>
      </c>
      <c r="G2170" s="34">
        <v>42825</v>
      </c>
      <c r="H2170" s="4" t="s">
        <v>3587</v>
      </c>
      <c r="I2170" s="94">
        <f>357749.35+59999.85</f>
        <v>417749.19999999995</v>
      </c>
      <c r="J2170" s="94">
        <f>357749.35+59999.85</f>
        <v>417749.19999999995</v>
      </c>
      <c r="K2170" s="38" t="s">
        <v>2650</v>
      </c>
      <c r="L2170" s="122"/>
    </row>
    <row r="2171" spans="1:13" s="32" customFormat="1" ht="14.25" customHeight="1" x14ac:dyDescent="0.25">
      <c r="A2171" s="13" t="s">
        <v>11560</v>
      </c>
      <c r="B2171" s="32" t="s">
        <v>13</v>
      </c>
      <c r="C2171" s="32" t="s">
        <v>14</v>
      </c>
      <c r="D2171" s="33">
        <v>13003</v>
      </c>
      <c r="E2171" s="13" t="s">
        <v>11561</v>
      </c>
      <c r="F2171" s="34">
        <v>40544</v>
      </c>
      <c r="G2171" s="34">
        <v>42825</v>
      </c>
      <c r="H2171" s="4" t="s">
        <v>3587</v>
      </c>
      <c r="I2171" s="94">
        <f>757826.64+109333.06</f>
        <v>867159.7</v>
      </c>
      <c r="J2171" s="94">
        <f>757826.64+109333.06</f>
        <v>867159.7</v>
      </c>
      <c r="K2171" s="38" t="s">
        <v>2650</v>
      </c>
      <c r="L2171" s="122"/>
    </row>
    <row r="2172" spans="1:13" s="32" customFormat="1" ht="14.25" customHeight="1" x14ac:dyDescent="0.25">
      <c r="A2172" s="13" t="s">
        <v>11562</v>
      </c>
      <c r="B2172" s="32" t="s">
        <v>13</v>
      </c>
      <c r="C2172" s="32" t="s">
        <v>14</v>
      </c>
      <c r="D2172" s="33">
        <v>13004</v>
      </c>
      <c r="E2172" s="13" t="s">
        <v>11563</v>
      </c>
      <c r="F2172" s="34">
        <v>40544</v>
      </c>
      <c r="G2172" s="34">
        <v>42825</v>
      </c>
      <c r="H2172" s="4" t="s">
        <v>3587</v>
      </c>
      <c r="I2172" s="94">
        <f>571573.51+235443.8</f>
        <v>807017.31</v>
      </c>
      <c r="J2172" s="94">
        <f>571573.51+235443.8</f>
        <v>807017.31</v>
      </c>
      <c r="K2172" s="38" t="s">
        <v>2650</v>
      </c>
      <c r="L2172" s="122"/>
    </row>
    <row r="2173" spans="1:13" s="32" customFormat="1" ht="14.25" customHeight="1" x14ac:dyDescent="0.25">
      <c r="A2173" s="13" t="s">
        <v>11564</v>
      </c>
      <c r="B2173" s="32" t="s">
        <v>13</v>
      </c>
      <c r="C2173" s="32" t="s">
        <v>14</v>
      </c>
      <c r="D2173" s="33">
        <v>13005</v>
      </c>
      <c r="E2173" s="13" t="s">
        <v>11533</v>
      </c>
      <c r="F2173" s="34">
        <v>40544</v>
      </c>
      <c r="G2173" s="34">
        <v>42825</v>
      </c>
      <c r="H2173" s="4" t="s">
        <v>3587</v>
      </c>
      <c r="I2173" s="94">
        <f>563346.48+142629.95</f>
        <v>705976.42999999993</v>
      </c>
      <c r="J2173" s="94">
        <f>563346.48+142629.95</f>
        <v>705976.42999999993</v>
      </c>
      <c r="K2173" s="38" t="s">
        <v>2650</v>
      </c>
      <c r="L2173" s="122"/>
    </row>
    <row r="2174" spans="1:13" s="32" customFormat="1" ht="14.25" customHeight="1" x14ac:dyDescent="0.25">
      <c r="A2174" s="13" t="s">
        <v>11565</v>
      </c>
      <c r="B2174" s="32" t="s">
        <v>13</v>
      </c>
      <c r="C2174" s="32" t="s">
        <v>14</v>
      </c>
      <c r="D2174" s="33">
        <v>13006</v>
      </c>
      <c r="E2174" s="13" t="s">
        <v>11566</v>
      </c>
      <c r="F2174" s="34">
        <v>40544</v>
      </c>
      <c r="G2174" s="34">
        <v>42825</v>
      </c>
      <c r="H2174" s="4" t="s">
        <v>3587</v>
      </c>
      <c r="I2174" s="94">
        <v>395089.39</v>
      </c>
      <c r="J2174" s="94">
        <v>395089.39</v>
      </c>
      <c r="K2174" s="38" t="s">
        <v>2650</v>
      </c>
      <c r="L2174" s="122"/>
    </row>
    <row r="2175" spans="1:13" s="32" customFormat="1" ht="14.25" customHeight="1" x14ac:dyDescent="0.25">
      <c r="A2175" s="13" t="s">
        <v>11567</v>
      </c>
      <c r="B2175" s="32" t="s">
        <v>13</v>
      </c>
      <c r="C2175" s="32" t="s">
        <v>14</v>
      </c>
      <c r="D2175" s="33">
        <v>13007</v>
      </c>
      <c r="E2175" s="13" t="s">
        <v>11568</v>
      </c>
      <c r="F2175" s="34">
        <v>40544</v>
      </c>
      <c r="G2175" s="34">
        <v>42825</v>
      </c>
      <c r="H2175" s="4" t="s">
        <v>3587</v>
      </c>
      <c r="I2175" s="94">
        <f>434409.1+122051.21</f>
        <v>556460.30999999994</v>
      </c>
      <c r="J2175" s="94">
        <f>434409.1+122051.21</f>
        <v>556460.30999999994</v>
      </c>
      <c r="K2175" s="38" t="s">
        <v>2650</v>
      </c>
      <c r="L2175" s="122"/>
    </row>
    <row r="2176" spans="1:13" s="4" customFormat="1" ht="14.25" customHeight="1" x14ac:dyDescent="0.25">
      <c r="A2176" s="4" t="s">
        <v>3594</v>
      </c>
      <c r="B2176" s="4" t="s">
        <v>13</v>
      </c>
      <c r="C2176" s="4" t="s">
        <v>14</v>
      </c>
      <c r="D2176" s="35">
        <v>9473</v>
      </c>
      <c r="E2176" s="4" t="s">
        <v>3595</v>
      </c>
      <c r="F2176" s="5">
        <v>40037</v>
      </c>
      <c r="G2176" s="5">
        <v>40388</v>
      </c>
      <c r="H2176" s="4" t="s">
        <v>2027</v>
      </c>
      <c r="I2176" s="6">
        <v>23856</v>
      </c>
      <c r="J2176" s="6">
        <v>9000</v>
      </c>
      <c r="K2176" s="37" t="s">
        <v>2650</v>
      </c>
      <c r="L2176" s="119"/>
      <c r="M2176" s="3"/>
    </row>
    <row r="2177" spans="1:14" s="4" customFormat="1" ht="14.25" customHeight="1" x14ac:dyDescent="0.25">
      <c r="A2177" s="4" t="s">
        <v>3596</v>
      </c>
      <c r="B2177" s="4" t="s">
        <v>13</v>
      </c>
      <c r="C2177" s="4" t="s">
        <v>14</v>
      </c>
      <c r="D2177" s="35">
        <v>9474</v>
      </c>
      <c r="E2177" s="4" t="s">
        <v>3597</v>
      </c>
      <c r="F2177" s="5">
        <v>40092</v>
      </c>
      <c r="G2177" s="5">
        <v>40359</v>
      </c>
      <c r="H2177" s="4" t="s">
        <v>2027</v>
      </c>
      <c r="I2177" s="6">
        <v>40475</v>
      </c>
      <c r="J2177" s="6">
        <v>16190</v>
      </c>
      <c r="K2177" s="37" t="s">
        <v>2650</v>
      </c>
      <c r="L2177" s="119"/>
      <c r="M2177" s="3"/>
    </row>
    <row r="2178" spans="1:14" s="4" customFormat="1" ht="14.25" customHeight="1" x14ac:dyDescent="0.25">
      <c r="A2178" s="4" t="s">
        <v>3598</v>
      </c>
      <c r="B2178" s="4" t="s">
        <v>13</v>
      </c>
      <c r="C2178" s="4" t="s">
        <v>14</v>
      </c>
      <c r="D2178" s="35">
        <v>10194</v>
      </c>
      <c r="E2178" s="7" t="s">
        <v>3599</v>
      </c>
      <c r="F2178" s="5">
        <v>40470</v>
      </c>
      <c r="G2178" s="5">
        <v>40868</v>
      </c>
      <c r="H2178" s="4" t="s">
        <v>2027</v>
      </c>
      <c r="I2178" s="6">
        <v>82594.740000000005</v>
      </c>
      <c r="J2178" s="6">
        <v>37167.629999999997</v>
      </c>
      <c r="K2178" s="37" t="s">
        <v>2650</v>
      </c>
      <c r="L2178" s="119"/>
      <c r="M2178" s="3"/>
    </row>
    <row r="2179" spans="1:14" s="4" customFormat="1" ht="14.25" customHeight="1" x14ac:dyDescent="0.25">
      <c r="A2179" s="4" t="s">
        <v>3600</v>
      </c>
      <c r="B2179" s="4" t="s">
        <v>13</v>
      </c>
      <c r="C2179" s="4" t="s">
        <v>2650</v>
      </c>
      <c r="D2179" s="35">
        <v>3337</v>
      </c>
      <c r="E2179" s="7" t="s">
        <v>3601</v>
      </c>
      <c r="F2179" s="5">
        <v>39083</v>
      </c>
      <c r="G2179" s="5">
        <v>42339</v>
      </c>
      <c r="H2179" s="4" t="s">
        <v>2637</v>
      </c>
      <c r="I2179" s="17">
        <v>363695.06</v>
      </c>
      <c r="J2179" s="17">
        <v>363697.06</v>
      </c>
      <c r="K2179" s="37" t="s">
        <v>2650</v>
      </c>
      <c r="L2179" s="119"/>
      <c r="M2179" s="3"/>
    </row>
    <row r="2180" spans="1:14" s="4" customFormat="1" ht="14.25" customHeight="1" x14ac:dyDescent="0.25">
      <c r="A2180" s="4" t="s">
        <v>3602</v>
      </c>
      <c r="B2180" s="4" t="s">
        <v>13</v>
      </c>
      <c r="C2180" s="4" t="s">
        <v>2650</v>
      </c>
      <c r="D2180" s="35">
        <v>3440</v>
      </c>
      <c r="E2180" s="7" t="s">
        <v>3603</v>
      </c>
      <c r="F2180" s="5">
        <v>39083</v>
      </c>
      <c r="G2180" s="5">
        <v>42369</v>
      </c>
      <c r="H2180" s="4" t="s">
        <v>2637</v>
      </c>
      <c r="I2180" s="17">
        <v>166555.54999999999</v>
      </c>
      <c r="J2180" s="17">
        <v>166555.54999999999</v>
      </c>
      <c r="K2180" s="37" t="s">
        <v>2650</v>
      </c>
      <c r="L2180" s="119"/>
      <c r="M2180" s="3"/>
    </row>
    <row r="2181" spans="1:14" s="4" customFormat="1" ht="14.25" customHeight="1" x14ac:dyDescent="0.25">
      <c r="A2181" s="4" t="s">
        <v>3604</v>
      </c>
      <c r="B2181" s="4" t="s">
        <v>13</v>
      </c>
      <c r="C2181" s="4" t="s">
        <v>2650</v>
      </c>
      <c r="D2181" s="35">
        <v>3455</v>
      </c>
      <c r="E2181" s="7" t="s">
        <v>3605</v>
      </c>
      <c r="F2181" s="5">
        <v>39083</v>
      </c>
      <c r="G2181" s="5">
        <v>42369</v>
      </c>
      <c r="H2181" s="4" t="s">
        <v>2637</v>
      </c>
      <c r="I2181" s="17">
        <v>1614059.46</v>
      </c>
      <c r="J2181" s="17">
        <v>1614057.46</v>
      </c>
      <c r="K2181" s="37" t="s">
        <v>2650</v>
      </c>
      <c r="L2181" s="119"/>
      <c r="M2181" s="3"/>
    </row>
    <row r="2182" spans="1:14" s="4" customFormat="1" ht="14.25" customHeight="1" x14ac:dyDescent="0.25">
      <c r="A2182" s="4" t="s">
        <v>3606</v>
      </c>
      <c r="B2182" s="4" t="s">
        <v>13</v>
      </c>
      <c r="C2182" s="4" t="s">
        <v>2650</v>
      </c>
      <c r="D2182" s="35">
        <v>4323</v>
      </c>
      <c r="E2182" s="7" t="s">
        <v>3607</v>
      </c>
      <c r="F2182" s="5">
        <v>39083</v>
      </c>
      <c r="G2182" s="5">
        <v>42369</v>
      </c>
      <c r="H2182" s="4" t="s">
        <v>2637</v>
      </c>
      <c r="I2182" s="17">
        <v>5071204.1500000004</v>
      </c>
      <c r="J2182" s="17">
        <v>5071204.1500000004</v>
      </c>
      <c r="K2182" s="37" t="s">
        <v>2650</v>
      </c>
      <c r="L2182" s="119"/>
      <c r="M2182" s="3"/>
    </row>
    <row r="2183" spans="1:14" s="4" customFormat="1" ht="14.25" customHeight="1" x14ac:dyDescent="0.25">
      <c r="D2183" s="35"/>
      <c r="E2183" s="26" t="s">
        <v>351</v>
      </c>
      <c r="F2183" s="28"/>
      <c r="G2183" s="28"/>
      <c r="H2183" s="26"/>
      <c r="I2183" s="27">
        <f>SUM(I1546:I1560)</f>
        <v>1037840.0900000002</v>
      </c>
      <c r="J2183" s="27">
        <f>SUM(J1546:J1560)</f>
        <v>260565.3</v>
      </c>
      <c r="K2183" s="37" t="s">
        <v>2650</v>
      </c>
      <c r="L2183" s="119"/>
      <c r="M2183" s="3"/>
    </row>
    <row r="2184" spans="1:14" s="4" customFormat="1" ht="14.25" customHeight="1" x14ac:dyDescent="0.25">
      <c r="D2184" s="35"/>
      <c r="E2184" s="26" t="s">
        <v>2643</v>
      </c>
      <c r="F2184" s="28"/>
      <c r="G2184" s="28"/>
      <c r="H2184" s="26"/>
      <c r="I2184" s="27">
        <f>SUM(I1561:I1868)</f>
        <v>32568898.240000017</v>
      </c>
      <c r="J2184" s="27">
        <f>SUM(J1561:J1868)</f>
        <v>32568898.240000017</v>
      </c>
      <c r="K2184" s="37" t="s">
        <v>2650</v>
      </c>
      <c r="L2184" s="119"/>
      <c r="M2184" s="3"/>
      <c r="N2184" s="3"/>
    </row>
    <row r="2185" spans="1:14" s="4" customFormat="1" ht="14.25" customHeight="1" x14ac:dyDescent="0.25">
      <c r="D2185" s="35"/>
      <c r="E2185" s="26" t="s">
        <v>786</v>
      </c>
      <c r="F2185" s="28"/>
      <c r="G2185" s="28"/>
      <c r="H2185" s="26"/>
      <c r="I2185" s="27">
        <f>SUM(I1869:I1889)</f>
        <v>6211246.7400000002</v>
      </c>
      <c r="J2185" s="27">
        <f>SUM(J1869:J1889)</f>
        <v>1765396.34</v>
      </c>
      <c r="K2185" s="37" t="s">
        <v>2650</v>
      </c>
      <c r="L2185" s="119"/>
      <c r="M2185" s="3"/>
      <c r="N2185" s="3"/>
    </row>
    <row r="2186" spans="1:14" s="4" customFormat="1" ht="14.25" customHeight="1" x14ac:dyDescent="0.25">
      <c r="D2186" s="35"/>
      <c r="E2186" s="26" t="s">
        <v>3608</v>
      </c>
      <c r="F2186" s="28"/>
      <c r="G2186" s="28"/>
      <c r="H2186" s="26"/>
      <c r="I2186" s="27">
        <f>SUM(I1890)</f>
        <v>4192862.26</v>
      </c>
      <c r="J2186" s="27">
        <f>SUM(J1890)</f>
        <v>4192862.26</v>
      </c>
      <c r="K2186" s="37" t="s">
        <v>2650</v>
      </c>
      <c r="L2186" s="119"/>
      <c r="M2186" s="3"/>
      <c r="N2186" s="3"/>
    </row>
    <row r="2187" spans="1:14" s="4" customFormat="1" ht="14.25" customHeight="1" x14ac:dyDescent="0.25">
      <c r="D2187" s="35"/>
      <c r="E2187" s="26" t="s">
        <v>11660</v>
      </c>
      <c r="F2187" s="28"/>
      <c r="G2187" s="28"/>
      <c r="H2187" s="26"/>
      <c r="I2187" s="27">
        <f>SUM(I1891)</f>
        <v>2108182.14</v>
      </c>
      <c r="J2187" s="27">
        <f>SUM(J1891)</f>
        <v>1054091.07</v>
      </c>
      <c r="K2187" s="37" t="s">
        <v>2650</v>
      </c>
      <c r="L2187" s="119"/>
      <c r="M2187" s="3"/>
      <c r="N2187" s="3"/>
    </row>
    <row r="2188" spans="1:14" s="4" customFormat="1" ht="14.25" customHeight="1" x14ac:dyDescent="0.25">
      <c r="D2188" s="35"/>
      <c r="E2188" s="26" t="s">
        <v>352</v>
      </c>
      <c r="F2188" s="28"/>
      <c r="G2188" s="28"/>
      <c r="H2188" s="26"/>
      <c r="I2188" s="27">
        <f>SUM(I1892:I2140)</f>
        <v>5378959</v>
      </c>
      <c r="J2188" s="27">
        <f>SUM(J1892:J2140)</f>
        <v>4378667.4499999993</v>
      </c>
      <c r="K2188" s="37" t="s">
        <v>2650</v>
      </c>
      <c r="L2188" s="119"/>
      <c r="M2188" s="3"/>
      <c r="N2188" s="3"/>
    </row>
    <row r="2189" spans="1:14" s="4" customFormat="1" ht="14.25" customHeight="1" x14ac:dyDescent="0.25">
      <c r="D2189" s="35"/>
      <c r="E2189" s="26" t="s">
        <v>3609</v>
      </c>
      <c r="F2189" s="28"/>
      <c r="G2189" s="28"/>
      <c r="H2189" s="26"/>
      <c r="I2189" s="27">
        <f>SUM(I2141:I2156)</f>
        <v>36055604.390000008</v>
      </c>
      <c r="J2189" s="27">
        <f>SUM(J2141:J2156)</f>
        <v>36055604.390000008</v>
      </c>
      <c r="K2189" s="37" t="s">
        <v>2650</v>
      </c>
      <c r="L2189" s="119"/>
      <c r="M2189" s="3"/>
      <c r="N2189" s="3"/>
    </row>
    <row r="2190" spans="1:14" s="4" customFormat="1" ht="14.25" customHeight="1" x14ac:dyDescent="0.25">
      <c r="D2190" s="35"/>
      <c r="E2190" s="26" t="s">
        <v>3610</v>
      </c>
      <c r="F2190" s="28"/>
      <c r="G2190" s="28"/>
      <c r="H2190" s="26"/>
      <c r="I2190" s="27">
        <f>SUM(I2157:I2175)</f>
        <v>13136386.659999998</v>
      </c>
      <c r="J2190" s="27">
        <f>SUM(J2157:J2175)</f>
        <v>15071518.82</v>
      </c>
      <c r="K2190" s="37" t="s">
        <v>2650</v>
      </c>
      <c r="L2190" s="119"/>
      <c r="M2190" s="3"/>
    </row>
    <row r="2191" spans="1:14" s="4" customFormat="1" ht="14.25" customHeight="1" x14ac:dyDescent="0.25">
      <c r="D2191" s="35"/>
      <c r="E2191" s="26" t="s">
        <v>2028</v>
      </c>
      <c r="F2191" s="28"/>
      <c r="G2191" s="28"/>
      <c r="H2191" s="26"/>
      <c r="I2191" s="27">
        <f>SUM(I2176:I2178)</f>
        <v>146925.74</v>
      </c>
      <c r="J2191" s="27">
        <f>SUM(J2176:J2178)</f>
        <v>62357.63</v>
      </c>
      <c r="K2191" s="37" t="s">
        <v>2650</v>
      </c>
      <c r="L2191" s="119"/>
      <c r="M2191" s="3"/>
      <c r="N2191" s="3"/>
    </row>
    <row r="2192" spans="1:14" s="4" customFormat="1" ht="14.25" customHeight="1" x14ac:dyDescent="0.25">
      <c r="D2192" s="35"/>
      <c r="E2192" s="26" t="s">
        <v>2646</v>
      </c>
      <c r="F2192" s="28"/>
      <c r="G2192" s="28"/>
      <c r="H2192" s="26"/>
      <c r="I2192" s="27">
        <f>SUM(I2179:I2182)</f>
        <v>7215514.2200000007</v>
      </c>
      <c r="J2192" s="27">
        <f>SUM(J2179:J2182)</f>
        <v>7215514.2200000007</v>
      </c>
      <c r="K2192" s="37" t="s">
        <v>2650</v>
      </c>
      <c r="L2192" s="119"/>
      <c r="M2192" s="3"/>
    </row>
    <row r="2193" spans="1:13" s="4" customFormat="1" ht="14.25" customHeight="1" x14ac:dyDescent="0.25">
      <c r="D2193" s="35"/>
      <c r="E2193" s="26" t="s">
        <v>3611</v>
      </c>
      <c r="F2193" s="28"/>
      <c r="G2193" s="28"/>
      <c r="H2193" s="26"/>
      <c r="I2193" s="27">
        <f>SUM(I2183:I2192)</f>
        <v>108052419.48000002</v>
      </c>
      <c r="J2193" s="27">
        <f>SUM(J2183:J2192)</f>
        <v>102625475.72</v>
      </c>
      <c r="K2193" s="37" t="s">
        <v>2650</v>
      </c>
      <c r="L2193" s="119"/>
      <c r="M2193" s="3"/>
    </row>
    <row r="2194" spans="1:13" s="4" customFormat="1" ht="14.25" customHeight="1" x14ac:dyDescent="0.25">
      <c r="D2194" s="35"/>
      <c r="E2194" s="7"/>
      <c r="F2194" s="5"/>
      <c r="G2194" s="5"/>
      <c r="I2194" s="17"/>
      <c r="J2194" s="17"/>
      <c r="K2194" s="37"/>
      <c r="L2194" s="119"/>
      <c r="M2194" s="3"/>
    </row>
    <row r="2195" spans="1:13" s="4" customFormat="1" ht="14.25" customHeight="1" x14ac:dyDescent="0.25">
      <c r="A2195" s="4" t="s">
        <v>3612</v>
      </c>
      <c r="B2195" s="4" t="s">
        <v>13</v>
      </c>
      <c r="C2195" s="4" t="s">
        <v>14</v>
      </c>
      <c r="D2195" s="35">
        <v>3910</v>
      </c>
      <c r="E2195" s="4" t="s">
        <v>3613</v>
      </c>
      <c r="F2195" s="5">
        <v>39464</v>
      </c>
      <c r="G2195" s="5">
        <v>40330</v>
      </c>
      <c r="H2195" s="4" t="s">
        <v>16</v>
      </c>
      <c r="I2195" s="6">
        <v>181705.59</v>
      </c>
      <c r="J2195" s="6">
        <v>52296.4</v>
      </c>
      <c r="K2195" s="37" t="s">
        <v>3614</v>
      </c>
      <c r="L2195" s="119"/>
      <c r="M2195" s="3"/>
    </row>
    <row r="2196" spans="1:13" s="4" customFormat="1" ht="14.25" customHeight="1" x14ac:dyDescent="0.25">
      <c r="A2196" s="4" t="s">
        <v>2670</v>
      </c>
      <c r="B2196" s="4" t="s">
        <v>13</v>
      </c>
      <c r="C2196" s="4" t="s">
        <v>14</v>
      </c>
      <c r="D2196" s="35">
        <v>4174</v>
      </c>
      <c r="E2196" s="4" t="s">
        <v>3615</v>
      </c>
      <c r="F2196" s="5">
        <v>39847</v>
      </c>
      <c r="G2196" s="5">
        <v>39933</v>
      </c>
      <c r="H2196" s="4" t="s">
        <v>16</v>
      </c>
      <c r="I2196" s="6">
        <v>22243</v>
      </c>
      <c r="J2196" s="6">
        <v>6673</v>
      </c>
      <c r="K2196" s="37" t="s">
        <v>3614</v>
      </c>
      <c r="L2196" s="119"/>
      <c r="M2196" s="3"/>
    </row>
    <row r="2197" spans="1:13" s="4" customFormat="1" ht="14.25" customHeight="1" x14ac:dyDescent="0.25">
      <c r="A2197" s="4" t="s">
        <v>3616</v>
      </c>
      <c r="B2197" s="4" t="s">
        <v>13</v>
      </c>
      <c r="C2197" s="4" t="s">
        <v>14</v>
      </c>
      <c r="D2197" s="35">
        <v>4184</v>
      </c>
      <c r="E2197" s="4" t="s">
        <v>3617</v>
      </c>
      <c r="F2197" s="5">
        <v>39961</v>
      </c>
      <c r="G2197" s="5">
        <v>40269</v>
      </c>
      <c r="H2197" s="4" t="s">
        <v>16</v>
      </c>
      <c r="I2197" s="6">
        <v>60258</v>
      </c>
      <c r="J2197" s="6">
        <v>14400</v>
      </c>
      <c r="K2197" s="37" t="s">
        <v>3614</v>
      </c>
      <c r="L2197" s="119"/>
      <c r="M2197" s="3"/>
    </row>
    <row r="2198" spans="1:13" s="4" customFormat="1" ht="14.25" customHeight="1" x14ac:dyDescent="0.25">
      <c r="A2198" s="4" t="s">
        <v>3618</v>
      </c>
      <c r="B2198" s="4" t="s">
        <v>13</v>
      </c>
      <c r="C2198" s="4" t="s">
        <v>14</v>
      </c>
      <c r="D2198" s="35">
        <v>4190</v>
      </c>
      <c r="E2198" s="4" t="s">
        <v>3619</v>
      </c>
      <c r="F2198" s="5">
        <v>39966</v>
      </c>
      <c r="G2198" s="5">
        <v>40332</v>
      </c>
      <c r="H2198" s="4" t="s">
        <v>16</v>
      </c>
      <c r="I2198" s="6">
        <v>8500</v>
      </c>
      <c r="J2198" s="6">
        <v>3400</v>
      </c>
      <c r="K2198" s="37" t="s">
        <v>3614</v>
      </c>
      <c r="L2198" s="119"/>
      <c r="M2198" s="3"/>
    </row>
    <row r="2199" spans="1:13" s="4" customFormat="1" ht="14.25" customHeight="1" x14ac:dyDescent="0.25">
      <c r="A2199" s="4" t="s">
        <v>3620</v>
      </c>
      <c r="B2199" s="4" t="s">
        <v>13</v>
      </c>
      <c r="C2199" s="4" t="s">
        <v>14</v>
      </c>
      <c r="D2199" s="35">
        <v>4191</v>
      </c>
      <c r="E2199" s="4" t="s">
        <v>3621</v>
      </c>
      <c r="F2199" s="5">
        <v>39522</v>
      </c>
      <c r="G2199" s="5">
        <v>39805</v>
      </c>
      <c r="H2199" s="4" t="s">
        <v>16</v>
      </c>
      <c r="I2199" s="6">
        <v>61960.57</v>
      </c>
      <c r="J2199" s="6">
        <v>18588.169999999998</v>
      </c>
      <c r="K2199" s="37" t="s">
        <v>3614</v>
      </c>
      <c r="L2199" s="119"/>
      <c r="M2199" s="3"/>
    </row>
    <row r="2200" spans="1:13" s="4" customFormat="1" ht="14.25" customHeight="1" x14ac:dyDescent="0.25">
      <c r="A2200" s="4" t="s">
        <v>3622</v>
      </c>
      <c r="B2200" s="4" t="s">
        <v>13</v>
      </c>
      <c r="C2200" s="4" t="s">
        <v>14</v>
      </c>
      <c r="D2200" s="35">
        <v>9948</v>
      </c>
      <c r="E2200" s="4" t="s">
        <v>3623</v>
      </c>
      <c r="F2200" s="5">
        <v>40197</v>
      </c>
      <c r="G2200" s="5">
        <v>40613</v>
      </c>
      <c r="H2200" s="4" t="s">
        <v>16</v>
      </c>
      <c r="I2200" s="6">
        <v>13000</v>
      </c>
      <c r="J2200" s="6">
        <v>3900</v>
      </c>
      <c r="K2200" s="37" t="s">
        <v>3614</v>
      </c>
      <c r="L2200" s="119"/>
      <c r="M2200" s="3"/>
    </row>
    <row r="2201" spans="1:13" s="4" customFormat="1" ht="14.25" customHeight="1" x14ac:dyDescent="0.25">
      <c r="A2201" s="4" t="s">
        <v>3624</v>
      </c>
      <c r="B2201" s="4" t="s">
        <v>13</v>
      </c>
      <c r="C2201" s="4" t="s">
        <v>14</v>
      </c>
      <c r="D2201" s="35">
        <v>9950</v>
      </c>
      <c r="E2201" s="4" t="s">
        <v>3625</v>
      </c>
      <c r="F2201" s="5">
        <v>40534</v>
      </c>
      <c r="G2201" s="5">
        <v>40709</v>
      </c>
      <c r="H2201" s="4" t="s">
        <v>16</v>
      </c>
      <c r="I2201" s="6">
        <v>8634.36</v>
      </c>
      <c r="J2201" s="6">
        <v>2590.31</v>
      </c>
      <c r="K2201" s="37" t="s">
        <v>3614</v>
      </c>
      <c r="L2201" s="119"/>
      <c r="M2201" s="3"/>
    </row>
    <row r="2202" spans="1:13" s="4" customFormat="1" ht="14.25" customHeight="1" x14ac:dyDescent="0.25">
      <c r="A2202" s="4" t="s">
        <v>3626</v>
      </c>
      <c r="B2202" s="4" t="s">
        <v>13</v>
      </c>
      <c r="C2202" s="4" t="s">
        <v>14</v>
      </c>
      <c r="D2202" s="35">
        <v>10055</v>
      </c>
      <c r="E2202" s="4" t="s">
        <v>3627</v>
      </c>
      <c r="F2202" s="5">
        <v>40353</v>
      </c>
      <c r="G2202" s="5">
        <v>40570</v>
      </c>
      <c r="H2202" s="4" t="s">
        <v>16</v>
      </c>
      <c r="I2202" s="6">
        <v>11650</v>
      </c>
      <c r="J2202" s="6">
        <v>3495</v>
      </c>
      <c r="K2202" s="37" t="s">
        <v>3614</v>
      </c>
      <c r="L2202" s="119"/>
      <c r="M2202" s="3"/>
    </row>
    <row r="2203" spans="1:13" s="4" customFormat="1" ht="14.25" customHeight="1" x14ac:dyDescent="0.25">
      <c r="A2203" s="4" t="s">
        <v>3628</v>
      </c>
      <c r="B2203" s="4" t="s">
        <v>13</v>
      </c>
      <c r="C2203" s="4" t="s">
        <v>14</v>
      </c>
      <c r="D2203" s="35">
        <v>10158</v>
      </c>
      <c r="E2203" s="4" t="s">
        <v>3629</v>
      </c>
      <c r="F2203" s="5">
        <v>40240</v>
      </c>
      <c r="G2203" s="5">
        <v>40533</v>
      </c>
      <c r="H2203" s="4" t="s">
        <v>16</v>
      </c>
      <c r="I2203" s="6">
        <v>57414</v>
      </c>
      <c r="J2203" s="6">
        <v>15210</v>
      </c>
      <c r="K2203" s="37" t="s">
        <v>3614</v>
      </c>
      <c r="L2203" s="119"/>
      <c r="M2203" s="3"/>
    </row>
    <row r="2204" spans="1:13" s="4" customFormat="1" ht="14.25" customHeight="1" x14ac:dyDescent="0.25">
      <c r="A2204" s="4" t="s">
        <v>3630</v>
      </c>
      <c r="B2204" s="4" t="s">
        <v>13</v>
      </c>
      <c r="C2204" s="4" t="s">
        <v>14</v>
      </c>
      <c r="D2204" s="35">
        <v>10226</v>
      </c>
      <c r="E2204" s="4" t="s">
        <v>3631</v>
      </c>
      <c r="F2204" s="5">
        <v>40470</v>
      </c>
      <c r="G2204" s="5">
        <v>40570</v>
      </c>
      <c r="H2204" s="4" t="s">
        <v>16</v>
      </c>
      <c r="I2204" s="6">
        <v>8850</v>
      </c>
      <c r="J2204" s="6">
        <v>2655</v>
      </c>
      <c r="K2204" s="37" t="s">
        <v>3614</v>
      </c>
      <c r="L2204" s="119"/>
      <c r="M2204" s="3"/>
    </row>
    <row r="2205" spans="1:13" s="4" customFormat="1" ht="14.25" customHeight="1" x14ac:dyDescent="0.25">
      <c r="A2205" s="4" t="s">
        <v>3632</v>
      </c>
      <c r="B2205" s="4" t="s">
        <v>11764</v>
      </c>
      <c r="C2205" s="4" t="s">
        <v>14</v>
      </c>
      <c r="D2205" s="35">
        <v>1007</v>
      </c>
      <c r="E2205" s="4" t="s">
        <v>3633</v>
      </c>
      <c r="F2205" s="5">
        <v>39140</v>
      </c>
      <c r="H2205" s="4" t="s">
        <v>40</v>
      </c>
      <c r="I2205" s="6">
        <v>120000</v>
      </c>
      <c r="J2205" s="6">
        <v>60000</v>
      </c>
      <c r="K2205" s="37" t="s">
        <v>3614</v>
      </c>
      <c r="L2205" s="120"/>
      <c r="M2205" s="3"/>
    </row>
    <row r="2206" spans="1:13" s="4" customFormat="1" ht="14.25" customHeight="1" x14ac:dyDescent="0.25">
      <c r="A2206" s="4" t="s">
        <v>3634</v>
      </c>
      <c r="B2206" s="4" t="s">
        <v>11764</v>
      </c>
      <c r="C2206" s="4" t="s">
        <v>14</v>
      </c>
      <c r="D2206" s="35">
        <v>1021</v>
      </c>
      <c r="E2206" s="4" t="s">
        <v>3635</v>
      </c>
      <c r="F2206" s="5">
        <v>39196</v>
      </c>
      <c r="H2206" s="4" t="s">
        <v>40</v>
      </c>
      <c r="I2206" s="6">
        <v>50000</v>
      </c>
      <c r="J2206" s="6">
        <v>25000</v>
      </c>
      <c r="K2206" s="37" t="s">
        <v>3614</v>
      </c>
      <c r="L2206" s="120"/>
      <c r="M2206" s="3"/>
    </row>
    <row r="2207" spans="1:13" s="4" customFormat="1" ht="14.25" customHeight="1" x14ac:dyDescent="0.25">
      <c r="A2207" s="4" t="s">
        <v>3636</v>
      </c>
      <c r="B2207" s="4" t="s">
        <v>11764</v>
      </c>
      <c r="C2207" s="4" t="s">
        <v>14</v>
      </c>
      <c r="D2207" s="35">
        <v>1053</v>
      </c>
      <c r="E2207" s="4" t="s">
        <v>3637</v>
      </c>
      <c r="F2207" s="5">
        <v>39105</v>
      </c>
      <c r="H2207" s="4" t="s">
        <v>40</v>
      </c>
      <c r="I2207" s="6">
        <v>81640</v>
      </c>
      <c r="J2207" s="6">
        <v>40820</v>
      </c>
      <c r="K2207" s="37" t="s">
        <v>3614</v>
      </c>
      <c r="L2207" s="120"/>
      <c r="M2207" s="3"/>
    </row>
    <row r="2208" spans="1:13" s="4" customFormat="1" ht="14.25" customHeight="1" x14ac:dyDescent="0.25">
      <c r="A2208" s="4" t="s">
        <v>3638</v>
      </c>
      <c r="B2208" s="4" t="s">
        <v>50</v>
      </c>
      <c r="C2208" s="4" t="s">
        <v>14</v>
      </c>
      <c r="D2208" s="35">
        <v>1054</v>
      </c>
      <c r="E2208" s="4" t="s">
        <v>3639</v>
      </c>
      <c r="F2208" s="5">
        <v>39196</v>
      </c>
      <c r="H2208" s="4" t="s">
        <v>40</v>
      </c>
      <c r="I2208" s="6">
        <v>39181.78</v>
      </c>
      <c r="J2208" s="6">
        <v>19590.89</v>
      </c>
      <c r="K2208" s="37" t="s">
        <v>3614</v>
      </c>
      <c r="L2208" s="120"/>
      <c r="M2208" s="3"/>
    </row>
    <row r="2209" spans="1:13" s="4" customFormat="1" ht="14.25" customHeight="1" x14ac:dyDescent="0.25">
      <c r="A2209" s="4" t="s">
        <v>3640</v>
      </c>
      <c r="B2209" s="4" t="s">
        <v>59</v>
      </c>
      <c r="C2209" s="4" t="s">
        <v>14</v>
      </c>
      <c r="D2209" s="35">
        <v>1055</v>
      </c>
      <c r="E2209" s="4" t="s">
        <v>3641</v>
      </c>
      <c r="F2209" s="5">
        <v>39287</v>
      </c>
      <c r="H2209" s="4" t="s">
        <v>40</v>
      </c>
      <c r="I2209" s="6">
        <v>3750</v>
      </c>
      <c r="J2209" s="6">
        <v>3750</v>
      </c>
      <c r="K2209" s="37" t="s">
        <v>3614</v>
      </c>
      <c r="L2209" s="120"/>
      <c r="M2209" s="3"/>
    </row>
    <row r="2210" spans="1:13" s="4" customFormat="1" ht="14.25" customHeight="1" x14ac:dyDescent="0.25">
      <c r="A2210" s="4" t="s">
        <v>3642</v>
      </c>
      <c r="B2210" s="4" t="s">
        <v>11764</v>
      </c>
      <c r="C2210" s="4" t="s">
        <v>14</v>
      </c>
      <c r="D2210" s="35">
        <v>1056</v>
      </c>
      <c r="E2210" s="4" t="s">
        <v>3643</v>
      </c>
      <c r="F2210" s="5">
        <v>39140</v>
      </c>
      <c r="H2210" s="4" t="s">
        <v>40</v>
      </c>
      <c r="I2210" s="6">
        <v>160000</v>
      </c>
      <c r="J2210" s="6">
        <v>80000</v>
      </c>
      <c r="K2210" s="37" t="s">
        <v>3614</v>
      </c>
      <c r="L2210" s="120"/>
      <c r="M2210" s="3"/>
    </row>
    <row r="2211" spans="1:13" s="4" customFormat="1" ht="14.25" customHeight="1" x14ac:dyDescent="0.25">
      <c r="A2211" s="4" t="s">
        <v>3644</v>
      </c>
      <c r="B2211" s="4" t="s">
        <v>11764</v>
      </c>
      <c r="C2211" s="4" t="s">
        <v>14</v>
      </c>
      <c r="D2211" s="35">
        <v>1057</v>
      </c>
      <c r="E2211" s="4" t="s">
        <v>3645</v>
      </c>
      <c r="F2211" s="5">
        <v>39105</v>
      </c>
      <c r="H2211" s="4" t="s">
        <v>40</v>
      </c>
      <c r="I2211" s="6">
        <v>150000</v>
      </c>
      <c r="J2211" s="6">
        <v>75000</v>
      </c>
      <c r="K2211" s="37" t="s">
        <v>3614</v>
      </c>
      <c r="L2211" s="120"/>
      <c r="M2211" s="3"/>
    </row>
    <row r="2212" spans="1:13" s="4" customFormat="1" ht="14.25" customHeight="1" x14ac:dyDescent="0.25">
      <c r="A2212" s="4" t="s">
        <v>3646</v>
      </c>
      <c r="B2212" s="4" t="s">
        <v>90</v>
      </c>
      <c r="C2212" s="4" t="s">
        <v>14</v>
      </c>
      <c r="D2212" s="35">
        <v>1071</v>
      </c>
      <c r="E2212" s="4" t="s">
        <v>3647</v>
      </c>
      <c r="F2212" s="5">
        <v>39140</v>
      </c>
      <c r="H2212" s="4" t="s">
        <v>40</v>
      </c>
      <c r="I2212" s="6">
        <v>10000</v>
      </c>
      <c r="J2212" s="6">
        <v>5000</v>
      </c>
      <c r="K2212" s="37" t="s">
        <v>3614</v>
      </c>
      <c r="L2212" s="120"/>
      <c r="M2212" s="3"/>
    </row>
    <row r="2213" spans="1:13" s="4" customFormat="1" ht="14.25" customHeight="1" x14ac:dyDescent="0.25">
      <c r="A2213" s="4" t="s">
        <v>3648</v>
      </c>
      <c r="B2213" s="4" t="s">
        <v>50</v>
      </c>
      <c r="C2213" s="4" t="s">
        <v>14</v>
      </c>
      <c r="D2213" s="35">
        <v>1081</v>
      </c>
      <c r="E2213" s="4" t="s">
        <v>3649</v>
      </c>
      <c r="F2213" s="5">
        <v>39196</v>
      </c>
      <c r="H2213" s="4" t="s">
        <v>40</v>
      </c>
      <c r="I2213" s="6">
        <v>123022</v>
      </c>
      <c r="J2213" s="6">
        <v>61511</v>
      </c>
      <c r="K2213" s="37" t="s">
        <v>3614</v>
      </c>
      <c r="L2213" s="120"/>
      <c r="M2213" s="3"/>
    </row>
    <row r="2214" spans="1:13" s="4" customFormat="1" ht="14.25" customHeight="1" x14ac:dyDescent="0.25">
      <c r="A2214" s="4" t="s">
        <v>3650</v>
      </c>
      <c r="B2214" s="4" t="s">
        <v>50</v>
      </c>
      <c r="C2214" s="4" t="s">
        <v>14</v>
      </c>
      <c r="D2214" s="35">
        <v>1083</v>
      </c>
      <c r="E2214" s="4" t="s">
        <v>3651</v>
      </c>
      <c r="F2214" s="5">
        <v>39287</v>
      </c>
      <c r="H2214" s="4" t="s">
        <v>40</v>
      </c>
      <c r="I2214" s="6">
        <v>34600</v>
      </c>
      <c r="J2214" s="6">
        <v>17300</v>
      </c>
      <c r="K2214" s="37" t="s">
        <v>3614</v>
      </c>
      <c r="L2214" s="120"/>
      <c r="M2214" s="3"/>
    </row>
    <row r="2215" spans="1:13" s="4" customFormat="1" ht="14.25" customHeight="1" x14ac:dyDescent="0.25">
      <c r="A2215" s="4" t="s">
        <v>3652</v>
      </c>
      <c r="B2215" s="4" t="s">
        <v>90</v>
      </c>
      <c r="C2215" s="4" t="s">
        <v>14</v>
      </c>
      <c r="D2215" s="35">
        <v>1089</v>
      </c>
      <c r="E2215" s="4" t="s">
        <v>3653</v>
      </c>
      <c r="F2215" s="5">
        <v>39168</v>
      </c>
      <c r="H2215" s="4" t="s">
        <v>40</v>
      </c>
      <c r="I2215" s="6">
        <v>10200</v>
      </c>
      <c r="J2215" s="6">
        <v>5100</v>
      </c>
      <c r="K2215" s="37" t="s">
        <v>3614</v>
      </c>
      <c r="L2215" s="120"/>
      <c r="M2215" s="3"/>
    </row>
    <row r="2216" spans="1:13" s="4" customFormat="1" ht="14.25" customHeight="1" x14ac:dyDescent="0.25">
      <c r="A2216" s="4" t="s">
        <v>3654</v>
      </c>
      <c r="B2216" s="4" t="s">
        <v>50</v>
      </c>
      <c r="C2216" s="4" t="s">
        <v>14</v>
      </c>
      <c r="D2216" s="35">
        <v>1091</v>
      </c>
      <c r="E2216" s="4" t="s">
        <v>3655</v>
      </c>
      <c r="F2216" s="5">
        <v>39196</v>
      </c>
      <c r="H2216" s="4" t="s">
        <v>40</v>
      </c>
      <c r="I2216" s="6">
        <v>62368.6</v>
      </c>
      <c r="J2216" s="6">
        <v>31184.3</v>
      </c>
      <c r="K2216" s="37" t="s">
        <v>3614</v>
      </c>
      <c r="L2216" s="120"/>
      <c r="M2216" s="3"/>
    </row>
    <row r="2217" spans="1:13" s="4" customFormat="1" ht="14.25" customHeight="1" x14ac:dyDescent="0.25">
      <c r="A2217" s="4" t="s">
        <v>3656</v>
      </c>
      <c r="B2217" s="4" t="s">
        <v>59</v>
      </c>
      <c r="C2217" s="4" t="s">
        <v>14</v>
      </c>
      <c r="D2217" s="35">
        <v>1092</v>
      </c>
      <c r="E2217" s="4" t="s">
        <v>3657</v>
      </c>
      <c r="F2217" s="5">
        <v>39350</v>
      </c>
      <c r="H2217" s="4" t="s">
        <v>40</v>
      </c>
      <c r="I2217" s="6">
        <v>3750</v>
      </c>
      <c r="J2217" s="6">
        <v>3750</v>
      </c>
      <c r="K2217" s="37" t="s">
        <v>3614</v>
      </c>
      <c r="L2217" s="120"/>
      <c r="M2217" s="3"/>
    </row>
    <row r="2218" spans="1:13" s="4" customFormat="1" ht="14.25" customHeight="1" x14ac:dyDescent="0.25">
      <c r="A2218" s="4" t="s">
        <v>3658</v>
      </c>
      <c r="B2218" s="4" t="s">
        <v>59</v>
      </c>
      <c r="C2218" s="4" t="s">
        <v>14</v>
      </c>
      <c r="D2218" s="35">
        <v>1095</v>
      </c>
      <c r="E2218" s="4" t="s">
        <v>3659</v>
      </c>
      <c r="F2218" s="5">
        <v>39350</v>
      </c>
      <c r="H2218" s="4" t="s">
        <v>40</v>
      </c>
      <c r="I2218" s="6">
        <v>18750</v>
      </c>
      <c r="J2218" s="6">
        <v>18750</v>
      </c>
      <c r="K2218" s="37" t="s">
        <v>3614</v>
      </c>
      <c r="L2218" s="120"/>
      <c r="M2218" s="3"/>
    </row>
    <row r="2219" spans="1:13" s="4" customFormat="1" ht="14.25" customHeight="1" x14ac:dyDescent="0.25">
      <c r="A2219" s="4" t="s">
        <v>3660</v>
      </c>
      <c r="B2219" s="4" t="s">
        <v>59</v>
      </c>
      <c r="C2219" s="4" t="s">
        <v>14</v>
      </c>
      <c r="D2219" s="35">
        <v>1101</v>
      </c>
      <c r="E2219" s="4" t="s">
        <v>3187</v>
      </c>
      <c r="F2219" s="5">
        <v>39350</v>
      </c>
      <c r="H2219" s="4" t="s">
        <v>40</v>
      </c>
      <c r="I2219" s="6">
        <v>18750</v>
      </c>
      <c r="J2219" s="6">
        <v>18750</v>
      </c>
      <c r="K2219" s="37" t="s">
        <v>3614</v>
      </c>
      <c r="L2219" s="120"/>
      <c r="M2219" s="3"/>
    </row>
    <row r="2220" spans="1:13" s="4" customFormat="1" ht="14.25" customHeight="1" x14ac:dyDescent="0.25">
      <c r="A2220" s="4" t="s">
        <v>3661</v>
      </c>
      <c r="B2220" s="4" t="s">
        <v>90</v>
      </c>
      <c r="C2220" s="4" t="s">
        <v>14</v>
      </c>
      <c r="D2220" s="35">
        <v>1105</v>
      </c>
      <c r="E2220" s="4" t="s">
        <v>3662</v>
      </c>
      <c r="F2220" s="5">
        <v>39196</v>
      </c>
      <c r="H2220" s="4" t="s">
        <v>40</v>
      </c>
      <c r="I2220" s="6">
        <v>5170</v>
      </c>
      <c r="J2220" s="6">
        <v>2585</v>
      </c>
      <c r="K2220" s="37" t="s">
        <v>3614</v>
      </c>
      <c r="L2220" s="120"/>
      <c r="M2220" s="3"/>
    </row>
    <row r="2221" spans="1:13" s="4" customFormat="1" ht="14.25" customHeight="1" x14ac:dyDescent="0.25">
      <c r="A2221" s="4" t="s">
        <v>3667</v>
      </c>
      <c r="B2221" s="4" t="s">
        <v>90</v>
      </c>
      <c r="C2221" s="4" t="s">
        <v>14</v>
      </c>
      <c r="D2221" s="35">
        <v>1160</v>
      </c>
      <c r="E2221" s="4" t="s">
        <v>3668</v>
      </c>
      <c r="F2221" s="5">
        <v>39196</v>
      </c>
      <c r="H2221" s="4" t="s">
        <v>40</v>
      </c>
      <c r="I2221" s="6">
        <v>7920</v>
      </c>
      <c r="J2221" s="6">
        <v>3960</v>
      </c>
      <c r="K2221" s="37" t="s">
        <v>3614</v>
      </c>
      <c r="L2221" s="120"/>
      <c r="M2221" s="3"/>
    </row>
    <row r="2222" spans="1:13" s="4" customFormat="1" ht="14.25" customHeight="1" x14ac:dyDescent="0.25">
      <c r="A2222" s="4" t="s">
        <v>3669</v>
      </c>
      <c r="B2222" s="4" t="s">
        <v>11764</v>
      </c>
      <c r="C2222" s="4" t="s">
        <v>14</v>
      </c>
      <c r="D2222" s="35">
        <v>1166</v>
      </c>
      <c r="E2222" s="4" t="s">
        <v>3670</v>
      </c>
      <c r="F2222" s="5">
        <v>39259</v>
      </c>
      <c r="H2222" s="4" t="s">
        <v>40</v>
      </c>
      <c r="I2222" s="6">
        <v>66405.62</v>
      </c>
      <c r="J2222" s="6">
        <v>33202.81</v>
      </c>
      <c r="K2222" s="37" t="s">
        <v>3614</v>
      </c>
      <c r="L2222" s="120"/>
      <c r="M2222" s="3"/>
    </row>
    <row r="2223" spans="1:13" s="4" customFormat="1" ht="14.25" customHeight="1" x14ac:dyDescent="0.25">
      <c r="A2223" s="4" t="s">
        <v>3671</v>
      </c>
      <c r="B2223" s="4" t="s">
        <v>11764</v>
      </c>
      <c r="C2223" s="4" t="s">
        <v>14</v>
      </c>
      <c r="D2223" s="35">
        <v>1267</v>
      </c>
      <c r="E2223" s="4" t="s">
        <v>3672</v>
      </c>
      <c r="F2223" s="5">
        <v>39623</v>
      </c>
      <c r="H2223" s="4" t="s">
        <v>40</v>
      </c>
      <c r="I2223" s="6">
        <v>50000</v>
      </c>
      <c r="J2223" s="6">
        <v>25000</v>
      </c>
      <c r="K2223" s="37" t="s">
        <v>3614</v>
      </c>
      <c r="L2223" s="120"/>
      <c r="M2223" s="3"/>
    </row>
    <row r="2224" spans="1:13" s="4" customFormat="1" ht="14.25" customHeight="1" x14ac:dyDescent="0.25">
      <c r="A2224" s="4" t="s">
        <v>3673</v>
      </c>
      <c r="B2224" s="4" t="s">
        <v>90</v>
      </c>
      <c r="C2224" s="4" t="s">
        <v>14</v>
      </c>
      <c r="D2224" s="35">
        <v>1284</v>
      </c>
      <c r="E2224" s="4" t="s">
        <v>3674</v>
      </c>
      <c r="F2224" s="5">
        <v>39287</v>
      </c>
      <c r="H2224" s="4" t="s">
        <v>40</v>
      </c>
      <c r="I2224" s="6">
        <v>3662</v>
      </c>
      <c r="J2224" s="6">
        <v>1831</v>
      </c>
      <c r="K2224" s="37" t="s">
        <v>3614</v>
      </c>
      <c r="L2224" s="120"/>
      <c r="M2224" s="3"/>
    </row>
    <row r="2225" spans="1:13" s="4" customFormat="1" ht="14.25" customHeight="1" x14ac:dyDescent="0.25">
      <c r="A2225" s="4" t="s">
        <v>3675</v>
      </c>
      <c r="B2225" s="4" t="s">
        <v>50</v>
      </c>
      <c r="C2225" s="4" t="s">
        <v>14</v>
      </c>
      <c r="D2225" s="35">
        <v>1291</v>
      </c>
      <c r="E2225" s="4" t="s">
        <v>3187</v>
      </c>
      <c r="F2225" s="5">
        <v>39083</v>
      </c>
      <c r="H2225" s="4" t="s">
        <v>40</v>
      </c>
      <c r="I2225" s="6">
        <v>83732</v>
      </c>
      <c r="J2225" s="6">
        <v>41866</v>
      </c>
      <c r="K2225" s="37" t="s">
        <v>3614</v>
      </c>
      <c r="L2225" s="120"/>
      <c r="M2225" s="3"/>
    </row>
    <row r="2226" spans="1:13" s="4" customFormat="1" ht="14.25" customHeight="1" x14ac:dyDescent="0.25">
      <c r="A2226" s="4" t="s">
        <v>3676</v>
      </c>
      <c r="B2226" s="4" t="s">
        <v>90</v>
      </c>
      <c r="C2226" s="4" t="s">
        <v>14</v>
      </c>
      <c r="D2226" s="35">
        <v>1296</v>
      </c>
      <c r="E2226" s="4" t="s">
        <v>3635</v>
      </c>
      <c r="F2226" s="5">
        <v>39287</v>
      </c>
      <c r="H2226" s="4" t="s">
        <v>40</v>
      </c>
      <c r="I2226" s="6">
        <v>8720</v>
      </c>
      <c r="J2226" s="6">
        <v>4360</v>
      </c>
      <c r="K2226" s="37" t="s">
        <v>3614</v>
      </c>
      <c r="L2226" s="120"/>
      <c r="M2226" s="3"/>
    </row>
    <row r="2227" spans="1:13" s="4" customFormat="1" ht="14.25" customHeight="1" x14ac:dyDescent="0.25">
      <c r="A2227" s="4" t="s">
        <v>3677</v>
      </c>
      <c r="B2227" s="4" t="s">
        <v>90</v>
      </c>
      <c r="C2227" s="4" t="s">
        <v>14</v>
      </c>
      <c r="D2227" s="35">
        <v>1619</v>
      </c>
      <c r="E2227" s="4" t="s">
        <v>3678</v>
      </c>
      <c r="F2227" s="5">
        <v>39259</v>
      </c>
      <c r="H2227" s="4" t="s">
        <v>40</v>
      </c>
      <c r="I2227" s="6">
        <v>5884</v>
      </c>
      <c r="J2227" s="6">
        <v>2942</v>
      </c>
      <c r="K2227" s="37" t="s">
        <v>3614</v>
      </c>
      <c r="L2227" s="120"/>
      <c r="M2227" s="3"/>
    </row>
    <row r="2228" spans="1:13" s="4" customFormat="1" ht="14.25" customHeight="1" x14ac:dyDescent="0.25">
      <c r="A2228" s="4" t="s">
        <v>3679</v>
      </c>
      <c r="B2228" s="4" t="s">
        <v>90</v>
      </c>
      <c r="C2228" s="4" t="s">
        <v>14</v>
      </c>
      <c r="D2228" s="35">
        <v>1620</v>
      </c>
      <c r="E2228" s="4" t="s">
        <v>3680</v>
      </c>
      <c r="F2228" s="5">
        <v>39378</v>
      </c>
      <c r="H2228" s="4" t="s">
        <v>40</v>
      </c>
      <c r="I2228" s="6">
        <v>6000</v>
      </c>
      <c r="J2228" s="6">
        <v>3000</v>
      </c>
      <c r="K2228" s="37" t="s">
        <v>3614</v>
      </c>
      <c r="L2228" s="120"/>
      <c r="M2228" s="3"/>
    </row>
    <row r="2229" spans="1:13" s="4" customFormat="1" ht="14.25" customHeight="1" x14ac:dyDescent="0.25">
      <c r="A2229" s="4" t="s">
        <v>3681</v>
      </c>
      <c r="B2229" s="4" t="s">
        <v>59</v>
      </c>
      <c r="C2229" s="4" t="s">
        <v>14</v>
      </c>
      <c r="D2229" s="35">
        <v>1622</v>
      </c>
      <c r="E2229" s="4" t="s">
        <v>3682</v>
      </c>
      <c r="F2229" s="5">
        <v>39434</v>
      </c>
      <c r="H2229" s="4" t="s">
        <v>40</v>
      </c>
      <c r="I2229" s="6">
        <v>15000</v>
      </c>
      <c r="J2229" s="6">
        <v>15000</v>
      </c>
      <c r="K2229" s="37" t="s">
        <v>3614</v>
      </c>
      <c r="L2229" s="120"/>
      <c r="M2229" s="3"/>
    </row>
    <row r="2230" spans="1:13" s="4" customFormat="1" ht="14.25" customHeight="1" x14ac:dyDescent="0.25">
      <c r="A2230" s="4" t="s">
        <v>3686</v>
      </c>
      <c r="B2230" s="4" t="s">
        <v>59</v>
      </c>
      <c r="C2230" s="4" t="s">
        <v>14</v>
      </c>
      <c r="D2230" s="35">
        <v>1631</v>
      </c>
      <c r="E2230" s="4" t="s">
        <v>3687</v>
      </c>
      <c r="F2230" s="5">
        <v>39469</v>
      </c>
      <c r="H2230" s="4" t="s">
        <v>40</v>
      </c>
      <c r="I2230" s="6">
        <v>7500</v>
      </c>
      <c r="J2230" s="6">
        <v>7500</v>
      </c>
      <c r="K2230" s="37" t="s">
        <v>3614</v>
      </c>
      <c r="L2230" s="120"/>
      <c r="M2230" s="3"/>
    </row>
    <row r="2231" spans="1:13" s="4" customFormat="1" ht="14.25" customHeight="1" x14ac:dyDescent="0.25">
      <c r="A2231" s="4" t="s">
        <v>3688</v>
      </c>
      <c r="B2231" s="4" t="s">
        <v>90</v>
      </c>
      <c r="C2231" s="4" t="s">
        <v>14</v>
      </c>
      <c r="D2231" s="35">
        <v>1635</v>
      </c>
      <c r="E2231" s="4" t="s">
        <v>3689</v>
      </c>
      <c r="F2231" s="5">
        <v>39413</v>
      </c>
      <c r="H2231" s="4" t="s">
        <v>40</v>
      </c>
      <c r="I2231" s="6">
        <v>4950</v>
      </c>
      <c r="J2231" s="6">
        <v>2475</v>
      </c>
      <c r="K2231" s="37" t="s">
        <v>3614</v>
      </c>
      <c r="L2231" s="120"/>
      <c r="M2231" s="3"/>
    </row>
    <row r="2232" spans="1:13" s="4" customFormat="1" ht="14.25" customHeight="1" x14ac:dyDescent="0.25">
      <c r="A2232" s="4" t="s">
        <v>3690</v>
      </c>
      <c r="B2232" s="4" t="s">
        <v>90</v>
      </c>
      <c r="C2232" s="4" t="s">
        <v>14</v>
      </c>
      <c r="D2232" s="35">
        <v>1636</v>
      </c>
      <c r="E2232" s="4" t="s">
        <v>3691</v>
      </c>
      <c r="F2232" s="5">
        <v>39469</v>
      </c>
      <c r="H2232" s="4" t="s">
        <v>40</v>
      </c>
      <c r="I2232" s="6">
        <v>9864</v>
      </c>
      <c r="J2232" s="6">
        <v>4932</v>
      </c>
      <c r="K2232" s="37" t="s">
        <v>3614</v>
      </c>
      <c r="L2232" s="120"/>
      <c r="M2232" s="3"/>
    </row>
    <row r="2233" spans="1:13" s="4" customFormat="1" ht="14.25" customHeight="1" x14ac:dyDescent="0.25">
      <c r="A2233" s="4" t="s">
        <v>3692</v>
      </c>
      <c r="B2233" s="4" t="s">
        <v>11764</v>
      </c>
      <c r="C2233" s="4" t="s">
        <v>14</v>
      </c>
      <c r="D2233" s="35">
        <v>1637</v>
      </c>
      <c r="E2233" s="4" t="s">
        <v>3693</v>
      </c>
      <c r="F2233" s="5">
        <v>39469</v>
      </c>
      <c r="H2233" s="4" t="s">
        <v>40</v>
      </c>
      <c r="I2233" s="6">
        <v>60000</v>
      </c>
      <c r="J2233" s="6">
        <v>30000</v>
      </c>
      <c r="K2233" s="37" t="s">
        <v>3614</v>
      </c>
      <c r="L2233" s="120"/>
      <c r="M2233" s="3"/>
    </row>
    <row r="2234" spans="1:13" s="4" customFormat="1" ht="14.25" customHeight="1" x14ac:dyDescent="0.25">
      <c r="A2234" s="4" t="s">
        <v>3694</v>
      </c>
      <c r="B2234" s="4" t="s">
        <v>11764</v>
      </c>
      <c r="C2234" s="4" t="s">
        <v>14</v>
      </c>
      <c r="D2234" s="35">
        <v>1638</v>
      </c>
      <c r="E2234" s="4" t="s">
        <v>3695</v>
      </c>
      <c r="F2234" s="5">
        <v>39469</v>
      </c>
      <c r="H2234" s="4" t="s">
        <v>40</v>
      </c>
      <c r="I2234" s="6">
        <v>80000</v>
      </c>
      <c r="J2234" s="6">
        <v>40000</v>
      </c>
      <c r="K2234" s="37" t="s">
        <v>3614</v>
      </c>
      <c r="L2234" s="120"/>
      <c r="M2234" s="3"/>
    </row>
    <row r="2235" spans="1:13" s="4" customFormat="1" ht="14.25" customHeight="1" x14ac:dyDescent="0.25">
      <c r="A2235" s="4" t="s">
        <v>3696</v>
      </c>
      <c r="B2235" s="4" t="s">
        <v>11764</v>
      </c>
      <c r="C2235" s="4" t="s">
        <v>14</v>
      </c>
      <c r="D2235" s="35">
        <v>1641</v>
      </c>
      <c r="E2235" s="4" t="s">
        <v>3697</v>
      </c>
      <c r="F2235" s="5">
        <v>39434</v>
      </c>
      <c r="H2235" s="4" t="s">
        <v>40</v>
      </c>
      <c r="I2235" s="6">
        <v>100000</v>
      </c>
      <c r="J2235" s="6">
        <v>50000</v>
      </c>
      <c r="K2235" s="37" t="s">
        <v>3614</v>
      </c>
      <c r="L2235" s="120"/>
      <c r="M2235" s="3"/>
    </row>
    <row r="2236" spans="1:13" s="4" customFormat="1" ht="14.25" customHeight="1" x14ac:dyDescent="0.25">
      <c r="A2236" s="4" t="s">
        <v>3702</v>
      </c>
      <c r="B2236" s="4" t="s">
        <v>90</v>
      </c>
      <c r="C2236" s="4" t="s">
        <v>14</v>
      </c>
      <c r="D2236" s="35">
        <v>1657</v>
      </c>
      <c r="E2236" s="4" t="s">
        <v>3703</v>
      </c>
      <c r="F2236" s="5">
        <v>39560</v>
      </c>
      <c r="H2236" s="4" t="s">
        <v>40</v>
      </c>
      <c r="I2236" s="6">
        <v>5746</v>
      </c>
      <c r="J2236" s="6">
        <v>2873</v>
      </c>
      <c r="K2236" s="37" t="s">
        <v>3614</v>
      </c>
      <c r="L2236" s="120"/>
      <c r="M2236" s="3"/>
    </row>
    <row r="2237" spans="1:13" s="4" customFormat="1" ht="14.25" customHeight="1" x14ac:dyDescent="0.25">
      <c r="A2237" s="4" t="s">
        <v>3704</v>
      </c>
      <c r="B2237" s="4" t="s">
        <v>90</v>
      </c>
      <c r="C2237" s="4" t="s">
        <v>14</v>
      </c>
      <c r="D2237" s="35">
        <v>1720</v>
      </c>
      <c r="E2237" s="4" t="s">
        <v>3705</v>
      </c>
      <c r="F2237" s="5">
        <v>39539</v>
      </c>
      <c r="H2237" s="4" t="s">
        <v>40</v>
      </c>
      <c r="I2237" s="6">
        <v>10200</v>
      </c>
      <c r="J2237" s="6">
        <v>5100</v>
      </c>
      <c r="K2237" s="37" t="s">
        <v>3614</v>
      </c>
      <c r="L2237" s="120"/>
      <c r="M2237" s="3"/>
    </row>
    <row r="2238" spans="1:13" s="4" customFormat="1" ht="14.25" customHeight="1" x14ac:dyDescent="0.25">
      <c r="A2238" s="4" t="s">
        <v>3706</v>
      </c>
      <c r="B2238" s="4" t="s">
        <v>90</v>
      </c>
      <c r="C2238" s="4" t="s">
        <v>14</v>
      </c>
      <c r="D2238" s="35">
        <v>1721</v>
      </c>
      <c r="E2238" s="4" t="s">
        <v>3707</v>
      </c>
      <c r="F2238" s="5">
        <v>39560</v>
      </c>
      <c r="H2238" s="4" t="s">
        <v>40</v>
      </c>
      <c r="I2238" s="6">
        <v>4692</v>
      </c>
      <c r="J2238" s="6">
        <v>2346</v>
      </c>
      <c r="K2238" s="37" t="s">
        <v>3614</v>
      </c>
      <c r="L2238" s="120"/>
      <c r="M2238" s="3"/>
    </row>
    <row r="2239" spans="1:13" s="4" customFormat="1" ht="14.25" customHeight="1" x14ac:dyDescent="0.25">
      <c r="A2239" s="4" t="s">
        <v>3708</v>
      </c>
      <c r="B2239" s="4" t="s">
        <v>90</v>
      </c>
      <c r="C2239" s="4" t="s">
        <v>14</v>
      </c>
      <c r="D2239" s="35">
        <v>1722</v>
      </c>
      <c r="E2239" s="4" t="s">
        <v>3709</v>
      </c>
      <c r="F2239" s="5">
        <v>39623</v>
      </c>
      <c r="H2239" s="4" t="s">
        <v>40</v>
      </c>
      <c r="I2239" s="6">
        <v>10200</v>
      </c>
      <c r="J2239" s="6">
        <v>5100</v>
      </c>
      <c r="K2239" s="37" t="s">
        <v>3614</v>
      </c>
      <c r="L2239" s="120"/>
      <c r="M2239" s="3"/>
    </row>
    <row r="2240" spans="1:13" s="4" customFormat="1" ht="14.25" customHeight="1" x14ac:dyDescent="0.25">
      <c r="A2240" s="4" t="s">
        <v>3710</v>
      </c>
      <c r="B2240" s="4" t="s">
        <v>90</v>
      </c>
      <c r="C2240" s="4" t="s">
        <v>14</v>
      </c>
      <c r="D2240" s="35">
        <v>1723</v>
      </c>
      <c r="E2240" s="4" t="s">
        <v>3711</v>
      </c>
      <c r="F2240" s="5">
        <v>39651</v>
      </c>
      <c r="H2240" s="4" t="s">
        <v>40</v>
      </c>
      <c r="I2240" s="6">
        <v>5172</v>
      </c>
      <c r="J2240" s="6">
        <v>2586</v>
      </c>
      <c r="K2240" s="37" t="s">
        <v>3614</v>
      </c>
      <c r="L2240" s="120"/>
      <c r="M2240" s="3"/>
    </row>
    <row r="2241" spans="1:13" s="4" customFormat="1" ht="14.25" customHeight="1" x14ac:dyDescent="0.25">
      <c r="A2241" s="4" t="s">
        <v>3712</v>
      </c>
      <c r="B2241" s="4" t="s">
        <v>38</v>
      </c>
      <c r="C2241" s="4" t="s">
        <v>14</v>
      </c>
      <c r="D2241" s="35">
        <v>2087</v>
      </c>
      <c r="E2241" s="4" t="s">
        <v>3713</v>
      </c>
      <c r="F2241" s="5">
        <v>39113</v>
      </c>
      <c r="H2241" s="4" t="s">
        <v>40</v>
      </c>
      <c r="I2241" s="6">
        <f>1612.47+1738.39+967.41+9600.45+7614.8</f>
        <v>21533.52</v>
      </c>
      <c r="J2241" s="6">
        <f>20566.11+967.41</f>
        <v>21533.52</v>
      </c>
      <c r="K2241" s="37" t="s">
        <v>3614</v>
      </c>
      <c r="L2241" s="120"/>
      <c r="M2241" s="3"/>
    </row>
    <row r="2242" spans="1:13" s="4" customFormat="1" ht="14.25" customHeight="1" x14ac:dyDescent="0.25">
      <c r="A2242" s="4" t="s">
        <v>3714</v>
      </c>
      <c r="B2242" s="4" t="s">
        <v>38</v>
      </c>
      <c r="C2242" s="4" t="s">
        <v>14</v>
      </c>
      <c r="D2242" s="35">
        <v>2174</v>
      </c>
      <c r="E2242" s="4" t="s">
        <v>3715</v>
      </c>
      <c r="F2242" s="5">
        <v>39113</v>
      </c>
      <c r="H2242" s="4" t="s">
        <v>40</v>
      </c>
      <c r="I2242" s="6">
        <f>62974.59+33251.09+66981.73+66584.16+29091.47</f>
        <v>258883.03999999998</v>
      </c>
      <c r="J2242" s="6">
        <f>192298.88+66584.16</f>
        <v>258883.04</v>
      </c>
      <c r="K2242" s="37" t="s">
        <v>3614</v>
      </c>
      <c r="L2242" s="120"/>
      <c r="M2242" s="3"/>
    </row>
    <row r="2243" spans="1:13" s="4" customFormat="1" ht="14.25" customHeight="1" x14ac:dyDescent="0.25">
      <c r="A2243" s="4" t="s">
        <v>3716</v>
      </c>
      <c r="B2243" s="4" t="s">
        <v>38</v>
      </c>
      <c r="C2243" s="4" t="s">
        <v>14</v>
      </c>
      <c r="D2243" s="35">
        <v>2179</v>
      </c>
      <c r="E2243" s="4" t="s">
        <v>3717</v>
      </c>
      <c r="F2243" s="5">
        <v>39113</v>
      </c>
      <c r="H2243" s="4" t="s">
        <v>40</v>
      </c>
      <c r="I2243" s="6">
        <f>33509.23+28780.63+30306.45+1158.51+44262.1</f>
        <v>138016.91999999998</v>
      </c>
      <c r="J2243" s="6">
        <f>107710.47+30306.45</f>
        <v>138016.92000000001</v>
      </c>
      <c r="K2243" s="37" t="s">
        <v>3614</v>
      </c>
      <c r="L2243" s="120"/>
      <c r="M2243" s="3"/>
    </row>
    <row r="2244" spans="1:13" s="4" customFormat="1" ht="14.25" customHeight="1" x14ac:dyDescent="0.25">
      <c r="A2244" s="4" t="s">
        <v>3718</v>
      </c>
      <c r="B2244" s="4" t="s">
        <v>38</v>
      </c>
      <c r="C2244" s="4" t="s">
        <v>14</v>
      </c>
      <c r="D2244" s="35">
        <v>2182</v>
      </c>
      <c r="E2244" s="4" t="s">
        <v>3719</v>
      </c>
      <c r="F2244" s="5">
        <v>39113</v>
      </c>
      <c r="H2244" s="4" t="s">
        <v>40</v>
      </c>
      <c r="I2244" s="6">
        <f>99887.6+898.56+5521.46+16402.57+54157.33</f>
        <v>176867.52000000002</v>
      </c>
      <c r="J2244" s="6">
        <f>175968.96+898.56</f>
        <v>176867.52</v>
      </c>
      <c r="K2244" s="37" t="s">
        <v>3614</v>
      </c>
      <c r="L2244" s="120"/>
      <c r="M2244" s="3"/>
    </row>
    <row r="2245" spans="1:13" s="4" customFormat="1" ht="14.25" customHeight="1" x14ac:dyDescent="0.25">
      <c r="A2245" s="4" t="s">
        <v>3720</v>
      </c>
      <c r="B2245" s="4" t="s">
        <v>38</v>
      </c>
      <c r="C2245" s="4" t="s">
        <v>14</v>
      </c>
      <c r="D2245" s="35">
        <v>2183</v>
      </c>
      <c r="E2245" s="4" t="s">
        <v>2285</v>
      </c>
      <c r="F2245" s="5">
        <v>39113</v>
      </c>
      <c r="H2245" s="4" t="s">
        <v>40</v>
      </c>
      <c r="I2245" s="6">
        <f>138411.96+55975.33+76751.89+40649.95+110023.33</f>
        <v>421812.46</v>
      </c>
      <c r="J2245" s="6">
        <f>345060.57+76751.89</f>
        <v>421812.46</v>
      </c>
      <c r="K2245" s="37" t="s">
        <v>3614</v>
      </c>
      <c r="L2245" s="120"/>
      <c r="M2245" s="3"/>
    </row>
    <row r="2246" spans="1:13" s="4" customFormat="1" ht="14.25" customHeight="1" x14ac:dyDescent="0.25">
      <c r="A2246" s="4" t="s">
        <v>3721</v>
      </c>
      <c r="B2246" s="4" t="s">
        <v>38</v>
      </c>
      <c r="C2246" s="4" t="s">
        <v>14</v>
      </c>
      <c r="D2246" s="35">
        <v>2185</v>
      </c>
      <c r="E2246" s="4" t="s">
        <v>3722</v>
      </c>
      <c r="F2246" s="5">
        <v>39113</v>
      </c>
      <c r="H2246" s="4" t="s">
        <v>40</v>
      </c>
      <c r="I2246" s="6">
        <f>30162.5+25141.47+4800+18350.85+53499.4</f>
        <v>131954.22</v>
      </c>
      <c r="J2246" s="6">
        <f>127154.22+4800</f>
        <v>131954.22</v>
      </c>
      <c r="K2246" s="37" t="s">
        <v>3614</v>
      </c>
      <c r="L2246" s="120"/>
      <c r="M2246" s="3"/>
    </row>
    <row r="2247" spans="1:13" s="4" customFormat="1" ht="14.25" customHeight="1" x14ac:dyDescent="0.25">
      <c r="A2247" s="4" t="s">
        <v>3723</v>
      </c>
      <c r="B2247" s="4" t="s">
        <v>38</v>
      </c>
      <c r="C2247" s="4" t="s">
        <v>14</v>
      </c>
      <c r="D2247" s="35">
        <v>2188</v>
      </c>
      <c r="E2247" s="4" t="s">
        <v>3724</v>
      </c>
      <c r="F2247" s="5">
        <v>39113</v>
      </c>
      <c r="H2247" s="4" t="s">
        <v>40</v>
      </c>
      <c r="I2247" s="6">
        <f>196109.14+31811.02+27448.44+79288.84</f>
        <v>334657.44</v>
      </c>
      <c r="J2247" s="6">
        <f>302846.42+31811.02</f>
        <v>334657.44</v>
      </c>
      <c r="K2247" s="37" t="s">
        <v>3614</v>
      </c>
      <c r="L2247" s="120"/>
      <c r="M2247" s="3"/>
    </row>
    <row r="2248" spans="1:13" s="4" customFormat="1" ht="14.25" customHeight="1" x14ac:dyDescent="0.25">
      <c r="A2248" s="4" t="s">
        <v>3725</v>
      </c>
      <c r="B2248" s="4" t="s">
        <v>38</v>
      </c>
      <c r="C2248" s="4" t="s">
        <v>14</v>
      </c>
      <c r="D2248" s="35">
        <v>2209</v>
      </c>
      <c r="E2248" s="4" t="s">
        <v>3726</v>
      </c>
      <c r="F2248" s="5">
        <v>39113</v>
      </c>
      <c r="H2248" s="4" t="s">
        <v>40</v>
      </c>
      <c r="I2248" s="6">
        <f>92069.03+25239.35+23239.03+5319.97-40178.53</f>
        <v>105688.85</v>
      </c>
      <c r="J2248" s="6">
        <f>80449.5+25239.35</f>
        <v>105688.85</v>
      </c>
      <c r="K2248" s="37" t="s">
        <v>3614</v>
      </c>
      <c r="L2248" s="120"/>
      <c r="M2248" s="3"/>
    </row>
    <row r="2249" spans="1:13" s="4" customFormat="1" ht="14.25" customHeight="1" x14ac:dyDescent="0.25">
      <c r="A2249" s="4" t="s">
        <v>3727</v>
      </c>
      <c r="B2249" s="4" t="s">
        <v>38</v>
      </c>
      <c r="C2249" s="4" t="s">
        <v>14</v>
      </c>
      <c r="D2249" s="35">
        <v>2219</v>
      </c>
      <c r="E2249" s="4" t="s">
        <v>3728</v>
      </c>
      <c r="F2249" s="5">
        <v>39113</v>
      </c>
      <c r="H2249" s="4" t="s">
        <v>40</v>
      </c>
      <c r="I2249" s="6">
        <f>65475.99+46621.63+33508.92+40455.49+28666.22</f>
        <v>214728.24999999997</v>
      </c>
      <c r="J2249" s="6">
        <f>174272.76+40455.49</f>
        <v>214728.25</v>
      </c>
      <c r="K2249" s="37" t="s">
        <v>3614</v>
      </c>
      <c r="L2249" s="120"/>
      <c r="M2249" s="3"/>
    </row>
    <row r="2250" spans="1:13" s="4" customFormat="1" ht="14.25" customHeight="1" x14ac:dyDescent="0.25">
      <c r="A2250" s="4" t="s">
        <v>3729</v>
      </c>
      <c r="B2250" s="4" t="s">
        <v>38</v>
      </c>
      <c r="C2250" s="4" t="s">
        <v>14</v>
      </c>
      <c r="D2250" s="35">
        <v>2225</v>
      </c>
      <c r="E2250" s="4" t="s">
        <v>3730</v>
      </c>
      <c r="F2250" s="5">
        <v>39113</v>
      </c>
      <c r="H2250" s="4" t="s">
        <v>40</v>
      </c>
      <c r="I2250" s="6">
        <f>36333.79+25633.87+4684.07+9369.55</f>
        <v>76021.280000000013</v>
      </c>
      <c r="J2250" s="6">
        <v>76021.279999999999</v>
      </c>
      <c r="K2250" s="37" t="s">
        <v>3614</v>
      </c>
      <c r="L2250" s="120"/>
      <c r="M2250" s="3"/>
    </row>
    <row r="2251" spans="1:13" s="4" customFormat="1" ht="14.25" customHeight="1" x14ac:dyDescent="0.25">
      <c r="A2251" s="4" t="s">
        <v>3731</v>
      </c>
      <c r="B2251" s="4" t="s">
        <v>38</v>
      </c>
      <c r="C2251" s="4" t="s">
        <v>14</v>
      </c>
      <c r="D2251" s="35">
        <v>2226</v>
      </c>
      <c r="E2251" s="4" t="s">
        <v>3732</v>
      </c>
      <c r="F2251" s="5">
        <v>39113</v>
      </c>
      <c r="H2251" s="4" t="s">
        <v>40</v>
      </c>
      <c r="I2251" s="6">
        <f>79709.18+147446.84+29768.14+60097.56+75844.63</f>
        <v>392866.35</v>
      </c>
      <c r="J2251" s="6">
        <f>332768.8+60097.56</f>
        <v>392866.36</v>
      </c>
      <c r="K2251" s="37" t="s">
        <v>3614</v>
      </c>
      <c r="L2251" s="120"/>
      <c r="M2251" s="3"/>
    </row>
    <row r="2252" spans="1:13" s="4" customFormat="1" ht="14.25" customHeight="1" x14ac:dyDescent="0.25">
      <c r="A2252" s="4" t="s">
        <v>3733</v>
      </c>
      <c r="B2252" s="4" t="s">
        <v>38</v>
      </c>
      <c r="C2252" s="4" t="s">
        <v>14</v>
      </c>
      <c r="D2252" s="35">
        <v>2228</v>
      </c>
      <c r="E2252" s="4" t="s">
        <v>3734</v>
      </c>
      <c r="F2252" s="5">
        <v>39113</v>
      </c>
      <c r="H2252" s="4" t="s">
        <v>40</v>
      </c>
      <c r="I2252" s="6">
        <f>45309.66+18010.18+69884.47+25752.78+23788.12</f>
        <v>182745.21</v>
      </c>
      <c r="J2252" s="6">
        <f>164735.56+18010.18</f>
        <v>182745.74</v>
      </c>
      <c r="K2252" s="37" t="s">
        <v>3614</v>
      </c>
      <c r="L2252" s="120"/>
      <c r="M2252" s="3"/>
    </row>
    <row r="2253" spans="1:13" s="4" customFormat="1" ht="14.25" customHeight="1" x14ac:dyDescent="0.25">
      <c r="A2253" s="4" t="s">
        <v>3735</v>
      </c>
      <c r="B2253" s="4" t="s">
        <v>59</v>
      </c>
      <c r="C2253" s="4" t="s">
        <v>14</v>
      </c>
      <c r="D2253" s="35">
        <v>3319</v>
      </c>
      <c r="E2253" s="4" t="s">
        <v>3736</v>
      </c>
      <c r="F2253" s="5">
        <v>39469</v>
      </c>
      <c r="H2253" s="4" t="s">
        <v>40</v>
      </c>
      <c r="I2253" s="6">
        <v>11250</v>
      </c>
      <c r="J2253" s="6">
        <v>11250</v>
      </c>
      <c r="K2253" s="37" t="s">
        <v>3614</v>
      </c>
      <c r="L2253" s="120"/>
      <c r="M2253" s="3"/>
    </row>
    <row r="2254" spans="1:13" s="4" customFormat="1" ht="14.25" customHeight="1" x14ac:dyDescent="0.25">
      <c r="A2254" s="4" t="s">
        <v>3737</v>
      </c>
      <c r="B2254" s="4" t="s">
        <v>90</v>
      </c>
      <c r="C2254" s="4" t="s">
        <v>14</v>
      </c>
      <c r="D2254" s="35">
        <v>3324</v>
      </c>
      <c r="E2254" s="4" t="s">
        <v>3738</v>
      </c>
      <c r="F2254" s="5">
        <v>39287</v>
      </c>
      <c r="H2254" s="4" t="s">
        <v>40</v>
      </c>
      <c r="I2254" s="6">
        <v>10200</v>
      </c>
      <c r="J2254" s="6">
        <v>5100</v>
      </c>
      <c r="K2254" s="37" t="s">
        <v>3614</v>
      </c>
      <c r="L2254" s="120"/>
      <c r="M2254" s="3"/>
    </row>
    <row r="2255" spans="1:13" s="4" customFormat="1" ht="14.25" customHeight="1" x14ac:dyDescent="0.25">
      <c r="A2255" s="4" t="s">
        <v>3739</v>
      </c>
      <c r="B2255" s="4" t="s">
        <v>38</v>
      </c>
      <c r="C2255" s="4" t="s">
        <v>14</v>
      </c>
      <c r="D2255" s="35">
        <v>3325</v>
      </c>
      <c r="E2255" s="4" t="s">
        <v>3740</v>
      </c>
      <c r="F2255" s="5">
        <v>39084</v>
      </c>
      <c r="H2255" s="4" t="s">
        <v>40</v>
      </c>
      <c r="I2255" s="6">
        <f>144195+57062.83+58345+58424.85+111908.03</f>
        <v>429935.70999999996</v>
      </c>
      <c r="J2255" s="6">
        <f>372872.88+57062.83</f>
        <v>429935.71</v>
      </c>
      <c r="K2255" s="37" t="s">
        <v>3614</v>
      </c>
      <c r="L2255" s="120"/>
      <c r="M2255" s="3"/>
    </row>
    <row r="2256" spans="1:13" s="4" customFormat="1" ht="14.25" customHeight="1" x14ac:dyDescent="0.25">
      <c r="A2256" s="4" t="s">
        <v>3741</v>
      </c>
      <c r="B2256" s="4" t="s">
        <v>59</v>
      </c>
      <c r="C2256" s="4" t="s">
        <v>14</v>
      </c>
      <c r="D2256" s="35">
        <v>3326</v>
      </c>
      <c r="E2256" s="4" t="s">
        <v>3651</v>
      </c>
      <c r="F2256" s="5">
        <v>39350</v>
      </c>
      <c r="H2256" s="4" t="s">
        <v>40</v>
      </c>
      <c r="I2256" s="6">
        <v>3750</v>
      </c>
      <c r="J2256" s="6">
        <v>3750</v>
      </c>
      <c r="K2256" s="37" t="s">
        <v>3614</v>
      </c>
      <c r="L2256" s="120"/>
      <c r="M2256" s="3"/>
    </row>
    <row r="2257" spans="1:13" s="4" customFormat="1" ht="14.25" customHeight="1" x14ac:dyDescent="0.25">
      <c r="A2257" s="4" t="s">
        <v>3742</v>
      </c>
      <c r="B2257" s="4" t="s">
        <v>38</v>
      </c>
      <c r="C2257" s="4" t="s">
        <v>14</v>
      </c>
      <c r="D2257" s="35">
        <v>3809</v>
      </c>
      <c r="E2257" s="4" t="s">
        <v>3743</v>
      </c>
      <c r="F2257" s="5">
        <v>39113</v>
      </c>
      <c r="H2257" s="4" t="s">
        <v>40</v>
      </c>
      <c r="I2257" s="6">
        <f>56637.5+29317.45+1205.29+16835.86+76582.48</f>
        <v>180578.58</v>
      </c>
      <c r="J2257" s="6">
        <f>179373.29+1205.29</f>
        <v>180578.58000000002</v>
      </c>
      <c r="K2257" s="37" t="s">
        <v>3614</v>
      </c>
      <c r="L2257" s="120"/>
      <c r="M2257" s="3"/>
    </row>
    <row r="2258" spans="1:13" s="4" customFormat="1" ht="14.25" customHeight="1" x14ac:dyDescent="0.25">
      <c r="A2258" s="4" t="s">
        <v>3744</v>
      </c>
      <c r="B2258" s="4" t="s">
        <v>38</v>
      </c>
      <c r="C2258" s="4" t="s">
        <v>14</v>
      </c>
      <c r="D2258" s="35">
        <v>3858</v>
      </c>
      <c r="E2258" s="4" t="s">
        <v>3745</v>
      </c>
      <c r="F2258" s="5">
        <v>39113</v>
      </c>
      <c r="H2258" s="4" t="s">
        <v>40</v>
      </c>
      <c r="I2258" s="6">
        <f>6619.85+4466.75+1600+6503.95+23518.25</f>
        <v>42708.800000000003</v>
      </c>
      <c r="J2258" s="6">
        <f>38242.05+4466.75</f>
        <v>42708.800000000003</v>
      </c>
      <c r="K2258" s="37" t="s">
        <v>3614</v>
      </c>
      <c r="L2258" s="120"/>
      <c r="M2258" s="3"/>
    </row>
    <row r="2259" spans="1:13" s="4" customFormat="1" ht="14.25" customHeight="1" x14ac:dyDescent="0.25">
      <c r="A2259" s="4" t="s">
        <v>3746</v>
      </c>
      <c r="B2259" s="4" t="s">
        <v>38</v>
      </c>
      <c r="C2259" s="4" t="s">
        <v>14</v>
      </c>
      <c r="D2259" s="35">
        <v>3862</v>
      </c>
      <c r="E2259" s="4" t="s">
        <v>3747</v>
      </c>
      <c r="F2259" s="5">
        <v>39113</v>
      </c>
      <c r="H2259" s="4" t="s">
        <v>40</v>
      </c>
      <c r="I2259" s="6">
        <f>14891.72+19629.51+1670.15</f>
        <v>36191.379999999997</v>
      </c>
      <c r="J2259" s="6">
        <f>34521.23+1670.15</f>
        <v>36191.380000000005</v>
      </c>
      <c r="K2259" s="37" t="s">
        <v>3614</v>
      </c>
      <c r="L2259" s="120"/>
      <c r="M2259" s="3"/>
    </row>
    <row r="2260" spans="1:13" s="4" customFormat="1" ht="14.25" customHeight="1" x14ac:dyDescent="0.25">
      <c r="A2260" s="4" t="s">
        <v>3748</v>
      </c>
      <c r="B2260" s="4" t="s">
        <v>38</v>
      </c>
      <c r="C2260" s="4" t="s">
        <v>14</v>
      </c>
      <c r="D2260" s="35">
        <v>3866</v>
      </c>
      <c r="E2260" s="4" t="s">
        <v>3749</v>
      </c>
      <c r="F2260" s="5">
        <v>39113</v>
      </c>
      <c r="H2260" s="4" t="s">
        <v>40</v>
      </c>
      <c r="I2260" s="6">
        <v>8627.44</v>
      </c>
      <c r="J2260" s="6">
        <v>8627.44</v>
      </c>
      <c r="K2260" s="37" t="s">
        <v>3614</v>
      </c>
      <c r="L2260" s="120"/>
      <c r="M2260" s="3"/>
    </row>
    <row r="2261" spans="1:13" s="4" customFormat="1" ht="14.25" customHeight="1" x14ac:dyDescent="0.25">
      <c r="A2261" s="4" t="s">
        <v>3750</v>
      </c>
      <c r="B2261" s="4" t="s">
        <v>38</v>
      </c>
      <c r="C2261" s="4" t="s">
        <v>14</v>
      </c>
      <c r="D2261" s="35">
        <v>3890</v>
      </c>
      <c r="E2261" s="4" t="s">
        <v>3751</v>
      </c>
      <c r="F2261" s="5">
        <v>39113</v>
      </c>
      <c r="H2261" s="4" t="s">
        <v>40</v>
      </c>
      <c r="I2261" s="6">
        <v>5724.81</v>
      </c>
      <c r="J2261" s="6">
        <v>5724.81</v>
      </c>
      <c r="K2261" s="37" t="s">
        <v>3614</v>
      </c>
      <c r="L2261" s="120"/>
      <c r="M2261" s="3"/>
    </row>
    <row r="2262" spans="1:13" s="4" customFormat="1" ht="14.25" customHeight="1" x14ac:dyDescent="0.25">
      <c r="A2262" s="4" t="s">
        <v>3752</v>
      </c>
      <c r="B2262" s="4" t="s">
        <v>38</v>
      </c>
      <c r="C2262" s="4" t="s">
        <v>14</v>
      </c>
      <c r="D2262" s="35">
        <v>3891</v>
      </c>
      <c r="E2262" s="4" t="s">
        <v>3753</v>
      </c>
      <c r="F2262" s="5">
        <v>39113</v>
      </c>
      <c r="H2262" s="4" t="s">
        <v>40</v>
      </c>
      <c r="I2262" s="6">
        <f>19333.79+820+1887.65+929+3426.98</f>
        <v>26397.420000000002</v>
      </c>
      <c r="J2262" s="6">
        <f>25577.42+820</f>
        <v>26397.42</v>
      </c>
      <c r="K2262" s="37" t="s">
        <v>3614</v>
      </c>
      <c r="L2262" s="120"/>
      <c r="M2262" s="3"/>
    </row>
    <row r="2263" spans="1:13" s="4" customFormat="1" ht="14.25" customHeight="1" x14ac:dyDescent="0.25">
      <c r="A2263" s="4" t="s">
        <v>3754</v>
      </c>
      <c r="B2263" s="4" t="s">
        <v>59</v>
      </c>
      <c r="C2263" s="4" t="s">
        <v>14</v>
      </c>
      <c r="D2263" s="35">
        <v>4139</v>
      </c>
      <c r="E2263" s="4" t="s">
        <v>3755</v>
      </c>
      <c r="F2263" s="5">
        <v>39469</v>
      </c>
      <c r="H2263" s="4" t="s">
        <v>40</v>
      </c>
      <c r="I2263" s="6">
        <v>22500</v>
      </c>
      <c r="J2263" s="6">
        <v>22500</v>
      </c>
      <c r="K2263" s="37" t="s">
        <v>3614</v>
      </c>
      <c r="L2263" s="120"/>
      <c r="M2263" s="3"/>
    </row>
    <row r="2264" spans="1:13" s="4" customFormat="1" ht="14.25" customHeight="1" x14ac:dyDescent="0.25">
      <c r="A2264" s="4" t="s">
        <v>3756</v>
      </c>
      <c r="B2264" s="4" t="s">
        <v>59</v>
      </c>
      <c r="C2264" s="4" t="s">
        <v>14</v>
      </c>
      <c r="D2264" s="35">
        <v>4759</v>
      </c>
      <c r="E2264" s="4" t="s">
        <v>3757</v>
      </c>
      <c r="F2264" s="5">
        <v>39756</v>
      </c>
      <c r="H2264" s="4" t="s">
        <v>40</v>
      </c>
      <c r="I2264" s="6">
        <v>7500</v>
      </c>
      <c r="J2264" s="6">
        <v>7500</v>
      </c>
      <c r="K2264" s="37" t="s">
        <v>3614</v>
      </c>
      <c r="L2264" s="120"/>
      <c r="M2264" s="3"/>
    </row>
    <row r="2265" spans="1:13" s="4" customFormat="1" ht="14.25" customHeight="1" x14ac:dyDescent="0.25">
      <c r="A2265" s="4" t="s">
        <v>3758</v>
      </c>
      <c r="B2265" s="4" t="s">
        <v>59</v>
      </c>
      <c r="C2265" s="4" t="s">
        <v>14</v>
      </c>
      <c r="D2265" s="35">
        <v>4760</v>
      </c>
      <c r="E2265" s="4" t="s">
        <v>3759</v>
      </c>
      <c r="F2265" s="5">
        <v>39791</v>
      </c>
      <c r="H2265" s="4" t="s">
        <v>40</v>
      </c>
      <c r="I2265" s="6">
        <v>3750</v>
      </c>
      <c r="J2265" s="6">
        <v>3750</v>
      </c>
      <c r="K2265" s="37" t="s">
        <v>3614</v>
      </c>
      <c r="L2265" s="120"/>
      <c r="M2265" s="3"/>
    </row>
    <row r="2266" spans="1:13" s="4" customFormat="1" ht="14.25" customHeight="1" x14ac:dyDescent="0.25">
      <c r="A2266" s="4" t="s">
        <v>3760</v>
      </c>
      <c r="B2266" s="4" t="s">
        <v>90</v>
      </c>
      <c r="C2266" s="4" t="s">
        <v>14</v>
      </c>
      <c r="D2266" s="35">
        <v>4761</v>
      </c>
      <c r="E2266" s="4" t="s">
        <v>3761</v>
      </c>
      <c r="F2266" s="5">
        <v>39791</v>
      </c>
      <c r="H2266" s="4" t="s">
        <v>40</v>
      </c>
      <c r="I2266" s="6">
        <v>5750</v>
      </c>
      <c r="J2266" s="6">
        <v>2875</v>
      </c>
      <c r="K2266" s="37" t="s">
        <v>3614</v>
      </c>
      <c r="L2266" s="120"/>
      <c r="M2266" s="3"/>
    </row>
    <row r="2267" spans="1:13" s="4" customFormat="1" ht="14.25" customHeight="1" x14ac:dyDescent="0.25">
      <c r="A2267" s="4" t="s">
        <v>3762</v>
      </c>
      <c r="B2267" s="4" t="s">
        <v>59</v>
      </c>
      <c r="C2267" s="4" t="s">
        <v>14</v>
      </c>
      <c r="D2267" s="35">
        <v>4851</v>
      </c>
      <c r="E2267" s="4" t="s">
        <v>3763</v>
      </c>
      <c r="F2267" s="5">
        <v>39959</v>
      </c>
      <c r="H2267" s="4" t="s">
        <v>40</v>
      </c>
      <c r="I2267" s="6">
        <v>3750</v>
      </c>
      <c r="J2267" s="6">
        <v>3750</v>
      </c>
      <c r="K2267" s="37" t="s">
        <v>3614</v>
      </c>
      <c r="L2267" s="120"/>
      <c r="M2267" s="3"/>
    </row>
    <row r="2268" spans="1:13" s="4" customFormat="1" ht="14.25" customHeight="1" x14ac:dyDescent="0.25">
      <c r="A2268" s="4" t="s">
        <v>3764</v>
      </c>
      <c r="B2268" s="4" t="s">
        <v>90</v>
      </c>
      <c r="C2268" s="4" t="s">
        <v>14</v>
      </c>
      <c r="D2268" s="35">
        <v>4852</v>
      </c>
      <c r="E2268" s="4" t="s">
        <v>3765</v>
      </c>
      <c r="F2268" s="5">
        <v>39840</v>
      </c>
      <c r="H2268" s="4" t="s">
        <v>40</v>
      </c>
      <c r="I2268" s="6">
        <v>10000</v>
      </c>
      <c r="J2268" s="6">
        <v>5000</v>
      </c>
      <c r="K2268" s="37" t="s">
        <v>3614</v>
      </c>
      <c r="L2268" s="120"/>
      <c r="M2268" s="3"/>
    </row>
    <row r="2269" spans="1:13" s="4" customFormat="1" ht="14.25" customHeight="1" x14ac:dyDescent="0.25">
      <c r="A2269" s="4" t="s">
        <v>3766</v>
      </c>
      <c r="B2269" s="4" t="s">
        <v>90</v>
      </c>
      <c r="C2269" s="4" t="s">
        <v>14</v>
      </c>
      <c r="D2269" s="35">
        <v>4853</v>
      </c>
      <c r="E2269" s="4" t="s">
        <v>3767</v>
      </c>
      <c r="F2269" s="5">
        <v>39868</v>
      </c>
      <c r="H2269" s="4" t="s">
        <v>40</v>
      </c>
      <c r="I2269" s="6">
        <v>10200</v>
      </c>
      <c r="J2269" s="6">
        <v>5100</v>
      </c>
      <c r="K2269" s="37" t="s">
        <v>3614</v>
      </c>
      <c r="L2269" s="120"/>
      <c r="M2269" s="3"/>
    </row>
    <row r="2270" spans="1:13" s="4" customFormat="1" ht="14.25" customHeight="1" x14ac:dyDescent="0.25">
      <c r="A2270" s="4" t="s">
        <v>3768</v>
      </c>
      <c r="B2270" s="4" t="s">
        <v>59</v>
      </c>
      <c r="C2270" s="4" t="s">
        <v>14</v>
      </c>
      <c r="D2270" s="35">
        <v>4863</v>
      </c>
      <c r="E2270" s="4" t="s">
        <v>3769</v>
      </c>
      <c r="F2270" s="5">
        <v>39987</v>
      </c>
      <c r="H2270" s="4" t="s">
        <v>40</v>
      </c>
      <c r="I2270" s="6">
        <v>7500</v>
      </c>
      <c r="J2270" s="6">
        <v>7500</v>
      </c>
      <c r="K2270" s="37" t="s">
        <v>3614</v>
      </c>
      <c r="L2270" s="120"/>
      <c r="M2270" s="3"/>
    </row>
    <row r="2271" spans="1:13" s="4" customFormat="1" ht="14.25" customHeight="1" x14ac:dyDescent="0.25">
      <c r="A2271" s="4" t="s">
        <v>3770</v>
      </c>
      <c r="B2271" s="4" t="s">
        <v>59</v>
      </c>
      <c r="C2271" s="4" t="s">
        <v>14</v>
      </c>
      <c r="D2271" s="35">
        <v>4923</v>
      </c>
      <c r="E2271" s="4" t="s">
        <v>3771</v>
      </c>
      <c r="F2271" s="5">
        <v>39987</v>
      </c>
      <c r="H2271" s="4" t="s">
        <v>40</v>
      </c>
      <c r="I2271" s="6">
        <v>7500</v>
      </c>
      <c r="J2271" s="6">
        <v>7500</v>
      </c>
      <c r="K2271" s="37" t="s">
        <v>3614</v>
      </c>
      <c r="L2271" s="120"/>
      <c r="M2271" s="3"/>
    </row>
    <row r="2272" spans="1:13" s="4" customFormat="1" ht="14.25" customHeight="1" x14ac:dyDescent="0.25">
      <c r="A2272" s="4" t="s">
        <v>3772</v>
      </c>
      <c r="B2272" s="4" t="s">
        <v>11764</v>
      </c>
      <c r="C2272" s="4" t="s">
        <v>14</v>
      </c>
      <c r="D2272" s="35">
        <v>4933</v>
      </c>
      <c r="E2272" s="4" t="s">
        <v>3773</v>
      </c>
      <c r="F2272" s="5">
        <v>40022</v>
      </c>
      <c r="H2272" s="4" t="s">
        <v>40</v>
      </c>
      <c r="I2272" s="6">
        <v>150000</v>
      </c>
      <c r="J2272" s="6">
        <v>75000</v>
      </c>
      <c r="K2272" s="37" t="s">
        <v>3614</v>
      </c>
      <c r="L2272" s="120"/>
      <c r="M2272" s="3"/>
    </row>
    <row r="2273" spans="1:13" s="4" customFormat="1" ht="14.25" customHeight="1" x14ac:dyDescent="0.25">
      <c r="A2273" s="4" t="s">
        <v>3774</v>
      </c>
      <c r="B2273" s="4" t="s">
        <v>90</v>
      </c>
      <c r="C2273" s="4" t="s">
        <v>14</v>
      </c>
      <c r="D2273" s="35">
        <v>4942</v>
      </c>
      <c r="E2273" s="4" t="s">
        <v>3775</v>
      </c>
      <c r="F2273" s="5">
        <v>39791</v>
      </c>
      <c r="H2273" s="4" t="s">
        <v>40</v>
      </c>
      <c r="I2273" s="6">
        <v>7096</v>
      </c>
      <c r="J2273" s="6">
        <v>3548</v>
      </c>
      <c r="K2273" s="37" t="s">
        <v>3614</v>
      </c>
      <c r="L2273" s="120"/>
      <c r="M2273" s="3"/>
    </row>
    <row r="2274" spans="1:13" s="4" customFormat="1" ht="14.25" customHeight="1" x14ac:dyDescent="0.25">
      <c r="A2274" s="4" t="s">
        <v>3778</v>
      </c>
      <c r="B2274" s="4" t="s">
        <v>90</v>
      </c>
      <c r="C2274" s="4" t="s">
        <v>14</v>
      </c>
      <c r="D2274" s="35">
        <v>4988</v>
      </c>
      <c r="E2274" s="4" t="s">
        <v>3779</v>
      </c>
      <c r="F2274" s="5">
        <v>39959</v>
      </c>
      <c r="H2274" s="4" t="s">
        <v>40</v>
      </c>
      <c r="I2274" s="6">
        <v>7060</v>
      </c>
      <c r="J2274" s="6">
        <v>3530</v>
      </c>
      <c r="K2274" s="37" t="s">
        <v>3614</v>
      </c>
      <c r="L2274" s="120"/>
      <c r="M2274" s="3"/>
    </row>
    <row r="2275" spans="1:13" s="4" customFormat="1" ht="14.25" customHeight="1" x14ac:dyDescent="0.25">
      <c r="A2275" s="4" t="s">
        <v>3780</v>
      </c>
      <c r="B2275" s="4" t="s">
        <v>90</v>
      </c>
      <c r="C2275" s="4" t="s">
        <v>14</v>
      </c>
      <c r="D2275" s="35">
        <v>4997</v>
      </c>
      <c r="E2275" s="4" t="s">
        <v>3781</v>
      </c>
      <c r="F2275" s="5">
        <v>39959</v>
      </c>
      <c r="H2275" s="4" t="s">
        <v>40</v>
      </c>
      <c r="I2275" s="6">
        <v>10200</v>
      </c>
      <c r="J2275" s="6">
        <v>5100</v>
      </c>
      <c r="K2275" s="37" t="s">
        <v>3614</v>
      </c>
      <c r="L2275" s="120"/>
      <c r="M2275" s="3"/>
    </row>
    <row r="2276" spans="1:13" s="4" customFormat="1" ht="14.25" customHeight="1" x14ac:dyDescent="0.25">
      <c r="A2276" s="4" t="s">
        <v>3782</v>
      </c>
      <c r="B2276" s="4" t="s">
        <v>11764</v>
      </c>
      <c r="C2276" s="4" t="s">
        <v>14</v>
      </c>
      <c r="D2276" s="35">
        <v>5004</v>
      </c>
      <c r="E2276" s="4" t="s">
        <v>3783</v>
      </c>
      <c r="F2276" s="5">
        <v>39896</v>
      </c>
      <c r="H2276" s="4" t="s">
        <v>40</v>
      </c>
      <c r="I2276" s="6">
        <v>60000</v>
      </c>
      <c r="J2276" s="6">
        <v>30000</v>
      </c>
      <c r="K2276" s="37" t="s">
        <v>3614</v>
      </c>
      <c r="L2276" s="120"/>
      <c r="M2276" s="3"/>
    </row>
    <row r="2277" spans="1:13" s="4" customFormat="1" ht="14.25" customHeight="1" x14ac:dyDescent="0.25">
      <c r="A2277" s="4" t="s">
        <v>3784</v>
      </c>
      <c r="B2277" s="4" t="s">
        <v>11764</v>
      </c>
      <c r="C2277" s="4" t="s">
        <v>14</v>
      </c>
      <c r="D2277" s="35">
        <v>5022</v>
      </c>
      <c r="E2277" s="4" t="s">
        <v>3785</v>
      </c>
      <c r="F2277" s="5">
        <v>39868</v>
      </c>
      <c r="H2277" s="4" t="s">
        <v>40</v>
      </c>
      <c r="I2277" s="6">
        <v>75000</v>
      </c>
      <c r="J2277" s="6">
        <v>37500</v>
      </c>
      <c r="K2277" s="37" t="s">
        <v>3614</v>
      </c>
      <c r="L2277" s="120"/>
      <c r="M2277" s="3"/>
    </row>
    <row r="2278" spans="1:13" s="4" customFormat="1" ht="14.25" customHeight="1" x14ac:dyDescent="0.25">
      <c r="A2278" s="4" t="s">
        <v>3786</v>
      </c>
      <c r="B2278" s="4" t="s">
        <v>90</v>
      </c>
      <c r="C2278" s="4" t="s">
        <v>14</v>
      </c>
      <c r="D2278" s="35">
        <v>5025</v>
      </c>
      <c r="E2278" s="4" t="s">
        <v>3787</v>
      </c>
      <c r="F2278" s="5">
        <v>39896</v>
      </c>
      <c r="H2278" s="4" t="s">
        <v>40</v>
      </c>
      <c r="I2278" s="6">
        <v>2600</v>
      </c>
      <c r="J2278" s="6">
        <v>1300</v>
      </c>
      <c r="K2278" s="37" t="s">
        <v>3614</v>
      </c>
      <c r="L2278" s="120"/>
      <c r="M2278" s="3"/>
    </row>
    <row r="2279" spans="1:13" s="4" customFormat="1" ht="14.25" customHeight="1" x14ac:dyDescent="0.25">
      <c r="A2279" s="4" t="s">
        <v>3788</v>
      </c>
      <c r="B2279" s="4" t="s">
        <v>90</v>
      </c>
      <c r="C2279" s="4" t="s">
        <v>14</v>
      </c>
      <c r="D2279" s="35">
        <v>5028</v>
      </c>
      <c r="E2279" s="4" t="s">
        <v>3789</v>
      </c>
      <c r="F2279" s="5">
        <v>39959</v>
      </c>
      <c r="H2279" s="4" t="s">
        <v>40</v>
      </c>
      <c r="I2279" s="6">
        <v>302</v>
      </c>
      <c r="J2279" s="6">
        <v>151</v>
      </c>
      <c r="K2279" s="37" t="s">
        <v>3614</v>
      </c>
      <c r="L2279" s="120"/>
      <c r="M2279" s="3"/>
    </row>
    <row r="2280" spans="1:13" s="4" customFormat="1" ht="14.25" customHeight="1" x14ac:dyDescent="0.25">
      <c r="A2280" s="4" t="s">
        <v>3790</v>
      </c>
      <c r="B2280" s="4" t="s">
        <v>38</v>
      </c>
      <c r="C2280" s="4" t="s">
        <v>14</v>
      </c>
      <c r="D2280" s="35">
        <v>5119</v>
      </c>
      <c r="E2280" s="4" t="s">
        <v>3791</v>
      </c>
      <c r="F2280" s="5">
        <v>39840</v>
      </c>
      <c r="H2280" s="4" t="s">
        <v>40</v>
      </c>
      <c r="I2280" s="6">
        <v>135548.87</v>
      </c>
      <c r="J2280" s="6">
        <f>123742.47+11806.4</f>
        <v>135548.87</v>
      </c>
      <c r="K2280" s="37" t="s">
        <v>3614</v>
      </c>
      <c r="L2280" s="120"/>
      <c r="M2280" s="3"/>
    </row>
    <row r="2281" spans="1:13" s="4" customFormat="1" ht="14.25" customHeight="1" x14ac:dyDescent="0.25">
      <c r="A2281" s="4" t="s">
        <v>3792</v>
      </c>
      <c r="B2281" s="4" t="s">
        <v>38</v>
      </c>
      <c r="C2281" s="4" t="s">
        <v>14</v>
      </c>
      <c r="D2281" s="35">
        <v>5172</v>
      </c>
      <c r="E2281" s="4" t="s">
        <v>3793</v>
      </c>
      <c r="F2281" s="5">
        <v>39840</v>
      </c>
      <c r="H2281" s="4" t="s">
        <v>40</v>
      </c>
      <c r="I2281" s="6">
        <v>47570.01</v>
      </c>
      <c r="J2281" s="6">
        <f>18211.54+29358.47</f>
        <v>47570.01</v>
      </c>
      <c r="K2281" s="37" t="s">
        <v>3614</v>
      </c>
      <c r="L2281" s="120"/>
      <c r="M2281" s="3"/>
    </row>
    <row r="2282" spans="1:13" s="4" customFormat="1" ht="14.25" customHeight="1" x14ac:dyDescent="0.25">
      <c r="A2282" s="4" t="s">
        <v>3794</v>
      </c>
      <c r="B2282" s="4" t="s">
        <v>38</v>
      </c>
      <c r="C2282" s="4" t="s">
        <v>14</v>
      </c>
      <c r="D2282" s="35">
        <v>5173</v>
      </c>
      <c r="E2282" s="4" t="s">
        <v>3795</v>
      </c>
      <c r="F2282" s="5">
        <v>39791</v>
      </c>
      <c r="H2282" s="4" t="s">
        <v>40</v>
      </c>
      <c r="I2282" s="6">
        <v>2833.51</v>
      </c>
      <c r="J2282" s="6">
        <v>2833.51</v>
      </c>
      <c r="K2282" s="37" t="s">
        <v>3614</v>
      </c>
      <c r="L2282" s="120"/>
      <c r="M2282" s="3"/>
    </row>
    <row r="2283" spans="1:13" s="4" customFormat="1" ht="14.25" customHeight="1" x14ac:dyDescent="0.25">
      <c r="A2283" s="4" t="s">
        <v>3796</v>
      </c>
      <c r="B2283" s="4" t="s">
        <v>59</v>
      </c>
      <c r="C2283" s="4" t="s">
        <v>14</v>
      </c>
      <c r="D2283" s="35">
        <v>7064</v>
      </c>
      <c r="E2283" s="4" t="s">
        <v>3797</v>
      </c>
      <c r="F2283" s="5">
        <v>40022</v>
      </c>
      <c r="H2283" s="4" t="s">
        <v>40</v>
      </c>
      <c r="I2283" s="6">
        <v>7500</v>
      </c>
      <c r="J2283" s="6">
        <v>7500</v>
      </c>
      <c r="K2283" s="37" t="s">
        <v>3614</v>
      </c>
      <c r="L2283" s="120"/>
      <c r="M2283" s="3"/>
    </row>
    <row r="2284" spans="1:13" s="4" customFormat="1" ht="14.25" customHeight="1" x14ac:dyDescent="0.25">
      <c r="A2284" s="4" t="s">
        <v>3800</v>
      </c>
      <c r="B2284" s="4" t="s">
        <v>59</v>
      </c>
      <c r="C2284" s="4" t="s">
        <v>14</v>
      </c>
      <c r="D2284" s="35">
        <v>7080</v>
      </c>
      <c r="E2284" s="4" t="s">
        <v>3801</v>
      </c>
      <c r="F2284" s="5">
        <v>40106</v>
      </c>
      <c r="H2284" s="4" t="s">
        <v>40</v>
      </c>
      <c r="I2284" s="6">
        <v>3750</v>
      </c>
      <c r="J2284" s="6">
        <v>3750</v>
      </c>
      <c r="K2284" s="37" t="s">
        <v>3614</v>
      </c>
      <c r="L2284" s="120"/>
      <c r="M2284" s="3"/>
    </row>
    <row r="2285" spans="1:13" s="4" customFormat="1" ht="14.25" customHeight="1" x14ac:dyDescent="0.25">
      <c r="A2285" s="4" t="s">
        <v>3802</v>
      </c>
      <c r="B2285" s="4" t="s">
        <v>59</v>
      </c>
      <c r="C2285" s="4" t="s">
        <v>14</v>
      </c>
      <c r="D2285" s="35">
        <v>7081</v>
      </c>
      <c r="E2285" s="4" t="s">
        <v>3803</v>
      </c>
      <c r="F2285" s="5">
        <v>40078</v>
      </c>
      <c r="H2285" s="4" t="s">
        <v>40</v>
      </c>
      <c r="I2285" s="6">
        <v>1875</v>
      </c>
      <c r="J2285" s="6">
        <v>1875</v>
      </c>
      <c r="K2285" s="37" t="s">
        <v>3614</v>
      </c>
      <c r="L2285" s="120"/>
      <c r="M2285" s="3"/>
    </row>
    <row r="2286" spans="1:13" s="4" customFormat="1" ht="14.25" customHeight="1" x14ac:dyDescent="0.25">
      <c r="A2286" s="4" t="s">
        <v>3804</v>
      </c>
      <c r="B2286" s="4" t="s">
        <v>183</v>
      </c>
      <c r="C2286" s="4" t="s">
        <v>14</v>
      </c>
      <c r="D2286" s="35">
        <v>7082</v>
      </c>
      <c r="E2286" s="4" t="s">
        <v>3805</v>
      </c>
      <c r="F2286" s="5">
        <v>40204</v>
      </c>
      <c r="H2286" s="4" t="s">
        <v>40</v>
      </c>
      <c r="I2286" s="6">
        <v>10762</v>
      </c>
      <c r="J2286" s="6">
        <v>5381</v>
      </c>
      <c r="K2286" s="37" t="s">
        <v>3614</v>
      </c>
      <c r="L2286" s="120"/>
      <c r="M2286" s="3"/>
    </row>
    <row r="2287" spans="1:13" s="4" customFormat="1" ht="14.25" customHeight="1" x14ac:dyDescent="0.25">
      <c r="A2287" s="4" t="s">
        <v>3808</v>
      </c>
      <c r="B2287" s="4" t="s">
        <v>183</v>
      </c>
      <c r="C2287" s="4" t="s">
        <v>14</v>
      </c>
      <c r="D2287" s="35">
        <v>7084</v>
      </c>
      <c r="E2287" s="4" t="s">
        <v>3809</v>
      </c>
      <c r="F2287" s="5">
        <v>40234</v>
      </c>
      <c r="H2287" s="4" t="s">
        <v>40</v>
      </c>
      <c r="I2287" s="6">
        <v>45000</v>
      </c>
      <c r="J2287" s="6">
        <v>30000</v>
      </c>
      <c r="K2287" s="37" t="s">
        <v>3614</v>
      </c>
      <c r="L2287" s="120"/>
      <c r="M2287" s="3"/>
    </row>
    <row r="2288" spans="1:13" s="4" customFormat="1" ht="14.25" customHeight="1" x14ac:dyDescent="0.25">
      <c r="A2288" s="4" t="s">
        <v>3810</v>
      </c>
      <c r="B2288" s="4" t="s">
        <v>90</v>
      </c>
      <c r="C2288" s="4" t="s">
        <v>14</v>
      </c>
      <c r="D2288" s="35">
        <v>7357</v>
      </c>
      <c r="E2288" s="4" t="s">
        <v>3811</v>
      </c>
      <c r="F2288" s="5">
        <v>40234</v>
      </c>
      <c r="H2288" s="4" t="s">
        <v>40</v>
      </c>
      <c r="I2288" s="6">
        <v>10000</v>
      </c>
      <c r="J2288" s="6">
        <v>5000</v>
      </c>
      <c r="K2288" s="37" t="s">
        <v>3614</v>
      </c>
      <c r="L2288" s="120"/>
      <c r="M2288" s="3"/>
    </row>
    <row r="2289" spans="1:13" s="4" customFormat="1" ht="14.25" customHeight="1" x14ac:dyDescent="0.25">
      <c r="A2289" s="4" t="s">
        <v>3812</v>
      </c>
      <c r="B2289" s="4" t="s">
        <v>90</v>
      </c>
      <c r="C2289" s="4" t="s">
        <v>14</v>
      </c>
      <c r="D2289" s="35">
        <v>7358</v>
      </c>
      <c r="E2289" s="4" t="s">
        <v>3813</v>
      </c>
      <c r="F2289" s="5">
        <v>40162</v>
      </c>
      <c r="H2289" s="4" t="s">
        <v>40</v>
      </c>
      <c r="I2289" s="6">
        <v>7310</v>
      </c>
      <c r="J2289" s="6">
        <v>3655</v>
      </c>
      <c r="K2289" s="37" t="s">
        <v>3614</v>
      </c>
      <c r="L2289" s="120"/>
      <c r="M2289" s="3"/>
    </row>
    <row r="2290" spans="1:13" s="4" customFormat="1" ht="14.25" customHeight="1" x14ac:dyDescent="0.25">
      <c r="A2290" s="4" t="s">
        <v>3814</v>
      </c>
      <c r="B2290" s="4" t="s">
        <v>90</v>
      </c>
      <c r="C2290" s="4" t="s">
        <v>14</v>
      </c>
      <c r="D2290" s="35">
        <v>7359</v>
      </c>
      <c r="E2290" s="4" t="s">
        <v>3815</v>
      </c>
      <c r="F2290" s="5">
        <v>40204</v>
      </c>
      <c r="H2290" s="4" t="s">
        <v>40</v>
      </c>
      <c r="I2290" s="6">
        <v>5000</v>
      </c>
      <c r="J2290" s="6">
        <v>2500</v>
      </c>
      <c r="K2290" s="37" t="s">
        <v>3614</v>
      </c>
      <c r="L2290" s="120"/>
      <c r="M2290" s="3"/>
    </row>
    <row r="2291" spans="1:13" s="4" customFormat="1" ht="14.25" customHeight="1" x14ac:dyDescent="0.25">
      <c r="A2291" s="4" t="s">
        <v>3816</v>
      </c>
      <c r="B2291" s="4" t="s">
        <v>90</v>
      </c>
      <c r="C2291" s="4" t="s">
        <v>14</v>
      </c>
      <c r="D2291" s="35">
        <v>7360</v>
      </c>
      <c r="E2291" s="4" t="s">
        <v>3817</v>
      </c>
      <c r="F2291" s="5">
        <v>40260</v>
      </c>
      <c r="H2291" s="4" t="s">
        <v>40</v>
      </c>
      <c r="I2291" s="6">
        <v>10000</v>
      </c>
      <c r="J2291" s="6">
        <v>5000</v>
      </c>
      <c r="K2291" s="37" t="s">
        <v>3614</v>
      </c>
      <c r="L2291" s="120"/>
      <c r="M2291" s="3"/>
    </row>
    <row r="2292" spans="1:13" s="4" customFormat="1" ht="14.25" customHeight="1" x14ac:dyDescent="0.25">
      <c r="A2292" s="4" t="s">
        <v>3818</v>
      </c>
      <c r="B2292" s="4" t="s">
        <v>90</v>
      </c>
      <c r="C2292" s="4" t="s">
        <v>14</v>
      </c>
      <c r="D2292" s="35">
        <v>7365</v>
      </c>
      <c r="E2292" s="4" t="s">
        <v>3819</v>
      </c>
      <c r="F2292" s="5">
        <v>40204</v>
      </c>
      <c r="H2292" s="4" t="s">
        <v>40</v>
      </c>
      <c r="I2292" s="6">
        <v>10450</v>
      </c>
      <c r="J2292" s="6">
        <v>5225</v>
      </c>
      <c r="K2292" s="37" t="s">
        <v>3614</v>
      </c>
      <c r="L2292" s="120"/>
      <c r="M2292" s="3"/>
    </row>
    <row r="2293" spans="1:13" s="4" customFormat="1" ht="14.25" customHeight="1" x14ac:dyDescent="0.25">
      <c r="A2293" s="4" t="s">
        <v>3820</v>
      </c>
      <c r="B2293" s="4" t="s">
        <v>183</v>
      </c>
      <c r="C2293" s="4" t="s">
        <v>14</v>
      </c>
      <c r="D2293" s="35">
        <v>7366</v>
      </c>
      <c r="E2293" s="4" t="s">
        <v>3821</v>
      </c>
      <c r="F2293" s="5">
        <v>40295</v>
      </c>
      <c r="H2293" s="4" t="s">
        <v>40</v>
      </c>
      <c r="I2293" s="6">
        <v>66953.759999999995</v>
      </c>
      <c r="J2293" s="6">
        <v>44348.88</v>
      </c>
      <c r="K2293" s="37" t="s">
        <v>3614</v>
      </c>
      <c r="L2293" s="120"/>
      <c r="M2293" s="3"/>
    </row>
    <row r="2294" spans="1:13" s="4" customFormat="1" ht="14.25" customHeight="1" x14ac:dyDescent="0.25">
      <c r="A2294" s="4" t="s">
        <v>3822</v>
      </c>
      <c r="B2294" s="4" t="s">
        <v>90</v>
      </c>
      <c r="C2294" s="4" t="s">
        <v>14</v>
      </c>
      <c r="D2294" s="35">
        <v>7367</v>
      </c>
      <c r="E2294" s="4" t="s">
        <v>3823</v>
      </c>
      <c r="F2294" s="5">
        <v>40260</v>
      </c>
      <c r="H2294" s="4" t="s">
        <v>40</v>
      </c>
      <c r="I2294" s="6">
        <v>4000</v>
      </c>
      <c r="J2294" s="6">
        <v>2000</v>
      </c>
      <c r="K2294" s="37" t="s">
        <v>3614</v>
      </c>
      <c r="L2294" s="120"/>
      <c r="M2294" s="3"/>
    </row>
    <row r="2295" spans="1:13" s="4" customFormat="1" ht="14.25" customHeight="1" x14ac:dyDescent="0.25">
      <c r="A2295" s="4" t="s">
        <v>3824</v>
      </c>
      <c r="B2295" s="4" t="s">
        <v>90</v>
      </c>
      <c r="C2295" s="4" t="s">
        <v>14</v>
      </c>
      <c r="D2295" s="35">
        <v>7368</v>
      </c>
      <c r="E2295" s="4" t="s">
        <v>3825</v>
      </c>
      <c r="F2295" s="5">
        <v>40260</v>
      </c>
      <c r="H2295" s="4" t="s">
        <v>40</v>
      </c>
      <c r="I2295" s="6">
        <v>2000</v>
      </c>
      <c r="J2295" s="6">
        <v>1000</v>
      </c>
      <c r="K2295" s="37" t="s">
        <v>3614</v>
      </c>
      <c r="L2295" s="120"/>
      <c r="M2295" s="3"/>
    </row>
    <row r="2296" spans="1:13" s="4" customFormat="1" ht="14.25" customHeight="1" x14ac:dyDescent="0.25">
      <c r="A2296" s="4" t="s">
        <v>3826</v>
      </c>
      <c r="B2296" s="4" t="s">
        <v>90</v>
      </c>
      <c r="C2296" s="4" t="s">
        <v>14</v>
      </c>
      <c r="D2296" s="35">
        <v>7369</v>
      </c>
      <c r="E2296" s="4" t="s">
        <v>3827</v>
      </c>
      <c r="F2296" s="5">
        <v>40260</v>
      </c>
      <c r="H2296" s="4" t="s">
        <v>40</v>
      </c>
      <c r="I2296" s="6">
        <v>2000</v>
      </c>
      <c r="J2296" s="6">
        <v>1000</v>
      </c>
      <c r="K2296" s="37" t="s">
        <v>3614</v>
      </c>
      <c r="L2296" s="120"/>
      <c r="M2296" s="3"/>
    </row>
    <row r="2297" spans="1:13" s="4" customFormat="1" ht="14.25" customHeight="1" x14ac:dyDescent="0.25">
      <c r="A2297" s="4" t="s">
        <v>3828</v>
      </c>
      <c r="B2297" s="4" t="s">
        <v>190</v>
      </c>
      <c r="C2297" s="4" t="s">
        <v>14</v>
      </c>
      <c r="D2297" s="35">
        <v>7370</v>
      </c>
      <c r="E2297" s="4" t="s">
        <v>3829</v>
      </c>
      <c r="F2297" s="5">
        <v>40295</v>
      </c>
      <c r="H2297" s="4" t="s">
        <v>40</v>
      </c>
      <c r="I2297" s="6">
        <v>51472.95</v>
      </c>
      <c r="J2297" s="6">
        <v>34293.949999999997</v>
      </c>
      <c r="K2297" s="37" t="s">
        <v>3614</v>
      </c>
      <c r="L2297" s="120"/>
      <c r="M2297" s="3"/>
    </row>
    <row r="2298" spans="1:13" s="4" customFormat="1" ht="14.25" customHeight="1" x14ac:dyDescent="0.25">
      <c r="A2298" s="4" t="s">
        <v>3830</v>
      </c>
      <c r="B2298" s="4" t="s">
        <v>90</v>
      </c>
      <c r="C2298" s="4" t="s">
        <v>14</v>
      </c>
      <c r="D2298" s="35">
        <v>7382</v>
      </c>
      <c r="E2298" s="4" t="s">
        <v>3831</v>
      </c>
      <c r="F2298" s="5">
        <v>40234</v>
      </c>
      <c r="H2298" s="4" t="s">
        <v>40</v>
      </c>
      <c r="I2298" s="6">
        <v>6950</v>
      </c>
      <c r="J2298" s="6">
        <v>3475</v>
      </c>
      <c r="K2298" s="37" t="s">
        <v>3614</v>
      </c>
      <c r="L2298" s="120"/>
      <c r="M2298" s="3"/>
    </row>
    <row r="2299" spans="1:13" s="4" customFormat="1" ht="14.25" customHeight="1" x14ac:dyDescent="0.25">
      <c r="A2299" s="4" t="s">
        <v>3832</v>
      </c>
      <c r="B2299" s="4" t="s">
        <v>90</v>
      </c>
      <c r="C2299" s="4" t="s">
        <v>14</v>
      </c>
      <c r="D2299" s="35">
        <v>7383</v>
      </c>
      <c r="E2299" s="4" t="s">
        <v>3833</v>
      </c>
      <c r="F2299" s="5">
        <v>40260</v>
      </c>
      <c r="H2299" s="4" t="s">
        <v>40</v>
      </c>
      <c r="I2299" s="6">
        <v>1858.5</v>
      </c>
      <c r="J2299" s="6">
        <v>929.25</v>
      </c>
      <c r="K2299" s="37" t="s">
        <v>3614</v>
      </c>
      <c r="L2299" s="120"/>
      <c r="M2299" s="3"/>
    </row>
    <row r="2300" spans="1:13" s="4" customFormat="1" ht="14.25" customHeight="1" x14ac:dyDescent="0.25">
      <c r="A2300" s="4" t="s">
        <v>3834</v>
      </c>
      <c r="B2300" s="4" t="s">
        <v>90</v>
      </c>
      <c r="C2300" s="4" t="s">
        <v>14</v>
      </c>
      <c r="D2300" s="35">
        <v>7387</v>
      </c>
      <c r="E2300" s="4" t="s">
        <v>3835</v>
      </c>
      <c r="F2300" s="5">
        <v>40260</v>
      </c>
      <c r="H2300" s="4" t="s">
        <v>40</v>
      </c>
      <c r="I2300" s="6">
        <v>2000</v>
      </c>
      <c r="J2300" s="6">
        <v>1000</v>
      </c>
      <c r="K2300" s="37" t="s">
        <v>3614</v>
      </c>
      <c r="L2300" s="120"/>
      <c r="M2300" s="3"/>
    </row>
    <row r="2301" spans="1:13" s="4" customFormat="1" ht="14.25" customHeight="1" x14ac:dyDescent="0.25">
      <c r="A2301" s="4" t="s">
        <v>3836</v>
      </c>
      <c r="B2301" s="4" t="s">
        <v>90</v>
      </c>
      <c r="C2301" s="4" t="s">
        <v>14</v>
      </c>
      <c r="D2301" s="35">
        <v>7389</v>
      </c>
      <c r="E2301" s="4" t="s">
        <v>3837</v>
      </c>
      <c r="F2301" s="5">
        <v>40240</v>
      </c>
      <c r="H2301" s="4" t="s">
        <v>40</v>
      </c>
      <c r="I2301" s="6">
        <v>800</v>
      </c>
      <c r="J2301" s="6">
        <v>400</v>
      </c>
      <c r="K2301" s="37" t="s">
        <v>3614</v>
      </c>
      <c r="L2301" s="120"/>
      <c r="M2301" s="3"/>
    </row>
    <row r="2302" spans="1:13" s="4" customFormat="1" ht="14.25" customHeight="1" x14ac:dyDescent="0.25">
      <c r="A2302" s="4" t="s">
        <v>3838</v>
      </c>
      <c r="B2302" s="4" t="s">
        <v>90</v>
      </c>
      <c r="C2302" s="4" t="s">
        <v>14</v>
      </c>
      <c r="D2302" s="35">
        <v>7391</v>
      </c>
      <c r="E2302" s="4" t="s">
        <v>3839</v>
      </c>
      <c r="F2302" s="5">
        <v>40260</v>
      </c>
      <c r="H2302" s="4" t="s">
        <v>40</v>
      </c>
      <c r="I2302" s="6">
        <v>5000</v>
      </c>
      <c r="J2302" s="6">
        <v>2500</v>
      </c>
      <c r="K2302" s="37" t="s">
        <v>3614</v>
      </c>
      <c r="L2302" s="120"/>
      <c r="M2302" s="3"/>
    </row>
    <row r="2303" spans="1:13" s="4" customFormat="1" ht="14.25" customHeight="1" x14ac:dyDescent="0.25">
      <c r="A2303" s="4" t="s">
        <v>3840</v>
      </c>
      <c r="B2303" s="4" t="s">
        <v>90</v>
      </c>
      <c r="C2303" s="4" t="s">
        <v>14</v>
      </c>
      <c r="D2303" s="35">
        <v>7393</v>
      </c>
      <c r="E2303" s="4" t="s">
        <v>3841</v>
      </c>
      <c r="F2303" s="5">
        <v>40260</v>
      </c>
      <c r="H2303" s="4" t="s">
        <v>40</v>
      </c>
      <c r="I2303" s="6">
        <v>3369.8</v>
      </c>
      <c r="J2303" s="6">
        <v>1684.9</v>
      </c>
      <c r="K2303" s="37" t="s">
        <v>3614</v>
      </c>
      <c r="L2303" s="120"/>
      <c r="M2303" s="3"/>
    </row>
    <row r="2304" spans="1:13" s="4" customFormat="1" ht="14.25" customHeight="1" x14ac:dyDescent="0.25">
      <c r="A2304" s="4" t="s">
        <v>3842</v>
      </c>
      <c r="B2304" s="4" t="s">
        <v>90</v>
      </c>
      <c r="C2304" s="4" t="s">
        <v>14</v>
      </c>
      <c r="D2304" s="35">
        <v>7395</v>
      </c>
      <c r="E2304" s="4" t="s">
        <v>3843</v>
      </c>
      <c r="F2304" s="5">
        <v>40260</v>
      </c>
      <c r="H2304" s="4" t="s">
        <v>40</v>
      </c>
      <c r="I2304" s="6">
        <v>2000</v>
      </c>
      <c r="J2304" s="6">
        <v>1000</v>
      </c>
      <c r="K2304" s="37" t="s">
        <v>3614</v>
      </c>
      <c r="L2304" s="120"/>
      <c r="M2304" s="3"/>
    </row>
    <row r="2305" spans="1:13" s="4" customFormat="1" ht="14.25" customHeight="1" x14ac:dyDescent="0.25">
      <c r="A2305" s="4" t="s">
        <v>3844</v>
      </c>
      <c r="B2305" s="4" t="s">
        <v>90</v>
      </c>
      <c r="C2305" s="4" t="s">
        <v>14</v>
      </c>
      <c r="D2305" s="35">
        <v>7396</v>
      </c>
      <c r="E2305" s="4" t="s">
        <v>3845</v>
      </c>
      <c r="F2305" s="5">
        <v>40260</v>
      </c>
      <c r="H2305" s="4" t="s">
        <v>40</v>
      </c>
      <c r="I2305" s="6">
        <v>2200</v>
      </c>
      <c r="J2305" s="6">
        <v>1100</v>
      </c>
      <c r="K2305" s="37" t="s">
        <v>3614</v>
      </c>
      <c r="L2305" s="120"/>
      <c r="M2305" s="3"/>
    </row>
    <row r="2306" spans="1:13" s="4" customFormat="1" ht="14.25" customHeight="1" x14ac:dyDescent="0.25">
      <c r="A2306" s="4" t="s">
        <v>3846</v>
      </c>
      <c r="B2306" s="4" t="s">
        <v>90</v>
      </c>
      <c r="C2306" s="4" t="s">
        <v>14</v>
      </c>
      <c r="D2306" s="35">
        <v>7397</v>
      </c>
      <c r="E2306" s="4" t="s">
        <v>3847</v>
      </c>
      <c r="F2306" s="5">
        <v>40260</v>
      </c>
      <c r="H2306" s="4" t="s">
        <v>40</v>
      </c>
      <c r="I2306" s="6">
        <v>500</v>
      </c>
      <c r="J2306" s="6">
        <v>250</v>
      </c>
      <c r="K2306" s="37" t="s">
        <v>3614</v>
      </c>
      <c r="L2306" s="120"/>
      <c r="M2306" s="3"/>
    </row>
    <row r="2307" spans="1:13" s="4" customFormat="1" ht="14.25" customHeight="1" x14ac:dyDescent="0.25">
      <c r="A2307" s="4" t="s">
        <v>3848</v>
      </c>
      <c r="B2307" s="4" t="s">
        <v>90</v>
      </c>
      <c r="C2307" s="4" t="s">
        <v>14</v>
      </c>
      <c r="D2307" s="35">
        <v>7398</v>
      </c>
      <c r="E2307" s="4" t="s">
        <v>3849</v>
      </c>
      <c r="F2307" s="5">
        <v>40260</v>
      </c>
      <c r="H2307" s="4" t="s">
        <v>40</v>
      </c>
      <c r="I2307" s="6">
        <v>2500</v>
      </c>
      <c r="J2307" s="6">
        <v>1250</v>
      </c>
      <c r="K2307" s="37" t="s">
        <v>3614</v>
      </c>
      <c r="L2307" s="120"/>
      <c r="M2307" s="3"/>
    </row>
    <row r="2308" spans="1:13" s="4" customFormat="1" ht="14.25" customHeight="1" x14ac:dyDescent="0.25">
      <c r="A2308" s="4" t="s">
        <v>3850</v>
      </c>
      <c r="B2308" s="4" t="s">
        <v>90</v>
      </c>
      <c r="C2308" s="4" t="s">
        <v>14</v>
      </c>
      <c r="D2308" s="35">
        <v>7399</v>
      </c>
      <c r="E2308" s="4" t="s">
        <v>3851</v>
      </c>
      <c r="F2308" s="5">
        <v>40260</v>
      </c>
      <c r="H2308" s="4" t="s">
        <v>40</v>
      </c>
      <c r="I2308" s="6">
        <v>1043.26</v>
      </c>
      <c r="J2308" s="6">
        <v>521.63</v>
      </c>
      <c r="K2308" s="37" t="s">
        <v>3614</v>
      </c>
      <c r="L2308" s="120"/>
      <c r="M2308" s="3"/>
    </row>
    <row r="2309" spans="1:13" s="4" customFormat="1" ht="14.25" customHeight="1" x14ac:dyDescent="0.25">
      <c r="A2309" s="4" t="s">
        <v>3852</v>
      </c>
      <c r="B2309" s="4" t="s">
        <v>59</v>
      </c>
      <c r="C2309" s="4" t="s">
        <v>14</v>
      </c>
      <c r="D2309" s="35">
        <v>7400</v>
      </c>
      <c r="E2309" s="4" t="s">
        <v>3853</v>
      </c>
      <c r="F2309" s="5">
        <v>40106</v>
      </c>
      <c r="H2309" s="4" t="s">
        <v>40</v>
      </c>
      <c r="I2309" s="6">
        <v>3750</v>
      </c>
      <c r="J2309" s="6">
        <v>3750</v>
      </c>
      <c r="K2309" s="37" t="s">
        <v>3614</v>
      </c>
      <c r="L2309" s="120"/>
      <c r="M2309" s="3"/>
    </row>
    <row r="2310" spans="1:13" s="4" customFormat="1" ht="14.25" customHeight="1" x14ac:dyDescent="0.25">
      <c r="A2310" s="4" t="s">
        <v>3854</v>
      </c>
      <c r="B2310" s="4" t="s">
        <v>90</v>
      </c>
      <c r="C2310" s="4" t="s">
        <v>14</v>
      </c>
      <c r="D2310" s="35">
        <v>7401</v>
      </c>
      <c r="E2310" s="4" t="s">
        <v>3855</v>
      </c>
      <c r="F2310" s="5">
        <v>40260</v>
      </c>
      <c r="H2310" s="4" t="s">
        <v>40</v>
      </c>
      <c r="I2310" s="6">
        <v>2000</v>
      </c>
      <c r="J2310" s="6">
        <v>1000</v>
      </c>
      <c r="K2310" s="37" t="s">
        <v>3614</v>
      </c>
      <c r="L2310" s="120"/>
      <c r="M2310" s="3"/>
    </row>
    <row r="2311" spans="1:13" s="4" customFormat="1" ht="14.25" customHeight="1" x14ac:dyDescent="0.25">
      <c r="A2311" s="4" t="s">
        <v>3856</v>
      </c>
      <c r="B2311" s="4" t="s">
        <v>90</v>
      </c>
      <c r="C2311" s="4" t="s">
        <v>14</v>
      </c>
      <c r="D2311" s="35">
        <v>7402</v>
      </c>
      <c r="E2311" s="4" t="s">
        <v>3857</v>
      </c>
      <c r="F2311" s="5">
        <v>40260</v>
      </c>
      <c r="H2311" s="4" t="s">
        <v>40</v>
      </c>
      <c r="I2311" s="6">
        <v>722.72</v>
      </c>
      <c r="J2311" s="6">
        <v>361.36</v>
      </c>
      <c r="K2311" s="37" t="s">
        <v>3614</v>
      </c>
      <c r="L2311" s="120"/>
      <c r="M2311" s="3"/>
    </row>
    <row r="2312" spans="1:13" s="4" customFormat="1" ht="14.25" customHeight="1" x14ac:dyDescent="0.25">
      <c r="A2312" s="4" t="s">
        <v>3858</v>
      </c>
      <c r="B2312" s="4" t="s">
        <v>90</v>
      </c>
      <c r="C2312" s="4" t="s">
        <v>14</v>
      </c>
      <c r="D2312" s="35">
        <v>7423</v>
      </c>
      <c r="E2312" s="4" t="s">
        <v>3859</v>
      </c>
      <c r="F2312" s="5">
        <v>40260</v>
      </c>
      <c r="H2312" s="4" t="s">
        <v>40</v>
      </c>
      <c r="I2312" s="6">
        <v>2000</v>
      </c>
      <c r="J2312" s="6">
        <v>1000</v>
      </c>
      <c r="K2312" s="37" t="s">
        <v>3614</v>
      </c>
      <c r="L2312" s="120"/>
      <c r="M2312" s="3"/>
    </row>
    <row r="2313" spans="1:13" s="4" customFormat="1" ht="14.25" customHeight="1" x14ac:dyDescent="0.25">
      <c r="A2313" s="4" t="s">
        <v>3860</v>
      </c>
      <c r="B2313" s="4" t="s">
        <v>90</v>
      </c>
      <c r="C2313" s="4" t="s">
        <v>14</v>
      </c>
      <c r="D2313" s="35">
        <v>7426</v>
      </c>
      <c r="E2313" s="4" t="s">
        <v>3861</v>
      </c>
      <c r="F2313" s="5">
        <v>40240</v>
      </c>
      <c r="H2313" s="4" t="s">
        <v>40</v>
      </c>
      <c r="I2313" s="6">
        <v>1500</v>
      </c>
      <c r="J2313" s="6">
        <v>750</v>
      </c>
      <c r="K2313" s="37" t="s">
        <v>3614</v>
      </c>
      <c r="L2313" s="120"/>
      <c r="M2313" s="3"/>
    </row>
    <row r="2314" spans="1:13" s="4" customFormat="1" ht="14.25" customHeight="1" x14ac:dyDescent="0.25">
      <c r="A2314" s="4" t="s">
        <v>3862</v>
      </c>
      <c r="B2314" s="4" t="s">
        <v>90</v>
      </c>
      <c r="C2314" s="4" t="s">
        <v>14</v>
      </c>
      <c r="D2314" s="35">
        <v>7428</v>
      </c>
      <c r="E2314" s="4" t="s">
        <v>3863</v>
      </c>
      <c r="F2314" s="5">
        <v>40260</v>
      </c>
      <c r="H2314" s="4" t="s">
        <v>40</v>
      </c>
      <c r="I2314" s="6">
        <v>2000</v>
      </c>
      <c r="J2314" s="6">
        <v>1000</v>
      </c>
      <c r="K2314" s="37" t="s">
        <v>3614</v>
      </c>
      <c r="L2314" s="120"/>
      <c r="M2314" s="3"/>
    </row>
    <row r="2315" spans="1:13" s="4" customFormat="1" ht="14.25" customHeight="1" x14ac:dyDescent="0.25">
      <c r="A2315" s="4" t="s">
        <v>3864</v>
      </c>
      <c r="B2315" s="4" t="s">
        <v>90</v>
      </c>
      <c r="C2315" s="4" t="s">
        <v>14</v>
      </c>
      <c r="D2315" s="35">
        <v>7429</v>
      </c>
      <c r="E2315" s="4" t="s">
        <v>3865</v>
      </c>
      <c r="F2315" s="5">
        <v>40260</v>
      </c>
      <c r="H2315" s="4" t="s">
        <v>40</v>
      </c>
      <c r="I2315" s="6">
        <v>2491</v>
      </c>
      <c r="J2315" s="6">
        <v>1245.5</v>
      </c>
      <c r="K2315" s="37" t="s">
        <v>3614</v>
      </c>
      <c r="L2315" s="120"/>
      <c r="M2315" s="3"/>
    </row>
    <row r="2316" spans="1:13" s="4" customFormat="1" ht="14.25" customHeight="1" x14ac:dyDescent="0.25">
      <c r="A2316" s="4" t="s">
        <v>3866</v>
      </c>
      <c r="B2316" s="4" t="s">
        <v>90</v>
      </c>
      <c r="C2316" s="4" t="s">
        <v>14</v>
      </c>
      <c r="D2316" s="35">
        <v>7431</v>
      </c>
      <c r="E2316" s="4" t="s">
        <v>3867</v>
      </c>
      <c r="F2316" s="5">
        <v>40204</v>
      </c>
      <c r="H2316" s="4" t="s">
        <v>40</v>
      </c>
      <c r="I2316" s="6">
        <v>776.5</v>
      </c>
      <c r="J2316" s="6">
        <v>388.25</v>
      </c>
      <c r="K2316" s="37" t="s">
        <v>3614</v>
      </c>
      <c r="L2316" s="120"/>
      <c r="M2316" s="3"/>
    </row>
    <row r="2317" spans="1:13" s="4" customFormat="1" ht="14.25" customHeight="1" x14ac:dyDescent="0.25">
      <c r="A2317" s="4" t="s">
        <v>3868</v>
      </c>
      <c r="B2317" s="4" t="s">
        <v>183</v>
      </c>
      <c r="C2317" s="4" t="s">
        <v>14</v>
      </c>
      <c r="D2317" s="35">
        <v>7432</v>
      </c>
      <c r="E2317" s="4" t="s">
        <v>3869</v>
      </c>
      <c r="F2317" s="5">
        <v>40204</v>
      </c>
      <c r="H2317" s="4" t="s">
        <v>40</v>
      </c>
      <c r="I2317" s="6">
        <v>28451.62</v>
      </c>
      <c r="J2317" s="6">
        <v>14225.81</v>
      </c>
      <c r="K2317" s="37" t="s">
        <v>3614</v>
      </c>
      <c r="L2317" s="120"/>
      <c r="M2317" s="3"/>
    </row>
    <row r="2318" spans="1:13" s="4" customFormat="1" ht="14.25" customHeight="1" x14ac:dyDescent="0.25">
      <c r="A2318" s="4" t="s">
        <v>3870</v>
      </c>
      <c r="B2318" s="4" t="s">
        <v>90</v>
      </c>
      <c r="C2318" s="4" t="s">
        <v>14</v>
      </c>
      <c r="D2318" s="35">
        <v>7433</v>
      </c>
      <c r="E2318" s="4" t="s">
        <v>3871</v>
      </c>
      <c r="F2318" s="5">
        <v>40234</v>
      </c>
      <c r="H2318" s="4" t="s">
        <v>40</v>
      </c>
      <c r="I2318" s="6">
        <v>3613.98</v>
      </c>
      <c r="J2318" s="6">
        <v>1806.99</v>
      </c>
      <c r="K2318" s="37" t="s">
        <v>3614</v>
      </c>
      <c r="L2318" s="120"/>
      <c r="M2318" s="3"/>
    </row>
    <row r="2319" spans="1:13" s="4" customFormat="1" ht="14.25" customHeight="1" x14ac:dyDescent="0.25">
      <c r="A2319" s="4" t="s">
        <v>3872</v>
      </c>
      <c r="B2319" s="4" t="s">
        <v>183</v>
      </c>
      <c r="C2319" s="4" t="s">
        <v>14</v>
      </c>
      <c r="D2319" s="35">
        <v>7434</v>
      </c>
      <c r="E2319" s="4" t="s">
        <v>3873</v>
      </c>
      <c r="F2319" s="5">
        <v>40260</v>
      </c>
      <c r="H2319" s="4" t="s">
        <v>40</v>
      </c>
      <c r="I2319" s="6">
        <v>68569.58</v>
      </c>
      <c r="J2319" s="6">
        <v>34284.79</v>
      </c>
      <c r="K2319" s="37" t="s">
        <v>3614</v>
      </c>
      <c r="L2319" s="120"/>
      <c r="M2319" s="3"/>
    </row>
    <row r="2320" spans="1:13" s="4" customFormat="1" ht="14.25" customHeight="1" x14ac:dyDescent="0.25">
      <c r="A2320" s="4" t="s">
        <v>3874</v>
      </c>
      <c r="B2320" s="4" t="s">
        <v>90</v>
      </c>
      <c r="C2320" s="4" t="s">
        <v>14</v>
      </c>
      <c r="D2320" s="35">
        <v>7435</v>
      </c>
      <c r="E2320" s="4" t="s">
        <v>3875</v>
      </c>
      <c r="F2320" s="5">
        <v>40204</v>
      </c>
      <c r="H2320" s="4" t="s">
        <v>40</v>
      </c>
      <c r="I2320" s="6">
        <v>8000</v>
      </c>
      <c r="J2320" s="6">
        <v>4000</v>
      </c>
      <c r="K2320" s="37" t="s">
        <v>3614</v>
      </c>
      <c r="L2320" s="120"/>
      <c r="M2320" s="3"/>
    </row>
    <row r="2321" spans="1:13" s="4" customFormat="1" ht="14.25" customHeight="1" x14ac:dyDescent="0.25">
      <c r="A2321" s="4" t="s">
        <v>3876</v>
      </c>
      <c r="B2321" s="4" t="s">
        <v>190</v>
      </c>
      <c r="C2321" s="4" t="s">
        <v>14</v>
      </c>
      <c r="D2321" s="35">
        <v>7436</v>
      </c>
      <c r="E2321" s="4" t="s">
        <v>3877</v>
      </c>
      <c r="F2321" s="5">
        <v>40323</v>
      </c>
      <c r="H2321" s="4" t="s">
        <v>40</v>
      </c>
      <c r="I2321" s="6">
        <v>26139.52</v>
      </c>
      <c r="J2321" s="6">
        <v>20569.759999999998</v>
      </c>
      <c r="K2321" s="37" t="s">
        <v>3614</v>
      </c>
      <c r="L2321" s="120"/>
      <c r="M2321" s="3"/>
    </row>
    <row r="2322" spans="1:13" s="4" customFormat="1" ht="14.25" customHeight="1" x14ac:dyDescent="0.25">
      <c r="A2322" s="4" t="s">
        <v>3878</v>
      </c>
      <c r="B2322" s="4" t="s">
        <v>183</v>
      </c>
      <c r="C2322" s="4" t="s">
        <v>14</v>
      </c>
      <c r="D2322" s="35">
        <v>7437</v>
      </c>
      <c r="E2322" s="4" t="s">
        <v>3879</v>
      </c>
      <c r="F2322" s="5">
        <v>40323</v>
      </c>
      <c r="H2322" s="4" t="s">
        <v>40</v>
      </c>
      <c r="I2322" s="6">
        <v>26975.4</v>
      </c>
      <c r="J2322" s="6">
        <v>25714.9</v>
      </c>
      <c r="K2322" s="37" t="s">
        <v>3614</v>
      </c>
      <c r="L2322" s="120"/>
      <c r="M2322" s="3"/>
    </row>
    <row r="2323" spans="1:13" s="4" customFormat="1" ht="14.25" customHeight="1" x14ac:dyDescent="0.25">
      <c r="A2323" s="4" t="s">
        <v>3882</v>
      </c>
      <c r="B2323" s="4" t="s">
        <v>90</v>
      </c>
      <c r="C2323" s="4" t="s">
        <v>14</v>
      </c>
      <c r="D2323" s="35">
        <v>7449</v>
      </c>
      <c r="E2323" s="4" t="s">
        <v>3883</v>
      </c>
      <c r="F2323" s="5">
        <v>40204</v>
      </c>
      <c r="H2323" s="4" t="s">
        <v>40</v>
      </c>
      <c r="I2323" s="6">
        <v>6864</v>
      </c>
      <c r="J2323" s="6">
        <v>3432</v>
      </c>
      <c r="K2323" s="37" t="s">
        <v>3614</v>
      </c>
      <c r="L2323" s="120"/>
      <c r="M2323" s="3"/>
    </row>
    <row r="2324" spans="1:13" s="4" customFormat="1" ht="14.25" customHeight="1" x14ac:dyDescent="0.25">
      <c r="A2324" s="4" t="s">
        <v>3884</v>
      </c>
      <c r="B2324" s="4" t="s">
        <v>183</v>
      </c>
      <c r="C2324" s="4" t="s">
        <v>14</v>
      </c>
      <c r="D2324" s="35">
        <v>7452</v>
      </c>
      <c r="E2324" s="4" t="s">
        <v>3885</v>
      </c>
      <c r="F2324" s="5">
        <v>40323</v>
      </c>
      <c r="H2324" s="4" t="s">
        <v>40</v>
      </c>
      <c r="I2324" s="6">
        <v>15000</v>
      </c>
      <c r="J2324" s="6">
        <v>15000</v>
      </c>
      <c r="K2324" s="37" t="s">
        <v>3614</v>
      </c>
      <c r="L2324" s="120"/>
      <c r="M2324" s="3"/>
    </row>
    <row r="2325" spans="1:13" s="4" customFormat="1" ht="14.25" customHeight="1" x14ac:dyDescent="0.25">
      <c r="A2325" s="4" t="s">
        <v>3886</v>
      </c>
      <c r="B2325" s="4" t="s">
        <v>90</v>
      </c>
      <c r="C2325" s="4" t="s">
        <v>14</v>
      </c>
      <c r="D2325" s="35">
        <v>7453</v>
      </c>
      <c r="E2325" s="4" t="s">
        <v>3887</v>
      </c>
      <c r="F2325" s="5">
        <v>40295</v>
      </c>
      <c r="H2325" s="4" t="s">
        <v>40</v>
      </c>
      <c r="I2325" s="6">
        <v>17782.22</v>
      </c>
      <c r="J2325" s="6">
        <v>8891.11</v>
      </c>
      <c r="K2325" s="37" t="s">
        <v>3614</v>
      </c>
      <c r="L2325" s="120"/>
      <c r="M2325" s="3"/>
    </row>
    <row r="2326" spans="1:13" s="4" customFormat="1" ht="14.25" customHeight="1" x14ac:dyDescent="0.25">
      <c r="A2326" s="4" t="s">
        <v>3888</v>
      </c>
      <c r="B2326" s="4" t="s">
        <v>90</v>
      </c>
      <c r="C2326" s="4" t="s">
        <v>14</v>
      </c>
      <c r="D2326" s="35">
        <v>7456</v>
      </c>
      <c r="E2326" s="4" t="s">
        <v>3889</v>
      </c>
      <c r="F2326" s="5">
        <v>40260</v>
      </c>
      <c r="H2326" s="4" t="s">
        <v>40</v>
      </c>
      <c r="I2326" s="6">
        <v>5195</v>
      </c>
      <c r="J2326" s="6">
        <v>2597.5</v>
      </c>
      <c r="K2326" s="37" t="s">
        <v>3614</v>
      </c>
      <c r="L2326" s="120"/>
      <c r="M2326" s="3"/>
    </row>
    <row r="2327" spans="1:13" s="4" customFormat="1" ht="14.25" customHeight="1" x14ac:dyDescent="0.25">
      <c r="A2327" s="4" t="s">
        <v>3892</v>
      </c>
      <c r="B2327" s="4" t="s">
        <v>183</v>
      </c>
      <c r="C2327" s="4" t="s">
        <v>14</v>
      </c>
      <c r="D2327" s="35">
        <v>7464</v>
      </c>
      <c r="E2327" s="4" t="s">
        <v>3893</v>
      </c>
      <c r="F2327" s="5">
        <v>40351</v>
      </c>
      <c r="H2327" s="4" t="s">
        <v>40</v>
      </c>
      <c r="I2327" s="6">
        <v>18417</v>
      </c>
      <c r="J2327" s="6">
        <v>11552</v>
      </c>
      <c r="K2327" s="37" t="s">
        <v>3614</v>
      </c>
      <c r="L2327" s="120"/>
      <c r="M2327" s="3"/>
    </row>
    <row r="2328" spans="1:13" s="4" customFormat="1" ht="14.25" customHeight="1" x14ac:dyDescent="0.25">
      <c r="A2328" s="4" t="s">
        <v>3894</v>
      </c>
      <c r="B2328" s="4" t="s">
        <v>190</v>
      </c>
      <c r="C2328" s="4" t="s">
        <v>14</v>
      </c>
      <c r="D2328" s="35">
        <v>7469</v>
      </c>
      <c r="E2328" s="4" t="s">
        <v>3773</v>
      </c>
      <c r="F2328" s="5">
        <v>40498</v>
      </c>
      <c r="H2328" s="4" t="s">
        <v>40</v>
      </c>
      <c r="I2328" s="6">
        <v>100000</v>
      </c>
      <c r="J2328" s="6">
        <v>50000</v>
      </c>
      <c r="K2328" s="37" t="s">
        <v>3614</v>
      </c>
      <c r="L2328" s="120"/>
      <c r="M2328" s="3"/>
    </row>
    <row r="2329" spans="1:13" s="4" customFormat="1" ht="14.25" customHeight="1" x14ac:dyDescent="0.25">
      <c r="A2329" s="4" t="s">
        <v>3895</v>
      </c>
      <c r="B2329" s="4" t="s">
        <v>183</v>
      </c>
      <c r="C2329" s="4" t="s">
        <v>14</v>
      </c>
      <c r="D2329" s="35">
        <v>7471</v>
      </c>
      <c r="E2329" s="4" t="s">
        <v>3896</v>
      </c>
      <c r="F2329" s="5">
        <v>40491</v>
      </c>
      <c r="H2329" s="4" t="s">
        <v>40</v>
      </c>
      <c r="I2329" s="6">
        <v>160000</v>
      </c>
      <c r="J2329" s="6">
        <v>80000</v>
      </c>
      <c r="K2329" s="37" t="s">
        <v>3614</v>
      </c>
      <c r="L2329" s="120"/>
      <c r="M2329" s="3"/>
    </row>
    <row r="2330" spans="1:13" s="4" customFormat="1" ht="14.25" customHeight="1" x14ac:dyDescent="0.25">
      <c r="A2330" s="4" t="s">
        <v>3897</v>
      </c>
      <c r="B2330" s="4" t="s">
        <v>183</v>
      </c>
      <c r="C2330" s="4" t="s">
        <v>14</v>
      </c>
      <c r="D2330" s="35">
        <v>7472</v>
      </c>
      <c r="E2330" s="4" t="s">
        <v>3898</v>
      </c>
      <c r="F2330" s="5">
        <v>40351</v>
      </c>
      <c r="H2330" s="4" t="s">
        <v>40</v>
      </c>
      <c r="I2330" s="6">
        <v>62526.32</v>
      </c>
      <c r="J2330" s="6">
        <v>36325.83</v>
      </c>
      <c r="K2330" s="37" t="s">
        <v>3614</v>
      </c>
      <c r="L2330" s="120"/>
      <c r="M2330" s="3"/>
    </row>
    <row r="2331" spans="1:13" s="4" customFormat="1" ht="14.25" customHeight="1" x14ac:dyDescent="0.25">
      <c r="A2331" s="4" t="s">
        <v>3899</v>
      </c>
      <c r="B2331" s="4" t="s">
        <v>90</v>
      </c>
      <c r="C2331" s="4" t="s">
        <v>14</v>
      </c>
      <c r="D2331" s="35">
        <v>8646</v>
      </c>
      <c r="E2331" s="4" t="s">
        <v>3900</v>
      </c>
      <c r="F2331" s="5">
        <v>40323</v>
      </c>
      <c r="H2331" s="4" t="s">
        <v>40</v>
      </c>
      <c r="I2331" s="6">
        <v>4000</v>
      </c>
      <c r="J2331" s="6">
        <v>2000</v>
      </c>
      <c r="K2331" s="37" t="s">
        <v>3614</v>
      </c>
      <c r="L2331" s="120"/>
      <c r="M2331" s="3"/>
    </row>
    <row r="2332" spans="1:13" s="4" customFormat="1" ht="14.25" customHeight="1" x14ac:dyDescent="0.25">
      <c r="A2332" s="4" t="s">
        <v>3901</v>
      </c>
      <c r="B2332" s="4" t="s">
        <v>190</v>
      </c>
      <c r="C2332" s="4" t="s">
        <v>14</v>
      </c>
      <c r="D2332" s="35">
        <v>8663</v>
      </c>
      <c r="E2332" s="4" t="s">
        <v>3902</v>
      </c>
      <c r="F2332" s="5">
        <v>40323</v>
      </c>
      <c r="H2332" s="4" t="s">
        <v>40</v>
      </c>
      <c r="I2332" s="6">
        <v>11444.76</v>
      </c>
      <c r="J2332" s="6">
        <v>5722.38</v>
      </c>
      <c r="K2332" s="37" t="s">
        <v>3614</v>
      </c>
      <c r="L2332" s="120"/>
      <c r="M2332" s="3"/>
    </row>
    <row r="2333" spans="1:13" s="4" customFormat="1" ht="14.25" customHeight="1" x14ac:dyDescent="0.25">
      <c r="A2333" s="4" t="s">
        <v>3903</v>
      </c>
      <c r="B2333" s="4" t="s">
        <v>90</v>
      </c>
      <c r="C2333" s="4" t="s">
        <v>14</v>
      </c>
      <c r="D2333" s="35">
        <v>8680</v>
      </c>
      <c r="E2333" s="4" t="s">
        <v>3904</v>
      </c>
      <c r="F2333" s="5">
        <v>40323</v>
      </c>
      <c r="H2333" s="4" t="s">
        <v>40</v>
      </c>
      <c r="I2333" s="6">
        <v>9064</v>
      </c>
      <c r="J2333" s="6">
        <v>4532</v>
      </c>
      <c r="K2333" s="37" t="s">
        <v>3614</v>
      </c>
      <c r="L2333" s="120"/>
      <c r="M2333" s="3"/>
    </row>
    <row r="2334" spans="1:13" s="4" customFormat="1" ht="14.25" customHeight="1" x14ac:dyDescent="0.25">
      <c r="A2334" s="4" t="s">
        <v>3907</v>
      </c>
      <c r="B2334" s="4" t="s">
        <v>90</v>
      </c>
      <c r="C2334" s="4" t="s">
        <v>14</v>
      </c>
      <c r="D2334" s="35">
        <v>8690</v>
      </c>
      <c r="E2334" s="4" t="s">
        <v>3908</v>
      </c>
      <c r="F2334" s="5">
        <v>40295</v>
      </c>
      <c r="H2334" s="4" t="s">
        <v>40</v>
      </c>
      <c r="I2334" s="6">
        <v>1002.74</v>
      </c>
      <c r="J2334" s="6">
        <v>501.37</v>
      </c>
      <c r="K2334" s="37" t="s">
        <v>3614</v>
      </c>
      <c r="L2334" s="120"/>
      <c r="M2334" s="3"/>
    </row>
    <row r="2335" spans="1:13" s="4" customFormat="1" ht="14.25" customHeight="1" x14ac:dyDescent="0.25">
      <c r="A2335" s="4" t="s">
        <v>3909</v>
      </c>
      <c r="B2335" s="4" t="s">
        <v>183</v>
      </c>
      <c r="C2335" s="4" t="s">
        <v>14</v>
      </c>
      <c r="D2335" s="35">
        <v>8695</v>
      </c>
      <c r="E2335" s="4" t="s">
        <v>3910</v>
      </c>
      <c r="F2335" s="5">
        <v>40519</v>
      </c>
      <c r="H2335" s="4" t="s">
        <v>40</v>
      </c>
      <c r="I2335" s="6">
        <v>12820</v>
      </c>
      <c r="J2335" s="6">
        <v>12035</v>
      </c>
      <c r="K2335" s="37" t="s">
        <v>3614</v>
      </c>
      <c r="L2335" s="120"/>
      <c r="M2335" s="3"/>
    </row>
    <row r="2336" spans="1:13" s="4" customFormat="1" ht="14.25" customHeight="1" x14ac:dyDescent="0.25">
      <c r="A2336" s="4" t="s">
        <v>3911</v>
      </c>
      <c r="B2336" s="4" t="s">
        <v>183</v>
      </c>
      <c r="C2336" s="4" t="s">
        <v>14</v>
      </c>
      <c r="D2336" s="35">
        <v>8696</v>
      </c>
      <c r="E2336" s="4" t="s">
        <v>3912</v>
      </c>
      <c r="F2336" s="5">
        <v>40351</v>
      </c>
      <c r="H2336" s="4" t="s">
        <v>40</v>
      </c>
      <c r="I2336" s="6">
        <v>3376</v>
      </c>
      <c r="J2336" s="6">
        <v>1688</v>
      </c>
      <c r="K2336" s="37" t="s">
        <v>3614</v>
      </c>
      <c r="L2336" s="120"/>
      <c r="M2336" s="3"/>
    </row>
    <row r="2337" spans="1:13" s="4" customFormat="1" ht="14.25" customHeight="1" x14ac:dyDescent="0.25">
      <c r="A2337" s="4" t="s">
        <v>3913</v>
      </c>
      <c r="B2337" s="4" t="s">
        <v>190</v>
      </c>
      <c r="C2337" s="4" t="s">
        <v>14</v>
      </c>
      <c r="D2337" s="35">
        <v>8698</v>
      </c>
      <c r="E2337" s="4" t="s">
        <v>3914</v>
      </c>
      <c r="F2337" s="5">
        <v>40351</v>
      </c>
      <c r="H2337" s="4" t="s">
        <v>40</v>
      </c>
      <c r="I2337" s="6">
        <v>22661.14</v>
      </c>
      <c r="J2337" s="6">
        <v>12643.07</v>
      </c>
      <c r="K2337" s="37" t="s">
        <v>3614</v>
      </c>
      <c r="L2337" s="120"/>
      <c r="M2337" s="3"/>
    </row>
    <row r="2338" spans="1:13" s="4" customFormat="1" ht="14.25" customHeight="1" x14ac:dyDescent="0.25">
      <c r="A2338" s="4" t="s">
        <v>3917</v>
      </c>
      <c r="B2338" s="4" t="s">
        <v>90</v>
      </c>
      <c r="C2338" s="4" t="s">
        <v>14</v>
      </c>
      <c r="D2338" s="35">
        <v>8700</v>
      </c>
      <c r="E2338" s="7" t="s">
        <v>3918</v>
      </c>
      <c r="F2338" s="5">
        <v>40519</v>
      </c>
      <c r="H2338" s="4" t="s">
        <v>40</v>
      </c>
      <c r="I2338" s="6">
        <v>23250</v>
      </c>
      <c r="J2338" s="6">
        <v>11625</v>
      </c>
      <c r="K2338" s="37" t="s">
        <v>3614</v>
      </c>
      <c r="L2338" s="120"/>
      <c r="M2338" s="3"/>
    </row>
    <row r="2339" spans="1:13" s="4" customFormat="1" ht="14.25" customHeight="1" x14ac:dyDescent="0.25">
      <c r="A2339" s="4" t="s">
        <v>3919</v>
      </c>
      <c r="B2339" s="4" t="s">
        <v>190</v>
      </c>
      <c r="C2339" s="4" t="s">
        <v>14</v>
      </c>
      <c r="D2339" s="35">
        <v>8701</v>
      </c>
      <c r="E2339" s="4" t="s">
        <v>3920</v>
      </c>
      <c r="F2339" s="5">
        <v>40498</v>
      </c>
      <c r="H2339" s="4" t="s">
        <v>40</v>
      </c>
      <c r="I2339" s="6">
        <v>43053</v>
      </c>
      <c r="J2339" s="6">
        <v>27759</v>
      </c>
      <c r="K2339" s="37" t="s">
        <v>3614</v>
      </c>
      <c r="L2339" s="120"/>
      <c r="M2339" s="3"/>
    </row>
    <row r="2340" spans="1:13" s="4" customFormat="1" ht="14.25" customHeight="1" x14ac:dyDescent="0.25">
      <c r="A2340" s="4" t="s">
        <v>3921</v>
      </c>
      <c r="B2340" s="4" t="s">
        <v>90</v>
      </c>
      <c r="C2340" s="4" t="s">
        <v>14</v>
      </c>
      <c r="D2340" s="35">
        <v>8702</v>
      </c>
      <c r="E2340" s="4" t="s">
        <v>3922</v>
      </c>
      <c r="F2340" s="5">
        <v>40323</v>
      </c>
      <c r="H2340" s="4" t="s">
        <v>40</v>
      </c>
      <c r="I2340" s="6">
        <v>8646.5</v>
      </c>
      <c r="J2340" s="6">
        <v>4323.25</v>
      </c>
      <c r="K2340" s="37" t="s">
        <v>3614</v>
      </c>
      <c r="L2340" s="120"/>
      <c r="M2340" s="3"/>
    </row>
    <row r="2341" spans="1:13" s="4" customFormat="1" ht="14.25" customHeight="1" x14ac:dyDescent="0.25">
      <c r="A2341" s="4" t="s">
        <v>3923</v>
      </c>
      <c r="B2341" s="4" t="s">
        <v>90</v>
      </c>
      <c r="C2341" s="4" t="s">
        <v>14</v>
      </c>
      <c r="D2341" s="35">
        <v>8703</v>
      </c>
      <c r="E2341" s="4" t="s">
        <v>3924</v>
      </c>
      <c r="F2341" s="5">
        <v>40567</v>
      </c>
      <c r="H2341" s="4" t="s">
        <v>40</v>
      </c>
      <c r="I2341" s="6">
        <v>9773.7999999999993</v>
      </c>
      <c r="J2341" s="6">
        <v>4886.8999999999996</v>
      </c>
      <c r="K2341" s="37" t="s">
        <v>3614</v>
      </c>
      <c r="L2341" s="120"/>
      <c r="M2341" s="3"/>
    </row>
    <row r="2342" spans="1:13" s="4" customFormat="1" ht="14.25" customHeight="1" x14ac:dyDescent="0.25">
      <c r="A2342" s="4" t="s">
        <v>3925</v>
      </c>
      <c r="B2342" s="4" t="s">
        <v>183</v>
      </c>
      <c r="C2342" s="4" t="s">
        <v>14</v>
      </c>
      <c r="D2342" s="35">
        <v>8704</v>
      </c>
      <c r="E2342" s="4" t="s">
        <v>3926</v>
      </c>
      <c r="F2342" s="5">
        <v>40594</v>
      </c>
      <c r="H2342" s="4" t="s">
        <v>40</v>
      </c>
      <c r="I2342" s="6">
        <v>12375</v>
      </c>
      <c r="J2342" s="6">
        <v>12375</v>
      </c>
      <c r="K2342" s="37" t="s">
        <v>3614</v>
      </c>
      <c r="L2342" s="120"/>
      <c r="M2342" s="3"/>
    </row>
    <row r="2343" spans="1:13" s="4" customFormat="1" ht="14.25" customHeight="1" x14ac:dyDescent="0.25">
      <c r="A2343" s="4" t="s">
        <v>3929</v>
      </c>
      <c r="B2343" s="4" t="s">
        <v>190</v>
      </c>
      <c r="C2343" s="4" t="s">
        <v>14</v>
      </c>
      <c r="D2343" s="35">
        <v>8706</v>
      </c>
      <c r="E2343" s="4" t="s">
        <v>3930</v>
      </c>
      <c r="F2343" s="5">
        <v>40519</v>
      </c>
      <c r="H2343" s="4" t="s">
        <v>40</v>
      </c>
      <c r="I2343" s="6">
        <v>24268.52</v>
      </c>
      <c r="J2343" s="6">
        <v>14478.02</v>
      </c>
      <c r="K2343" s="37" t="s">
        <v>3614</v>
      </c>
      <c r="L2343" s="120"/>
      <c r="M2343" s="3"/>
    </row>
    <row r="2344" spans="1:13" s="4" customFormat="1" ht="14.25" customHeight="1" x14ac:dyDescent="0.25">
      <c r="A2344" s="4" t="s">
        <v>3931</v>
      </c>
      <c r="B2344" s="4" t="s">
        <v>183</v>
      </c>
      <c r="C2344" s="4" t="s">
        <v>14</v>
      </c>
      <c r="D2344" s="35">
        <v>8707</v>
      </c>
      <c r="E2344" s="4" t="s">
        <v>3932</v>
      </c>
      <c r="F2344" s="5">
        <v>40596</v>
      </c>
      <c r="H2344" s="4" t="s">
        <v>40</v>
      </c>
      <c r="I2344" s="6">
        <v>11250</v>
      </c>
      <c r="J2344" s="6">
        <v>11250</v>
      </c>
      <c r="K2344" s="37" t="s">
        <v>3614</v>
      </c>
      <c r="L2344" s="120"/>
      <c r="M2344" s="3"/>
    </row>
    <row r="2345" spans="1:13" s="4" customFormat="1" ht="14.25" customHeight="1" x14ac:dyDescent="0.25">
      <c r="A2345" s="4" t="s">
        <v>3935</v>
      </c>
      <c r="B2345" s="4" t="s">
        <v>183</v>
      </c>
      <c r="C2345" s="4" t="s">
        <v>14</v>
      </c>
      <c r="D2345" s="35">
        <v>8719</v>
      </c>
      <c r="E2345" s="4" t="s">
        <v>3936</v>
      </c>
      <c r="F2345" s="5">
        <v>40568</v>
      </c>
      <c r="H2345" s="4" t="s">
        <v>40</v>
      </c>
      <c r="I2345" s="6">
        <v>12403.07</v>
      </c>
      <c r="J2345" s="6">
        <v>12403.07</v>
      </c>
      <c r="K2345" s="37" t="s">
        <v>3614</v>
      </c>
      <c r="L2345" s="120"/>
      <c r="M2345" s="3"/>
    </row>
    <row r="2346" spans="1:13" s="4" customFormat="1" ht="14.25" customHeight="1" x14ac:dyDescent="0.25">
      <c r="A2346" s="4" t="s">
        <v>3939</v>
      </c>
      <c r="B2346" s="4" t="s">
        <v>190</v>
      </c>
      <c r="C2346" s="4" t="s">
        <v>14</v>
      </c>
      <c r="D2346" s="35">
        <v>8721</v>
      </c>
      <c r="E2346" s="4" t="s">
        <v>3940</v>
      </c>
      <c r="F2346" s="5">
        <v>40869</v>
      </c>
      <c r="H2346" s="4" t="s">
        <v>40</v>
      </c>
      <c r="I2346" s="6">
        <v>7500</v>
      </c>
      <c r="J2346" s="6">
        <v>7500</v>
      </c>
      <c r="K2346" s="37" t="s">
        <v>3614</v>
      </c>
      <c r="L2346" s="120"/>
      <c r="M2346" s="3"/>
    </row>
    <row r="2347" spans="1:13" s="4" customFormat="1" ht="14.25" customHeight="1" x14ac:dyDescent="0.25">
      <c r="A2347" s="4" t="s">
        <v>3941</v>
      </c>
      <c r="B2347" s="4" t="s">
        <v>183</v>
      </c>
      <c r="C2347" s="4" t="s">
        <v>14</v>
      </c>
      <c r="D2347" s="35">
        <v>8723</v>
      </c>
      <c r="E2347" s="4" t="s">
        <v>3942</v>
      </c>
      <c r="F2347" s="5">
        <v>40813</v>
      </c>
      <c r="H2347" s="4" t="s">
        <v>40</v>
      </c>
      <c r="I2347" s="6">
        <v>5000</v>
      </c>
      <c r="J2347" s="6">
        <v>5000</v>
      </c>
      <c r="K2347" s="37" t="s">
        <v>3614</v>
      </c>
      <c r="L2347" s="120"/>
      <c r="M2347" s="3"/>
    </row>
    <row r="2348" spans="1:13" s="4" customFormat="1" ht="14.25" customHeight="1" x14ac:dyDescent="0.25">
      <c r="A2348" s="4" t="s">
        <v>3943</v>
      </c>
      <c r="B2348" s="4" t="s">
        <v>183</v>
      </c>
      <c r="C2348" s="4" t="s">
        <v>14</v>
      </c>
      <c r="D2348" s="35">
        <v>8740</v>
      </c>
      <c r="E2348" s="4" t="s">
        <v>3944</v>
      </c>
      <c r="F2348" s="5">
        <v>40813</v>
      </c>
      <c r="H2348" s="4" t="s">
        <v>40</v>
      </c>
      <c r="I2348" s="6">
        <v>5000</v>
      </c>
      <c r="J2348" s="6">
        <v>5000</v>
      </c>
      <c r="K2348" s="37" t="s">
        <v>3614</v>
      </c>
      <c r="L2348" s="120"/>
      <c r="M2348" s="3"/>
    </row>
    <row r="2349" spans="1:13" s="4" customFormat="1" ht="14.25" customHeight="1" x14ac:dyDescent="0.25">
      <c r="A2349" s="4" t="s">
        <v>3945</v>
      </c>
      <c r="B2349" s="4" t="s">
        <v>190</v>
      </c>
      <c r="C2349" s="4" t="s">
        <v>14</v>
      </c>
      <c r="D2349" s="35">
        <v>8745</v>
      </c>
      <c r="E2349" s="4" t="s">
        <v>3736</v>
      </c>
      <c r="F2349" s="5">
        <v>40841</v>
      </c>
      <c r="H2349" s="4" t="s">
        <v>40</v>
      </c>
      <c r="I2349" s="6">
        <v>6750</v>
      </c>
      <c r="J2349" s="6">
        <v>6750</v>
      </c>
      <c r="K2349" s="37" t="s">
        <v>3614</v>
      </c>
      <c r="L2349" s="120"/>
      <c r="M2349" s="3"/>
    </row>
    <row r="2350" spans="1:13" s="4" customFormat="1" ht="14.25" customHeight="1" x14ac:dyDescent="0.25">
      <c r="A2350" s="4" t="s">
        <v>3950</v>
      </c>
      <c r="B2350" s="4" t="s">
        <v>183</v>
      </c>
      <c r="C2350" s="4" t="s">
        <v>14</v>
      </c>
      <c r="D2350" s="35">
        <v>8748</v>
      </c>
      <c r="E2350" s="4" t="s">
        <v>3951</v>
      </c>
      <c r="F2350" s="5">
        <v>40897</v>
      </c>
      <c r="H2350" s="4" t="s">
        <v>40</v>
      </c>
      <c r="I2350" s="6">
        <v>9000</v>
      </c>
      <c r="J2350" s="6">
        <v>9000</v>
      </c>
      <c r="K2350" s="37" t="s">
        <v>3614</v>
      </c>
      <c r="L2350" s="120"/>
      <c r="M2350" s="3"/>
    </row>
    <row r="2351" spans="1:13" s="4" customFormat="1" ht="14.25" customHeight="1" x14ac:dyDescent="0.25">
      <c r="A2351" s="4" t="s">
        <v>3952</v>
      </c>
      <c r="B2351" s="4" t="s">
        <v>190</v>
      </c>
      <c r="C2351" s="4" t="s">
        <v>14</v>
      </c>
      <c r="D2351" s="35">
        <v>10738</v>
      </c>
      <c r="E2351" s="4" t="s">
        <v>3953</v>
      </c>
      <c r="F2351" s="5">
        <v>41261</v>
      </c>
      <c r="H2351" s="4" t="s">
        <v>40</v>
      </c>
      <c r="I2351" s="6">
        <v>15000</v>
      </c>
      <c r="J2351" s="6">
        <f>7500+7500</f>
        <v>15000</v>
      </c>
      <c r="K2351" s="37" t="s">
        <v>3614</v>
      </c>
      <c r="L2351" s="120"/>
      <c r="M2351" s="3"/>
    </row>
    <row r="2352" spans="1:13" s="4" customFormat="1" ht="14.25" customHeight="1" x14ac:dyDescent="0.25">
      <c r="A2352" s="4" t="s">
        <v>3954</v>
      </c>
      <c r="B2352" s="4" t="s">
        <v>190</v>
      </c>
      <c r="C2352" s="4" t="s">
        <v>14</v>
      </c>
      <c r="D2352" s="35">
        <v>10741</v>
      </c>
      <c r="E2352" s="4" t="s">
        <v>3955</v>
      </c>
      <c r="F2352" s="5">
        <v>40869</v>
      </c>
      <c r="H2352" s="4" t="s">
        <v>40</v>
      </c>
      <c r="I2352" s="6">
        <v>14343</v>
      </c>
      <c r="J2352" s="6">
        <v>14343</v>
      </c>
      <c r="K2352" s="37" t="s">
        <v>3614</v>
      </c>
      <c r="L2352" s="120"/>
      <c r="M2352" s="3"/>
    </row>
    <row r="2353" spans="1:13" s="4" customFormat="1" ht="14.25" customHeight="1" x14ac:dyDescent="0.25">
      <c r="A2353" s="4" t="s">
        <v>3956</v>
      </c>
      <c r="B2353" s="4" t="s">
        <v>183</v>
      </c>
      <c r="C2353" s="4" t="s">
        <v>14</v>
      </c>
      <c r="D2353" s="35">
        <v>10743</v>
      </c>
      <c r="E2353" s="4" t="s">
        <v>3957</v>
      </c>
      <c r="F2353" s="5">
        <v>40869</v>
      </c>
      <c r="H2353" s="4" t="s">
        <v>40</v>
      </c>
      <c r="I2353" s="6">
        <v>782</v>
      </c>
      <c r="J2353" s="6">
        <v>782</v>
      </c>
      <c r="K2353" s="37" t="s">
        <v>3614</v>
      </c>
      <c r="L2353" s="120"/>
      <c r="M2353" s="3"/>
    </row>
    <row r="2354" spans="1:13" s="4" customFormat="1" ht="14.25" customHeight="1" x14ac:dyDescent="0.25">
      <c r="A2354" s="4" t="s">
        <v>3958</v>
      </c>
      <c r="B2354" s="4" t="s">
        <v>190</v>
      </c>
      <c r="C2354" s="4" t="s">
        <v>14</v>
      </c>
      <c r="D2354" s="35">
        <v>10744</v>
      </c>
      <c r="E2354" s="4" t="s">
        <v>3959</v>
      </c>
      <c r="F2354" s="5">
        <v>40897</v>
      </c>
      <c r="H2354" s="4" t="s">
        <v>40</v>
      </c>
      <c r="I2354" s="6">
        <v>15000</v>
      </c>
      <c r="J2354" s="6">
        <v>15000</v>
      </c>
      <c r="K2354" s="37" t="s">
        <v>3614</v>
      </c>
      <c r="L2354" s="120"/>
      <c r="M2354" s="3"/>
    </row>
    <row r="2355" spans="1:13" s="4" customFormat="1" ht="14.25" customHeight="1" x14ac:dyDescent="0.25">
      <c r="A2355" s="4" t="s">
        <v>3960</v>
      </c>
      <c r="B2355" s="4" t="s">
        <v>90</v>
      </c>
      <c r="C2355" s="4" t="s">
        <v>14</v>
      </c>
      <c r="D2355" s="35">
        <v>10745</v>
      </c>
      <c r="E2355" s="4" t="s">
        <v>3961</v>
      </c>
      <c r="F2355" s="5">
        <v>40652</v>
      </c>
      <c r="H2355" s="4" t="s">
        <v>40</v>
      </c>
      <c r="I2355" s="6">
        <v>10000</v>
      </c>
      <c r="J2355" s="6">
        <v>5000</v>
      </c>
      <c r="K2355" s="37" t="s">
        <v>3614</v>
      </c>
      <c r="L2355" s="120"/>
      <c r="M2355" s="3"/>
    </row>
    <row r="2356" spans="1:13" s="4" customFormat="1" ht="14.25" customHeight="1" x14ac:dyDescent="0.25">
      <c r="A2356" s="4" t="s">
        <v>3962</v>
      </c>
      <c r="B2356" s="4" t="s">
        <v>183</v>
      </c>
      <c r="C2356" s="4" t="s">
        <v>14</v>
      </c>
      <c r="D2356" s="35">
        <v>10752</v>
      </c>
      <c r="E2356" s="4" t="s">
        <v>3963</v>
      </c>
      <c r="F2356" s="5">
        <v>40869</v>
      </c>
      <c r="H2356" s="4" t="s">
        <v>40</v>
      </c>
      <c r="I2356" s="6">
        <v>10261.299999999999</v>
      </c>
      <c r="J2356" s="6">
        <v>10261.299999999999</v>
      </c>
      <c r="K2356" s="37" t="s">
        <v>3614</v>
      </c>
      <c r="L2356" s="120"/>
      <c r="M2356" s="3"/>
    </row>
    <row r="2357" spans="1:13" s="4" customFormat="1" ht="14.25" customHeight="1" x14ac:dyDescent="0.25">
      <c r="A2357" s="4" t="s">
        <v>3964</v>
      </c>
      <c r="B2357" s="4" t="s">
        <v>190</v>
      </c>
      <c r="C2357" s="4" t="s">
        <v>14</v>
      </c>
      <c r="D2357" s="35">
        <v>10758</v>
      </c>
      <c r="E2357" s="4" t="s">
        <v>3965</v>
      </c>
      <c r="F2357" s="5">
        <v>40890</v>
      </c>
      <c r="H2357" s="4" t="s">
        <v>40</v>
      </c>
      <c r="I2357" s="6">
        <v>4125</v>
      </c>
      <c r="J2357" s="6">
        <v>4125</v>
      </c>
      <c r="K2357" s="37" t="s">
        <v>3614</v>
      </c>
      <c r="L2357" s="120"/>
      <c r="M2357" s="3"/>
    </row>
    <row r="2358" spans="1:13" s="4" customFormat="1" ht="14.25" customHeight="1" x14ac:dyDescent="0.25">
      <c r="A2358" s="4" t="s">
        <v>3966</v>
      </c>
      <c r="B2358" s="4" t="s">
        <v>183</v>
      </c>
      <c r="C2358" s="4" t="s">
        <v>14</v>
      </c>
      <c r="D2358" s="35">
        <v>10761</v>
      </c>
      <c r="E2358" s="4" t="s">
        <v>3967</v>
      </c>
      <c r="F2358" s="5">
        <v>40896</v>
      </c>
      <c r="H2358" s="4" t="s">
        <v>40</v>
      </c>
      <c r="I2358" s="6">
        <v>5000</v>
      </c>
      <c r="J2358" s="6">
        <v>5000</v>
      </c>
      <c r="K2358" s="37" t="s">
        <v>3614</v>
      </c>
      <c r="L2358" s="120"/>
      <c r="M2358" s="3"/>
    </row>
    <row r="2359" spans="1:13" s="4" customFormat="1" ht="14.25" customHeight="1" x14ac:dyDescent="0.25">
      <c r="A2359" s="4" t="s">
        <v>3968</v>
      </c>
      <c r="B2359" s="4" t="s">
        <v>183</v>
      </c>
      <c r="C2359" s="4" t="s">
        <v>14</v>
      </c>
      <c r="D2359" s="35">
        <v>10766</v>
      </c>
      <c r="E2359" s="4" t="s">
        <v>3969</v>
      </c>
      <c r="F2359" s="5">
        <v>40624</v>
      </c>
      <c r="H2359" s="4" t="s">
        <v>40</v>
      </c>
      <c r="I2359" s="6">
        <v>3300</v>
      </c>
      <c r="J2359" s="6">
        <v>3300</v>
      </c>
      <c r="K2359" s="37" t="s">
        <v>3614</v>
      </c>
      <c r="L2359" s="120"/>
      <c r="M2359" s="3"/>
    </row>
    <row r="2360" spans="1:13" s="4" customFormat="1" ht="14.25" customHeight="1" x14ac:dyDescent="0.25">
      <c r="A2360" s="4" t="s">
        <v>3970</v>
      </c>
      <c r="B2360" s="4" t="s">
        <v>190</v>
      </c>
      <c r="C2360" s="4" t="s">
        <v>14</v>
      </c>
      <c r="D2360" s="35">
        <v>10767</v>
      </c>
      <c r="E2360" s="4" t="s">
        <v>3971</v>
      </c>
      <c r="F2360" s="5">
        <v>40890</v>
      </c>
      <c r="H2360" s="4" t="s">
        <v>40</v>
      </c>
      <c r="I2360" s="6">
        <v>5625</v>
      </c>
      <c r="J2360" s="6">
        <v>5625</v>
      </c>
      <c r="K2360" s="37" t="s">
        <v>3614</v>
      </c>
      <c r="L2360" s="120"/>
      <c r="M2360" s="3"/>
    </row>
    <row r="2361" spans="1:13" s="4" customFormat="1" ht="14.25" customHeight="1" x14ac:dyDescent="0.25">
      <c r="A2361" s="4" t="s">
        <v>3972</v>
      </c>
      <c r="B2361" s="4" t="s">
        <v>183</v>
      </c>
      <c r="C2361" s="4" t="s">
        <v>14</v>
      </c>
      <c r="D2361" s="35">
        <v>10768</v>
      </c>
      <c r="E2361" s="4" t="s">
        <v>3973</v>
      </c>
      <c r="F2361" s="5">
        <v>40722</v>
      </c>
      <c r="H2361" s="4" t="s">
        <v>40</v>
      </c>
      <c r="I2361" s="6">
        <v>10000</v>
      </c>
      <c r="J2361" s="6">
        <v>10000</v>
      </c>
      <c r="K2361" s="37" t="s">
        <v>3614</v>
      </c>
      <c r="L2361" s="120"/>
      <c r="M2361" s="3"/>
    </row>
    <row r="2362" spans="1:13" s="4" customFormat="1" ht="14.25" customHeight="1" x14ac:dyDescent="0.25">
      <c r="A2362" s="4" t="s">
        <v>3974</v>
      </c>
      <c r="B2362" s="4" t="s">
        <v>183</v>
      </c>
      <c r="C2362" s="4" t="s">
        <v>14</v>
      </c>
      <c r="D2362" s="35">
        <v>10769</v>
      </c>
      <c r="E2362" s="4" t="s">
        <v>3975</v>
      </c>
      <c r="F2362" s="5">
        <v>40624</v>
      </c>
      <c r="H2362" s="4" t="s">
        <v>40</v>
      </c>
      <c r="I2362" s="6">
        <v>2500</v>
      </c>
      <c r="J2362" s="6">
        <v>2500</v>
      </c>
      <c r="K2362" s="37" t="s">
        <v>3614</v>
      </c>
      <c r="L2362" s="120"/>
      <c r="M2362" s="3"/>
    </row>
    <row r="2363" spans="1:13" s="4" customFormat="1" ht="14.25" customHeight="1" x14ac:dyDescent="0.25">
      <c r="A2363" s="4" t="s">
        <v>3976</v>
      </c>
      <c r="B2363" s="4" t="s">
        <v>183</v>
      </c>
      <c r="C2363" s="4" t="s">
        <v>14</v>
      </c>
      <c r="D2363" s="35">
        <v>10770</v>
      </c>
      <c r="E2363" s="4" t="s">
        <v>3977</v>
      </c>
      <c r="F2363" s="5">
        <v>40687</v>
      </c>
      <c r="H2363" s="4" t="s">
        <v>40</v>
      </c>
      <c r="I2363" s="6">
        <v>10000</v>
      </c>
      <c r="J2363" s="6">
        <v>10000</v>
      </c>
      <c r="K2363" s="37" t="s">
        <v>3614</v>
      </c>
      <c r="L2363" s="120"/>
      <c r="M2363" s="3"/>
    </row>
    <row r="2364" spans="1:13" s="4" customFormat="1" ht="14.25" customHeight="1" x14ac:dyDescent="0.25">
      <c r="A2364" s="4" t="s">
        <v>3978</v>
      </c>
      <c r="B2364" s="4" t="s">
        <v>183</v>
      </c>
      <c r="C2364" s="4" t="s">
        <v>14</v>
      </c>
      <c r="D2364" s="35">
        <v>10771</v>
      </c>
      <c r="E2364" s="4" t="s">
        <v>3979</v>
      </c>
      <c r="F2364" s="5">
        <v>40967</v>
      </c>
      <c r="H2364" s="4" t="s">
        <v>40</v>
      </c>
      <c r="I2364" s="6">
        <v>18750</v>
      </c>
      <c r="J2364" s="6">
        <v>18750</v>
      </c>
      <c r="K2364" s="37" t="s">
        <v>3614</v>
      </c>
      <c r="L2364" s="120"/>
      <c r="M2364" s="3"/>
    </row>
    <row r="2365" spans="1:13" s="4" customFormat="1" ht="14.25" customHeight="1" x14ac:dyDescent="0.25">
      <c r="A2365" s="4" t="s">
        <v>3980</v>
      </c>
      <c r="B2365" s="4" t="s">
        <v>183</v>
      </c>
      <c r="C2365" s="4" t="s">
        <v>14</v>
      </c>
      <c r="D2365" s="35">
        <v>10772</v>
      </c>
      <c r="E2365" s="4" t="s">
        <v>3981</v>
      </c>
      <c r="F2365" s="5">
        <v>40967</v>
      </c>
      <c r="H2365" s="4" t="s">
        <v>40</v>
      </c>
      <c r="I2365" s="6">
        <v>22125</v>
      </c>
      <c r="J2365" s="6">
        <v>22125</v>
      </c>
      <c r="K2365" s="37" t="s">
        <v>3614</v>
      </c>
      <c r="L2365" s="120"/>
      <c r="M2365" s="3"/>
    </row>
    <row r="2366" spans="1:13" s="4" customFormat="1" ht="14.25" customHeight="1" x14ac:dyDescent="0.25">
      <c r="A2366" s="4" t="s">
        <v>3982</v>
      </c>
      <c r="B2366" s="4" t="s">
        <v>183</v>
      </c>
      <c r="C2366" s="4" t="s">
        <v>14</v>
      </c>
      <c r="D2366" s="35">
        <v>10773</v>
      </c>
      <c r="E2366" s="4" t="s">
        <v>3983</v>
      </c>
      <c r="F2366" s="5">
        <v>40995</v>
      </c>
      <c r="H2366" s="4" t="s">
        <v>40</v>
      </c>
      <c r="I2366" s="6">
        <v>7500</v>
      </c>
      <c r="J2366" s="6">
        <v>7500</v>
      </c>
      <c r="K2366" s="37" t="s">
        <v>3614</v>
      </c>
      <c r="L2366" s="120"/>
      <c r="M2366" s="3"/>
    </row>
    <row r="2367" spans="1:13" s="4" customFormat="1" ht="14.25" customHeight="1" x14ac:dyDescent="0.25">
      <c r="A2367" s="4" t="s">
        <v>3985</v>
      </c>
      <c r="B2367" s="4" t="s">
        <v>183</v>
      </c>
      <c r="C2367" s="4" t="s">
        <v>14</v>
      </c>
      <c r="D2367" s="35">
        <v>10775</v>
      </c>
      <c r="E2367" s="4" t="s">
        <v>3986</v>
      </c>
      <c r="F2367" s="5">
        <v>40722</v>
      </c>
      <c r="H2367" s="4" t="s">
        <v>40</v>
      </c>
      <c r="I2367" s="6">
        <v>9687.5</v>
      </c>
      <c r="J2367" s="6">
        <v>9687.5</v>
      </c>
      <c r="K2367" s="37" t="s">
        <v>3614</v>
      </c>
      <c r="L2367" s="120"/>
      <c r="M2367" s="3"/>
    </row>
    <row r="2368" spans="1:13" s="4" customFormat="1" ht="14.25" customHeight="1" x14ac:dyDescent="0.25">
      <c r="A2368" s="4" t="s">
        <v>3987</v>
      </c>
      <c r="B2368" s="4" t="s">
        <v>190</v>
      </c>
      <c r="C2368" s="4" t="s">
        <v>14</v>
      </c>
      <c r="D2368" s="35">
        <v>10776</v>
      </c>
      <c r="E2368" s="4" t="s">
        <v>3988</v>
      </c>
      <c r="F2368" s="5">
        <v>40687</v>
      </c>
      <c r="H2368" s="4" t="s">
        <v>40</v>
      </c>
      <c r="I2368" s="6">
        <v>5000</v>
      </c>
      <c r="J2368" s="6">
        <v>5000</v>
      </c>
      <c r="K2368" s="37" t="s">
        <v>3614</v>
      </c>
      <c r="L2368" s="120"/>
      <c r="M2368" s="3"/>
    </row>
    <row r="2369" spans="1:13" s="4" customFormat="1" ht="14.25" customHeight="1" x14ac:dyDescent="0.25">
      <c r="A2369" s="4" t="s">
        <v>3989</v>
      </c>
      <c r="B2369" s="4" t="s">
        <v>183</v>
      </c>
      <c r="C2369" s="4" t="s">
        <v>14</v>
      </c>
      <c r="D2369" s="35">
        <v>10783</v>
      </c>
      <c r="E2369" s="4" t="s">
        <v>3990</v>
      </c>
      <c r="F2369" s="5">
        <v>40967</v>
      </c>
      <c r="H2369" s="4" t="s">
        <v>40</v>
      </c>
      <c r="I2369" s="6">
        <v>5625</v>
      </c>
      <c r="J2369" s="6">
        <v>5625</v>
      </c>
      <c r="K2369" s="37" t="s">
        <v>3614</v>
      </c>
      <c r="L2369" s="120"/>
      <c r="M2369" s="3"/>
    </row>
    <row r="2370" spans="1:13" s="4" customFormat="1" ht="14.25" customHeight="1" x14ac:dyDescent="0.25">
      <c r="A2370" s="4" t="s">
        <v>3991</v>
      </c>
      <c r="B2370" s="4" t="s">
        <v>183</v>
      </c>
      <c r="C2370" s="4" t="s">
        <v>14</v>
      </c>
      <c r="D2370" s="35">
        <v>10791</v>
      </c>
      <c r="E2370" s="4" t="s">
        <v>3992</v>
      </c>
      <c r="F2370" s="5">
        <v>41051</v>
      </c>
      <c r="H2370" s="4" t="s">
        <v>40</v>
      </c>
      <c r="I2370" s="6">
        <v>7500</v>
      </c>
      <c r="J2370" s="6">
        <v>7500</v>
      </c>
      <c r="K2370" s="37" t="s">
        <v>3614</v>
      </c>
      <c r="L2370" s="120"/>
      <c r="M2370" s="3"/>
    </row>
    <row r="2371" spans="1:13" s="4" customFormat="1" ht="14.25" customHeight="1" x14ac:dyDescent="0.25">
      <c r="A2371" s="4" t="s">
        <v>3993</v>
      </c>
      <c r="B2371" s="4" t="s">
        <v>183</v>
      </c>
      <c r="C2371" s="4" t="s">
        <v>14</v>
      </c>
      <c r="D2371" s="35">
        <v>10795</v>
      </c>
      <c r="E2371" s="4" t="s">
        <v>3994</v>
      </c>
      <c r="F2371" s="5">
        <v>41051</v>
      </c>
      <c r="H2371" s="4" t="s">
        <v>40</v>
      </c>
      <c r="I2371" s="6">
        <v>11625</v>
      </c>
      <c r="J2371" s="6">
        <f>6750+4875</f>
        <v>11625</v>
      </c>
      <c r="K2371" s="37" t="s">
        <v>3614</v>
      </c>
      <c r="L2371" s="120"/>
      <c r="M2371" s="3"/>
    </row>
    <row r="2372" spans="1:13" s="4" customFormat="1" ht="14.25" customHeight="1" x14ac:dyDescent="0.25">
      <c r="A2372" s="4" t="s">
        <v>3995</v>
      </c>
      <c r="B2372" s="4" t="s">
        <v>183</v>
      </c>
      <c r="C2372" s="4" t="s">
        <v>14</v>
      </c>
      <c r="D2372" s="35">
        <v>10801</v>
      </c>
      <c r="E2372" s="4" t="s">
        <v>3996</v>
      </c>
      <c r="F2372" s="5">
        <v>41051</v>
      </c>
      <c r="H2372" s="4" t="s">
        <v>40</v>
      </c>
      <c r="I2372" s="6">
        <v>7500</v>
      </c>
      <c r="J2372" s="6">
        <f>3750+3750</f>
        <v>7500</v>
      </c>
      <c r="K2372" s="37" t="s">
        <v>3614</v>
      </c>
      <c r="L2372" s="120"/>
      <c r="M2372" s="3"/>
    </row>
    <row r="2373" spans="1:13" s="4" customFormat="1" ht="14.25" customHeight="1" x14ac:dyDescent="0.25">
      <c r="A2373" s="4" t="s">
        <v>3997</v>
      </c>
      <c r="B2373" s="4" t="s">
        <v>183</v>
      </c>
      <c r="C2373" s="4" t="s">
        <v>14</v>
      </c>
      <c r="D2373" s="35">
        <v>10802</v>
      </c>
      <c r="E2373" s="4" t="s">
        <v>3998</v>
      </c>
      <c r="F2373" s="5">
        <v>40750</v>
      </c>
      <c r="H2373" s="4" t="s">
        <v>40</v>
      </c>
      <c r="I2373" s="6">
        <v>7500</v>
      </c>
      <c r="J2373" s="6">
        <v>7500</v>
      </c>
      <c r="K2373" s="37" t="s">
        <v>3614</v>
      </c>
      <c r="L2373" s="120"/>
      <c r="M2373" s="3"/>
    </row>
    <row r="2374" spans="1:13" s="4" customFormat="1" ht="14.25" customHeight="1" x14ac:dyDescent="0.25">
      <c r="A2374" s="4" t="s">
        <v>3999</v>
      </c>
      <c r="B2374" s="4" t="s">
        <v>183</v>
      </c>
      <c r="C2374" s="4" t="s">
        <v>14</v>
      </c>
      <c r="D2374" s="35">
        <v>10803</v>
      </c>
      <c r="E2374" s="4" t="s">
        <v>4000</v>
      </c>
      <c r="F2374" s="5">
        <v>40995</v>
      </c>
      <c r="H2374" s="4" t="s">
        <v>40</v>
      </c>
      <c r="I2374" s="6">
        <v>26085.200000000001</v>
      </c>
      <c r="J2374" s="6">
        <f>9952.2+16133</f>
        <v>26085.200000000001</v>
      </c>
      <c r="K2374" s="37" t="s">
        <v>3614</v>
      </c>
      <c r="L2374" s="120"/>
      <c r="M2374" s="3"/>
    </row>
    <row r="2375" spans="1:13" s="4" customFormat="1" ht="14.25" customHeight="1" x14ac:dyDescent="0.25">
      <c r="A2375" s="4" t="s">
        <v>4001</v>
      </c>
      <c r="B2375" s="4" t="s">
        <v>183</v>
      </c>
      <c r="C2375" s="4" t="s">
        <v>14</v>
      </c>
      <c r="D2375" s="35">
        <v>10804</v>
      </c>
      <c r="E2375" s="4" t="s">
        <v>4002</v>
      </c>
      <c r="F2375" s="5">
        <v>41205</v>
      </c>
      <c r="H2375" s="4" t="s">
        <v>40</v>
      </c>
      <c r="I2375" s="6">
        <v>9375</v>
      </c>
      <c r="J2375" s="6">
        <v>9375</v>
      </c>
      <c r="K2375" s="37" t="s">
        <v>3614</v>
      </c>
      <c r="L2375" s="120"/>
      <c r="M2375" s="3"/>
    </row>
    <row r="2376" spans="1:13" s="4" customFormat="1" ht="14.25" customHeight="1" x14ac:dyDescent="0.25">
      <c r="A2376" s="4" t="s">
        <v>4003</v>
      </c>
      <c r="B2376" s="4" t="s">
        <v>183</v>
      </c>
      <c r="C2376" s="4" t="s">
        <v>14</v>
      </c>
      <c r="D2376" s="35">
        <v>10805</v>
      </c>
      <c r="E2376" s="7" t="s">
        <v>4004</v>
      </c>
      <c r="F2376" s="5">
        <v>41205</v>
      </c>
      <c r="H2376" s="4" t="s">
        <v>40</v>
      </c>
      <c r="I2376" s="6">
        <v>30000</v>
      </c>
      <c r="J2376" s="6">
        <v>30000</v>
      </c>
      <c r="K2376" s="37" t="s">
        <v>3614</v>
      </c>
      <c r="L2376" s="120"/>
      <c r="M2376" s="3"/>
    </row>
    <row r="2377" spans="1:13" s="4" customFormat="1" ht="14.25" customHeight="1" x14ac:dyDescent="0.25">
      <c r="A2377" s="4" t="s">
        <v>4005</v>
      </c>
      <c r="B2377" s="4" t="s">
        <v>190</v>
      </c>
      <c r="C2377" s="4" t="s">
        <v>14</v>
      </c>
      <c r="D2377" s="35">
        <v>10806</v>
      </c>
      <c r="E2377" s="4" t="s">
        <v>4006</v>
      </c>
      <c r="F2377" s="5">
        <v>41240</v>
      </c>
      <c r="H2377" s="4" t="s">
        <v>40</v>
      </c>
      <c r="I2377" s="6">
        <v>875</v>
      </c>
      <c r="J2377" s="6">
        <v>875</v>
      </c>
      <c r="K2377" s="37" t="s">
        <v>3614</v>
      </c>
      <c r="L2377" s="120"/>
      <c r="M2377" s="3"/>
    </row>
    <row r="2378" spans="1:13" s="4" customFormat="1" ht="14.25" customHeight="1" x14ac:dyDescent="0.25">
      <c r="A2378" s="4" t="s">
        <v>4007</v>
      </c>
      <c r="B2378" s="4" t="s">
        <v>190</v>
      </c>
      <c r="C2378" s="4" t="s">
        <v>14</v>
      </c>
      <c r="D2378" s="35">
        <v>10807</v>
      </c>
      <c r="E2378" s="4" t="s">
        <v>4008</v>
      </c>
      <c r="F2378" s="5">
        <v>41205</v>
      </c>
      <c r="H2378" s="4" t="s">
        <v>40</v>
      </c>
      <c r="I2378" s="6">
        <v>9750</v>
      </c>
      <c r="J2378" s="6">
        <v>9750</v>
      </c>
      <c r="K2378" s="37" t="s">
        <v>3614</v>
      </c>
      <c r="L2378" s="120"/>
      <c r="M2378" s="3"/>
    </row>
    <row r="2379" spans="1:13" s="4" customFormat="1" ht="14.25" customHeight="1" x14ac:dyDescent="0.25">
      <c r="A2379" s="4" t="s">
        <v>4009</v>
      </c>
      <c r="B2379" s="4" t="s">
        <v>190</v>
      </c>
      <c r="C2379" s="4" t="s">
        <v>14</v>
      </c>
      <c r="D2379" s="35">
        <v>10970</v>
      </c>
      <c r="E2379" s="4" t="s">
        <v>3955</v>
      </c>
      <c r="F2379" s="5">
        <v>40869</v>
      </c>
      <c r="H2379" s="4" t="s">
        <v>40</v>
      </c>
      <c r="I2379" s="6">
        <v>9000</v>
      </c>
      <c r="J2379" s="6">
        <v>9000</v>
      </c>
      <c r="K2379" s="37" t="s">
        <v>3614</v>
      </c>
      <c r="L2379" s="120"/>
      <c r="M2379" s="3"/>
    </row>
    <row r="2380" spans="1:13" ht="14.25" customHeight="1" x14ac:dyDescent="0.25">
      <c r="A2380" s="13" t="s">
        <v>10567</v>
      </c>
      <c r="B2380" s="13" t="s">
        <v>10195</v>
      </c>
      <c r="C2380" s="13" t="s">
        <v>14</v>
      </c>
      <c r="D2380" s="19">
        <v>12359</v>
      </c>
      <c r="E2380" s="13" t="s">
        <v>10568</v>
      </c>
      <c r="F2380" s="14">
        <v>41051</v>
      </c>
      <c r="H2380" s="13" t="s">
        <v>651</v>
      </c>
      <c r="I2380" s="18">
        <v>7312</v>
      </c>
      <c r="J2380" s="18">
        <v>7312</v>
      </c>
      <c r="K2380" s="20" t="s">
        <v>3614</v>
      </c>
    </row>
    <row r="2381" spans="1:13" ht="14.25" customHeight="1" x14ac:dyDescent="0.25">
      <c r="A2381" s="13" t="s">
        <v>10569</v>
      </c>
      <c r="B2381" s="13" t="s">
        <v>10195</v>
      </c>
      <c r="C2381" s="13" t="s">
        <v>14</v>
      </c>
      <c r="D2381" s="19">
        <v>12366</v>
      </c>
      <c r="E2381" s="13" t="s">
        <v>10570</v>
      </c>
      <c r="F2381" s="14">
        <v>41177</v>
      </c>
      <c r="H2381" s="13" t="s">
        <v>651</v>
      </c>
      <c r="I2381" s="18">
        <v>7500</v>
      </c>
      <c r="J2381" s="18">
        <v>7500</v>
      </c>
      <c r="K2381" s="20" t="s">
        <v>3614</v>
      </c>
    </row>
    <row r="2382" spans="1:13" ht="14.25" customHeight="1" x14ac:dyDescent="0.25">
      <c r="A2382" s="13" t="s">
        <v>10571</v>
      </c>
      <c r="B2382" s="13" t="s">
        <v>10195</v>
      </c>
      <c r="C2382" s="13" t="s">
        <v>14</v>
      </c>
      <c r="D2382" s="19">
        <v>12367</v>
      </c>
      <c r="E2382" s="13" t="s">
        <v>10572</v>
      </c>
      <c r="F2382" s="14">
        <v>41261</v>
      </c>
      <c r="H2382" s="13" t="s">
        <v>651</v>
      </c>
      <c r="I2382" s="18">
        <v>13687</v>
      </c>
      <c r="J2382" s="18">
        <v>13687</v>
      </c>
      <c r="K2382" s="20" t="s">
        <v>3614</v>
      </c>
    </row>
    <row r="2383" spans="1:13" ht="14.25" customHeight="1" x14ac:dyDescent="0.25">
      <c r="A2383" s="13" t="s">
        <v>10573</v>
      </c>
      <c r="B2383" s="13" t="s">
        <v>10195</v>
      </c>
      <c r="C2383" s="13" t="s">
        <v>14</v>
      </c>
      <c r="D2383" s="19">
        <v>12368</v>
      </c>
      <c r="E2383" s="13" t="s">
        <v>10574</v>
      </c>
      <c r="F2383" s="14">
        <v>41051</v>
      </c>
      <c r="H2383" s="13" t="s">
        <v>651</v>
      </c>
      <c r="I2383" s="18">
        <v>21563</v>
      </c>
      <c r="J2383" s="18">
        <v>21563</v>
      </c>
      <c r="K2383" s="20" t="s">
        <v>3614</v>
      </c>
    </row>
    <row r="2384" spans="1:13" ht="14.25" customHeight="1" x14ac:dyDescent="0.25">
      <c r="A2384" s="13" t="s">
        <v>10575</v>
      </c>
      <c r="B2384" s="13" t="s">
        <v>10192</v>
      </c>
      <c r="C2384" s="13" t="s">
        <v>14</v>
      </c>
      <c r="D2384" s="19">
        <v>12369</v>
      </c>
      <c r="E2384" s="13" t="s">
        <v>10576</v>
      </c>
      <c r="F2384" s="14">
        <v>40967</v>
      </c>
      <c r="H2384" s="13" t="s">
        <v>651</v>
      </c>
      <c r="I2384" s="18">
        <v>9187</v>
      </c>
      <c r="J2384" s="18">
        <v>9187</v>
      </c>
      <c r="K2384" s="20" t="s">
        <v>3614</v>
      </c>
    </row>
    <row r="2385" spans="1:11" ht="14.25" customHeight="1" x14ac:dyDescent="0.25">
      <c r="A2385" s="13" t="s">
        <v>10577</v>
      </c>
      <c r="B2385" s="13" t="s">
        <v>10192</v>
      </c>
      <c r="C2385" s="13" t="s">
        <v>14</v>
      </c>
      <c r="D2385" s="19">
        <v>12370</v>
      </c>
      <c r="E2385" s="13" t="s">
        <v>10578</v>
      </c>
      <c r="F2385" s="14">
        <v>41261</v>
      </c>
      <c r="H2385" s="13" t="s">
        <v>651</v>
      </c>
      <c r="I2385" s="18">
        <v>6325</v>
      </c>
      <c r="J2385" s="18">
        <v>6325</v>
      </c>
      <c r="K2385" s="20" t="s">
        <v>3614</v>
      </c>
    </row>
    <row r="2386" spans="1:11" ht="14.25" customHeight="1" x14ac:dyDescent="0.25">
      <c r="A2386" s="13" t="s">
        <v>10579</v>
      </c>
      <c r="B2386" s="13" t="s">
        <v>10192</v>
      </c>
      <c r="C2386" s="13" t="s">
        <v>14</v>
      </c>
      <c r="D2386" s="19">
        <v>12371</v>
      </c>
      <c r="E2386" s="13" t="s">
        <v>10580</v>
      </c>
      <c r="F2386" s="14">
        <v>41261</v>
      </c>
      <c r="H2386" s="13" t="s">
        <v>651</v>
      </c>
      <c r="I2386" s="18">
        <v>4168</v>
      </c>
      <c r="J2386" s="18">
        <v>4168</v>
      </c>
      <c r="K2386" s="20" t="s">
        <v>3614</v>
      </c>
    </row>
    <row r="2387" spans="1:11" ht="14.25" customHeight="1" x14ac:dyDescent="0.25">
      <c r="A2387" s="13" t="s">
        <v>10581</v>
      </c>
      <c r="B2387" s="13" t="s">
        <v>10192</v>
      </c>
      <c r="C2387" s="13" t="s">
        <v>14</v>
      </c>
      <c r="D2387" s="19">
        <v>12372</v>
      </c>
      <c r="E2387" s="13" t="s">
        <v>10582</v>
      </c>
      <c r="F2387" s="14">
        <v>41051</v>
      </c>
      <c r="H2387" s="13" t="s">
        <v>651</v>
      </c>
      <c r="I2387" s="18">
        <v>5625</v>
      </c>
      <c r="J2387" s="18">
        <v>5625</v>
      </c>
      <c r="K2387" s="20" t="s">
        <v>3614</v>
      </c>
    </row>
    <row r="2388" spans="1:11" ht="14.25" customHeight="1" x14ac:dyDescent="0.25">
      <c r="A2388" s="13" t="s">
        <v>10583</v>
      </c>
      <c r="B2388" s="13" t="s">
        <v>10192</v>
      </c>
      <c r="C2388" s="13" t="s">
        <v>14</v>
      </c>
      <c r="D2388" s="19">
        <v>12373</v>
      </c>
      <c r="E2388" s="13" t="s">
        <v>10584</v>
      </c>
      <c r="F2388" s="14">
        <v>41114</v>
      </c>
      <c r="H2388" s="13" t="s">
        <v>651</v>
      </c>
      <c r="I2388" s="18">
        <v>14062</v>
      </c>
      <c r="J2388" s="18">
        <v>14062</v>
      </c>
      <c r="K2388" s="20" t="s">
        <v>3614</v>
      </c>
    </row>
    <row r="2389" spans="1:11" ht="14.25" customHeight="1" x14ac:dyDescent="0.25">
      <c r="A2389" s="13" t="s">
        <v>10585</v>
      </c>
      <c r="B2389" s="13" t="s">
        <v>10220</v>
      </c>
      <c r="C2389" s="13" t="s">
        <v>14</v>
      </c>
      <c r="D2389" s="19">
        <v>12375</v>
      </c>
      <c r="E2389" s="13" t="s">
        <v>10586</v>
      </c>
      <c r="F2389" s="14">
        <v>41240</v>
      </c>
      <c r="H2389" s="13" t="s">
        <v>651</v>
      </c>
      <c r="I2389" s="18">
        <v>10000</v>
      </c>
      <c r="J2389" s="18">
        <v>5000</v>
      </c>
      <c r="K2389" s="20" t="s">
        <v>3614</v>
      </c>
    </row>
    <row r="2390" spans="1:11" ht="14.25" customHeight="1" x14ac:dyDescent="0.25">
      <c r="A2390" s="13" t="s">
        <v>10587</v>
      </c>
      <c r="B2390" s="13" t="s">
        <v>10220</v>
      </c>
      <c r="C2390" s="13" t="s">
        <v>14</v>
      </c>
      <c r="D2390" s="19">
        <v>12378</v>
      </c>
      <c r="E2390" s="13" t="s">
        <v>10588</v>
      </c>
      <c r="F2390" s="14">
        <v>41205</v>
      </c>
      <c r="H2390" s="13" t="s">
        <v>651</v>
      </c>
      <c r="I2390" s="18">
        <v>10000</v>
      </c>
      <c r="J2390" s="18">
        <v>5000</v>
      </c>
      <c r="K2390" s="20" t="s">
        <v>3614</v>
      </c>
    </row>
    <row r="2391" spans="1:11" ht="14.25" customHeight="1" x14ac:dyDescent="0.25">
      <c r="A2391" s="13" t="s">
        <v>10589</v>
      </c>
      <c r="B2391" s="13" t="s">
        <v>10192</v>
      </c>
      <c r="C2391" s="13" t="s">
        <v>14</v>
      </c>
      <c r="D2391" s="19">
        <v>12386</v>
      </c>
      <c r="E2391" s="13" t="s">
        <v>4006</v>
      </c>
      <c r="F2391" s="14">
        <v>41051</v>
      </c>
      <c r="H2391" s="13" t="s">
        <v>651</v>
      </c>
      <c r="I2391" s="18">
        <v>13461</v>
      </c>
      <c r="J2391" s="18">
        <v>13461</v>
      </c>
      <c r="K2391" s="20" t="s">
        <v>3614</v>
      </c>
    </row>
    <row r="2392" spans="1:11" ht="14.25" customHeight="1" x14ac:dyDescent="0.25">
      <c r="A2392" s="13" t="s">
        <v>10590</v>
      </c>
      <c r="B2392" s="13" t="s">
        <v>10192</v>
      </c>
      <c r="C2392" s="13" t="s">
        <v>14</v>
      </c>
      <c r="D2392" s="19">
        <v>12387</v>
      </c>
      <c r="E2392" s="13" t="s">
        <v>10591</v>
      </c>
      <c r="F2392" s="14">
        <v>41114</v>
      </c>
      <c r="H2392" s="13" t="s">
        <v>651</v>
      </c>
      <c r="I2392" s="18">
        <v>6250</v>
      </c>
      <c r="J2392" s="18">
        <v>6250</v>
      </c>
      <c r="K2392" s="20" t="s">
        <v>3614</v>
      </c>
    </row>
    <row r="2393" spans="1:11" ht="14.25" customHeight="1" x14ac:dyDescent="0.25">
      <c r="A2393" s="13" t="s">
        <v>10592</v>
      </c>
      <c r="B2393" s="13" t="s">
        <v>10192</v>
      </c>
      <c r="C2393" s="13" t="s">
        <v>14</v>
      </c>
      <c r="D2393" s="19">
        <v>12388</v>
      </c>
      <c r="E2393" s="13" t="s">
        <v>10593</v>
      </c>
      <c r="F2393" s="14">
        <v>41177</v>
      </c>
      <c r="H2393" s="13" t="s">
        <v>651</v>
      </c>
      <c r="I2393" s="18">
        <v>7362</v>
      </c>
      <c r="J2393" s="18">
        <v>7362</v>
      </c>
      <c r="K2393" s="20" t="s">
        <v>3614</v>
      </c>
    </row>
    <row r="2394" spans="1:11" ht="14.25" customHeight="1" x14ac:dyDescent="0.25">
      <c r="A2394" s="13" t="s">
        <v>10594</v>
      </c>
      <c r="B2394" s="13" t="s">
        <v>10192</v>
      </c>
      <c r="C2394" s="13" t="s">
        <v>14</v>
      </c>
      <c r="D2394" s="19">
        <v>12389</v>
      </c>
      <c r="E2394" s="13" t="s">
        <v>10595</v>
      </c>
      <c r="F2394" s="14">
        <v>41114</v>
      </c>
      <c r="H2394" s="13" t="s">
        <v>651</v>
      </c>
      <c r="I2394" s="18">
        <v>7500</v>
      </c>
      <c r="J2394" s="18">
        <v>7500</v>
      </c>
      <c r="K2394" s="20" t="s">
        <v>3614</v>
      </c>
    </row>
    <row r="2395" spans="1:11" ht="14.25" customHeight="1" x14ac:dyDescent="0.25">
      <c r="A2395" s="13" t="s">
        <v>10596</v>
      </c>
      <c r="B2395" s="13" t="s">
        <v>10220</v>
      </c>
      <c r="C2395" s="13" t="s">
        <v>14</v>
      </c>
      <c r="D2395" s="19">
        <v>12390</v>
      </c>
      <c r="E2395" s="13" t="s">
        <v>10597</v>
      </c>
      <c r="F2395" s="14">
        <v>41240</v>
      </c>
      <c r="H2395" s="13" t="s">
        <v>651</v>
      </c>
      <c r="I2395" s="18">
        <v>8150</v>
      </c>
      <c r="J2395" s="18">
        <v>4075</v>
      </c>
      <c r="K2395" s="20" t="s">
        <v>3614</v>
      </c>
    </row>
    <row r="2396" spans="1:11" ht="14.25" customHeight="1" x14ac:dyDescent="0.25">
      <c r="A2396" s="13" t="s">
        <v>10598</v>
      </c>
      <c r="B2396" s="13" t="s">
        <v>10220</v>
      </c>
      <c r="C2396" s="13" t="s">
        <v>14</v>
      </c>
      <c r="D2396" s="19">
        <v>12391</v>
      </c>
      <c r="E2396" s="13" t="s">
        <v>4008</v>
      </c>
      <c r="F2396" s="14">
        <v>41240</v>
      </c>
      <c r="H2396" s="13" t="s">
        <v>651</v>
      </c>
      <c r="I2396" s="18">
        <v>8204.5</v>
      </c>
      <c r="J2396" s="18">
        <v>4102.25</v>
      </c>
      <c r="K2396" s="20" t="s">
        <v>3614</v>
      </c>
    </row>
    <row r="2397" spans="1:11" ht="14.25" customHeight="1" x14ac:dyDescent="0.25">
      <c r="A2397" s="13" t="s">
        <v>10599</v>
      </c>
      <c r="B2397" s="13" t="s">
        <v>10195</v>
      </c>
      <c r="C2397" s="13" t="s">
        <v>14</v>
      </c>
      <c r="D2397" s="19">
        <v>12392</v>
      </c>
      <c r="E2397" s="13" t="s">
        <v>10600</v>
      </c>
      <c r="F2397" s="14">
        <v>41408</v>
      </c>
      <c r="H2397" s="13" t="s">
        <v>651</v>
      </c>
      <c r="I2397" s="18">
        <v>7500</v>
      </c>
      <c r="J2397" s="18">
        <v>7500</v>
      </c>
      <c r="K2397" s="20" t="s">
        <v>3614</v>
      </c>
    </row>
    <row r="2398" spans="1:11" ht="14.25" customHeight="1" x14ac:dyDescent="0.25">
      <c r="A2398" s="13" t="s">
        <v>10601</v>
      </c>
      <c r="B2398" s="13" t="s">
        <v>10195</v>
      </c>
      <c r="C2398" s="13" t="s">
        <v>14</v>
      </c>
      <c r="D2398" s="19">
        <v>12393</v>
      </c>
      <c r="E2398" s="13" t="s">
        <v>10602</v>
      </c>
      <c r="F2398" s="14">
        <v>41387</v>
      </c>
      <c r="H2398" s="13" t="s">
        <v>651</v>
      </c>
      <c r="I2398" s="18">
        <v>7125</v>
      </c>
      <c r="J2398" s="18">
        <v>7125</v>
      </c>
      <c r="K2398" s="20" t="s">
        <v>3614</v>
      </c>
    </row>
    <row r="2399" spans="1:11" ht="14.25" customHeight="1" x14ac:dyDescent="0.25">
      <c r="A2399" s="13" t="s">
        <v>10603</v>
      </c>
      <c r="B2399" s="13" t="s">
        <v>10192</v>
      </c>
      <c r="C2399" s="13" t="s">
        <v>14</v>
      </c>
      <c r="D2399" s="19">
        <v>12394</v>
      </c>
      <c r="E2399" s="13" t="s">
        <v>10604</v>
      </c>
      <c r="F2399" s="14">
        <v>41205</v>
      </c>
      <c r="H2399" s="13" t="s">
        <v>651</v>
      </c>
      <c r="I2399" s="18">
        <v>9000</v>
      </c>
      <c r="J2399" s="18">
        <v>9000</v>
      </c>
      <c r="K2399" s="20" t="s">
        <v>3614</v>
      </c>
    </row>
    <row r="2400" spans="1:11" ht="14.25" customHeight="1" x14ac:dyDescent="0.25">
      <c r="A2400" s="13" t="s">
        <v>10605</v>
      </c>
      <c r="B2400" s="13" t="s">
        <v>10220</v>
      </c>
      <c r="C2400" s="13" t="s">
        <v>14</v>
      </c>
      <c r="D2400" s="19">
        <v>12395</v>
      </c>
      <c r="E2400" s="13" t="s">
        <v>10606</v>
      </c>
      <c r="F2400" s="14">
        <v>41261</v>
      </c>
      <c r="H2400" s="13" t="s">
        <v>651</v>
      </c>
      <c r="I2400" s="18">
        <v>8430</v>
      </c>
      <c r="J2400" s="18">
        <v>4215</v>
      </c>
      <c r="K2400" s="20" t="s">
        <v>3614</v>
      </c>
    </row>
    <row r="2401" spans="1:60" ht="14.25" customHeight="1" x14ac:dyDescent="0.25">
      <c r="A2401" s="13" t="s">
        <v>10607</v>
      </c>
      <c r="B2401" s="13" t="s">
        <v>10192</v>
      </c>
      <c r="C2401" s="13" t="s">
        <v>14</v>
      </c>
      <c r="D2401" s="19">
        <v>12397</v>
      </c>
      <c r="E2401" s="13" t="s">
        <v>10608</v>
      </c>
      <c r="F2401" s="14">
        <v>41478</v>
      </c>
      <c r="H2401" s="13" t="s">
        <v>651</v>
      </c>
      <c r="I2401" s="18">
        <v>14947.75</v>
      </c>
      <c r="J2401" s="18">
        <v>14947.75</v>
      </c>
      <c r="K2401" s="20" t="s">
        <v>3614</v>
      </c>
    </row>
    <row r="2402" spans="1:60" ht="14.25" customHeight="1" x14ac:dyDescent="0.25">
      <c r="A2402" s="13" t="s">
        <v>10609</v>
      </c>
      <c r="B2402" s="13" t="s">
        <v>10192</v>
      </c>
      <c r="C2402" s="13" t="s">
        <v>14</v>
      </c>
      <c r="D2402" s="19">
        <v>12399</v>
      </c>
      <c r="E2402" s="13" t="s">
        <v>10610</v>
      </c>
      <c r="F2402" s="14">
        <v>41569</v>
      </c>
      <c r="H2402" s="13" t="s">
        <v>651</v>
      </c>
      <c r="I2402" s="18">
        <v>16875</v>
      </c>
      <c r="J2402" s="18">
        <v>16875</v>
      </c>
      <c r="K2402" s="20" t="s">
        <v>3614</v>
      </c>
    </row>
    <row r="2403" spans="1:60" ht="14.25" customHeight="1" x14ac:dyDescent="0.25">
      <c r="A2403" s="13" t="s">
        <v>10611</v>
      </c>
      <c r="B2403" s="13" t="s">
        <v>10192</v>
      </c>
      <c r="C2403" s="13" t="s">
        <v>14</v>
      </c>
      <c r="D2403" s="19">
        <v>12400</v>
      </c>
      <c r="E2403" s="13" t="s">
        <v>10612</v>
      </c>
      <c r="F2403" s="14">
        <v>41541</v>
      </c>
      <c r="H2403" s="13" t="s">
        <v>651</v>
      </c>
      <c r="I2403" s="18">
        <v>22031</v>
      </c>
      <c r="J2403" s="18">
        <v>22031</v>
      </c>
      <c r="K2403" s="20" t="s">
        <v>3614</v>
      </c>
    </row>
    <row r="2404" spans="1:60" ht="14.25" customHeight="1" x14ac:dyDescent="0.25">
      <c r="A2404" s="13" t="s">
        <v>10613</v>
      </c>
      <c r="B2404" s="13" t="s">
        <v>10195</v>
      </c>
      <c r="C2404" s="13" t="s">
        <v>14</v>
      </c>
      <c r="D2404" s="19">
        <v>12401</v>
      </c>
      <c r="E2404" s="13" t="s">
        <v>3953</v>
      </c>
      <c r="F2404" s="14">
        <v>41604</v>
      </c>
      <c r="H2404" s="13" t="s">
        <v>651</v>
      </c>
      <c r="I2404" s="18">
        <v>7500</v>
      </c>
      <c r="J2404" s="18">
        <v>7500</v>
      </c>
      <c r="K2404" s="20" t="s">
        <v>3614</v>
      </c>
    </row>
    <row r="2405" spans="1:60" ht="14.25" customHeight="1" x14ac:dyDescent="0.25">
      <c r="A2405" s="13" t="s">
        <v>10614</v>
      </c>
      <c r="B2405" s="13" t="s">
        <v>10192</v>
      </c>
      <c r="C2405" s="13" t="s">
        <v>14</v>
      </c>
      <c r="D2405" s="19">
        <v>12402</v>
      </c>
      <c r="E2405" s="13" t="s">
        <v>10615</v>
      </c>
      <c r="F2405" s="14">
        <v>41569</v>
      </c>
      <c r="H2405" s="13" t="s">
        <v>651</v>
      </c>
      <c r="I2405" s="18">
        <v>22500</v>
      </c>
      <c r="J2405" s="18">
        <v>22500</v>
      </c>
      <c r="K2405" s="20" t="s">
        <v>3614</v>
      </c>
    </row>
    <row r="2406" spans="1:60" ht="14.25" customHeight="1" x14ac:dyDescent="0.25">
      <c r="A2406" s="13" t="s">
        <v>10616</v>
      </c>
      <c r="B2406" s="13" t="s">
        <v>10195</v>
      </c>
      <c r="C2406" s="13" t="s">
        <v>14</v>
      </c>
      <c r="D2406" s="19">
        <v>12403</v>
      </c>
      <c r="E2406" s="13" t="s">
        <v>10617</v>
      </c>
      <c r="F2406" s="14">
        <v>41541</v>
      </c>
      <c r="H2406" s="13" t="s">
        <v>651</v>
      </c>
      <c r="I2406" s="18">
        <v>11094</v>
      </c>
      <c r="J2406" s="18">
        <v>11094</v>
      </c>
      <c r="K2406" s="20" t="s">
        <v>3614</v>
      </c>
    </row>
    <row r="2407" spans="1:60" s="4" customFormat="1" ht="14.25" customHeight="1" x14ac:dyDescent="0.25">
      <c r="A2407" s="9" t="s">
        <v>4010</v>
      </c>
      <c r="B2407" s="9" t="s">
        <v>13</v>
      </c>
      <c r="C2407" s="13" t="s">
        <v>14</v>
      </c>
      <c r="D2407" s="90">
        <v>3696</v>
      </c>
      <c r="E2407" s="15" t="s">
        <v>3572</v>
      </c>
      <c r="F2407" s="11">
        <v>39083</v>
      </c>
      <c r="G2407" s="11">
        <v>42369</v>
      </c>
      <c r="H2407" s="9" t="s">
        <v>2593</v>
      </c>
      <c r="I2407" s="16">
        <v>1078541.95</v>
      </c>
      <c r="J2407" s="16">
        <v>1078541.95</v>
      </c>
      <c r="K2407" s="112" t="s">
        <v>3614</v>
      </c>
      <c r="L2407" s="121"/>
      <c r="M2407" s="12"/>
      <c r="N2407" s="9"/>
      <c r="O2407" s="9"/>
      <c r="P2407" s="9"/>
      <c r="Q2407" s="9"/>
      <c r="R2407" s="9"/>
      <c r="S2407" s="9"/>
      <c r="T2407" s="9"/>
      <c r="U2407" s="9"/>
      <c r="V2407" s="9"/>
      <c r="W2407" s="9"/>
      <c r="X2407" s="9"/>
      <c r="Y2407" s="9"/>
      <c r="Z2407" s="9"/>
      <c r="AA2407" s="9"/>
      <c r="AB2407" s="9"/>
      <c r="AC2407" s="9"/>
      <c r="AD2407" s="9"/>
      <c r="AE2407" s="9"/>
      <c r="AF2407" s="9"/>
      <c r="AG2407" s="9"/>
      <c r="AH2407" s="9"/>
      <c r="AI2407" s="9"/>
      <c r="AJ2407" s="9"/>
      <c r="AK2407" s="9"/>
      <c r="AL2407" s="9"/>
      <c r="AM2407" s="9"/>
      <c r="AN2407" s="9"/>
      <c r="AO2407" s="9"/>
      <c r="AP2407" s="9"/>
      <c r="AQ2407" s="9"/>
      <c r="AR2407" s="9"/>
      <c r="AS2407" s="9"/>
      <c r="AT2407" s="9"/>
      <c r="AU2407" s="9"/>
      <c r="AV2407" s="9"/>
      <c r="AW2407" s="9"/>
      <c r="AX2407" s="9"/>
      <c r="AY2407" s="9"/>
      <c r="AZ2407" s="9"/>
      <c r="BA2407" s="9"/>
      <c r="BB2407" s="9"/>
      <c r="BC2407" s="9"/>
      <c r="BD2407" s="9"/>
      <c r="BE2407" s="9"/>
      <c r="BF2407" s="9"/>
      <c r="BG2407" s="9"/>
      <c r="BH2407" s="9"/>
    </row>
    <row r="2408" spans="1:60" s="4" customFormat="1" ht="14.25" customHeight="1" x14ac:dyDescent="0.25">
      <c r="A2408" s="9" t="s">
        <v>4011</v>
      </c>
      <c r="B2408" s="9" t="s">
        <v>13</v>
      </c>
      <c r="C2408" s="13" t="s">
        <v>14</v>
      </c>
      <c r="D2408" s="90">
        <v>3713</v>
      </c>
      <c r="E2408" s="9" t="s">
        <v>4012</v>
      </c>
      <c r="F2408" s="11">
        <v>39083</v>
      </c>
      <c r="G2408" s="11">
        <v>42369</v>
      </c>
      <c r="H2408" s="9" t="s">
        <v>2593</v>
      </c>
      <c r="I2408" s="16">
        <v>8740.98</v>
      </c>
      <c r="J2408" s="16">
        <v>8740.98</v>
      </c>
      <c r="K2408" s="112" t="s">
        <v>3614</v>
      </c>
      <c r="L2408" s="121"/>
      <c r="M2408" s="12"/>
      <c r="N2408" s="9"/>
      <c r="O2408" s="9"/>
      <c r="P2408" s="9"/>
      <c r="Q2408" s="9"/>
      <c r="R2408" s="9"/>
      <c r="S2408" s="9"/>
      <c r="T2408" s="9"/>
      <c r="U2408" s="9"/>
      <c r="V2408" s="9"/>
      <c r="W2408" s="9"/>
      <c r="X2408" s="9"/>
      <c r="Y2408" s="9"/>
      <c r="Z2408" s="9"/>
      <c r="AA2408" s="9"/>
      <c r="AB2408" s="9"/>
      <c r="AC2408" s="9"/>
      <c r="AD2408" s="9"/>
      <c r="AE2408" s="9"/>
      <c r="AF2408" s="9"/>
      <c r="AG2408" s="9"/>
      <c r="AH2408" s="9"/>
      <c r="AI2408" s="9"/>
      <c r="AJ2408" s="9"/>
      <c r="AK2408" s="9"/>
      <c r="AL2408" s="9"/>
      <c r="AM2408" s="9"/>
      <c r="AN2408" s="9"/>
      <c r="AO2408" s="9"/>
      <c r="AP2408" s="9"/>
      <c r="AQ2408" s="9"/>
      <c r="AR2408" s="9"/>
      <c r="AS2408" s="9"/>
      <c r="AT2408" s="9"/>
      <c r="AU2408" s="9"/>
      <c r="AV2408" s="9"/>
      <c r="AW2408" s="9"/>
      <c r="AX2408" s="9"/>
      <c r="AY2408" s="9"/>
      <c r="AZ2408" s="9"/>
      <c r="BA2408" s="9"/>
      <c r="BB2408" s="9"/>
      <c r="BC2408" s="9"/>
      <c r="BD2408" s="9"/>
      <c r="BE2408" s="9"/>
      <c r="BF2408" s="9"/>
      <c r="BG2408" s="9"/>
      <c r="BH2408" s="9"/>
    </row>
    <row r="2409" spans="1:60" s="4" customFormat="1" ht="14.25" customHeight="1" x14ac:dyDescent="0.25">
      <c r="A2409" s="9" t="s">
        <v>4013</v>
      </c>
      <c r="B2409" s="9" t="s">
        <v>13</v>
      </c>
      <c r="C2409" s="13" t="s">
        <v>14</v>
      </c>
      <c r="D2409" s="90">
        <v>4212</v>
      </c>
      <c r="E2409" s="9" t="s">
        <v>2615</v>
      </c>
      <c r="F2409" s="11">
        <v>39083</v>
      </c>
      <c r="G2409" s="11">
        <v>42369</v>
      </c>
      <c r="H2409" s="9" t="s">
        <v>2593</v>
      </c>
      <c r="I2409" s="16">
        <v>30590.65</v>
      </c>
      <c r="J2409" s="16">
        <v>30590.65</v>
      </c>
      <c r="K2409" s="112" t="s">
        <v>3614</v>
      </c>
      <c r="L2409" s="121"/>
      <c r="M2409" s="12"/>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9"/>
      <c r="AN2409" s="9"/>
      <c r="AO2409" s="9"/>
      <c r="AP2409" s="9"/>
      <c r="AQ2409" s="9"/>
      <c r="AR2409" s="9"/>
      <c r="AS2409" s="9"/>
      <c r="AT2409" s="9"/>
      <c r="AU2409" s="9"/>
      <c r="AV2409" s="9"/>
      <c r="AW2409" s="9"/>
      <c r="AX2409" s="9"/>
      <c r="AY2409" s="9"/>
      <c r="AZ2409" s="9"/>
      <c r="BA2409" s="9"/>
      <c r="BB2409" s="9"/>
      <c r="BC2409" s="9"/>
      <c r="BD2409" s="9"/>
      <c r="BE2409" s="9"/>
      <c r="BF2409" s="9"/>
      <c r="BG2409" s="9"/>
      <c r="BH2409" s="9"/>
    </row>
    <row r="2410" spans="1:60" s="4" customFormat="1" ht="14.25" customHeight="1" x14ac:dyDescent="0.25">
      <c r="A2410" s="9" t="s">
        <v>4014</v>
      </c>
      <c r="B2410" s="9" t="s">
        <v>13</v>
      </c>
      <c r="C2410" s="13" t="s">
        <v>14</v>
      </c>
      <c r="D2410" s="90">
        <v>4213</v>
      </c>
      <c r="E2410" s="15" t="s">
        <v>4015</v>
      </c>
      <c r="F2410" s="11">
        <v>39083</v>
      </c>
      <c r="G2410" s="11">
        <v>42369</v>
      </c>
      <c r="H2410" s="9" t="s">
        <v>2593</v>
      </c>
      <c r="I2410" s="16">
        <v>515471.59</v>
      </c>
      <c r="J2410" s="16">
        <v>515471.59</v>
      </c>
      <c r="K2410" s="112" t="s">
        <v>3614</v>
      </c>
      <c r="L2410" s="121"/>
      <c r="M2410" s="12"/>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9"/>
      <c r="AL2410" s="9"/>
      <c r="AM2410" s="9"/>
      <c r="AN2410" s="9"/>
      <c r="AO2410" s="9"/>
      <c r="AP2410" s="9"/>
      <c r="AQ2410" s="9"/>
      <c r="AR2410" s="9"/>
      <c r="AS2410" s="9"/>
      <c r="AT2410" s="9"/>
      <c r="AU2410" s="9"/>
      <c r="AV2410" s="9"/>
      <c r="AW2410" s="9"/>
      <c r="AX2410" s="9"/>
      <c r="AY2410" s="9"/>
      <c r="AZ2410" s="9"/>
      <c r="BA2410" s="9"/>
      <c r="BB2410" s="9"/>
      <c r="BC2410" s="9"/>
      <c r="BD2410" s="9"/>
      <c r="BE2410" s="9"/>
      <c r="BF2410" s="9"/>
      <c r="BG2410" s="9"/>
      <c r="BH2410" s="9"/>
    </row>
    <row r="2411" spans="1:60" s="4" customFormat="1" ht="14.25" customHeight="1" x14ac:dyDescent="0.25">
      <c r="A2411" s="9" t="s">
        <v>4016</v>
      </c>
      <c r="B2411" s="9" t="s">
        <v>13</v>
      </c>
      <c r="C2411" s="13" t="s">
        <v>14</v>
      </c>
      <c r="D2411" s="90">
        <v>4214</v>
      </c>
      <c r="E2411" s="15" t="s">
        <v>2597</v>
      </c>
      <c r="F2411" s="11">
        <v>39083</v>
      </c>
      <c r="G2411" s="11">
        <v>42369</v>
      </c>
      <c r="H2411" s="9" t="s">
        <v>2593</v>
      </c>
      <c r="I2411" s="16">
        <v>249333.83</v>
      </c>
      <c r="J2411" s="16">
        <v>249333.83</v>
      </c>
      <c r="K2411" s="112" t="s">
        <v>3614</v>
      </c>
      <c r="L2411" s="121"/>
      <c r="M2411" s="12"/>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9"/>
      <c r="AN2411" s="9"/>
      <c r="AO2411" s="9"/>
      <c r="AP2411" s="9"/>
      <c r="AQ2411" s="9"/>
      <c r="AR2411" s="9"/>
      <c r="AS2411" s="9"/>
      <c r="AT2411" s="9"/>
      <c r="AU2411" s="9"/>
      <c r="AV2411" s="9"/>
      <c r="AW2411" s="9"/>
      <c r="AX2411" s="9"/>
      <c r="AY2411" s="9"/>
      <c r="AZ2411" s="9"/>
      <c r="BA2411" s="9"/>
      <c r="BB2411" s="9"/>
      <c r="BC2411" s="9"/>
      <c r="BD2411" s="9"/>
      <c r="BE2411" s="9"/>
      <c r="BF2411" s="9"/>
      <c r="BG2411" s="9"/>
      <c r="BH2411" s="9"/>
    </row>
    <row r="2412" spans="1:60" s="4" customFormat="1" ht="14.25" customHeight="1" x14ac:dyDescent="0.25">
      <c r="A2412" s="9" t="s">
        <v>4017</v>
      </c>
      <c r="B2412" s="9" t="s">
        <v>13</v>
      </c>
      <c r="C2412" s="13" t="s">
        <v>14</v>
      </c>
      <c r="D2412" s="90">
        <v>4335</v>
      </c>
      <c r="E2412" s="15" t="s">
        <v>3561</v>
      </c>
      <c r="F2412" s="11">
        <v>39083</v>
      </c>
      <c r="G2412" s="11">
        <v>42369</v>
      </c>
      <c r="H2412" s="9" t="s">
        <v>2593</v>
      </c>
      <c r="I2412" s="16">
        <v>125417.72</v>
      </c>
      <c r="J2412" s="16">
        <v>125417.72</v>
      </c>
      <c r="K2412" s="112" t="s">
        <v>3614</v>
      </c>
      <c r="L2412" s="119"/>
      <c r="M2412" s="3"/>
      <c r="N2412" s="9"/>
      <c r="O2412" s="9"/>
      <c r="P2412" s="9"/>
      <c r="Q2412" s="9"/>
      <c r="R2412" s="9"/>
      <c r="S2412" s="9"/>
      <c r="T2412" s="9"/>
      <c r="U2412" s="9"/>
      <c r="V2412" s="9"/>
      <c r="W2412" s="9"/>
      <c r="X2412" s="9"/>
      <c r="Y2412" s="9"/>
      <c r="Z2412" s="9"/>
      <c r="AA2412" s="9"/>
      <c r="AB2412" s="9"/>
      <c r="AC2412" s="9"/>
      <c r="AD2412" s="9"/>
      <c r="AE2412" s="9"/>
      <c r="AF2412" s="9"/>
      <c r="AG2412" s="9"/>
      <c r="AH2412" s="9"/>
      <c r="AI2412" s="9"/>
      <c r="AJ2412" s="9"/>
      <c r="AK2412" s="9"/>
      <c r="AL2412" s="9"/>
      <c r="AM2412" s="9"/>
      <c r="AN2412" s="9"/>
      <c r="AO2412" s="9"/>
      <c r="AP2412" s="9"/>
      <c r="AQ2412" s="9"/>
      <c r="AR2412" s="9"/>
      <c r="AS2412" s="9"/>
      <c r="AT2412" s="9"/>
      <c r="AU2412" s="9"/>
      <c r="AV2412" s="9"/>
      <c r="AW2412" s="9"/>
      <c r="AX2412" s="9"/>
      <c r="AY2412" s="9"/>
      <c r="AZ2412" s="9"/>
      <c r="BA2412" s="9"/>
      <c r="BB2412" s="9"/>
      <c r="BC2412" s="9"/>
      <c r="BD2412" s="9"/>
      <c r="BE2412" s="9"/>
      <c r="BF2412" s="9"/>
      <c r="BG2412" s="9"/>
      <c r="BH2412" s="9"/>
    </row>
    <row r="2413" spans="1:60" s="4" customFormat="1" ht="14.25" customHeight="1" x14ac:dyDescent="0.25">
      <c r="A2413" s="13" t="s">
        <v>4018</v>
      </c>
      <c r="B2413" s="9" t="s">
        <v>13</v>
      </c>
      <c r="C2413" s="13" t="s">
        <v>14</v>
      </c>
      <c r="D2413" s="90">
        <v>12055</v>
      </c>
      <c r="E2413" s="13" t="s">
        <v>4019</v>
      </c>
      <c r="F2413" s="14">
        <v>40533</v>
      </c>
      <c r="G2413" s="14">
        <v>42825</v>
      </c>
      <c r="H2413" s="9" t="s">
        <v>2593</v>
      </c>
      <c r="I2413" s="16">
        <v>319359.18</v>
      </c>
      <c r="J2413" s="16">
        <v>319359.18</v>
      </c>
      <c r="K2413" s="112" t="s">
        <v>3614</v>
      </c>
      <c r="L2413" s="119"/>
      <c r="N2413" s="9"/>
      <c r="O2413" s="9"/>
      <c r="P2413" s="9"/>
      <c r="Q2413" s="9"/>
      <c r="R2413" s="9"/>
      <c r="S2413" s="9"/>
      <c r="T2413" s="9"/>
      <c r="U2413" s="9"/>
      <c r="V2413" s="9"/>
      <c r="W2413" s="9"/>
      <c r="X2413" s="9"/>
      <c r="Y2413" s="9"/>
      <c r="Z2413" s="9"/>
      <c r="AA2413" s="9"/>
      <c r="AB2413" s="9"/>
      <c r="AC2413" s="9"/>
      <c r="AD2413" s="9"/>
      <c r="AE2413" s="9"/>
      <c r="AF2413" s="9"/>
      <c r="AG2413" s="9"/>
      <c r="AH2413" s="9"/>
      <c r="AI2413" s="9"/>
      <c r="AJ2413" s="9"/>
      <c r="AK2413" s="9"/>
      <c r="AL2413" s="9"/>
      <c r="AM2413" s="9"/>
      <c r="AN2413" s="9"/>
      <c r="AO2413" s="9"/>
      <c r="AP2413" s="9"/>
      <c r="AQ2413" s="9"/>
      <c r="AR2413" s="9"/>
      <c r="AS2413" s="9"/>
      <c r="AT2413" s="9"/>
      <c r="AU2413" s="9"/>
      <c r="AV2413" s="9"/>
      <c r="AW2413" s="9"/>
      <c r="AX2413" s="9"/>
      <c r="AY2413" s="9"/>
      <c r="AZ2413" s="9"/>
      <c r="BA2413" s="9"/>
      <c r="BB2413" s="9"/>
      <c r="BC2413" s="9"/>
      <c r="BD2413" s="9"/>
      <c r="BE2413" s="9"/>
      <c r="BF2413" s="9"/>
      <c r="BG2413" s="9"/>
      <c r="BH2413" s="9"/>
    </row>
    <row r="2414" spans="1:60" s="32" customFormat="1" ht="14.25" customHeight="1" x14ac:dyDescent="0.25">
      <c r="A2414" s="13" t="s">
        <v>11569</v>
      </c>
      <c r="B2414" s="32" t="s">
        <v>13</v>
      </c>
      <c r="C2414" s="13" t="s">
        <v>14</v>
      </c>
      <c r="D2414" s="33">
        <v>13180</v>
      </c>
      <c r="E2414" s="13" t="s">
        <v>11570</v>
      </c>
      <c r="F2414" s="34">
        <v>40533</v>
      </c>
      <c r="G2414" s="34">
        <v>43100</v>
      </c>
      <c r="H2414" s="9" t="s">
        <v>2593</v>
      </c>
      <c r="I2414" s="94">
        <v>73592.06</v>
      </c>
      <c r="J2414" s="94">
        <v>73592.06</v>
      </c>
      <c r="K2414" s="112" t="s">
        <v>3614</v>
      </c>
      <c r="L2414" s="122"/>
    </row>
    <row r="2415" spans="1:60" s="4" customFormat="1" ht="14.25" customHeight="1" x14ac:dyDescent="0.25">
      <c r="A2415" s="4" t="s">
        <v>4020</v>
      </c>
      <c r="B2415" s="4" t="s">
        <v>13</v>
      </c>
      <c r="C2415" s="13" t="s">
        <v>14</v>
      </c>
      <c r="D2415" s="35">
        <v>12075</v>
      </c>
      <c r="E2415" s="4" t="s">
        <v>4021</v>
      </c>
      <c r="F2415" s="5">
        <v>40533</v>
      </c>
      <c r="G2415" s="5">
        <v>42825</v>
      </c>
      <c r="H2415" s="9" t="s">
        <v>2593</v>
      </c>
      <c r="I2415" s="6">
        <v>3148141.15</v>
      </c>
      <c r="J2415" s="6">
        <v>3148141.15</v>
      </c>
      <c r="K2415" s="37" t="s">
        <v>3614</v>
      </c>
      <c r="L2415" s="119"/>
      <c r="M2415" s="3"/>
    </row>
    <row r="2416" spans="1:60" s="4" customFormat="1" ht="14.25" customHeight="1" x14ac:dyDescent="0.25">
      <c r="A2416" s="4" t="s">
        <v>4022</v>
      </c>
      <c r="B2416" s="4" t="s">
        <v>13</v>
      </c>
      <c r="C2416" s="13" t="s">
        <v>14</v>
      </c>
      <c r="D2416" s="35">
        <v>12007</v>
      </c>
      <c r="E2416" s="4" t="s">
        <v>4023</v>
      </c>
      <c r="F2416" s="5">
        <v>40544</v>
      </c>
      <c r="G2416" s="5">
        <v>42825</v>
      </c>
      <c r="H2416" s="4" t="s">
        <v>3587</v>
      </c>
      <c r="I2416" s="6">
        <v>2834065.27</v>
      </c>
      <c r="J2416" s="6">
        <v>2834065.27</v>
      </c>
      <c r="K2416" s="37" t="s">
        <v>3614</v>
      </c>
      <c r="L2416" s="119"/>
      <c r="M2416" s="3"/>
    </row>
    <row r="2417" spans="1:14" s="4" customFormat="1" ht="14.25" customHeight="1" x14ac:dyDescent="0.25">
      <c r="A2417" s="4" t="s">
        <v>4024</v>
      </c>
      <c r="B2417" s="4" t="s">
        <v>13</v>
      </c>
      <c r="C2417" s="13" t="s">
        <v>14</v>
      </c>
      <c r="D2417" s="35">
        <v>12008</v>
      </c>
      <c r="E2417" s="7" t="s">
        <v>4025</v>
      </c>
      <c r="F2417" s="5">
        <v>40544</v>
      </c>
      <c r="G2417" s="5">
        <v>42825</v>
      </c>
      <c r="H2417" s="4" t="s">
        <v>3587</v>
      </c>
      <c r="I2417" s="6">
        <f>881618.99+340864.76+204335.84</f>
        <v>1426819.59</v>
      </c>
      <c r="J2417" s="6">
        <f>881618.99+340864.76+204335.84</f>
        <v>1426819.59</v>
      </c>
      <c r="K2417" s="37" t="s">
        <v>3614</v>
      </c>
      <c r="L2417" s="119"/>
      <c r="M2417" s="3"/>
      <c r="N2417" s="3"/>
    </row>
    <row r="2418" spans="1:14" s="32" customFormat="1" ht="14.25" customHeight="1" x14ac:dyDescent="0.25">
      <c r="A2418" s="13" t="s">
        <v>11571</v>
      </c>
      <c r="B2418" s="32" t="s">
        <v>13</v>
      </c>
      <c r="C2418" s="13" t="s">
        <v>14</v>
      </c>
      <c r="D2418" s="33">
        <v>13018</v>
      </c>
      <c r="E2418" s="13" t="s">
        <v>11572</v>
      </c>
      <c r="F2418" s="34">
        <v>40544</v>
      </c>
      <c r="G2418" s="34">
        <v>42825</v>
      </c>
      <c r="H2418" s="4" t="s">
        <v>3587</v>
      </c>
      <c r="I2418" s="94">
        <f>756827+143043.97</f>
        <v>899870.97</v>
      </c>
      <c r="J2418" s="94">
        <f>756827+143043.97</f>
        <v>899870.97</v>
      </c>
      <c r="K2418" s="37" t="s">
        <v>3614</v>
      </c>
      <c r="L2418" s="119"/>
    </row>
    <row r="2419" spans="1:14" s="32" customFormat="1" ht="14.25" customHeight="1" x14ac:dyDescent="0.25">
      <c r="A2419" s="13" t="s">
        <v>11573</v>
      </c>
      <c r="B2419" s="32" t="s">
        <v>13</v>
      </c>
      <c r="C2419" s="32" t="s">
        <v>14</v>
      </c>
      <c r="D2419" s="33">
        <v>13019</v>
      </c>
      <c r="E2419" s="13" t="s">
        <v>11574</v>
      </c>
      <c r="F2419" s="34">
        <v>40544</v>
      </c>
      <c r="G2419" s="34">
        <v>42825</v>
      </c>
      <c r="H2419" s="4" t="s">
        <v>3587</v>
      </c>
      <c r="I2419" s="94">
        <f>573958.46+359284.23</f>
        <v>933242.69</v>
      </c>
      <c r="J2419" s="94">
        <f>573958.46+359284.23</f>
        <v>933242.69</v>
      </c>
      <c r="K2419" s="37" t="s">
        <v>3614</v>
      </c>
      <c r="L2419" s="119"/>
    </row>
    <row r="2420" spans="1:14" s="32" customFormat="1" ht="14.25" customHeight="1" x14ac:dyDescent="0.25">
      <c r="A2420" s="13" t="s">
        <v>11575</v>
      </c>
      <c r="B2420" s="32" t="s">
        <v>13</v>
      </c>
      <c r="C2420" s="32" t="s">
        <v>14</v>
      </c>
      <c r="D2420" s="33">
        <v>13020</v>
      </c>
      <c r="E2420" s="13" t="s">
        <v>11576</v>
      </c>
      <c r="F2420" s="34">
        <v>40544</v>
      </c>
      <c r="G2420" s="34">
        <v>42825</v>
      </c>
      <c r="H2420" s="4" t="s">
        <v>3587</v>
      </c>
      <c r="I2420" s="94">
        <f>395785.8+104944.27</f>
        <v>500730.07</v>
      </c>
      <c r="J2420" s="94">
        <f>395785.8+104944.27</f>
        <v>500730.07</v>
      </c>
      <c r="K2420" s="37" t="s">
        <v>3614</v>
      </c>
      <c r="L2420" s="119"/>
    </row>
    <row r="2421" spans="1:14" s="32" customFormat="1" ht="14.25" customHeight="1" x14ac:dyDescent="0.25">
      <c r="A2421" s="13" t="s">
        <v>11577</v>
      </c>
      <c r="B2421" s="32" t="s">
        <v>13</v>
      </c>
      <c r="C2421" s="32" t="s">
        <v>14</v>
      </c>
      <c r="D2421" s="33">
        <v>13021</v>
      </c>
      <c r="E2421" s="13" t="s">
        <v>11578</v>
      </c>
      <c r="F2421" s="34">
        <v>40544</v>
      </c>
      <c r="G2421" s="34">
        <v>42825</v>
      </c>
      <c r="H2421" s="4" t="s">
        <v>3587</v>
      </c>
      <c r="I2421" s="94">
        <f>382778.96+55999.86</f>
        <v>438778.82</v>
      </c>
      <c r="J2421" s="94">
        <f>382778.96+55999.86</f>
        <v>438778.82</v>
      </c>
      <c r="K2421" s="37" t="s">
        <v>3614</v>
      </c>
      <c r="L2421" s="119"/>
    </row>
    <row r="2422" spans="1:14" s="32" customFormat="1" ht="14.25" customHeight="1" x14ac:dyDescent="0.25">
      <c r="A2422" s="13" t="s">
        <v>11579</v>
      </c>
      <c r="B2422" s="32" t="s">
        <v>13</v>
      </c>
      <c r="C2422" s="32" t="s">
        <v>14</v>
      </c>
      <c r="D2422" s="33">
        <v>13022</v>
      </c>
      <c r="E2422" s="13" t="s">
        <v>11580</v>
      </c>
      <c r="F2422" s="34">
        <v>40544</v>
      </c>
      <c r="G2422" s="34">
        <v>42825</v>
      </c>
      <c r="H2422" s="4" t="s">
        <v>3587</v>
      </c>
      <c r="I2422" s="94">
        <f>613288.05+76158.35</f>
        <v>689446.40000000002</v>
      </c>
      <c r="J2422" s="94">
        <f>613288.05+76158.35</f>
        <v>689446.40000000002</v>
      </c>
      <c r="K2422" s="37" t="s">
        <v>3614</v>
      </c>
      <c r="L2422" s="119"/>
    </row>
    <row r="2423" spans="1:14" s="32" customFormat="1" ht="14.25" customHeight="1" x14ac:dyDescent="0.25">
      <c r="A2423" s="13" t="s">
        <v>11581</v>
      </c>
      <c r="B2423" s="32" t="s">
        <v>13</v>
      </c>
      <c r="C2423" s="32" t="s">
        <v>14</v>
      </c>
      <c r="D2423" s="33">
        <v>13023</v>
      </c>
      <c r="E2423" s="13" t="s">
        <v>11582</v>
      </c>
      <c r="F2423" s="34">
        <v>40544</v>
      </c>
      <c r="G2423" s="34">
        <v>42825</v>
      </c>
      <c r="H2423" s="4" t="s">
        <v>3587</v>
      </c>
      <c r="I2423" s="94">
        <f>1460204.7+433646.76</f>
        <v>1893851.46</v>
      </c>
      <c r="J2423" s="94">
        <f>1460204.7+433646.76</f>
        <v>1893851.46</v>
      </c>
      <c r="K2423" s="37" t="s">
        <v>3614</v>
      </c>
      <c r="L2423" s="119"/>
    </row>
    <row r="2424" spans="1:14" s="32" customFormat="1" ht="14.25" customHeight="1" x14ac:dyDescent="0.25">
      <c r="A2424" s="13" t="s">
        <v>11583</v>
      </c>
      <c r="B2424" s="32" t="s">
        <v>13</v>
      </c>
      <c r="C2424" s="32" t="s">
        <v>14</v>
      </c>
      <c r="D2424" s="33">
        <v>13024</v>
      </c>
      <c r="E2424" s="13" t="s">
        <v>11568</v>
      </c>
      <c r="F2424" s="34">
        <v>40544</v>
      </c>
      <c r="G2424" s="34">
        <v>42825</v>
      </c>
      <c r="H2424" s="4" t="s">
        <v>3587</v>
      </c>
      <c r="I2424" s="94">
        <f>374066.04+131901.44</f>
        <v>505967.48</v>
      </c>
      <c r="J2424" s="94">
        <f>374066.04+131901.44</f>
        <v>505967.48</v>
      </c>
      <c r="K2424" s="37" t="s">
        <v>3614</v>
      </c>
      <c r="L2424" s="119"/>
    </row>
    <row r="2425" spans="1:14" s="32" customFormat="1" ht="14.25" customHeight="1" x14ac:dyDescent="0.25">
      <c r="A2425" s="13" t="s">
        <v>11584</v>
      </c>
      <c r="B2425" s="32" t="s">
        <v>13</v>
      </c>
      <c r="C2425" s="32" t="s">
        <v>14</v>
      </c>
      <c r="D2425" s="33">
        <v>13025</v>
      </c>
      <c r="E2425" s="13" t="s">
        <v>11585</v>
      </c>
      <c r="F2425" s="34">
        <v>40544</v>
      </c>
      <c r="G2425" s="34">
        <v>42825</v>
      </c>
      <c r="H2425" s="4" t="s">
        <v>3587</v>
      </c>
      <c r="I2425" s="94">
        <f>589931.88+41979.27</f>
        <v>631911.15</v>
      </c>
      <c r="J2425" s="94">
        <f>589931.88+41979.27</f>
        <v>631911.15</v>
      </c>
      <c r="K2425" s="37" t="s">
        <v>3614</v>
      </c>
      <c r="L2425" s="119"/>
    </row>
    <row r="2426" spans="1:14" s="32" customFormat="1" ht="14.25" customHeight="1" x14ac:dyDescent="0.25">
      <c r="A2426" s="13" t="s">
        <v>11586</v>
      </c>
      <c r="B2426" s="32" t="s">
        <v>13</v>
      </c>
      <c r="C2426" s="32" t="s">
        <v>14</v>
      </c>
      <c r="D2426" s="33">
        <v>13026</v>
      </c>
      <c r="E2426" s="13" t="s">
        <v>11587</v>
      </c>
      <c r="F2426" s="34">
        <v>40544</v>
      </c>
      <c r="G2426" s="34">
        <v>42825</v>
      </c>
      <c r="H2426" s="4" t="s">
        <v>3587</v>
      </c>
      <c r="I2426" s="94">
        <f>444894.89+89499.94</f>
        <v>534394.83000000007</v>
      </c>
      <c r="J2426" s="94">
        <f>444894.89+89499.94</f>
        <v>534394.83000000007</v>
      </c>
      <c r="K2426" s="37" t="s">
        <v>3614</v>
      </c>
      <c r="L2426" s="119"/>
    </row>
    <row r="2427" spans="1:14" s="32" customFormat="1" ht="14.25" customHeight="1" x14ac:dyDescent="0.25">
      <c r="A2427" s="13" t="s">
        <v>11588</v>
      </c>
      <c r="B2427" s="32" t="s">
        <v>13</v>
      </c>
      <c r="C2427" s="32" t="s">
        <v>14</v>
      </c>
      <c r="D2427" s="33">
        <v>13027</v>
      </c>
      <c r="E2427" s="13" t="s">
        <v>11539</v>
      </c>
      <c r="F2427" s="34">
        <v>40544</v>
      </c>
      <c r="G2427" s="34">
        <v>42825</v>
      </c>
      <c r="H2427" s="4" t="s">
        <v>3587</v>
      </c>
      <c r="I2427" s="94">
        <f>305437.81+32056.62</f>
        <v>337494.43</v>
      </c>
      <c r="J2427" s="94">
        <f>305437.81+32056.62</f>
        <v>337494.43</v>
      </c>
      <c r="K2427" s="37" t="s">
        <v>3614</v>
      </c>
      <c r="L2427" s="119"/>
    </row>
    <row r="2428" spans="1:14" s="4" customFormat="1" ht="14.25" customHeight="1" x14ac:dyDescent="0.25">
      <c r="A2428" s="4" t="s">
        <v>4026</v>
      </c>
      <c r="B2428" s="4" t="s">
        <v>13</v>
      </c>
      <c r="C2428" s="4" t="s">
        <v>14</v>
      </c>
      <c r="D2428" s="35">
        <v>10224</v>
      </c>
      <c r="E2428" s="4" t="s">
        <v>4027</v>
      </c>
      <c r="F2428" s="5">
        <v>40015</v>
      </c>
      <c r="G2428" s="5">
        <v>40815</v>
      </c>
      <c r="H2428" s="4" t="s">
        <v>2027</v>
      </c>
      <c r="I2428" s="6">
        <v>69097.100000000006</v>
      </c>
      <c r="J2428" s="6">
        <v>31093.7</v>
      </c>
      <c r="K2428" s="37" t="s">
        <v>3614</v>
      </c>
      <c r="L2428" s="119"/>
    </row>
    <row r="2429" spans="1:14" s="4" customFormat="1" ht="14.25" customHeight="1" x14ac:dyDescent="0.25">
      <c r="A2429" s="4" t="s">
        <v>4028</v>
      </c>
      <c r="B2429" s="4" t="s">
        <v>13</v>
      </c>
      <c r="C2429" s="4" t="s">
        <v>14</v>
      </c>
      <c r="D2429" s="35">
        <v>3717</v>
      </c>
      <c r="E2429" s="4" t="s">
        <v>4029</v>
      </c>
      <c r="F2429" s="5">
        <v>39083</v>
      </c>
      <c r="G2429" s="5">
        <v>42369</v>
      </c>
      <c r="H2429" s="4" t="s">
        <v>2637</v>
      </c>
      <c r="I2429" s="17">
        <v>5433207.2199999997</v>
      </c>
      <c r="J2429" s="17">
        <v>5433207.2199999997</v>
      </c>
      <c r="K2429" s="37" t="s">
        <v>3614</v>
      </c>
      <c r="L2429" s="119"/>
      <c r="M2429" s="3"/>
    </row>
    <row r="2430" spans="1:14" s="4" customFormat="1" ht="14.25" customHeight="1" x14ac:dyDescent="0.25">
      <c r="D2430" s="35"/>
      <c r="E2430" s="26" t="s">
        <v>351</v>
      </c>
      <c r="F2430" s="28"/>
      <c r="G2430" s="28"/>
      <c r="H2430" s="26"/>
      <c r="I2430" s="27">
        <f>SUM(I2195:I2204)</f>
        <v>434215.51999999996</v>
      </c>
      <c r="J2430" s="27">
        <f>SUM(J2195:J2204)</f>
        <v>123207.87999999999</v>
      </c>
      <c r="K2430" s="37" t="s">
        <v>3614</v>
      </c>
      <c r="L2430" s="119"/>
      <c r="M2430" s="3"/>
    </row>
    <row r="2431" spans="1:14" s="4" customFormat="1" ht="14.25" customHeight="1" x14ac:dyDescent="0.25">
      <c r="D2431" s="35"/>
      <c r="E2431" s="26" t="s">
        <v>352</v>
      </c>
      <c r="F2431" s="28"/>
      <c r="G2431" s="28"/>
      <c r="H2431" s="26"/>
      <c r="I2431" s="27">
        <f>SUM(I2205:I2406)</f>
        <v>6877531.4999999981</v>
      </c>
      <c r="J2431" s="27">
        <f>SUM(J2205:J2406)</f>
        <v>5575569.6000000006</v>
      </c>
      <c r="K2431" s="37" t="s">
        <v>3614</v>
      </c>
      <c r="L2431" s="119"/>
      <c r="M2431" s="3"/>
    </row>
    <row r="2432" spans="1:14" s="4" customFormat="1" ht="14.25" customHeight="1" x14ac:dyDescent="0.25">
      <c r="D2432" s="35"/>
      <c r="E2432" s="26" t="s">
        <v>4030</v>
      </c>
      <c r="F2432" s="28"/>
      <c r="G2432" s="28"/>
      <c r="H2432" s="26"/>
      <c r="I2432" s="27">
        <f>SUM(I2407:I2415)</f>
        <v>5549189.1099999994</v>
      </c>
      <c r="J2432" s="27">
        <f>SUM(J2407:J2415)</f>
        <v>5549189.1099999994</v>
      </c>
      <c r="K2432" s="37" t="s">
        <v>3614</v>
      </c>
      <c r="L2432" s="119"/>
      <c r="M2432" s="3"/>
      <c r="N2432" s="3"/>
    </row>
    <row r="2433" spans="1:13" s="4" customFormat="1" ht="14.25" customHeight="1" x14ac:dyDescent="0.25">
      <c r="D2433" s="35"/>
      <c r="E2433" s="26" t="s">
        <v>4031</v>
      </c>
      <c r="F2433" s="28"/>
      <c r="G2433" s="28"/>
      <c r="H2433" s="26"/>
      <c r="I2433" s="27">
        <f>SUM(I2416:I2427)</f>
        <v>11626573.16</v>
      </c>
      <c r="J2433" s="27">
        <f>SUM(J2416:J2427)</f>
        <v>11626573.16</v>
      </c>
      <c r="K2433" s="37" t="s">
        <v>3614</v>
      </c>
      <c r="L2433" s="119"/>
      <c r="M2433" s="3"/>
    </row>
    <row r="2434" spans="1:13" s="4" customFormat="1" ht="14.25" customHeight="1" x14ac:dyDescent="0.25">
      <c r="D2434" s="35"/>
      <c r="E2434" s="26" t="s">
        <v>2028</v>
      </c>
      <c r="F2434" s="28"/>
      <c r="G2434" s="28"/>
      <c r="H2434" s="26"/>
      <c r="I2434" s="25">
        <f>SUM(I2428)</f>
        <v>69097.100000000006</v>
      </c>
      <c r="J2434" s="25">
        <f>SUM(J2428)</f>
        <v>31093.7</v>
      </c>
      <c r="K2434" s="37" t="s">
        <v>3614</v>
      </c>
      <c r="L2434" s="119"/>
      <c r="M2434" s="3"/>
    </row>
    <row r="2435" spans="1:13" s="4" customFormat="1" ht="14.25" customHeight="1" x14ac:dyDescent="0.25">
      <c r="D2435" s="35"/>
      <c r="E2435" s="26" t="s">
        <v>2646</v>
      </c>
      <c r="F2435" s="28"/>
      <c r="G2435" s="28"/>
      <c r="H2435" s="26"/>
      <c r="I2435" s="27">
        <f>SUM(I2429)</f>
        <v>5433207.2199999997</v>
      </c>
      <c r="J2435" s="27">
        <f>SUM(J2429)</f>
        <v>5433207.2199999997</v>
      </c>
      <c r="K2435" s="37" t="s">
        <v>3614</v>
      </c>
      <c r="L2435" s="119"/>
      <c r="M2435" s="3"/>
    </row>
    <row r="2436" spans="1:13" s="4" customFormat="1" ht="14.25" customHeight="1" x14ac:dyDescent="0.25">
      <c r="D2436" s="35"/>
      <c r="E2436" s="26" t="s">
        <v>4032</v>
      </c>
      <c r="F2436" s="28"/>
      <c r="G2436" s="28"/>
      <c r="H2436" s="26"/>
      <c r="I2436" s="27">
        <f>SUM(I2430:I2435)</f>
        <v>29989813.609999999</v>
      </c>
      <c r="J2436" s="27">
        <f>SUM(J2430:J2435)</f>
        <v>28338840.669999998</v>
      </c>
      <c r="K2436" s="37" t="s">
        <v>3614</v>
      </c>
      <c r="L2436" s="119"/>
      <c r="M2436" s="3"/>
    </row>
    <row r="2437" spans="1:13" s="4" customFormat="1" ht="14.25" customHeight="1" x14ac:dyDescent="0.25">
      <c r="D2437" s="35"/>
      <c r="F2437" s="5"/>
      <c r="G2437" s="5"/>
      <c r="I2437" s="17"/>
      <c r="J2437" s="17"/>
      <c r="K2437" s="37"/>
      <c r="L2437" s="119"/>
      <c r="M2437" s="3"/>
    </row>
    <row r="2438" spans="1:13" s="4" customFormat="1" ht="14.25" customHeight="1" x14ac:dyDescent="0.25">
      <c r="A2438" s="4" t="s">
        <v>4033</v>
      </c>
      <c r="B2438" s="4" t="s">
        <v>13</v>
      </c>
      <c r="C2438" s="4" t="s">
        <v>14</v>
      </c>
      <c r="D2438" s="35">
        <v>3924</v>
      </c>
      <c r="E2438" s="7" t="s">
        <v>4034</v>
      </c>
      <c r="F2438" s="5">
        <v>39615</v>
      </c>
      <c r="G2438" s="5">
        <v>40165</v>
      </c>
      <c r="H2438" s="4" t="s">
        <v>16</v>
      </c>
      <c r="I2438" s="6">
        <v>177000</v>
      </c>
      <c r="J2438" s="6">
        <v>53100</v>
      </c>
      <c r="K2438" s="37" t="s">
        <v>4035</v>
      </c>
      <c r="L2438" s="119"/>
      <c r="M2438" s="3"/>
    </row>
    <row r="2439" spans="1:13" s="4" customFormat="1" ht="14.25" customHeight="1" x14ac:dyDescent="0.25">
      <c r="A2439" s="4" t="s">
        <v>4036</v>
      </c>
      <c r="B2439" s="4" t="s">
        <v>13</v>
      </c>
      <c r="C2439" s="4" t="s">
        <v>14</v>
      </c>
      <c r="D2439" s="35">
        <v>4169</v>
      </c>
      <c r="E2439" s="4" t="s">
        <v>4037</v>
      </c>
      <c r="F2439" s="5">
        <v>39521</v>
      </c>
      <c r="G2439" s="5">
        <v>39537</v>
      </c>
      <c r="H2439" s="4" t="s">
        <v>16</v>
      </c>
      <c r="I2439" s="6">
        <v>89553.71</v>
      </c>
      <c r="J2439" s="6">
        <v>25371</v>
      </c>
      <c r="K2439" s="37" t="s">
        <v>4035</v>
      </c>
      <c r="L2439" s="119"/>
      <c r="M2439" s="3"/>
    </row>
    <row r="2440" spans="1:13" s="4" customFormat="1" ht="14.25" customHeight="1" x14ac:dyDescent="0.25">
      <c r="A2440" s="4" t="s">
        <v>4038</v>
      </c>
      <c r="B2440" s="4" t="s">
        <v>13</v>
      </c>
      <c r="C2440" s="4" t="s">
        <v>14</v>
      </c>
      <c r="D2440" s="35">
        <v>4171</v>
      </c>
      <c r="E2440" s="4" t="s">
        <v>4039</v>
      </c>
      <c r="F2440" s="5">
        <v>39331</v>
      </c>
      <c r="G2440" s="5">
        <v>39570</v>
      </c>
      <c r="H2440" s="4" t="s">
        <v>16</v>
      </c>
      <c r="I2440" s="6">
        <v>24000</v>
      </c>
      <c r="J2440" s="6">
        <v>7200</v>
      </c>
      <c r="K2440" s="37" t="s">
        <v>4035</v>
      </c>
      <c r="L2440" s="119"/>
      <c r="M2440" s="3"/>
    </row>
    <row r="2441" spans="1:13" s="4" customFormat="1" ht="14.25" customHeight="1" x14ac:dyDescent="0.25">
      <c r="A2441" s="4" t="s">
        <v>4040</v>
      </c>
      <c r="B2441" s="4" t="s">
        <v>13</v>
      </c>
      <c r="C2441" s="4" t="s">
        <v>14</v>
      </c>
      <c r="D2441" s="35">
        <v>4180</v>
      </c>
      <c r="E2441" s="4" t="s">
        <v>4041</v>
      </c>
      <c r="F2441" s="5">
        <v>39873</v>
      </c>
      <c r="G2441" s="5">
        <v>40025</v>
      </c>
      <c r="H2441" s="4" t="s">
        <v>16</v>
      </c>
      <c r="I2441" s="6">
        <v>137500</v>
      </c>
      <c r="J2441" s="6">
        <v>41250</v>
      </c>
      <c r="K2441" s="37" t="s">
        <v>4035</v>
      </c>
      <c r="L2441" s="119"/>
      <c r="M2441" s="3"/>
    </row>
    <row r="2442" spans="1:13" s="4" customFormat="1" ht="14.25" customHeight="1" x14ac:dyDescent="0.25">
      <c r="A2442" s="4" t="s">
        <v>4042</v>
      </c>
      <c r="B2442" s="4" t="s">
        <v>13</v>
      </c>
      <c r="C2442" s="4" t="s">
        <v>14</v>
      </c>
      <c r="D2442" s="35">
        <v>4182</v>
      </c>
      <c r="E2442" s="4" t="s">
        <v>4043</v>
      </c>
      <c r="F2442" s="5">
        <v>39330</v>
      </c>
      <c r="G2442" s="5">
        <v>39631</v>
      </c>
      <c r="H2442" s="4" t="s">
        <v>16</v>
      </c>
      <c r="I2442" s="6">
        <v>1035</v>
      </c>
      <c r="J2442" s="6">
        <v>310.5</v>
      </c>
      <c r="K2442" s="37" t="s">
        <v>4035</v>
      </c>
      <c r="L2442" s="119"/>
      <c r="M2442" s="3"/>
    </row>
    <row r="2443" spans="1:13" s="4" customFormat="1" ht="14.25" customHeight="1" x14ac:dyDescent="0.25">
      <c r="A2443" s="4" t="s">
        <v>4044</v>
      </c>
      <c r="B2443" s="4" t="s">
        <v>13</v>
      </c>
      <c r="C2443" s="4" t="s">
        <v>14</v>
      </c>
      <c r="D2443" s="35">
        <v>4188</v>
      </c>
      <c r="E2443" s="4" t="s">
        <v>4045</v>
      </c>
      <c r="F2443" s="5">
        <v>39514</v>
      </c>
      <c r="G2443" s="5">
        <v>39566</v>
      </c>
      <c r="H2443" s="4" t="s">
        <v>16</v>
      </c>
      <c r="I2443" s="6">
        <v>62550</v>
      </c>
      <c r="J2443" s="6">
        <v>18765</v>
      </c>
      <c r="K2443" s="37" t="s">
        <v>4035</v>
      </c>
      <c r="L2443" s="119"/>
      <c r="M2443" s="3"/>
    </row>
    <row r="2444" spans="1:13" s="4" customFormat="1" ht="14.25" customHeight="1" x14ac:dyDescent="0.25">
      <c r="A2444" s="4" t="s">
        <v>4046</v>
      </c>
      <c r="B2444" s="4" t="s">
        <v>13</v>
      </c>
      <c r="C2444" s="4" t="s">
        <v>14</v>
      </c>
      <c r="D2444" s="35">
        <v>4189</v>
      </c>
      <c r="E2444" s="4" t="s">
        <v>4047</v>
      </c>
      <c r="F2444" s="5">
        <v>39380</v>
      </c>
      <c r="G2444" s="5">
        <v>39903</v>
      </c>
      <c r="H2444" s="4" t="s">
        <v>16</v>
      </c>
      <c r="I2444" s="6">
        <v>26996.3</v>
      </c>
      <c r="J2444" s="6">
        <v>8099.04</v>
      </c>
      <c r="K2444" s="37" t="s">
        <v>4035</v>
      </c>
      <c r="L2444" s="119"/>
      <c r="M2444" s="3"/>
    </row>
    <row r="2445" spans="1:13" s="4" customFormat="1" ht="14.25" customHeight="1" x14ac:dyDescent="0.25">
      <c r="A2445" s="4" t="s">
        <v>4048</v>
      </c>
      <c r="B2445" s="4" t="s">
        <v>13</v>
      </c>
      <c r="C2445" s="4" t="s">
        <v>14</v>
      </c>
      <c r="D2445" s="35">
        <v>9857</v>
      </c>
      <c r="E2445" s="4" t="s">
        <v>4049</v>
      </c>
      <c r="F2445" s="5">
        <v>40017</v>
      </c>
      <c r="G2445" s="5">
        <v>40364</v>
      </c>
      <c r="H2445" s="4" t="s">
        <v>16</v>
      </c>
      <c r="I2445" s="6">
        <v>26500</v>
      </c>
      <c r="J2445" s="6">
        <v>7950</v>
      </c>
      <c r="K2445" s="37" t="s">
        <v>4035</v>
      </c>
      <c r="L2445" s="119"/>
      <c r="M2445" s="3"/>
    </row>
    <row r="2446" spans="1:13" s="4" customFormat="1" ht="14.25" customHeight="1" x14ac:dyDescent="0.25">
      <c r="A2446" s="4" t="s">
        <v>4048</v>
      </c>
      <c r="B2446" s="4" t="s">
        <v>13</v>
      </c>
      <c r="C2446" s="4" t="s">
        <v>14</v>
      </c>
      <c r="D2446" s="35">
        <v>9868</v>
      </c>
      <c r="E2446" s="4" t="s">
        <v>4050</v>
      </c>
      <c r="F2446" s="5">
        <v>40017</v>
      </c>
      <c r="G2446" s="5">
        <v>40364</v>
      </c>
      <c r="H2446" s="4" t="s">
        <v>16</v>
      </c>
      <c r="I2446" s="6">
        <v>12980</v>
      </c>
      <c r="J2446" s="6">
        <v>3567.3</v>
      </c>
      <c r="K2446" s="37" t="s">
        <v>4035</v>
      </c>
      <c r="L2446" s="119"/>
      <c r="M2446" s="3"/>
    </row>
    <row r="2447" spans="1:13" s="4" customFormat="1" ht="14.25" customHeight="1" x14ac:dyDescent="0.25">
      <c r="A2447" s="4" t="s">
        <v>4051</v>
      </c>
      <c r="B2447" s="4" t="s">
        <v>13</v>
      </c>
      <c r="C2447" s="4" t="s">
        <v>14</v>
      </c>
      <c r="D2447" s="35">
        <v>6189</v>
      </c>
      <c r="E2447" s="7" t="s">
        <v>4052</v>
      </c>
      <c r="F2447" s="5">
        <v>39845</v>
      </c>
      <c r="G2447" s="5">
        <v>40390</v>
      </c>
      <c r="H2447" s="4" t="s">
        <v>2039</v>
      </c>
      <c r="I2447" s="6">
        <v>77192.56</v>
      </c>
      <c r="J2447" s="6">
        <v>77192.56</v>
      </c>
      <c r="K2447" s="37" t="s">
        <v>4035</v>
      </c>
      <c r="L2447" s="119"/>
      <c r="M2447" s="3"/>
    </row>
    <row r="2448" spans="1:13" s="4" customFormat="1" ht="15" customHeight="1" x14ac:dyDescent="0.25">
      <c r="A2448" s="4" t="s">
        <v>4053</v>
      </c>
      <c r="B2448" s="4" t="s">
        <v>13</v>
      </c>
      <c r="C2448" s="4" t="s">
        <v>14</v>
      </c>
      <c r="D2448" s="35">
        <v>11090</v>
      </c>
      <c r="E2448" s="7" t="s">
        <v>4054</v>
      </c>
      <c r="F2448" s="5">
        <v>40695</v>
      </c>
      <c r="G2448" s="5">
        <v>41060</v>
      </c>
      <c r="H2448" s="4" t="s">
        <v>2039</v>
      </c>
      <c r="I2448" s="6">
        <v>11266.22</v>
      </c>
      <c r="J2448" s="6">
        <v>11266.22</v>
      </c>
      <c r="K2448" s="37" t="s">
        <v>4035</v>
      </c>
      <c r="L2448" s="119"/>
      <c r="M2448" s="3"/>
    </row>
    <row r="2449" spans="1:13" s="4" customFormat="1" ht="14.25" customHeight="1" x14ac:dyDescent="0.25">
      <c r="A2449" s="4" t="s">
        <v>4055</v>
      </c>
      <c r="B2449" s="4" t="s">
        <v>13</v>
      </c>
      <c r="C2449" s="4" t="s">
        <v>14</v>
      </c>
      <c r="D2449" s="35">
        <v>9856</v>
      </c>
      <c r="E2449" s="4" t="s">
        <v>4056</v>
      </c>
      <c r="F2449" s="5">
        <v>40394</v>
      </c>
      <c r="G2449" s="5">
        <v>40536</v>
      </c>
      <c r="H2449" s="4" t="s">
        <v>392</v>
      </c>
      <c r="I2449" s="6">
        <v>1464985.39</v>
      </c>
      <c r="J2449" s="6">
        <v>500000</v>
      </c>
      <c r="K2449" s="37" t="s">
        <v>4035</v>
      </c>
      <c r="L2449" s="119"/>
      <c r="M2449" s="3"/>
    </row>
    <row r="2450" spans="1:13" s="4" customFormat="1" ht="14.25" customHeight="1" x14ac:dyDescent="0.25">
      <c r="A2450" s="4" t="s">
        <v>4057</v>
      </c>
      <c r="B2450" s="4" t="s">
        <v>13</v>
      </c>
      <c r="C2450" s="4" t="s">
        <v>14</v>
      </c>
      <c r="D2450" s="35">
        <v>9898</v>
      </c>
      <c r="E2450" s="4" t="s">
        <v>4058</v>
      </c>
      <c r="F2450" s="5">
        <v>40844</v>
      </c>
      <c r="G2450" s="5">
        <v>40897</v>
      </c>
      <c r="H2450" s="4" t="s">
        <v>392</v>
      </c>
      <c r="I2450" s="6">
        <v>53815.5</v>
      </c>
      <c r="J2450" s="6">
        <v>18835.43</v>
      </c>
      <c r="K2450" s="37" t="s">
        <v>4035</v>
      </c>
      <c r="L2450" s="119"/>
      <c r="M2450" s="3"/>
    </row>
    <row r="2451" spans="1:13" s="4" customFormat="1" ht="14.25" customHeight="1" x14ac:dyDescent="0.25">
      <c r="A2451" s="4" t="s">
        <v>4059</v>
      </c>
      <c r="B2451" s="4" t="s">
        <v>13</v>
      </c>
      <c r="C2451" s="4" t="s">
        <v>14</v>
      </c>
      <c r="D2451" s="35">
        <v>10039</v>
      </c>
      <c r="E2451" s="4" t="s">
        <v>4060</v>
      </c>
      <c r="F2451" s="5">
        <v>40828</v>
      </c>
      <c r="G2451" s="5">
        <v>40897</v>
      </c>
      <c r="H2451" s="4" t="s">
        <v>392</v>
      </c>
      <c r="I2451" s="6">
        <v>87622.55</v>
      </c>
      <c r="J2451" s="6">
        <v>30667.89</v>
      </c>
      <c r="K2451" s="37" t="s">
        <v>4035</v>
      </c>
      <c r="L2451" s="119"/>
      <c r="M2451" s="3"/>
    </row>
    <row r="2452" spans="1:13" s="4" customFormat="1" ht="14.25" customHeight="1" x14ac:dyDescent="0.25">
      <c r="A2452" s="4" t="s">
        <v>2285</v>
      </c>
      <c r="B2452" s="4" t="s">
        <v>38</v>
      </c>
      <c r="C2452" s="4" t="s">
        <v>14</v>
      </c>
      <c r="D2452" s="35">
        <v>1185</v>
      </c>
      <c r="E2452" s="4" t="s">
        <v>4061</v>
      </c>
      <c r="F2452" s="5">
        <v>39083</v>
      </c>
      <c r="H2452" s="4" t="s">
        <v>40</v>
      </c>
      <c r="I2452" s="6">
        <v>600921.48</v>
      </c>
      <c r="J2452" s="6">
        <f>519971.92+80949.56</f>
        <v>600921.48</v>
      </c>
      <c r="K2452" s="37" t="s">
        <v>4035</v>
      </c>
      <c r="L2452" s="119"/>
      <c r="M2452" s="3"/>
    </row>
    <row r="2453" spans="1:13" s="4" customFormat="1" ht="14.25" customHeight="1" x14ac:dyDescent="0.25">
      <c r="A2453" s="4" t="s">
        <v>3254</v>
      </c>
      <c r="B2453" s="4" t="s">
        <v>38</v>
      </c>
      <c r="C2453" s="4" t="s">
        <v>14</v>
      </c>
      <c r="D2453" s="35">
        <v>1202</v>
      </c>
      <c r="E2453" s="4" t="s">
        <v>4062</v>
      </c>
      <c r="F2453" s="5">
        <v>39083</v>
      </c>
      <c r="H2453" s="4" t="s">
        <v>40</v>
      </c>
      <c r="I2453" s="6">
        <v>9163.56</v>
      </c>
      <c r="J2453" s="6">
        <v>9163.56</v>
      </c>
      <c r="K2453" s="37" t="s">
        <v>4035</v>
      </c>
      <c r="L2453" s="119"/>
      <c r="M2453" s="3"/>
    </row>
    <row r="2454" spans="1:13" s="4" customFormat="1" ht="14.25" customHeight="1" x14ac:dyDescent="0.25">
      <c r="A2454" s="4" t="s">
        <v>4063</v>
      </c>
      <c r="B2454" s="4" t="s">
        <v>38</v>
      </c>
      <c r="C2454" s="4" t="s">
        <v>14</v>
      </c>
      <c r="D2454" s="35">
        <v>1203</v>
      </c>
      <c r="E2454" s="4" t="s">
        <v>4064</v>
      </c>
      <c r="F2454" s="5">
        <v>39083</v>
      </c>
      <c r="H2454" s="4" t="s">
        <v>40</v>
      </c>
      <c r="I2454" s="6">
        <v>81450.789999999994</v>
      </c>
      <c r="J2454" s="6">
        <v>81450.789999999994</v>
      </c>
      <c r="K2454" s="37" t="s">
        <v>4035</v>
      </c>
      <c r="L2454" s="119"/>
      <c r="M2454" s="3"/>
    </row>
    <row r="2455" spans="1:13" s="4" customFormat="1" ht="14.25" customHeight="1" x14ac:dyDescent="0.25">
      <c r="A2455" s="4" t="s">
        <v>4065</v>
      </c>
      <c r="B2455" s="4" t="s">
        <v>38</v>
      </c>
      <c r="C2455" s="4" t="s">
        <v>14</v>
      </c>
      <c r="D2455" s="35">
        <v>2056</v>
      </c>
      <c r="E2455" s="4" t="s">
        <v>4066</v>
      </c>
      <c r="F2455" s="5">
        <v>39083</v>
      </c>
      <c r="H2455" s="4" t="s">
        <v>40</v>
      </c>
      <c r="I2455" s="6">
        <v>310003.76</v>
      </c>
      <c r="J2455" s="6">
        <f>260178.88+49824.88</f>
        <v>310003.76</v>
      </c>
      <c r="K2455" s="37" t="s">
        <v>4035</v>
      </c>
      <c r="L2455" s="119"/>
      <c r="M2455" s="3"/>
    </row>
    <row r="2456" spans="1:13" s="4" customFormat="1" ht="14.25" customHeight="1" x14ac:dyDescent="0.25">
      <c r="A2456" s="4" t="s">
        <v>4067</v>
      </c>
      <c r="B2456" s="4" t="s">
        <v>13</v>
      </c>
      <c r="C2456" s="4" t="s">
        <v>14</v>
      </c>
      <c r="D2456" s="35">
        <v>2057</v>
      </c>
      <c r="E2456" s="4" t="s">
        <v>4068</v>
      </c>
      <c r="F2456" s="5">
        <v>39083</v>
      </c>
      <c r="H2456" s="4" t="s">
        <v>40</v>
      </c>
      <c r="I2456" s="6">
        <v>150224.20000000001</v>
      </c>
      <c r="J2456" s="6">
        <f>135665.63+14558.57</f>
        <v>150224.20000000001</v>
      </c>
      <c r="K2456" s="37" t="s">
        <v>4035</v>
      </c>
      <c r="L2456" s="119"/>
      <c r="M2456" s="3"/>
    </row>
    <row r="2457" spans="1:13" s="4" customFormat="1" ht="14.25" customHeight="1" x14ac:dyDescent="0.25">
      <c r="A2457" s="4" t="s">
        <v>4069</v>
      </c>
      <c r="B2457" s="4" t="s">
        <v>38</v>
      </c>
      <c r="C2457" s="4" t="s">
        <v>14</v>
      </c>
      <c r="D2457" s="35">
        <v>2490</v>
      </c>
      <c r="E2457" s="4" t="s">
        <v>4070</v>
      </c>
      <c r="F2457" s="5">
        <v>39083</v>
      </c>
      <c r="H2457" s="4" t="s">
        <v>40</v>
      </c>
      <c r="I2457" s="6">
        <v>25915.62</v>
      </c>
      <c r="J2457" s="6">
        <v>25915.62</v>
      </c>
      <c r="K2457" s="37" t="s">
        <v>4035</v>
      </c>
      <c r="L2457" s="119"/>
      <c r="M2457" s="3"/>
    </row>
    <row r="2458" spans="1:13" s="4" customFormat="1" ht="14.25" customHeight="1" x14ac:dyDescent="0.25">
      <c r="A2458" s="4" t="s">
        <v>4071</v>
      </c>
      <c r="B2458" s="4" t="s">
        <v>13</v>
      </c>
      <c r="C2458" s="4" t="s">
        <v>14</v>
      </c>
      <c r="D2458" s="35">
        <v>2501</v>
      </c>
      <c r="E2458" s="4" t="s">
        <v>4072</v>
      </c>
      <c r="F2458" s="5">
        <v>39083</v>
      </c>
      <c r="H2458" s="4" t="s">
        <v>40</v>
      </c>
      <c r="I2458" s="6">
        <v>231062.12</v>
      </c>
      <c r="J2458" s="6">
        <f>172815.38+58246.74</f>
        <v>231062.12</v>
      </c>
      <c r="K2458" s="37" t="s">
        <v>4035</v>
      </c>
      <c r="L2458" s="119"/>
      <c r="M2458" s="3"/>
    </row>
    <row r="2459" spans="1:13" s="4" customFormat="1" ht="14.25" customHeight="1" x14ac:dyDescent="0.25">
      <c r="A2459" s="4" t="s">
        <v>4073</v>
      </c>
      <c r="B2459" s="4" t="s">
        <v>38</v>
      </c>
      <c r="C2459" s="4" t="s">
        <v>14</v>
      </c>
      <c r="D2459" s="35">
        <v>2517</v>
      </c>
      <c r="E2459" s="4" t="s">
        <v>4074</v>
      </c>
      <c r="F2459" s="5">
        <v>39083</v>
      </c>
      <c r="H2459" s="4" t="s">
        <v>40</v>
      </c>
      <c r="I2459" s="6">
        <v>78001.38</v>
      </c>
      <c r="J2459" s="6">
        <v>78001.38</v>
      </c>
      <c r="K2459" s="37" t="s">
        <v>4035</v>
      </c>
      <c r="L2459" s="119"/>
      <c r="M2459" s="3"/>
    </row>
    <row r="2460" spans="1:13" s="4" customFormat="1" ht="14.25" customHeight="1" x14ac:dyDescent="0.25">
      <c r="A2460" s="4" t="s">
        <v>4075</v>
      </c>
      <c r="B2460" s="4" t="s">
        <v>38</v>
      </c>
      <c r="C2460" s="4" t="s">
        <v>14</v>
      </c>
      <c r="D2460" s="35">
        <v>2519</v>
      </c>
      <c r="E2460" s="4" t="s">
        <v>4076</v>
      </c>
      <c r="F2460" s="5">
        <v>39083</v>
      </c>
      <c r="H2460" s="4" t="s">
        <v>40</v>
      </c>
      <c r="I2460" s="6">
        <v>18891</v>
      </c>
      <c r="J2460" s="6">
        <v>18891</v>
      </c>
      <c r="K2460" s="37" t="s">
        <v>4035</v>
      </c>
      <c r="L2460" s="119"/>
      <c r="M2460" s="3"/>
    </row>
    <row r="2461" spans="1:13" s="4" customFormat="1" ht="14.25" customHeight="1" x14ac:dyDescent="0.25">
      <c r="A2461" s="4" t="s">
        <v>4077</v>
      </c>
      <c r="B2461" s="4" t="s">
        <v>38</v>
      </c>
      <c r="C2461" s="4" t="s">
        <v>14</v>
      </c>
      <c r="D2461" s="35">
        <v>2521</v>
      </c>
      <c r="E2461" s="4" t="s">
        <v>4078</v>
      </c>
      <c r="F2461" s="5">
        <v>39083</v>
      </c>
      <c r="H2461" s="4" t="s">
        <v>40</v>
      </c>
      <c r="I2461" s="6">
        <f>99139.64+7014.91</f>
        <v>106154.55</v>
      </c>
      <c r="J2461" s="6">
        <f>99139.64+7014.91</f>
        <v>106154.55</v>
      </c>
      <c r="K2461" s="37" t="s">
        <v>4035</v>
      </c>
      <c r="L2461" s="119"/>
      <c r="M2461" s="3"/>
    </row>
    <row r="2462" spans="1:13" s="4" customFormat="1" ht="14.25" customHeight="1" x14ac:dyDescent="0.25">
      <c r="A2462" s="4" t="s">
        <v>4079</v>
      </c>
      <c r="B2462" s="4" t="s">
        <v>38</v>
      </c>
      <c r="C2462" s="4" t="s">
        <v>14</v>
      </c>
      <c r="D2462" s="35">
        <v>2522</v>
      </c>
      <c r="E2462" s="4" t="s">
        <v>4080</v>
      </c>
      <c r="F2462" s="5">
        <v>39083</v>
      </c>
      <c r="H2462" s="4" t="s">
        <v>40</v>
      </c>
      <c r="I2462" s="6">
        <v>273965.62</v>
      </c>
      <c r="J2462" s="6">
        <f>228707.76+45257.86</f>
        <v>273965.62</v>
      </c>
      <c r="K2462" s="37" t="s">
        <v>4035</v>
      </c>
      <c r="L2462" s="119"/>
      <c r="M2462" s="3"/>
    </row>
    <row r="2463" spans="1:13" s="4" customFormat="1" ht="14.25" customHeight="1" x14ac:dyDescent="0.25">
      <c r="A2463" s="4" t="s">
        <v>3739</v>
      </c>
      <c r="B2463" s="4" t="s">
        <v>38</v>
      </c>
      <c r="C2463" s="4" t="s">
        <v>14</v>
      </c>
      <c r="D2463" s="35">
        <v>2523</v>
      </c>
      <c r="E2463" s="4" t="s">
        <v>4081</v>
      </c>
      <c r="F2463" s="5">
        <v>39083</v>
      </c>
      <c r="H2463" s="4" t="s">
        <v>40</v>
      </c>
      <c r="I2463" s="6">
        <v>492824.12</v>
      </c>
      <c r="J2463" s="6">
        <f>425508.04+67316.08</f>
        <v>492824.12</v>
      </c>
      <c r="K2463" s="37" t="s">
        <v>4035</v>
      </c>
      <c r="L2463" s="119"/>
      <c r="M2463" s="3"/>
    </row>
    <row r="2464" spans="1:13" s="4" customFormat="1" ht="14.25" customHeight="1" x14ac:dyDescent="0.25">
      <c r="A2464" s="4" t="s">
        <v>4082</v>
      </c>
      <c r="B2464" s="4" t="s">
        <v>38</v>
      </c>
      <c r="C2464" s="4" t="s">
        <v>14</v>
      </c>
      <c r="D2464" s="35">
        <v>2524</v>
      </c>
      <c r="E2464" s="4" t="s">
        <v>4083</v>
      </c>
      <c r="F2464" s="5">
        <v>39083</v>
      </c>
      <c r="H2464" s="4" t="s">
        <v>40</v>
      </c>
      <c r="I2464" s="6">
        <f>176177.16+21000</f>
        <v>197177.16</v>
      </c>
      <c r="J2464" s="6">
        <f>176177.16+21000</f>
        <v>197177.16</v>
      </c>
      <c r="K2464" s="37" t="s">
        <v>4035</v>
      </c>
      <c r="L2464" s="119"/>
      <c r="M2464" s="3"/>
    </row>
    <row r="2465" spans="1:13" s="4" customFormat="1" ht="14.25" customHeight="1" x14ac:dyDescent="0.25">
      <c r="A2465" s="4" t="s">
        <v>4084</v>
      </c>
      <c r="B2465" s="4" t="s">
        <v>13</v>
      </c>
      <c r="C2465" s="4" t="s">
        <v>14</v>
      </c>
      <c r="D2465" s="35">
        <v>2525</v>
      </c>
      <c r="E2465" s="4" t="s">
        <v>4085</v>
      </c>
      <c r="F2465" s="5">
        <v>39083</v>
      </c>
      <c r="H2465" s="4" t="s">
        <v>40</v>
      </c>
      <c r="I2465" s="6">
        <v>159778.71</v>
      </c>
      <c r="J2465" s="6">
        <f>143071.44+16707.27</f>
        <v>159778.71</v>
      </c>
      <c r="K2465" s="37" t="s">
        <v>4035</v>
      </c>
      <c r="L2465" s="119"/>
      <c r="M2465" s="3"/>
    </row>
    <row r="2466" spans="1:13" s="4" customFormat="1" ht="14.25" customHeight="1" x14ac:dyDescent="0.25">
      <c r="A2466" s="4" t="s">
        <v>4086</v>
      </c>
      <c r="B2466" s="4" t="s">
        <v>38</v>
      </c>
      <c r="C2466" s="4" t="s">
        <v>14</v>
      </c>
      <c r="D2466" s="35">
        <v>2526</v>
      </c>
      <c r="E2466" s="4" t="s">
        <v>4087</v>
      </c>
      <c r="F2466" s="5">
        <v>39083</v>
      </c>
      <c r="H2466" s="4" t="s">
        <v>40</v>
      </c>
      <c r="I2466" s="6">
        <f>87980.17+3952.16</f>
        <v>91932.33</v>
      </c>
      <c r="J2466" s="6">
        <f>87980.17+3952.16</f>
        <v>91932.33</v>
      </c>
      <c r="K2466" s="37" t="s">
        <v>4035</v>
      </c>
      <c r="L2466" s="119"/>
      <c r="M2466" s="3"/>
    </row>
    <row r="2467" spans="1:13" s="4" customFormat="1" ht="14.25" customHeight="1" x14ac:dyDescent="0.25">
      <c r="A2467" s="4" t="s">
        <v>4088</v>
      </c>
      <c r="B2467" s="4" t="s">
        <v>38</v>
      </c>
      <c r="C2467" s="4" t="s">
        <v>14</v>
      </c>
      <c r="D2467" s="35">
        <v>2527</v>
      </c>
      <c r="E2467" s="4" t="s">
        <v>4089</v>
      </c>
      <c r="F2467" s="5">
        <v>39083</v>
      </c>
      <c r="H2467" s="4" t="s">
        <v>40</v>
      </c>
      <c r="I2467" s="6">
        <v>24651.5</v>
      </c>
      <c r="J2467" s="6">
        <f>23317.66+1333.84</f>
        <v>24651.5</v>
      </c>
      <c r="K2467" s="37" t="s">
        <v>4035</v>
      </c>
      <c r="L2467" s="119"/>
      <c r="M2467" s="3"/>
    </row>
    <row r="2468" spans="1:13" s="4" customFormat="1" ht="14.25" customHeight="1" x14ac:dyDescent="0.25">
      <c r="A2468" s="4" t="s">
        <v>4090</v>
      </c>
      <c r="B2468" s="4" t="s">
        <v>38</v>
      </c>
      <c r="C2468" s="4" t="s">
        <v>14</v>
      </c>
      <c r="D2468" s="35">
        <v>2528</v>
      </c>
      <c r="E2468" s="4" t="s">
        <v>4091</v>
      </c>
      <c r="F2468" s="5">
        <v>39083</v>
      </c>
      <c r="H2468" s="4" t="s">
        <v>40</v>
      </c>
      <c r="I2468" s="6">
        <v>88126.17</v>
      </c>
      <c r="J2468" s="6">
        <f>63289.1+24837.07</f>
        <v>88126.17</v>
      </c>
      <c r="K2468" s="37" t="s">
        <v>4035</v>
      </c>
      <c r="L2468" s="119"/>
      <c r="M2468" s="3"/>
    </row>
    <row r="2469" spans="1:13" s="4" customFormat="1" ht="14.25" customHeight="1" x14ac:dyDescent="0.25">
      <c r="A2469" s="4" t="s">
        <v>4092</v>
      </c>
      <c r="B2469" s="4" t="s">
        <v>38</v>
      </c>
      <c r="C2469" s="4" t="s">
        <v>14</v>
      </c>
      <c r="D2469" s="35">
        <v>2546</v>
      </c>
      <c r="E2469" s="4" t="s">
        <v>4093</v>
      </c>
      <c r="F2469" s="5">
        <v>39083</v>
      </c>
      <c r="G2469" s="5">
        <v>39813</v>
      </c>
      <c r="H2469" s="4" t="s">
        <v>40</v>
      </c>
      <c r="I2469" s="6">
        <v>2914.69</v>
      </c>
      <c r="J2469" s="6">
        <v>2914.69</v>
      </c>
      <c r="K2469" s="37" t="s">
        <v>4035</v>
      </c>
      <c r="L2469" s="119"/>
      <c r="M2469" s="3"/>
    </row>
    <row r="2470" spans="1:13" s="4" customFormat="1" ht="14.25" customHeight="1" x14ac:dyDescent="0.25">
      <c r="A2470" s="4" t="s">
        <v>4094</v>
      </c>
      <c r="B2470" s="4" t="s">
        <v>38</v>
      </c>
      <c r="C2470" s="4" t="s">
        <v>14</v>
      </c>
      <c r="D2470" s="35">
        <v>2547</v>
      </c>
      <c r="E2470" s="4" t="s">
        <v>4095</v>
      </c>
      <c r="F2470" s="5">
        <v>39083</v>
      </c>
      <c r="H2470" s="4" t="s">
        <v>40</v>
      </c>
      <c r="I2470" s="6">
        <v>8171.66</v>
      </c>
      <c r="J2470" s="6">
        <v>8171.66</v>
      </c>
      <c r="K2470" s="37" t="s">
        <v>4035</v>
      </c>
      <c r="L2470" s="119"/>
      <c r="M2470" s="3"/>
    </row>
    <row r="2471" spans="1:13" s="4" customFormat="1" ht="14.25" customHeight="1" x14ac:dyDescent="0.25">
      <c r="A2471" s="4" t="s">
        <v>4096</v>
      </c>
      <c r="B2471" s="4" t="s">
        <v>38</v>
      </c>
      <c r="C2471" s="4" t="s">
        <v>14</v>
      </c>
      <c r="D2471" s="35">
        <v>2548</v>
      </c>
      <c r="E2471" s="4" t="s">
        <v>4097</v>
      </c>
      <c r="F2471" s="5">
        <v>39083</v>
      </c>
      <c r="H2471" s="4" t="s">
        <v>40</v>
      </c>
      <c r="I2471" s="6">
        <v>97127.31</v>
      </c>
      <c r="J2471" s="6">
        <v>97127.31</v>
      </c>
      <c r="K2471" s="37" t="s">
        <v>4035</v>
      </c>
      <c r="L2471" s="119"/>
      <c r="M2471" s="3"/>
    </row>
    <row r="2472" spans="1:13" s="4" customFormat="1" ht="14.25" customHeight="1" x14ac:dyDescent="0.25">
      <c r="A2472" s="4" t="s">
        <v>4098</v>
      </c>
      <c r="B2472" s="4" t="s">
        <v>38</v>
      </c>
      <c r="C2472" s="4" t="s">
        <v>14</v>
      </c>
      <c r="D2472" s="35">
        <v>2549</v>
      </c>
      <c r="E2472" s="4" t="s">
        <v>4099</v>
      </c>
      <c r="F2472" s="5">
        <v>39083</v>
      </c>
      <c r="G2472" s="5">
        <v>39813</v>
      </c>
      <c r="H2472" s="4" t="s">
        <v>40</v>
      </c>
      <c r="I2472" s="6">
        <v>2160</v>
      </c>
      <c r="J2472" s="6">
        <v>2160</v>
      </c>
      <c r="K2472" s="37" t="s">
        <v>4035</v>
      </c>
      <c r="L2472" s="119"/>
      <c r="M2472" s="3"/>
    </row>
    <row r="2473" spans="1:13" s="4" customFormat="1" ht="14.25" customHeight="1" x14ac:dyDescent="0.25">
      <c r="A2473" s="4" t="s">
        <v>4100</v>
      </c>
      <c r="B2473" s="4" t="s">
        <v>59</v>
      </c>
      <c r="C2473" s="4" t="s">
        <v>14</v>
      </c>
      <c r="D2473" s="35">
        <v>2567</v>
      </c>
      <c r="E2473" s="4" t="s">
        <v>4101</v>
      </c>
      <c r="F2473" s="5">
        <v>39175</v>
      </c>
      <c r="G2473" s="5">
        <v>39379</v>
      </c>
      <c r="H2473" s="4" t="s">
        <v>40</v>
      </c>
      <c r="I2473" s="6">
        <v>5000</v>
      </c>
      <c r="J2473" s="6">
        <v>5000</v>
      </c>
      <c r="K2473" s="37" t="s">
        <v>4035</v>
      </c>
      <c r="L2473" s="119"/>
      <c r="M2473" s="3"/>
    </row>
    <row r="2474" spans="1:13" s="4" customFormat="1" ht="14.25" customHeight="1" x14ac:dyDescent="0.25">
      <c r="A2474" s="4" t="s">
        <v>4102</v>
      </c>
      <c r="B2474" s="4" t="s">
        <v>59</v>
      </c>
      <c r="C2474" s="4" t="s">
        <v>14</v>
      </c>
      <c r="D2474" s="35">
        <v>2569</v>
      </c>
      <c r="E2474" s="4" t="s">
        <v>4103</v>
      </c>
      <c r="F2474" s="5">
        <v>39119</v>
      </c>
      <c r="G2474" s="5">
        <v>39400</v>
      </c>
      <c r="H2474" s="4" t="s">
        <v>40</v>
      </c>
      <c r="I2474" s="6">
        <v>5000</v>
      </c>
      <c r="J2474" s="6">
        <v>5000</v>
      </c>
      <c r="K2474" s="37" t="s">
        <v>4035</v>
      </c>
      <c r="L2474" s="119"/>
      <c r="M2474" s="3"/>
    </row>
    <row r="2475" spans="1:13" s="4" customFormat="1" ht="14.25" customHeight="1" x14ac:dyDescent="0.25">
      <c r="A2475" s="4" t="s">
        <v>4104</v>
      </c>
      <c r="B2475" s="4" t="s">
        <v>59</v>
      </c>
      <c r="C2475" s="4" t="s">
        <v>14</v>
      </c>
      <c r="D2475" s="35">
        <v>2570</v>
      </c>
      <c r="E2475" s="4" t="s">
        <v>4105</v>
      </c>
      <c r="F2475" s="5">
        <v>39175</v>
      </c>
      <c r="G2475" s="5">
        <v>39409</v>
      </c>
      <c r="H2475" s="4" t="s">
        <v>40</v>
      </c>
      <c r="I2475" s="6">
        <v>3000</v>
      </c>
      <c r="J2475" s="6">
        <v>3000</v>
      </c>
      <c r="K2475" s="37" t="s">
        <v>4035</v>
      </c>
      <c r="L2475" s="119"/>
      <c r="M2475" s="3"/>
    </row>
    <row r="2476" spans="1:13" s="4" customFormat="1" ht="14.25" customHeight="1" x14ac:dyDescent="0.25">
      <c r="A2476" s="4" t="s">
        <v>4106</v>
      </c>
      <c r="B2476" s="4" t="s">
        <v>59</v>
      </c>
      <c r="C2476" s="4" t="s">
        <v>14</v>
      </c>
      <c r="D2476" s="35">
        <v>2571</v>
      </c>
      <c r="E2476" s="4" t="s">
        <v>4107</v>
      </c>
      <c r="F2476" s="5">
        <v>39211</v>
      </c>
      <c r="G2476" s="5">
        <v>39245</v>
      </c>
      <c r="H2476" s="4" t="s">
        <v>40</v>
      </c>
      <c r="I2476" s="6">
        <v>10000</v>
      </c>
      <c r="J2476" s="6">
        <v>10000</v>
      </c>
      <c r="K2476" s="37" t="s">
        <v>4035</v>
      </c>
      <c r="L2476" s="119"/>
      <c r="M2476" s="3"/>
    </row>
    <row r="2477" spans="1:13" s="4" customFormat="1" ht="14.25" customHeight="1" x14ac:dyDescent="0.25">
      <c r="A2477" s="4" t="s">
        <v>4108</v>
      </c>
      <c r="B2477" s="4" t="s">
        <v>59</v>
      </c>
      <c r="C2477" s="4" t="s">
        <v>14</v>
      </c>
      <c r="D2477" s="35">
        <v>2572</v>
      </c>
      <c r="E2477" s="4" t="s">
        <v>4109</v>
      </c>
      <c r="F2477" s="5">
        <v>39211</v>
      </c>
      <c r="G2477" s="5">
        <v>39420</v>
      </c>
      <c r="H2477" s="4" t="s">
        <v>40</v>
      </c>
      <c r="I2477" s="6">
        <v>3000</v>
      </c>
      <c r="J2477" s="6">
        <v>3000</v>
      </c>
      <c r="K2477" s="37" t="s">
        <v>4035</v>
      </c>
      <c r="L2477" s="119"/>
      <c r="M2477" s="3"/>
    </row>
    <row r="2478" spans="1:13" s="4" customFormat="1" ht="14.25" customHeight="1" x14ac:dyDescent="0.25">
      <c r="A2478" s="4" t="s">
        <v>4110</v>
      </c>
      <c r="B2478" s="4" t="s">
        <v>59</v>
      </c>
      <c r="C2478" s="4" t="s">
        <v>14</v>
      </c>
      <c r="D2478" s="35">
        <v>2605</v>
      </c>
      <c r="E2478" s="4" t="s">
        <v>4111</v>
      </c>
      <c r="F2478" s="5">
        <v>39211</v>
      </c>
      <c r="G2478" s="5">
        <v>39388</v>
      </c>
      <c r="H2478" s="4" t="s">
        <v>40</v>
      </c>
      <c r="I2478" s="6">
        <v>5000</v>
      </c>
      <c r="J2478" s="6">
        <v>5000</v>
      </c>
      <c r="K2478" s="37" t="s">
        <v>4035</v>
      </c>
      <c r="L2478" s="119"/>
      <c r="M2478" s="3"/>
    </row>
    <row r="2479" spans="1:13" s="4" customFormat="1" ht="14.25" customHeight="1" x14ac:dyDescent="0.25">
      <c r="A2479" s="4" t="s">
        <v>4112</v>
      </c>
      <c r="B2479" s="4" t="s">
        <v>50</v>
      </c>
      <c r="C2479" s="4" t="s">
        <v>14</v>
      </c>
      <c r="D2479" s="35">
        <v>2606</v>
      </c>
      <c r="E2479" s="4" t="s">
        <v>4113</v>
      </c>
      <c r="F2479" s="5">
        <v>39175</v>
      </c>
      <c r="G2479" s="5">
        <v>39289</v>
      </c>
      <c r="H2479" s="4" t="s">
        <v>40</v>
      </c>
      <c r="I2479" s="6">
        <v>150000</v>
      </c>
      <c r="J2479" s="6">
        <v>75000</v>
      </c>
      <c r="K2479" s="37" t="s">
        <v>4035</v>
      </c>
      <c r="L2479" s="119"/>
      <c r="M2479" s="3"/>
    </row>
    <row r="2480" spans="1:13" s="4" customFormat="1" ht="14.25" customHeight="1" x14ac:dyDescent="0.25">
      <c r="A2480" s="4" t="s">
        <v>4114</v>
      </c>
      <c r="B2480" s="4" t="s">
        <v>59</v>
      </c>
      <c r="C2480" s="4" t="s">
        <v>14</v>
      </c>
      <c r="D2480" s="35">
        <v>2607</v>
      </c>
      <c r="E2480" s="4" t="s">
        <v>4115</v>
      </c>
      <c r="F2480" s="5">
        <v>39274</v>
      </c>
      <c r="G2480" s="5">
        <v>39552</v>
      </c>
      <c r="H2480" s="4" t="s">
        <v>40</v>
      </c>
      <c r="I2480" s="6">
        <v>5000</v>
      </c>
      <c r="J2480" s="6">
        <v>5000</v>
      </c>
      <c r="K2480" s="37" t="s">
        <v>4035</v>
      </c>
      <c r="L2480" s="119"/>
      <c r="M2480" s="3"/>
    </row>
    <row r="2481" spans="1:13" s="4" customFormat="1" ht="14.25" customHeight="1" x14ac:dyDescent="0.25">
      <c r="A2481" s="4" t="s">
        <v>4116</v>
      </c>
      <c r="B2481" s="4" t="s">
        <v>59</v>
      </c>
      <c r="C2481" s="4" t="s">
        <v>14</v>
      </c>
      <c r="D2481" s="35">
        <v>2608</v>
      </c>
      <c r="E2481" s="4" t="s">
        <v>4117</v>
      </c>
      <c r="F2481" s="5">
        <v>39330</v>
      </c>
      <c r="G2481" s="5">
        <v>39549</v>
      </c>
      <c r="H2481" s="4" t="s">
        <v>40</v>
      </c>
      <c r="I2481" s="6">
        <v>10000</v>
      </c>
      <c r="J2481" s="6">
        <v>10000</v>
      </c>
      <c r="K2481" s="37" t="s">
        <v>4035</v>
      </c>
      <c r="L2481" s="119"/>
      <c r="M2481" s="3"/>
    </row>
    <row r="2482" spans="1:13" s="4" customFormat="1" ht="14.25" customHeight="1" x14ac:dyDescent="0.25">
      <c r="A2482" s="4" t="s">
        <v>4118</v>
      </c>
      <c r="B2482" s="4" t="s">
        <v>59</v>
      </c>
      <c r="C2482" s="4" t="s">
        <v>14</v>
      </c>
      <c r="D2482" s="35">
        <v>2610</v>
      </c>
      <c r="E2482" s="4" t="s">
        <v>4119</v>
      </c>
      <c r="F2482" s="5">
        <v>39274</v>
      </c>
      <c r="G2482" s="5">
        <v>39599</v>
      </c>
      <c r="H2482" s="4" t="s">
        <v>40</v>
      </c>
      <c r="I2482" s="6">
        <v>2500</v>
      </c>
      <c r="J2482" s="6">
        <v>2500</v>
      </c>
      <c r="K2482" s="37" t="s">
        <v>4035</v>
      </c>
      <c r="L2482" s="119"/>
      <c r="M2482" s="3"/>
    </row>
    <row r="2483" spans="1:13" s="4" customFormat="1" ht="14.25" customHeight="1" x14ac:dyDescent="0.25">
      <c r="A2483" s="4" t="s">
        <v>4120</v>
      </c>
      <c r="B2483" s="4" t="s">
        <v>3116</v>
      </c>
      <c r="C2483" s="4" t="s">
        <v>14</v>
      </c>
      <c r="D2483" s="35">
        <v>2611</v>
      </c>
      <c r="E2483" s="4" t="s">
        <v>4121</v>
      </c>
      <c r="F2483" s="5">
        <v>39274</v>
      </c>
      <c r="G2483" s="5">
        <v>39644</v>
      </c>
      <c r="H2483" s="4" t="s">
        <v>40</v>
      </c>
      <c r="I2483" s="6">
        <v>150000</v>
      </c>
      <c r="J2483" s="6">
        <v>75000</v>
      </c>
      <c r="K2483" s="37" t="s">
        <v>4035</v>
      </c>
      <c r="L2483" s="119"/>
      <c r="M2483" s="3"/>
    </row>
    <row r="2484" spans="1:13" s="4" customFormat="1" ht="14.25" customHeight="1" x14ac:dyDescent="0.25">
      <c r="A2484" s="4" t="s">
        <v>4122</v>
      </c>
      <c r="B2484" s="4" t="s">
        <v>59</v>
      </c>
      <c r="C2484" s="4" t="s">
        <v>14</v>
      </c>
      <c r="D2484" s="35">
        <v>2614</v>
      </c>
      <c r="E2484" s="4" t="s">
        <v>4123</v>
      </c>
      <c r="F2484" s="5">
        <v>39393</v>
      </c>
      <c r="G2484" s="5">
        <v>39599</v>
      </c>
      <c r="H2484" s="4" t="s">
        <v>40</v>
      </c>
      <c r="I2484" s="6">
        <v>4000</v>
      </c>
      <c r="J2484" s="6">
        <v>4000</v>
      </c>
      <c r="K2484" s="37" t="s">
        <v>4035</v>
      </c>
      <c r="L2484" s="119"/>
      <c r="M2484" s="3"/>
    </row>
    <row r="2485" spans="1:13" s="4" customFormat="1" ht="14.25" customHeight="1" x14ac:dyDescent="0.25">
      <c r="A2485" s="4" t="s">
        <v>4124</v>
      </c>
      <c r="B2485" s="4" t="s">
        <v>90</v>
      </c>
      <c r="C2485" s="4" t="s">
        <v>14</v>
      </c>
      <c r="D2485" s="35">
        <v>2615</v>
      </c>
      <c r="E2485" s="4" t="s">
        <v>4125</v>
      </c>
      <c r="F2485" s="5">
        <v>39274</v>
      </c>
      <c r="G2485" s="5">
        <v>39409</v>
      </c>
      <c r="H2485" s="4" t="s">
        <v>40</v>
      </c>
      <c r="I2485" s="6">
        <v>10000</v>
      </c>
      <c r="J2485" s="6">
        <v>5000</v>
      </c>
      <c r="K2485" s="37" t="s">
        <v>4035</v>
      </c>
      <c r="L2485" s="119"/>
      <c r="M2485" s="3"/>
    </row>
    <row r="2486" spans="1:13" s="4" customFormat="1" ht="14.25" customHeight="1" x14ac:dyDescent="0.25">
      <c r="A2486" s="4" t="s">
        <v>4126</v>
      </c>
      <c r="B2486" s="4" t="s">
        <v>59</v>
      </c>
      <c r="C2486" s="4" t="s">
        <v>14</v>
      </c>
      <c r="D2486" s="35">
        <v>2617</v>
      </c>
      <c r="E2486" s="4" t="s">
        <v>4127</v>
      </c>
      <c r="F2486" s="5">
        <v>39393</v>
      </c>
      <c r="G2486" s="5">
        <v>39575</v>
      </c>
      <c r="H2486" s="4" t="s">
        <v>40</v>
      </c>
      <c r="I2486" s="6">
        <v>0</v>
      </c>
      <c r="J2486" s="6">
        <v>0</v>
      </c>
      <c r="K2486" s="37" t="s">
        <v>4035</v>
      </c>
      <c r="L2486" s="119"/>
      <c r="M2486" s="3"/>
    </row>
    <row r="2487" spans="1:13" s="4" customFormat="1" ht="14.25" customHeight="1" x14ac:dyDescent="0.25">
      <c r="A2487" s="4" t="s">
        <v>4128</v>
      </c>
      <c r="B2487" s="4" t="s">
        <v>50</v>
      </c>
      <c r="C2487" s="4" t="s">
        <v>14</v>
      </c>
      <c r="D2487" s="35">
        <v>2618</v>
      </c>
      <c r="E2487" s="4" t="s">
        <v>4129</v>
      </c>
      <c r="F2487" s="5">
        <v>39119</v>
      </c>
      <c r="G2487" s="5">
        <v>39426</v>
      </c>
      <c r="H2487" s="4" t="s">
        <v>40</v>
      </c>
      <c r="I2487" s="6">
        <v>70000</v>
      </c>
      <c r="J2487" s="6">
        <v>35000</v>
      </c>
      <c r="K2487" s="37" t="s">
        <v>4035</v>
      </c>
      <c r="L2487" s="119"/>
      <c r="M2487" s="3"/>
    </row>
    <row r="2488" spans="1:13" s="4" customFormat="1" ht="14.25" customHeight="1" x14ac:dyDescent="0.25">
      <c r="A2488" s="4" t="s">
        <v>4130</v>
      </c>
      <c r="B2488" s="4" t="s">
        <v>50</v>
      </c>
      <c r="C2488" s="4" t="s">
        <v>14</v>
      </c>
      <c r="D2488" s="35">
        <v>2620</v>
      </c>
      <c r="E2488" s="4" t="s">
        <v>4131</v>
      </c>
      <c r="F2488" s="5">
        <v>39393</v>
      </c>
      <c r="G2488" s="5">
        <v>39507</v>
      </c>
      <c r="H2488" s="4" t="s">
        <v>40</v>
      </c>
      <c r="I2488" s="6">
        <v>95000</v>
      </c>
      <c r="J2488" s="6">
        <v>47500</v>
      </c>
      <c r="K2488" s="37" t="s">
        <v>4035</v>
      </c>
      <c r="L2488" s="119"/>
      <c r="M2488" s="3"/>
    </row>
    <row r="2489" spans="1:13" s="4" customFormat="1" ht="14.25" customHeight="1" x14ac:dyDescent="0.25">
      <c r="A2489" s="4" t="s">
        <v>4132</v>
      </c>
      <c r="B2489" s="4" t="s">
        <v>50</v>
      </c>
      <c r="C2489" s="4" t="s">
        <v>14</v>
      </c>
      <c r="D2489" s="35">
        <v>2621</v>
      </c>
      <c r="E2489" s="4" t="s">
        <v>4133</v>
      </c>
      <c r="F2489" s="5">
        <v>39540</v>
      </c>
      <c r="G2489" s="5">
        <v>39615</v>
      </c>
      <c r="H2489" s="4" t="s">
        <v>40</v>
      </c>
      <c r="I2489" s="6">
        <v>10000</v>
      </c>
      <c r="J2489" s="6">
        <v>5000</v>
      </c>
      <c r="K2489" s="37" t="s">
        <v>4035</v>
      </c>
      <c r="L2489" s="119"/>
      <c r="M2489" s="3"/>
    </row>
    <row r="2490" spans="1:13" s="4" customFormat="1" ht="14.25" customHeight="1" x14ac:dyDescent="0.25">
      <c r="A2490" s="4" t="s">
        <v>4134</v>
      </c>
      <c r="B2490" s="4" t="s">
        <v>59</v>
      </c>
      <c r="C2490" s="4" t="s">
        <v>14</v>
      </c>
      <c r="D2490" s="35">
        <v>2622</v>
      </c>
      <c r="E2490" s="4" t="s">
        <v>4135</v>
      </c>
      <c r="F2490" s="5">
        <v>39603</v>
      </c>
      <c r="G2490" s="5">
        <v>39885</v>
      </c>
      <c r="H2490" s="4" t="s">
        <v>40</v>
      </c>
      <c r="I2490" s="6">
        <v>5000</v>
      </c>
      <c r="J2490" s="6">
        <v>5000</v>
      </c>
      <c r="K2490" s="37" t="s">
        <v>4035</v>
      </c>
      <c r="L2490" s="119"/>
      <c r="M2490" s="3"/>
    </row>
    <row r="2491" spans="1:13" s="4" customFormat="1" ht="14.25" customHeight="1" x14ac:dyDescent="0.25">
      <c r="A2491" s="4" t="s">
        <v>4136</v>
      </c>
      <c r="B2491" s="4" t="s">
        <v>59</v>
      </c>
      <c r="C2491" s="4" t="s">
        <v>14</v>
      </c>
      <c r="D2491" s="35">
        <v>2623</v>
      </c>
      <c r="E2491" s="4" t="s">
        <v>4137</v>
      </c>
      <c r="F2491" s="5">
        <v>39603</v>
      </c>
      <c r="G2491" s="5">
        <v>39842</v>
      </c>
      <c r="H2491" s="4" t="s">
        <v>40</v>
      </c>
      <c r="I2491" s="6">
        <v>5000</v>
      </c>
      <c r="J2491" s="6">
        <v>5000</v>
      </c>
      <c r="K2491" s="37" t="s">
        <v>4035</v>
      </c>
      <c r="L2491" s="119"/>
      <c r="M2491" s="3"/>
    </row>
    <row r="2492" spans="1:13" s="4" customFormat="1" ht="14.25" customHeight="1" x14ac:dyDescent="0.25">
      <c r="A2492" s="4" t="s">
        <v>4138</v>
      </c>
      <c r="B2492" s="4" t="s">
        <v>90</v>
      </c>
      <c r="C2492" s="4" t="s">
        <v>14</v>
      </c>
      <c r="D2492" s="35">
        <v>2624</v>
      </c>
      <c r="E2492" s="4" t="s">
        <v>4139</v>
      </c>
      <c r="F2492" s="5">
        <v>39484</v>
      </c>
      <c r="H2492" s="4" t="s">
        <v>40</v>
      </c>
      <c r="I2492" s="6">
        <v>10000</v>
      </c>
      <c r="J2492" s="6">
        <v>5000</v>
      </c>
      <c r="K2492" s="37" t="s">
        <v>4035</v>
      </c>
      <c r="L2492" s="119"/>
      <c r="M2492" s="3"/>
    </row>
    <row r="2493" spans="1:13" s="4" customFormat="1" ht="14.25" customHeight="1" x14ac:dyDescent="0.25">
      <c r="A2493" s="4" t="s">
        <v>4140</v>
      </c>
      <c r="B2493" s="4" t="s">
        <v>59</v>
      </c>
      <c r="C2493" s="4" t="s">
        <v>14</v>
      </c>
      <c r="D2493" s="35">
        <v>2625</v>
      </c>
      <c r="E2493" s="4" t="s">
        <v>4141</v>
      </c>
      <c r="F2493" s="5">
        <v>39757</v>
      </c>
      <c r="G2493" s="5">
        <v>39973</v>
      </c>
      <c r="H2493" s="4" t="s">
        <v>40</v>
      </c>
      <c r="I2493" s="6">
        <v>7500</v>
      </c>
      <c r="J2493" s="6">
        <v>7500</v>
      </c>
      <c r="K2493" s="37" t="s">
        <v>4035</v>
      </c>
      <c r="L2493" s="119"/>
      <c r="M2493" s="3"/>
    </row>
    <row r="2494" spans="1:13" s="4" customFormat="1" ht="14.25" customHeight="1" x14ac:dyDescent="0.25">
      <c r="A2494" s="4" t="s">
        <v>4142</v>
      </c>
      <c r="B2494" s="4" t="s">
        <v>50</v>
      </c>
      <c r="C2494" s="4" t="s">
        <v>14</v>
      </c>
      <c r="D2494" s="35">
        <v>2626</v>
      </c>
      <c r="E2494" s="4" t="s">
        <v>4143</v>
      </c>
      <c r="F2494" s="5">
        <v>39757</v>
      </c>
      <c r="G2494" s="5">
        <v>40008</v>
      </c>
      <c r="H2494" s="4" t="s">
        <v>40</v>
      </c>
      <c r="I2494" s="6">
        <v>110000</v>
      </c>
      <c r="J2494" s="6">
        <v>55000</v>
      </c>
      <c r="K2494" s="37" t="s">
        <v>4035</v>
      </c>
      <c r="L2494" s="119"/>
      <c r="M2494" s="3"/>
    </row>
    <row r="2495" spans="1:13" s="4" customFormat="1" ht="14.25" customHeight="1" x14ac:dyDescent="0.25">
      <c r="A2495" s="4" t="s">
        <v>4144</v>
      </c>
      <c r="B2495" s="4" t="s">
        <v>59</v>
      </c>
      <c r="C2495" s="4" t="s">
        <v>14</v>
      </c>
      <c r="D2495" s="35">
        <v>2627</v>
      </c>
      <c r="E2495" s="4" t="s">
        <v>4145</v>
      </c>
      <c r="F2495" s="5">
        <v>39792</v>
      </c>
      <c r="G2495" s="5">
        <v>39993</v>
      </c>
      <c r="H2495" s="4" t="s">
        <v>40</v>
      </c>
      <c r="I2495" s="6">
        <v>12000</v>
      </c>
      <c r="J2495" s="6">
        <v>12000</v>
      </c>
      <c r="K2495" s="37" t="s">
        <v>4035</v>
      </c>
      <c r="L2495" s="119"/>
      <c r="M2495" s="3"/>
    </row>
    <row r="2496" spans="1:13" s="4" customFormat="1" ht="14.25" customHeight="1" x14ac:dyDescent="0.25">
      <c r="A2496" s="4" t="s">
        <v>4146</v>
      </c>
      <c r="B2496" s="4" t="s">
        <v>38</v>
      </c>
      <c r="C2496" s="4" t="s">
        <v>14</v>
      </c>
      <c r="D2496" s="35">
        <v>2978</v>
      </c>
      <c r="E2496" s="4" t="s">
        <v>4147</v>
      </c>
      <c r="F2496" s="5">
        <v>39083</v>
      </c>
      <c r="H2496" s="4" t="s">
        <v>40</v>
      </c>
      <c r="I2496" s="6">
        <v>4300</v>
      </c>
      <c r="J2496" s="6">
        <v>4300</v>
      </c>
      <c r="K2496" s="37" t="s">
        <v>4035</v>
      </c>
      <c r="L2496" s="119"/>
      <c r="M2496" s="3"/>
    </row>
    <row r="2497" spans="1:13" s="4" customFormat="1" ht="14.25" customHeight="1" x14ac:dyDescent="0.25">
      <c r="D2497" s="35">
        <v>3408</v>
      </c>
      <c r="E2497" s="4" t="s">
        <v>11620</v>
      </c>
      <c r="F2497" s="5"/>
      <c r="H2497" s="4" t="s">
        <v>40</v>
      </c>
      <c r="I2497" s="6">
        <v>-675.57</v>
      </c>
      <c r="J2497" s="6">
        <v>-675.57</v>
      </c>
      <c r="K2497" s="37" t="s">
        <v>4035</v>
      </c>
      <c r="L2497" s="119"/>
      <c r="M2497" s="3"/>
    </row>
    <row r="2498" spans="1:13" s="4" customFormat="1" ht="14.25" customHeight="1" x14ac:dyDescent="0.25">
      <c r="A2498" s="4" t="s">
        <v>4148</v>
      </c>
      <c r="B2498" s="4" t="s">
        <v>50</v>
      </c>
      <c r="C2498" s="4" t="s">
        <v>14</v>
      </c>
      <c r="D2498" s="35">
        <v>4679</v>
      </c>
      <c r="E2498" s="4" t="s">
        <v>4149</v>
      </c>
      <c r="F2498" s="5">
        <v>39694</v>
      </c>
      <c r="G2498" s="5">
        <v>39932</v>
      </c>
      <c r="H2498" s="4" t="s">
        <v>40</v>
      </c>
      <c r="I2498" s="6">
        <v>18000</v>
      </c>
      <c r="J2498" s="6">
        <v>9000</v>
      </c>
      <c r="K2498" s="37" t="s">
        <v>4035</v>
      </c>
      <c r="L2498" s="119"/>
      <c r="M2498" s="3"/>
    </row>
    <row r="2499" spans="1:13" s="4" customFormat="1" ht="14.25" customHeight="1" x14ac:dyDescent="0.25">
      <c r="A2499" s="4" t="s">
        <v>4150</v>
      </c>
      <c r="B2499" s="4" t="s">
        <v>59</v>
      </c>
      <c r="C2499" s="4" t="s">
        <v>14</v>
      </c>
      <c r="D2499" s="35">
        <v>4683</v>
      </c>
      <c r="E2499" s="4" t="s">
        <v>4151</v>
      </c>
      <c r="F2499" s="5">
        <v>39904</v>
      </c>
      <c r="H2499" s="4" t="s">
        <v>40</v>
      </c>
      <c r="I2499" s="6">
        <v>22500</v>
      </c>
      <c r="J2499" s="6">
        <v>22500</v>
      </c>
      <c r="K2499" s="37" t="s">
        <v>4035</v>
      </c>
      <c r="L2499" s="119"/>
      <c r="M2499" s="3"/>
    </row>
    <row r="2500" spans="1:13" s="4" customFormat="1" ht="14.25" customHeight="1" x14ac:dyDescent="0.25">
      <c r="A2500" s="4" t="s">
        <v>4152</v>
      </c>
      <c r="B2500" s="4" t="s">
        <v>59</v>
      </c>
      <c r="C2500" s="4" t="s">
        <v>14</v>
      </c>
      <c r="D2500" s="35">
        <v>4684</v>
      </c>
      <c r="E2500" s="4" t="s">
        <v>4153</v>
      </c>
      <c r="F2500" s="5">
        <v>39876</v>
      </c>
      <c r="G2500" s="5">
        <v>40164</v>
      </c>
      <c r="H2500" s="4" t="s">
        <v>40</v>
      </c>
      <c r="I2500" s="6">
        <v>12000</v>
      </c>
      <c r="J2500" s="6">
        <v>12000</v>
      </c>
      <c r="K2500" s="37" t="s">
        <v>4035</v>
      </c>
      <c r="L2500" s="119"/>
      <c r="M2500" s="3"/>
    </row>
    <row r="2501" spans="1:13" s="4" customFormat="1" ht="14.25" customHeight="1" x14ac:dyDescent="0.25">
      <c r="A2501" s="4" t="s">
        <v>4154</v>
      </c>
      <c r="B2501" s="4" t="s">
        <v>59</v>
      </c>
      <c r="C2501" s="4" t="s">
        <v>14</v>
      </c>
      <c r="D2501" s="35">
        <v>4685</v>
      </c>
      <c r="E2501" s="4" t="s">
        <v>4155</v>
      </c>
      <c r="F2501" s="5">
        <v>39876</v>
      </c>
      <c r="G2501" s="5">
        <v>40154</v>
      </c>
      <c r="H2501" s="4" t="s">
        <v>40</v>
      </c>
      <c r="I2501" s="6">
        <v>7000</v>
      </c>
      <c r="J2501" s="6">
        <v>7000</v>
      </c>
      <c r="K2501" s="37" t="s">
        <v>4035</v>
      </c>
      <c r="L2501" s="119"/>
      <c r="M2501" s="3"/>
    </row>
    <row r="2502" spans="1:13" s="4" customFormat="1" ht="14.25" customHeight="1" x14ac:dyDescent="0.25">
      <c r="A2502" s="4" t="s">
        <v>4156</v>
      </c>
      <c r="B2502" s="4" t="s">
        <v>3116</v>
      </c>
      <c r="C2502" s="4" t="s">
        <v>14</v>
      </c>
      <c r="D2502" s="35">
        <v>4686</v>
      </c>
      <c r="E2502" s="4" t="s">
        <v>4155</v>
      </c>
      <c r="F2502" s="5">
        <v>39876</v>
      </c>
      <c r="G2502" s="5">
        <v>40008</v>
      </c>
      <c r="H2502" s="4" t="s">
        <v>40</v>
      </c>
      <c r="I2502" s="6">
        <v>136000</v>
      </c>
      <c r="J2502" s="6">
        <v>68000</v>
      </c>
      <c r="K2502" s="37" t="s">
        <v>4035</v>
      </c>
      <c r="L2502" s="119"/>
      <c r="M2502" s="3"/>
    </row>
    <row r="2503" spans="1:13" s="4" customFormat="1" ht="14.25" customHeight="1" x14ac:dyDescent="0.25">
      <c r="A2503" s="4" t="s">
        <v>4157</v>
      </c>
      <c r="B2503" s="4" t="s">
        <v>59</v>
      </c>
      <c r="C2503" s="4" t="s">
        <v>14</v>
      </c>
      <c r="D2503" s="35">
        <v>4687</v>
      </c>
      <c r="E2503" s="4" t="s">
        <v>4158</v>
      </c>
      <c r="F2503" s="5">
        <v>39995</v>
      </c>
      <c r="H2503" s="4" t="s">
        <v>40</v>
      </c>
      <c r="I2503" s="6">
        <v>3750</v>
      </c>
      <c r="J2503" s="6">
        <v>3750</v>
      </c>
      <c r="K2503" s="37" t="s">
        <v>4035</v>
      </c>
      <c r="L2503" s="119"/>
      <c r="M2503" s="3"/>
    </row>
    <row r="2504" spans="1:13" s="4" customFormat="1" ht="14.25" customHeight="1" x14ac:dyDescent="0.25">
      <c r="A2504" s="4" t="s">
        <v>4159</v>
      </c>
      <c r="B2504" s="4" t="s">
        <v>50</v>
      </c>
      <c r="C2504" s="4" t="s">
        <v>14</v>
      </c>
      <c r="D2504" s="35">
        <v>4688</v>
      </c>
      <c r="E2504" s="4" t="s">
        <v>4160</v>
      </c>
      <c r="F2504" s="5">
        <v>39876</v>
      </c>
      <c r="H2504" s="4" t="s">
        <v>40</v>
      </c>
      <c r="I2504" s="6">
        <v>44164</v>
      </c>
      <c r="J2504" s="6">
        <v>22082</v>
      </c>
      <c r="K2504" s="37" t="s">
        <v>4035</v>
      </c>
      <c r="L2504" s="119"/>
      <c r="M2504" s="3"/>
    </row>
    <row r="2505" spans="1:13" s="4" customFormat="1" ht="14.25" customHeight="1" x14ac:dyDescent="0.25">
      <c r="A2505" s="4" t="s">
        <v>4161</v>
      </c>
      <c r="B2505" s="4" t="s">
        <v>59</v>
      </c>
      <c r="C2505" s="4" t="s">
        <v>14</v>
      </c>
      <c r="D2505" s="35">
        <v>4690</v>
      </c>
      <c r="E2505" s="7" t="s">
        <v>4162</v>
      </c>
      <c r="F2505" s="5">
        <v>39995</v>
      </c>
      <c r="H2505" s="4" t="s">
        <v>40</v>
      </c>
      <c r="I2505" s="6">
        <v>19000</v>
      </c>
      <c r="J2505" s="6">
        <v>19000</v>
      </c>
      <c r="K2505" s="37" t="s">
        <v>4035</v>
      </c>
      <c r="L2505" s="119"/>
      <c r="M2505" s="3"/>
    </row>
    <row r="2506" spans="1:13" s="4" customFormat="1" ht="14.25" customHeight="1" x14ac:dyDescent="0.25">
      <c r="A2506" s="4" t="s">
        <v>4163</v>
      </c>
      <c r="B2506" s="4" t="s">
        <v>59</v>
      </c>
      <c r="C2506" s="4" t="s">
        <v>14</v>
      </c>
      <c r="D2506" s="35">
        <v>4691</v>
      </c>
      <c r="E2506" s="4" t="s">
        <v>4164</v>
      </c>
      <c r="F2506" s="5">
        <v>40058</v>
      </c>
      <c r="H2506" s="4" t="s">
        <v>40</v>
      </c>
      <c r="I2506" s="6">
        <v>15000</v>
      </c>
      <c r="J2506" s="6">
        <v>15000</v>
      </c>
      <c r="K2506" s="37" t="s">
        <v>4035</v>
      </c>
      <c r="L2506" s="119"/>
      <c r="M2506" s="3"/>
    </row>
    <row r="2507" spans="1:13" s="4" customFormat="1" ht="14.25" customHeight="1" x14ac:dyDescent="0.25">
      <c r="A2507" s="4" t="s">
        <v>4165</v>
      </c>
      <c r="B2507" s="4" t="s">
        <v>59</v>
      </c>
      <c r="C2507" s="4" t="s">
        <v>14</v>
      </c>
      <c r="D2507" s="35">
        <v>4693</v>
      </c>
      <c r="E2507" s="7" t="s">
        <v>4166</v>
      </c>
      <c r="F2507" s="5">
        <v>40058</v>
      </c>
      <c r="H2507" s="4" t="s">
        <v>40</v>
      </c>
      <c r="I2507" s="6">
        <v>5000</v>
      </c>
      <c r="J2507" s="6">
        <v>5000</v>
      </c>
      <c r="K2507" s="37" t="s">
        <v>4035</v>
      </c>
      <c r="L2507" s="119"/>
      <c r="M2507" s="3"/>
    </row>
    <row r="2508" spans="1:13" s="4" customFormat="1" ht="14.25" customHeight="1" x14ac:dyDescent="0.25">
      <c r="A2508" s="4" t="s">
        <v>4167</v>
      </c>
      <c r="B2508" s="4" t="s">
        <v>50</v>
      </c>
      <c r="C2508" s="4" t="s">
        <v>14</v>
      </c>
      <c r="D2508" s="35">
        <v>4695</v>
      </c>
      <c r="E2508" s="4" t="s">
        <v>4168</v>
      </c>
      <c r="F2508" s="5">
        <v>39814</v>
      </c>
      <c r="G2508" s="5">
        <v>40151</v>
      </c>
      <c r="H2508" s="4" t="s">
        <v>40</v>
      </c>
      <c r="I2508" s="6">
        <v>39860</v>
      </c>
      <c r="J2508" s="6">
        <v>19930</v>
      </c>
      <c r="K2508" s="37" t="s">
        <v>4035</v>
      </c>
      <c r="L2508" s="119"/>
      <c r="M2508" s="3"/>
    </row>
    <row r="2509" spans="1:13" s="4" customFormat="1" ht="14.25" customHeight="1" x14ac:dyDescent="0.25">
      <c r="A2509" s="4" t="s">
        <v>4169</v>
      </c>
      <c r="B2509" s="4" t="s">
        <v>183</v>
      </c>
      <c r="C2509" s="4" t="s">
        <v>14</v>
      </c>
      <c r="D2509" s="35">
        <v>6996</v>
      </c>
      <c r="E2509" s="4" t="s">
        <v>4170</v>
      </c>
      <c r="F2509" s="5">
        <v>40359</v>
      </c>
      <c r="H2509" s="4" t="s">
        <v>40</v>
      </c>
      <c r="I2509" s="6">
        <v>10000</v>
      </c>
      <c r="J2509" s="6">
        <v>5000</v>
      </c>
      <c r="K2509" s="37" t="s">
        <v>4035</v>
      </c>
      <c r="L2509" s="119"/>
      <c r="M2509" s="3"/>
    </row>
    <row r="2510" spans="1:13" s="4" customFormat="1" ht="14.25" customHeight="1" x14ac:dyDescent="0.25">
      <c r="A2510" s="4" t="s">
        <v>4171</v>
      </c>
      <c r="B2510" s="4" t="s">
        <v>183</v>
      </c>
      <c r="C2510" s="4" t="s">
        <v>14</v>
      </c>
      <c r="D2510" s="35">
        <v>6997</v>
      </c>
      <c r="E2510" s="4" t="s">
        <v>4172</v>
      </c>
      <c r="F2510" s="5">
        <v>40359</v>
      </c>
      <c r="H2510" s="4" t="s">
        <v>40</v>
      </c>
      <c r="I2510" s="6">
        <v>5000</v>
      </c>
      <c r="J2510" s="6">
        <v>2500</v>
      </c>
      <c r="K2510" s="37" t="s">
        <v>4035</v>
      </c>
      <c r="L2510" s="119"/>
      <c r="M2510" s="3"/>
    </row>
    <row r="2511" spans="1:13" s="4" customFormat="1" ht="14.25" customHeight="1" x14ac:dyDescent="0.25">
      <c r="A2511" s="4" t="s">
        <v>4173</v>
      </c>
      <c r="B2511" s="4" t="s">
        <v>183</v>
      </c>
      <c r="C2511" s="4" t="s">
        <v>14</v>
      </c>
      <c r="D2511" s="35">
        <v>6998</v>
      </c>
      <c r="E2511" s="7" t="s">
        <v>4174</v>
      </c>
      <c r="F2511" s="5">
        <v>40359</v>
      </c>
      <c r="H2511" s="4" t="s">
        <v>40</v>
      </c>
      <c r="I2511" s="6">
        <v>6000</v>
      </c>
      <c r="J2511" s="6">
        <v>3000</v>
      </c>
      <c r="K2511" s="37" t="s">
        <v>4035</v>
      </c>
      <c r="L2511" s="119"/>
      <c r="M2511" s="3"/>
    </row>
    <row r="2512" spans="1:13" s="4" customFormat="1" ht="14.25" customHeight="1" x14ac:dyDescent="0.25">
      <c r="A2512" s="4" t="s">
        <v>4175</v>
      </c>
      <c r="B2512" s="4" t="s">
        <v>183</v>
      </c>
      <c r="C2512" s="4" t="s">
        <v>14</v>
      </c>
      <c r="D2512" s="35">
        <v>6999</v>
      </c>
      <c r="E2512" s="7" t="s">
        <v>4176</v>
      </c>
      <c r="F2512" s="5">
        <v>40304</v>
      </c>
      <c r="H2512" s="4" t="s">
        <v>40</v>
      </c>
      <c r="I2512" s="6">
        <v>10000</v>
      </c>
      <c r="J2512" s="6">
        <v>5000</v>
      </c>
      <c r="K2512" s="37" t="s">
        <v>4035</v>
      </c>
      <c r="L2512" s="119"/>
      <c r="M2512" s="3"/>
    </row>
    <row r="2513" spans="1:13" s="4" customFormat="1" ht="14.25" customHeight="1" x14ac:dyDescent="0.25">
      <c r="A2513" s="4" t="s">
        <v>4177</v>
      </c>
      <c r="B2513" s="4" t="s">
        <v>90</v>
      </c>
      <c r="C2513" s="4" t="s">
        <v>14</v>
      </c>
      <c r="D2513" s="35">
        <v>7001</v>
      </c>
      <c r="E2513" s="4" t="s">
        <v>4178</v>
      </c>
      <c r="F2513" s="5">
        <v>39995</v>
      </c>
      <c r="H2513" s="4" t="s">
        <v>40</v>
      </c>
      <c r="I2513" s="6">
        <v>10200</v>
      </c>
      <c r="J2513" s="6">
        <v>5100</v>
      </c>
      <c r="K2513" s="37" t="s">
        <v>4035</v>
      </c>
      <c r="L2513" s="119"/>
      <c r="M2513" s="3"/>
    </row>
    <row r="2514" spans="1:13" s="4" customFormat="1" ht="14.25" customHeight="1" x14ac:dyDescent="0.25">
      <c r="A2514" s="4" t="s">
        <v>4179</v>
      </c>
      <c r="B2514" s="4" t="s">
        <v>90</v>
      </c>
      <c r="C2514" s="4" t="s">
        <v>14</v>
      </c>
      <c r="D2514" s="35">
        <v>7003</v>
      </c>
      <c r="E2514" s="4" t="s">
        <v>4180</v>
      </c>
      <c r="F2514" s="5">
        <v>40058</v>
      </c>
      <c r="H2514" s="4" t="s">
        <v>40</v>
      </c>
      <c r="I2514" s="6">
        <v>10200</v>
      </c>
      <c r="J2514" s="6">
        <v>5100</v>
      </c>
      <c r="K2514" s="37" t="s">
        <v>4035</v>
      </c>
      <c r="L2514" s="119"/>
      <c r="M2514" s="3"/>
    </row>
    <row r="2515" spans="1:13" s="4" customFormat="1" ht="14.25" customHeight="1" x14ac:dyDescent="0.25">
      <c r="A2515" s="4" t="s">
        <v>4181</v>
      </c>
      <c r="B2515" s="4" t="s">
        <v>90</v>
      </c>
      <c r="C2515" s="4" t="s">
        <v>14</v>
      </c>
      <c r="D2515" s="35">
        <v>7004</v>
      </c>
      <c r="E2515" s="4" t="s">
        <v>4182</v>
      </c>
      <c r="F2515" s="5">
        <v>40128</v>
      </c>
      <c r="H2515" s="4" t="s">
        <v>40</v>
      </c>
      <c r="I2515" s="6">
        <v>10200</v>
      </c>
      <c r="J2515" s="6">
        <v>5100</v>
      </c>
      <c r="K2515" s="37" t="s">
        <v>4035</v>
      </c>
      <c r="L2515" s="119"/>
      <c r="M2515" s="3"/>
    </row>
    <row r="2516" spans="1:13" s="4" customFormat="1" ht="14.25" customHeight="1" x14ac:dyDescent="0.25">
      <c r="A2516" s="4" t="s">
        <v>4183</v>
      </c>
      <c r="B2516" s="4" t="s">
        <v>183</v>
      </c>
      <c r="C2516" s="4" t="s">
        <v>14</v>
      </c>
      <c r="D2516" s="35">
        <v>7005</v>
      </c>
      <c r="E2516" s="7" t="s">
        <v>4184</v>
      </c>
      <c r="F2516" s="5">
        <v>40422</v>
      </c>
      <c r="H2516" s="4" t="s">
        <v>40</v>
      </c>
      <c r="I2516" s="6">
        <v>11550</v>
      </c>
      <c r="J2516" s="6">
        <v>5775</v>
      </c>
      <c r="K2516" s="37" t="s">
        <v>4035</v>
      </c>
      <c r="L2516" s="119"/>
      <c r="M2516" s="3"/>
    </row>
    <row r="2517" spans="1:13" s="4" customFormat="1" ht="14.25" customHeight="1" x14ac:dyDescent="0.25">
      <c r="A2517" s="4" t="s">
        <v>4185</v>
      </c>
      <c r="B2517" s="4" t="s">
        <v>183</v>
      </c>
      <c r="C2517" s="4" t="s">
        <v>14</v>
      </c>
      <c r="D2517" s="35">
        <v>7610</v>
      </c>
      <c r="E2517" s="7" t="s">
        <v>4186</v>
      </c>
      <c r="F2517" s="5">
        <v>40156</v>
      </c>
      <c r="G2517" s="5">
        <v>40359</v>
      </c>
      <c r="H2517" s="4" t="s">
        <v>40</v>
      </c>
      <c r="I2517" s="6">
        <v>12500</v>
      </c>
      <c r="J2517" s="6">
        <v>12500</v>
      </c>
      <c r="K2517" s="37" t="s">
        <v>4035</v>
      </c>
      <c r="L2517" s="119"/>
      <c r="M2517" s="3"/>
    </row>
    <row r="2518" spans="1:13" s="4" customFormat="1" ht="14.25" customHeight="1" x14ac:dyDescent="0.25">
      <c r="A2518" s="4" t="s">
        <v>4189</v>
      </c>
      <c r="B2518" s="4" t="s">
        <v>183</v>
      </c>
      <c r="C2518" s="4" t="s">
        <v>14</v>
      </c>
      <c r="D2518" s="35">
        <v>7612</v>
      </c>
      <c r="E2518" s="7" t="s">
        <v>4190</v>
      </c>
      <c r="F2518" s="5">
        <v>40304</v>
      </c>
      <c r="G2518" s="5">
        <v>40498</v>
      </c>
      <c r="H2518" s="4" t="s">
        <v>40</v>
      </c>
      <c r="I2518" s="6">
        <v>7500</v>
      </c>
      <c r="J2518" s="6">
        <v>7500</v>
      </c>
      <c r="K2518" s="37" t="s">
        <v>4035</v>
      </c>
      <c r="L2518" s="119"/>
      <c r="M2518" s="3"/>
    </row>
    <row r="2519" spans="1:13" s="4" customFormat="1" ht="14.25" customHeight="1" x14ac:dyDescent="0.25">
      <c r="A2519" s="4" t="s">
        <v>4191</v>
      </c>
      <c r="B2519" s="4" t="s">
        <v>183</v>
      </c>
      <c r="C2519" s="4" t="s">
        <v>14</v>
      </c>
      <c r="D2519" s="35">
        <v>7613</v>
      </c>
      <c r="E2519" s="7" t="s">
        <v>4192</v>
      </c>
      <c r="F2519" s="5">
        <v>40485</v>
      </c>
      <c r="H2519" s="4" t="s">
        <v>40</v>
      </c>
      <c r="I2519" s="6">
        <v>10000</v>
      </c>
      <c r="J2519" s="6">
        <v>10000</v>
      </c>
      <c r="K2519" s="37" t="s">
        <v>4035</v>
      </c>
      <c r="L2519" s="119"/>
      <c r="M2519" s="3"/>
    </row>
    <row r="2520" spans="1:13" s="4" customFormat="1" ht="14.25" customHeight="1" x14ac:dyDescent="0.25">
      <c r="A2520" s="4" t="s">
        <v>4193</v>
      </c>
      <c r="B2520" s="4" t="s">
        <v>183</v>
      </c>
      <c r="C2520" s="4" t="s">
        <v>14</v>
      </c>
      <c r="D2520" s="35">
        <v>7614</v>
      </c>
      <c r="E2520" s="4" t="s">
        <v>4194</v>
      </c>
      <c r="F2520" s="5">
        <v>40359</v>
      </c>
      <c r="H2520" s="4" t="s">
        <v>40</v>
      </c>
      <c r="I2520" s="6">
        <v>10000</v>
      </c>
      <c r="J2520" s="6">
        <v>10000</v>
      </c>
      <c r="K2520" s="37" t="s">
        <v>4035</v>
      </c>
      <c r="L2520" s="119"/>
      <c r="M2520" s="3"/>
    </row>
    <row r="2521" spans="1:13" s="4" customFormat="1" ht="14.25" customHeight="1" x14ac:dyDescent="0.25">
      <c r="A2521" s="4" t="s">
        <v>4195</v>
      </c>
      <c r="B2521" s="4" t="s">
        <v>183</v>
      </c>
      <c r="C2521" s="4" t="s">
        <v>14</v>
      </c>
      <c r="D2521" s="35">
        <v>7615</v>
      </c>
      <c r="E2521" s="7" t="s">
        <v>4196</v>
      </c>
      <c r="F2521" s="5">
        <v>40422</v>
      </c>
      <c r="H2521" s="4" t="s">
        <v>40</v>
      </c>
      <c r="I2521" s="6">
        <v>10000</v>
      </c>
      <c r="J2521" s="6">
        <v>10000</v>
      </c>
      <c r="K2521" s="37" t="s">
        <v>4035</v>
      </c>
      <c r="L2521" s="119"/>
      <c r="M2521" s="3"/>
    </row>
    <row r="2522" spans="1:13" s="4" customFormat="1" ht="14.25" customHeight="1" x14ac:dyDescent="0.25">
      <c r="A2522" s="4" t="s">
        <v>4197</v>
      </c>
      <c r="B2522" s="4" t="s">
        <v>183</v>
      </c>
      <c r="C2522" s="4" t="s">
        <v>14</v>
      </c>
      <c r="D2522" s="35">
        <v>7616</v>
      </c>
      <c r="E2522" s="4" t="s">
        <v>4198</v>
      </c>
      <c r="F2522" s="5">
        <v>40359</v>
      </c>
      <c r="H2522" s="4" t="s">
        <v>40</v>
      </c>
      <c r="I2522" s="6">
        <v>10000</v>
      </c>
      <c r="J2522" s="6">
        <v>10000</v>
      </c>
      <c r="K2522" s="37" t="s">
        <v>4035</v>
      </c>
      <c r="L2522" s="119"/>
      <c r="M2522" s="3"/>
    </row>
    <row r="2523" spans="1:13" s="4" customFormat="1" ht="14.25" customHeight="1" x14ac:dyDescent="0.25">
      <c r="A2523" s="4" t="s">
        <v>4199</v>
      </c>
      <c r="B2523" s="4" t="s">
        <v>190</v>
      </c>
      <c r="C2523" s="4" t="s">
        <v>14</v>
      </c>
      <c r="D2523" s="35">
        <v>7617</v>
      </c>
      <c r="E2523" s="4" t="s">
        <v>4200</v>
      </c>
      <c r="F2523" s="5">
        <v>40156</v>
      </c>
      <c r="G2523" s="5">
        <v>40464</v>
      </c>
      <c r="H2523" s="4" t="s">
        <v>40</v>
      </c>
      <c r="I2523" s="6">
        <v>828.5</v>
      </c>
      <c r="J2523" s="6">
        <v>414.25</v>
      </c>
      <c r="K2523" s="37" t="s">
        <v>4035</v>
      </c>
      <c r="L2523" s="119"/>
      <c r="M2523" s="3"/>
    </row>
    <row r="2524" spans="1:13" s="4" customFormat="1" ht="14.25" customHeight="1" x14ac:dyDescent="0.25">
      <c r="A2524" s="4" t="s">
        <v>4201</v>
      </c>
      <c r="B2524" s="4" t="s">
        <v>183</v>
      </c>
      <c r="C2524" s="4" t="s">
        <v>14</v>
      </c>
      <c r="D2524" s="35">
        <v>7618</v>
      </c>
      <c r="E2524" s="4" t="s">
        <v>4202</v>
      </c>
      <c r="F2524" s="5">
        <v>40485</v>
      </c>
      <c r="G2524" s="5">
        <v>40498</v>
      </c>
      <c r="H2524" s="4" t="s">
        <v>40</v>
      </c>
      <c r="I2524" s="6">
        <v>20000</v>
      </c>
      <c r="J2524" s="6">
        <v>20000</v>
      </c>
      <c r="K2524" s="37" t="s">
        <v>4035</v>
      </c>
      <c r="L2524" s="119"/>
      <c r="M2524" s="3"/>
    </row>
    <row r="2525" spans="1:13" s="4" customFormat="1" ht="14.25" customHeight="1" x14ac:dyDescent="0.25">
      <c r="A2525" s="4" t="s">
        <v>4203</v>
      </c>
      <c r="B2525" s="4" t="s">
        <v>183</v>
      </c>
      <c r="C2525" s="4" t="s">
        <v>14</v>
      </c>
      <c r="D2525" s="35">
        <v>7619</v>
      </c>
      <c r="E2525" s="4" t="s">
        <v>4204</v>
      </c>
      <c r="F2525" s="5">
        <v>40359</v>
      </c>
      <c r="H2525" s="4" t="s">
        <v>40</v>
      </c>
      <c r="I2525" s="6">
        <v>19809.5</v>
      </c>
      <c r="J2525" s="6">
        <v>19809.5</v>
      </c>
      <c r="K2525" s="37" t="s">
        <v>4035</v>
      </c>
      <c r="L2525" s="119"/>
      <c r="M2525" s="3"/>
    </row>
    <row r="2526" spans="1:13" s="4" customFormat="1" ht="14.25" customHeight="1" x14ac:dyDescent="0.25">
      <c r="A2526" s="4" t="s">
        <v>4205</v>
      </c>
      <c r="B2526" s="4" t="s">
        <v>183</v>
      </c>
      <c r="C2526" s="4" t="s">
        <v>14</v>
      </c>
      <c r="D2526" s="35">
        <v>7620</v>
      </c>
      <c r="E2526" s="4" t="s">
        <v>4206</v>
      </c>
      <c r="F2526" s="5">
        <v>40422</v>
      </c>
      <c r="H2526" s="4" t="s">
        <v>40</v>
      </c>
      <c r="I2526" s="6">
        <v>32500</v>
      </c>
      <c r="J2526" s="6">
        <v>20000</v>
      </c>
      <c r="K2526" s="37" t="s">
        <v>4035</v>
      </c>
      <c r="L2526" s="119"/>
      <c r="M2526" s="3"/>
    </row>
    <row r="2527" spans="1:13" s="4" customFormat="1" ht="14.25" customHeight="1" x14ac:dyDescent="0.25">
      <c r="A2527" s="4" t="s">
        <v>4207</v>
      </c>
      <c r="B2527" s="4" t="s">
        <v>183</v>
      </c>
      <c r="C2527" s="4" t="s">
        <v>14</v>
      </c>
      <c r="D2527" s="35">
        <v>7621</v>
      </c>
      <c r="E2527" s="4" t="s">
        <v>4208</v>
      </c>
      <c r="F2527" s="5">
        <v>40422</v>
      </c>
      <c r="G2527" s="5">
        <v>40522</v>
      </c>
      <c r="H2527" s="4" t="s">
        <v>40</v>
      </c>
      <c r="I2527" s="6">
        <v>18331</v>
      </c>
      <c r="J2527" s="6">
        <v>9165.5</v>
      </c>
      <c r="K2527" s="37" t="s">
        <v>4035</v>
      </c>
      <c r="L2527" s="119"/>
      <c r="M2527" s="3"/>
    </row>
    <row r="2528" spans="1:13" s="4" customFormat="1" ht="14.25" customHeight="1" x14ac:dyDescent="0.25">
      <c r="A2528" s="4" t="s">
        <v>4209</v>
      </c>
      <c r="B2528" s="4" t="s">
        <v>183</v>
      </c>
      <c r="C2528" s="4" t="s">
        <v>14</v>
      </c>
      <c r="D2528" s="35">
        <v>7622</v>
      </c>
      <c r="E2528" s="4" t="s">
        <v>4210</v>
      </c>
      <c r="F2528" s="5">
        <v>40485</v>
      </c>
      <c r="G2528" s="5">
        <v>40522</v>
      </c>
      <c r="H2528" s="4" t="s">
        <v>40</v>
      </c>
      <c r="I2528" s="6">
        <v>22500</v>
      </c>
      <c r="J2528" s="6">
        <v>22500</v>
      </c>
      <c r="K2528" s="37" t="s">
        <v>4035</v>
      </c>
      <c r="L2528" s="119"/>
      <c r="M2528" s="3"/>
    </row>
    <row r="2529" spans="1:13" s="4" customFormat="1" ht="14.25" customHeight="1" x14ac:dyDescent="0.25">
      <c r="A2529" s="4" t="s">
        <v>4211</v>
      </c>
      <c r="B2529" s="4" t="s">
        <v>183</v>
      </c>
      <c r="C2529" s="4" t="s">
        <v>14</v>
      </c>
      <c r="D2529" s="35">
        <v>8878</v>
      </c>
      <c r="E2529" s="4" t="s">
        <v>4212</v>
      </c>
      <c r="F2529" s="5">
        <v>40359</v>
      </c>
      <c r="H2529" s="4" t="s">
        <v>40</v>
      </c>
      <c r="I2529" s="6">
        <v>5500</v>
      </c>
      <c r="J2529" s="6">
        <v>2750</v>
      </c>
      <c r="K2529" s="37" t="s">
        <v>4035</v>
      </c>
      <c r="L2529" s="119"/>
      <c r="M2529" s="3"/>
    </row>
    <row r="2530" spans="1:13" s="4" customFormat="1" ht="14.25" customHeight="1" x14ac:dyDescent="0.25">
      <c r="A2530" s="4" t="s">
        <v>4213</v>
      </c>
      <c r="B2530" s="4" t="s">
        <v>183</v>
      </c>
      <c r="C2530" s="4" t="s">
        <v>14</v>
      </c>
      <c r="D2530" s="35">
        <v>8879</v>
      </c>
      <c r="E2530" s="4" t="s">
        <v>4214</v>
      </c>
      <c r="F2530" s="5">
        <v>40849</v>
      </c>
      <c r="H2530" s="4" t="s">
        <v>40</v>
      </c>
      <c r="I2530" s="6">
        <v>43500</v>
      </c>
      <c r="J2530" s="6">
        <v>43500</v>
      </c>
      <c r="K2530" s="37" t="s">
        <v>4035</v>
      </c>
      <c r="L2530" s="119"/>
      <c r="M2530" s="3"/>
    </row>
    <row r="2531" spans="1:13" s="4" customFormat="1" ht="14.25" customHeight="1" x14ac:dyDescent="0.25">
      <c r="A2531" s="4" t="s">
        <v>4215</v>
      </c>
      <c r="B2531" s="4" t="s">
        <v>183</v>
      </c>
      <c r="C2531" s="4" t="s">
        <v>14</v>
      </c>
      <c r="D2531" s="35">
        <v>8880</v>
      </c>
      <c r="E2531" s="4" t="s">
        <v>4216</v>
      </c>
      <c r="F2531" s="5">
        <v>40721</v>
      </c>
      <c r="H2531" s="4" t="s">
        <v>40</v>
      </c>
      <c r="I2531" s="6">
        <v>15000</v>
      </c>
      <c r="J2531" s="6">
        <v>12500</v>
      </c>
      <c r="K2531" s="37" t="s">
        <v>4035</v>
      </c>
      <c r="L2531" s="119"/>
      <c r="M2531" s="3"/>
    </row>
    <row r="2532" spans="1:13" s="4" customFormat="1" ht="14.25" customHeight="1" x14ac:dyDescent="0.25">
      <c r="A2532" s="4" t="s">
        <v>4217</v>
      </c>
      <c r="B2532" s="4" t="s">
        <v>190</v>
      </c>
      <c r="C2532" s="4" t="s">
        <v>14</v>
      </c>
      <c r="D2532" s="35">
        <v>8881</v>
      </c>
      <c r="E2532" s="4" t="s">
        <v>4218</v>
      </c>
      <c r="F2532" s="5">
        <v>40604</v>
      </c>
      <c r="H2532" s="4" t="s">
        <v>40</v>
      </c>
      <c r="I2532" s="6">
        <v>20000</v>
      </c>
      <c r="J2532" s="6">
        <v>20000</v>
      </c>
      <c r="K2532" s="37" t="s">
        <v>4035</v>
      </c>
      <c r="L2532" s="119"/>
      <c r="M2532" s="3"/>
    </row>
    <row r="2533" spans="1:13" s="4" customFormat="1" ht="14.25" customHeight="1" x14ac:dyDescent="0.25">
      <c r="A2533" s="4" t="s">
        <v>4219</v>
      </c>
      <c r="B2533" s="4" t="s">
        <v>183</v>
      </c>
      <c r="C2533" s="4" t="s">
        <v>14</v>
      </c>
      <c r="D2533" s="35">
        <v>8882</v>
      </c>
      <c r="E2533" s="4" t="s">
        <v>4220</v>
      </c>
      <c r="F2533" s="5">
        <v>40485</v>
      </c>
      <c r="H2533" s="4" t="s">
        <v>40</v>
      </c>
      <c r="I2533" s="6">
        <v>7500</v>
      </c>
      <c r="J2533" s="6">
        <v>7500</v>
      </c>
      <c r="K2533" s="37" t="s">
        <v>4035</v>
      </c>
      <c r="L2533" s="119"/>
      <c r="M2533" s="3"/>
    </row>
    <row r="2534" spans="1:13" s="4" customFormat="1" ht="14.25" customHeight="1" x14ac:dyDescent="0.25">
      <c r="A2534" s="4" t="s">
        <v>4221</v>
      </c>
      <c r="B2534" s="4" t="s">
        <v>190</v>
      </c>
      <c r="C2534" s="4" t="s">
        <v>14</v>
      </c>
      <c r="D2534" s="35">
        <v>8884</v>
      </c>
      <c r="E2534" s="4" t="s">
        <v>4222</v>
      </c>
      <c r="F2534" s="5">
        <v>40520</v>
      </c>
      <c r="H2534" s="4" t="s">
        <v>40</v>
      </c>
      <c r="I2534" s="6">
        <v>20835</v>
      </c>
      <c r="J2534" s="6">
        <v>10417.5</v>
      </c>
      <c r="K2534" s="37" t="s">
        <v>4035</v>
      </c>
      <c r="L2534" s="119"/>
      <c r="M2534" s="3"/>
    </row>
    <row r="2535" spans="1:13" s="4" customFormat="1" ht="14.25" customHeight="1" x14ac:dyDescent="0.25">
      <c r="A2535" s="4" t="s">
        <v>4223</v>
      </c>
      <c r="B2535" s="4" t="s">
        <v>183</v>
      </c>
      <c r="C2535" s="4" t="s">
        <v>14</v>
      </c>
      <c r="D2535" s="35">
        <v>8886</v>
      </c>
      <c r="E2535" s="4" t="s">
        <v>4224</v>
      </c>
      <c r="F2535" s="5">
        <v>40820</v>
      </c>
      <c r="H2535" s="4" t="s">
        <v>40</v>
      </c>
      <c r="I2535" s="6">
        <v>5000</v>
      </c>
      <c r="J2535" s="6">
        <v>2500</v>
      </c>
      <c r="K2535" s="37" t="s">
        <v>4035</v>
      </c>
      <c r="L2535" s="119"/>
      <c r="M2535" s="3"/>
    </row>
    <row r="2536" spans="1:13" s="4" customFormat="1" ht="14.25" customHeight="1" x14ac:dyDescent="0.25">
      <c r="A2536" s="4" t="s">
        <v>4225</v>
      </c>
      <c r="B2536" s="4" t="s">
        <v>183</v>
      </c>
      <c r="C2536" s="4" t="s">
        <v>14</v>
      </c>
      <c r="D2536" s="35">
        <v>8887</v>
      </c>
      <c r="E2536" s="4" t="s">
        <v>4226</v>
      </c>
      <c r="F2536" s="5">
        <v>40820</v>
      </c>
      <c r="H2536" s="4" t="s">
        <v>40</v>
      </c>
      <c r="I2536" s="6">
        <v>16000</v>
      </c>
      <c r="J2536" s="6">
        <v>8000</v>
      </c>
      <c r="K2536" s="37" t="s">
        <v>4035</v>
      </c>
      <c r="L2536" s="119"/>
      <c r="M2536" s="3"/>
    </row>
    <row r="2537" spans="1:13" s="4" customFormat="1" ht="14.25" customHeight="1" x14ac:dyDescent="0.25">
      <c r="A2537" s="4" t="s">
        <v>4227</v>
      </c>
      <c r="B2537" s="4" t="s">
        <v>190</v>
      </c>
      <c r="C2537" s="4" t="s">
        <v>14</v>
      </c>
      <c r="D2537" s="35">
        <v>8888</v>
      </c>
      <c r="E2537" s="7" t="s">
        <v>4228</v>
      </c>
      <c r="F2537" s="5">
        <v>40604</v>
      </c>
      <c r="H2537" s="4" t="s">
        <v>40</v>
      </c>
      <c r="I2537" s="6">
        <v>7500</v>
      </c>
      <c r="J2537" s="6">
        <v>7500</v>
      </c>
      <c r="K2537" s="37" t="s">
        <v>4035</v>
      </c>
      <c r="L2537" s="119"/>
      <c r="M2537" s="3"/>
    </row>
    <row r="2538" spans="1:13" s="4" customFormat="1" ht="14.25" customHeight="1" x14ac:dyDescent="0.25">
      <c r="A2538" s="4" t="s">
        <v>4231</v>
      </c>
      <c r="B2538" s="4" t="s">
        <v>183</v>
      </c>
      <c r="C2538" s="4" t="s">
        <v>14</v>
      </c>
      <c r="D2538" s="35">
        <v>8890</v>
      </c>
      <c r="E2538" s="4" t="s">
        <v>4232</v>
      </c>
      <c r="F2538" s="5">
        <v>40156</v>
      </c>
      <c r="H2538" s="4" t="s">
        <v>40</v>
      </c>
      <c r="I2538" s="6">
        <v>52393.2</v>
      </c>
      <c r="J2538" s="6">
        <v>26196.6</v>
      </c>
      <c r="K2538" s="37" t="s">
        <v>4035</v>
      </c>
      <c r="L2538" s="119"/>
      <c r="M2538" s="3"/>
    </row>
    <row r="2539" spans="1:13" s="4" customFormat="1" ht="14.25" customHeight="1" x14ac:dyDescent="0.25">
      <c r="A2539" s="4" t="s">
        <v>4233</v>
      </c>
      <c r="B2539" s="4" t="s">
        <v>183</v>
      </c>
      <c r="C2539" s="4" t="s">
        <v>14</v>
      </c>
      <c r="D2539" s="35">
        <v>8891</v>
      </c>
      <c r="E2539" s="4" t="s">
        <v>4234</v>
      </c>
      <c r="F2539" s="5">
        <v>40604</v>
      </c>
      <c r="H2539" s="4" t="s">
        <v>40</v>
      </c>
      <c r="I2539" s="6">
        <v>20000</v>
      </c>
      <c r="J2539" s="6">
        <v>10000</v>
      </c>
      <c r="K2539" s="37" t="s">
        <v>4035</v>
      </c>
      <c r="L2539" s="119"/>
      <c r="M2539" s="3"/>
    </row>
    <row r="2540" spans="1:13" s="4" customFormat="1" ht="14.25" customHeight="1" x14ac:dyDescent="0.25">
      <c r="A2540" s="4" t="s">
        <v>4235</v>
      </c>
      <c r="B2540" s="4" t="s">
        <v>183</v>
      </c>
      <c r="C2540" s="4" t="s">
        <v>14</v>
      </c>
      <c r="D2540" s="35">
        <v>8892</v>
      </c>
      <c r="E2540" s="4" t="s">
        <v>4236</v>
      </c>
      <c r="F2540" s="5">
        <v>40520</v>
      </c>
      <c r="H2540" s="4" t="s">
        <v>40</v>
      </c>
      <c r="I2540" s="6">
        <v>20000</v>
      </c>
      <c r="J2540" s="6">
        <v>10000</v>
      </c>
      <c r="K2540" s="37" t="s">
        <v>4035</v>
      </c>
      <c r="L2540" s="119"/>
      <c r="M2540" s="3"/>
    </row>
    <row r="2541" spans="1:13" s="4" customFormat="1" ht="14.25" customHeight="1" x14ac:dyDescent="0.25">
      <c r="A2541" s="4" t="s">
        <v>4237</v>
      </c>
      <c r="B2541" s="4" t="s">
        <v>190</v>
      </c>
      <c r="C2541" s="4" t="s">
        <v>14</v>
      </c>
      <c r="D2541" s="35">
        <v>8893</v>
      </c>
      <c r="E2541" s="4" t="s">
        <v>4238</v>
      </c>
      <c r="F2541" s="5">
        <v>40674</v>
      </c>
      <c r="H2541" s="4" t="s">
        <v>40</v>
      </c>
      <c r="I2541" s="6">
        <v>10000</v>
      </c>
      <c r="J2541" s="6">
        <v>10000</v>
      </c>
      <c r="K2541" s="37" t="s">
        <v>4035</v>
      </c>
      <c r="L2541" s="119"/>
      <c r="M2541" s="3"/>
    </row>
    <row r="2542" spans="1:13" s="4" customFormat="1" ht="14.25" customHeight="1" x14ac:dyDescent="0.25">
      <c r="A2542" s="4" t="s">
        <v>4237</v>
      </c>
      <c r="B2542" s="4" t="s">
        <v>190</v>
      </c>
      <c r="C2542" s="4" t="s">
        <v>14</v>
      </c>
      <c r="D2542" s="35">
        <v>8894</v>
      </c>
      <c r="E2542" s="4" t="s">
        <v>4239</v>
      </c>
      <c r="F2542" s="5">
        <v>40820</v>
      </c>
      <c r="H2542" s="4" t="s">
        <v>40</v>
      </c>
      <c r="I2542" s="6">
        <v>13000</v>
      </c>
      <c r="J2542" s="6">
        <v>13000</v>
      </c>
      <c r="K2542" s="37" t="s">
        <v>4035</v>
      </c>
      <c r="L2542" s="119"/>
      <c r="M2542" s="3"/>
    </row>
    <row r="2543" spans="1:13" s="4" customFormat="1" ht="14.25" customHeight="1" x14ac:dyDescent="0.25">
      <c r="A2543" s="4" t="s">
        <v>4240</v>
      </c>
      <c r="B2543" s="4" t="s">
        <v>183</v>
      </c>
      <c r="C2543" s="4" t="s">
        <v>14</v>
      </c>
      <c r="D2543" s="35">
        <v>8896</v>
      </c>
      <c r="E2543" s="4" t="s">
        <v>4241</v>
      </c>
      <c r="F2543" s="5">
        <v>40820</v>
      </c>
      <c r="H2543" s="4" t="s">
        <v>40</v>
      </c>
      <c r="I2543" s="6">
        <v>18550</v>
      </c>
      <c r="J2543" s="6">
        <v>11775</v>
      </c>
      <c r="K2543" s="37" t="s">
        <v>4035</v>
      </c>
      <c r="L2543" s="119"/>
      <c r="M2543" s="3"/>
    </row>
    <row r="2544" spans="1:13" s="4" customFormat="1" ht="14.25" customHeight="1" x14ac:dyDescent="0.25">
      <c r="A2544" s="4" t="s">
        <v>4242</v>
      </c>
      <c r="B2544" s="4" t="s">
        <v>183</v>
      </c>
      <c r="C2544" s="4" t="s">
        <v>14</v>
      </c>
      <c r="D2544" s="35">
        <v>8897</v>
      </c>
      <c r="E2544" s="4" t="s">
        <v>4243</v>
      </c>
      <c r="F2544" s="5">
        <v>40820</v>
      </c>
      <c r="H2544" s="4" t="s">
        <v>40</v>
      </c>
      <c r="I2544" s="6">
        <v>6843.04</v>
      </c>
      <c r="J2544" s="6">
        <v>5921.52</v>
      </c>
      <c r="K2544" s="37" t="s">
        <v>4035</v>
      </c>
      <c r="L2544" s="119"/>
      <c r="M2544" s="3"/>
    </row>
    <row r="2545" spans="1:13" s="4" customFormat="1" ht="14.25" customHeight="1" x14ac:dyDescent="0.25">
      <c r="A2545" s="4" t="s">
        <v>4244</v>
      </c>
      <c r="B2545" s="4" t="s">
        <v>183</v>
      </c>
      <c r="C2545" s="4" t="s">
        <v>14</v>
      </c>
      <c r="D2545" s="35">
        <v>8898</v>
      </c>
      <c r="E2545" s="7" t="s">
        <v>4245</v>
      </c>
      <c r="F2545" s="5">
        <v>40485</v>
      </c>
      <c r="H2545" s="4" t="s">
        <v>40</v>
      </c>
      <c r="I2545" s="6">
        <v>20000</v>
      </c>
      <c r="J2545" s="6">
        <v>10000</v>
      </c>
      <c r="K2545" s="37" t="s">
        <v>4035</v>
      </c>
      <c r="L2545" s="119"/>
      <c r="M2545" s="3"/>
    </row>
    <row r="2546" spans="1:13" s="4" customFormat="1" ht="14.25" customHeight="1" x14ac:dyDescent="0.25">
      <c r="A2546" s="4" t="s">
        <v>4246</v>
      </c>
      <c r="B2546" s="4" t="s">
        <v>183</v>
      </c>
      <c r="C2546" s="4" t="s">
        <v>14</v>
      </c>
      <c r="D2546" s="35">
        <v>8899</v>
      </c>
      <c r="E2546" s="4" t="s">
        <v>4247</v>
      </c>
      <c r="F2546" s="5">
        <v>40721</v>
      </c>
      <c r="H2546" s="4" t="s">
        <v>40</v>
      </c>
      <c r="I2546" s="6">
        <v>200000</v>
      </c>
      <c r="J2546" s="6">
        <v>100000</v>
      </c>
      <c r="K2546" s="37" t="s">
        <v>4035</v>
      </c>
      <c r="L2546" s="119"/>
      <c r="M2546" s="3"/>
    </row>
    <row r="2547" spans="1:13" s="4" customFormat="1" ht="14.25" customHeight="1" x14ac:dyDescent="0.25">
      <c r="A2547" s="4" t="s">
        <v>4248</v>
      </c>
      <c r="B2547" s="4" t="s">
        <v>183</v>
      </c>
      <c r="C2547" s="4" t="s">
        <v>14</v>
      </c>
      <c r="D2547" s="35">
        <v>8900</v>
      </c>
      <c r="E2547" s="4" t="s">
        <v>4249</v>
      </c>
      <c r="F2547" s="5">
        <v>40849</v>
      </c>
      <c r="H2547" s="4" t="s">
        <v>40</v>
      </c>
      <c r="I2547" s="6">
        <v>20000</v>
      </c>
      <c r="J2547" s="6">
        <v>10000</v>
      </c>
      <c r="K2547" s="37" t="s">
        <v>4035</v>
      </c>
      <c r="L2547" s="119"/>
      <c r="M2547" s="3"/>
    </row>
    <row r="2548" spans="1:13" s="4" customFormat="1" ht="14.25" customHeight="1" x14ac:dyDescent="0.25">
      <c r="A2548" s="4" t="s">
        <v>4250</v>
      </c>
      <c r="B2548" s="4" t="s">
        <v>183</v>
      </c>
      <c r="C2548" s="4" t="s">
        <v>14</v>
      </c>
      <c r="D2548" s="35">
        <v>8901</v>
      </c>
      <c r="E2548" s="4" t="s">
        <v>4251</v>
      </c>
      <c r="F2548" s="5">
        <v>40520</v>
      </c>
      <c r="H2548" s="4" t="s">
        <v>40</v>
      </c>
      <c r="I2548" s="6">
        <v>2225.54</v>
      </c>
      <c r="J2548" s="6">
        <v>1112.77</v>
      </c>
      <c r="K2548" s="37" t="s">
        <v>4035</v>
      </c>
      <c r="L2548" s="119"/>
      <c r="M2548" s="3"/>
    </row>
    <row r="2549" spans="1:13" s="4" customFormat="1" ht="14.25" customHeight="1" x14ac:dyDescent="0.25">
      <c r="A2549" s="4" t="s">
        <v>4252</v>
      </c>
      <c r="B2549" s="4" t="s">
        <v>183</v>
      </c>
      <c r="C2549" s="4" t="s">
        <v>14</v>
      </c>
      <c r="D2549" s="35">
        <v>8902</v>
      </c>
      <c r="E2549" s="4" t="s">
        <v>4253</v>
      </c>
      <c r="F2549" s="5">
        <v>40604</v>
      </c>
      <c r="H2549" s="4" t="s">
        <v>40</v>
      </c>
      <c r="I2549" s="6">
        <v>25000</v>
      </c>
      <c r="J2549" s="6">
        <v>25000</v>
      </c>
      <c r="K2549" s="37" t="s">
        <v>4035</v>
      </c>
      <c r="L2549" s="119"/>
      <c r="M2549" s="3"/>
    </row>
    <row r="2550" spans="1:13" s="4" customFormat="1" ht="14.25" customHeight="1" x14ac:dyDescent="0.25">
      <c r="A2550" s="4" t="s">
        <v>4254</v>
      </c>
      <c r="B2550" s="4" t="s">
        <v>183</v>
      </c>
      <c r="C2550" s="4" t="s">
        <v>14</v>
      </c>
      <c r="D2550" s="35">
        <v>8903</v>
      </c>
      <c r="E2550" s="4" t="s">
        <v>4255</v>
      </c>
      <c r="F2550" s="5">
        <v>40820</v>
      </c>
      <c r="H2550" s="4" t="s">
        <v>40</v>
      </c>
      <c r="I2550" s="6">
        <v>8069.2</v>
      </c>
      <c r="J2550" s="6">
        <v>4999.6000000000004</v>
      </c>
      <c r="K2550" s="37" t="s">
        <v>4035</v>
      </c>
      <c r="L2550" s="119"/>
      <c r="M2550" s="3"/>
    </row>
    <row r="2551" spans="1:13" s="4" customFormat="1" ht="14.25" customHeight="1" x14ac:dyDescent="0.25">
      <c r="A2551" s="4" t="s">
        <v>4256</v>
      </c>
      <c r="B2551" s="4" t="s">
        <v>183</v>
      </c>
      <c r="C2551" s="4" t="s">
        <v>14</v>
      </c>
      <c r="D2551" s="35">
        <v>8904</v>
      </c>
      <c r="E2551" s="4" t="s">
        <v>4257</v>
      </c>
      <c r="F2551" s="5">
        <v>40304</v>
      </c>
      <c r="H2551" s="4" t="s">
        <v>40</v>
      </c>
      <c r="I2551" s="6">
        <v>15100</v>
      </c>
      <c r="J2551" s="6">
        <v>7550</v>
      </c>
      <c r="K2551" s="37" t="s">
        <v>4035</v>
      </c>
      <c r="L2551" s="119"/>
      <c r="M2551" s="3"/>
    </row>
    <row r="2552" spans="1:13" s="4" customFormat="1" ht="14.25" customHeight="1" x14ac:dyDescent="0.25">
      <c r="A2552" s="4" t="s">
        <v>4258</v>
      </c>
      <c r="B2552" s="4" t="s">
        <v>190</v>
      </c>
      <c r="C2552" s="4" t="s">
        <v>14</v>
      </c>
      <c r="D2552" s="35">
        <v>8905</v>
      </c>
      <c r="E2552" s="4" t="s">
        <v>4259</v>
      </c>
      <c r="F2552" s="5">
        <v>40485</v>
      </c>
      <c r="H2552" s="4" t="s">
        <v>40</v>
      </c>
      <c r="I2552" s="6">
        <v>10000</v>
      </c>
      <c r="J2552" s="6">
        <v>10000</v>
      </c>
      <c r="K2552" s="37" t="s">
        <v>4035</v>
      </c>
      <c r="L2552" s="119"/>
      <c r="M2552" s="3"/>
    </row>
    <row r="2553" spans="1:13" s="4" customFormat="1" ht="14.25" customHeight="1" x14ac:dyDescent="0.25">
      <c r="A2553" s="4" t="s">
        <v>4260</v>
      </c>
      <c r="B2553" s="4" t="s">
        <v>183</v>
      </c>
      <c r="C2553" s="4" t="s">
        <v>14</v>
      </c>
      <c r="D2553" s="35">
        <v>8906</v>
      </c>
      <c r="E2553" s="4" t="s">
        <v>4261</v>
      </c>
      <c r="F2553" s="5">
        <v>40849</v>
      </c>
      <c r="H2553" s="4" t="s">
        <v>40</v>
      </c>
      <c r="I2553" s="6">
        <v>18226</v>
      </c>
      <c r="J2553" s="6">
        <v>12863</v>
      </c>
      <c r="K2553" s="37" t="s">
        <v>4035</v>
      </c>
      <c r="L2553" s="119"/>
      <c r="M2553" s="3"/>
    </row>
    <row r="2554" spans="1:13" s="4" customFormat="1" ht="14.25" customHeight="1" x14ac:dyDescent="0.25">
      <c r="A2554" s="4" t="s">
        <v>4262</v>
      </c>
      <c r="B2554" s="4" t="s">
        <v>183</v>
      </c>
      <c r="C2554" s="4" t="s">
        <v>14</v>
      </c>
      <c r="D2554" s="35">
        <v>8907</v>
      </c>
      <c r="E2554" s="4" t="s">
        <v>4263</v>
      </c>
      <c r="F2554" s="5">
        <v>40520</v>
      </c>
      <c r="H2554" s="4" t="s">
        <v>40</v>
      </c>
      <c r="I2554" s="6">
        <v>7500</v>
      </c>
      <c r="J2554" s="6">
        <v>7500</v>
      </c>
      <c r="K2554" s="37" t="s">
        <v>4035</v>
      </c>
      <c r="L2554" s="119"/>
      <c r="M2554" s="3"/>
    </row>
    <row r="2555" spans="1:13" s="4" customFormat="1" ht="14.25" customHeight="1" x14ac:dyDescent="0.25">
      <c r="A2555" s="4" t="s">
        <v>4264</v>
      </c>
      <c r="B2555" s="4" t="s">
        <v>38</v>
      </c>
      <c r="C2555" s="4" t="s">
        <v>14</v>
      </c>
      <c r="D2555" s="35">
        <v>8931</v>
      </c>
      <c r="E2555" s="4" t="s">
        <v>4265</v>
      </c>
      <c r="F2555" s="5">
        <v>40544</v>
      </c>
      <c r="H2555" s="4" t="s">
        <v>40</v>
      </c>
      <c r="I2555" s="6">
        <v>16759.439999999999</v>
      </c>
      <c r="J2555" s="6">
        <v>16759.439999999999</v>
      </c>
      <c r="K2555" s="37" t="s">
        <v>4035</v>
      </c>
      <c r="L2555" s="119"/>
      <c r="M2555" s="3"/>
    </row>
    <row r="2556" spans="1:13" s="4" customFormat="1" ht="14.25" customHeight="1" x14ac:dyDescent="0.25">
      <c r="A2556" s="4" t="s">
        <v>4266</v>
      </c>
      <c r="B2556" s="4" t="s">
        <v>38</v>
      </c>
      <c r="C2556" s="4" t="s">
        <v>14</v>
      </c>
      <c r="D2556" s="35">
        <v>8935</v>
      </c>
      <c r="E2556" s="4" t="s">
        <v>4267</v>
      </c>
      <c r="F2556" s="5">
        <v>40544</v>
      </c>
      <c r="H2556" s="4" t="s">
        <v>40</v>
      </c>
      <c r="I2556" s="6">
        <f>6037.39+4099.47</f>
        <v>10136.86</v>
      </c>
      <c r="J2556" s="6">
        <f>6037.39+4099.47</f>
        <v>10136.86</v>
      </c>
      <c r="K2556" s="37" t="s">
        <v>4035</v>
      </c>
      <c r="L2556" s="119"/>
      <c r="M2556" s="3"/>
    </row>
    <row r="2557" spans="1:13" s="4" customFormat="1" ht="14.25" customHeight="1" x14ac:dyDescent="0.25">
      <c r="A2557" s="4" t="s">
        <v>4268</v>
      </c>
      <c r="B2557" s="4" t="s">
        <v>38</v>
      </c>
      <c r="C2557" s="4" t="s">
        <v>14</v>
      </c>
      <c r="D2557" s="35">
        <v>10636</v>
      </c>
      <c r="E2557" s="4" t="s">
        <v>4269</v>
      </c>
      <c r="F2557" s="5">
        <v>40909</v>
      </c>
      <c r="H2557" s="4" t="s">
        <v>40</v>
      </c>
      <c r="I2557" s="6">
        <v>22080</v>
      </c>
      <c r="J2557" s="6">
        <f>13390+8690</f>
        <v>22080</v>
      </c>
      <c r="K2557" s="37" t="s">
        <v>4035</v>
      </c>
      <c r="L2557" s="119"/>
      <c r="M2557" s="3"/>
    </row>
    <row r="2558" spans="1:13" s="4" customFormat="1" ht="14.25" customHeight="1" x14ac:dyDescent="0.25">
      <c r="A2558" s="4" t="s">
        <v>4270</v>
      </c>
      <c r="B2558" s="4" t="s">
        <v>183</v>
      </c>
      <c r="C2558" s="4" t="s">
        <v>14</v>
      </c>
      <c r="D2558" s="35">
        <v>10637</v>
      </c>
      <c r="E2558" s="4" t="s">
        <v>4271</v>
      </c>
      <c r="F2558" s="5">
        <v>41157</v>
      </c>
      <c r="H2558" s="4" t="s">
        <v>40</v>
      </c>
      <c r="I2558" s="6">
        <v>60000</v>
      </c>
      <c r="J2558" s="6">
        <v>60000</v>
      </c>
      <c r="K2558" s="37" t="s">
        <v>4035</v>
      </c>
      <c r="L2558" s="119"/>
      <c r="M2558" s="3"/>
    </row>
    <row r="2559" spans="1:13" s="4" customFormat="1" ht="14.25" customHeight="1" x14ac:dyDescent="0.25">
      <c r="A2559" s="4" t="s">
        <v>4272</v>
      </c>
      <c r="B2559" s="4" t="s">
        <v>183</v>
      </c>
      <c r="C2559" s="4" t="s">
        <v>14</v>
      </c>
      <c r="D2559" s="35">
        <v>10638</v>
      </c>
      <c r="E2559" s="4" t="s">
        <v>4273</v>
      </c>
      <c r="F2559" s="5">
        <v>41038</v>
      </c>
      <c r="H2559" s="4" t="s">
        <v>40</v>
      </c>
      <c r="I2559" s="6">
        <v>15000</v>
      </c>
      <c r="J2559" s="6">
        <v>15000</v>
      </c>
      <c r="K2559" s="37" t="s">
        <v>4035</v>
      </c>
      <c r="L2559" s="119"/>
      <c r="M2559" s="3"/>
    </row>
    <row r="2560" spans="1:13" s="4" customFormat="1" ht="14.25" customHeight="1" x14ac:dyDescent="0.25">
      <c r="A2560" s="4" t="s">
        <v>4274</v>
      </c>
      <c r="B2560" s="4" t="s">
        <v>190</v>
      </c>
      <c r="C2560" s="4" t="s">
        <v>14</v>
      </c>
      <c r="D2560" s="35">
        <v>10639</v>
      </c>
      <c r="E2560" s="4" t="s">
        <v>4275</v>
      </c>
      <c r="F2560" s="5">
        <v>41222</v>
      </c>
      <c r="H2560" s="4" t="s">
        <v>40</v>
      </c>
      <c r="I2560" s="6">
        <v>4000</v>
      </c>
      <c r="J2560" s="6">
        <v>2000</v>
      </c>
      <c r="K2560" s="37" t="s">
        <v>4035</v>
      </c>
      <c r="L2560" s="119"/>
      <c r="M2560" s="3"/>
    </row>
    <row r="2561" spans="1:13" s="4" customFormat="1" ht="14.25" customHeight="1" x14ac:dyDescent="0.25">
      <c r="A2561" s="4" t="s">
        <v>4276</v>
      </c>
      <c r="B2561" s="4" t="s">
        <v>183</v>
      </c>
      <c r="C2561" s="4" t="s">
        <v>14</v>
      </c>
      <c r="D2561" s="35">
        <v>10640</v>
      </c>
      <c r="E2561" s="4" t="s">
        <v>4277</v>
      </c>
      <c r="F2561" s="5">
        <v>41220</v>
      </c>
      <c r="H2561" s="4" t="s">
        <v>40</v>
      </c>
      <c r="I2561" s="6">
        <v>10000</v>
      </c>
      <c r="J2561" s="6">
        <v>10000</v>
      </c>
      <c r="K2561" s="37" t="s">
        <v>4035</v>
      </c>
      <c r="L2561" s="119"/>
      <c r="M2561" s="3"/>
    </row>
    <row r="2562" spans="1:13" s="4" customFormat="1" ht="14.25" customHeight="1" x14ac:dyDescent="0.25">
      <c r="A2562" s="4" t="s">
        <v>4278</v>
      </c>
      <c r="B2562" s="4" t="s">
        <v>190</v>
      </c>
      <c r="C2562" s="4" t="s">
        <v>14</v>
      </c>
      <c r="D2562" s="35">
        <v>10641</v>
      </c>
      <c r="E2562" s="4" t="s">
        <v>4279</v>
      </c>
      <c r="F2562" s="5">
        <v>40849</v>
      </c>
      <c r="H2562" s="4" t="s">
        <v>40</v>
      </c>
      <c r="I2562" s="6">
        <v>10000</v>
      </c>
      <c r="J2562" s="6">
        <v>10000</v>
      </c>
      <c r="K2562" s="37" t="s">
        <v>4035</v>
      </c>
      <c r="L2562" s="119"/>
      <c r="M2562" s="3"/>
    </row>
    <row r="2563" spans="1:13" s="4" customFormat="1" ht="14.25" customHeight="1" x14ac:dyDescent="0.25">
      <c r="A2563" s="4" t="s">
        <v>4280</v>
      </c>
      <c r="B2563" s="4" t="s">
        <v>183</v>
      </c>
      <c r="C2563" s="4" t="s">
        <v>14</v>
      </c>
      <c r="D2563" s="35">
        <v>10642</v>
      </c>
      <c r="E2563" s="4" t="s">
        <v>4281</v>
      </c>
      <c r="F2563" s="5">
        <v>41068</v>
      </c>
      <c r="H2563" s="4" t="s">
        <v>40</v>
      </c>
      <c r="I2563" s="6">
        <v>10000</v>
      </c>
      <c r="J2563" s="6">
        <v>10000</v>
      </c>
      <c r="K2563" s="37" t="s">
        <v>4035</v>
      </c>
      <c r="L2563" s="119"/>
      <c r="M2563" s="3"/>
    </row>
    <row r="2564" spans="1:13" s="4" customFormat="1" ht="14.25" customHeight="1" x14ac:dyDescent="0.25">
      <c r="A2564" s="4" t="s">
        <v>4282</v>
      </c>
      <c r="B2564" s="4" t="s">
        <v>183</v>
      </c>
      <c r="C2564" s="4" t="s">
        <v>14</v>
      </c>
      <c r="D2564" s="35">
        <v>10643</v>
      </c>
      <c r="E2564" s="4" t="s">
        <v>4283</v>
      </c>
      <c r="F2564" s="5">
        <v>40982</v>
      </c>
      <c r="H2564" s="4" t="s">
        <v>40</v>
      </c>
      <c r="I2564" s="6">
        <v>80000</v>
      </c>
      <c r="J2564" s="6">
        <v>40000</v>
      </c>
      <c r="K2564" s="37" t="s">
        <v>4035</v>
      </c>
      <c r="L2564" s="119"/>
      <c r="M2564" s="3"/>
    </row>
    <row r="2565" spans="1:13" s="4" customFormat="1" ht="14.25" customHeight="1" x14ac:dyDescent="0.25">
      <c r="A2565" s="4" t="s">
        <v>4284</v>
      </c>
      <c r="B2565" s="4" t="s">
        <v>183</v>
      </c>
      <c r="C2565" s="4" t="s">
        <v>14</v>
      </c>
      <c r="D2565" s="35">
        <v>10644</v>
      </c>
      <c r="E2565" s="4" t="s">
        <v>4285</v>
      </c>
      <c r="F2565" s="5">
        <v>41220</v>
      </c>
      <c r="H2565" s="4" t="s">
        <v>40</v>
      </c>
      <c r="I2565" s="6">
        <v>18000</v>
      </c>
      <c r="J2565" s="6">
        <v>9000</v>
      </c>
      <c r="K2565" s="37" t="s">
        <v>4035</v>
      </c>
      <c r="L2565" s="119"/>
      <c r="M2565" s="3"/>
    </row>
    <row r="2566" spans="1:13" s="4" customFormat="1" ht="14.25" customHeight="1" x14ac:dyDescent="0.25">
      <c r="A2566" s="4" t="s">
        <v>4242</v>
      </c>
      <c r="B2566" s="4" t="s">
        <v>183</v>
      </c>
      <c r="C2566" s="4" t="s">
        <v>14</v>
      </c>
      <c r="D2566" s="35">
        <v>10645</v>
      </c>
      <c r="E2566" s="4" t="s">
        <v>4286</v>
      </c>
      <c r="F2566" s="5">
        <v>40820</v>
      </c>
      <c r="H2566" s="4" t="s">
        <v>40</v>
      </c>
      <c r="I2566" s="6">
        <v>2156.96</v>
      </c>
      <c r="J2566" s="6">
        <v>1078.48</v>
      </c>
      <c r="K2566" s="37" t="s">
        <v>4035</v>
      </c>
      <c r="L2566" s="119"/>
      <c r="M2566" s="3"/>
    </row>
    <row r="2567" spans="1:13" s="4" customFormat="1" ht="14.25" customHeight="1" x14ac:dyDescent="0.25">
      <c r="A2567" s="4" t="s">
        <v>4287</v>
      </c>
      <c r="B2567" s="4" t="s">
        <v>190</v>
      </c>
      <c r="C2567" s="4" t="s">
        <v>14</v>
      </c>
      <c r="D2567" s="35">
        <v>10646</v>
      </c>
      <c r="E2567" s="4" t="s">
        <v>4288</v>
      </c>
      <c r="F2567" s="5">
        <v>40604</v>
      </c>
      <c r="H2567" s="4" t="s">
        <v>40</v>
      </c>
      <c r="I2567" s="6">
        <v>10000</v>
      </c>
      <c r="J2567" s="6">
        <v>5000</v>
      </c>
      <c r="K2567" s="37" t="s">
        <v>4035</v>
      </c>
      <c r="L2567" s="119"/>
      <c r="M2567" s="3"/>
    </row>
    <row r="2568" spans="1:13" s="4" customFormat="1" ht="14.25" customHeight="1" x14ac:dyDescent="0.25">
      <c r="A2568" s="4" t="s">
        <v>4289</v>
      </c>
      <c r="B2568" s="4" t="s">
        <v>183</v>
      </c>
      <c r="C2568" s="4" t="s">
        <v>14</v>
      </c>
      <c r="D2568" s="35">
        <v>10647</v>
      </c>
      <c r="E2568" s="4" t="s">
        <v>4290</v>
      </c>
      <c r="F2568" s="5">
        <v>40977</v>
      </c>
      <c r="H2568" s="4" t="s">
        <v>40</v>
      </c>
      <c r="I2568" s="6">
        <v>3750</v>
      </c>
      <c r="J2568" s="6">
        <v>3750</v>
      </c>
      <c r="K2568" s="37" t="s">
        <v>4035</v>
      </c>
      <c r="L2568" s="119"/>
      <c r="M2568" s="3"/>
    </row>
    <row r="2569" spans="1:13" s="4" customFormat="1" ht="14.25" customHeight="1" x14ac:dyDescent="0.25">
      <c r="A2569" s="4" t="s">
        <v>4291</v>
      </c>
      <c r="B2569" s="4" t="s">
        <v>183</v>
      </c>
      <c r="C2569" s="4" t="s">
        <v>14</v>
      </c>
      <c r="D2569" s="35">
        <v>10648</v>
      </c>
      <c r="E2569" s="4" t="s">
        <v>4292</v>
      </c>
      <c r="F2569" s="5">
        <v>40977</v>
      </c>
      <c r="H2569" s="4" t="s">
        <v>40</v>
      </c>
      <c r="I2569" s="6">
        <v>10000</v>
      </c>
      <c r="J2569" s="6">
        <v>10000</v>
      </c>
      <c r="K2569" s="37" t="s">
        <v>4035</v>
      </c>
      <c r="L2569" s="119"/>
      <c r="M2569" s="3"/>
    </row>
    <row r="2570" spans="1:13" s="4" customFormat="1" ht="14.25" customHeight="1" x14ac:dyDescent="0.25">
      <c r="A2570" s="4" t="s">
        <v>4293</v>
      </c>
      <c r="B2570" s="4" t="s">
        <v>4294</v>
      </c>
      <c r="C2570" s="4" t="s">
        <v>14</v>
      </c>
      <c r="D2570" s="35">
        <v>10649</v>
      </c>
      <c r="E2570" s="4" t="s">
        <v>4295</v>
      </c>
      <c r="F2570" s="5">
        <v>40982</v>
      </c>
      <c r="H2570" s="4" t="s">
        <v>40</v>
      </c>
      <c r="I2570" s="6">
        <v>10000</v>
      </c>
      <c r="J2570" s="6">
        <v>5000</v>
      </c>
      <c r="K2570" s="37" t="s">
        <v>4035</v>
      </c>
      <c r="L2570" s="119"/>
      <c r="M2570" s="3"/>
    </row>
    <row r="2571" spans="1:13" s="4" customFormat="1" ht="14.25" customHeight="1" x14ac:dyDescent="0.25">
      <c r="A2571" s="4" t="s">
        <v>4296</v>
      </c>
      <c r="B2571" s="4" t="s">
        <v>183</v>
      </c>
      <c r="C2571" s="4" t="s">
        <v>14</v>
      </c>
      <c r="D2571" s="35">
        <v>10650</v>
      </c>
      <c r="E2571" s="4" t="s">
        <v>4297</v>
      </c>
      <c r="F2571" s="5">
        <v>41069</v>
      </c>
      <c r="H2571" s="4" t="s">
        <v>40</v>
      </c>
      <c r="I2571" s="6">
        <v>10000</v>
      </c>
      <c r="J2571" s="6">
        <v>10000</v>
      </c>
      <c r="K2571" s="37" t="s">
        <v>4035</v>
      </c>
      <c r="L2571" s="119"/>
      <c r="M2571" s="3"/>
    </row>
    <row r="2572" spans="1:13" s="4" customFormat="1" ht="14.25" customHeight="1" x14ac:dyDescent="0.25">
      <c r="A2572" s="4" t="s">
        <v>4298</v>
      </c>
      <c r="B2572" s="4" t="s">
        <v>190</v>
      </c>
      <c r="C2572" s="4" t="s">
        <v>14</v>
      </c>
      <c r="D2572" s="35">
        <v>10651</v>
      </c>
      <c r="E2572" s="4" t="s">
        <v>4299</v>
      </c>
      <c r="F2572" s="5">
        <v>40982</v>
      </c>
      <c r="H2572" s="4" t="s">
        <v>40</v>
      </c>
      <c r="I2572" s="6">
        <v>10000</v>
      </c>
      <c r="J2572" s="6">
        <v>10000</v>
      </c>
      <c r="K2572" s="37" t="s">
        <v>4035</v>
      </c>
      <c r="L2572" s="119"/>
      <c r="M2572" s="3"/>
    </row>
    <row r="2573" spans="1:13" s="4" customFormat="1" ht="14.25" customHeight="1" x14ac:dyDescent="0.25">
      <c r="A2573" s="4" t="s">
        <v>4298</v>
      </c>
      <c r="B2573" s="4" t="s">
        <v>190</v>
      </c>
      <c r="C2573" s="4" t="s">
        <v>14</v>
      </c>
      <c r="D2573" s="35">
        <v>10652</v>
      </c>
      <c r="E2573" s="4" t="s">
        <v>4300</v>
      </c>
      <c r="F2573" s="5">
        <v>41220</v>
      </c>
      <c r="H2573" s="4" t="s">
        <v>40</v>
      </c>
      <c r="I2573" s="6">
        <f>17434+16539.72</f>
        <v>33973.72</v>
      </c>
      <c r="J2573" s="6">
        <v>21986.86</v>
      </c>
      <c r="K2573" s="37" t="s">
        <v>4035</v>
      </c>
      <c r="L2573" s="119"/>
      <c r="M2573" s="3"/>
    </row>
    <row r="2574" spans="1:13" s="4" customFormat="1" ht="14.25" customHeight="1" x14ac:dyDescent="0.25">
      <c r="A2574" s="4" t="s">
        <v>4301</v>
      </c>
      <c r="B2574" s="4" t="s">
        <v>183</v>
      </c>
      <c r="C2574" s="4" t="s">
        <v>14</v>
      </c>
      <c r="D2574" s="35">
        <v>10653</v>
      </c>
      <c r="E2574" s="4" t="s">
        <v>4302</v>
      </c>
      <c r="F2574" s="5">
        <v>40982</v>
      </c>
      <c r="H2574" s="4" t="s">
        <v>40</v>
      </c>
      <c r="I2574" s="6">
        <v>12638.46</v>
      </c>
      <c r="J2574" s="6">
        <v>6319.23</v>
      </c>
      <c r="K2574" s="37" t="s">
        <v>4035</v>
      </c>
      <c r="L2574" s="119"/>
      <c r="M2574" s="3"/>
    </row>
    <row r="2575" spans="1:13" s="4" customFormat="1" ht="14.25" customHeight="1" x14ac:dyDescent="0.25">
      <c r="A2575" s="4" t="s">
        <v>4303</v>
      </c>
      <c r="B2575" s="4" t="s">
        <v>183</v>
      </c>
      <c r="C2575" s="4" t="s">
        <v>14</v>
      </c>
      <c r="D2575" s="35">
        <v>10654</v>
      </c>
      <c r="E2575" s="4" t="s">
        <v>4304</v>
      </c>
      <c r="F2575" s="5">
        <v>40849</v>
      </c>
      <c r="H2575" s="4" t="s">
        <v>40</v>
      </c>
      <c r="I2575" s="6">
        <v>2000</v>
      </c>
      <c r="J2575" s="6">
        <v>2000</v>
      </c>
      <c r="K2575" s="37" t="s">
        <v>4035</v>
      </c>
      <c r="L2575" s="119"/>
      <c r="M2575" s="3"/>
    </row>
    <row r="2576" spans="1:13" s="4" customFormat="1" ht="14.25" customHeight="1" x14ac:dyDescent="0.25">
      <c r="A2576" s="4" t="s">
        <v>4305</v>
      </c>
      <c r="B2576" s="4" t="s">
        <v>183</v>
      </c>
      <c r="C2576" s="4" t="s">
        <v>14</v>
      </c>
      <c r="D2576" s="35">
        <v>10655</v>
      </c>
      <c r="E2576" s="4" t="s">
        <v>4306</v>
      </c>
      <c r="F2576" s="5">
        <v>40849</v>
      </c>
      <c r="H2576" s="4" t="s">
        <v>40</v>
      </c>
      <c r="I2576" s="6">
        <v>19456.48</v>
      </c>
      <c r="J2576" s="6">
        <v>9728.24</v>
      </c>
      <c r="K2576" s="37" t="s">
        <v>4035</v>
      </c>
      <c r="L2576" s="119"/>
      <c r="M2576" s="3"/>
    </row>
    <row r="2577" spans="1:13" s="4" customFormat="1" ht="14.25" customHeight="1" x14ac:dyDescent="0.25">
      <c r="A2577" s="4" t="s">
        <v>4307</v>
      </c>
      <c r="B2577" s="4" t="s">
        <v>38</v>
      </c>
      <c r="C2577" s="4" t="s">
        <v>14</v>
      </c>
      <c r="D2577" s="35">
        <v>10656</v>
      </c>
      <c r="E2577" s="4" t="s">
        <v>4308</v>
      </c>
      <c r="F2577" s="5">
        <v>40674</v>
      </c>
      <c r="H2577" s="4" t="s">
        <v>40</v>
      </c>
      <c r="I2577" s="6">
        <v>1186</v>
      </c>
      <c r="J2577" s="6">
        <v>593</v>
      </c>
      <c r="K2577" s="37" t="s">
        <v>4035</v>
      </c>
      <c r="L2577" s="119"/>
      <c r="M2577" s="3"/>
    </row>
    <row r="2578" spans="1:13" ht="14.25" customHeight="1" x14ac:dyDescent="0.25">
      <c r="A2578" s="13" t="s">
        <v>10487</v>
      </c>
      <c r="B2578" s="13" t="s">
        <v>38</v>
      </c>
      <c r="C2578" s="13" t="s">
        <v>14</v>
      </c>
      <c r="D2578" s="19">
        <v>10737</v>
      </c>
      <c r="E2578" s="13" t="s">
        <v>10618</v>
      </c>
      <c r="F2578" s="14">
        <v>41275</v>
      </c>
      <c r="H2578" s="13" t="s">
        <v>651</v>
      </c>
      <c r="I2578" s="18">
        <v>10658.69</v>
      </c>
      <c r="J2578" s="18">
        <v>10658.69</v>
      </c>
      <c r="K2578" s="20" t="s">
        <v>4035</v>
      </c>
    </row>
    <row r="2579" spans="1:13" s="4" customFormat="1" ht="14.25" customHeight="1" x14ac:dyDescent="0.25">
      <c r="A2579" s="4" t="s">
        <v>4309</v>
      </c>
      <c r="B2579" s="4" t="s">
        <v>38</v>
      </c>
      <c r="C2579" s="4" t="s">
        <v>14</v>
      </c>
      <c r="D2579" s="35">
        <v>11648</v>
      </c>
      <c r="E2579" s="4" t="s">
        <v>4310</v>
      </c>
      <c r="F2579" s="5">
        <v>40909</v>
      </c>
      <c r="G2579" s="5">
        <v>40939</v>
      </c>
      <c r="H2579" s="4" t="s">
        <v>40</v>
      </c>
      <c r="I2579" s="6">
        <v>2000</v>
      </c>
      <c r="J2579" s="6">
        <v>1000</v>
      </c>
      <c r="K2579" s="37" t="s">
        <v>4035</v>
      </c>
      <c r="L2579" s="119"/>
      <c r="M2579" s="3"/>
    </row>
    <row r="2580" spans="1:13" ht="14.25" customHeight="1" x14ac:dyDescent="0.25">
      <c r="A2580" s="13" t="s">
        <v>10619</v>
      </c>
      <c r="B2580" s="13" t="s">
        <v>10192</v>
      </c>
      <c r="C2580" s="13" t="s">
        <v>14</v>
      </c>
      <c r="D2580" s="19">
        <v>12793</v>
      </c>
      <c r="E2580" s="13" t="s">
        <v>10620</v>
      </c>
      <c r="F2580" s="14">
        <v>41220</v>
      </c>
      <c r="H2580" s="13" t="s">
        <v>651</v>
      </c>
      <c r="I2580" s="18">
        <v>25000</v>
      </c>
      <c r="J2580" s="18">
        <v>25000</v>
      </c>
      <c r="K2580" s="20" t="s">
        <v>4035</v>
      </c>
    </row>
    <row r="2581" spans="1:13" ht="14.25" customHeight="1" x14ac:dyDescent="0.25">
      <c r="A2581" s="13" t="s">
        <v>10621</v>
      </c>
      <c r="B2581" s="13" t="s">
        <v>10195</v>
      </c>
      <c r="C2581" s="13" t="s">
        <v>14</v>
      </c>
      <c r="D2581" s="19">
        <v>12794</v>
      </c>
      <c r="E2581" s="13" t="s">
        <v>4239</v>
      </c>
      <c r="F2581" s="14">
        <v>41234</v>
      </c>
      <c r="H2581" s="13" t="s">
        <v>651</v>
      </c>
      <c r="I2581" s="18">
        <v>20000</v>
      </c>
      <c r="J2581" s="18">
        <v>20000</v>
      </c>
      <c r="K2581" s="20" t="s">
        <v>4035</v>
      </c>
    </row>
    <row r="2582" spans="1:13" ht="14.25" customHeight="1" x14ac:dyDescent="0.25">
      <c r="A2582" s="13" t="s">
        <v>10622</v>
      </c>
      <c r="B2582" s="13" t="s">
        <v>10192</v>
      </c>
      <c r="C2582" s="13" t="s">
        <v>14</v>
      </c>
      <c r="D2582" s="19">
        <v>12795</v>
      </c>
      <c r="E2582" s="13" t="s">
        <v>10623</v>
      </c>
      <c r="F2582" s="14">
        <v>41255</v>
      </c>
      <c r="H2582" s="13" t="s">
        <v>651</v>
      </c>
      <c r="I2582" s="18">
        <v>20000</v>
      </c>
      <c r="J2582" s="18">
        <v>20000</v>
      </c>
      <c r="K2582" s="20" t="s">
        <v>4035</v>
      </c>
    </row>
    <row r="2583" spans="1:13" ht="14.25" customHeight="1" x14ac:dyDescent="0.25">
      <c r="A2583" s="13" t="s">
        <v>10624</v>
      </c>
      <c r="B2583" s="13" t="s">
        <v>10625</v>
      </c>
      <c r="C2583" s="13" t="s">
        <v>14</v>
      </c>
      <c r="D2583" s="19">
        <v>12796</v>
      </c>
      <c r="E2583" s="13" t="s">
        <v>10626</v>
      </c>
      <c r="F2583" s="14">
        <v>41220</v>
      </c>
      <c r="H2583" s="13" t="s">
        <v>651</v>
      </c>
      <c r="I2583" s="18">
        <v>39723.480000000003</v>
      </c>
      <c r="J2583" s="18">
        <v>19861.740000000002</v>
      </c>
      <c r="K2583" s="20" t="s">
        <v>4035</v>
      </c>
    </row>
    <row r="2584" spans="1:13" ht="14.25" customHeight="1" x14ac:dyDescent="0.25">
      <c r="A2584" s="13" t="s">
        <v>10627</v>
      </c>
      <c r="B2584" s="13" t="s">
        <v>10192</v>
      </c>
      <c r="C2584" s="13" t="s">
        <v>14</v>
      </c>
      <c r="D2584" s="19">
        <v>12797</v>
      </c>
      <c r="E2584" s="13" t="s">
        <v>10628</v>
      </c>
      <c r="F2584" s="14">
        <v>41255</v>
      </c>
      <c r="H2584" s="13" t="s">
        <v>651</v>
      </c>
      <c r="I2584" s="18">
        <v>10000</v>
      </c>
      <c r="J2584" s="18">
        <v>10000</v>
      </c>
      <c r="K2584" s="20" t="s">
        <v>4035</v>
      </c>
    </row>
    <row r="2585" spans="1:13" ht="14.25" customHeight="1" x14ac:dyDescent="0.25">
      <c r="A2585" s="13" t="s">
        <v>10629</v>
      </c>
      <c r="B2585" s="13" t="s">
        <v>10192</v>
      </c>
      <c r="C2585" s="13" t="s">
        <v>14</v>
      </c>
      <c r="D2585" s="19">
        <v>12798</v>
      </c>
      <c r="E2585" s="13" t="s">
        <v>10630</v>
      </c>
      <c r="F2585" s="14">
        <v>41255</v>
      </c>
      <c r="H2585" s="13" t="s">
        <v>651</v>
      </c>
      <c r="I2585" s="18">
        <v>15000</v>
      </c>
      <c r="J2585" s="18">
        <v>15000</v>
      </c>
      <c r="K2585" s="20" t="s">
        <v>4035</v>
      </c>
    </row>
    <row r="2586" spans="1:13" ht="14.25" customHeight="1" x14ac:dyDescent="0.25">
      <c r="A2586" s="13" t="s">
        <v>10631</v>
      </c>
      <c r="B2586" s="13" t="s">
        <v>10195</v>
      </c>
      <c r="C2586" s="13" t="s">
        <v>14</v>
      </c>
      <c r="D2586" s="19">
        <v>12799</v>
      </c>
      <c r="E2586" s="13" t="s">
        <v>10632</v>
      </c>
      <c r="F2586" s="14">
        <v>41339</v>
      </c>
      <c r="H2586" s="13" t="s">
        <v>651</v>
      </c>
      <c r="I2586" s="18">
        <v>30000</v>
      </c>
      <c r="J2586" s="18">
        <v>15000</v>
      </c>
      <c r="K2586" s="20" t="s">
        <v>4035</v>
      </c>
    </row>
    <row r="2587" spans="1:13" ht="14.25" customHeight="1" x14ac:dyDescent="0.25">
      <c r="A2587" s="13" t="s">
        <v>10633</v>
      </c>
      <c r="B2587" s="13" t="s">
        <v>10192</v>
      </c>
      <c r="C2587" s="13" t="s">
        <v>14</v>
      </c>
      <c r="D2587" s="19">
        <v>12800</v>
      </c>
      <c r="E2587" s="13" t="s">
        <v>10634</v>
      </c>
      <c r="F2587" s="14">
        <v>41220</v>
      </c>
      <c r="H2587" s="13" t="s">
        <v>651</v>
      </c>
      <c r="I2587" s="18">
        <v>28200</v>
      </c>
      <c r="J2587" s="18">
        <v>14100</v>
      </c>
      <c r="K2587" s="20" t="s">
        <v>4035</v>
      </c>
    </row>
    <row r="2588" spans="1:13" ht="14.25" customHeight="1" x14ac:dyDescent="0.25">
      <c r="A2588" s="13" t="s">
        <v>10635</v>
      </c>
      <c r="B2588" s="13" t="s">
        <v>10625</v>
      </c>
      <c r="C2588" s="13" t="s">
        <v>14</v>
      </c>
      <c r="D2588" s="19">
        <v>12801</v>
      </c>
      <c r="E2588" s="13" t="s">
        <v>10636</v>
      </c>
      <c r="F2588" s="14">
        <v>41157</v>
      </c>
      <c r="H2588" s="13" t="s">
        <v>651</v>
      </c>
      <c r="I2588" s="18">
        <v>10000</v>
      </c>
      <c r="J2588" s="18">
        <v>5000</v>
      </c>
      <c r="K2588" s="20" t="s">
        <v>4035</v>
      </c>
    </row>
    <row r="2589" spans="1:13" ht="14.25" customHeight="1" x14ac:dyDescent="0.25">
      <c r="A2589" s="13" t="s">
        <v>10637</v>
      </c>
      <c r="B2589" s="13" t="s">
        <v>10625</v>
      </c>
      <c r="C2589" s="13" t="s">
        <v>14</v>
      </c>
      <c r="D2589" s="19">
        <v>12802</v>
      </c>
      <c r="E2589" s="13" t="s">
        <v>10638</v>
      </c>
      <c r="F2589" s="14">
        <v>41339</v>
      </c>
      <c r="H2589" s="13" t="s">
        <v>651</v>
      </c>
      <c r="I2589" s="18">
        <v>10000</v>
      </c>
      <c r="J2589" s="18">
        <v>5000</v>
      </c>
      <c r="K2589" s="20" t="s">
        <v>4035</v>
      </c>
    </row>
    <row r="2590" spans="1:13" ht="14.25" customHeight="1" x14ac:dyDescent="0.25">
      <c r="A2590" s="13" t="s">
        <v>10639</v>
      </c>
      <c r="B2590" s="13" t="s">
        <v>10192</v>
      </c>
      <c r="C2590" s="13" t="s">
        <v>14</v>
      </c>
      <c r="D2590" s="19">
        <v>12803</v>
      </c>
      <c r="E2590" s="13" t="s">
        <v>10640</v>
      </c>
      <c r="F2590" s="14">
        <v>41339</v>
      </c>
      <c r="H2590" s="13" t="s">
        <v>651</v>
      </c>
      <c r="I2590" s="18">
        <v>3750</v>
      </c>
      <c r="J2590" s="18">
        <v>3750</v>
      </c>
      <c r="K2590" s="20" t="s">
        <v>4035</v>
      </c>
    </row>
    <row r="2591" spans="1:13" ht="14.25" customHeight="1" x14ac:dyDescent="0.25">
      <c r="A2591" s="13" t="s">
        <v>10641</v>
      </c>
      <c r="B2591" s="13" t="s">
        <v>10192</v>
      </c>
      <c r="C2591" s="13" t="s">
        <v>14</v>
      </c>
      <c r="D2591" s="19">
        <v>12804</v>
      </c>
      <c r="E2591" s="13" t="s">
        <v>10642</v>
      </c>
      <c r="F2591" s="14">
        <v>41451</v>
      </c>
      <c r="H2591" s="13" t="s">
        <v>651</v>
      </c>
      <c r="I2591" s="18">
        <v>10000</v>
      </c>
      <c r="J2591" s="18">
        <v>10000</v>
      </c>
      <c r="K2591" s="20" t="s">
        <v>4035</v>
      </c>
    </row>
    <row r="2592" spans="1:13" ht="14.25" customHeight="1" x14ac:dyDescent="0.25">
      <c r="A2592" s="13" t="s">
        <v>10643</v>
      </c>
      <c r="B2592" s="13" t="s">
        <v>10192</v>
      </c>
      <c r="C2592" s="13" t="s">
        <v>14</v>
      </c>
      <c r="D2592" s="19">
        <v>12805</v>
      </c>
      <c r="E2592" s="13" t="s">
        <v>10644</v>
      </c>
      <c r="F2592" s="14">
        <v>41521</v>
      </c>
      <c r="H2592" s="13" t="s">
        <v>651</v>
      </c>
      <c r="I2592" s="18">
        <v>10000</v>
      </c>
      <c r="J2592" s="18">
        <v>10000</v>
      </c>
      <c r="K2592" s="20" t="s">
        <v>4035</v>
      </c>
    </row>
    <row r="2593" spans="1:13" ht="14.25" customHeight="1" x14ac:dyDescent="0.25">
      <c r="A2593" s="13" t="s">
        <v>10647</v>
      </c>
      <c r="B2593" s="13" t="s">
        <v>10192</v>
      </c>
      <c r="C2593" s="13" t="s">
        <v>14</v>
      </c>
      <c r="D2593" s="19">
        <v>12807</v>
      </c>
      <c r="E2593" s="13" t="s">
        <v>10648</v>
      </c>
      <c r="F2593" s="14">
        <v>41584</v>
      </c>
      <c r="H2593" s="13" t="s">
        <v>651</v>
      </c>
      <c r="I2593" s="18">
        <v>5000</v>
      </c>
      <c r="J2593" s="18">
        <v>5000</v>
      </c>
      <c r="K2593" s="20" t="s">
        <v>4035</v>
      </c>
    </row>
    <row r="2594" spans="1:13" ht="14.25" customHeight="1" x14ac:dyDescent="0.25">
      <c r="A2594" s="13" t="s">
        <v>10649</v>
      </c>
      <c r="B2594" s="13" t="s">
        <v>10195</v>
      </c>
      <c r="C2594" s="13" t="s">
        <v>14</v>
      </c>
      <c r="D2594" s="19">
        <v>12808</v>
      </c>
      <c r="E2594" s="13" t="s">
        <v>10650</v>
      </c>
      <c r="F2594" s="14">
        <v>41451</v>
      </c>
      <c r="H2594" s="13" t="s">
        <v>651</v>
      </c>
      <c r="I2594" s="18">
        <v>50000</v>
      </c>
      <c r="J2594" s="18">
        <v>50000</v>
      </c>
      <c r="K2594" s="20" t="s">
        <v>4035</v>
      </c>
    </row>
    <row r="2595" spans="1:13" s="4" customFormat="1" ht="14.25" customHeight="1" x14ac:dyDescent="0.25">
      <c r="A2595" s="4" t="s">
        <v>4311</v>
      </c>
      <c r="B2595" s="4" t="s">
        <v>13</v>
      </c>
      <c r="C2595" s="4" t="s">
        <v>14</v>
      </c>
      <c r="D2595" s="35">
        <v>3784</v>
      </c>
      <c r="E2595" s="4" t="s">
        <v>4312</v>
      </c>
      <c r="F2595" s="5">
        <v>39717</v>
      </c>
      <c r="G2595" s="5">
        <v>40085</v>
      </c>
      <c r="H2595" s="4" t="s">
        <v>2027</v>
      </c>
      <c r="I2595" s="6">
        <v>176752.83</v>
      </c>
      <c r="J2595" s="6">
        <v>73462.5</v>
      </c>
      <c r="K2595" s="37" t="s">
        <v>4035</v>
      </c>
      <c r="L2595" s="119"/>
      <c r="M2595" s="3"/>
    </row>
    <row r="2596" spans="1:13" s="4" customFormat="1" ht="14.25" customHeight="1" x14ac:dyDescent="0.25">
      <c r="A2596" s="4" t="s">
        <v>4313</v>
      </c>
      <c r="B2596" s="4" t="s">
        <v>13</v>
      </c>
      <c r="C2596" s="4" t="s">
        <v>14</v>
      </c>
      <c r="D2596" s="35">
        <v>10192</v>
      </c>
      <c r="E2596" s="7" t="s">
        <v>4314</v>
      </c>
      <c r="F2596" s="5">
        <v>40359</v>
      </c>
      <c r="G2596" s="5">
        <v>40877</v>
      </c>
      <c r="H2596" s="4" t="s">
        <v>2027</v>
      </c>
      <c r="I2596" s="6">
        <v>107618.39</v>
      </c>
      <c r="J2596" s="6">
        <v>48428.28</v>
      </c>
      <c r="K2596" s="37" t="s">
        <v>4035</v>
      </c>
      <c r="L2596" s="119"/>
      <c r="M2596" s="3"/>
    </row>
    <row r="2597" spans="1:13" s="4" customFormat="1" ht="14.25" customHeight="1" x14ac:dyDescent="0.25">
      <c r="D2597" s="35"/>
      <c r="E2597" s="26" t="s">
        <v>351</v>
      </c>
      <c r="F2597" s="28"/>
      <c r="G2597" s="28"/>
      <c r="H2597" s="26"/>
      <c r="I2597" s="27">
        <f>SUM(I2438:I2446)</f>
        <v>558115.01</v>
      </c>
      <c r="J2597" s="27">
        <f>SUM(J2438:J2446)</f>
        <v>165612.84</v>
      </c>
      <c r="K2597" s="37" t="s">
        <v>4035</v>
      </c>
      <c r="L2597" s="119"/>
      <c r="M2597" s="3"/>
    </row>
    <row r="2598" spans="1:13" s="4" customFormat="1" ht="14.25" customHeight="1" x14ac:dyDescent="0.25">
      <c r="D2598" s="35"/>
      <c r="E2598" s="26" t="s">
        <v>2643</v>
      </c>
      <c r="F2598" s="28"/>
      <c r="G2598" s="28"/>
      <c r="H2598" s="26"/>
      <c r="I2598" s="27">
        <f>SUM(I2447:I2448)</f>
        <v>88458.78</v>
      </c>
      <c r="J2598" s="27">
        <f>SUM(J2447:J2448)</f>
        <v>88458.78</v>
      </c>
      <c r="K2598" s="37" t="s">
        <v>4035</v>
      </c>
      <c r="L2598" s="119"/>
      <c r="M2598" s="3"/>
    </row>
    <row r="2599" spans="1:13" s="4" customFormat="1" ht="14.25" customHeight="1" x14ac:dyDescent="0.25">
      <c r="D2599" s="35"/>
      <c r="E2599" s="26" t="s">
        <v>786</v>
      </c>
      <c r="F2599" s="28"/>
      <c r="G2599" s="28"/>
      <c r="H2599" s="26"/>
      <c r="I2599" s="27">
        <f>SUM(I2449:I2451)</f>
        <v>1606423.44</v>
      </c>
      <c r="J2599" s="27">
        <f>SUM(J2449:J2451)</f>
        <v>549503.31999999995</v>
      </c>
      <c r="K2599" s="37" t="s">
        <v>4035</v>
      </c>
      <c r="L2599" s="119"/>
      <c r="M2599" s="3"/>
    </row>
    <row r="2600" spans="1:13" s="4" customFormat="1" ht="14.25" customHeight="1" x14ac:dyDescent="0.25">
      <c r="D2600" s="35"/>
      <c r="E2600" s="26" t="s">
        <v>352</v>
      </c>
      <c r="F2600" s="28"/>
      <c r="G2600" s="28"/>
      <c r="H2600" s="26"/>
      <c r="I2600" s="27">
        <f>SUM(I2452:I2594)</f>
        <v>5598847.2300000023</v>
      </c>
      <c r="J2600" s="27">
        <f>SUM(J2452:J2594)</f>
        <v>4750856.9400000032</v>
      </c>
      <c r="K2600" s="37" t="s">
        <v>4035</v>
      </c>
      <c r="L2600" s="119"/>
      <c r="M2600" s="3"/>
    </row>
    <row r="2601" spans="1:13" s="4" customFormat="1" ht="14.25" customHeight="1" x14ac:dyDescent="0.25">
      <c r="D2601" s="35"/>
      <c r="E2601" s="26" t="s">
        <v>2028</v>
      </c>
      <c r="F2601" s="28"/>
      <c r="G2601" s="28"/>
      <c r="H2601" s="26"/>
      <c r="I2601" s="27">
        <f>SUM(I2595:I2596)</f>
        <v>284371.21999999997</v>
      </c>
      <c r="J2601" s="27">
        <f>SUM(J2595:J2596)</f>
        <v>121890.78</v>
      </c>
      <c r="K2601" s="37" t="s">
        <v>4035</v>
      </c>
      <c r="L2601" s="119"/>
      <c r="M2601" s="3"/>
    </row>
    <row r="2602" spans="1:13" s="4" customFormat="1" ht="14.25" customHeight="1" x14ac:dyDescent="0.25">
      <c r="D2602" s="35"/>
      <c r="E2602" s="26" t="s">
        <v>4315</v>
      </c>
      <c r="F2602" s="28"/>
      <c r="G2602" s="28"/>
      <c r="H2602" s="26"/>
      <c r="I2602" s="27">
        <f>SUM(I2597:I2601)</f>
        <v>8136215.6800000025</v>
      </c>
      <c r="J2602" s="27">
        <f>SUM(J2597:J2601)</f>
        <v>5676322.6600000029</v>
      </c>
      <c r="K2602" s="37" t="s">
        <v>4035</v>
      </c>
      <c r="L2602" s="119"/>
      <c r="M2602" s="3"/>
    </row>
    <row r="2604" spans="1:13" s="4" customFormat="1" ht="14.25" customHeight="1" x14ac:dyDescent="0.2">
      <c r="A2604" s="117" t="s">
        <v>11473</v>
      </c>
      <c r="B2604" s="4" t="s">
        <v>13</v>
      </c>
      <c r="C2604" s="4" t="s">
        <v>14</v>
      </c>
      <c r="D2604" s="35">
        <v>4414</v>
      </c>
      <c r="E2604" s="91" t="s">
        <v>11758</v>
      </c>
      <c r="F2604" s="5"/>
      <c r="G2604" s="5"/>
      <c r="H2604" s="4" t="s">
        <v>2032</v>
      </c>
      <c r="I2604" s="6">
        <v>998906.07</v>
      </c>
      <c r="J2604" s="6">
        <v>998906.07</v>
      </c>
      <c r="K2604" s="37" t="s">
        <v>4318</v>
      </c>
      <c r="L2604" s="119"/>
      <c r="M2604" s="3"/>
    </row>
    <row r="2605" spans="1:13" s="32" customFormat="1" ht="14.25" customHeight="1" x14ac:dyDescent="0.25">
      <c r="A2605" s="13" t="s">
        <v>11469</v>
      </c>
      <c r="B2605" s="32" t="s">
        <v>13</v>
      </c>
      <c r="C2605" s="32" t="s">
        <v>14</v>
      </c>
      <c r="D2605" s="33">
        <v>6538</v>
      </c>
      <c r="E2605" s="13" t="s">
        <v>11470</v>
      </c>
      <c r="F2605" s="34">
        <v>40544</v>
      </c>
      <c r="G2605" s="34">
        <v>41274</v>
      </c>
      <c r="H2605" s="4" t="s">
        <v>2032</v>
      </c>
      <c r="I2605" s="94">
        <v>259018.21</v>
      </c>
      <c r="J2605" s="94">
        <v>259018.21</v>
      </c>
      <c r="K2605" s="38" t="s">
        <v>4318</v>
      </c>
      <c r="L2605" s="122"/>
    </row>
    <row r="2606" spans="1:13" s="4" customFormat="1" ht="14.25" customHeight="1" x14ac:dyDescent="0.25">
      <c r="A2606" s="4" t="s">
        <v>4319</v>
      </c>
      <c r="B2606" s="4" t="s">
        <v>13</v>
      </c>
      <c r="C2606" s="4" t="s">
        <v>14</v>
      </c>
      <c r="D2606" s="35">
        <v>3897</v>
      </c>
      <c r="E2606" s="7" t="s">
        <v>4320</v>
      </c>
      <c r="F2606" s="5">
        <v>39955</v>
      </c>
      <c r="G2606" s="5">
        <v>40140</v>
      </c>
      <c r="H2606" s="4" t="s">
        <v>16</v>
      </c>
      <c r="I2606" s="6">
        <v>28500</v>
      </c>
      <c r="J2606" s="6">
        <v>11400</v>
      </c>
      <c r="K2606" s="37" t="s">
        <v>4318</v>
      </c>
      <c r="L2606" s="119"/>
      <c r="M2606" s="3"/>
    </row>
    <row r="2607" spans="1:13" s="4" customFormat="1" ht="14.25" customHeight="1" x14ac:dyDescent="0.25">
      <c r="A2607" s="4" t="s">
        <v>4321</v>
      </c>
      <c r="B2607" s="4" t="s">
        <v>13</v>
      </c>
      <c r="C2607" s="4" t="s">
        <v>14</v>
      </c>
      <c r="D2607" s="35">
        <v>3898</v>
      </c>
      <c r="E2607" s="4" t="s">
        <v>4322</v>
      </c>
      <c r="F2607" s="5">
        <v>39360</v>
      </c>
      <c r="G2607" s="5">
        <v>39507</v>
      </c>
      <c r="H2607" s="4" t="s">
        <v>16</v>
      </c>
      <c r="I2607" s="6">
        <v>11850</v>
      </c>
      <c r="J2607" s="6">
        <v>4740</v>
      </c>
      <c r="K2607" s="37" t="s">
        <v>4318</v>
      </c>
      <c r="L2607" s="119"/>
      <c r="M2607" s="3"/>
    </row>
    <row r="2608" spans="1:13" s="4" customFormat="1" ht="14.25" customHeight="1" x14ac:dyDescent="0.25">
      <c r="A2608" s="4" t="s">
        <v>4323</v>
      </c>
      <c r="B2608" s="4" t="s">
        <v>13</v>
      </c>
      <c r="C2608" s="4" t="s">
        <v>14</v>
      </c>
      <c r="D2608" s="35">
        <v>4078</v>
      </c>
      <c r="E2608" s="4" t="s">
        <v>4324</v>
      </c>
      <c r="F2608" s="5">
        <v>39671</v>
      </c>
      <c r="G2608" s="5">
        <v>40025</v>
      </c>
      <c r="H2608" s="4" t="s">
        <v>16</v>
      </c>
      <c r="I2608" s="6">
        <v>47178.400000000001</v>
      </c>
      <c r="J2608" s="6">
        <v>13500</v>
      </c>
      <c r="K2608" s="37" t="s">
        <v>4318</v>
      </c>
      <c r="L2608" s="119"/>
      <c r="M2608" s="3"/>
    </row>
    <row r="2609" spans="1:13" s="4" customFormat="1" ht="14.25" customHeight="1" x14ac:dyDescent="0.25">
      <c r="A2609" s="4" t="s">
        <v>4325</v>
      </c>
      <c r="B2609" s="4" t="s">
        <v>13</v>
      </c>
      <c r="C2609" s="4" t="s">
        <v>14</v>
      </c>
      <c r="D2609" s="35">
        <v>4079</v>
      </c>
      <c r="E2609" s="7" t="s">
        <v>4326</v>
      </c>
      <c r="F2609" s="5">
        <v>39464</v>
      </c>
      <c r="G2609" s="5">
        <v>39538</v>
      </c>
      <c r="H2609" s="4" t="s">
        <v>16</v>
      </c>
      <c r="I2609" s="6">
        <v>18101.54</v>
      </c>
      <c r="J2609" s="6">
        <v>4704</v>
      </c>
      <c r="K2609" s="37" t="s">
        <v>4318</v>
      </c>
      <c r="L2609" s="119"/>
      <c r="M2609" s="3"/>
    </row>
    <row r="2610" spans="1:13" s="4" customFormat="1" ht="14.25" customHeight="1" x14ac:dyDescent="0.25">
      <c r="A2610" s="4" t="s">
        <v>4327</v>
      </c>
      <c r="B2610" s="4" t="s">
        <v>13</v>
      </c>
      <c r="C2610" s="4" t="s">
        <v>14</v>
      </c>
      <c r="D2610" s="35">
        <v>4080</v>
      </c>
      <c r="E2610" s="4" t="s">
        <v>4328</v>
      </c>
      <c r="F2610" s="5">
        <v>39966</v>
      </c>
      <c r="G2610" s="5">
        <v>40217</v>
      </c>
      <c r="H2610" s="4" t="s">
        <v>16</v>
      </c>
      <c r="I2610" s="6">
        <v>7424.59</v>
      </c>
      <c r="J2610" s="6">
        <v>2227.38</v>
      </c>
      <c r="K2610" s="37" t="s">
        <v>4318</v>
      </c>
      <c r="L2610" s="119"/>
      <c r="M2610" s="3"/>
    </row>
    <row r="2611" spans="1:13" s="4" customFormat="1" ht="14.25" customHeight="1" x14ac:dyDescent="0.25">
      <c r="A2611" s="4" t="s">
        <v>4329</v>
      </c>
      <c r="B2611" s="4" t="s">
        <v>13</v>
      </c>
      <c r="C2611" s="4" t="s">
        <v>14</v>
      </c>
      <c r="D2611" s="35">
        <v>4081</v>
      </c>
      <c r="E2611" s="7" t="s">
        <v>4330</v>
      </c>
      <c r="F2611" s="5">
        <v>39671</v>
      </c>
      <c r="G2611" s="5">
        <v>39791</v>
      </c>
      <c r="H2611" s="4" t="s">
        <v>16</v>
      </c>
      <c r="I2611" s="6">
        <v>7806.15</v>
      </c>
      <c r="J2611" s="6">
        <v>2341.85</v>
      </c>
      <c r="K2611" s="37" t="s">
        <v>4318</v>
      </c>
      <c r="L2611" s="119"/>
      <c r="M2611" s="3"/>
    </row>
    <row r="2612" spans="1:13" s="4" customFormat="1" ht="14.25" customHeight="1" x14ac:dyDescent="0.25">
      <c r="A2612" s="4" t="s">
        <v>4331</v>
      </c>
      <c r="B2612" s="4" t="s">
        <v>13</v>
      </c>
      <c r="C2612" s="4" t="s">
        <v>14</v>
      </c>
      <c r="D2612" s="35">
        <v>4082</v>
      </c>
      <c r="E2612" s="4" t="s">
        <v>4332</v>
      </c>
      <c r="F2612" s="5">
        <v>39616</v>
      </c>
      <c r="G2612" s="5">
        <v>39721</v>
      </c>
      <c r="H2612" s="4" t="s">
        <v>16</v>
      </c>
      <c r="I2612" s="6">
        <v>9210.57</v>
      </c>
      <c r="J2612" s="6">
        <v>2763.14</v>
      </c>
      <c r="K2612" s="37" t="s">
        <v>4318</v>
      </c>
      <c r="L2612" s="119"/>
      <c r="M2612" s="3"/>
    </row>
    <row r="2613" spans="1:13" s="4" customFormat="1" ht="14.25" customHeight="1" x14ac:dyDescent="0.25">
      <c r="A2613" s="4" t="s">
        <v>4333</v>
      </c>
      <c r="B2613" s="4" t="s">
        <v>13</v>
      </c>
      <c r="C2613" s="4" t="s">
        <v>14</v>
      </c>
      <c r="D2613" s="35">
        <v>4083</v>
      </c>
      <c r="E2613" s="4" t="s">
        <v>4334</v>
      </c>
      <c r="F2613" s="5">
        <v>39415</v>
      </c>
      <c r="G2613" s="5">
        <v>39672</v>
      </c>
      <c r="H2613" s="4" t="s">
        <v>16</v>
      </c>
      <c r="I2613" s="6">
        <v>10112</v>
      </c>
      <c r="J2613" s="6">
        <v>3033.6</v>
      </c>
      <c r="K2613" s="37" t="s">
        <v>4318</v>
      </c>
      <c r="L2613" s="119"/>
      <c r="M2613" s="3"/>
    </row>
    <row r="2614" spans="1:13" s="4" customFormat="1" ht="14.25" customHeight="1" x14ac:dyDescent="0.25">
      <c r="A2614" s="4" t="s">
        <v>4335</v>
      </c>
      <c r="B2614" s="4" t="s">
        <v>13</v>
      </c>
      <c r="C2614" s="4" t="s">
        <v>14</v>
      </c>
      <c r="D2614" s="35">
        <v>4085</v>
      </c>
      <c r="E2614" s="4" t="s">
        <v>4336</v>
      </c>
      <c r="F2614" s="5">
        <v>39671</v>
      </c>
      <c r="G2614" s="5">
        <v>39812</v>
      </c>
      <c r="H2614" s="4" t="s">
        <v>16</v>
      </c>
      <c r="I2614" s="6">
        <v>11316.61</v>
      </c>
      <c r="J2614" s="6">
        <v>2606</v>
      </c>
      <c r="K2614" s="37" t="s">
        <v>4318</v>
      </c>
      <c r="L2614" s="119"/>
      <c r="M2614" s="3"/>
    </row>
    <row r="2615" spans="1:13" s="4" customFormat="1" ht="14.25" customHeight="1" x14ac:dyDescent="0.25">
      <c r="A2615" s="4" t="s">
        <v>4337</v>
      </c>
      <c r="B2615" s="4" t="s">
        <v>13</v>
      </c>
      <c r="C2615" s="4" t="s">
        <v>14</v>
      </c>
      <c r="D2615" s="35">
        <v>4087</v>
      </c>
      <c r="E2615" s="4" t="s">
        <v>4338</v>
      </c>
      <c r="F2615" s="5">
        <v>39770</v>
      </c>
      <c r="G2615" s="5">
        <v>39962</v>
      </c>
      <c r="H2615" s="4" t="s">
        <v>16</v>
      </c>
      <c r="I2615" s="6">
        <v>28000</v>
      </c>
      <c r="J2615" s="6">
        <v>8220</v>
      </c>
      <c r="K2615" s="37" t="s">
        <v>4318</v>
      </c>
      <c r="L2615" s="119"/>
      <c r="M2615" s="3"/>
    </row>
    <row r="2616" spans="1:13" s="4" customFormat="1" ht="14.25" customHeight="1" x14ac:dyDescent="0.25">
      <c r="A2616" s="4" t="s">
        <v>4339</v>
      </c>
      <c r="B2616" s="4" t="s">
        <v>13</v>
      </c>
      <c r="C2616" s="4" t="s">
        <v>14</v>
      </c>
      <c r="D2616" s="35">
        <v>4090</v>
      </c>
      <c r="E2616" s="4" t="s">
        <v>4340</v>
      </c>
      <c r="F2616" s="5">
        <v>39659</v>
      </c>
      <c r="G2616" s="5">
        <v>39752</v>
      </c>
      <c r="H2616" s="4" t="s">
        <v>16</v>
      </c>
      <c r="I2616" s="6">
        <v>14957.95</v>
      </c>
      <c r="J2616" s="6">
        <v>4487.3900000000003</v>
      </c>
      <c r="K2616" s="37" t="s">
        <v>4318</v>
      </c>
      <c r="L2616" s="119"/>
      <c r="M2616" s="3"/>
    </row>
    <row r="2617" spans="1:13" s="4" customFormat="1" ht="14.25" customHeight="1" x14ac:dyDescent="0.25">
      <c r="A2617" s="4" t="s">
        <v>4341</v>
      </c>
      <c r="B2617" s="4" t="s">
        <v>13</v>
      </c>
      <c r="C2617" s="4" t="s">
        <v>14</v>
      </c>
      <c r="D2617" s="35">
        <v>4093</v>
      </c>
      <c r="E2617" s="4" t="s">
        <v>4342</v>
      </c>
      <c r="F2617" s="5">
        <v>39792</v>
      </c>
      <c r="G2617" s="5">
        <v>40116</v>
      </c>
      <c r="H2617" s="4" t="s">
        <v>16</v>
      </c>
      <c r="I2617" s="6">
        <v>8350</v>
      </c>
      <c r="J2617" s="6">
        <v>3340</v>
      </c>
      <c r="K2617" s="37" t="s">
        <v>4318</v>
      </c>
      <c r="L2617" s="119"/>
      <c r="M2617" s="3"/>
    </row>
    <row r="2618" spans="1:13" s="4" customFormat="1" ht="14.25" customHeight="1" x14ac:dyDescent="0.25">
      <c r="A2618" s="4" t="s">
        <v>4343</v>
      </c>
      <c r="B2618" s="4" t="s">
        <v>13</v>
      </c>
      <c r="C2618" s="4" t="s">
        <v>14</v>
      </c>
      <c r="D2618" s="35">
        <v>4097</v>
      </c>
      <c r="E2618" s="4" t="s">
        <v>4344</v>
      </c>
      <c r="F2618" s="5">
        <v>39328</v>
      </c>
      <c r="G2618" s="5">
        <v>39721</v>
      </c>
      <c r="H2618" s="4" t="s">
        <v>16</v>
      </c>
      <c r="I2618" s="6">
        <v>30500</v>
      </c>
      <c r="J2618" s="6">
        <v>9150</v>
      </c>
      <c r="K2618" s="37" t="s">
        <v>4318</v>
      </c>
      <c r="L2618" s="119"/>
      <c r="M2618" s="3"/>
    </row>
    <row r="2619" spans="1:13" s="4" customFormat="1" ht="14.25" customHeight="1" x14ac:dyDescent="0.25">
      <c r="A2619" s="4" t="s">
        <v>4345</v>
      </c>
      <c r="B2619" s="4" t="s">
        <v>13</v>
      </c>
      <c r="C2619" s="4" t="s">
        <v>14</v>
      </c>
      <c r="D2619" s="35">
        <v>4100</v>
      </c>
      <c r="E2619" s="4" t="s">
        <v>4346</v>
      </c>
      <c r="F2619" s="5">
        <v>39406</v>
      </c>
      <c r="G2619" s="5">
        <v>39538</v>
      </c>
      <c r="H2619" s="4" t="s">
        <v>16</v>
      </c>
      <c r="I2619" s="6">
        <v>240000</v>
      </c>
      <c r="J2619" s="6">
        <v>31500</v>
      </c>
      <c r="K2619" s="37" t="s">
        <v>4318</v>
      </c>
      <c r="L2619" s="119"/>
      <c r="M2619" s="3"/>
    </row>
    <row r="2620" spans="1:13" s="4" customFormat="1" ht="14.25" customHeight="1" x14ac:dyDescent="0.25">
      <c r="A2620" s="4" t="s">
        <v>4327</v>
      </c>
      <c r="B2620" s="4" t="s">
        <v>13</v>
      </c>
      <c r="C2620" s="4" t="s">
        <v>14</v>
      </c>
      <c r="D2620" s="35">
        <v>4103</v>
      </c>
      <c r="E2620" s="7" t="s">
        <v>4347</v>
      </c>
      <c r="F2620" s="5">
        <v>39847</v>
      </c>
      <c r="G2620" s="5">
        <v>39933</v>
      </c>
      <c r="H2620" s="4" t="s">
        <v>16</v>
      </c>
      <c r="I2620" s="6">
        <v>1234.57</v>
      </c>
      <c r="J2620" s="6">
        <v>493.83</v>
      </c>
      <c r="K2620" s="37" t="s">
        <v>4318</v>
      </c>
      <c r="L2620" s="119"/>
      <c r="M2620" s="3"/>
    </row>
    <row r="2621" spans="1:13" s="4" customFormat="1" ht="14.25" customHeight="1" x14ac:dyDescent="0.25">
      <c r="A2621" s="4" t="s">
        <v>4348</v>
      </c>
      <c r="B2621" s="4" t="s">
        <v>13</v>
      </c>
      <c r="C2621" s="4" t="s">
        <v>14</v>
      </c>
      <c r="D2621" s="35">
        <v>4106</v>
      </c>
      <c r="E2621" s="4" t="s">
        <v>4349</v>
      </c>
      <c r="F2621" s="5">
        <v>39821</v>
      </c>
      <c r="G2621" s="5">
        <v>40221</v>
      </c>
      <c r="H2621" s="4" t="s">
        <v>16</v>
      </c>
      <c r="I2621" s="6">
        <v>6174.4</v>
      </c>
      <c r="J2621" s="6">
        <v>1950</v>
      </c>
      <c r="K2621" s="37" t="s">
        <v>4318</v>
      </c>
      <c r="L2621" s="119"/>
      <c r="M2621" s="3"/>
    </row>
    <row r="2622" spans="1:13" s="4" customFormat="1" ht="14.25" customHeight="1" x14ac:dyDescent="0.25">
      <c r="A2622" s="4" t="s">
        <v>4350</v>
      </c>
      <c r="B2622" s="4" t="s">
        <v>13</v>
      </c>
      <c r="C2622" s="4" t="s">
        <v>14</v>
      </c>
      <c r="D2622" s="35">
        <v>9890</v>
      </c>
      <c r="E2622" s="4" t="s">
        <v>4351</v>
      </c>
      <c r="F2622" s="5">
        <v>40319</v>
      </c>
      <c r="G2622" s="5">
        <v>40508</v>
      </c>
      <c r="H2622" s="4" t="s">
        <v>16</v>
      </c>
      <c r="I2622" s="6">
        <v>11453.74</v>
      </c>
      <c r="J2622" s="6">
        <v>2606.4</v>
      </c>
      <c r="K2622" s="37" t="s">
        <v>4318</v>
      </c>
      <c r="L2622" s="119"/>
      <c r="M2622" s="3"/>
    </row>
    <row r="2623" spans="1:13" s="4" customFormat="1" ht="14.25" customHeight="1" x14ac:dyDescent="0.25">
      <c r="A2623" s="4" t="s">
        <v>4352</v>
      </c>
      <c r="B2623" s="4" t="s">
        <v>13</v>
      </c>
      <c r="C2623" s="4" t="s">
        <v>14</v>
      </c>
      <c r="D2623" s="35">
        <v>9918</v>
      </c>
      <c r="E2623" s="4" t="s">
        <v>4353</v>
      </c>
      <c r="F2623" s="5">
        <v>40289</v>
      </c>
      <c r="G2623" s="5">
        <v>40483</v>
      </c>
      <c r="H2623" s="4" t="s">
        <v>16</v>
      </c>
      <c r="I2623" s="6">
        <v>7062.98</v>
      </c>
      <c r="J2623" s="6">
        <v>2118.89</v>
      </c>
      <c r="K2623" s="37" t="s">
        <v>4318</v>
      </c>
      <c r="L2623" s="119"/>
      <c r="M2623" s="3"/>
    </row>
    <row r="2624" spans="1:13" s="4" customFormat="1" ht="14.25" customHeight="1" x14ac:dyDescent="0.25">
      <c r="A2624" s="4" t="s">
        <v>4354</v>
      </c>
      <c r="B2624" s="4" t="s">
        <v>13</v>
      </c>
      <c r="C2624" s="4" t="s">
        <v>14</v>
      </c>
      <c r="D2624" s="35">
        <v>9973</v>
      </c>
      <c r="E2624" s="4" t="s">
        <v>4355</v>
      </c>
      <c r="F2624" s="5">
        <v>40493</v>
      </c>
      <c r="G2624" s="5">
        <v>40695</v>
      </c>
      <c r="H2624" s="4" t="s">
        <v>16</v>
      </c>
      <c r="I2624" s="6">
        <v>20000</v>
      </c>
      <c r="J2624" s="6">
        <v>8000</v>
      </c>
      <c r="K2624" s="37" t="s">
        <v>4318</v>
      </c>
      <c r="L2624" s="119"/>
      <c r="M2624" s="3"/>
    </row>
    <row r="2625" spans="1:13" s="4" customFormat="1" ht="14.25" customHeight="1" x14ac:dyDescent="0.25">
      <c r="A2625" s="4" t="s">
        <v>4356</v>
      </c>
      <c r="B2625" s="4" t="s">
        <v>13</v>
      </c>
      <c r="C2625" s="4" t="s">
        <v>14</v>
      </c>
      <c r="D2625" s="35">
        <v>9986</v>
      </c>
      <c r="E2625" s="4" t="s">
        <v>4357</v>
      </c>
      <c r="F2625" s="5">
        <v>40526</v>
      </c>
      <c r="G2625" s="5">
        <v>40693</v>
      </c>
      <c r="H2625" s="4" t="s">
        <v>16</v>
      </c>
      <c r="I2625" s="6">
        <v>46077.13</v>
      </c>
      <c r="J2625" s="6">
        <v>13200</v>
      </c>
      <c r="K2625" s="37" t="s">
        <v>4318</v>
      </c>
      <c r="L2625" s="119"/>
      <c r="M2625" s="3"/>
    </row>
    <row r="2626" spans="1:13" s="4" customFormat="1" ht="14.25" customHeight="1" x14ac:dyDescent="0.25">
      <c r="A2626" s="4" t="s">
        <v>4358</v>
      </c>
      <c r="B2626" s="4" t="s">
        <v>13</v>
      </c>
      <c r="C2626" s="4" t="s">
        <v>14</v>
      </c>
      <c r="D2626" s="35">
        <v>10000</v>
      </c>
      <c r="E2626" s="4" t="s">
        <v>4359</v>
      </c>
      <c r="F2626" s="5">
        <v>40129</v>
      </c>
      <c r="G2626" s="5">
        <v>40364</v>
      </c>
      <c r="H2626" s="4" t="s">
        <v>16</v>
      </c>
      <c r="I2626" s="6">
        <v>13920.7</v>
      </c>
      <c r="J2626" s="6">
        <v>3632.64</v>
      </c>
      <c r="K2626" s="37" t="s">
        <v>4318</v>
      </c>
      <c r="L2626" s="119"/>
      <c r="M2626" s="3"/>
    </row>
    <row r="2627" spans="1:13" s="4" customFormat="1" ht="14.25" customHeight="1" x14ac:dyDescent="0.25">
      <c r="A2627" s="4" t="s">
        <v>4360</v>
      </c>
      <c r="B2627" s="4" t="s">
        <v>13</v>
      </c>
      <c r="C2627" s="4" t="s">
        <v>14</v>
      </c>
      <c r="D2627" s="35">
        <v>10056</v>
      </c>
      <c r="E2627" s="4" t="s">
        <v>4361</v>
      </c>
      <c r="F2627" s="5">
        <v>40455</v>
      </c>
      <c r="G2627" s="5">
        <v>40570</v>
      </c>
      <c r="H2627" s="4" t="s">
        <v>16</v>
      </c>
      <c r="I2627" s="6">
        <v>9436</v>
      </c>
      <c r="J2627" s="6">
        <v>2830.8</v>
      </c>
      <c r="K2627" s="37" t="s">
        <v>4318</v>
      </c>
      <c r="L2627" s="119"/>
      <c r="M2627" s="3"/>
    </row>
    <row r="2628" spans="1:13" s="4" customFormat="1" ht="14.25" customHeight="1" x14ac:dyDescent="0.25">
      <c r="A2628" s="4" t="s">
        <v>4339</v>
      </c>
      <c r="B2628" s="4" t="s">
        <v>13</v>
      </c>
      <c r="C2628" s="4" t="s">
        <v>14</v>
      </c>
      <c r="D2628" s="35">
        <v>10161</v>
      </c>
      <c r="E2628" s="4" t="s">
        <v>4362</v>
      </c>
      <c r="F2628" s="5">
        <v>40526</v>
      </c>
      <c r="G2628" s="5">
        <v>40693</v>
      </c>
      <c r="H2628" s="4" t="s">
        <v>16</v>
      </c>
      <c r="I2628" s="6">
        <v>36000</v>
      </c>
      <c r="J2628" s="6">
        <v>10725</v>
      </c>
      <c r="K2628" s="37" t="s">
        <v>4318</v>
      </c>
      <c r="L2628" s="119"/>
      <c r="M2628" s="3"/>
    </row>
    <row r="2629" spans="1:13" s="4" customFormat="1" ht="14.25" customHeight="1" x14ac:dyDescent="0.25">
      <c r="A2629" s="4" t="s">
        <v>4363</v>
      </c>
      <c r="B2629" s="4" t="s">
        <v>13</v>
      </c>
      <c r="C2629" s="4" t="s">
        <v>14</v>
      </c>
      <c r="D2629" s="35">
        <v>9500</v>
      </c>
      <c r="E2629" s="4" t="s">
        <v>4364</v>
      </c>
      <c r="F2629" s="5">
        <v>39731</v>
      </c>
      <c r="G2629" s="5">
        <v>40154</v>
      </c>
      <c r="H2629" s="4" t="s">
        <v>389</v>
      </c>
      <c r="I2629" s="6">
        <v>31200</v>
      </c>
      <c r="J2629" s="6">
        <v>7000</v>
      </c>
      <c r="K2629" s="37" t="s">
        <v>4318</v>
      </c>
      <c r="L2629" s="119"/>
      <c r="M2629" s="3"/>
    </row>
    <row r="2630" spans="1:13" s="4" customFormat="1" ht="14.25" customHeight="1" x14ac:dyDescent="0.25">
      <c r="A2630" s="4" t="s">
        <v>4365</v>
      </c>
      <c r="B2630" s="4" t="s">
        <v>13</v>
      </c>
      <c r="C2630" s="4" t="s">
        <v>14</v>
      </c>
      <c r="D2630" s="35">
        <v>10223</v>
      </c>
      <c r="E2630" s="4" t="s">
        <v>4366</v>
      </c>
      <c r="F2630" s="5">
        <v>41142</v>
      </c>
      <c r="G2630" s="5">
        <v>41267</v>
      </c>
      <c r="H2630" s="4" t="s">
        <v>392</v>
      </c>
      <c r="I2630" s="6">
        <v>392117.85</v>
      </c>
      <c r="J2630" s="6">
        <v>117635.36</v>
      </c>
      <c r="K2630" s="37" t="s">
        <v>4318</v>
      </c>
      <c r="L2630" s="119"/>
      <c r="M2630" s="3"/>
    </row>
    <row r="2631" spans="1:13" s="4" customFormat="1" ht="14.25" customHeight="1" x14ac:dyDescent="0.25">
      <c r="A2631" s="4" t="s">
        <v>4367</v>
      </c>
      <c r="B2631" s="4" t="s">
        <v>50</v>
      </c>
      <c r="C2631" s="4" t="s">
        <v>14</v>
      </c>
      <c r="D2631" s="35">
        <v>2120</v>
      </c>
      <c r="E2631" s="4" t="s">
        <v>4368</v>
      </c>
      <c r="F2631" s="5">
        <v>39146</v>
      </c>
      <c r="G2631" s="5">
        <v>39637</v>
      </c>
      <c r="H2631" s="4" t="s">
        <v>40</v>
      </c>
      <c r="I2631" s="6">
        <v>6758</v>
      </c>
      <c r="J2631" s="6">
        <v>3379</v>
      </c>
      <c r="K2631" s="37" t="s">
        <v>4318</v>
      </c>
      <c r="L2631" s="119"/>
      <c r="M2631" s="3"/>
    </row>
    <row r="2632" spans="1:13" s="4" customFormat="1" ht="14.25" customHeight="1" x14ac:dyDescent="0.25">
      <c r="A2632" s="4" t="s">
        <v>4369</v>
      </c>
      <c r="B2632" s="4" t="s">
        <v>59</v>
      </c>
      <c r="C2632" s="4" t="s">
        <v>14</v>
      </c>
      <c r="D2632" s="35">
        <v>2121</v>
      </c>
      <c r="E2632" s="4" t="s">
        <v>4370</v>
      </c>
      <c r="F2632" s="5">
        <v>39146</v>
      </c>
      <c r="G2632" s="5">
        <v>39434</v>
      </c>
      <c r="H2632" s="4" t="s">
        <v>40</v>
      </c>
      <c r="I2632" s="6">
        <v>1250</v>
      </c>
      <c r="J2632" s="6">
        <v>1250</v>
      </c>
      <c r="K2632" s="37" t="s">
        <v>4318</v>
      </c>
      <c r="L2632" s="119"/>
      <c r="M2632" s="3"/>
    </row>
    <row r="2633" spans="1:13" s="4" customFormat="1" ht="14.25" customHeight="1" x14ac:dyDescent="0.25">
      <c r="A2633" s="4" t="s">
        <v>4371</v>
      </c>
      <c r="B2633" s="4" t="s">
        <v>50</v>
      </c>
      <c r="C2633" s="4" t="s">
        <v>14</v>
      </c>
      <c r="D2633" s="35">
        <v>2122</v>
      </c>
      <c r="E2633" s="4" t="s">
        <v>4372</v>
      </c>
      <c r="F2633" s="5">
        <v>39146</v>
      </c>
      <c r="G2633" s="5">
        <v>39239</v>
      </c>
      <c r="H2633" s="4" t="s">
        <v>40</v>
      </c>
      <c r="I2633" s="6">
        <v>8000</v>
      </c>
      <c r="J2633" s="6">
        <v>4000</v>
      </c>
      <c r="K2633" s="37" t="s">
        <v>4318</v>
      </c>
      <c r="L2633" s="119"/>
      <c r="M2633" s="3"/>
    </row>
    <row r="2634" spans="1:13" s="4" customFormat="1" ht="14.25" customHeight="1" x14ac:dyDescent="0.25">
      <c r="A2634" s="4" t="s">
        <v>4373</v>
      </c>
      <c r="B2634" s="4" t="s">
        <v>59</v>
      </c>
      <c r="C2634" s="4" t="s">
        <v>14</v>
      </c>
      <c r="D2634" s="35">
        <v>2123</v>
      </c>
      <c r="E2634" s="4" t="s">
        <v>4374</v>
      </c>
      <c r="F2634" s="5">
        <v>39146</v>
      </c>
      <c r="G2634" s="5">
        <v>39458</v>
      </c>
      <c r="H2634" s="4" t="s">
        <v>40</v>
      </c>
      <c r="I2634" s="6">
        <v>3000</v>
      </c>
      <c r="J2634" s="6">
        <v>3000</v>
      </c>
      <c r="K2634" s="37" t="s">
        <v>4318</v>
      </c>
      <c r="L2634" s="119"/>
      <c r="M2634" s="3"/>
    </row>
    <row r="2635" spans="1:13" s="4" customFormat="1" ht="14.25" customHeight="1" x14ac:dyDescent="0.25">
      <c r="A2635" s="4" t="s">
        <v>4375</v>
      </c>
      <c r="B2635" s="4" t="s">
        <v>50</v>
      </c>
      <c r="C2635" s="4" t="s">
        <v>14</v>
      </c>
      <c r="D2635" s="35">
        <v>2124</v>
      </c>
      <c r="E2635" s="4" t="s">
        <v>4376</v>
      </c>
      <c r="F2635" s="5">
        <v>39146</v>
      </c>
      <c r="G2635" s="5">
        <v>39328</v>
      </c>
      <c r="H2635" s="4" t="s">
        <v>40</v>
      </c>
      <c r="I2635" s="6">
        <v>11240</v>
      </c>
      <c r="J2635" s="6">
        <v>5620</v>
      </c>
      <c r="K2635" s="37" t="s">
        <v>4318</v>
      </c>
      <c r="L2635" s="119"/>
      <c r="M2635" s="3"/>
    </row>
    <row r="2636" spans="1:13" s="4" customFormat="1" ht="14.25" customHeight="1" x14ac:dyDescent="0.25">
      <c r="A2636" s="4" t="s">
        <v>4377</v>
      </c>
      <c r="B2636" s="4" t="s">
        <v>50</v>
      </c>
      <c r="C2636" s="4" t="s">
        <v>14</v>
      </c>
      <c r="D2636" s="35">
        <v>2126</v>
      </c>
      <c r="E2636" s="4" t="s">
        <v>4378</v>
      </c>
      <c r="F2636" s="5">
        <v>39146</v>
      </c>
      <c r="G2636" s="5">
        <v>39548</v>
      </c>
      <c r="H2636" s="4" t="s">
        <v>40</v>
      </c>
      <c r="I2636" s="6">
        <v>40000</v>
      </c>
      <c r="J2636" s="6">
        <v>20000</v>
      </c>
      <c r="K2636" s="37" t="s">
        <v>4318</v>
      </c>
      <c r="L2636" s="119"/>
      <c r="M2636" s="3"/>
    </row>
    <row r="2637" spans="1:13" s="4" customFormat="1" ht="14.25" customHeight="1" x14ac:dyDescent="0.25">
      <c r="A2637" s="4" t="s">
        <v>4379</v>
      </c>
      <c r="B2637" s="4" t="s">
        <v>59</v>
      </c>
      <c r="C2637" s="4" t="s">
        <v>14</v>
      </c>
      <c r="D2637" s="35">
        <v>2132</v>
      </c>
      <c r="E2637" s="4" t="s">
        <v>4380</v>
      </c>
      <c r="F2637" s="5">
        <v>39146</v>
      </c>
      <c r="G2637" s="5">
        <v>39829</v>
      </c>
      <c r="H2637" s="4" t="s">
        <v>40</v>
      </c>
      <c r="I2637" s="6">
        <v>15000</v>
      </c>
      <c r="J2637" s="6">
        <v>15000</v>
      </c>
      <c r="K2637" s="37" t="s">
        <v>4318</v>
      </c>
      <c r="L2637" s="119"/>
      <c r="M2637" s="3"/>
    </row>
    <row r="2638" spans="1:13" s="4" customFormat="1" ht="14.25" customHeight="1" x14ac:dyDescent="0.25">
      <c r="A2638" s="4" t="s">
        <v>4381</v>
      </c>
      <c r="B2638" s="4" t="s">
        <v>59</v>
      </c>
      <c r="C2638" s="4" t="s">
        <v>14</v>
      </c>
      <c r="D2638" s="35">
        <v>2133</v>
      </c>
      <c r="E2638" s="4" t="s">
        <v>4382</v>
      </c>
      <c r="F2638" s="5">
        <v>39146</v>
      </c>
      <c r="G2638" s="5">
        <v>39358</v>
      </c>
      <c r="H2638" s="4" t="s">
        <v>40</v>
      </c>
      <c r="I2638" s="6">
        <v>7500</v>
      </c>
      <c r="J2638" s="6">
        <v>7500</v>
      </c>
      <c r="K2638" s="37" t="s">
        <v>4318</v>
      </c>
      <c r="L2638" s="119"/>
      <c r="M2638" s="3"/>
    </row>
    <row r="2639" spans="1:13" s="4" customFormat="1" ht="14.25" customHeight="1" x14ac:dyDescent="0.25">
      <c r="A2639" s="4" t="s">
        <v>4383</v>
      </c>
      <c r="B2639" s="4" t="s">
        <v>90</v>
      </c>
      <c r="C2639" s="4" t="s">
        <v>14</v>
      </c>
      <c r="D2639" s="35">
        <v>2135</v>
      </c>
      <c r="E2639" s="4" t="s">
        <v>4384</v>
      </c>
      <c r="F2639" s="5">
        <v>39202</v>
      </c>
      <c r="G2639" s="5">
        <v>39444</v>
      </c>
      <c r="H2639" s="4" t="s">
        <v>40</v>
      </c>
      <c r="I2639" s="6">
        <v>5100</v>
      </c>
      <c r="J2639" s="6">
        <v>2550</v>
      </c>
      <c r="K2639" s="37" t="s">
        <v>4318</v>
      </c>
      <c r="L2639" s="119"/>
      <c r="M2639" s="3"/>
    </row>
    <row r="2640" spans="1:13" s="4" customFormat="1" ht="14.25" customHeight="1" x14ac:dyDescent="0.25">
      <c r="A2640" s="4" t="s">
        <v>4385</v>
      </c>
      <c r="B2640" s="4" t="s">
        <v>59</v>
      </c>
      <c r="C2640" s="4" t="s">
        <v>14</v>
      </c>
      <c r="D2640" s="35">
        <v>2136</v>
      </c>
      <c r="E2640" s="4" t="s">
        <v>4386</v>
      </c>
      <c r="F2640" s="5">
        <v>39202</v>
      </c>
      <c r="G2640" s="5">
        <v>39475</v>
      </c>
      <c r="H2640" s="4" t="s">
        <v>40</v>
      </c>
      <c r="I2640" s="6">
        <v>22500</v>
      </c>
      <c r="J2640" s="6">
        <v>22500</v>
      </c>
      <c r="K2640" s="37" t="s">
        <v>4318</v>
      </c>
      <c r="L2640" s="119"/>
      <c r="M2640" s="3"/>
    </row>
    <row r="2641" spans="1:13" s="4" customFormat="1" ht="14.25" customHeight="1" x14ac:dyDescent="0.25">
      <c r="A2641" s="4" t="s">
        <v>4387</v>
      </c>
      <c r="B2641" s="4" t="s">
        <v>90</v>
      </c>
      <c r="C2641" s="4" t="s">
        <v>14</v>
      </c>
      <c r="D2641" s="35">
        <v>2138</v>
      </c>
      <c r="E2641" s="4" t="s">
        <v>4388</v>
      </c>
      <c r="F2641" s="5">
        <v>39202</v>
      </c>
      <c r="G2641" s="5">
        <v>39415</v>
      </c>
      <c r="H2641" s="4" t="s">
        <v>40</v>
      </c>
      <c r="I2641" s="6">
        <v>3620</v>
      </c>
      <c r="J2641" s="6">
        <v>1810</v>
      </c>
      <c r="K2641" s="37" t="s">
        <v>4318</v>
      </c>
      <c r="L2641" s="119"/>
      <c r="M2641" s="3"/>
    </row>
    <row r="2642" spans="1:13" s="4" customFormat="1" ht="14.25" customHeight="1" x14ac:dyDescent="0.25">
      <c r="A2642" s="4" t="s">
        <v>4389</v>
      </c>
      <c r="B2642" s="4" t="s">
        <v>59</v>
      </c>
      <c r="C2642" s="4" t="s">
        <v>14</v>
      </c>
      <c r="D2642" s="35">
        <v>2139</v>
      </c>
      <c r="E2642" s="4" t="s">
        <v>4390</v>
      </c>
      <c r="F2642" s="5">
        <v>39202</v>
      </c>
      <c r="G2642" s="5">
        <v>39568</v>
      </c>
      <c r="H2642" s="4" t="s">
        <v>40</v>
      </c>
      <c r="I2642" s="6">
        <v>4994</v>
      </c>
      <c r="J2642" s="6">
        <v>4994</v>
      </c>
      <c r="K2642" s="37" t="s">
        <v>4318</v>
      </c>
      <c r="L2642" s="119"/>
      <c r="M2642" s="3"/>
    </row>
    <row r="2643" spans="1:13" s="4" customFormat="1" ht="14.25" customHeight="1" x14ac:dyDescent="0.25">
      <c r="A2643" s="4" t="s">
        <v>4391</v>
      </c>
      <c r="B2643" s="4" t="s">
        <v>59</v>
      </c>
      <c r="C2643" s="4" t="s">
        <v>14</v>
      </c>
      <c r="D2643" s="35">
        <v>2142</v>
      </c>
      <c r="E2643" s="4" t="s">
        <v>4392</v>
      </c>
      <c r="F2643" s="5">
        <v>39202</v>
      </c>
      <c r="G2643" s="5">
        <v>39415</v>
      </c>
      <c r="H2643" s="4" t="s">
        <v>40</v>
      </c>
      <c r="I2643" s="6">
        <v>7500</v>
      </c>
      <c r="J2643" s="6">
        <v>7500</v>
      </c>
      <c r="K2643" s="37" t="s">
        <v>4318</v>
      </c>
      <c r="L2643" s="119"/>
      <c r="M2643" s="3"/>
    </row>
    <row r="2644" spans="1:13" s="4" customFormat="1" ht="14.25" customHeight="1" x14ac:dyDescent="0.25">
      <c r="A2644" s="4" t="s">
        <v>4393</v>
      </c>
      <c r="B2644" s="4" t="s">
        <v>59</v>
      </c>
      <c r="C2644" s="4" t="s">
        <v>14</v>
      </c>
      <c r="D2644" s="35">
        <v>2144</v>
      </c>
      <c r="E2644" s="4" t="s">
        <v>4394</v>
      </c>
      <c r="F2644" s="5">
        <v>39202</v>
      </c>
      <c r="G2644" s="5">
        <v>39563</v>
      </c>
      <c r="H2644" s="4" t="s">
        <v>40</v>
      </c>
      <c r="I2644" s="6">
        <v>7500</v>
      </c>
      <c r="J2644" s="6">
        <v>7500</v>
      </c>
      <c r="K2644" s="37" t="s">
        <v>4318</v>
      </c>
      <c r="L2644" s="119"/>
      <c r="M2644" s="3"/>
    </row>
    <row r="2645" spans="1:13" s="4" customFormat="1" ht="14.25" customHeight="1" x14ac:dyDescent="0.25">
      <c r="A2645" s="4" t="s">
        <v>4395</v>
      </c>
      <c r="B2645" s="4" t="s">
        <v>59</v>
      </c>
      <c r="C2645" s="4" t="s">
        <v>14</v>
      </c>
      <c r="D2645" s="35">
        <v>2145</v>
      </c>
      <c r="E2645" s="4" t="s">
        <v>4396</v>
      </c>
      <c r="F2645" s="5">
        <v>39258</v>
      </c>
      <c r="G2645" s="5">
        <v>39554</v>
      </c>
      <c r="H2645" s="4" t="s">
        <v>40</v>
      </c>
      <c r="I2645" s="6">
        <v>22500</v>
      </c>
      <c r="J2645" s="6">
        <v>22500</v>
      </c>
      <c r="K2645" s="37" t="s">
        <v>4318</v>
      </c>
      <c r="L2645" s="119"/>
      <c r="M2645" s="3"/>
    </row>
    <row r="2646" spans="1:13" s="4" customFormat="1" ht="14.25" customHeight="1" x14ac:dyDescent="0.25">
      <c r="A2646" s="4" t="s">
        <v>4397</v>
      </c>
      <c r="B2646" s="4" t="s">
        <v>50</v>
      </c>
      <c r="C2646" s="4" t="s">
        <v>14</v>
      </c>
      <c r="D2646" s="35">
        <v>2146</v>
      </c>
      <c r="E2646" s="4" t="s">
        <v>4398</v>
      </c>
      <c r="F2646" s="5">
        <v>39258</v>
      </c>
      <c r="G2646" s="5">
        <v>39440</v>
      </c>
      <c r="H2646" s="4" t="s">
        <v>40</v>
      </c>
      <c r="I2646" s="6">
        <v>14000</v>
      </c>
      <c r="J2646" s="6">
        <v>7000</v>
      </c>
      <c r="K2646" s="37" t="s">
        <v>4318</v>
      </c>
      <c r="L2646" s="119"/>
      <c r="M2646" s="3"/>
    </row>
    <row r="2647" spans="1:13" s="4" customFormat="1" ht="14.25" customHeight="1" x14ac:dyDescent="0.25">
      <c r="A2647" s="4" t="s">
        <v>4399</v>
      </c>
      <c r="B2647" s="4" t="s">
        <v>50</v>
      </c>
      <c r="C2647" s="4" t="s">
        <v>14</v>
      </c>
      <c r="D2647" s="35">
        <v>2148</v>
      </c>
      <c r="E2647" s="4" t="s">
        <v>4400</v>
      </c>
      <c r="F2647" s="5">
        <v>39322</v>
      </c>
      <c r="G2647" s="5">
        <v>39504</v>
      </c>
      <c r="H2647" s="4" t="s">
        <v>40</v>
      </c>
      <c r="I2647" s="6">
        <v>6962.86</v>
      </c>
      <c r="J2647" s="6">
        <v>3481.43</v>
      </c>
      <c r="K2647" s="37" t="s">
        <v>4318</v>
      </c>
      <c r="L2647" s="119"/>
      <c r="M2647" s="3"/>
    </row>
    <row r="2648" spans="1:13" s="4" customFormat="1" ht="14.25" customHeight="1" x14ac:dyDescent="0.25">
      <c r="A2648" s="4" t="s">
        <v>4401</v>
      </c>
      <c r="B2648" s="4" t="s">
        <v>50</v>
      </c>
      <c r="C2648" s="4" t="s">
        <v>14</v>
      </c>
      <c r="D2648" s="35">
        <v>2150</v>
      </c>
      <c r="E2648" s="4" t="s">
        <v>4402</v>
      </c>
      <c r="F2648" s="5">
        <v>39322</v>
      </c>
      <c r="G2648" s="5">
        <v>39805</v>
      </c>
      <c r="H2648" s="4" t="s">
        <v>40</v>
      </c>
      <c r="I2648" s="6">
        <v>80000</v>
      </c>
      <c r="J2648" s="6">
        <v>40000</v>
      </c>
      <c r="K2648" s="37" t="s">
        <v>4318</v>
      </c>
      <c r="L2648" s="119"/>
      <c r="M2648" s="3"/>
    </row>
    <row r="2649" spans="1:13" s="4" customFormat="1" ht="14.25" customHeight="1" x14ac:dyDescent="0.25">
      <c r="A2649" s="4" t="s">
        <v>4403</v>
      </c>
      <c r="B2649" s="4" t="s">
        <v>90</v>
      </c>
      <c r="C2649" s="4" t="s">
        <v>14</v>
      </c>
      <c r="D2649" s="35">
        <v>2151</v>
      </c>
      <c r="E2649" s="4" t="s">
        <v>4404</v>
      </c>
      <c r="F2649" s="5">
        <v>39322</v>
      </c>
      <c r="G2649" s="5">
        <v>39420</v>
      </c>
      <c r="H2649" s="4" t="s">
        <v>40</v>
      </c>
      <c r="I2649" s="6">
        <v>7000</v>
      </c>
      <c r="J2649" s="6">
        <v>3500</v>
      </c>
      <c r="K2649" s="37" t="s">
        <v>4318</v>
      </c>
      <c r="L2649" s="119"/>
      <c r="M2649" s="3"/>
    </row>
    <row r="2650" spans="1:13" s="4" customFormat="1" ht="14.25" customHeight="1" x14ac:dyDescent="0.25">
      <c r="A2650" s="4" t="s">
        <v>4405</v>
      </c>
      <c r="B2650" s="4" t="s">
        <v>90</v>
      </c>
      <c r="C2650" s="4" t="s">
        <v>14</v>
      </c>
      <c r="D2650" s="35">
        <v>2152</v>
      </c>
      <c r="E2650" s="4" t="s">
        <v>4406</v>
      </c>
      <c r="F2650" s="5">
        <v>39377</v>
      </c>
      <c r="G2650" s="5">
        <v>39512</v>
      </c>
      <c r="H2650" s="4" t="s">
        <v>40</v>
      </c>
      <c r="I2650" s="6">
        <v>5000</v>
      </c>
      <c r="J2650" s="6">
        <v>2500</v>
      </c>
      <c r="K2650" s="37" t="s">
        <v>4318</v>
      </c>
      <c r="L2650" s="119"/>
      <c r="M2650" s="3"/>
    </row>
    <row r="2651" spans="1:13" s="4" customFormat="1" ht="14.25" customHeight="1" x14ac:dyDescent="0.25">
      <c r="A2651" s="4" t="s">
        <v>4407</v>
      </c>
      <c r="B2651" s="4" t="s">
        <v>50</v>
      </c>
      <c r="C2651" s="4" t="s">
        <v>14</v>
      </c>
      <c r="D2651" s="35">
        <v>2153</v>
      </c>
      <c r="E2651" s="4" t="s">
        <v>4408</v>
      </c>
      <c r="F2651" s="5">
        <v>39475</v>
      </c>
      <c r="G2651" s="5">
        <v>39675</v>
      </c>
      <c r="H2651" s="4" t="s">
        <v>40</v>
      </c>
      <c r="I2651" s="6">
        <v>40000</v>
      </c>
      <c r="J2651" s="6">
        <v>20000</v>
      </c>
      <c r="K2651" s="37" t="s">
        <v>4318</v>
      </c>
      <c r="L2651" s="119"/>
      <c r="M2651" s="3"/>
    </row>
    <row r="2652" spans="1:13" s="4" customFormat="1" ht="14.25" customHeight="1" x14ac:dyDescent="0.25">
      <c r="A2652" s="4" t="s">
        <v>4409</v>
      </c>
      <c r="B2652" s="4" t="s">
        <v>90</v>
      </c>
      <c r="C2652" s="4" t="s">
        <v>14</v>
      </c>
      <c r="D2652" s="35">
        <v>2156</v>
      </c>
      <c r="E2652" s="4" t="s">
        <v>4410</v>
      </c>
      <c r="F2652" s="5">
        <v>39475</v>
      </c>
      <c r="G2652" s="5">
        <v>39679</v>
      </c>
      <c r="H2652" s="4" t="s">
        <v>40</v>
      </c>
      <c r="I2652" s="6">
        <v>6260.94</v>
      </c>
      <c r="J2652" s="6">
        <v>3130.47</v>
      </c>
      <c r="K2652" s="37" t="s">
        <v>4318</v>
      </c>
      <c r="L2652" s="119"/>
      <c r="M2652" s="3"/>
    </row>
    <row r="2653" spans="1:13" s="4" customFormat="1" ht="14.25" customHeight="1" x14ac:dyDescent="0.25">
      <c r="A2653" s="4" t="s">
        <v>4411</v>
      </c>
      <c r="B2653" s="4" t="s">
        <v>59</v>
      </c>
      <c r="C2653" s="4" t="s">
        <v>14</v>
      </c>
      <c r="D2653" s="35">
        <v>2157</v>
      </c>
      <c r="E2653" s="4" t="s">
        <v>4412</v>
      </c>
      <c r="F2653" s="5">
        <v>39475</v>
      </c>
      <c r="G2653" s="5">
        <v>39805</v>
      </c>
      <c r="H2653" s="4" t="s">
        <v>40</v>
      </c>
      <c r="I2653" s="6">
        <v>15000</v>
      </c>
      <c r="J2653" s="6">
        <v>15000</v>
      </c>
      <c r="K2653" s="37" t="s">
        <v>4318</v>
      </c>
      <c r="L2653" s="119"/>
      <c r="M2653" s="3"/>
    </row>
    <row r="2654" spans="1:13" s="4" customFormat="1" ht="14.25" customHeight="1" x14ac:dyDescent="0.25">
      <c r="A2654" s="4" t="s">
        <v>4413</v>
      </c>
      <c r="B2654" s="4" t="s">
        <v>50</v>
      </c>
      <c r="C2654" s="4" t="s">
        <v>14</v>
      </c>
      <c r="D2654" s="35">
        <v>2184</v>
      </c>
      <c r="E2654" s="4" t="s">
        <v>4414</v>
      </c>
      <c r="F2654" s="5">
        <v>39475</v>
      </c>
      <c r="G2654" s="5">
        <v>39749</v>
      </c>
      <c r="H2654" s="4" t="s">
        <v>40</v>
      </c>
      <c r="I2654" s="6">
        <v>13762.5</v>
      </c>
      <c r="J2654" s="6">
        <v>6881.25</v>
      </c>
      <c r="K2654" s="37" t="s">
        <v>4318</v>
      </c>
      <c r="L2654" s="119"/>
      <c r="M2654" s="3"/>
    </row>
    <row r="2655" spans="1:13" s="4" customFormat="1" ht="14.25" customHeight="1" x14ac:dyDescent="0.25">
      <c r="A2655" s="4" t="s">
        <v>4415</v>
      </c>
      <c r="B2655" s="4" t="s">
        <v>50</v>
      </c>
      <c r="C2655" s="4" t="s">
        <v>14</v>
      </c>
      <c r="D2655" s="35">
        <v>2186</v>
      </c>
      <c r="E2655" s="4" t="s">
        <v>4416</v>
      </c>
      <c r="F2655" s="5">
        <v>39475</v>
      </c>
      <c r="G2655" s="5">
        <v>39681</v>
      </c>
      <c r="H2655" s="4" t="s">
        <v>40</v>
      </c>
      <c r="I2655" s="6">
        <v>14000</v>
      </c>
      <c r="J2655" s="6">
        <v>7000</v>
      </c>
      <c r="K2655" s="37" t="s">
        <v>4318</v>
      </c>
      <c r="L2655" s="119"/>
      <c r="M2655" s="3"/>
    </row>
    <row r="2656" spans="1:13" s="4" customFormat="1" ht="14.25" customHeight="1" x14ac:dyDescent="0.25">
      <c r="A2656" s="4" t="s">
        <v>4417</v>
      </c>
      <c r="B2656" s="4" t="s">
        <v>50</v>
      </c>
      <c r="C2656" s="4" t="s">
        <v>14</v>
      </c>
      <c r="D2656" s="35">
        <v>2187</v>
      </c>
      <c r="E2656" s="4" t="s">
        <v>4418</v>
      </c>
      <c r="F2656" s="5">
        <v>39475</v>
      </c>
      <c r="G2656" s="5">
        <v>39675</v>
      </c>
      <c r="H2656" s="4" t="s">
        <v>40</v>
      </c>
      <c r="I2656" s="6">
        <v>10760</v>
      </c>
      <c r="J2656" s="6">
        <v>5380</v>
      </c>
      <c r="K2656" s="37" t="s">
        <v>4318</v>
      </c>
      <c r="L2656" s="119"/>
      <c r="M2656" s="3"/>
    </row>
    <row r="2657" spans="1:13" s="4" customFormat="1" ht="14.25" customHeight="1" x14ac:dyDescent="0.25">
      <c r="A2657" s="4" t="s">
        <v>4419</v>
      </c>
      <c r="B2657" s="4" t="s">
        <v>50</v>
      </c>
      <c r="C2657" s="4" t="s">
        <v>14</v>
      </c>
      <c r="D2657" s="35">
        <v>2189</v>
      </c>
      <c r="E2657" s="4" t="s">
        <v>4420</v>
      </c>
      <c r="F2657" s="5">
        <v>39475</v>
      </c>
      <c r="G2657" s="5">
        <v>39765</v>
      </c>
      <c r="H2657" s="4" t="s">
        <v>40</v>
      </c>
      <c r="I2657" s="6">
        <v>100000</v>
      </c>
      <c r="J2657" s="6">
        <v>50000</v>
      </c>
      <c r="K2657" s="37" t="s">
        <v>4318</v>
      </c>
      <c r="L2657" s="119"/>
      <c r="M2657" s="3"/>
    </row>
    <row r="2658" spans="1:13" s="4" customFormat="1" ht="14.25" customHeight="1" x14ac:dyDescent="0.25">
      <c r="A2658" s="4" t="s">
        <v>4421</v>
      </c>
      <c r="B2658" s="4" t="s">
        <v>59</v>
      </c>
      <c r="C2658" s="4" t="s">
        <v>14</v>
      </c>
      <c r="D2658" s="35">
        <v>2200</v>
      </c>
      <c r="E2658" s="4" t="s">
        <v>4422</v>
      </c>
      <c r="F2658" s="5">
        <v>39475</v>
      </c>
      <c r="G2658" s="5">
        <v>39731</v>
      </c>
      <c r="H2658" s="4" t="s">
        <v>40</v>
      </c>
      <c r="I2658" s="6">
        <v>3750</v>
      </c>
      <c r="J2658" s="6">
        <v>3750</v>
      </c>
      <c r="K2658" s="37" t="s">
        <v>4318</v>
      </c>
      <c r="L2658" s="119"/>
      <c r="M2658" s="3"/>
    </row>
    <row r="2659" spans="1:13" s="4" customFormat="1" ht="14.25" customHeight="1" x14ac:dyDescent="0.25">
      <c r="A2659" s="4" t="s">
        <v>4423</v>
      </c>
      <c r="B2659" s="4" t="s">
        <v>59</v>
      </c>
      <c r="C2659" s="4" t="s">
        <v>14</v>
      </c>
      <c r="D2659" s="35">
        <v>2202</v>
      </c>
      <c r="E2659" s="4" t="s">
        <v>4424</v>
      </c>
      <c r="F2659" s="5">
        <v>39538</v>
      </c>
      <c r="G2659" s="5">
        <v>39792</v>
      </c>
      <c r="H2659" s="4" t="s">
        <v>40</v>
      </c>
      <c r="I2659" s="6">
        <v>6770</v>
      </c>
      <c r="J2659" s="6">
        <v>6770</v>
      </c>
      <c r="K2659" s="37" t="s">
        <v>4318</v>
      </c>
      <c r="L2659" s="119"/>
      <c r="M2659" s="3"/>
    </row>
    <row r="2660" spans="1:13" s="4" customFormat="1" ht="14.25" customHeight="1" x14ac:dyDescent="0.25">
      <c r="A2660" s="4" t="s">
        <v>4425</v>
      </c>
      <c r="B2660" s="4" t="s">
        <v>50</v>
      </c>
      <c r="C2660" s="4" t="s">
        <v>14</v>
      </c>
      <c r="D2660" s="35">
        <v>2203</v>
      </c>
      <c r="E2660" s="4" t="s">
        <v>4426</v>
      </c>
      <c r="F2660" s="5">
        <v>39538</v>
      </c>
      <c r="G2660" s="5">
        <v>39769</v>
      </c>
      <c r="H2660" s="4" t="s">
        <v>40</v>
      </c>
      <c r="I2660" s="6">
        <v>30000</v>
      </c>
      <c r="J2660" s="6">
        <v>15000</v>
      </c>
      <c r="K2660" s="37" t="s">
        <v>4318</v>
      </c>
      <c r="L2660" s="119"/>
      <c r="M2660" s="3"/>
    </row>
    <row r="2661" spans="1:13" s="4" customFormat="1" ht="14.25" customHeight="1" x14ac:dyDescent="0.25">
      <c r="A2661" s="4" t="s">
        <v>4427</v>
      </c>
      <c r="B2661" s="4" t="s">
        <v>50</v>
      </c>
      <c r="C2661" s="4" t="s">
        <v>14</v>
      </c>
      <c r="D2661" s="35">
        <v>2204</v>
      </c>
      <c r="E2661" s="4" t="s">
        <v>4428</v>
      </c>
      <c r="F2661" s="5">
        <v>39538</v>
      </c>
      <c r="G2661" s="5">
        <v>39848</v>
      </c>
      <c r="H2661" s="4" t="s">
        <v>40</v>
      </c>
      <c r="I2661" s="6">
        <v>30000</v>
      </c>
      <c r="J2661" s="6">
        <v>15000</v>
      </c>
      <c r="K2661" s="37" t="s">
        <v>4318</v>
      </c>
      <c r="L2661" s="119"/>
      <c r="M2661" s="3"/>
    </row>
    <row r="2662" spans="1:13" s="4" customFormat="1" ht="14.25" customHeight="1" x14ac:dyDescent="0.25">
      <c r="A2662" s="4" t="s">
        <v>4429</v>
      </c>
      <c r="B2662" s="4" t="s">
        <v>59</v>
      </c>
      <c r="C2662" s="4" t="s">
        <v>14</v>
      </c>
      <c r="D2662" s="35">
        <v>2205</v>
      </c>
      <c r="E2662" s="4" t="s">
        <v>4430</v>
      </c>
      <c r="F2662" s="5">
        <v>39538</v>
      </c>
      <c r="G2662" s="5">
        <v>40123</v>
      </c>
      <c r="H2662" s="4" t="s">
        <v>40</v>
      </c>
      <c r="I2662" s="6">
        <v>5000</v>
      </c>
      <c r="J2662" s="6">
        <v>5000</v>
      </c>
      <c r="K2662" s="37" t="s">
        <v>4318</v>
      </c>
      <c r="L2662" s="119"/>
      <c r="M2662" s="3"/>
    </row>
    <row r="2663" spans="1:13" s="4" customFormat="1" ht="14.25" customHeight="1" x14ac:dyDescent="0.25">
      <c r="A2663" s="4" t="s">
        <v>4431</v>
      </c>
      <c r="B2663" s="4" t="s">
        <v>50</v>
      </c>
      <c r="C2663" s="4" t="s">
        <v>14</v>
      </c>
      <c r="D2663" s="35">
        <v>2206</v>
      </c>
      <c r="E2663" s="4" t="s">
        <v>4432</v>
      </c>
      <c r="F2663" s="5">
        <v>39538</v>
      </c>
      <c r="G2663" s="5">
        <v>39685</v>
      </c>
      <c r="H2663" s="4" t="s">
        <v>40</v>
      </c>
      <c r="I2663" s="6">
        <v>30000</v>
      </c>
      <c r="J2663" s="6">
        <v>15000</v>
      </c>
      <c r="K2663" s="37" t="s">
        <v>4318</v>
      </c>
      <c r="L2663" s="119"/>
      <c r="M2663" s="3"/>
    </row>
    <row r="2664" spans="1:13" s="4" customFormat="1" ht="14.25" customHeight="1" x14ac:dyDescent="0.25">
      <c r="A2664" s="4" t="s">
        <v>4433</v>
      </c>
      <c r="B2664" s="4" t="s">
        <v>38</v>
      </c>
      <c r="C2664" s="4" t="s">
        <v>14</v>
      </c>
      <c r="D2664" s="35">
        <v>2534</v>
      </c>
      <c r="E2664" s="4" t="s">
        <v>4434</v>
      </c>
      <c r="F2664" s="5">
        <v>39083</v>
      </c>
      <c r="H2664" s="4" t="s">
        <v>40</v>
      </c>
      <c r="I2664" s="6">
        <f>50539.98+35744.6+19052.37+24529.39+44697.18</f>
        <v>174563.52</v>
      </c>
      <c r="J2664" s="6">
        <f>138818.92+35744.6</f>
        <v>174563.52000000002</v>
      </c>
      <c r="K2664" s="37" t="s">
        <v>4318</v>
      </c>
      <c r="L2664" s="119"/>
      <c r="M2664" s="3"/>
    </row>
    <row r="2665" spans="1:13" s="4" customFormat="1" ht="14.25" customHeight="1" x14ac:dyDescent="0.25">
      <c r="A2665" s="4" t="s">
        <v>4435</v>
      </c>
      <c r="B2665" s="4" t="s">
        <v>38</v>
      </c>
      <c r="C2665" s="4" t="s">
        <v>14</v>
      </c>
      <c r="D2665" s="35">
        <v>2550</v>
      </c>
      <c r="E2665" s="4" t="s">
        <v>4436</v>
      </c>
      <c r="F2665" s="5">
        <v>39083</v>
      </c>
      <c r="H2665" s="4" t="s">
        <v>40</v>
      </c>
      <c r="I2665" s="6">
        <v>361628.41</v>
      </c>
      <c r="J2665" s="6">
        <f>340175.16+21453.25</f>
        <v>361628.41</v>
      </c>
      <c r="K2665" s="37" t="s">
        <v>4318</v>
      </c>
      <c r="L2665" s="119"/>
      <c r="M2665" s="3"/>
    </row>
    <row r="2666" spans="1:13" s="4" customFormat="1" ht="14.25" customHeight="1" x14ac:dyDescent="0.25">
      <c r="A2666" s="4" t="s">
        <v>4437</v>
      </c>
      <c r="B2666" s="4" t="s">
        <v>38</v>
      </c>
      <c r="C2666" s="4" t="s">
        <v>14</v>
      </c>
      <c r="D2666" s="35">
        <v>2552</v>
      </c>
      <c r="E2666" s="4" t="s">
        <v>4438</v>
      </c>
      <c r="F2666" s="5">
        <v>39083</v>
      </c>
      <c r="H2666" s="4" t="s">
        <v>40</v>
      </c>
      <c r="I2666" s="6">
        <f>14700+3778.76+4996.61+1508.01+3363.8</f>
        <v>28347.18</v>
      </c>
      <c r="J2666" s="6">
        <f>23350.57+4996.61</f>
        <v>28347.18</v>
      </c>
      <c r="K2666" s="37" t="s">
        <v>4318</v>
      </c>
      <c r="L2666" s="119"/>
      <c r="M2666" s="3"/>
    </row>
    <row r="2667" spans="1:13" s="4" customFormat="1" ht="14.25" customHeight="1" x14ac:dyDescent="0.25">
      <c r="A2667" s="4" t="s">
        <v>4439</v>
      </c>
      <c r="B2667" s="4" t="s">
        <v>38</v>
      </c>
      <c r="C2667" s="4" t="s">
        <v>14</v>
      </c>
      <c r="D2667" s="35">
        <v>2553</v>
      </c>
      <c r="E2667" s="4" t="s">
        <v>4440</v>
      </c>
      <c r="F2667" s="5">
        <v>39083</v>
      </c>
      <c r="H2667" s="4" t="s">
        <v>40</v>
      </c>
      <c r="I2667" s="6">
        <v>6689</v>
      </c>
      <c r="J2667" s="6">
        <v>6689</v>
      </c>
      <c r="K2667" s="37" t="s">
        <v>4318</v>
      </c>
      <c r="L2667" s="119"/>
      <c r="M2667" s="3"/>
    </row>
    <row r="2668" spans="1:13" s="4" customFormat="1" ht="14.25" customHeight="1" x14ac:dyDescent="0.25">
      <c r="A2668" s="4" t="s">
        <v>4441</v>
      </c>
      <c r="B2668" s="4" t="s">
        <v>38</v>
      </c>
      <c r="C2668" s="4" t="s">
        <v>14</v>
      </c>
      <c r="D2668" s="35">
        <v>2554</v>
      </c>
      <c r="E2668" s="4" t="s">
        <v>4442</v>
      </c>
      <c r="F2668" s="5">
        <v>39083</v>
      </c>
      <c r="H2668" s="4" t="s">
        <v>40</v>
      </c>
      <c r="I2668" s="6">
        <v>74344.59</v>
      </c>
      <c r="J2668" s="6">
        <f>67829.09+6515.5</f>
        <v>74344.59</v>
      </c>
      <c r="K2668" s="37" t="s">
        <v>4318</v>
      </c>
      <c r="L2668" s="119"/>
      <c r="M2668" s="3"/>
    </row>
    <row r="2669" spans="1:13" s="4" customFormat="1" ht="14.25" customHeight="1" x14ac:dyDescent="0.25">
      <c r="A2669" s="4" t="s">
        <v>4443</v>
      </c>
      <c r="B2669" s="4" t="s">
        <v>38</v>
      </c>
      <c r="C2669" s="4" t="s">
        <v>14</v>
      </c>
      <c r="D2669" s="35">
        <v>2555</v>
      </c>
      <c r="E2669" s="7" t="s">
        <v>4444</v>
      </c>
      <c r="F2669" s="5">
        <v>39083</v>
      </c>
      <c r="H2669" s="4" t="s">
        <v>40</v>
      </c>
      <c r="I2669" s="6">
        <v>132468.18</v>
      </c>
      <c r="J2669" s="6">
        <f>128666.18+3802</f>
        <v>132468.18</v>
      </c>
      <c r="K2669" s="37" t="s">
        <v>4318</v>
      </c>
      <c r="L2669" s="119"/>
      <c r="M2669" s="3"/>
    </row>
    <row r="2670" spans="1:13" s="4" customFormat="1" ht="14.25" customHeight="1" x14ac:dyDescent="0.25">
      <c r="A2670" s="4" t="s">
        <v>2284</v>
      </c>
      <c r="B2670" s="4" t="s">
        <v>38</v>
      </c>
      <c r="C2670" s="4" t="s">
        <v>14</v>
      </c>
      <c r="D2670" s="35">
        <v>2556</v>
      </c>
      <c r="E2670" s="4" t="s">
        <v>4445</v>
      </c>
      <c r="F2670" s="5">
        <v>39083</v>
      </c>
      <c r="H2670" s="4" t="s">
        <v>40</v>
      </c>
      <c r="I2670" s="6">
        <f>76764.3+58253.37+55333.88+51410.81+123252.39</f>
        <v>365014.75</v>
      </c>
      <c r="J2670" s="6">
        <f>306761.38+58253.37</f>
        <v>365014.75</v>
      </c>
      <c r="K2670" s="37" t="s">
        <v>4318</v>
      </c>
      <c r="L2670" s="119"/>
      <c r="M2670" s="3"/>
    </row>
    <row r="2671" spans="1:13" s="4" customFormat="1" ht="14.25" customHeight="1" x14ac:dyDescent="0.25">
      <c r="A2671" s="4" t="s">
        <v>4446</v>
      </c>
      <c r="B2671" s="4" t="s">
        <v>38</v>
      </c>
      <c r="C2671" s="4" t="s">
        <v>14</v>
      </c>
      <c r="D2671" s="35">
        <v>2559</v>
      </c>
      <c r="E2671" s="4" t="s">
        <v>4447</v>
      </c>
      <c r="F2671" s="5">
        <v>39083</v>
      </c>
      <c r="H2671" s="4" t="s">
        <v>40</v>
      </c>
      <c r="I2671" s="6">
        <v>74643.03</v>
      </c>
      <c r="J2671" s="6">
        <v>74643.03</v>
      </c>
      <c r="K2671" s="37" t="s">
        <v>4318</v>
      </c>
      <c r="L2671" s="119"/>
      <c r="M2671" s="3"/>
    </row>
    <row r="2672" spans="1:13" s="4" customFormat="1" ht="14.25" customHeight="1" x14ac:dyDescent="0.25">
      <c r="A2672" s="4" t="s">
        <v>4448</v>
      </c>
      <c r="B2672" s="4" t="s">
        <v>38</v>
      </c>
      <c r="C2672" s="4" t="s">
        <v>14</v>
      </c>
      <c r="D2672" s="35">
        <v>2560</v>
      </c>
      <c r="E2672" s="4" t="s">
        <v>4449</v>
      </c>
      <c r="F2672" s="5">
        <v>39083</v>
      </c>
      <c r="H2672" s="4" t="s">
        <v>40</v>
      </c>
      <c r="I2672" s="6">
        <v>76254.67</v>
      </c>
      <c r="J2672" s="6">
        <v>76254.67</v>
      </c>
      <c r="K2672" s="37" t="s">
        <v>4318</v>
      </c>
      <c r="L2672" s="119"/>
      <c r="M2672" s="3"/>
    </row>
    <row r="2673" spans="1:13" s="4" customFormat="1" ht="14.25" customHeight="1" x14ac:dyDescent="0.25">
      <c r="A2673" s="4" t="s">
        <v>4450</v>
      </c>
      <c r="B2673" s="4" t="s">
        <v>38</v>
      </c>
      <c r="C2673" s="4" t="s">
        <v>14</v>
      </c>
      <c r="D2673" s="35">
        <v>2563</v>
      </c>
      <c r="E2673" s="4" t="s">
        <v>4451</v>
      </c>
      <c r="F2673" s="5">
        <v>39083</v>
      </c>
      <c r="H2673" s="4" t="s">
        <v>40</v>
      </c>
      <c r="I2673" s="6">
        <f>46410+24955+2300+2975+4730</f>
        <v>81370</v>
      </c>
      <c r="J2673" s="6">
        <f>78395+2975</f>
        <v>81370</v>
      </c>
      <c r="K2673" s="37" t="s">
        <v>4318</v>
      </c>
      <c r="L2673" s="119"/>
      <c r="M2673" s="3"/>
    </row>
    <row r="2674" spans="1:13" s="4" customFormat="1" ht="14.25" customHeight="1" x14ac:dyDescent="0.25">
      <c r="A2674" s="4" t="s">
        <v>4452</v>
      </c>
      <c r="B2674" s="4" t="s">
        <v>38</v>
      </c>
      <c r="C2674" s="4" t="s">
        <v>14</v>
      </c>
      <c r="D2674" s="35">
        <v>2564</v>
      </c>
      <c r="E2674" s="4" t="s">
        <v>4453</v>
      </c>
      <c r="F2674" s="5">
        <v>39083</v>
      </c>
      <c r="H2674" s="4" t="s">
        <v>40</v>
      </c>
      <c r="I2674" s="6">
        <v>3359.06</v>
      </c>
      <c r="J2674" s="6">
        <v>3359.06</v>
      </c>
      <c r="K2674" s="37" t="s">
        <v>4318</v>
      </c>
      <c r="L2674" s="119"/>
      <c r="M2674" s="3"/>
    </row>
    <row r="2675" spans="1:13" s="4" customFormat="1" ht="14.25" customHeight="1" x14ac:dyDescent="0.25">
      <c r="A2675" s="4" t="s">
        <v>4454</v>
      </c>
      <c r="B2675" s="4" t="s">
        <v>38</v>
      </c>
      <c r="C2675" s="4" t="s">
        <v>14</v>
      </c>
      <c r="D2675" s="35">
        <v>2565</v>
      </c>
      <c r="E2675" s="4" t="s">
        <v>4455</v>
      </c>
      <c r="F2675" s="5">
        <v>39083</v>
      </c>
      <c r="H2675" s="4" t="s">
        <v>40</v>
      </c>
      <c r="I2675" s="6">
        <v>36319.67</v>
      </c>
      <c r="J2675" s="6">
        <f>33387.67+2932</f>
        <v>36319.67</v>
      </c>
      <c r="K2675" s="37" t="s">
        <v>4318</v>
      </c>
      <c r="L2675" s="119"/>
      <c r="M2675" s="3"/>
    </row>
    <row r="2676" spans="1:13" s="4" customFormat="1" ht="14.25" customHeight="1" x14ac:dyDescent="0.25">
      <c r="A2676" s="4" t="s">
        <v>4456</v>
      </c>
      <c r="B2676" s="4" t="s">
        <v>38</v>
      </c>
      <c r="C2676" s="4" t="s">
        <v>14</v>
      </c>
      <c r="D2676" s="35">
        <v>2568</v>
      </c>
      <c r="E2676" s="4" t="s">
        <v>108</v>
      </c>
      <c r="F2676" s="5">
        <v>39083</v>
      </c>
      <c r="H2676" s="4" t="s">
        <v>40</v>
      </c>
      <c r="I2676" s="6">
        <v>312282.56</v>
      </c>
      <c r="J2676" s="6">
        <f>274611.61+37670.95</f>
        <v>312282.56</v>
      </c>
      <c r="K2676" s="37" t="s">
        <v>4318</v>
      </c>
      <c r="L2676" s="119"/>
      <c r="M2676" s="3"/>
    </row>
    <row r="2677" spans="1:13" s="4" customFormat="1" ht="14.25" customHeight="1" x14ac:dyDescent="0.25">
      <c r="A2677" s="4" t="s">
        <v>4457</v>
      </c>
      <c r="B2677" s="4" t="s">
        <v>50</v>
      </c>
      <c r="C2677" s="4" t="s">
        <v>14</v>
      </c>
      <c r="D2677" s="35">
        <v>4846</v>
      </c>
      <c r="E2677" s="4" t="s">
        <v>4458</v>
      </c>
      <c r="F2677" s="5">
        <v>39594</v>
      </c>
      <c r="G2677" s="5">
        <v>39972</v>
      </c>
      <c r="H2677" s="4" t="s">
        <v>40</v>
      </c>
      <c r="I2677" s="6">
        <v>19951.46</v>
      </c>
      <c r="J2677" s="6">
        <v>9975.73</v>
      </c>
      <c r="K2677" s="37" t="s">
        <v>4318</v>
      </c>
      <c r="L2677" s="119"/>
      <c r="M2677" s="3"/>
    </row>
    <row r="2678" spans="1:13" s="4" customFormat="1" ht="14.25" customHeight="1" x14ac:dyDescent="0.25">
      <c r="A2678" s="4" t="s">
        <v>4459</v>
      </c>
      <c r="B2678" s="4" t="s">
        <v>50</v>
      </c>
      <c r="C2678" s="4" t="s">
        <v>14</v>
      </c>
      <c r="D2678" s="35">
        <v>4849</v>
      </c>
      <c r="E2678" s="4" t="s">
        <v>4460</v>
      </c>
      <c r="F2678" s="5">
        <v>39538</v>
      </c>
      <c r="G2678" s="5">
        <v>39967</v>
      </c>
      <c r="H2678" s="4" t="s">
        <v>40</v>
      </c>
      <c r="I2678" s="6">
        <v>40000</v>
      </c>
      <c r="J2678" s="6">
        <v>20000</v>
      </c>
      <c r="K2678" s="37" t="s">
        <v>4318</v>
      </c>
      <c r="L2678" s="119"/>
      <c r="M2678" s="3"/>
    </row>
    <row r="2679" spans="1:13" s="4" customFormat="1" ht="14.25" customHeight="1" x14ac:dyDescent="0.25">
      <c r="A2679" s="4" t="s">
        <v>4461</v>
      </c>
      <c r="B2679" s="4" t="s">
        <v>90</v>
      </c>
      <c r="C2679" s="4" t="s">
        <v>14</v>
      </c>
      <c r="D2679" s="35">
        <v>4850</v>
      </c>
      <c r="E2679" s="4" t="s">
        <v>4462</v>
      </c>
      <c r="F2679" s="5">
        <v>39538</v>
      </c>
      <c r="G2679" s="5">
        <v>40004</v>
      </c>
      <c r="H2679" s="4" t="s">
        <v>40</v>
      </c>
      <c r="I2679" s="6">
        <v>6600</v>
      </c>
      <c r="J2679" s="6">
        <v>3300</v>
      </c>
      <c r="K2679" s="37" t="s">
        <v>4318</v>
      </c>
      <c r="L2679" s="119"/>
      <c r="M2679" s="3"/>
    </row>
    <row r="2680" spans="1:13" s="4" customFormat="1" ht="14.25" customHeight="1" x14ac:dyDescent="0.25">
      <c r="A2680" s="4" t="s">
        <v>4463</v>
      </c>
      <c r="B2680" s="4" t="s">
        <v>90</v>
      </c>
      <c r="C2680" s="4" t="s">
        <v>14</v>
      </c>
      <c r="D2680" s="35">
        <v>4907</v>
      </c>
      <c r="E2680" s="4" t="s">
        <v>4464</v>
      </c>
      <c r="F2680" s="5">
        <v>39538</v>
      </c>
      <c r="G2680" s="5">
        <v>39980</v>
      </c>
      <c r="H2680" s="4" t="s">
        <v>40</v>
      </c>
      <c r="I2680" s="6">
        <f>8000</f>
        <v>8000</v>
      </c>
      <c r="J2680" s="6">
        <f>4000</f>
        <v>4000</v>
      </c>
      <c r="K2680" s="37" t="s">
        <v>4318</v>
      </c>
      <c r="L2680" s="119"/>
      <c r="M2680" s="3"/>
    </row>
    <row r="2681" spans="1:13" s="4" customFormat="1" ht="14.25" customHeight="1" x14ac:dyDescent="0.25">
      <c r="A2681" s="4" t="s">
        <v>4465</v>
      </c>
      <c r="B2681" s="4" t="s">
        <v>50</v>
      </c>
      <c r="C2681" s="4" t="s">
        <v>14</v>
      </c>
      <c r="D2681" s="35">
        <v>4908</v>
      </c>
      <c r="E2681" s="4" t="s">
        <v>4466</v>
      </c>
      <c r="F2681" s="5">
        <v>39594</v>
      </c>
      <c r="G2681" s="5">
        <v>40165</v>
      </c>
      <c r="H2681" s="4" t="s">
        <v>40</v>
      </c>
      <c r="I2681" s="6">
        <v>6865</v>
      </c>
      <c r="J2681" s="6">
        <v>3432.5</v>
      </c>
      <c r="K2681" s="37" t="s">
        <v>4318</v>
      </c>
      <c r="L2681" s="119"/>
      <c r="M2681" s="3"/>
    </row>
    <row r="2682" spans="1:13" s="4" customFormat="1" ht="14.25" customHeight="1" x14ac:dyDescent="0.25">
      <c r="A2682" s="4" t="s">
        <v>4467</v>
      </c>
      <c r="B2682" s="4" t="s">
        <v>50</v>
      </c>
      <c r="C2682" s="4" t="s">
        <v>14</v>
      </c>
      <c r="D2682" s="35">
        <v>4910</v>
      </c>
      <c r="E2682" s="4" t="s">
        <v>4468</v>
      </c>
      <c r="F2682" s="5">
        <v>39815</v>
      </c>
      <c r="G2682" s="5">
        <v>40073</v>
      </c>
      <c r="H2682" s="4" t="s">
        <v>40</v>
      </c>
      <c r="I2682" s="6">
        <v>10000</v>
      </c>
      <c r="J2682" s="6">
        <v>5000</v>
      </c>
      <c r="K2682" s="37" t="s">
        <v>4318</v>
      </c>
      <c r="L2682" s="119"/>
      <c r="M2682" s="3"/>
    </row>
    <row r="2683" spans="1:13" s="4" customFormat="1" ht="14.25" customHeight="1" x14ac:dyDescent="0.25">
      <c r="A2683" s="4" t="s">
        <v>4469</v>
      </c>
      <c r="B2683" s="4" t="s">
        <v>50</v>
      </c>
      <c r="C2683" s="4" t="s">
        <v>14</v>
      </c>
      <c r="D2683" s="35">
        <v>4912</v>
      </c>
      <c r="E2683" s="4" t="s">
        <v>4470</v>
      </c>
      <c r="F2683" s="5">
        <v>39815</v>
      </c>
      <c r="G2683" s="5">
        <v>39909</v>
      </c>
      <c r="H2683" s="4" t="s">
        <v>40</v>
      </c>
      <c r="I2683" s="6">
        <v>30000</v>
      </c>
      <c r="J2683" s="6">
        <v>15000</v>
      </c>
      <c r="K2683" s="37" t="s">
        <v>4318</v>
      </c>
      <c r="L2683" s="119"/>
      <c r="M2683" s="3"/>
    </row>
    <row r="2684" spans="1:13" s="4" customFormat="1" ht="14.25" customHeight="1" x14ac:dyDescent="0.25">
      <c r="A2684" s="4" t="s">
        <v>4471</v>
      </c>
      <c r="B2684" s="4" t="s">
        <v>59</v>
      </c>
      <c r="C2684" s="4" t="s">
        <v>14</v>
      </c>
      <c r="D2684" s="35">
        <v>4916</v>
      </c>
      <c r="E2684" s="4" t="s">
        <v>4472</v>
      </c>
      <c r="F2684" s="5">
        <v>39815</v>
      </c>
      <c r="G2684" s="5">
        <v>39878</v>
      </c>
      <c r="H2684" s="4" t="s">
        <v>40</v>
      </c>
      <c r="I2684" s="6">
        <v>7500</v>
      </c>
      <c r="J2684" s="6">
        <v>7500</v>
      </c>
      <c r="K2684" s="37" t="s">
        <v>4318</v>
      </c>
      <c r="L2684" s="119"/>
      <c r="M2684" s="3"/>
    </row>
    <row r="2685" spans="1:13" s="4" customFormat="1" ht="14.25" customHeight="1" x14ac:dyDescent="0.25">
      <c r="A2685" s="4" t="s">
        <v>4473</v>
      </c>
      <c r="B2685" s="4" t="s">
        <v>50</v>
      </c>
      <c r="C2685" s="4" t="s">
        <v>14</v>
      </c>
      <c r="D2685" s="35">
        <v>4919</v>
      </c>
      <c r="E2685" s="4" t="s">
        <v>4474</v>
      </c>
      <c r="F2685" s="5">
        <v>39853</v>
      </c>
      <c r="G2685" s="5">
        <v>40043</v>
      </c>
      <c r="H2685" s="4" t="s">
        <v>40</v>
      </c>
      <c r="I2685" s="6">
        <v>7407</v>
      </c>
      <c r="J2685" s="6">
        <v>3703.5</v>
      </c>
      <c r="K2685" s="37" t="s">
        <v>4318</v>
      </c>
      <c r="L2685" s="119"/>
      <c r="M2685" s="3"/>
    </row>
    <row r="2686" spans="1:13" s="4" customFormat="1" ht="14.25" customHeight="1" x14ac:dyDescent="0.25">
      <c r="A2686" s="4" t="s">
        <v>4475</v>
      </c>
      <c r="B2686" s="4" t="s">
        <v>50</v>
      </c>
      <c r="C2686" s="4" t="s">
        <v>14</v>
      </c>
      <c r="D2686" s="35">
        <v>4920</v>
      </c>
      <c r="E2686" s="4" t="s">
        <v>4476</v>
      </c>
      <c r="F2686" s="5">
        <v>39853</v>
      </c>
      <c r="G2686" s="5">
        <v>40149</v>
      </c>
      <c r="H2686" s="4" t="s">
        <v>40</v>
      </c>
      <c r="I2686" s="6">
        <v>56500</v>
      </c>
      <c r="J2686" s="6">
        <v>28250</v>
      </c>
      <c r="K2686" s="37" t="s">
        <v>4318</v>
      </c>
      <c r="L2686" s="119"/>
      <c r="M2686" s="3"/>
    </row>
    <row r="2687" spans="1:13" s="4" customFormat="1" ht="14.25" customHeight="1" x14ac:dyDescent="0.25">
      <c r="A2687" s="4" t="s">
        <v>4477</v>
      </c>
      <c r="B2687" s="4" t="s">
        <v>50</v>
      </c>
      <c r="C2687" s="4" t="s">
        <v>14</v>
      </c>
      <c r="D2687" s="35">
        <v>4921</v>
      </c>
      <c r="E2687" s="4" t="s">
        <v>4478</v>
      </c>
      <c r="F2687" s="5">
        <v>39853</v>
      </c>
      <c r="G2687" s="5">
        <v>40164</v>
      </c>
      <c r="H2687" s="4" t="s">
        <v>40</v>
      </c>
      <c r="I2687" s="6">
        <v>80000</v>
      </c>
      <c r="J2687" s="6">
        <v>40000</v>
      </c>
      <c r="K2687" s="37" t="s">
        <v>4318</v>
      </c>
      <c r="L2687" s="119"/>
      <c r="M2687" s="3"/>
    </row>
    <row r="2688" spans="1:13" s="4" customFormat="1" ht="14.25" customHeight="1" x14ac:dyDescent="0.25">
      <c r="A2688" s="4" t="s">
        <v>4479</v>
      </c>
      <c r="B2688" s="4" t="s">
        <v>50</v>
      </c>
      <c r="C2688" s="4" t="s">
        <v>14</v>
      </c>
      <c r="D2688" s="35">
        <v>4922</v>
      </c>
      <c r="E2688" s="4" t="s">
        <v>4480</v>
      </c>
      <c r="F2688" s="5">
        <v>39853</v>
      </c>
      <c r="G2688" s="5">
        <v>40000</v>
      </c>
      <c r="H2688" s="4" t="s">
        <v>40</v>
      </c>
      <c r="I2688" s="6">
        <v>80000</v>
      </c>
      <c r="J2688" s="6">
        <v>40000</v>
      </c>
      <c r="K2688" s="37" t="s">
        <v>4318</v>
      </c>
      <c r="L2688" s="119"/>
      <c r="M2688" s="3"/>
    </row>
    <row r="2689" spans="1:13" s="4" customFormat="1" ht="14.25" customHeight="1" x14ac:dyDescent="0.25">
      <c r="A2689" s="4" t="s">
        <v>4481</v>
      </c>
      <c r="B2689" s="4" t="s">
        <v>59</v>
      </c>
      <c r="C2689" s="4" t="s">
        <v>14</v>
      </c>
      <c r="D2689" s="35">
        <v>4925</v>
      </c>
      <c r="E2689" s="4" t="s">
        <v>4482</v>
      </c>
      <c r="F2689" s="5">
        <v>39853</v>
      </c>
      <c r="G2689" s="5">
        <v>40113</v>
      </c>
      <c r="H2689" s="4" t="s">
        <v>40</v>
      </c>
      <c r="I2689" s="6">
        <v>2500</v>
      </c>
      <c r="J2689" s="6">
        <v>2500</v>
      </c>
      <c r="K2689" s="37" t="s">
        <v>4318</v>
      </c>
      <c r="L2689" s="119"/>
      <c r="M2689" s="3"/>
    </row>
    <row r="2690" spans="1:13" s="4" customFormat="1" ht="14.25" customHeight="1" x14ac:dyDescent="0.25">
      <c r="A2690" s="4" t="s">
        <v>4483</v>
      </c>
      <c r="B2690" s="4" t="s">
        <v>59</v>
      </c>
      <c r="C2690" s="4" t="s">
        <v>14</v>
      </c>
      <c r="D2690" s="35">
        <v>4927</v>
      </c>
      <c r="E2690" s="4" t="s">
        <v>4484</v>
      </c>
      <c r="F2690" s="5">
        <v>39853</v>
      </c>
      <c r="G2690" s="5">
        <v>40171</v>
      </c>
      <c r="H2690" s="4" t="s">
        <v>40</v>
      </c>
      <c r="I2690" s="6">
        <v>50000</v>
      </c>
      <c r="J2690" s="6">
        <v>50000</v>
      </c>
      <c r="K2690" s="37" t="s">
        <v>4318</v>
      </c>
      <c r="L2690" s="119"/>
      <c r="M2690" s="3"/>
    </row>
    <row r="2691" spans="1:13" s="4" customFormat="1" ht="14.25" customHeight="1" x14ac:dyDescent="0.25">
      <c r="A2691" s="4" t="s">
        <v>4485</v>
      </c>
      <c r="B2691" s="4" t="s">
        <v>90</v>
      </c>
      <c r="C2691" s="4" t="s">
        <v>14</v>
      </c>
      <c r="D2691" s="35">
        <v>4930</v>
      </c>
      <c r="E2691" s="4" t="s">
        <v>4486</v>
      </c>
      <c r="F2691" s="5">
        <v>39853</v>
      </c>
      <c r="G2691" s="5">
        <v>40141</v>
      </c>
      <c r="H2691" s="4" t="s">
        <v>40</v>
      </c>
      <c r="I2691" s="6">
        <v>6000</v>
      </c>
      <c r="J2691" s="6">
        <v>3000</v>
      </c>
      <c r="K2691" s="37" t="s">
        <v>4318</v>
      </c>
      <c r="L2691" s="119"/>
      <c r="M2691" s="3"/>
    </row>
    <row r="2692" spans="1:13" s="4" customFormat="1" ht="14.25" customHeight="1" x14ac:dyDescent="0.25">
      <c r="A2692" s="4" t="s">
        <v>4487</v>
      </c>
      <c r="B2692" s="4" t="s">
        <v>50</v>
      </c>
      <c r="C2692" s="4" t="s">
        <v>14</v>
      </c>
      <c r="D2692" s="35">
        <v>4931</v>
      </c>
      <c r="E2692" s="4" t="s">
        <v>4488</v>
      </c>
      <c r="F2692" s="5">
        <v>39853</v>
      </c>
      <c r="G2692" s="5">
        <v>40126</v>
      </c>
      <c r="H2692" s="4" t="s">
        <v>40</v>
      </c>
      <c r="I2692" s="6">
        <v>5729</v>
      </c>
      <c r="J2692" s="6">
        <v>2864.5</v>
      </c>
      <c r="K2692" s="37" t="s">
        <v>4318</v>
      </c>
      <c r="L2692" s="119"/>
      <c r="M2692" s="3"/>
    </row>
    <row r="2693" spans="1:13" s="4" customFormat="1" ht="14.25" customHeight="1" x14ac:dyDescent="0.25">
      <c r="A2693" s="4" t="s">
        <v>4489</v>
      </c>
      <c r="B2693" s="4" t="s">
        <v>50</v>
      </c>
      <c r="C2693" s="4" t="s">
        <v>14</v>
      </c>
      <c r="D2693" s="35">
        <v>4970</v>
      </c>
      <c r="E2693" s="4" t="s">
        <v>4490</v>
      </c>
      <c r="F2693" s="5">
        <v>39853</v>
      </c>
      <c r="G2693" s="5">
        <v>40031</v>
      </c>
      <c r="H2693" s="4" t="s">
        <v>40</v>
      </c>
      <c r="I2693" s="6">
        <v>20000</v>
      </c>
      <c r="J2693" s="6">
        <v>10000</v>
      </c>
      <c r="K2693" s="37" t="s">
        <v>4318</v>
      </c>
      <c r="L2693" s="119"/>
      <c r="M2693" s="3"/>
    </row>
    <row r="2694" spans="1:13" s="4" customFormat="1" ht="14.25" customHeight="1" x14ac:dyDescent="0.25">
      <c r="A2694" s="4" t="s">
        <v>4491</v>
      </c>
      <c r="B2694" s="4" t="s">
        <v>59</v>
      </c>
      <c r="C2694" s="4" t="s">
        <v>14</v>
      </c>
      <c r="D2694" s="35">
        <v>4980</v>
      </c>
      <c r="E2694" s="4" t="s">
        <v>4492</v>
      </c>
      <c r="F2694" s="5">
        <v>39853</v>
      </c>
      <c r="G2694" s="5">
        <v>40095</v>
      </c>
      <c r="H2694" s="4" t="s">
        <v>40</v>
      </c>
      <c r="I2694" s="6">
        <v>7500</v>
      </c>
      <c r="J2694" s="6">
        <v>7500</v>
      </c>
      <c r="K2694" s="37" t="s">
        <v>4318</v>
      </c>
      <c r="L2694" s="119"/>
      <c r="M2694" s="3"/>
    </row>
    <row r="2695" spans="1:13" s="4" customFormat="1" ht="14.25" customHeight="1" x14ac:dyDescent="0.25">
      <c r="A2695" s="4" t="s">
        <v>4493</v>
      </c>
      <c r="B2695" s="4" t="s">
        <v>59</v>
      </c>
      <c r="C2695" s="4" t="s">
        <v>14</v>
      </c>
      <c r="D2695" s="35">
        <v>4991</v>
      </c>
      <c r="E2695" s="4" t="s">
        <v>4494</v>
      </c>
      <c r="F2695" s="5">
        <v>39919</v>
      </c>
      <c r="G2695" s="5">
        <v>40200</v>
      </c>
      <c r="H2695" s="4" t="s">
        <v>40</v>
      </c>
      <c r="I2695" s="6">
        <v>7500</v>
      </c>
      <c r="J2695" s="6">
        <v>7500</v>
      </c>
      <c r="K2695" s="37" t="s">
        <v>4318</v>
      </c>
      <c r="L2695" s="119"/>
      <c r="M2695" s="3"/>
    </row>
    <row r="2696" spans="1:13" s="4" customFormat="1" ht="14.25" customHeight="1" x14ac:dyDescent="0.25">
      <c r="A2696" s="4" t="s">
        <v>4495</v>
      </c>
      <c r="B2696" s="4" t="s">
        <v>50</v>
      </c>
      <c r="C2696" s="4" t="s">
        <v>14</v>
      </c>
      <c r="D2696" s="35">
        <v>4994</v>
      </c>
      <c r="E2696" s="4" t="s">
        <v>4496</v>
      </c>
      <c r="F2696" s="5">
        <v>39904</v>
      </c>
      <c r="G2696" s="5">
        <v>40170</v>
      </c>
      <c r="H2696" s="4" t="s">
        <v>40</v>
      </c>
      <c r="I2696" s="6">
        <v>49905.48</v>
      </c>
      <c r="J2696" s="6">
        <v>24952.74</v>
      </c>
      <c r="K2696" s="37" t="s">
        <v>4318</v>
      </c>
      <c r="L2696" s="119"/>
      <c r="M2696" s="3"/>
    </row>
    <row r="2697" spans="1:13" s="4" customFormat="1" ht="14.25" customHeight="1" x14ac:dyDescent="0.25">
      <c r="A2697" s="4" t="s">
        <v>4497</v>
      </c>
      <c r="B2697" s="4" t="s">
        <v>59</v>
      </c>
      <c r="C2697" s="4" t="s">
        <v>14</v>
      </c>
      <c r="D2697" s="35">
        <v>4998</v>
      </c>
      <c r="E2697" s="4" t="s">
        <v>4498</v>
      </c>
      <c r="F2697" s="5">
        <v>39919</v>
      </c>
      <c r="G2697" s="5">
        <v>40210</v>
      </c>
      <c r="H2697" s="4" t="s">
        <v>40</v>
      </c>
      <c r="I2697" s="6">
        <v>7500</v>
      </c>
      <c r="J2697" s="6">
        <v>7500</v>
      </c>
      <c r="K2697" s="37" t="s">
        <v>4318</v>
      </c>
      <c r="L2697" s="119"/>
      <c r="M2697" s="3"/>
    </row>
    <row r="2698" spans="1:13" s="4" customFormat="1" ht="14.25" customHeight="1" x14ac:dyDescent="0.25">
      <c r="A2698" s="4" t="s">
        <v>4499</v>
      </c>
      <c r="B2698" s="4" t="s">
        <v>59</v>
      </c>
      <c r="C2698" s="4" t="s">
        <v>14</v>
      </c>
      <c r="D2698" s="35">
        <v>4999</v>
      </c>
      <c r="E2698" s="4" t="s">
        <v>4500</v>
      </c>
      <c r="F2698" s="5">
        <v>39919</v>
      </c>
      <c r="G2698" s="5">
        <v>40141</v>
      </c>
      <c r="H2698" s="4" t="s">
        <v>40</v>
      </c>
      <c r="I2698" s="6">
        <v>5000</v>
      </c>
      <c r="J2698" s="6">
        <v>5000</v>
      </c>
      <c r="K2698" s="37" t="s">
        <v>4318</v>
      </c>
      <c r="L2698" s="119"/>
      <c r="M2698" s="3"/>
    </row>
    <row r="2699" spans="1:13" s="4" customFormat="1" ht="14.25" customHeight="1" x14ac:dyDescent="0.25">
      <c r="A2699" s="4" t="s">
        <v>4501</v>
      </c>
      <c r="B2699" s="4" t="s">
        <v>59</v>
      </c>
      <c r="C2699" s="4" t="s">
        <v>14</v>
      </c>
      <c r="D2699" s="35">
        <v>5000</v>
      </c>
      <c r="E2699" s="4" t="s">
        <v>4502</v>
      </c>
      <c r="F2699" s="5">
        <v>40091</v>
      </c>
      <c r="G2699" s="5">
        <v>40323</v>
      </c>
      <c r="H2699" s="4" t="s">
        <v>40</v>
      </c>
      <c r="I2699" s="6">
        <v>5000</v>
      </c>
      <c r="J2699" s="6">
        <v>5000</v>
      </c>
      <c r="K2699" s="37" t="s">
        <v>4318</v>
      </c>
      <c r="L2699" s="119"/>
      <c r="M2699" s="3"/>
    </row>
    <row r="2700" spans="1:13" s="4" customFormat="1" ht="14.25" customHeight="1" x14ac:dyDescent="0.25">
      <c r="A2700" s="4" t="s">
        <v>4503</v>
      </c>
      <c r="B2700" s="4" t="s">
        <v>38</v>
      </c>
      <c r="C2700" s="4" t="s">
        <v>14</v>
      </c>
      <c r="D2700" s="35">
        <v>5370</v>
      </c>
      <c r="E2700" s="4" t="s">
        <v>4504</v>
      </c>
      <c r="F2700" s="5">
        <v>39814</v>
      </c>
      <c r="H2700" s="4" t="s">
        <v>40</v>
      </c>
      <c r="I2700" s="6">
        <v>8737.7099999999991</v>
      </c>
      <c r="J2700" s="6">
        <v>8737.7099999999991</v>
      </c>
      <c r="K2700" s="37" t="s">
        <v>4318</v>
      </c>
      <c r="L2700" s="119"/>
      <c r="M2700" s="3"/>
    </row>
    <row r="2701" spans="1:13" s="4" customFormat="1" ht="14.25" customHeight="1" x14ac:dyDescent="0.25">
      <c r="A2701" s="4" t="s">
        <v>4505</v>
      </c>
      <c r="B2701" s="4" t="s">
        <v>38</v>
      </c>
      <c r="C2701" s="4" t="s">
        <v>14</v>
      </c>
      <c r="D2701" s="35">
        <v>5406</v>
      </c>
      <c r="E2701" s="4" t="s">
        <v>4506</v>
      </c>
      <c r="F2701" s="5">
        <v>39814</v>
      </c>
      <c r="H2701" s="4" t="s">
        <v>40</v>
      </c>
      <c r="I2701" s="6">
        <v>21415</v>
      </c>
      <c r="J2701" s="6">
        <v>21415</v>
      </c>
      <c r="K2701" s="37" t="s">
        <v>4318</v>
      </c>
      <c r="L2701" s="119"/>
      <c r="M2701" s="3"/>
    </row>
    <row r="2702" spans="1:13" s="4" customFormat="1" ht="14.25" customHeight="1" x14ac:dyDescent="0.25">
      <c r="A2702" s="4" t="s">
        <v>4507</v>
      </c>
      <c r="B2702" s="4" t="s">
        <v>38</v>
      </c>
      <c r="C2702" s="4" t="s">
        <v>14</v>
      </c>
      <c r="D2702" s="35">
        <v>5407</v>
      </c>
      <c r="E2702" s="4" t="s">
        <v>4508</v>
      </c>
      <c r="F2702" s="5">
        <v>39814</v>
      </c>
      <c r="H2702" s="4" t="s">
        <v>40</v>
      </c>
      <c r="I2702" s="6">
        <f>46601.43+19269.5+24162.45+16060.5</f>
        <v>106093.87999999999</v>
      </c>
      <c r="J2702" s="6">
        <f>81931.43+24162.45</f>
        <v>106093.87999999999</v>
      </c>
      <c r="K2702" s="37" t="s">
        <v>4318</v>
      </c>
      <c r="L2702" s="119"/>
      <c r="M2702" s="3"/>
    </row>
    <row r="2703" spans="1:13" s="4" customFormat="1" ht="14.25" customHeight="1" x14ac:dyDescent="0.25">
      <c r="A2703" s="4" t="s">
        <v>4509</v>
      </c>
      <c r="B2703" s="4" t="s">
        <v>183</v>
      </c>
      <c r="C2703" s="4" t="s">
        <v>14</v>
      </c>
      <c r="D2703" s="35">
        <v>7205</v>
      </c>
      <c r="E2703" s="4" t="s">
        <v>4510</v>
      </c>
      <c r="F2703" s="5">
        <v>40210</v>
      </c>
      <c r="G2703" s="5">
        <v>40514</v>
      </c>
      <c r="H2703" s="4" t="s">
        <v>40</v>
      </c>
      <c r="I2703" s="6">
        <v>15000</v>
      </c>
      <c r="J2703" s="6">
        <v>15000</v>
      </c>
      <c r="K2703" s="37" t="s">
        <v>4318</v>
      </c>
      <c r="L2703" s="119"/>
      <c r="M2703" s="3"/>
    </row>
    <row r="2704" spans="1:13" s="4" customFormat="1" ht="14.25" customHeight="1" x14ac:dyDescent="0.25">
      <c r="A2704" s="4" t="s">
        <v>4511</v>
      </c>
      <c r="B2704" s="4" t="s">
        <v>183</v>
      </c>
      <c r="C2704" s="4" t="s">
        <v>14</v>
      </c>
      <c r="D2704" s="35">
        <v>7206</v>
      </c>
      <c r="E2704" s="4" t="s">
        <v>4512</v>
      </c>
      <c r="F2704" s="5">
        <v>40409</v>
      </c>
      <c r="G2704" s="5">
        <v>40641</v>
      </c>
      <c r="H2704" s="4" t="s">
        <v>40</v>
      </c>
      <c r="I2704" s="6">
        <v>9238</v>
      </c>
      <c r="J2704" s="6">
        <v>8369</v>
      </c>
      <c r="K2704" s="37" t="s">
        <v>4318</v>
      </c>
      <c r="L2704" s="119"/>
      <c r="M2704" s="3"/>
    </row>
    <row r="2705" spans="1:13" s="4" customFormat="1" ht="14.25" customHeight="1" x14ac:dyDescent="0.25">
      <c r="A2705" s="4" t="s">
        <v>4513</v>
      </c>
      <c r="B2705" s="4" t="s">
        <v>190</v>
      </c>
      <c r="C2705" s="4" t="s">
        <v>14</v>
      </c>
      <c r="D2705" s="35">
        <v>7207</v>
      </c>
      <c r="E2705" s="4" t="s">
        <v>4514</v>
      </c>
      <c r="F2705" s="5">
        <v>40522</v>
      </c>
      <c r="G2705" s="5">
        <v>40739</v>
      </c>
      <c r="H2705" s="4" t="s">
        <v>40</v>
      </c>
      <c r="I2705" s="6">
        <v>10000</v>
      </c>
      <c r="J2705" s="6">
        <v>10000</v>
      </c>
      <c r="K2705" s="37" t="s">
        <v>4318</v>
      </c>
      <c r="L2705" s="119"/>
      <c r="M2705" s="3"/>
    </row>
    <row r="2706" spans="1:13" s="4" customFormat="1" ht="14.25" customHeight="1" x14ac:dyDescent="0.25">
      <c r="A2706" s="4" t="s">
        <v>4515</v>
      </c>
      <c r="B2706" s="4" t="s">
        <v>183</v>
      </c>
      <c r="C2706" s="4" t="s">
        <v>14</v>
      </c>
      <c r="D2706" s="35">
        <v>7208</v>
      </c>
      <c r="E2706" s="4" t="s">
        <v>4516</v>
      </c>
      <c r="F2706" s="5">
        <v>40158</v>
      </c>
      <c r="G2706" s="5">
        <v>40528</v>
      </c>
      <c r="H2706" s="4" t="s">
        <v>40</v>
      </c>
      <c r="I2706" s="6">
        <v>21580</v>
      </c>
      <c r="J2706" s="6">
        <v>10790</v>
      </c>
      <c r="K2706" s="37" t="s">
        <v>4318</v>
      </c>
      <c r="L2706" s="119"/>
      <c r="M2706" s="3"/>
    </row>
    <row r="2707" spans="1:13" s="4" customFormat="1" ht="14.25" customHeight="1" x14ac:dyDescent="0.25">
      <c r="A2707" s="4" t="s">
        <v>4517</v>
      </c>
      <c r="B2707" s="4" t="s">
        <v>183</v>
      </c>
      <c r="C2707" s="4" t="s">
        <v>14</v>
      </c>
      <c r="D2707" s="35">
        <v>7209</v>
      </c>
      <c r="E2707" s="4" t="s">
        <v>4518</v>
      </c>
      <c r="F2707" s="5">
        <v>40290</v>
      </c>
      <c r="G2707" s="5">
        <v>40618</v>
      </c>
      <c r="H2707" s="4" t="s">
        <v>40</v>
      </c>
      <c r="I2707" s="6">
        <v>16937.919999999998</v>
      </c>
      <c r="J2707" s="6">
        <v>10155.709999999999</v>
      </c>
      <c r="K2707" s="37" t="s">
        <v>4318</v>
      </c>
      <c r="L2707" s="119"/>
      <c r="M2707" s="3"/>
    </row>
    <row r="2708" spans="1:13" s="4" customFormat="1" ht="14.25" customHeight="1" x14ac:dyDescent="0.25">
      <c r="A2708" s="4" t="s">
        <v>4519</v>
      </c>
      <c r="B2708" s="4" t="s">
        <v>13</v>
      </c>
      <c r="C2708" s="4" t="s">
        <v>14</v>
      </c>
      <c r="D2708" s="35">
        <v>7210</v>
      </c>
      <c r="E2708" s="4" t="s">
        <v>4520</v>
      </c>
      <c r="F2708" s="5">
        <v>40448</v>
      </c>
      <c r="G2708" s="5">
        <v>40716</v>
      </c>
      <c r="H2708" s="4" t="s">
        <v>40</v>
      </c>
      <c r="I2708" s="6">
        <v>7500</v>
      </c>
      <c r="J2708" s="6">
        <v>7500</v>
      </c>
      <c r="K2708" s="37" t="s">
        <v>4318</v>
      </c>
      <c r="L2708" s="119"/>
      <c r="M2708" s="3"/>
    </row>
    <row r="2709" spans="1:13" s="4" customFormat="1" ht="14.25" customHeight="1" x14ac:dyDescent="0.25">
      <c r="A2709" s="4" t="s">
        <v>4521</v>
      </c>
      <c r="B2709" s="4" t="s">
        <v>90</v>
      </c>
      <c r="C2709" s="4" t="s">
        <v>14</v>
      </c>
      <c r="D2709" s="35">
        <v>7211</v>
      </c>
      <c r="E2709" s="4" t="s">
        <v>4522</v>
      </c>
      <c r="F2709" s="5">
        <v>40290</v>
      </c>
      <c r="G2709" s="5">
        <v>40521</v>
      </c>
      <c r="H2709" s="4" t="s">
        <v>40</v>
      </c>
      <c r="I2709" s="6">
        <v>8308.42</v>
      </c>
      <c r="J2709" s="6">
        <v>4154.8100000000004</v>
      </c>
      <c r="K2709" s="37" t="s">
        <v>4318</v>
      </c>
      <c r="L2709" s="119"/>
      <c r="M2709" s="3"/>
    </row>
    <row r="2710" spans="1:13" s="4" customFormat="1" ht="14.25" customHeight="1" x14ac:dyDescent="0.25">
      <c r="A2710" s="4" t="s">
        <v>4523</v>
      </c>
      <c r="B2710" s="4" t="s">
        <v>190</v>
      </c>
      <c r="C2710" s="4" t="s">
        <v>14</v>
      </c>
      <c r="D2710" s="35">
        <v>7212</v>
      </c>
      <c r="E2710" s="4" t="s">
        <v>4524</v>
      </c>
      <c r="F2710" s="5">
        <v>40449</v>
      </c>
      <c r="H2710" s="4" t="s">
        <v>40</v>
      </c>
      <c r="I2710" s="6">
        <v>27226</v>
      </c>
      <c r="J2710" s="6">
        <v>13613</v>
      </c>
      <c r="K2710" s="37" t="s">
        <v>4318</v>
      </c>
      <c r="L2710" s="119"/>
      <c r="M2710" s="3"/>
    </row>
    <row r="2711" spans="1:13" s="4" customFormat="1" ht="14.25" customHeight="1" x14ac:dyDescent="0.25">
      <c r="A2711" s="4" t="s">
        <v>4525</v>
      </c>
      <c r="B2711" s="4" t="s">
        <v>190</v>
      </c>
      <c r="C2711" s="4" t="s">
        <v>14</v>
      </c>
      <c r="D2711" s="35">
        <v>7213</v>
      </c>
      <c r="E2711" s="4" t="s">
        <v>4526</v>
      </c>
      <c r="F2711" s="5">
        <v>40290</v>
      </c>
      <c r="G2711" s="5">
        <v>40750</v>
      </c>
      <c r="H2711" s="4" t="s">
        <v>40</v>
      </c>
      <c r="I2711" s="6">
        <v>38231</v>
      </c>
      <c r="J2711" s="6">
        <v>30356.5</v>
      </c>
      <c r="K2711" s="37" t="s">
        <v>4318</v>
      </c>
      <c r="L2711" s="119"/>
      <c r="M2711" s="3"/>
    </row>
    <row r="2712" spans="1:13" s="4" customFormat="1" ht="14.25" customHeight="1" x14ac:dyDescent="0.25">
      <c r="A2712" s="4" t="s">
        <v>4527</v>
      </c>
      <c r="B2712" s="4" t="s">
        <v>50</v>
      </c>
      <c r="C2712" s="4" t="s">
        <v>14</v>
      </c>
      <c r="D2712" s="35">
        <v>7214</v>
      </c>
      <c r="E2712" s="4" t="s">
        <v>4528</v>
      </c>
      <c r="F2712" s="5">
        <v>39538</v>
      </c>
      <c r="G2712" s="5">
        <v>40186</v>
      </c>
      <c r="H2712" s="4" t="s">
        <v>40</v>
      </c>
      <c r="I2712" s="6">
        <v>40000</v>
      </c>
      <c r="J2712" s="6">
        <v>20000</v>
      </c>
      <c r="K2712" s="37" t="s">
        <v>4318</v>
      </c>
      <c r="L2712" s="119"/>
      <c r="M2712" s="3"/>
    </row>
    <row r="2713" spans="1:13" s="4" customFormat="1" ht="14.25" customHeight="1" x14ac:dyDescent="0.25">
      <c r="A2713" s="4" t="s">
        <v>4529</v>
      </c>
      <c r="B2713" s="4" t="s">
        <v>183</v>
      </c>
      <c r="C2713" s="4" t="s">
        <v>14</v>
      </c>
      <c r="D2713" s="35">
        <v>7215</v>
      </c>
      <c r="E2713" s="4" t="s">
        <v>4530</v>
      </c>
      <c r="F2713" s="5">
        <v>40290</v>
      </c>
      <c r="G2713" s="5">
        <v>40519</v>
      </c>
      <c r="H2713" s="4" t="s">
        <v>40</v>
      </c>
      <c r="I2713" s="6">
        <v>7980</v>
      </c>
      <c r="J2713" s="6">
        <v>7500</v>
      </c>
      <c r="K2713" s="37" t="s">
        <v>4318</v>
      </c>
      <c r="L2713" s="119"/>
      <c r="M2713" s="3"/>
    </row>
    <row r="2714" spans="1:13" s="4" customFormat="1" ht="14.25" customHeight="1" x14ac:dyDescent="0.25">
      <c r="A2714" s="4" t="s">
        <v>4531</v>
      </c>
      <c r="B2714" s="4" t="s">
        <v>190</v>
      </c>
      <c r="C2714" s="4" t="s">
        <v>14</v>
      </c>
      <c r="D2714" s="35">
        <v>7216</v>
      </c>
      <c r="E2714" s="4" t="s">
        <v>4532</v>
      </c>
      <c r="F2714" s="5">
        <v>40290</v>
      </c>
      <c r="G2714" s="5">
        <v>40585</v>
      </c>
      <c r="H2714" s="4" t="s">
        <v>40</v>
      </c>
      <c r="I2714" s="6">
        <v>10000</v>
      </c>
      <c r="J2714" s="6">
        <v>10000</v>
      </c>
      <c r="K2714" s="37" t="s">
        <v>4318</v>
      </c>
      <c r="L2714" s="119"/>
      <c r="M2714" s="3"/>
    </row>
    <row r="2715" spans="1:13" s="4" customFormat="1" ht="14.25" customHeight="1" x14ac:dyDescent="0.25">
      <c r="A2715" s="4" t="s">
        <v>4533</v>
      </c>
      <c r="B2715" s="4" t="s">
        <v>183</v>
      </c>
      <c r="C2715" s="4" t="s">
        <v>14</v>
      </c>
      <c r="D2715" s="35">
        <v>7217</v>
      </c>
      <c r="E2715" s="4" t="s">
        <v>4534</v>
      </c>
      <c r="F2715" s="5">
        <v>40290</v>
      </c>
      <c r="H2715" s="4" t="s">
        <v>40</v>
      </c>
      <c r="I2715" s="6">
        <v>3750</v>
      </c>
      <c r="J2715" s="6">
        <v>3750</v>
      </c>
      <c r="K2715" s="37" t="s">
        <v>4318</v>
      </c>
      <c r="L2715" s="119"/>
      <c r="M2715" s="3"/>
    </row>
    <row r="2716" spans="1:13" s="4" customFormat="1" ht="14.25" customHeight="1" x14ac:dyDescent="0.25">
      <c r="A2716" s="4" t="s">
        <v>4535</v>
      </c>
      <c r="B2716" s="4" t="s">
        <v>183</v>
      </c>
      <c r="C2716" s="4" t="s">
        <v>14</v>
      </c>
      <c r="D2716" s="35">
        <v>7218</v>
      </c>
      <c r="E2716" s="4" t="s">
        <v>4536</v>
      </c>
      <c r="F2716" s="5">
        <v>40158</v>
      </c>
      <c r="G2716" s="5">
        <v>40302</v>
      </c>
      <c r="H2716" s="4" t="s">
        <v>40</v>
      </c>
      <c r="I2716" s="6">
        <v>12772.2</v>
      </c>
      <c r="J2716" s="6">
        <v>6386.1</v>
      </c>
      <c r="K2716" s="37" t="s">
        <v>4318</v>
      </c>
      <c r="L2716" s="119"/>
      <c r="M2716" s="3"/>
    </row>
    <row r="2717" spans="1:13" s="4" customFormat="1" ht="14.25" customHeight="1" x14ac:dyDescent="0.25">
      <c r="A2717" s="4" t="s">
        <v>4537</v>
      </c>
      <c r="B2717" s="4" t="s">
        <v>183</v>
      </c>
      <c r="C2717" s="4" t="s">
        <v>14</v>
      </c>
      <c r="D2717" s="35">
        <v>7219</v>
      </c>
      <c r="E2717" s="4" t="s">
        <v>4538</v>
      </c>
      <c r="F2717" s="5">
        <v>40322</v>
      </c>
      <c r="G2717" s="5">
        <v>40682</v>
      </c>
      <c r="H2717" s="4" t="s">
        <v>40</v>
      </c>
      <c r="I2717" s="6">
        <v>6620</v>
      </c>
      <c r="J2717" s="6">
        <v>5000</v>
      </c>
      <c r="K2717" s="37" t="s">
        <v>4318</v>
      </c>
      <c r="L2717" s="119"/>
      <c r="M2717" s="3"/>
    </row>
    <row r="2718" spans="1:13" s="4" customFormat="1" ht="14.25" customHeight="1" x14ac:dyDescent="0.25">
      <c r="A2718" s="4" t="s">
        <v>4539</v>
      </c>
      <c r="B2718" s="4" t="s">
        <v>183</v>
      </c>
      <c r="C2718" s="4" t="s">
        <v>14</v>
      </c>
      <c r="D2718" s="35">
        <v>7220</v>
      </c>
      <c r="E2718" s="4" t="s">
        <v>4540</v>
      </c>
      <c r="F2718" s="5">
        <v>40158</v>
      </c>
      <c r="H2718" s="4" t="s">
        <v>40</v>
      </c>
      <c r="I2718" s="6">
        <v>10000</v>
      </c>
      <c r="J2718" s="6">
        <v>10000</v>
      </c>
      <c r="K2718" s="37" t="s">
        <v>4318</v>
      </c>
      <c r="L2718" s="119"/>
      <c r="M2718" s="3"/>
    </row>
    <row r="2719" spans="1:13" s="4" customFormat="1" ht="14.25" customHeight="1" x14ac:dyDescent="0.25">
      <c r="A2719" s="4" t="s">
        <v>4541</v>
      </c>
      <c r="B2719" s="4" t="s">
        <v>50</v>
      </c>
      <c r="C2719" s="4" t="s">
        <v>14</v>
      </c>
      <c r="D2719" s="35">
        <v>7221</v>
      </c>
      <c r="E2719" s="4" t="s">
        <v>4542</v>
      </c>
      <c r="F2719" s="5">
        <v>40091</v>
      </c>
      <c r="G2719" s="5">
        <v>40205</v>
      </c>
      <c r="H2719" s="4" t="s">
        <v>40</v>
      </c>
      <c r="I2719" s="6">
        <v>16000</v>
      </c>
      <c r="J2719" s="6">
        <v>8000</v>
      </c>
      <c r="K2719" s="37" t="s">
        <v>4318</v>
      </c>
      <c r="L2719" s="119"/>
      <c r="M2719" s="3"/>
    </row>
    <row r="2720" spans="1:13" s="4" customFormat="1" ht="14.25" customHeight="1" x14ac:dyDescent="0.25">
      <c r="A2720" s="4" t="s">
        <v>4543</v>
      </c>
      <c r="B2720" s="4" t="s">
        <v>183</v>
      </c>
      <c r="C2720" s="4" t="s">
        <v>14</v>
      </c>
      <c r="D2720" s="35">
        <v>7222</v>
      </c>
      <c r="E2720" s="4" t="s">
        <v>4544</v>
      </c>
      <c r="F2720" s="5">
        <v>40448</v>
      </c>
      <c r="H2720" s="4" t="s">
        <v>40</v>
      </c>
      <c r="I2720" s="6">
        <v>2016</v>
      </c>
      <c r="J2720" s="6">
        <v>1008</v>
      </c>
      <c r="K2720" s="37" t="s">
        <v>4318</v>
      </c>
      <c r="L2720" s="119"/>
      <c r="M2720" s="3"/>
    </row>
    <row r="2721" spans="1:13" s="4" customFormat="1" ht="14.25" customHeight="1" x14ac:dyDescent="0.25">
      <c r="A2721" s="4" t="s">
        <v>4545</v>
      </c>
      <c r="B2721" s="4" t="s">
        <v>183</v>
      </c>
      <c r="C2721" s="4" t="s">
        <v>14</v>
      </c>
      <c r="D2721" s="35">
        <v>7223</v>
      </c>
      <c r="E2721" s="4" t="s">
        <v>4546</v>
      </c>
      <c r="F2721" s="5">
        <v>40190</v>
      </c>
      <c r="G2721" s="5">
        <v>40550</v>
      </c>
      <c r="H2721" s="4" t="s">
        <v>40</v>
      </c>
      <c r="I2721" s="6">
        <v>57885.2</v>
      </c>
      <c r="J2721" s="6">
        <v>36442.6</v>
      </c>
      <c r="K2721" s="37" t="s">
        <v>4318</v>
      </c>
      <c r="L2721" s="119"/>
      <c r="M2721" s="3"/>
    </row>
    <row r="2722" spans="1:13" s="4" customFormat="1" ht="14.25" customHeight="1" x14ac:dyDescent="0.25">
      <c r="A2722" s="4" t="s">
        <v>4547</v>
      </c>
      <c r="B2722" s="4" t="s">
        <v>183</v>
      </c>
      <c r="C2722" s="4" t="s">
        <v>14</v>
      </c>
      <c r="D2722" s="35">
        <v>7224</v>
      </c>
      <c r="E2722" s="4" t="s">
        <v>4548</v>
      </c>
      <c r="F2722" s="5">
        <v>40290</v>
      </c>
      <c r="G2722" s="5">
        <v>40553</v>
      </c>
      <c r="H2722" s="4" t="s">
        <v>40</v>
      </c>
      <c r="I2722" s="6">
        <v>20000</v>
      </c>
      <c r="J2722" s="6">
        <v>10000</v>
      </c>
      <c r="K2722" s="37" t="s">
        <v>4318</v>
      </c>
      <c r="L2722" s="119"/>
      <c r="M2722" s="3"/>
    </row>
    <row r="2723" spans="1:13" s="4" customFormat="1" ht="14.25" customHeight="1" x14ac:dyDescent="0.25">
      <c r="A2723" s="4" t="s">
        <v>4549</v>
      </c>
      <c r="B2723" s="4" t="s">
        <v>38</v>
      </c>
      <c r="C2723" s="4" t="s">
        <v>14</v>
      </c>
      <c r="D2723" s="35">
        <v>7225</v>
      </c>
      <c r="E2723" s="4" t="s">
        <v>4550</v>
      </c>
      <c r="F2723" s="5">
        <v>40179</v>
      </c>
      <c r="H2723" s="4" t="s">
        <v>40</v>
      </c>
      <c r="I2723" s="6">
        <v>46000</v>
      </c>
      <c r="J2723" s="6">
        <v>46000</v>
      </c>
      <c r="K2723" s="37" t="s">
        <v>4318</v>
      </c>
      <c r="L2723" s="119"/>
      <c r="M2723" s="3"/>
    </row>
    <row r="2724" spans="1:13" s="4" customFormat="1" ht="14.25" customHeight="1" x14ac:dyDescent="0.25">
      <c r="A2724" s="4" t="s">
        <v>4551</v>
      </c>
      <c r="B2724" s="4" t="s">
        <v>38</v>
      </c>
      <c r="C2724" s="4" t="s">
        <v>14</v>
      </c>
      <c r="D2724" s="35">
        <v>7226</v>
      </c>
      <c r="E2724" s="4" t="s">
        <v>4552</v>
      </c>
      <c r="F2724" s="5">
        <v>40179</v>
      </c>
      <c r="G2724" s="5">
        <v>40487</v>
      </c>
      <c r="H2724" s="4" t="s">
        <v>40</v>
      </c>
      <c r="I2724" s="6">
        <v>9000</v>
      </c>
      <c r="J2724" s="6">
        <v>9000</v>
      </c>
      <c r="K2724" s="37" t="s">
        <v>4318</v>
      </c>
      <c r="L2724" s="119"/>
      <c r="M2724" s="3"/>
    </row>
    <row r="2725" spans="1:13" s="4" customFormat="1" ht="14.25" customHeight="1" x14ac:dyDescent="0.25">
      <c r="A2725" s="4" t="s">
        <v>4553</v>
      </c>
      <c r="B2725" s="4" t="s">
        <v>38</v>
      </c>
      <c r="C2725" s="4" t="s">
        <v>14</v>
      </c>
      <c r="D2725" s="35">
        <v>7227</v>
      </c>
      <c r="E2725" s="4" t="s">
        <v>4554</v>
      </c>
      <c r="F2725" s="5">
        <v>39814</v>
      </c>
      <c r="H2725" s="4" t="s">
        <v>40</v>
      </c>
      <c r="I2725" s="6">
        <v>6250</v>
      </c>
      <c r="J2725" s="6">
        <v>6250</v>
      </c>
      <c r="K2725" s="37" t="s">
        <v>4318</v>
      </c>
      <c r="L2725" s="119"/>
      <c r="M2725" s="3"/>
    </row>
    <row r="2726" spans="1:13" s="4" customFormat="1" ht="14.25" customHeight="1" x14ac:dyDescent="0.25">
      <c r="A2726" s="4" t="s">
        <v>4555</v>
      </c>
      <c r="B2726" s="4" t="s">
        <v>38</v>
      </c>
      <c r="C2726" s="4" t="s">
        <v>14</v>
      </c>
      <c r="D2726" s="35">
        <v>7228</v>
      </c>
      <c r="E2726" s="4" t="s">
        <v>4556</v>
      </c>
      <c r="F2726" s="5">
        <v>40179</v>
      </c>
      <c r="H2726" s="4" t="s">
        <v>40</v>
      </c>
      <c r="I2726" s="6">
        <v>3000</v>
      </c>
      <c r="J2726" s="6">
        <v>3000</v>
      </c>
      <c r="K2726" s="37" t="s">
        <v>4318</v>
      </c>
      <c r="L2726" s="119"/>
      <c r="M2726" s="3"/>
    </row>
    <row r="2727" spans="1:13" s="4" customFormat="1" ht="14.25" customHeight="1" x14ac:dyDescent="0.25">
      <c r="A2727" s="4" t="s">
        <v>4557</v>
      </c>
      <c r="B2727" s="4" t="s">
        <v>38</v>
      </c>
      <c r="C2727" s="4" t="s">
        <v>14</v>
      </c>
      <c r="D2727" s="35">
        <v>7229</v>
      </c>
      <c r="E2727" s="4" t="s">
        <v>4558</v>
      </c>
      <c r="F2727" s="5">
        <v>40179</v>
      </c>
      <c r="H2727" s="4" t="s">
        <v>40</v>
      </c>
      <c r="I2727" s="6">
        <v>39800</v>
      </c>
      <c r="J2727" s="6">
        <v>39800</v>
      </c>
      <c r="K2727" s="37" t="s">
        <v>4318</v>
      </c>
      <c r="L2727" s="119"/>
      <c r="M2727" s="3"/>
    </row>
    <row r="2728" spans="1:13" s="4" customFormat="1" ht="14.25" customHeight="1" x14ac:dyDescent="0.25">
      <c r="A2728" s="4" t="s">
        <v>4559</v>
      </c>
      <c r="B2728" s="4" t="s">
        <v>183</v>
      </c>
      <c r="C2728" s="4" t="s">
        <v>14</v>
      </c>
      <c r="D2728" s="35">
        <v>8587</v>
      </c>
      <c r="E2728" s="4" t="s">
        <v>4560</v>
      </c>
      <c r="F2728" s="5">
        <v>40290</v>
      </c>
      <c r="G2728" s="5">
        <v>40666</v>
      </c>
      <c r="H2728" s="4" t="s">
        <v>40</v>
      </c>
      <c r="I2728" s="6">
        <v>48550</v>
      </c>
      <c r="J2728" s="6">
        <v>15000</v>
      </c>
      <c r="K2728" s="37" t="s">
        <v>4318</v>
      </c>
      <c r="L2728" s="119"/>
      <c r="M2728" s="3"/>
    </row>
    <row r="2729" spans="1:13" s="4" customFormat="1" ht="14.25" customHeight="1" x14ac:dyDescent="0.25">
      <c r="A2729" s="4" t="s">
        <v>4561</v>
      </c>
      <c r="B2729" s="4" t="s">
        <v>183</v>
      </c>
      <c r="C2729" s="4" t="s">
        <v>14</v>
      </c>
      <c r="D2729" s="35">
        <v>8591</v>
      </c>
      <c r="E2729" s="4" t="s">
        <v>4562</v>
      </c>
      <c r="F2729" s="5">
        <v>40609</v>
      </c>
      <c r="G2729" s="5">
        <v>41024</v>
      </c>
      <c r="H2729" s="4" t="s">
        <v>40</v>
      </c>
      <c r="I2729" s="6">
        <v>15000</v>
      </c>
      <c r="J2729" s="6">
        <v>15000</v>
      </c>
      <c r="K2729" s="37" t="s">
        <v>4318</v>
      </c>
      <c r="L2729" s="119"/>
      <c r="M2729" s="3"/>
    </row>
    <row r="2730" spans="1:13" s="4" customFormat="1" ht="14.25" customHeight="1" x14ac:dyDescent="0.25">
      <c r="A2730" s="4" t="s">
        <v>4563</v>
      </c>
      <c r="B2730" s="4" t="s">
        <v>183</v>
      </c>
      <c r="C2730" s="4" t="s">
        <v>14</v>
      </c>
      <c r="D2730" s="35">
        <v>8593</v>
      </c>
      <c r="E2730" s="4" t="s">
        <v>4564</v>
      </c>
      <c r="F2730" s="5">
        <v>40686</v>
      </c>
      <c r="G2730" s="5">
        <v>41226</v>
      </c>
      <c r="H2730" s="4" t="s">
        <v>40</v>
      </c>
      <c r="I2730" s="6">
        <v>49193.14</v>
      </c>
      <c r="J2730" s="6">
        <v>30000</v>
      </c>
      <c r="K2730" s="37" t="s">
        <v>4318</v>
      </c>
      <c r="L2730" s="119"/>
      <c r="M2730" s="3"/>
    </row>
    <row r="2731" spans="1:13" s="4" customFormat="1" ht="14.25" customHeight="1" x14ac:dyDescent="0.25">
      <c r="A2731" s="4" t="s">
        <v>4565</v>
      </c>
      <c r="B2731" s="4" t="s">
        <v>183</v>
      </c>
      <c r="C2731" s="4" t="s">
        <v>14</v>
      </c>
      <c r="D2731" s="35">
        <v>8594</v>
      </c>
      <c r="E2731" s="4" t="s">
        <v>4566</v>
      </c>
      <c r="F2731" s="5">
        <v>40844</v>
      </c>
      <c r="G2731" s="5">
        <v>40876</v>
      </c>
      <c r="H2731" s="4" t="s">
        <v>40</v>
      </c>
      <c r="I2731" s="6">
        <v>6250</v>
      </c>
      <c r="J2731" s="6">
        <v>5000</v>
      </c>
      <c r="K2731" s="37" t="s">
        <v>4318</v>
      </c>
      <c r="L2731" s="119"/>
      <c r="M2731" s="3"/>
    </row>
    <row r="2732" spans="1:13" s="4" customFormat="1" ht="14.25" customHeight="1" x14ac:dyDescent="0.25">
      <c r="A2732" s="4" t="s">
        <v>4567</v>
      </c>
      <c r="B2732" s="4" t="s">
        <v>183</v>
      </c>
      <c r="C2732" s="4" t="s">
        <v>14</v>
      </c>
      <c r="D2732" s="35">
        <v>8638</v>
      </c>
      <c r="E2732" s="4" t="s">
        <v>4568</v>
      </c>
      <c r="F2732" s="5">
        <v>40413</v>
      </c>
      <c r="G2732" s="5">
        <v>40722</v>
      </c>
      <c r="H2732" s="4" t="s">
        <v>40</v>
      </c>
      <c r="I2732" s="6">
        <v>15000</v>
      </c>
      <c r="J2732" s="6">
        <v>15000</v>
      </c>
      <c r="K2732" s="37" t="s">
        <v>4318</v>
      </c>
      <c r="L2732" s="119"/>
      <c r="M2732" s="3"/>
    </row>
    <row r="2733" spans="1:13" s="4" customFormat="1" ht="14.25" customHeight="1" x14ac:dyDescent="0.25">
      <c r="A2733" s="4" t="s">
        <v>4569</v>
      </c>
      <c r="B2733" s="4" t="s">
        <v>183</v>
      </c>
      <c r="C2733" s="4" t="s">
        <v>14</v>
      </c>
      <c r="D2733" s="35">
        <v>8639</v>
      </c>
      <c r="E2733" s="4" t="s">
        <v>4570</v>
      </c>
      <c r="F2733" s="5">
        <v>40484</v>
      </c>
      <c r="G2733" s="5">
        <v>40864</v>
      </c>
      <c r="H2733" s="4" t="s">
        <v>40</v>
      </c>
      <c r="I2733" s="6">
        <v>32250</v>
      </c>
      <c r="J2733" s="6">
        <v>20000</v>
      </c>
      <c r="K2733" s="37" t="s">
        <v>4318</v>
      </c>
      <c r="L2733" s="119"/>
      <c r="M2733" s="3"/>
    </row>
    <row r="2734" spans="1:13" s="4" customFormat="1" ht="14.25" customHeight="1" x14ac:dyDescent="0.25">
      <c r="A2734" s="4" t="s">
        <v>4571</v>
      </c>
      <c r="B2734" s="4" t="s">
        <v>183</v>
      </c>
      <c r="C2734" s="4" t="s">
        <v>14</v>
      </c>
      <c r="D2734" s="35">
        <v>8640</v>
      </c>
      <c r="E2734" s="4" t="s">
        <v>4572</v>
      </c>
      <c r="F2734" s="5">
        <v>40610</v>
      </c>
      <c r="G2734" s="5">
        <v>40875</v>
      </c>
      <c r="H2734" s="4" t="s">
        <v>40</v>
      </c>
      <c r="I2734" s="6">
        <v>7500</v>
      </c>
      <c r="J2734" s="6">
        <v>7500</v>
      </c>
      <c r="K2734" s="37" t="s">
        <v>4318</v>
      </c>
      <c r="L2734" s="119"/>
      <c r="M2734" s="3"/>
    </row>
    <row r="2735" spans="1:13" s="4" customFormat="1" ht="14.25" customHeight="1" x14ac:dyDescent="0.25">
      <c r="A2735" s="4" t="s">
        <v>4573</v>
      </c>
      <c r="B2735" s="4" t="s">
        <v>183</v>
      </c>
      <c r="C2735" s="4" t="s">
        <v>14</v>
      </c>
      <c r="D2735" s="35">
        <v>8641</v>
      </c>
      <c r="E2735" s="4" t="s">
        <v>4574</v>
      </c>
      <c r="F2735" s="5">
        <v>40569</v>
      </c>
      <c r="G2735" s="5">
        <v>40805</v>
      </c>
      <c r="H2735" s="4" t="s">
        <v>40</v>
      </c>
      <c r="I2735" s="6">
        <v>7500</v>
      </c>
      <c r="J2735" s="6">
        <v>7500</v>
      </c>
      <c r="K2735" s="37" t="s">
        <v>4318</v>
      </c>
      <c r="L2735" s="119"/>
      <c r="M2735" s="3"/>
    </row>
    <row r="2736" spans="1:13" s="4" customFormat="1" ht="14.25" customHeight="1" x14ac:dyDescent="0.25">
      <c r="A2736" s="4" t="s">
        <v>4575</v>
      </c>
      <c r="B2736" s="4" t="s">
        <v>183</v>
      </c>
      <c r="C2736" s="4" t="s">
        <v>14</v>
      </c>
      <c r="D2736" s="35">
        <v>8652</v>
      </c>
      <c r="E2736" s="4" t="s">
        <v>4576</v>
      </c>
      <c r="F2736" s="5">
        <v>40560</v>
      </c>
      <c r="G2736" s="5">
        <v>40788</v>
      </c>
      <c r="H2736" s="4" t="s">
        <v>40</v>
      </c>
      <c r="I2736" s="6">
        <v>7500</v>
      </c>
      <c r="J2736" s="6">
        <v>7500</v>
      </c>
      <c r="K2736" s="37" t="s">
        <v>4318</v>
      </c>
      <c r="L2736" s="119"/>
      <c r="M2736" s="3"/>
    </row>
    <row r="2737" spans="1:60" s="4" customFormat="1" ht="14.25" customHeight="1" x14ac:dyDescent="0.25">
      <c r="A2737" s="4" t="s">
        <v>4577</v>
      </c>
      <c r="B2737" s="4" t="s">
        <v>190</v>
      </c>
      <c r="C2737" s="4" t="s">
        <v>14</v>
      </c>
      <c r="D2737" s="35">
        <v>8661</v>
      </c>
      <c r="E2737" s="4" t="s">
        <v>4578</v>
      </c>
      <c r="F2737" s="5">
        <v>40681</v>
      </c>
      <c r="G2737" s="5">
        <v>41059</v>
      </c>
      <c r="H2737" s="4" t="s">
        <v>40</v>
      </c>
      <c r="I2737" s="6">
        <v>26140</v>
      </c>
      <c r="J2737" s="6">
        <v>22500</v>
      </c>
      <c r="K2737" s="37" t="s">
        <v>4318</v>
      </c>
      <c r="L2737" s="119"/>
      <c r="M2737" s="3"/>
    </row>
    <row r="2738" spans="1:60" s="4" customFormat="1" ht="14.25" customHeight="1" x14ac:dyDescent="0.25">
      <c r="A2738" s="4" t="s">
        <v>4579</v>
      </c>
      <c r="B2738" s="4" t="s">
        <v>190</v>
      </c>
      <c r="C2738" s="4" t="s">
        <v>14</v>
      </c>
      <c r="D2738" s="35">
        <v>8662</v>
      </c>
      <c r="E2738" s="4" t="s">
        <v>4580</v>
      </c>
      <c r="F2738" s="5">
        <v>40834</v>
      </c>
      <c r="G2738" s="5">
        <v>40900</v>
      </c>
      <c r="H2738" s="4" t="s">
        <v>40</v>
      </c>
      <c r="I2738" s="6">
        <v>24000</v>
      </c>
      <c r="J2738" s="6">
        <v>12000</v>
      </c>
      <c r="K2738" s="37" t="s">
        <v>4318</v>
      </c>
      <c r="L2738" s="119"/>
      <c r="M2738" s="3"/>
    </row>
    <row r="2739" spans="1:60" s="4" customFormat="1" ht="14.25" customHeight="1" x14ac:dyDescent="0.25">
      <c r="A2739" s="4" t="s">
        <v>4581</v>
      </c>
      <c r="B2739" s="4" t="s">
        <v>183</v>
      </c>
      <c r="C2739" s="4" t="s">
        <v>14</v>
      </c>
      <c r="D2739" s="35">
        <v>8667</v>
      </c>
      <c r="E2739" s="4" t="s">
        <v>4582</v>
      </c>
      <c r="F2739" s="5">
        <v>40788</v>
      </c>
      <c r="G2739" s="5">
        <v>40898</v>
      </c>
      <c r="H2739" s="4" t="s">
        <v>40</v>
      </c>
      <c r="I2739" s="6">
        <v>10000</v>
      </c>
      <c r="J2739" s="6">
        <v>5000</v>
      </c>
      <c r="K2739" s="37" t="s">
        <v>4318</v>
      </c>
      <c r="L2739" s="119"/>
      <c r="M2739" s="3"/>
    </row>
    <row r="2740" spans="1:60" s="4" customFormat="1" ht="14.25" customHeight="1" x14ac:dyDescent="0.25">
      <c r="A2740" s="4" t="s">
        <v>4583</v>
      </c>
      <c r="B2740" s="4" t="s">
        <v>183</v>
      </c>
      <c r="C2740" s="4" t="s">
        <v>14</v>
      </c>
      <c r="D2740" s="35">
        <v>8669</v>
      </c>
      <c r="E2740" s="4" t="s">
        <v>4584</v>
      </c>
      <c r="F2740" s="5">
        <v>40822</v>
      </c>
      <c r="G2740" s="5">
        <v>41120</v>
      </c>
      <c r="H2740" s="4" t="s">
        <v>40</v>
      </c>
      <c r="I2740" s="6">
        <v>22500</v>
      </c>
      <c r="J2740" s="6">
        <v>15000</v>
      </c>
      <c r="K2740" s="37" t="s">
        <v>4318</v>
      </c>
      <c r="L2740" s="119"/>
      <c r="M2740" s="3"/>
    </row>
    <row r="2741" spans="1:60" s="4" customFormat="1" ht="14.25" customHeight="1" x14ac:dyDescent="0.25">
      <c r="A2741" s="4" t="s">
        <v>4585</v>
      </c>
      <c r="B2741" s="4" t="s">
        <v>183</v>
      </c>
      <c r="C2741" s="4" t="s">
        <v>14</v>
      </c>
      <c r="D2741" s="35">
        <v>8671</v>
      </c>
      <c r="E2741" s="4" t="s">
        <v>4586</v>
      </c>
      <c r="F2741" s="5">
        <v>40464</v>
      </c>
      <c r="G2741" s="5">
        <v>40742</v>
      </c>
      <c r="H2741" s="4" t="s">
        <v>40</v>
      </c>
      <c r="I2741" s="6">
        <v>7500</v>
      </c>
      <c r="J2741" s="6">
        <v>7500</v>
      </c>
      <c r="K2741" s="37" t="s">
        <v>4318</v>
      </c>
      <c r="L2741" s="119"/>
      <c r="M2741" s="3"/>
    </row>
    <row r="2742" spans="1:60" s="4" customFormat="1" ht="14.25" customHeight="1" x14ac:dyDescent="0.25">
      <c r="A2742" s="4" t="s">
        <v>4587</v>
      </c>
      <c r="B2742" s="4" t="s">
        <v>183</v>
      </c>
      <c r="C2742" s="4" t="s">
        <v>14</v>
      </c>
      <c r="D2742" s="35">
        <v>8672</v>
      </c>
      <c r="E2742" s="4" t="s">
        <v>4588</v>
      </c>
      <c r="F2742" s="5">
        <v>40494</v>
      </c>
      <c r="G2742" s="5">
        <v>41087</v>
      </c>
      <c r="H2742" s="4" t="s">
        <v>40</v>
      </c>
      <c r="I2742" s="6">
        <v>19000</v>
      </c>
      <c r="J2742" s="6">
        <v>15000</v>
      </c>
      <c r="K2742" s="37" t="s">
        <v>4318</v>
      </c>
      <c r="L2742" s="119"/>
      <c r="M2742" s="3"/>
    </row>
    <row r="2743" spans="1:60" s="4" customFormat="1" ht="14.25" customHeight="1" x14ac:dyDescent="0.25">
      <c r="A2743" s="4" t="s">
        <v>4539</v>
      </c>
      <c r="B2743" s="4" t="s">
        <v>183</v>
      </c>
      <c r="C2743" s="4" t="s">
        <v>14</v>
      </c>
      <c r="D2743" s="35">
        <v>8673</v>
      </c>
      <c r="E2743" s="4" t="s">
        <v>4589</v>
      </c>
      <c r="F2743" s="5">
        <v>40464</v>
      </c>
      <c r="G2743" s="5">
        <v>40704</v>
      </c>
      <c r="H2743" s="4" t="s">
        <v>40</v>
      </c>
      <c r="I2743" s="6">
        <v>20000</v>
      </c>
      <c r="J2743" s="6">
        <v>10000</v>
      </c>
      <c r="K2743" s="37" t="s">
        <v>4318</v>
      </c>
      <c r="L2743" s="119"/>
      <c r="M2743" s="3"/>
    </row>
    <row r="2744" spans="1:60" s="4" customFormat="1" ht="14.25" customHeight="1" x14ac:dyDescent="0.25">
      <c r="A2744" s="4" t="s">
        <v>4590</v>
      </c>
      <c r="B2744" s="4" t="s">
        <v>183</v>
      </c>
      <c r="C2744" s="4" t="s">
        <v>14</v>
      </c>
      <c r="D2744" s="35">
        <v>8675</v>
      </c>
      <c r="E2744" s="4" t="s">
        <v>4591</v>
      </c>
      <c r="F2744" s="5">
        <v>40522</v>
      </c>
      <c r="G2744" s="5">
        <v>40834</v>
      </c>
      <c r="H2744" s="4" t="s">
        <v>40</v>
      </c>
      <c r="I2744" s="6">
        <v>15000</v>
      </c>
      <c r="J2744" s="6">
        <v>15000</v>
      </c>
      <c r="K2744" s="37" t="s">
        <v>4318</v>
      </c>
      <c r="L2744" s="119"/>
      <c r="M2744" s="3"/>
    </row>
    <row r="2745" spans="1:60" s="4" customFormat="1" ht="14.25" customHeight="1" x14ac:dyDescent="0.25">
      <c r="A2745" s="4" t="s">
        <v>4592</v>
      </c>
      <c r="B2745" s="4" t="s">
        <v>183</v>
      </c>
      <c r="C2745" s="4" t="s">
        <v>14</v>
      </c>
      <c r="D2745" s="35">
        <v>8678</v>
      </c>
      <c r="E2745" s="4" t="s">
        <v>4593</v>
      </c>
      <c r="F2745" s="5">
        <v>40728</v>
      </c>
      <c r="G2745" s="5">
        <v>40885</v>
      </c>
      <c r="H2745" s="4" t="s">
        <v>40</v>
      </c>
      <c r="I2745" s="6">
        <v>7500</v>
      </c>
      <c r="J2745" s="6">
        <v>7500</v>
      </c>
      <c r="K2745" s="37" t="s">
        <v>4318</v>
      </c>
      <c r="L2745" s="119"/>
      <c r="M2745" s="3"/>
    </row>
    <row r="2746" spans="1:60" s="4" customFormat="1" ht="14.25" customHeight="1" x14ac:dyDescent="0.25">
      <c r="A2746" s="4" t="s">
        <v>4594</v>
      </c>
      <c r="B2746" s="4" t="s">
        <v>183</v>
      </c>
      <c r="C2746" s="4" t="s">
        <v>14</v>
      </c>
      <c r="D2746" s="35">
        <v>8684</v>
      </c>
      <c r="E2746" s="4" t="s">
        <v>4595</v>
      </c>
      <c r="F2746" s="5">
        <v>40525</v>
      </c>
      <c r="G2746" s="5">
        <v>40772</v>
      </c>
      <c r="H2746" s="4" t="s">
        <v>40</v>
      </c>
      <c r="I2746" s="6">
        <v>15000</v>
      </c>
      <c r="J2746" s="6">
        <v>15000</v>
      </c>
      <c r="K2746" s="37" t="s">
        <v>4318</v>
      </c>
      <c r="L2746" s="119"/>
      <c r="M2746" s="3"/>
    </row>
    <row r="2747" spans="1:60" s="4" customFormat="1" ht="14.25" customHeight="1" x14ac:dyDescent="0.25">
      <c r="A2747" s="4" t="s">
        <v>4596</v>
      </c>
      <c r="B2747" s="4" t="s">
        <v>183</v>
      </c>
      <c r="C2747" s="4" t="s">
        <v>14</v>
      </c>
      <c r="D2747" s="35">
        <v>8697</v>
      </c>
      <c r="E2747" s="4" t="s">
        <v>4597</v>
      </c>
      <c r="F2747" s="5">
        <v>40240</v>
      </c>
      <c r="G2747" s="5">
        <v>40646</v>
      </c>
      <c r="H2747" s="4" t="s">
        <v>40</v>
      </c>
      <c r="I2747" s="6">
        <v>14925</v>
      </c>
      <c r="J2747" s="6">
        <v>10000</v>
      </c>
      <c r="K2747" s="37" t="s">
        <v>4318</v>
      </c>
      <c r="L2747" s="119"/>
      <c r="M2747" s="3"/>
    </row>
    <row r="2748" spans="1:60" s="4" customFormat="1" ht="14.25" customHeight="1" x14ac:dyDescent="0.25">
      <c r="A2748" s="4" t="s">
        <v>4598</v>
      </c>
      <c r="B2748" s="4" t="s">
        <v>183</v>
      </c>
      <c r="C2748" s="4" t="s">
        <v>14</v>
      </c>
      <c r="D2748" s="35">
        <v>8709</v>
      </c>
      <c r="E2748" s="4" t="s">
        <v>4599</v>
      </c>
      <c r="F2748" s="5">
        <v>40525</v>
      </c>
      <c r="G2748" s="5">
        <v>40730</v>
      </c>
      <c r="H2748" s="4" t="s">
        <v>40</v>
      </c>
      <c r="I2748" s="6">
        <v>7500</v>
      </c>
      <c r="J2748" s="6">
        <v>7500</v>
      </c>
      <c r="K2748" s="37" t="s">
        <v>4318</v>
      </c>
      <c r="L2748" s="119"/>
      <c r="M2748" s="3"/>
    </row>
    <row r="2749" spans="1:60" s="4" customFormat="1" ht="14.25" customHeight="1" x14ac:dyDescent="0.25">
      <c r="A2749" s="4" t="s">
        <v>4600</v>
      </c>
      <c r="B2749" s="4" t="s">
        <v>183</v>
      </c>
      <c r="C2749" s="4" t="s">
        <v>14</v>
      </c>
      <c r="D2749" s="35">
        <v>8718</v>
      </c>
      <c r="E2749" s="4" t="s">
        <v>4601</v>
      </c>
      <c r="F2749" s="5">
        <v>40809</v>
      </c>
      <c r="G2749" s="5">
        <v>40906</v>
      </c>
      <c r="H2749" s="4" t="s">
        <v>40</v>
      </c>
      <c r="I2749" s="6">
        <v>11509</v>
      </c>
      <c r="J2749" s="6">
        <v>7500</v>
      </c>
      <c r="K2749" s="37" t="s">
        <v>4318</v>
      </c>
      <c r="L2749" s="119"/>
      <c r="M2749" s="3"/>
    </row>
    <row r="2750" spans="1:60" s="4" customFormat="1" ht="14.25" customHeight="1" x14ac:dyDescent="0.25">
      <c r="A2750" s="4" t="s">
        <v>4602</v>
      </c>
      <c r="B2750" s="4" t="s">
        <v>38</v>
      </c>
      <c r="C2750" s="4" t="s">
        <v>14</v>
      </c>
      <c r="D2750" s="35">
        <v>8803</v>
      </c>
      <c r="E2750" s="4" t="s">
        <v>4603</v>
      </c>
      <c r="F2750" s="5">
        <v>40544</v>
      </c>
      <c r="H2750" s="4" t="s">
        <v>40</v>
      </c>
      <c r="I2750" s="6">
        <v>23700</v>
      </c>
      <c r="J2750" s="6">
        <f>6900+16800</f>
        <v>23700</v>
      </c>
      <c r="K2750" s="37" t="s">
        <v>4318</v>
      </c>
      <c r="L2750" s="119"/>
      <c r="M2750" s="3"/>
    </row>
    <row r="2751" spans="1:60" s="4" customFormat="1" ht="14.25" customHeight="1" x14ac:dyDescent="0.25">
      <c r="A2751" s="4" t="s">
        <v>4604</v>
      </c>
      <c r="B2751" s="4" t="s">
        <v>38</v>
      </c>
      <c r="C2751" s="4" t="s">
        <v>14</v>
      </c>
      <c r="D2751" s="35">
        <v>8806</v>
      </c>
      <c r="E2751" s="4" t="s">
        <v>4605</v>
      </c>
      <c r="F2751" s="5">
        <v>40544</v>
      </c>
      <c r="H2751" s="4" t="s">
        <v>40</v>
      </c>
      <c r="I2751" s="6">
        <v>3160.5</v>
      </c>
      <c r="J2751" s="6">
        <v>3160.5</v>
      </c>
      <c r="K2751" s="37" t="s">
        <v>4318</v>
      </c>
      <c r="L2751" s="119"/>
      <c r="M2751" s="3"/>
    </row>
    <row r="2752" spans="1:60" s="9" customFormat="1" ht="14.25" customHeight="1" x14ac:dyDescent="0.25">
      <c r="A2752" s="4" t="s">
        <v>4606</v>
      </c>
      <c r="B2752" s="4" t="s">
        <v>38</v>
      </c>
      <c r="C2752" s="4" t="s">
        <v>14</v>
      </c>
      <c r="D2752" s="35">
        <v>8811</v>
      </c>
      <c r="E2752" s="4" t="s">
        <v>4607</v>
      </c>
      <c r="F2752" s="5">
        <v>40544</v>
      </c>
      <c r="G2752" s="4"/>
      <c r="H2752" s="4" t="s">
        <v>40</v>
      </c>
      <c r="I2752" s="6">
        <v>6063</v>
      </c>
      <c r="J2752" s="6">
        <f>4928+1135</f>
        <v>6063</v>
      </c>
      <c r="K2752" s="37" t="s">
        <v>4318</v>
      </c>
      <c r="L2752" s="119"/>
      <c r="M2752" s="3"/>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row>
    <row r="2753" spans="1:13" s="4" customFormat="1" ht="14.25" customHeight="1" x14ac:dyDescent="0.25">
      <c r="A2753" s="4" t="s">
        <v>4608</v>
      </c>
      <c r="B2753" s="4" t="s">
        <v>38</v>
      </c>
      <c r="C2753" s="4" t="s">
        <v>14</v>
      </c>
      <c r="D2753" s="35">
        <v>8812</v>
      </c>
      <c r="E2753" s="4" t="s">
        <v>4609</v>
      </c>
      <c r="F2753" s="5">
        <v>40544</v>
      </c>
      <c r="H2753" s="4" t="s">
        <v>40</v>
      </c>
      <c r="I2753" s="6">
        <v>655</v>
      </c>
      <c r="J2753" s="6">
        <v>655</v>
      </c>
      <c r="K2753" s="37" t="s">
        <v>4318</v>
      </c>
      <c r="L2753" s="119"/>
      <c r="M2753" s="3"/>
    </row>
    <row r="2754" spans="1:13" s="4" customFormat="1" ht="14.25" customHeight="1" x14ac:dyDescent="0.25">
      <c r="A2754" s="4" t="s">
        <v>4610</v>
      </c>
      <c r="B2754" s="4" t="s">
        <v>38</v>
      </c>
      <c r="C2754" s="4" t="s">
        <v>14</v>
      </c>
      <c r="D2754" s="35">
        <v>8813</v>
      </c>
      <c r="E2754" s="4" t="s">
        <v>4611</v>
      </c>
      <c r="F2754" s="5">
        <v>40544</v>
      </c>
      <c r="H2754" s="4" t="s">
        <v>40</v>
      </c>
      <c r="I2754" s="6">
        <v>646</v>
      </c>
      <c r="J2754" s="6">
        <v>646</v>
      </c>
      <c r="K2754" s="37" t="s">
        <v>4318</v>
      </c>
      <c r="L2754" s="119"/>
      <c r="M2754" s="3"/>
    </row>
    <row r="2755" spans="1:13" s="4" customFormat="1" ht="14.25" customHeight="1" x14ac:dyDescent="0.25">
      <c r="A2755" s="4" t="s">
        <v>4612</v>
      </c>
      <c r="B2755" s="4" t="s">
        <v>183</v>
      </c>
      <c r="C2755" s="4" t="s">
        <v>14</v>
      </c>
      <c r="D2755" s="35">
        <v>10590</v>
      </c>
      <c r="E2755" s="4" t="s">
        <v>4613</v>
      </c>
      <c r="F2755" s="5">
        <v>40952</v>
      </c>
      <c r="G2755" s="5">
        <v>41220</v>
      </c>
      <c r="H2755" s="4" t="s">
        <v>40</v>
      </c>
      <c r="I2755" s="6">
        <v>5000</v>
      </c>
      <c r="J2755" s="6">
        <v>5000</v>
      </c>
      <c r="K2755" s="37" t="s">
        <v>4318</v>
      </c>
      <c r="L2755" s="119"/>
      <c r="M2755" s="3"/>
    </row>
    <row r="2756" spans="1:13" s="4" customFormat="1" ht="14.25" customHeight="1" x14ac:dyDescent="0.25">
      <c r="A2756" s="4" t="s">
        <v>4614</v>
      </c>
      <c r="B2756" s="4" t="s">
        <v>183</v>
      </c>
      <c r="C2756" s="4" t="s">
        <v>14</v>
      </c>
      <c r="D2756" s="35">
        <v>10686</v>
      </c>
      <c r="E2756" s="4" t="s">
        <v>4615</v>
      </c>
      <c r="F2756" s="5">
        <v>40830</v>
      </c>
      <c r="G2756" s="5">
        <v>41297</v>
      </c>
      <c r="H2756" s="4" t="s">
        <v>40</v>
      </c>
      <c r="I2756" s="6">
        <v>18086</v>
      </c>
      <c r="J2756" s="6">
        <f>12393+400</f>
        <v>12793</v>
      </c>
      <c r="K2756" s="37" t="s">
        <v>4318</v>
      </c>
      <c r="L2756" s="119"/>
      <c r="M2756" s="3"/>
    </row>
    <row r="2757" spans="1:13" s="4" customFormat="1" ht="14.25" customHeight="1" x14ac:dyDescent="0.25">
      <c r="A2757" s="4" t="s">
        <v>4616</v>
      </c>
      <c r="B2757" s="4" t="s">
        <v>183</v>
      </c>
      <c r="C2757" s="4" t="s">
        <v>14</v>
      </c>
      <c r="D2757" s="35">
        <v>10690</v>
      </c>
      <c r="E2757" s="4" t="s">
        <v>4617</v>
      </c>
      <c r="F2757" s="5">
        <v>40659</v>
      </c>
      <c r="G2757" s="5">
        <v>41079</v>
      </c>
      <c r="H2757" s="4" t="s">
        <v>40</v>
      </c>
      <c r="I2757" s="6">
        <v>9288</v>
      </c>
      <c r="J2757" s="6">
        <v>4644</v>
      </c>
      <c r="K2757" s="37" t="s">
        <v>4318</v>
      </c>
      <c r="L2757" s="119"/>
      <c r="M2757" s="3"/>
    </row>
    <row r="2758" spans="1:13" s="4" customFormat="1" ht="14.25" customHeight="1" x14ac:dyDescent="0.25">
      <c r="A2758" s="4" t="s">
        <v>4618</v>
      </c>
      <c r="B2758" s="4" t="s">
        <v>190</v>
      </c>
      <c r="C2758" s="4" t="s">
        <v>14</v>
      </c>
      <c r="D2758" s="35">
        <v>10691</v>
      </c>
      <c r="E2758" s="4" t="s">
        <v>4619</v>
      </c>
      <c r="F2758" s="5">
        <v>41176</v>
      </c>
      <c r="G2758" s="5">
        <v>41262</v>
      </c>
      <c r="H2758" s="4" t="s">
        <v>40</v>
      </c>
      <c r="I2758" s="6">
        <v>12000</v>
      </c>
      <c r="J2758" s="6">
        <v>6000</v>
      </c>
      <c r="K2758" s="37" t="s">
        <v>4318</v>
      </c>
      <c r="L2758" s="119"/>
      <c r="M2758" s="3"/>
    </row>
    <row r="2759" spans="1:13" s="4" customFormat="1" ht="14.25" customHeight="1" x14ac:dyDescent="0.25">
      <c r="A2759" s="4" t="s">
        <v>4620</v>
      </c>
      <c r="B2759" s="4" t="s">
        <v>183</v>
      </c>
      <c r="C2759" s="4" t="s">
        <v>14</v>
      </c>
      <c r="D2759" s="35">
        <v>10712</v>
      </c>
      <c r="E2759" s="4" t="s">
        <v>4621</v>
      </c>
      <c r="F2759" s="5">
        <v>41087</v>
      </c>
      <c r="G2759" s="5">
        <v>41334</v>
      </c>
      <c r="H2759" s="4" t="s">
        <v>40</v>
      </c>
      <c r="I2759" s="6">
        <v>7500</v>
      </c>
      <c r="J2759" s="6">
        <f>3750+3750</f>
        <v>7500</v>
      </c>
      <c r="K2759" s="37" t="s">
        <v>4318</v>
      </c>
      <c r="L2759" s="119"/>
      <c r="M2759" s="3"/>
    </row>
    <row r="2760" spans="1:13" s="4" customFormat="1" ht="14.25" customHeight="1" x14ac:dyDescent="0.25">
      <c r="A2760" s="4" t="s">
        <v>4622</v>
      </c>
      <c r="B2760" s="4" t="s">
        <v>183</v>
      </c>
      <c r="C2760" s="4" t="s">
        <v>14</v>
      </c>
      <c r="D2760" s="35">
        <v>10715</v>
      </c>
      <c r="E2760" s="4" t="s">
        <v>4623</v>
      </c>
      <c r="F2760" s="5">
        <v>40926</v>
      </c>
      <c r="G2760" s="5">
        <v>41123</v>
      </c>
      <c r="H2760" s="4" t="s">
        <v>40</v>
      </c>
      <c r="I2760" s="6">
        <v>15000</v>
      </c>
      <c r="J2760" s="6">
        <v>15000</v>
      </c>
      <c r="K2760" s="37" t="s">
        <v>4318</v>
      </c>
      <c r="L2760" s="119"/>
      <c r="M2760" s="3"/>
    </row>
    <row r="2761" spans="1:13" s="4" customFormat="1" ht="14.25" customHeight="1" x14ac:dyDescent="0.25">
      <c r="A2761" s="4" t="s">
        <v>4624</v>
      </c>
      <c r="B2761" s="4" t="s">
        <v>90</v>
      </c>
      <c r="C2761" s="4" t="s">
        <v>14</v>
      </c>
      <c r="D2761" s="35">
        <v>10716</v>
      </c>
      <c r="E2761" s="4" t="s">
        <v>4625</v>
      </c>
      <c r="F2761" s="5">
        <v>40701</v>
      </c>
      <c r="G2761" s="5">
        <v>41078</v>
      </c>
      <c r="H2761" s="4" t="s">
        <v>40</v>
      </c>
      <c r="I2761" s="6">
        <v>10000</v>
      </c>
      <c r="J2761" s="6">
        <v>5000</v>
      </c>
      <c r="K2761" s="37" t="s">
        <v>4318</v>
      </c>
      <c r="L2761" s="119"/>
      <c r="M2761" s="3"/>
    </row>
    <row r="2762" spans="1:13" s="4" customFormat="1" ht="14.25" customHeight="1" x14ac:dyDescent="0.25">
      <c r="A2762" s="4" t="s">
        <v>4626</v>
      </c>
      <c r="B2762" s="4" t="s">
        <v>190</v>
      </c>
      <c r="C2762" s="4" t="s">
        <v>14</v>
      </c>
      <c r="D2762" s="35">
        <v>10723</v>
      </c>
      <c r="E2762" s="4" t="s">
        <v>4627</v>
      </c>
      <c r="F2762" s="5">
        <v>40828</v>
      </c>
      <c r="G2762" s="5">
        <v>40934</v>
      </c>
      <c r="H2762" s="4" t="s">
        <v>40</v>
      </c>
      <c r="I2762" s="6">
        <v>28080</v>
      </c>
      <c r="J2762" s="6">
        <v>14040</v>
      </c>
      <c r="K2762" s="37" t="s">
        <v>4318</v>
      </c>
      <c r="L2762" s="119"/>
      <c r="M2762" s="3"/>
    </row>
    <row r="2763" spans="1:13" s="4" customFormat="1" ht="14.25" customHeight="1" x14ac:dyDescent="0.25">
      <c r="A2763" s="4" t="s">
        <v>4628</v>
      </c>
      <c r="B2763" s="4" t="s">
        <v>190</v>
      </c>
      <c r="C2763" s="4" t="s">
        <v>14</v>
      </c>
      <c r="D2763" s="35">
        <v>10725</v>
      </c>
      <c r="E2763" s="4" t="s">
        <v>4629</v>
      </c>
      <c r="F2763" s="5">
        <v>40830</v>
      </c>
      <c r="G2763" s="5">
        <v>41417</v>
      </c>
      <c r="H2763" s="4" t="s">
        <v>40</v>
      </c>
      <c r="I2763" s="6">
        <v>7954</v>
      </c>
      <c r="J2763" s="6">
        <v>3977</v>
      </c>
      <c r="K2763" s="37" t="s">
        <v>4318</v>
      </c>
      <c r="L2763" s="119"/>
      <c r="M2763" s="3"/>
    </row>
    <row r="2764" spans="1:13" s="4" customFormat="1" ht="14.25" customHeight="1" x14ac:dyDescent="0.25">
      <c r="A2764" s="4" t="s">
        <v>4630</v>
      </c>
      <c r="B2764" s="4" t="s">
        <v>183</v>
      </c>
      <c r="C2764" s="4" t="s">
        <v>14</v>
      </c>
      <c r="D2764" s="35">
        <v>10726</v>
      </c>
      <c r="E2764" s="4" t="s">
        <v>4631</v>
      </c>
      <c r="F2764" s="5">
        <v>41082</v>
      </c>
      <c r="G2764" s="5">
        <v>41348</v>
      </c>
      <c r="H2764" s="4" t="s">
        <v>40</v>
      </c>
      <c r="I2764" s="6">
        <v>7500</v>
      </c>
      <c r="J2764" s="6">
        <f>3750+3750</f>
        <v>7500</v>
      </c>
      <c r="K2764" s="37" t="s">
        <v>4318</v>
      </c>
      <c r="L2764" s="119"/>
      <c r="M2764" s="3"/>
    </row>
    <row r="2765" spans="1:13" s="4" customFormat="1" ht="14.25" customHeight="1" x14ac:dyDescent="0.25">
      <c r="A2765" s="4" t="s">
        <v>4632</v>
      </c>
      <c r="B2765" s="4" t="s">
        <v>190</v>
      </c>
      <c r="C2765" s="4" t="s">
        <v>14</v>
      </c>
      <c r="D2765" s="35">
        <v>10731</v>
      </c>
      <c r="E2765" s="4" t="s">
        <v>4633</v>
      </c>
      <c r="F2765" s="5">
        <v>40994</v>
      </c>
      <c r="G2765" s="5">
        <v>41232</v>
      </c>
      <c r="H2765" s="4" t="s">
        <v>40</v>
      </c>
      <c r="I2765" s="6">
        <v>4500</v>
      </c>
      <c r="J2765" s="6">
        <v>4500</v>
      </c>
      <c r="K2765" s="37" t="s">
        <v>4318</v>
      </c>
      <c r="L2765" s="119"/>
      <c r="M2765" s="3"/>
    </row>
    <row r="2766" spans="1:13" s="4" customFormat="1" ht="14.25" customHeight="1" x14ac:dyDescent="0.25">
      <c r="A2766" s="4" t="s">
        <v>4634</v>
      </c>
      <c r="B2766" s="4" t="s">
        <v>183</v>
      </c>
      <c r="C2766" s="4" t="s">
        <v>14</v>
      </c>
      <c r="D2766" s="35">
        <v>10733</v>
      </c>
      <c r="E2766" s="4" t="s">
        <v>4635</v>
      </c>
      <c r="F2766" s="5">
        <v>40994</v>
      </c>
      <c r="G2766" s="5">
        <v>41186</v>
      </c>
      <c r="H2766" s="4" t="s">
        <v>40</v>
      </c>
      <c r="I2766" s="6">
        <v>7500</v>
      </c>
      <c r="J2766" s="6">
        <v>7500</v>
      </c>
      <c r="K2766" s="37" t="s">
        <v>4318</v>
      </c>
      <c r="L2766" s="119"/>
      <c r="M2766" s="3"/>
    </row>
    <row r="2767" spans="1:13" s="4" customFormat="1" ht="14.25" customHeight="1" x14ac:dyDescent="0.25">
      <c r="A2767" s="4" t="s">
        <v>4636</v>
      </c>
      <c r="B2767" s="4" t="s">
        <v>90</v>
      </c>
      <c r="C2767" s="4" t="s">
        <v>14</v>
      </c>
      <c r="D2767" s="35">
        <v>10734</v>
      </c>
      <c r="E2767" s="4" t="s">
        <v>4637</v>
      </c>
      <c r="F2767" s="5">
        <v>40981</v>
      </c>
      <c r="G2767" s="5">
        <v>41215</v>
      </c>
      <c r="H2767" s="4" t="s">
        <v>40</v>
      </c>
      <c r="I2767" s="6">
        <v>7000</v>
      </c>
      <c r="J2767" s="6">
        <v>3500</v>
      </c>
      <c r="K2767" s="37" t="s">
        <v>4318</v>
      </c>
      <c r="L2767" s="119"/>
      <c r="M2767" s="3"/>
    </row>
    <row r="2768" spans="1:13" s="4" customFormat="1" ht="14.25" customHeight="1" x14ac:dyDescent="0.25">
      <c r="A2768" s="4" t="s">
        <v>4638</v>
      </c>
      <c r="B2768" s="4" t="s">
        <v>183</v>
      </c>
      <c r="C2768" s="4" t="s">
        <v>14</v>
      </c>
      <c r="D2768" s="35">
        <v>10735</v>
      </c>
      <c r="E2768" s="4" t="s">
        <v>4639</v>
      </c>
      <c r="F2768" s="5">
        <v>40554</v>
      </c>
      <c r="G2768" s="5">
        <v>41110</v>
      </c>
      <c r="H2768" s="4" t="s">
        <v>40</v>
      </c>
      <c r="I2768" s="6">
        <v>15474</v>
      </c>
      <c r="J2768" s="6">
        <v>11487</v>
      </c>
      <c r="K2768" s="37" t="s">
        <v>4318</v>
      </c>
      <c r="L2768" s="119"/>
      <c r="M2768" s="3"/>
    </row>
    <row r="2769" spans="1:13" s="4" customFormat="1" ht="14.25" customHeight="1" x14ac:dyDescent="0.25">
      <c r="A2769" s="4" t="s">
        <v>4640</v>
      </c>
      <c r="B2769" s="4" t="s">
        <v>183</v>
      </c>
      <c r="C2769" s="4" t="s">
        <v>14</v>
      </c>
      <c r="D2769" s="35">
        <v>10736</v>
      </c>
      <c r="E2769" s="4" t="s">
        <v>4641</v>
      </c>
      <c r="F2769" s="5">
        <v>40953</v>
      </c>
      <c r="G2769" s="5">
        <v>41401</v>
      </c>
      <c r="H2769" s="4" t="s">
        <v>40</v>
      </c>
      <c r="I2769" s="6">
        <v>22500</v>
      </c>
      <c r="J2769" s="6">
        <f>18750+3750</f>
        <v>22500</v>
      </c>
      <c r="K2769" s="37" t="s">
        <v>4318</v>
      </c>
      <c r="L2769" s="119"/>
      <c r="M2769" s="3"/>
    </row>
    <row r="2770" spans="1:13" s="4" customFormat="1" ht="14.25" customHeight="1" x14ac:dyDescent="0.25">
      <c r="A2770" s="4" t="s">
        <v>4642</v>
      </c>
      <c r="B2770" s="4" t="s">
        <v>190</v>
      </c>
      <c r="C2770" s="4" t="s">
        <v>14</v>
      </c>
      <c r="D2770" s="35">
        <v>10739</v>
      </c>
      <c r="E2770" s="4" t="s">
        <v>4643</v>
      </c>
      <c r="F2770" s="5">
        <v>40788</v>
      </c>
      <c r="G2770" s="5">
        <v>41033</v>
      </c>
      <c r="H2770" s="4" t="s">
        <v>40</v>
      </c>
      <c r="I2770" s="6">
        <v>17176</v>
      </c>
      <c r="J2770" s="6">
        <v>8588</v>
      </c>
      <c r="K2770" s="37" t="s">
        <v>4318</v>
      </c>
      <c r="L2770" s="119"/>
      <c r="M2770" s="3"/>
    </row>
    <row r="2771" spans="1:13" s="4" customFormat="1" ht="14.25" customHeight="1" x14ac:dyDescent="0.25">
      <c r="A2771" s="4" t="s">
        <v>4644</v>
      </c>
      <c r="B2771" s="4" t="s">
        <v>183</v>
      </c>
      <c r="C2771" s="4" t="s">
        <v>14</v>
      </c>
      <c r="D2771" s="35">
        <v>10740</v>
      </c>
      <c r="E2771" s="4" t="s">
        <v>4645</v>
      </c>
      <c r="F2771" s="5">
        <v>40855</v>
      </c>
      <c r="G2771" s="5">
        <v>41309</v>
      </c>
      <c r="H2771" s="4" t="s">
        <v>40</v>
      </c>
      <c r="I2771" s="6">
        <v>7500</v>
      </c>
      <c r="J2771" s="6">
        <f>3750+3750</f>
        <v>7500</v>
      </c>
      <c r="K2771" s="37" t="s">
        <v>4318</v>
      </c>
      <c r="L2771" s="119"/>
      <c r="M2771" s="3"/>
    </row>
    <row r="2772" spans="1:13" s="4" customFormat="1" ht="14.25" customHeight="1" x14ac:dyDescent="0.25">
      <c r="A2772" s="4" t="s">
        <v>4646</v>
      </c>
      <c r="B2772" s="4" t="s">
        <v>190</v>
      </c>
      <c r="C2772" s="4" t="s">
        <v>14</v>
      </c>
      <c r="D2772" s="35">
        <v>10742</v>
      </c>
      <c r="E2772" s="4" t="s">
        <v>4647</v>
      </c>
      <c r="F2772" s="5">
        <v>40786</v>
      </c>
      <c r="G2772" s="5">
        <v>41222</v>
      </c>
      <c r="H2772" s="4" t="s">
        <v>40</v>
      </c>
      <c r="I2772" s="6">
        <v>31278</v>
      </c>
      <c r="J2772" s="6">
        <v>15639</v>
      </c>
      <c r="K2772" s="37" t="s">
        <v>4318</v>
      </c>
      <c r="L2772" s="119"/>
      <c r="M2772" s="3"/>
    </row>
    <row r="2773" spans="1:13" s="4" customFormat="1" ht="14.25" customHeight="1" x14ac:dyDescent="0.25">
      <c r="A2773" s="4" t="s">
        <v>4648</v>
      </c>
      <c r="B2773" s="4" t="s">
        <v>183</v>
      </c>
      <c r="C2773" s="4" t="s">
        <v>14</v>
      </c>
      <c r="D2773" s="35">
        <v>10777</v>
      </c>
      <c r="E2773" s="4" t="s">
        <v>4649</v>
      </c>
      <c r="F2773" s="5">
        <v>40941</v>
      </c>
      <c r="G2773" s="5">
        <v>41219</v>
      </c>
      <c r="H2773" s="4" t="s">
        <v>40</v>
      </c>
      <c r="I2773" s="6">
        <v>7500</v>
      </c>
      <c r="J2773" s="6">
        <v>7500</v>
      </c>
      <c r="K2773" s="37" t="s">
        <v>4318</v>
      </c>
      <c r="L2773" s="119"/>
      <c r="M2773" s="3"/>
    </row>
    <row r="2774" spans="1:13" s="4" customFormat="1" ht="14.25" customHeight="1" x14ac:dyDescent="0.25">
      <c r="A2774" s="4" t="s">
        <v>4650</v>
      </c>
      <c r="B2774" s="4" t="s">
        <v>90</v>
      </c>
      <c r="C2774" s="4" t="s">
        <v>14</v>
      </c>
      <c r="D2774" s="35">
        <v>10778</v>
      </c>
      <c r="E2774" s="4" t="s">
        <v>4651</v>
      </c>
      <c r="F2774" s="5">
        <v>40659</v>
      </c>
      <c r="G2774" s="5">
        <v>40954</v>
      </c>
      <c r="H2774" s="4" t="s">
        <v>40</v>
      </c>
      <c r="I2774" s="6">
        <v>8000</v>
      </c>
      <c r="J2774" s="6">
        <v>4000</v>
      </c>
      <c r="K2774" s="37" t="s">
        <v>4318</v>
      </c>
      <c r="L2774" s="119"/>
      <c r="M2774" s="3"/>
    </row>
    <row r="2775" spans="1:13" s="4" customFormat="1" ht="14.25" customHeight="1" x14ac:dyDescent="0.25">
      <c r="A2775" s="4" t="s">
        <v>4652</v>
      </c>
      <c r="B2775" s="4" t="s">
        <v>183</v>
      </c>
      <c r="C2775" s="4" t="s">
        <v>14</v>
      </c>
      <c r="D2775" s="35">
        <v>10779</v>
      </c>
      <c r="E2775" s="4" t="s">
        <v>4653</v>
      </c>
      <c r="F2775" s="5">
        <v>41169</v>
      </c>
      <c r="G2775" s="5">
        <v>41389</v>
      </c>
      <c r="H2775" s="4" t="s">
        <v>40</v>
      </c>
      <c r="I2775" s="6">
        <v>7500</v>
      </c>
      <c r="J2775" s="6">
        <f>3750+3750</f>
        <v>7500</v>
      </c>
      <c r="K2775" s="37" t="s">
        <v>4318</v>
      </c>
      <c r="L2775" s="119"/>
      <c r="M2775" s="3"/>
    </row>
    <row r="2776" spans="1:13" s="4" customFormat="1" ht="14.25" customHeight="1" x14ac:dyDescent="0.25">
      <c r="A2776" s="4" t="s">
        <v>4654</v>
      </c>
      <c r="B2776" s="4" t="s">
        <v>190</v>
      </c>
      <c r="C2776" s="4" t="s">
        <v>14</v>
      </c>
      <c r="D2776" s="35">
        <v>10780</v>
      </c>
      <c r="E2776" s="4" t="s">
        <v>4655</v>
      </c>
      <c r="F2776" s="5">
        <v>40980</v>
      </c>
      <c r="G2776" s="5">
        <v>41345</v>
      </c>
      <c r="H2776" s="4" t="s">
        <v>40</v>
      </c>
      <c r="I2776" s="6">
        <v>7400</v>
      </c>
      <c r="J2776" s="6">
        <f>4439+561</f>
        <v>5000</v>
      </c>
      <c r="K2776" s="37" t="s">
        <v>4318</v>
      </c>
      <c r="L2776" s="119"/>
      <c r="M2776" s="3"/>
    </row>
    <row r="2777" spans="1:13" s="4" customFormat="1" ht="14.25" customHeight="1" x14ac:dyDescent="0.25">
      <c r="A2777" s="4" t="s">
        <v>4656</v>
      </c>
      <c r="B2777" s="4" t="s">
        <v>90</v>
      </c>
      <c r="C2777" s="4" t="s">
        <v>14</v>
      </c>
      <c r="D2777" s="35">
        <v>10798</v>
      </c>
      <c r="E2777" s="4" t="s">
        <v>4657</v>
      </c>
      <c r="F2777" s="5">
        <v>40606</v>
      </c>
      <c r="G2777" s="5">
        <v>41141</v>
      </c>
      <c r="H2777" s="4" t="s">
        <v>40</v>
      </c>
      <c r="I2777" s="6">
        <v>10000</v>
      </c>
      <c r="J2777" s="6">
        <v>5000</v>
      </c>
      <c r="K2777" s="37" t="s">
        <v>4318</v>
      </c>
      <c r="L2777" s="119"/>
      <c r="M2777" s="3"/>
    </row>
    <row r="2778" spans="1:13" s="4" customFormat="1" ht="14.25" customHeight="1" x14ac:dyDescent="0.25">
      <c r="A2778" s="4" t="s">
        <v>4658</v>
      </c>
      <c r="B2778" s="4" t="s">
        <v>183</v>
      </c>
      <c r="C2778" s="4" t="s">
        <v>14</v>
      </c>
      <c r="D2778" s="35">
        <v>10800</v>
      </c>
      <c r="E2778" s="4" t="s">
        <v>4659</v>
      </c>
      <c r="F2778" s="5">
        <v>40945</v>
      </c>
      <c r="G2778" s="5">
        <v>41263</v>
      </c>
      <c r="H2778" s="4" t="s">
        <v>40</v>
      </c>
      <c r="I2778" s="6">
        <v>6000</v>
      </c>
      <c r="J2778" s="6">
        <v>6000</v>
      </c>
      <c r="K2778" s="37" t="s">
        <v>4318</v>
      </c>
      <c r="L2778" s="119"/>
      <c r="M2778" s="3"/>
    </row>
    <row r="2779" spans="1:13" s="4" customFormat="1" ht="14.25" customHeight="1" x14ac:dyDescent="0.25">
      <c r="A2779" s="4" t="s">
        <v>4660</v>
      </c>
      <c r="B2779" s="4" t="s">
        <v>38</v>
      </c>
      <c r="C2779" s="4" t="s">
        <v>14</v>
      </c>
      <c r="D2779" s="35">
        <v>10860</v>
      </c>
      <c r="E2779" s="4" t="s">
        <v>4661</v>
      </c>
      <c r="F2779" s="5">
        <v>40909</v>
      </c>
      <c r="H2779" s="4" t="s">
        <v>40</v>
      </c>
      <c r="I2779" s="6">
        <v>9852.9</v>
      </c>
      <c r="J2779" s="6">
        <f>7902.9+1950</f>
        <v>9852.9</v>
      </c>
      <c r="K2779" s="37" t="s">
        <v>4318</v>
      </c>
      <c r="L2779" s="119"/>
      <c r="M2779" s="3"/>
    </row>
    <row r="2780" spans="1:13" ht="14.25" customHeight="1" x14ac:dyDescent="0.25">
      <c r="A2780" s="13" t="s">
        <v>10651</v>
      </c>
      <c r="B2780" s="13" t="s">
        <v>10192</v>
      </c>
      <c r="C2780" s="13" t="s">
        <v>14</v>
      </c>
      <c r="D2780" s="19">
        <v>12351</v>
      </c>
      <c r="E2780" s="13" t="s">
        <v>10652</v>
      </c>
      <c r="F2780" s="14">
        <v>41402</v>
      </c>
      <c r="G2780" s="14">
        <v>41605</v>
      </c>
      <c r="H2780" s="13" t="s">
        <v>651</v>
      </c>
      <c r="I2780" s="18">
        <v>7500</v>
      </c>
      <c r="J2780" s="18">
        <v>7500</v>
      </c>
      <c r="K2780" s="20" t="s">
        <v>4318</v>
      </c>
    </row>
    <row r="2781" spans="1:13" ht="14.25" customHeight="1" x14ac:dyDescent="0.25">
      <c r="A2781" s="13" t="s">
        <v>10653</v>
      </c>
      <c r="B2781" s="13" t="s">
        <v>10192</v>
      </c>
      <c r="C2781" s="13" t="s">
        <v>14</v>
      </c>
      <c r="D2781" s="19">
        <v>12363</v>
      </c>
      <c r="E2781" s="13" t="s">
        <v>10654</v>
      </c>
      <c r="F2781" s="14">
        <v>41304</v>
      </c>
      <c r="G2781" s="14">
        <v>41478</v>
      </c>
      <c r="H2781" s="13" t="s">
        <v>651</v>
      </c>
      <c r="I2781" s="18">
        <v>7000</v>
      </c>
      <c r="J2781" s="18">
        <v>3500</v>
      </c>
      <c r="K2781" s="20" t="s">
        <v>4318</v>
      </c>
    </row>
    <row r="2782" spans="1:13" ht="14.25" customHeight="1" x14ac:dyDescent="0.25">
      <c r="A2782" s="13" t="s">
        <v>10655</v>
      </c>
      <c r="B2782" s="13" t="s">
        <v>10192</v>
      </c>
      <c r="C2782" s="13" t="s">
        <v>14</v>
      </c>
      <c r="D2782" s="19">
        <v>12364</v>
      </c>
      <c r="E2782" s="13" t="s">
        <v>10656</v>
      </c>
      <c r="F2782" s="14">
        <v>41344</v>
      </c>
      <c r="G2782" s="14">
        <v>41470</v>
      </c>
      <c r="H2782" s="13" t="s">
        <v>651</v>
      </c>
      <c r="I2782" s="18">
        <v>7500</v>
      </c>
      <c r="J2782" s="18">
        <v>7500</v>
      </c>
      <c r="K2782" s="20" t="s">
        <v>4318</v>
      </c>
    </row>
    <row r="2783" spans="1:13" ht="14.25" customHeight="1" x14ac:dyDescent="0.25">
      <c r="A2783" s="13" t="s">
        <v>10657</v>
      </c>
      <c r="B2783" s="13" t="s">
        <v>10195</v>
      </c>
      <c r="C2783" s="13" t="s">
        <v>14</v>
      </c>
      <c r="D2783" s="19">
        <v>12396</v>
      </c>
      <c r="E2783" s="13" t="s">
        <v>10658</v>
      </c>
      <c r="F2783" s="14">
        <v>41219</v>
      </c>
      <c r="G2783" s="14">
        <v>41502</v>
      </c>
      <c r="H2783" s="13" t="s">
        <v>651</v>
      </c>
      <c r="I2783" s="18">
        <v>7500</v>
      </c>
      <c r="J2783" s="18">
        <v>7500</v>
      </c>
      <c r="K2783" s="20" t="s">
        <v>4318</v>
      </c>
    </row>
    <row r="2784" spans="1:13" ht="14.25" customHeight="1" x14ac:dyDescent="0.25">
      <c r="A2784" s="13" t="s">
        <v>10659</v>
      </c>
      <c r="B2784" s="13" t="s">
        <v>10192</v>
      </c>
      <c r="C2784" s="13" t="s">
        <v>14</v>
      </c>
      <c r="D2784" s="19">
        <v>12404</v>
      </c>
      <c r="E2784" s="13" t="s">
        <v>10660</v>
      </c>
      <c r="F2784" s="14">
        <v>41325</v>
      </c>
      <c r="G2784" s="14">
        <v>41460</v>
      </c>
      <c r="H2784" s="13" t="s">
        <v>651</v>
      </c>
      <c r="I2784" s="18">
        <v>7500</v>
      </c>
      <c r="J2784" s="18">
        <v>7500</v>
      </c>
      <c r="K2784" s="20" t="s">
        <v>4318</v>
      </c>
    </row>
    <row r="2785" spans="1:13" ht="14.25" customHeight="1" x14ac:dyDescent="0.25">
      <c r="A2785" s="13" t="s">
        <v>10661</v>
      </c>
      <c r="B2785" s="13" t="s">
        <v>10192</v>
      </c>
      <c r="C2785" s="13" t="s">
        <v>14</v>
      </c>
      <c r="D2785" s="19">
        <v>12491</v>
      </c>
      <c r="E2785" s="13" t="s">
        <v>10662</v>
      </c>
      <c r="F2785" s="14">
        <v>41051</v>
      </c>
      <c r="G2785" s="14">
        <v>41593</v>
      </c>
      <c r="H2785" s="13" t="s">
        <v>651</v>
      </c>
      <c r="I2785" s="18">
        <v>45000</v>
      </c>
      <c r="J2785" s="18">
        <v>45000</v>
      </c>
      <c r="K2785" s="20" t="s">
        <v>4318</v>
      </c>
    </row>
    <row r="2786" spans="1:13" ht="14.25" customHeight="1" x14ac:dyDescent="0.25">
      <c r="A2786" s="13" t="s">
        <v>10663</v>
      </c>
      <c r="B2786" s="13" t="s">
        <v>10192</v>
      </c>
      <c r="C2786" s="13" t="s">
        <v>14</v>
      </c>
      <c r="D2786" s="19">
        <v>12499</v>
      </c>
      <c r="E2786" s="13" t="s">
        <v>10664</v>
      </c>
      <c r="F2786" s="14">
        <v>41402</v>
      </c>
      <c r="G2786" s="14">
        <v>41470</v>
      </c>
      <c r="H2786" s="13" t="s">
        <v>651</v>
      </c>
      <c r="I2786" s="18">
        <v>30000</v>
      </c>
      <c r="J2786" s="18">
        <v>15000</v>
      </c>
      <c r="K2786" s="20" t="s">
        <v>4318</v>
      </c>
    </row>
    <row r="2787" spans="1:13" ht="14.25" customHeight="1" x14ac:dyDescent="0.25">
      <c r="A2787" s="13" t="s">
        <v>10665</v>
      </c>
      <c r="B2787" s="13" t="s">
        <v>10195</v>
      </c>
      <c r="C2787" s="13" t="s">
        <v>14</v>
      </c>
      <c r="D2787" s="19">
        <v>12537</v>
      </c>
      <c r="E2787" s="13" t="s">
        <v>10666</v>
      </c>
      <c r="F2787" s="14">
        <v>41535</v>
      </c>
      <c r="G2787" s="14">
        <v>41597</v>
      </c>
      <c r="H2787" s="13" t="s">
        <v>651</v>
      </c>
      <c r="I2787" s="18">
        <v>60000</v>
      </c>
      <c r="J2787" s="18">
        <v>30000</v>
      </c>
      <c r="K2787" s="20" t="s">
        <v>4318</v>
      </c>
    </row>
    <row r="2788" spans="1:13" ht="14.25" customHeight="1" x14ac:dyDescent="0.25">
      <c r="A2788" s="13" t="s">
        <v>10667</v>
      </c>
      <c r="B2788" s="13" t="s">
        <v>10195</v>
      </c>
      <c r="C2788" s="13" t="s">
        <v>14</v>
      </c>
      <c r="D2788" s="19">
        <v>12538</v>
      </c>
      <c r="E2788" s="13" t="s">
        <v>10668</v>
      </c>
      <c r="F2788" s="14">
        <v>41340</v>
      </c>
      <c r="G2788" s="14">
        <v>41549</v>
      </c>
      <c r="H2788" s="13" t="s">
        <v>651</v>
      </c>
      <c r="I2788" s="18">
        <v>12750</v>
      </c>
      <c r="J2788" s="18">
        <v>6375</v>
      </c>
      <c r="K2788" s="20" t="s">
        <v>4318</v>
      </c>
    </row>
    <row r="2789" spans="1:13" ht="14.25" customHeight="1" x14ac:dyDescent="0.25">
      <c r="A2789" s="13" t="s">
        <v>10669</v>
      </c>
      <c r="B2789" s="13" t="s">
        <v>10192</v>
      </c>
      <c r="C2789" s="13" t="s">
        <v>14</v>
      </c>
      <c r="D2789" s="19">
        <v>12544</v>
      </c>
      <c r="E2789" s="13" t="s">
        <v>10670</v>
      </c>
      <c r="F2789" s="14">
        <v>40955</v>
      </c>
      <c r="G2789" s="14">
        <v>41380</v>
      </c>
      <c r="H2789" s="13" t="s">
        <v>651</v>
      </c>
      <c r="I2789" s="18">
        <v>15000</v>
      </c>
      <c r="J2789" s="18">
        <v>7500</v>
      </c>
      <c r="K2789" s="20" t="s">
        <v>4318</v>
      </c>
    </row>
    <row r="2790" spans="1:13" ht="14.25" customHeight="1" x14ac:dyDescent="0.25">
      <c r="A2790" s="13" t="s">
        <v>10671</v>
      </c>
      <c r="B2790" s="13" t="s">
        <v>10195</v>
      </c>
      <c r="C2790" s="13" t="s">
        <v>14</v>
      </c>
      <c r="D2790" s="19">
        <v>12550</v>
      </c>
      <c r="E2790" s="13" t="s">
        <v>10672</v>
      </c>
      <c r="F2790" s="14">
        <v>41404</v>
      </c>
      <c r="G2790" s="14">
        <v>41619</v>
      </c>
      <c r="H2790" s="13" t="s">
        <v>651</v>
      </c>
      <c r="I2790" s="18">
        <v>60000</v>
      </c>
      <c r="J2790" s="18">
        <v>30000</v>
      </c>
      <c r="K2790" s="20" t="s">
        <v>4318</v>
      </c>
    </row>
    <row r="2791" spans="1:13" ht="14.25" customHeight="1" x14ac:dyDescent="0.25">
      <c r="A2791" s="13" t="s">
        <v>10673</v>
      </c>
      <c r="B2791" s="13" t="s">
        <v>10192</v>
      </c>
      <c r="C2791" s="13" t="s">
        <v>14</v>
      </c>
      <c r="D2791" s="19">
        <v>12551</v>
      </c>
      <c r="E2791" s="13" t="s">
        <v>10674</v>
      </c>
      <c r="F2791" s="14">
        <v>41449</v>
      </c>
      <c r="G2791" s="14">
        <v>41521</v>
      </c>
      <c r="H2791" s="13" t="s">
        <v>651</v>
      </c>
      <c r="I2791" s="18">
        <v>3750</v>
      </c>
      <c r="J2791" s="18">
        <v>3750</v>
      </c>
      <c r="K2791" s="20" t="s">
        <v>4318</v>
      </c>
    </row>
    <row r="2792" spans="1:13" ht="14.25" customHeight="1" x14ac:dyDescent="0.25">
      <c r="A2792" s="13" t="s">
        <v>10675</v>
      </c>
      <c r="B2792" s="13" t="s">
        <v>10220</v>
      </c>
      <c r="C2792" s="13" t="s">
        <v>14</v>
      </c>
      <c r="D2792" s="19">
        <v>12594</v>
      </c>
      <c r="E2792" s="13" t="s">
        <v>10676</v>
      </c>
      <c r="F2792" s="14">
        <v>41288</v>
      </c>
      <c r="G2792" s="14">
        <v>41418</v>
      </c>
      <c r="H2792" s="13" t="s">
        <v>651</v>
      </c>
      <c r="I2792" s="18">
        <v>18500</v>
      </c>
      <c r="J2792" s="18">
        <v>9250</v>
      </c>
      <c r="K2792" s="20" t="s">
        <v>4318</v>
      </c>
    </row>
    <row r="2793" spans="1:13" ht="14.25" customHeight="1" x14ac:dyDescent="0.25">
      <c r="A2793" s="13" t="s">
        <v>10677</v>
      </c>
      <c r="B2793" s="13" t="s">
        <v>10192</v>
      </c>
      <c r="C2793" s="13" t="s">
        <v>14</v>
      </c>
      <c r="D2793" s="19">
        <v>12595</v>
      </c>
      <c r="E2793" s="13" t="s">
        <v>10678</v>
      </c>
      <c r="F2793" s="14">
        <v>41374</v>
      </c>
      <c r="G2793" s="14">
        <v>41486</v>
      </c>
      <c r="H2793" s="13" t="s">
        <v>651</v>
      </c>
      <c r="I2793" s="18">
        <v>40000</v>
      </c>
      <c r="J2793" s="18">
        <v>20000</v>
      </c>
      <c r="K2793" s="20" t="s">
        <v>4318</v>
      </c>
    </row>
    <row r="2794" spans="1:13" ht="14.25" customHeight="1" x14ac:dyDescent="0.25">
      <c r="A2794" s="13" t="s">
        <v>10679</v>
      </c>
      <c r="B2794" s="13" t="s">
        <v>10195</v>
      </c>
      <c r="C2794" s="13" t="s">
        <v>14</v>
      </c>
      <c r="D2794" s="19">
        <v>12598</v>
      </c>
      <c r="E2794" s="13" t="s">
        <v>10680</v>
      </c>
      <c r="F2794" s="14">
        <v>41219</v>
      </c>
      <c r="G2794" s="14">
        <v>41421</v>
      </c>
      <c r="H2794" s="13" t="s">
        <v>651</v>
      </c>
      <c r="I2794" s="18">
        <v>15000</v>
      </c>
      <c r="J2794" s="18">
        <v>7500</v>
      </c>
      <c r="K2794" s="20" t="s">
        <v>4318</v>
      </c>
    </row>
    <row r="2795" spans="1:13" ht="14.25" customHeight="1" x14ac:dyDescent="0.25">
      <c r="A2795" s="13" t="s">
        <v>10681</v>
      </c>
      <c r="B2795" s="13" t="s">
        <v>10195</v>
      </c>
      <c r="C2795" s="13" t="s">
        <v>14</v>
      </c>
      <c r="D2795" s="19">
        <v>12599</v>
      </c>
      <c r="E2795" s="13" t="s">
        <v>10682</v>
      </c>
      <c r="F2795" s="14">
        <v>41325</v>
      </c>
      <c r="G2795" s="14">
        <v>41555</v>
      </c>
      <c r="H2795" s="13" t="s">
        <v>651</v>
      </c>
      <c r="I2795" s="18">
        <v>7390</v>
      </c>
      <c r="J2795" s="18">
        <v>3695</v>
      </c>
      <c r="K2795" s="20" t="s">
        <v>4318</v>
      </c>
    </row>
    <row r="2796" spans="1:13" ht="14.25" customHeight="1" x14ac:dyDescent="0.25">
      <c r="A2796" s="13" t="s">
        <v>10683</v>
      </c>
      <c r="B2796" s="13" t="s">
        <v>38</v>
      </c>
      <c r="C2796" s="13" t="s">
        <v>14</v>
      </c>
      <c r="D2796" s="19">
        <v>12600</v>
      </c>
      <c r="E2796" s="13" t="s">
        <v>10684</v>
      </c>
      <c r="F2796" s="14">
        <v>41275</v>
      </c>
      <c r="H2796" s="13" t="s">
        <v>651</v>
      </c>
      <c r="I2796" s="18">
        <v>6000</v>
      </c>
      <c r="J2796" s="18">
        <v>3000</v>
      </c>
      <c r="K2796" s="20" t="s">
        <v>4318</v>
      </c>
    </row>
    <row r="2797" spans="1:13" ht="14.25" customHeight="1" x14ac:dyDescent="0.25">
      <c r="A2797" s="13" t="s">
        <v>10685</v>
      </c>
      <c r="B2797" s="13" t="s">
        <v>38</v>
      </c>
      <c r="C2797" s="13" t="s">
        <v>14</v>
      </c>
      <c r="D2797" s="19">
        <v>12607</v>
      </c>
      <c r="E2797" s="13" t="s">
        <v>10686</v>
      </c>
      <c r="F2797" s="14">
        <v>41275</v>
      </c>
      <c r="H2797" s="13" t="s">
        <v>651</v>
      </c>
      <c r="I2797" s="18">
        <v>2318</v>
      </c>
      <c r="J2797" s="18">
        <v>2318</v>
      </c>
      <c r="K2797" s="20" t="s">
        <v>4318</v>
      </c>
    </row>
    <row r="2798" spans="1:13" s="4" customFormat="1" ht="14.25" customHeight="1" x14ac:dyDescent="0.25">
      <c r="A2798" s="4" t="s">
        <v>4662</v>
      </c>
      <c r="B2798" s="4" t="s">
        <v>13</v>
      </c>
      <c r="C2798" s="13" t="s">
        <v>14</v>
      </c>
      <c r="D2798" s="35">
        <v>3360</v>
      </c>
      <c r="E2798" s="4" t="s">
        <v>4663</v>
      </c>
      <c r="F2798" s="5">
        <v>39083</v>
      </c>
      <c r="G2798" s="5">
        <v>42369</v>
      </c>
      <c r="H2798" s="4" t="s">
        <v>2637</v>
      </c>
      <c r="I2798" s="17">
        <v>26998.73</v>
      </c>
      <c r="J2798" s="17">
        <v>26998.73</v>
      </c>
      <c r="K2798" s="37" t="s">
        <v>4318</v>
      </c>
      <c r="L2798" s="119"/>
      <c r="M2798" s="3"/>
    </row>
    <row r="2799" spans="1:13" s="4" customFormat="1" ht="14.25" customHeight="1" x14ac:dyDescent="0.25">
      <c r="D2799" s="35"/>
      <c r="E2799" s="26" t="s">
        <v>2642</v>
      </c>
      <c r="F2799" s="28"/>
      <c r="G2799" s="28"/>
      <c r="H2799" s="26"/>
      <c r="I2799" s="27">
        <f>SUM(I2604+I2605)</f>
        <v>1257924.28</v>
      </c>
      <c r="J2799" s="27">
        <f>SUM(J2604+J2605)</f>
        <v>1257924.28</v>
      </c>
      <c r="K2799" s="37" t="s">
        <v>4318</v>
      </c>
      <c r="L2799" s="119"/>
      <c r="M2799" s="3"/>
    </row>
    <row r="2800" spans="1:13" s="4" customFormat="1" ht="14.25" customHeight="1" x14ac:dyDescent="0.25">
      <c r="D2800" s="35"/>
      <c r="E2800" s="26" t="s">
        <v>351</v>
      </c>
      <c r="F2800" s="28"/>
      <c r="G2800" s="28"/>
      <c r="H2800" s="26"/>
      <c r="I2800" s="25">
        <f>SUM(I2606:I2628)</f>
        <v>624667.32999999996</v>
      </c>
      <c r="J2800" s="25">
        <f>SUM(J2606:J2628)</f>
        <v>149570.91999999998</v>
      </c>
      <c r="K2800" s="37" t="s">
        <v>4318</v>
      </c>
      <c r="L2800" s="119"/>
      <c r="M2800" s="3"/>
    </row>
    <row r="2801" spans="1:13" s="4" customFormat="1" ht="14.25" customHeight="1" x14ac:dyDescent="0.25">
      <c r="D2801" s="35"/>
      <c r="E2801" s="26" t="s">
        <v>786</v>
      </c>
      <c r="F2801" s="28"/>
      <c r="G2801" s="28"/>
      <c r="H2801" s="26"/>
      <c r="I2801" s="27">
        <f>SUM(I2629:I2630)</f>
        <v>423317.85</v>
      </c>
      <c r="J2801" s="27">
        <f>SUM(J2629:J2630)</f>
        <v>124635.36</v>
      </c>
      <c r="K2801" s="37" t="s">
        <v>4318</v>
      </c>
      <c r="L2801" s="119"/>
      <c r="M2801" s="3"/>
    </row>
    <row r="2802" spans="1:13" s="4" customFormat="1" ht="14.25" customHeight="1" x14ac:dyDescent="0.25">
      <c r="D2802" s="35"/>
      <c r="E2802" s="26" t="s">
        <v>352</v>
      </c>
      <c r="F2802" s="28"/>
      <c r="G2802" s="28"/>
      <c r="H2802" s="26"/>
      <c r="I2802" s="27">
        <f>SUM(I2631:I2797)</f>
        <v>4478650.7300000004</v>
      </c>
      <c r="J2802" s="27">
        <f>SUM(J2631:J2797)</f>
        <v>3585715.45</v>
      </c>
      <c r="K2802" s="37" t="s">
        <v>4318</v>
      </c>
      <c r="L2802" s="119"/>
      <c r="M2802" s="3"/>
    </row>
    <row r="2803" spans="1:13" s="4" customFormat="1" ht="14.25" customHeight="1" x14ac:dyDescent="0.25">
      <c r="D2803" s="35"/>
      <c r="E2803" s="26" t="s">
        <v>2646</v>
      </c>
      <c r="F2803" s="28"/>
      <c r="G2803" s="28"/>
      <c r="H2803" s="26"/>
      <c r="I2803" s="27">
        <f>SUM(I2798)</f>
        <v>26998.73</v>
      </c>
      <c r="J2803" s="27">
        <f>SUM(J2798)</f>
        <v>26998.73</v>
      </c>
      <c r="K2803" s="37" t="s">
        <v>4318</v>
      </c>
      <c r="L2803" s="119"/>
      <c r="M2803" s="3"/>
    </row>
    <row r="2804" spans="1:13" s="4" customFormat="1" ht="14.25" customHeight="1" x14ac:dyDescent="0.25">
      <c r="D2804" s="35"/>
      <c r="E2804" s="26" t="s">
        <v>4664</v>
      </c>
      <c r="F2804" s="28"/>
      <c r="G2804" s="28"/>
      <c r="H2804" s="26"/>
      <c r="I2804" s="27">
        <f>SUM(I2799:I2803)</f>
        <v>6811558.9200000009</v>
      </c>
      <c r="J2804" s="27">
        <f>SUM(J2799:J2803)</f>
        <v>5144844.74</v>
      </c>
      <c r="K2804" s="37" t="s">
        <v>4318</v>
      </c>
      <c r="L2804" s="119"/>
      <c r="M2804" s="3"/>
    </row>
    <row r="2805" spans="1:13" s="4" customFormat="1" ht="14.25" customHeight="1" x14ac:dyDescent="0.25">
      <c r="D2805" s="35"/>
      <c r="F2805" s="5"/>
      <c r="G2805" s="5"/>
      <c r="I2805" s="17"/>
      <c r="J2805" s="17"/>
      <c r="K2805" s="37"/>
      <c r="L2805" s="119"/>
      <c r="M2805" s="3"/>
    </row>
    <row r="2806" spans="1:13" s="4" customFormat="1" ht="14.25" customHeight="1" x14ac:dyDescent="0.25">
      <c r="A2806" s="4" t="s">
        <v>4665</v>
      </c>
      <c r="B2806" s="4" t="s">
        <v>13</v>
      </c>
      <c r="C2806" s="4" t="s">
        <v>14</v>
      </c>
      <c r="D2806" s="35">
        <v>3937</v>
      </c>
      <c r="E2806" s="4" t="s">
        <v>4666</v>
      </c>
      <c r="F2806" s="5">
        <v>39843</v>
      </c>
      <c r="G2806" s="5">
        <v>40451</v>
      </c>
      <c r="H2806" s="4" t="s">
        <v>16</v>
      </c>
      <c r="I2806" s="6">
        <v>1013000</v>
      </c>
      <c r="J2806" s="6">
        <v>194805</v>
      </c>
      <c r="K2806" s="37" t="s">
        <v>4667</v>
      </c>
      <c r="L2806" s="119"/>
      <c r="M2806" s="3"/>
    </row>
    <row r="2807" spans="1:13" s="4" customFormat="1" ht="14.25" customHeight="1" x14ac:dyDescent="0.25">
      <c r="A2807" s="4" t="s">
        <v>4668</v>
      </c>
      <c r="B2807" s="4" t="s">
        <v>13</v>
      </c>
      <c r="C2807" s="4" t="s">
        <v>14</v>
      </c>
      <c r="D2807" s="35">
        <v>4040</v>
      </c>
      <c r="E2807" s="4" t="s">
        <v>4669</v>
      </c>
      <c r="F2807" s="5">
        <v>39406</v>
      </c>
      <c r="G2807" s="5">
        <v>39538</v>
      </c>
      <c r="H2807" s="4" t="s">
        <v>16</v>
      </c>
      <c r="I2807" s="6">
        <v>15420</v>
      </c>
      <c r="J2807" s="6">
        <v>3247</v>
      </c>
      <c r="K2807" s="37" t="s">
        <v>4667</v>
      </c>
      <c r="L2807" s="119"/>
      <c r="M2807" s="3"/>
    </row>
    <row r="2808" spans="1:13" s="4" customFormat="1" ht="14.25" customHeight="1" x14ac:dyDescent="0.25">
      <c r="A2808" s="4" t="s">
        <v>4670</v>
      </c>
      <c r="B2808" s="4" t="s">
        <v>13</v>
      </c>
      <c r="C2808" s="4" t="s">
        <v>14</v>
      </c>
      <c r="D2808" s="35">
        <v>4042</v>
      </c>
      <c r="E2808" s="4" t="s">
        <v>4671</v>
      </c>
      <c r="F2808" s="5">
        <v>39972</v>
      </c>
      <c r="G2808" s="5">
        <v>40256</v>
      </c>
      <c r="H2808" s="4" t="s">
        <v>16</v>
      </c>
      <c r="I2808" s="6">
        <v>6900</v>
      </c>
      <c r="J2808" s="6">
        <v>2070</v>
      </c>
      <c r="K2808" s="37" t="s">
        <v>4667</v>
      </c>
      <c r="L2808" s="119"/>
      <c r="M2808" s="3"/>
    </row>
    <row r="2809" spans="1:13" s="4" customFormat="1" ht="14.25" customHeight="1" x14ac:dyDescent="0.25">
      <c r="A2809" s="4" t="s">
        <v>4672</v>
      </c>
      <c r="B2809" s="4" t="s">
        <v>13</v>
      </c>
      <c r="C2809" s="4" t="s">
        <v>14</v>
      </c>
      <c r="D2809" s="35">
        <v>4059</v>
      </c>
      <c r="E2809" s="4" t="s">
        <v>4673</v>
      </c>
      <c r="F2809" s="5">
        <v>39874</v>
      </c>
      <c r="G2809" s="5">
        <v>40053</v>
      </c>
      <c r="H2809" s="4" t="s">
        <v>16</v>
      </c>
      <c r="I2809" s="6">
        <v>6274</v>
      </c>
      <c r="J2809" s="6">
        <v>1882</v>
      </c>
      <c r="K2809" s="37" t="s">
        <v>4667</v>
      </c>
      <c r="L2809" s="119"/>
      <c r="M2809" s="3"/>
    </row>
    <row r="2810" spans="1:13" s="4" customFormat="1" ht="14.25" customHeight="1" x14ac:dyDescent="0.25">
      <c r="A2810" s="4" t="s">
        <v>4674</v>
      </c>
      <c r="B2810" s="4" t="s">
        <v>13</v>
      </c>
      <c r="C2810" s="4" t="s">
        <v>14</v>
      </c>
      <c r="D2810" s="35">
        <v>4061</v>
      </c>
      <c r="E2810" s="4" t="s">
        <v>4675</v>
      </c>
      <c r="F2810" s="5">
        <v>39735</v>
      </c>
      <c r="G2810" s="5">
        <v>39871</v>
      </c>
      <c r="H2810" s="4" t="s">
        <v>16</v>
      </c>
      <c r="I2810" s="6">
        <v>14896</v>
      </c>
      <c r="J2810" s="6">
        <v>4018</v>
      </c>
      <c r="K2810" s="37" t="s">
        <v>4667</v>
      </c>
      <c r="L2810" s="119"/>
      <c r="M2810" s="3"/>
    </row>
    <row r="2811" spans="1:13" s="4" customFormat="1" ht="14.25" customHeight="1" x14ac:dyDescent="0.25">
      <c r="A2811" s="4" t="s">
        <v>4676</v>
      </c>
      <c r="B2811" s="4" t="s">
        <v>13</v>
      </c>
      <c r="C2811" s="4" t="s">
        <v>14</v>
      </c>
      <c r="D2811" s="35">
        <v>4062</v>
      </c>
      <c r="E2811" s="4" t="s">
        <v>4677</v>
      </c>
      <c r="F2811" s="5">
        <v>39507</v>
      </c>
      <c r="G2811" s="5">
        <v>39903</v>
      </c>
      <c r="H2811" s="4" t="s">
        <v>16</v>
      </c>
      <c r="I2811" s="6">
        <v>105411</v>
      </c>
      <c r="J2811" s="6">
        <v>31623.3</v>
      </c>
      <c r="K2811" s="37" t="s">
        <v>4667</v>
      </c>
      <c r="L2811" s="119"/>
      <c r="M2811" s="3"/>
    </row>
    <row r="2812" spans="1:13" s="4" customFormat="1" ht="14.25" customHeight="1" x14ac:dyDescent="0.25">
      <c r="A2812" s="4" t="s">
        <v>4678</v>
      </c>
      <c r="B2812" s="4" t="s">
        <v>13</v>
      </c>
      <c r="C2812" s="4" t="s">
        <v>14</v>
      </c>
      <c r="D2812" s="35">
        <v>4064</v>
      </c>
      <c r="E2812" s="7" t="s">
        <v>4679</v>
      </c>
      <c r="F2812" s="5">
        <v>39545</v>
      </c>
      <c r="G2812" s="5">
        <v>40087</v>
      </c>
      <c r="H2812" s="4" t="s">
        <v>16</v>
      </c>
      <c r="I2812" s="6">
        <v>100079.48</v>
      </c>
      <c r="J2812" s="6">
        <v>30023.84</v>
      </c>
      <c r="K2812" s="37" t="s">
        <v>4667</v>
      </c>
      <c r="L2812" s="119"/>
      <c r="M2812" s="3"/>
    </row>
    <row r="2813" spans="1:13" s="4" customFormat="1" ht="14.25" customHeight="1" x14ac:dyDescent="0.25">
      <c r="A2813" s="4" t="s">
        <v>4680</v>
      </c>
      <c r="B2813" s="4" t="s">
        <v>13</v>
      </c>
      <c r="C2813" s="4" t="s">
        <v>14</v>
      </c>
      <c r="D2813" s="35">
        <v>4065</v>
      </c>
      <c r="E2813" s="4" t="s">
        <v>4681</v>
      </c>
      <c r="F2813" s="5">
        <v>39507</v>
      </c>
      <c r="G2813" s="5">
        <v>39689</v>
      </c>
      <c r="H2813" s="4" t="s">
        <v>16</v>
      </c>
      <c r="I2813" s="6">
        <v>15572.69</v>
      </c>
      <c r="J2813" s="6">
        <v>4671.8100000000004</v>
      </c>
      <c r="K2813" s="37" t="s">
        <v>4667</v>
      </c>
      <c r="L2813" s="119"/>
      <c r="M2813" s="3"/>
    </row>
    <row r="2814" spans="1:13" s="4" customFormat="1" ht="14.25" customHeight="1" x14ac:dyDescent="0.25">
      <c r="A2814" s="4" t="s">
        <v>4682</v>
      </c>
      <c r="B2814" s="4" t="s">
        <v>13</v>
      </c>
      <c r="C2814" s="4" t="s">
        <v>14</v>
      </c>
      <c r="D2814" s="35">
        <v>4069</v>
      </c>
      <c r="E2814" s="4" t="s">
        <v>4683</v>
      </c>
      <c r="F2814" s="5">
        <v>39759</v>
      </c>
      <c r="G2814" s="5">
        <v>39871</v>
      </c>
      <c r="H2814" s="4" t="s">
        <v>16</v>
      </c>
      <c r="I2814" s="6">
        <v>14798</v>
      </c>
      <c r="J2814" s="6">
        <v>4320</v>
      </c>
      <c r="K2814" s="37" t="s">
        <v>4667</v>
      </c>
      <c r="L2814" s="119"/>
      <c r="M2814" s="3"/>
    </row>
    <row r="2815" spans="1:13" s="4" customFormat="1" ht="14.25" customHeight="1" x14ac:dyDescent="0.25">
      <c r="A2815" s="4" t="s">
        <v>4676</v>
      </c>
      <c r="B2815" s="4" t="s">
        <v>13</v>
      </c>
      <c r="C2815" s="4" t="s">
        <v>14</v>
      </c>
      <c r="D2815" s="35">
        <v>4071</v>
      </c>
      <c r="E2815" s="4" t="s">
        <v>4684</v>
      </c>
      <c r="F2815" s="5">
        <v>39507</v>
      </c>
      <c r="G2815" s="5">
        <v>39903</v>
      </c>
      <c r="H2815" s="4" t="s">
        <v>16</v>
      </c>
      <c r="I2815" s="6">
        <v>27481</v>
      </c>
      <c r="J2815" s="6">
        <v>5280</v>
      </c>
      <c r="K2815" s="37" t="s">
        <v>4667</v>
      </c>
      <c r="L2815" s="119"/>
      <c r="M2815" s="3"/>
    </row>
    <row r="2816" spans="1:13" s="4" customFormat="1" ht="14.25" customHeight="1" x14ac:dyDescent="0.25">
      <c r="A2816" s="4" t="s">
        <v>4685</v>
      </c>
      <c r="B2816" s="4" t="s">
        <v>13</v>
      </c>
      <c r="C2816" s="4" t="s">
        <v>14</v>
      </c>
      <c r="D2816" s="35">
        <v>4073</v>
      </c>
      <c r="E2816" s="4" t="s">
        <v>4686</v>
      </c>
      <c r="F2816" s="5">
        <v>39966</v>
      </c>
      <c r="G2816" s="5">
        <v>40162</v>
      </c>
      <c r="H2816" s="4" t="s">
        <v>16</v>
      </c>
      <c r="I2816" s="6">
        <v>27906</v>
      </c>
      <c r="J2816" s="6">
        <v>7800</v>
      </c>
      <c r="K2816" s="37" t="s">
        <v>4667</v>
      </c>
      <c r="L2816" s="119"/>
      <c r="M2816" s="3"/>
    </row>
    <row r="2817" spans="1:13" s="4" customFormat="1" ht="14.25" customHeight="1" x14ac:dyDescent="0.25">
      <c r="A2817" s="4" t="s">
        <v>4687</v>
      </c>
      <c r="B2817" s="4" t="s">
        <v>13</v>
      </c>
      <c r="C2817" s="4" t="s">
        <v>14</v>
      </c>
      <c r="D2817" s="35">
        <v>4077</v>
      </c>
      <c r="E2817" s="7" t="s">
        <v>4688</v>
      </c>
      <c r="F2817" s="5">
        <v>39415</v>
      </c>
      <c r="G2817" s="5">
        <v>39752</v>
      </c>
      <c r="H2817" s="4" t="s">
        <v>16</v>
      </c>
      <c r="I2817" s="6">
        <v>51325</v>
      </c>
      <c r="J2817" s="6">
        <v>14681</v>
      </c>
      <c r="K2817" s="37" t="s">
        <v>4667</v>
      </c>
      <c r="L2817" s="119"/>
      <c r="M2817" s="3"/>
    </row>
    <row r="2818" spans="1:13" s="4" customFormat="1" ht="14.25" customHeight="1" x14ac:dyDescent="0.25">
      <c r="A2818" s="4" t="s">
        <v>4689</v>
      </c>
      <c r="B2818" s="4" t="s">
        <v>13</v>
      </c>
      <c r="C2818" s="4" t="s">
        <v>14</v>
      </c>
      <c r="D2818" s="35">
        <v>9879</v>
      </c>
      <c r="E2818" s="4" t="s">
        <v>4690</v>
      </c>
      <c r="F2818" s="5">
        <v>40318</v>
      </c>
      <c r="G2818" s="5">
        <v>40466</v>
      </c>
      <c r="H2818" s="4" t="s">
        <v>16</v>
      </c>
      <c r="I2818" s="6">
        <v>70444</v>
      </c>
      <c r="J2818" s="6">
        <v>20310</v>
      </c>
      <c r="K2818" s="37" t="s">
        <v>4667</v>
      </c>
      <c r="L2818" s="119"/>
      <c r="M2818" s="3"/>
    </row>
    <row r="2819" spans="1:13" s="4" customFormat="1" ht="14.25" customHeight="1" x14ac:dyDescent="0.25">
      <c r="A2819" s="4" t="s">
        <v>4691</v>
      </c>
      <c r="B2819" s="4" t="s">
        <v>13</v>
      </c>
      <c r="C2819" s="4" t="s">
        <v>14</v>
      </c>
      <c r="D2819" s="35">
        <v>9888</v>
      </c>
      <c r="E2819" s="4" t="s">
        <v>4692</v>
      </c>
      <c r="F2819" s="5">
        <v>40221</v>
      </c>
      <c r="G2819" s="5">
        <v>40332</v>
      </c>
      <c r="H2819" s="4" t="s">
        <v>16</v>
      </c>
      <c r="I2819" s="6">
        <v>9500</v>
      </c>
      <c r="J2819" s="6">
        <v>3800</v>
      </c>
      <c r="K2819" s="37" t="s">
        <v>4667</v>
      </c>
      <c r="L2819" s="119"/>
      <c r="M2819" s="3"/>
    </row>
    <row r="2820" spans="1:13" s="4" customFormat="1" ht="14.25" customHeight="1" x14ac:dyDescent="0.25">
      <c r="A2820" s="4" t="s">
        <v>4693</v>
      </c>
      <c r="B2820" s="4" t="s">
        <v>13</v>
      </c>
      <c r="C2820" s="4" t="s">
        <v>14</v>
      </c>
      <c r="D2820" s="35">
        <v>9982</v>
      </c>
      <c r="E2820" s="4" t="s">
        <v>4694</v>
      </c>
      <c r="F2820" s="5">
        <v>40071</v>
      </c>
      <c r="G2820" s="5">
        <v>40269</v>
      </c>
      <c r="H2820" s="4" t="s">
        <v>16</v>
      </c>
      <c r="I2820" s="6">
        <v>12200</v>
      </c>
      <c r="J2820" s="6">
        <v>3660</v>
      </c>
      <c r="K2820" s="37" t="s">
        <v>4667</v>
      </c>
      <c r="L2820" s="119"/>
      <c r="M2820" s="3"/>
    </row>
    <row r="2821" spans="1:13" s="4" customFormat="1" ht="14.25" customHeight="1" x14ac:dyDescent="0.25">
      <c r="A2821" s="4" t="s">
        <v>4695</v>
      </c>
      <c r="B2821" s="4" t="s">
        <v>13</v>
      </c>
      <c r="C2821" s="4" t="s">
        <v>14</v>
      </c>
      <c r="D2821" s="35">
        <v>10059</v>
      </c>
      <c r="E2821" s="4" t="s">
        <v>4696</v>
      </c>
      <c r="F2821" s="5">
        <v>40500</v>
      </c>
      <c r="G2821" s="5">
        <v>40570</v>
      </c>
      <c r="H2821" s="4" t="s">
        <v>16</v>
      </c>
      <c r="I2821" s="6">
        <v>11240</v>
      </c>
      <c r="J2821" s="6">
        <v>3372</v>
      </c>
      <c r="K2821" s="37" t="s">
        <v>4667</v>
      </c>
      <c r="L2821" s="119"/>
      <c r="M2821" s="3"/>
    </row>
    <row r="2822" spans="1:13" s="4" customFormat="1" ht="14.25" customHeight="1" x14ac:dyDescent="0.25">
      <c r="A2822" s="4" t="s">
        <v>4697</v>
      </c>
      <c r="B2822" s="4" t="s">
        <v>13</v>
      </c>
      <c r="C2822" s="4" t="s">
        <v>14</v>
      </c>
      <c r="D2822" s="35">
        <v>10171</v>
      </c>
      <c r="E2822" s="4" t="s">
        <v>4698</v>
      </c>
      <c r="F2822" s="5">
        <v>39415</v>
      </c>
      <c r="G2822" s="5">
        <v>40221</v>
      </c>
      <c r="H2822" s="4" t="s">
        <v>16</v>
      </c>
      <c r="I2822" s="6">
        <v>26431.72</v>
      </c>
      <c r="J2822" s="6">
        <v>7929.52</v>
      </c>
      <c r="K2822" s="37" t="s">
        <v>4667</v>
      </c>
      <c r="L2822" s="119"/>
      <c r="M2822" s="3"/>
    </row>
    <row r="2823" spans="1:13" s="4" customFormat="1" ht="14.25" customHeight="1" x14ac:dyDescent="0.25">
      <c r="A2823" s="4" t="s">
        <v>4699</v>
      </c>
      <c r="B2823" s="4" t="s">
        <v>13</v>
      </c>
      <c r="C2823" s="4" t="s">
        <v>14</v>
      </c>
      <c r="D2823" s="35">
        <v>4400</v>
      </c>
      <c r="E2823" s="4" t="s">
        <v>4700</v>
      </c>
      <c r="F2823" s="5">
        <v>39508</v>
      </c>
      <c r="G2823" s="5">
        <v>40074</v>
      </c>
      <c r="H2823" s="4" t="s">
        <v>2039</v>
      </c>
      <c r="I2823" s="6">
        <v>51494.720000000001</v>
      </c>
      <c r="J2823" s="6">
        <v>51494.720000000001</v>
      </c>
      <c r="K2823" s="37" t="s">
        <v>4667</v>
      </c>
      <c r="L2823" s="119"/>
      <c r="M2823" s="3"/>
    </row>
    <row r="2824" spans="1:13" s="4" customFormat="1" ht="14.25" customHeight="1" x14ac:dyDescent="0.25">
      <c r="A2824" s="4" t="s">
        <v>4701</v>
      </c>
      <c r="B2824" s="4" t="s">
        <v>13</v>
      </c>
      <c r="C2824" s="4" t="s">
        <v>14</v>
      </c>
      <c r="D2824" s="35">
        <v>5699</v>
      </c>
      <c r="E2824" s="4" t="s">
        <v>4702</v>
      </c>
      <c r="F2824" s="5">
        <v>39479</v>
      </c>
      <c r="G2824" s="5">
        <v>40390</v>
      </c>
      <c r="H2824" s="4" t="s">
        <v>2039</v>
      </c>
      <c r="I2824" s="6">
        <v>37387.93</v>
      </c>
      <c r="J2824" s="6">
        <v>37387.93</v>
      </c>
      <c r="K2824" s="37" t="s">
        <v>4667</v>
      </c>
      <c r="L2824" s="119"/>
      <c r="M2824" s="3"/>
    </row>
    <row r="2825" spans="1:13" s="4" customFormat="1" ht="14.25" customHeight="1" x14ac:dyDescent="0.25">
      <c r="A2825" s="4" t="s">
        <v>4703</v>
      </c>
      <c r="B2825" s="4" t="s">
        <v>13</v>
      </c>
      <c r="C2825" s="4" t="s">
        <v>14</v>
      </c>
      <c r="D2825" s="35">
        <v>5700</v>
      </c>
      <c r="E2825" s="4" t="s">
        <v>4704</v>
      </c>
      <c r="F2825" s="5">
        <v>39722</v>
      </c>
      <c r="G2825" s="5">
        <v>40086</v>
      </c>
      <c r="H2825" s="4" t="s">
        <v>2039</v>
      </c>
      <c r="I2825" s="6">
        <f>68774.76-96.47</f>
        <v>68678.289999999994</v>
      </c>
      <c r="J2825" s="6">
        <f>68774.76-96.47</f>
        <v>68678.289999999994</v>
      </c>
      <c r="K2825" s="37" t="s">
        <v>4667</v>
      </c>
      <c r="L2825" s="119"/>
      <c r="M2825" s="3"/>
    </row>
    <row r="2826" spans="1:13" s="4" customFormat="1" ht="14.25" customHeight="1" x14ac:dyDescent="0.25">
      <c r="A2826" s="4" t="s">
        <v>4705</v>
      </c>
      <c r="B2826" s="4" t="s">
        <v>13</v>
      </c>
      <c r="C2826" s="4" t="s">
        <v>14</v>
      </c>
      <c r="D2826" s="35">
        <v>5701</v>
      </c>
      <c r="E2826" s="4" t="s">
        <v>4706</v>
      </c>
      <c r="F2826" s="5">
        <v>39569</v>
      </c>
      <c r="G2826" s="5">
        <v>40117</v>
      </c>
      <c r="H2826" s="4" t="s">
        <v>2039</v>
      </c>
      <c r="I2826" s="6">
        <f>93598.75-59.02</f>
        <v>93539.73</v>
      </c>
      <c r="J2826" s="6">
        <f>93598.75-59.02</f>
        <v>93539.73</v>
      </c>
      <c r="K2826" s="37" t="s">
        <v>4667</v>
      </c>
      <c r="L2826" s="119"/>
      <c r="M2826" s="3"/>
    </row>
    <row r="2827" spans="1:13" s="4" customFormat="1" ht="14.25" customHeight="1" x14ac:dyDescent="0.25">
      <c r="A2827" s="4" t="s">
        <v>4707</v>
      </c>
      <c r="B2827" s="4" t="s">
        <v>13</v>
      </c>
      <c r="C2827" s="4" t="s">
        <v>14</v>
      </c>
      <c r="D2827" s="35">
        <v>5702</v>
      </c>
      <c r="E2827" s="4" t="s">
        <v>4708</v>
      </c>
      <c r="F2827" s="5">
        <v>39814</v>
      </c>
      <c r="G2827" s="5">
        <v>40268</v>
      </c>
      <c r="H2827" s="4" t="s">
        <v>2039</v>
      </c>
      <c r="I2827" s="6">
        <v>58461.98</v>
      </c>
      <c r="J2827" s="6">
        <v>58461.98</v>
      </c>
      <c r="K2827" s="37" t="s">
        <v>4667</v>
      </c>
      <c r="L2827" s="119"/>
      <c r="M2827" s="3"/>
    </row>
    <row r="2828" spans="1:13" s="4" customFormat="1" ht="14.25" customHeight="1" x14ac:dyDescent="0.25">
      <c r="A2828" s="4" t="s">
        <v>4709</v>
      </c>
      <c r="B2828" s="4" t="s">
        <v>13</v>
      </c>
      <c r="C2828" s="4" t="s">
        <v>14</v>
      </c>
      <c r="D2828" s="35">
        <v>5703</v>
      </c>
      <c r="E2828" s="4" t="s">
        <v>4710</v>
      </c>
      <c r="F2828" s="5">
        <v>39814</v>
      </c>
      <c r="G2828" s="5">
        <v>40178</v>
      </c>
      <c r="H2828" s="4" t="s">
        <v>2039</v>
      </c>
      <c r="I2828" s="6">
        <v>69342.06</v>
      </c>
      <c r="J2828" s="6">
        <v>69342.06</v>
      </c>
      <c r="K2828" s="37" t="s">
        <v>4667</v>
      </c>
      <c r="L2828" s="119"/>
      <c r="M2828" s="3"/>
    </row>
    <row r="2829" spans="1:13" s="4" customFormat="1" ht="14.25" customHeight="1" x14ac:dyDescent="0.25">
      <c r="A2829" s="4" t="s">
        <v>4711</v>
      </c>
      <c r="B2829" s="4" t="s">
        <v>13</v>
      </c>
      <c r="C2829" s="4" t="s">
        <v>14</v>
      </c>
      <c r="D2829" s="35">
        <v>5704</v>
      </c>
      <c r="E2829" s="4" t="s">
        <v>4711</v>
      </c>
      <c r="F2829" s="5">
        <v>39995</v>
      </c>
      <c r="G2829" s="5">
        <v>40421</v>
      </c>
      <c r="H2829" s="4" t="s">
        <v>2039</v>
      </c>
      <c r="I2829" s="6">
        <v>50013.15</v>
      </c>
      <c r="J2829" s="6">
        <v>50013.15</v>
      </c>
      <c r="K2829" s="37" t="s">
        <v>4667</v>
      </c>
      <c r="L2829" s="119"/>
      <c r="M2829" s="3"/>
    </row>
    <row r="2830" spans="1:13" s="4" customFormat="1" ht="14.25" customHeight="1" x14ac:dyDescent="0.25">
      <c r="A2830" s="4" t="s">
        <v>4712</v>
      </c>
      <c r="B2830" s="4" t="s">
        <v>13</v>
      </c>
      <c r="C2830" s="4" t="s">
        <v>14</v>
      </c>
      <c r="D2830" s="35">
        <v>5705</v>
      </c>
      <c r="E2830" s="4" t="s">
        <v>4713</v>
      </c>
      <c r="F2830" s="5">
        <v>40057</v>
      </c>
      <c r="G2830" s="5">
        <v>40421</v>
      </c>
      <c r="H2830" s="4" t="s">
        <v>2039</v>
      </c>
      <c r="I2830" s="6">
        <f>62571.9-2.17</f>
        <v>62569.73</v>
      </c>
      <c r="J2830" s="6">
        <f>62571.9-2.17</f>
        <v>62569.73</v>
      </c>
      <c r="K2830" s="37" t="s">
        <v>4667</v>
      </c>
      <c r="L2830" s="119"/>
      <c r="M2830" s="3"/>
    </row>
    <row r="2831" spans="1:13" s="4" customFormat="1" ht="14.25" customHeight="1" x14ac:dyDescent="0.25">
      <c r="A2831" s="4" t="s">
        <v>4714</v>
      </c>
      <c r="B2831" s="4" t="s">
        <v>13</v>
      </c>
      <c r="C2831" s="4" t="s">
        <v>14</v>
      </c>
      <c r="D2831" s="35">
        <v>5706</v>
      </c>
      <c r="E2831" s="4" t="s">
        <v>4715</v>
      </c>
      <c r="F2831" s="5">
        <v>40118</v>
      </c>
      <c r="G2831" s="5">
        <v>40482</v>
      </c>
      <c r="H2831" s="4" t="s">
        <v>2039</v>
      </c>
      <c r="I2831" s="6">
        <v>8938.7999999999993</v>
      </c>
      <c r="J2831" s="6">
        <v>8938.7999999999993</v>
      </c>
      <c r="K2831" s="37" t="s">
        <v>4667</v>
      </c>
      <c r="L2831" s="119"/>
      <c r="M2831" s="3"/>
    </row>
    <row r="2832" spans="1:13" s="4" customFormat="1" ht="14.25" customHeight="1" x14ac:dyDescent="0.25">
      <c r="A2832" s="4" t="s">
        <v>4716</v>
      </c>
      <c r="B2832" s="4" t="s">
        <v>13</v>
      </c>
      <c r="C2832" s="4" t="s">
        <v>14</v>
      </c>
      <c r="D2832" s="35">
        <v>5707</v>
      </c>
      <c r="E2832" s="4" t="s">
        <v>4716</v>
      </c>
      <c r="F2832" s="5">
        <v>40087</v>
      </c>
      <c r="G2832" s="5">
        <v>40451</v>
      </c>
      <c r="H2832" s="4" t="s">
        <v>2039</v>
      </c>
      <c r="I2832" s="6">
        <f>28554.51-19.65</f>
        <v>28534.859999999997</v>
      </c>
      <c r="J2832" s="6">
        <f>28554.51-19.65</f>
        <v>28534.859999999997</v>
      </c>
      <c r="K2832" s="37" t="s">
        <v>4667</v>
      </c>
      <c r="L2832" s="119"/>
      <c r="M2832" s="3"/>
    </row>
    <row r="2833" spans="1:13" s="4" customFormat="1" ht="14.25" customHeight="1" x14ac:dyDescent="0.25">
      <c r="A2833" s="4" t="s">
        <v>4717</v>
      </c>
      <c r="B2833" s="4" t="s">
        <v>13</v>
      </c>
      <c r="C2833" s="4" t="s">
        <v>14</v>
      </c>
      <c r="D2833" s="35">
        <v>5708</v>
      </c>
      <c r="E2833" s="4" t="s">
        <v>4718</v>
      </c>
      <c r="F2833" s="5">
        <v>39295</v>
      </c>
      <c r="G2833" s="5">
        <v>39691</v>
      </c>
      <c r="H2833" s="4" t="s">
        <v>2039</v>
      </c>
      <c r="I2833" s="6">
        <v>75816.160000000003</v>
      </c>
      <c r="J2833" s="6">
        <v>75816.160000000003</v>
      </c>
      <c r="K2833" s="37" t="s">
        <v>4667</v>
      </c>
      <c r="L2833" s="119"/>
      <c r="M2833" s="3"/>
    </row>
    <row r="2834" spans="1:13" s="4" customFormat="1" ht="14.25" customHeight="1" x14ac:dyDescent="0.25">
      <c r="A2834" s="4" t="s">
        <v>4719</v>
      </c>
      <c r="B2834" s="4" t="s">
        <v>13</v>
      </c>
      <c r="C2834" s="4" t="s">
        <v>14</v>
      </c>
      <c r="D2834" s="35">
        <v>5709</v>
      </c>
      <c r="E2834" s="4" t="s">
        <v>4720</v>
      </c>
      <c r="F2834" s="5">
        <v>39349</v>
      </c>
      <c r="G2834" s="5">
        <v>39714</v>
      </c>
      <c r="H2834" s="4" t="s">
        <v>2039</v>
      </c>
      <c r="I2834" s="6">
        <v>62573.93</v>
      </c>
      <c r="J2834" s="6">
        <v>62573.93</v>
      </c>
      <c r="K2834" s="37" t="s">
        <v>4667</v>
      </c>
      <c r="L2834" s="119"/>
      <c r="M2834" s="3"/>
    </row>
    <row r="2835" spans="1:13" s="4" customFormat="1" ht="14.25" customHeight="1" x14ac:dyDescent="0.25">
      <c r="A2835" s="4" t="s">
        <v>4721</v>
      </c>
      <c r="B2835" s="4" t="s">
        <v>13</v>
      </c>
      <c r="C2835" s="4" t="s">
        <v>14</v>
      </c>
      <c r="D2835" s="35">
        <v>5710</v>
      </c>
      <c r="E2835" s="4" t="s">
        <v>4722</v>
      </c>
      <c r="F2835" s="5">
        <v>39332</v>
      </c>
      <c r="G2835" s="5">
        <v>39727</v>
      </c>
      <c r="H2835" s="4" t="s">
        <v>2039</v>
      </c>
      <c r="I2835" s="6">
        <f>58302.56-62.93</f>
        <v>58239.63</v>
      </c>
      <c r="J2835" s="6">
        <f>58302.56-62.93</f>
        <v>58239.63</v>
      </c>
      <c r="K2835" s="37" t="s">
        <v>4667</v>
      </c>
      <c r="L2835" s="119"/>
      <c r="M2835" s="3"/>
    </row>
    <row r="2836" spans="1:13" s="4" customFormat="1" ht="14.25" customHeight="1" x14ac:dyDescent="0.25">
      <c r="A2836" s="4" t="s">
        <v>4723</v>
      </c>
      <c r="B2836" s="4" t="s">
        <v>13</v>
      </c>
      <c r="C2836" s="4" t="s">
        <v>14</v>
      </c>
      <c r="D2836" s="35">
        <v>5711</v>
      </c>
      <c r="E2836" s="4" t="s">
        <v>4724</v>
      </c>
      <c r="F2836" s="5">
        <v>39478</v>
      </c>
      <c r="G2836" s="5">
        <v>39833</v>
      </c>
      <c r="H2836" s="4" t="s">
        <v>2039</v>
      </c>
      <c r="I2836" s="6">
        <v>63060.9</v>
      </c>
      <c r="J2836" s="6">
        <v>63060.9</v>
      </c>
      <c r="K2836" s="37" t="s">
        <v>4667</v>
      </c>
      <c r="L2836" s="119"/>
      <c r="M2836" s="3"/>
    </row>
    <row r="2837" spans="1:13" s="4" customFormat="1" ht="14.25" customHeight="1" x14ac:dyDescent="0.25">
      <c r="A2837" s="4" t="s">
        <v>4725</v>
      </c>
      <c r="B2837" s="4" t="s">
        <v>13</v>
      </c>
      <c r="C2837" s="4" t="s">
        <v>14</v>
      </c>
      <c r="D2837" s="35">
        <v>5712</v>
      </c>
      <c r="E2837" s="4" t="s">
        <v>4726</v>
      </c>
      <c r="F2837" s="5">
        <v>39265</v>
      </c>
      <c r="G2837" s="5">
        <v>39753</v>
      </c>
      <c r="H2837" s="4" t="s">
        <v>2039</v>
      </c>
      <c r="I2837" s="6">
        <f>88423.18-97.26</f>
        <v>88325.92</v>
      </c>
      <c r="J2837" s="6">
        <f>88423.18-97.26</f>
        <v>88325.92</v>
      </c>
      <c r="K2837" s="37" t="s">
        <v>4667</v>
      </c>
      <c r="L2837" s="119"/>
      <c r="M2837" s="3"/>
    </row>
    <row r="2838" spans="1:13" s="4" customFormat="1" ht="14.25" customHeight="1" x14ac:dyDescent="0.25">
      <c r="A2838" s="4" t="s">
        <v>4727</v>
      </c>
      <c r="B2838" s="4" t="s">
        <v>13</v>
      </c>
      <c r="C2838" s="4" t="s">
        <v>14</v>
      </c>
      <c r="D2838" s="35">
        <v>5713</v>
      </c>
      <c r="E2838" s="4" t="s">
        <v>4728</v>
      </c>
      <c r="F2838" s="5">
        <v>39569</v>
      </c>
      <c r="G2838" s="5">
        <v>40298</v>
      </c>
      <c r="H2838" s="4" t="s">
        <v>2039</v>
      </c>
      <c r="I2838" s="6">
        <f>303578.6-150.05</f>
        <v>303428.55</v>
      </c>
      <c r="J2838" s="6">
        <f>303578.6-150.05</f>
        <v>303428.55</v>
      </c>
      <c r="K2838" s="37" t="s">
        <v>4667</v>
      </c>
      <c r="L2838" s="119"/>
      <c r="M2838" s="3"/>
    </row>
    <row r="2839" spans="1:13" s="4" customFormat="1" ht="14.25" customHeight="1" x14ac:dyDescent="0.25">
      <c r="A2839" s="4" t="s">
        <v>4729</v>
      </c>
      <c r="B2839" s="4" t="s">
        <v>13</v>
      </c>
      <c r="C2839" s="4" t="s">
        <v>14</v>
      </c>
      <c r="D2839" s="35">
        <v>5714</v>
      </c>
      <c r="E2839" s="4" t="s">
        <v>4730</v>
      </c>
      <c r="F2839" s="5">
        <v>39722</v>
      </c>
      <c r="G2839" s="5">
        <v>40908</v>
      </c>
      <c r="H2839" s="4" t="s">
        <v>2039</v>
      </c>
      <c r="I2839" s="6">
        <v>263856.71999999997</v>
      </c>
      <c r="J2839" s="6">
        <v>263856.71999999997</v>
      </c>
      <c r="K2839" s="37" t="s">
        <v>4667</v>
      </c>
      <c r="L2839" s="119"/>
      <c r="M2839" s="3"/>
    </row>
    <row r="2840" spans="1:13" s="4" customFormat="1" ht="14.25" customHeight="1" x14ac:dyDescent="0.25">
      <c r="A2840" s="4" t="s">
        <v>4731</v>
      </c>
      <c r="B2840" s="4" t="s">
        <v>13</v>
      </c>
      <c r="C2840" s="4" t="s">
        <v>14</v>
      </c>
      <c r="D2840" s="35">
        <v>5715</v>
      </c>
      <c r="E2840" s="4" t="s">
        <v>4732</v>
      </c>
      <c r="F2840" s="5">
        <v>39661</v>
      </c>
      <c r="G2840" s="5">
        <v>40390</v>
      </c>
      <c r="H2840" s="4" t="s">
        <v>2039</v>
      </c>
      <c r="I2840" s="6">
        <f>208037.27-64.74</f>
        <v>207972.53</v>
      </c>
      <c r="J2840" s="6">
        <f>208037.27-64.74</f>
        <v>207972.53</v>
      </c>
      <c r="K2840" s="37" t="s">
        <v>4667</v>
      </c>
      <c r="L2840" s="119"/>
      <c r="M2840" s="3"/>
    </row>
    <row r="2841" spans="1:13" s="4" customFormat="1" ht="14.25" customHeight="1" x14ac:dyDescent="0.25">
      <c r="A2841" s="4" t="s">
        <v>4733</v>
      </c>
      <c r="B2841" s="4" t="s">
        <v>13</v>
      </c>
      <c r="C2841" s="4" t="s">
        <v>14</v>
      </c>
      <c r="D2841" s="35">
        <v>5716</v>
      </c>
      <c r="E2841" s="4" t="s">
        <v>4734</v>
      </c>
      <c r="F2841" s="5">
        <v>39814</v>
      </c>
      <c r="G2841" s="5">
        <v>40544</v>
      </c>
      <c r="H2841" s="4" t="s">
        <v>2039</v>
      </c>
      <c r="I2841" s="6">
        <v>181247.05</v>
      </c>
      <c r="J2841" s="6">
        <v>181247.05</v>
      </c>
      <c r="K2841" s="37" t="s">
        <v>4667</v>
      </c>
      <c r="L2841" s="119"/>
      <c r="M2841" s="3"/>
    </row>
    <row r="2842" spans="1:13" s="4" customFormat="1" ht="14.25" customHeight="1" x14ac:dyDescent="0.25">
      <c r="A2842" s="4" t="s">
        <v>4735</v>
      </c>
      <c r="B2842" s="4" t="s">
        <v>13</v>
      </c>
      <c r="C2842" s="4" t="s">
        <v>14</v>
      </c>
      <c r="D2842" s="35">
        <v>5717</v>
      </c>
      <c r="E2842" s="4" t="s">
        <v>4736</v>
      </c>
      <c r="F2842" s="5">
        <v>39904</v>
      </c>
      <c r="G2842" s="5">
        <v>41000</v>
      </c>
      <c r="H2842" s="4" t="s">
        <v>2039</v>
      </c>
      <c r="I2842" s="6">
        <f>91568.23+52299+80909.73</f>
        <v>224776.95999999996</v>
      </c>
      <c r="J2842" s="6">
        <v>224776.95999999999</v>
      </c>
      <c r="K2842" s="37" t="s">
        <v>4667</v>
      </c>
      <c r="L2842" s="119"/>
      <c r="M2842" s="3"/>
    </row>
    <row r="2843" spans="1:13" s="4" customFormat="1" ht="14.25" customHeight="1" x14ac:dyDescent="0.25">
      <c r="A2843" s="4" t="s">
        <v>4737</v>
      </c>
      <c r="B2843" s="4" t="s">
        <v>13</v>
      </c>
      <c r="C2843" s="4" t="s">
        <v>14</v>
      </c>
      <c r="D2843" s="35">
        <v>5718</v>
      </c>
      <c r="E2843" s="4" t="s">
        <v>4738</v>
      </c>
      <c r="F2843" s="5">
        <v>40179</v>
      </c>
      <c r="G2843" s="5">
        <v>40999</v>
      </c>
      <c r="H2843" s="4" t="s">
        <v>2039</v>
      </c>
      <c r="I2843" s="6">
        <f>10439.62+70377.53+42999.84</f>
        <v>123816.98999999999</v>
      </c>
      <c r="J2843" s="6">
        <v>123816.99</v>
      </c>
      <c r="K2843" s="37" t="s">
        <v>4667</v>
      </c>
      <c r="L2843" s="119"/>
      <c r="M2843" s="3"/>
    </row>
    <row r="2844" spans="1:13" s="4" customFormat="1" ht="14.25" customHeight="1" x14ac:dyDescent="0.25">
      <c r="A2844" s="4" t="s">
        <v>4739</v>
      </c>
      <c r="B2844" s="4" t="s">
        <v>13</v>
      </c>
      <c r="C2844" s="4" t="s">
        <v>14</v>
      </c>
      <c r="D2844" s="35">
        <v>6522</v>
      </c>
      <c r="E2844" s="4" t="s">
        <v>4740</v>
      </c>
      <c r="F2844" s="5">
        <v>39814</v>
      </c>
      <c r="G2844" s="5">
        <v>40544</v>
      </c>
      <c r="H2844" s="4" t="s">
        <v>2039</v>
      </c>
      <c r="I2844" s="6">
        <f>119096.17-180.76+33855.3</f>
        <v>152770.71000000002</v>
      </c>
      <c r="J2844" s="6">
        <f>152951.47-180.76</f>
        <v>152770.71</v>
      </c>
      <c r="K2844" s="37" t="s">
        <v>4667</v>
      </c>
      <c r="L2844" s="119"/>
      <c r="M2844" s="3"/>
    </row>
    <row r="2845" spans="1:13" s="4" customFormat="1" ht="14.25" customHeight="1" x14ac:dyDescent="0.25">
      <c r="A2845" s="4" t="s">
        <v>4741</v>
      </c>
      <c r="B2845" s="4" t="s">
        <v>13</v>
      </c>
      <c r="C2845" s="4" t="s">
        <v>14</v>
      </c>
      <c r="D2845" s="35">
        <v>6523</v>
      </c>
      <c r="E2845" s="4" t="s">
        <v>4742</v>
      </c>
      <c r="F2845" s="5">
        <v>39661</v>
      </c>
      <c r="G2845" s="5">
        <v>40490</v>
      </c>
      <c r="H2845" s="4" t="s">
        <v>2039</v>
      </c>
      <c r="I2845" s="6">
        <v>29177.48</v>
      </c>
      <c r="J2845" s="6">
        <v>29177.48</v>
      </c>
      <c r="K2845" s="37" t="s">
        <v>4667</v>
      </c>
      <c r="L2845" s="119"/>
      <c r="M2845" s="3"/>
    </row>
    <row r="2846" spans="1:13" s="4" customFormat="1" ht="14.25" customHeight="1" x14ac:dyDescent="0.25">
      <c r="A2846" s="4" t="s">
        <v>4743</v>
      </c>
      <c r="B2846" s="4" t="s">
        <v>13</v>
      </c>
      <c r="C2846" s="4" t="s">
        <v>14</v>
      </c>
      <c r="D2846" s="35">
        <v>6525</v>
      </c>
      <c r="E2846" s="4" t="s">
        <v>4744</v>
      </c>
      <c r="F2846" s="5">
        <v>39569</v>
      </c>
      <c r="G2846" s="5">
        <v>40298</v>
      </c>
      <c r="H2846" s="4" t="s">
        <v>2039</v>
      </c>
      <c r="I2846" s="6">
        <v>61353.27</v>
      </c>
      <c r="J2846" s="6">
        <v>61353.27</v>
      </c>
      <c r="K2846" s="37" t="s">
        <v>4667</v>
      </c>
      <c r="L2846" s="119"/>
      <c r="M2846" s="3"/>
    </row>
    <row r="2847" spans="1:13" s="4" customFormat="1" ht="14.25" customHeight="1" x14ac:dyDescent="0.25">
      <c r="A2847" s="4" t="s">
        <v>4745</v>
      </c>
      <c r="B2847" s="4" t="s">
        <v>13</v>
      </c>
      <c r="C2847" s="4" t="s">
        <v>14</v>
      </c>
      <c r="D2847" s="35">
        <v>6526</v>
      </c>
      <c r="E2847" s="4" t="s">
        <v>4746</v>
      </c>
      <c r="F2847" s="5">
        <v>40360</v>
      </c>
      <c r="G2847" s="5">
        <v>40724</v>
      </c>
      <c r="H2847" s="4" t="s">
        <v>2039</v>
      </c>
      <c r="I2847" s="6">
        <v>95159.29</v>
      </c>
      <c r="J2847" s="6">
        <v>95159.29</v>
      </c>
      <c r="K2847" s="37" t="s">
        <v>4667</v>
      </c>
      <c r="L2847" s="119"/>
      <c r="M2847" s="3"/>
    </row>
    <row r="2848" spans="1:13" s="4" customFormat="1" ht="14.25" customHeight="1" x14ac:dyDescent="0.25">
      <c r="A2848" s="4" t="s">
        <v>4747</v>
      </c>
      <c r="B2848" s="4" t="s">
        <v>13</v>
      </c>
      <c r="C2848" s="4" t="s">
        <v>14</v>
      </c>
      <c r="D2848" s="35">
        <v>6527</v>
      </c>
      <c r="E2848" s="7" t="s">
        <v>4748</v>
      </c>
      <c r="F2848" s="5">
        <v>40087</v>
      </c>
      <c r="G2848" s="5">
        <v>40512</v>
      </c>
      <c r="H2848" s="4" t="s">
        <v>2039</v>
      </c>
      <c r="I2848" s="6">
        <v>46169.68</v>
      </c>
      <c r="J2848" s="6">
        <v>46169.68</v>
      </c>
      <c r="K2848" s="37" t="s">
        <v>4667</v>
      </c>
      <c r="L2848" s="119"/>
      <c r="M2848" s="3"/>
    </row>
    <row r="2849" spans="1:13" s="4" customFormat="1" ht="14.25" customHeight="1" x14ac:dyDescent="0.25">
      <c r="A2849" s="4" t="s">
        <v>4749</v>
      </c>
      <c r="B2849" s="4" t="s">
        <v>13</v>
      </c>
      <c r="C2849" s="4" t="s">
        <v>14</v>
      </c>
      <c r="D2849" s="35">
        <v>6528</v>
      </c>
      <c r="E2849" s="4" t="s">
        <v>4750</v>
      </c>
      <c r="F2849" s="5">
        <v>40118</v>
      </c>
      <c r="G2849" s="5">
        <v>40543</v>
      </c>
      <c r="H2849" s="4" t="s">
        <v>2039</v>
      </c>
      <c r="I2849" s="6">
        <v>60818.28</v>
      </c>
      <c r="J2849" s="6">
        <v>60818.28</v>
      </c>
      <c r="K2849" s="37" t="s">
        <v>4667</v>
      </c>
      <c r="L2849" s="119"/>
      <c r="M2849" s="3"/>
    </row>
    <row r="2850" spans="1:13" s="4" customFormat="1" ht="14.25" customHeight="1" x14ac:dyDescent="0.25">
      <c r="A2850" s="4" t="s">
        <v>4751</v>
      </c>
      <c r="B2850" s="4" t="s">
        <v>13</v>
      </c>
      <c r="C2850" s="4" t="s">
        <v>14</v>
      </c>
      <c r="D2850" s="35">
        <v>6530</v>
      </c>
      <c r="E2850" s="4" t="s">
        <v>4752</v>
      </c>
      <c r="F2850" s="5">
        <v>39995</v>
      </c>
      <c r="G2850" s="5">
        <v>40421</v>
      </c>
      <c r="H2850" s="4" t="s">
        <v>2039</v>
      </c>
      <c r="I2850" s="6">
        <v>32923.64</v>
      </c>
      <c r="J2850" s="6">
        <v>32923.64</v>
      </c>
      <c r="K2850" s="37" t="s">
        <v>4667</v>
      </c>
      <c r="L2850" s="119"/>
      <c r="M2850" s="3"/>
    </row>
    <row r="2851" spans="1:13" s="4" customFormat="1" ht="14.25" customHeight="1" x14ac:dyDescent="0.25">
      <c r="A2851" s="4" t="s">
        <v>4753</v>
      </c>
      <c r="B2851" s="4" t="s">
        <v>13</v>
      </c>
      <c r="C2851" s="4" t="s">
        <v>14</v>
      </c>
      <c r="D2851" s="35">
        <v>6531</v>
      </c>
      <c r="E2851" s="4" t="s">
        <v>4754</v>
      </c>
      <c r="F2851" s="5">
        <v>39814</v>
      </c>
      <c r="G2851" s="5">
        <v>40268</v>
      </c>
      <c r="H2851" s="4" t="s">
        <v>2039</v>
      </c>
      <c r="I2851" s="6">
        <v>1361.23</v>
      </c>
      <c r="J2851" s="6">
        <v>1361.23</v>
      </c>
      <c r="K2851" s="37" t="s">
        <v>4667</v>
      </c>
      <c r="L2851" s="119"/>
      <c r="M2851" s="3"/>
    </row>
    <row r="2852" spans="1:13" s="4" customFormat="1" ht="14.25" customHeight="1" x14ac:dyDescent="0.25">
      <c r="A2852" s="4" t="s">
        <v>4755</v>
      </c>
      <c r="B2852" s="4" t="s">
        <v>13</v>
      </c>
      <c r="C2852" s="4" t="s">
        <v>14</v>
      </c>
      <c r="D2852" s="35">
        <v>11231</v>
      </c>
      <c r="E2852" s="4" t="s">
        <v>4756</v>
      </c>
      <c r="F2852" s="5">
        <v>40756</v>
      </c>
      <c r="G2852" s="5">
        <v>40877</v>
      </c>
      <c r="H2852" s="4" t="s">
        <v>2039</v>
      </c>
      <c r="I2852" s="6">
        <v>9191.4</v>
      </c>
      <c r="J2852" s="6">
        <v>9191.4</v>
      </c>
      <c r="K2852" s="37" t="s">
        <v>4667</v>
      </c>
      <c r="L2852" s="119"/>
      <c r="M2852" s="3"/>
    </row>
    <row r="2853" spans="1:13" s="4" customFormat="1" ht="14.25" customHeight="1" x14ac:dyDescent="0.25">
      <c r="A2853" s="4" t="s">
        <v>4757</v>
      </c>
      <c r="B2853" s="4" t="s">
        <v>13</v>
      </c>
      <c r="C2853" s="4" t="s">
        <v>14</v>
      </c>
      <c r="D2853" s="35">
        <v>11232</v>
      </c>
      <c r="E2853" s="7" t="s">
        <v>4758</v>
      </c>
      <c r="F2853" s="5">
        <v>40725</v>
      </c>
      <c r="G2853" s="5">
        <v>40967</v>
      </c>
      <c r="H2853" s="4" t="s">
        <v>2039</v>
      </c>
      <c r="I2853" s="6">
        <v>127454.78</v>
      </c>
      <c r="J2853" s="6">
        <f>21267.07+106187.71</f>
        <v>127454.78</v>
      </c>
      <c r="K2853" s="37" t="s">
        <v>4667</v>
      </c>
      <c r="L2853" s="119"/>
      <c r="M2853" s="3"/>
    </row>
    <row r="2854" spans="1:13" s="4" customFormat="1" ht="14.25" customHeight="1" x14ac:dyDescent="0.25">
      <c r="A2854" s="4" t="s">
        <v>4759</v>
      </c>
      <c r="B2854" s="4" t="s">
        <v>13</v>
      </c>
      <c r="C2854" s="4" t="s">
        <v>14</v>
      </c>
      <c r="D2854" s="35">
        <v>11233</v>
      </c>
      <c r="E2854" s="4" t="s">
        <v>4760</v>
      </c>
      <c r="F2854" s="5">
        <v>40544</v>
      </c>
      <c r="G2854" s="5">
        <v>40999</v>
      </c>
      <c r="H2854" s="4" t="s">
        <v>2039</v>
      </c>
      <c r="I2854" s="6">
        <v>139451.96</v>
      </c>
      <c r="J2854" s="6">
        <f>118550.39+20901.57</f>
        <v>139451.96</v>
      </c>
      <c r="K2854" s="37" t="s">
        <v>4667</v>
      </c>
      <c r="L2854" s="119"/>
      <c r="M2854" s="3"/>
    </row>
    <row r="2855" spans="1:13" s="4" customFormat="1" ht="14.25" customHeight="1" x14ac:dyDescent="0.25">
      <c r="A2855" s="4" t="s">
        <v>4761</v>
      </c>
      <c r="B2855" s="4" t="s">
        <v>13</v>
      </c>
      <c r="C2855" s="4" t="s">
        <v>14</v>
      </c>
      <c r="D2855" s="35">
        <v>11234</v>
      </c>
      <c r="E2855" s="4" t="s">
        <v>4762</v>
      </c>
      <c r="F2855" s="5">
        <v>40603</v>
      </c>
      <c r="G2855" s="5">
        <v>40967</v>
      </c>
      <c r="H2855" s="4" t="s">
        <v>2039</v>
      </c>
      <c r="I2855" s="6">
        <v>148847.94</v>
      </c>
      <c r="J2855" s="6">
        <f>88382.88+60465.06</f>
        <v>148847.94</v>
      </c>
      <c r="K2855" s="37" t="s">
        <v>4667</v>
      </c>
      <c r="L2855" s="119"/>
      <c r="M2855" s="3"/>
    </row>
    <row r="2856" spans="1:13" s="32" customFormat="1" ht="14.25" customHeight="1" x14ac:dyDescent="0.25">
      <c r="A2856" s="13" t="s">
        <v>11395</v>
      </c>
      <c r="B2856" s="32" t="s">
        <v>13</v>
      </c>
      <c r="C2856" s="32" t="s">
        <v>14</v>
      </c>
      <c r="D2856" s="33">
        <v>12934</v>
      </c>
      <c r="E2856" s="13" t="s">
        <v>11396</v>
      </c>
      <c r="F2856" s="34">
        <v>41127</v>
      </c>
      <c r="G2856" s="34">
        <v>41182</v>
      </c>
      <c r="H2856" s="4" t="s">
        <v>2039</v>
      </c>
      <c r="I2856" s="94">
        <v>14600.1</v>
      </c>
      <c r="J2856" s="94">
        <v>14600.1</v>
      </c>
      <c r="K2856" s="38" t="s">
        <v>4667</v>
      </c>
      <c r="L2856" s="119"/>
    </row>
    <row r="2857" spans="1:13" s="32" customFormat="1" ht="14.25" customHeight="1" x14ac:dyDescent="0.25">
      <c r="A2857" s="13" t="s">
        <v>11397</v>
      </c>
      <c r="B2857" s="32" t="s">
        <v>13</v>
      </c>
      <c r="C2857" s="32" t="s">
        <v>14</v>
      </c>
      <c r="D2857" s="33">
        <v>12937</v>
      </c>
      <c r="E2857" s="13" t="s">
        <v>11398</v>
      </c>
      <c r="F2857" s="34">
        <v>41183</v>
      </c>
      <c r="G2857" s="34">
        <v>41274</v>
      </c>
      <c r="H2857" s="4" t="s">
        <v>2039</v>
      </c>
      <c r="I2857" s="94">
        <v>11313.45</v>
      </c>
      <c r="J2857" s="94">
        <v>11313.45</v>
      </c>
      <c r="K2857" s="38" t="s">
        <v>4667</v>
      </c>
      <c r="L2857" s="119"/>
    </row>
    <row r="2858" spans="1:13" s="32" customFormat="1" ht="14.25" customHeight="1" x14ac:dyDescent="0.25">
      <c r="A2858" s="13" t="s">
        <v>11399</v>
      </c>
      <c r="B2858" s="32" t="s">
        <v>13</v>
      </c>
      <c r="C2858" s="32" t="s">
        <v>14</v>
      </c>
      <c r="D2858" s="33">
        <v>12938</v>
      </c>
      <c r="E2858" s="13" t="s">
        <v>11400</v>
      </c>
      <c r="F2858" s="34">
        <v>41153</v>
      </c>
      <c r="G2858" s="34">
        <v>41944</v>
      </c>
      <c r="H2858" s="4" t="s">
        <v>2039</v>
      </c>
      <c r="I2858" s="94">
        <v>16281.01</v>
      </c>
      <c r="J2858" s="94">
        <v>16281.01</v>
      </c>
      <c r="K2858" s="38" t="s">
        <v>4667</v>
      </c>
      <c r="L2858" s="119"/>
    </row>
    <row r="2859" spans="1:13" s="4" customFormat="1" ht="14.25" customHeight="1" x14ac:dyDescent="0.25">
      <c r="A2859" s="4" t="s">
        <v>4763</v>
      </c>
      <c r="B2859" s="4" t="s">
        <v>13</v>
      </c>
      <c r="C2859" s="4" t="s">
        <v>14</v>
      </c>
      <c r="D2859" s="35">
        <v>9485</v>
      </c>
      <c r="E2859" s="4" t="s">
        <v>4764</v>
      </c>
      <c r="F2859" s="5">
        <v>40126</v>
      </c>
      <c r="G2859" s="5">
        <v>40213</v>
      </c>
      <c r="H2859" s="4" t="s">
        <v>389</v>
      </c>
      <c r="I2859" s="6">
        <v>89523</v>
      </c>
      <c r="J2859" s="6">
        <v>31333.05</v>
      </c>
      <c r="K2859" s="37" t="s">
        <v>4667</v>
      </c>
      <c r="L2859" s="119"/>
      <c r="M2859" s="3"/>
    </row>
    <row r="2860" spans="1:13" s="4" customFormat="1" ht="14.25" customHeight="1" x14ac:dyDescent="0.25">
      <c r="A2860" s="4" t="s">
        <v>4765</v>
      </c>
      <c r="B2860" s="4" t="s">
        <v>13</v>
      </c>
      <c r="C2860" s="4" t="s">
        <v>14</v>
      </c>
      <c r="D2860" s="35">
        <v>9498</v>
      </c>
      <c r="E2860" s="4" t="s">
        <v>4766</v>
      </c>
      <c r="F2860" s="5">
        <v>39423</v>
      </c>
      <c r="G2860" s="5">
        <v>39932</v>
      </c>
      <c r="H2860" s="4" t="s">
        <v>389</v>
      </c>
      <c r="I2860" s="6">
        <v>76194.97</v>
      </c>
      <c r="J2860" s="6">
        <v>29716.04</v>
      </c>
      <c r="K2860" s="37" t="s">
        <v>4667</v>
      </c>
      <c r="L2860" s="119"/>
      <c r="M2860" s="3"/>
    </row>
    <row r="2861" spans="1:13" s="4" customFormat="1" ht="14.25" customHeight="1" x14ac:dyDescent="0.25">
      <c r="A2861" s="4" t="s">
        <v>4665</v>
      </c>
      <c r="B2861" s="4" t="s">
        <v>13</v>
      </c>
      <c r="C2861" s="4" t="s">
        <v>14</v>
      </c>
      <c r="D2861" s="35">
        <v>9910</v>
      </c>
      <c r="E2861" s="7" t="s">
        <v>4767</v>
      </c>
      <c r="F2861" s="5">
        <v>40836</v>
      </c>
      <c r="G2861" s="5">
        <v>41073</v>
      </c>
      <c r="H2861" s="4" t="s">
        <v>392</v>
      </c>
      <c r="I2861" s="6">
        <v>271404.71999999997</v>
      </c>
      <c r="J2861" s="6">
        <v>54280.94</v>
      </c>
      <c r="K2861" s="37" t="s">
        <v>4667</v>
      </c>
      <c r="L2861" s="119"/>
      <c r="M2861" s="3"/>
    </row>
    <row r="2862" spans="1:13" s="4" customFormat="1" ht="14.25" customHeight="1" x14ac:dyDescent="0.25">
      <c r="A2862" s="4" t="s">
        <v>4768</v>
      </c>
      <c r="B2862" s="4" t="s">
        <v>13</v>
      </c>
      <c r="C2862" s="4" t="s">
        <v>14</v>
      </c>
      <c r="D2862" s="35">
        <v>10021</v>
      </c>
      <c r="E2862" s="4" t="s">
        <v>4769</v>
      </c>
      <c r="F2862" s="5">
        <v>40448</v>
      </c>
      <c r="G2862" s="5">
        <v>40535</v>
      </c>
      <c r="H2862" s="4" t="s">
        <v>392</v>
      </c>
      <c r="I2862" s="6">
        <v>203400</v>
      </c>
      <c r="J2862" s="6">
        <v>50850</v>
      </c>
      <c r="K2862" s="37" t="s">
        <v>4667</v>
      </c>
      <c r="L2862" s="119"/>
      <c r="M2862" s="3"/>
    </row>
    <row r="2863" spans="1:13" s="4" customFormat="1" ht="14.25" customHeight="1" x14ac:dyDescent="0.25">
      <c r="A2863" s="4" t="s">
        <v>4770</v>
      </c>
      <c r="B2863" s="4" t="s">
        <v>13</v>
      </c>
      <c r="C2863" s="4" t="s">
        <v>14</v>
      </c>
      <c r="D2863" s="35">
        <v>10071</v>
      </c>
      <c r="E2863" s="4" t="s">
        <v>4771</v>
      </c>
      <c r="F2863" s="5">
        <v>40448</v>
      </c>
      <c r="G2863" s="5">
        <v>40542</v>
      </c>
      <c r="H2863" s="4" t="s">
        <v>392</v>
      </c>
      <c r="I2863" s="6">
        <v>145948.38</v>
      </c>
      <c r="J2863" s="6">
        <v>51081.93</v>
      </c>
      <c r="K2863" s="37" t="s">
        <v>4667</v>
      </c>
      <c r="L2863" s="119"/>
      <c r="M2863" s="3"/>
    </row>
    <row r="2864" spans="1:13" s="4" customFormat="1" ht="14.25" customHeight="1" x14ac:dyDescent="0.25">
      <c r="A2864" s="4" t="s">
        <v>4772</v>
      </c>
      <c r="B2864" s="4" t="s">
        <v>13</v>
      </c>
      <c r="C2864" s="4" t="s">
        <v>14</v>
      </c>
      <c r="D2864" s="35">
        <v>10153</v>
      </c>
      <c r="E2864" s="4" t="s">
        <v>4773</v>
      </c>
      <c r="F2864" s="5">
        <v>40792</v>
      </c>
      <c r="G2864" s="5">
        <v>40900</v>
      </c>
      <c r="H2864" s="4" t="s">
        <v>392</v>
      </c>
      <c r="I2864" s="6">
        <v>884174.47</v>
      </c>
      <c r="J2864" s="6">
        <v>176834.89</v>
      </c>
      <c r="K2864" s="37" t="s">
        <v>4667</v>
      </c>
      <c r="L2864" s="119"/>
      <c r="M2864" s="3"/>
    </row>
    <row r="2865" spans="1:13" s="4" customFormat="1" ht="14.25" customHeight="1" x14ac:dyDescent="0.25">
      <c r="A2865" s="4" t="s">
        <v>4774</v>
      </c>
      <c r="B2865" s="4" t="s">
        <v>13</v>
      </c>
      <c r="C2865" s="4" t="s">
        <v>14</v>
      </c>
      <c r="D2865" s="35">
        <v>10176</v>
      </c>
      <c r="E2865" s="4" t="s">
        <v>4775</v>
      </c>
      <c r="F2865" s="5">
        <v>41129</v>
      </c>
      <c r="G2865" s="5">
        <v>41527</v>
      </c>
      <c r="H2865" s="4" t="s">
        <v>392</v>
      </c>
      <c r="I2865" s="6">
        <v>702679.4</v>
      </c>
      <c r="J2865" s="6">
        <v>210803.83</v>
      </c>
      <c r="K2865" s="37" t="s">
        <v>4667</v>
      </c>
      <c r="L2865" s="119"/>
      <c r="M2865" s="3"/>
    </row>
    <row r="2866" spans="1:13" s="4" customFormat="1" ht="14.25" customHeight="1" x14ac:dyDescent="0.25">
      <c r="A2866" s="4" t="s">
        <v>4776</v>
      </c>
      <c r="B2866" s="4" t="s">
        <v>13</v>
      </c>
      <c r="C2866" s="4" t="s">
        <v>14</v>
      </c>
      <c r="D2866" s="35">
        <v>10200</v>
      </c>
      <c r="E2866" s="4" t="s">
        <v>4777</v>
      </c>
      <c r="F2866" s="5">
        <v>41136</v>
      </c>
      <c r="G2866" s="5">
        <v>41271</v>
      </c>
      <c r="H2866" s="4" t="s">
        <v>392</v>
      </c>
      <c r="I2866" s="6">
        <v>84997.34</v>
      </c>
      <c r="J2866" s="6">
        <v>12749.6</v>
      </c>
      <c r="K2866" s="37" t="s">
        <v>4667</v>
      </c>
      <c r="L2866" s="119"/>
      <c r="M2866" s="3"/>
    </row>
    <row r="2867" spans="1:13" s="4" customFormat="1" ht="14.25" customHeight="1" x14ac:dyDescent="0.25">
      <c r="A2867" s="4" t="s">
        <v>4778</v>
      </c>
      <c r="B2867" s="4" t="s">
        <v>13</v>
      </c>
      <c r="C2867" s="4" t="s">
        <v>14</v>
      </c>
      <c r="D2867" s="35">
        <v>10206</v>
      </c>
      <c r="E2867" s="7" t="s">
        <v>4779</v>
      </c>
      <c r="F2867" s="5">
        <v>41106</v>
      </c>
      <c r="G2867" s="5">
        <v>41267</v>
      </c>
      <c r="H2867" s="4" t="s">
        <v>392</v>
      </c>
      <c r="I2867" s="6">
        <v>214665.56</v>
      </c>
      <c r="J2867" s="6">
        <v>32199.83</v>
      </c>
      <c r="K2867" s="37" t="s">
        <v>4667</v>
      </c>
      <c r="L2867" s="119"/>
      <c r="M2867" s="3"/>
    </row>
    <row r="2868" spans="1:13" s="4" customFormat="1" ht="14.25" customHeight="1" x14ac:dyDescent="0.25">
      <c r="A2868" s="4" t="s">
        <v>4780</v>
      </c>
      <c r="B2868" s="4" t="s">
        <v>13</v>
      </c>
      <c r="C2868" s="4" t="s">
        <v>14</v>
      </c>
      <c r="D2868" s="35">
        <v>10217</v>
      </c>
      <c r="E2868" s="7" t="s">
        <v>4781</v>
      </c>
      <c r="F2868" s="5">
        <v>40394</v>
      </c>
      <c r="G2868" s="5">
        <v>40533</v>
      </c>
      <c r="H2868" s="4" t="s">
        <v>392</v>
      </c>
      <c r="I2868" s="6">
        <v>1305146.96</v>
      </c>
      <c r="J2868" s="6">
        <v>456801.44</v>
      </c>
      <c r="K2868" s="37" t="s">
        <v>4667</v>
      </c>
      <c r="L2868" s="119"/>
      <c r="M2868" s="3"/>
    </row>
    <row r="2869" spans="1:13" s="4" customFormat="1" ht="14.25" customHeight="1" x14ac:dyDescent="0.25">
      <c r="A2869" s="4" t="s">
        <v>11657</v>
      </c>
      <c r="B2869" s="4" t="s">
        <v>13</v>
      </c>
      <c r="C2869" s="4" t="s">
        <v>14</v>
      </c>
      <c r="D2869" s="35">
        <v>13436</v>
      </c>
      <c r="E2869" s="99" t="s">
        <v>11658</v>
      </c>
      <c r="F2869" s="97">
        <v>40681</v>
      </c>
      <c r="G2869" s="98">
        <v>42704</v>
      </c>
      <c r="H2869" s="4" t="s">
        <v>11659</v>
      </c>
      <c r="I2869" s="100">
        <v>2264596.94</v>
      </c>
      <c r="J2869" s="100">
        <v>905838.78</v>
      </c>
      <c r="K2869" s="37" t="s">
        <v>4667</v>
      </c>
      <c r="L2869" s="119"/>
      <c r="M2869" s="3"/>
    </row>
    <row r="2870" spans="1:13" s="4" customFormat="1" ht="14.25" customHeight="1" x14ac:dyDescent="0.25">
      <c r="A2870" s="4" t="s">
        <v>4782</v>
      </c>
      <c r="B2870" s="4" t="s">
        <v>38</v>
      </c>
      <c r="C2870" s="4" t="s">
        <v>14</v>
      </c>
      <c r="D2870" s="35">
        <v>2070</v>
      </c>
      <c r="E2870" s="4" t="s">
        <v>4783</v>
      </c>
      <c r="F2870" s="5">
        <v>39083</v>
      </c>
      <c r="H2870" s="4" t="s">
        <v>40</v>
      </c>
      <c r="I2870" s="6">
        <v>30904</v>
      </c>
      <c r="J2870" s="6">
        <v>30904</v>
      </c>
      <c r="K2870" s="37" t="s">
        <v>4667</v>
      </c>
      <c r="L2870" s="119"/>
      <c r="M2870" s="3"/>
    </row>
    <row r="2871" spans="1:13" s="4" customFormat="1" ht="14.25" customHeight="1" x14ac:dyDescent="0.25">
      <c r="A2871" s="4" t="s">
        <v>4784</v>
      </c>
      <c r="B2871" s="4" t="s">
        <v>38</v>
      </c>
      <c r="C2871" s="4" t="s">
        <v>14</v>
      </c>
      <c r="D2871" s="35">
        <v>2072</v>
      </c>
      <c r="E2871" s="4" t="s">
        <v>4785</v>
      </c>
      <c r="F2871" s="5">
        <v>39083</v>
      </c>
      <c r="H2871" s="4" t="s">
        <v>40</v>
      </c>
      <c r="I2871" s="6">
        <v>225</v>
      </c>
      <c r="J2871" s="6">
        <v>225</v>
      </c>
      <c r="K2871" s="37" t="s">
        <v>4667</v>
      </c>
      <c r="L2871" s="119"/>
      <c r="M2871" s="3"/>
    </row>
    <row r="2872" spans="1:13" s="4" customFormat="1" ht="14.25" customHeight="1" x14ac:dyDescent="0.25">
      <c r="A2872" s="4" t="s">
        <v>4786</v>
      </c>
      <c r="B2872" s="4" t="s">
        <v>38</v>
      </c>
      <c r="C2872" s="4" t="s">
        <v>14</v>
      </c>
      <c r="D2872" s="35">
        <v>2073</v>
      </c>
      <c r="E2872" s="4" t="s">
        <v>4787</v>
      </c>
      <c r="F2872" s="5">
        <v>39083</v>
      </c>
      <c r="H2872" s="4" t="s">
        <v>40</v>
      </c>
      <c r="I2872" s="6">
        <v>261716.54</v>
      </c>
      <c r="J2872" s="6">
        <f>238067.93+23648.61</f>
        <v>261716.53999999998</v>
      </c>
      <c r="K2872" s="37" t="s">
        <v>4667</v>
      </c>
      <c r="L2872" s="119"/>
      <c r="M2872" s="3"/>
    </row>
    <row r="2873" spans="1:13" s="4" customFormat="1" ht="14.25" customHeight="1" x14ac:dyDescent="0.25">
      <c r="A2873" s="4" t="s">
        <v>4788</v>
      </c>
      <c r="B2873" s="4" t="s">
        <v>38</v>
      </c>
      <c r="C2873" s="4" t="s">
        <v>14</v>
      </c>
      <c r="D2873" s="35">
        <v>2074</v>
      </c>
      <c r="E2873" s="4" t="s">
        <v>4789</v>
      </c>
      <c r="F2873" s="5">
        <v>39083</v>
      </c>
      <c r="H2873" s="4" t="s">
        <v>40</v>
      </c>
      <c r="I2873" s="6">
        <v>249006.72</v>
      </c>
      <c r="J2873" s="6">
        <f>216702.32+32304.4</f>
        <v>249006.72</v>
      </c>
      <c r="K2873" s="37" t="s">
        <v>4667</v>
      </c>
      <c r="L2873" s="119"/>
      <c r="M2873" s="3"/>
    </row>
    <row r="2874" spans="1:13" s="4" customFormat="1" ht="14.25" customHeight="1" x14ac:dyDescent="0.25">
      <c r="A2874" s="4" t="s">
        <v>4790</v>
      </c>
      <c r="B2874" s="4" t="s">
        <v>38</v>
      </c>
      <c r="C2874" s="4" t="s">
        <v>14</v>
      </c>
      <c r="D2874" s="35">
        <v>2086</v>
      </c>
      <c r="E2874" s="4" t="s">
        <v>4791</v>
      </c>
      <c r="F2874" s="5">
        <v>39083</v>
      </c>
      <c r="H2874" s="4" t="s">
        <v>40</v>
      </c>
      <c r="I2874" s="6">
        <v>48243</v>
      </c>
      <c r="J2874" s="6">
        <v>48243</v>
      </c>
      <c r="K2874" s="37" t="s">
        <v>4667</v>
      </c>
      <c r="L2874" s="119"/>
      <c r="M2874" s="3"/>
    </row>
    <row r="2875" spans="1:13" s="4" customFormat="1" ht="14.25" customHeight="1" x14ac:dyDescent="0.25">
      <c r="A2875" s="4" t="s">
        <v>4792</v>
      </c>
      <c r="B2875" s="4" t="s">
        <v>38</v>
      </c>
      <c r="C2875" s="4" t="s">
        <v>14</v>
      </c>
      <c r="D2875" s="35">
        <v>2089</v>
      </c>
      <c r="E2875" s="7" t="s">
        <v>4793</v>
      </c>
      <c r="F2875" s="5">
        <v>39083</v>
      </c>
      <c r="H2875" s="4" t="s">
        <v>40</v>
      </c>
      <c r="I2875" s="6">
        <v>97439.78</v>
      </c>
      <c r="J2875" s="6">
        <f>92339.78+5100</f>
        <v>97439.78</v>
      </c>
      <c r="K2875" s="37" t="s">
        <v>4667</v>
      </c>
      <c r="L2875" s="119"/>
      <c r="M2875" s="3"/>
    </row>
    <row r="2876" spans="1:13" s="4" customFormat="1" ht="14.25" customHeight="1" x14ac:dyDescent="0.25">
      <c r="A2876" s="4" t="s">
        <v>4794</v>
      </c>
      <c r="B2876" s="4" t="s">
        <v>38</v>
      </c>
      <c r="C2876" s="4" t="s">
        <v>14</v>
      </c>
      <c r="D2876" s="35">
        <v>2092</v>
      </c>
      <c r="E2876" s="7" t="s">
        <v>4795</v>
      </c>
      <c r="F2876" s="5">
        <v>39083</v>
      </c>
      <c r="H2876" s="4" t="s">
        <v>40</v>
      </c>
      <c r="I2876" s="6">
        <v>136543.26999999999</v>
      </c>
      <c r="J2876" s="6">
        <f>126857.83+9685.44</f>
        <v>136543.26999999999</v>
      </c>
      <c r="K2876" s="37" t="s">
        <v>4667</v>
      </c>
      <c r="L2876" s="119"/>
      <c r="M2876" s="3"/>
    </row>
    <row r="2877" spans="1:13" s="4" customFormat="1" ht="14.25" customHeight="1" x14ac:dyDescent="0.25">
      <c r="A2877" s="4" t="s">
        <v>4796</v>
      </c>
      <c r="B2877" s="4" t="s">
        <v>38</v>
      </c>
      <c r="C2877" s="4" t="s">
        <v>14</v>
      </c>
      <c r="D2877" s="35">
        <v>2094</v>
      </c>
      <c r="E2877" s="4" t="s">
        <v>4797</v>
      </c>
      <c r="F2877" s="5">
        <v>39083</v>
      </c>
      <c r="H2877" s="4" t="s">
        <v>40</v>
      </c>
      <c r="I2877" s="6">
        <v>71909</v>
      </c>
      <c r="J2877" s="6">
        <f>62851.4+9057.6</f>
        <v>71909</v>
      </c>
      <c r="K2877" s="37" t="s">
        <v>4667</v>
      </c>
      <c r="L2877" s="119"/>
      <c r="M2877" s="3"/>
    </row>
    <row r="2878" spans="1:13" s="4" customFormat="1" ht="14.25" customHeight="1" x14ac:dyDescent="0.25">
      <c r="A2878" s="4" t="s">
        <v>4798</v>
      </c>
      <c r="B2878" s="4" t="s">
        <v>38</v>
      </c>
      <c r="C2878" s="4" t="s">
        <v>14</v>
      </c>
      <c r="D2878" s="35">
        <v>2100</v>
      </c>
      <c r="E2878" s="4" t="s">
        <v>4799</v>
      </c>
      <c r="F2878" s="5">
        <v>39083</v>
      </c>
      <c r="H2878" s="4" t="s">
        <v>40</v>
      </c>
      <c r="I2878" s="6">
        <v>233138.1</v>
      </c>
      <c r="J2878" s="6">
        <f>209893.4+23244.7</f>
        <v>233138.1</v>
      </c>
      <c r="K2878" s="37" t="s">
        <v>4667</v>
      </c>
      <c r="L2878" s="119"/>
      <c r="M2878" s="3"/>
    </row>
    <row r="2879" spans="1:13" s="4" customFormat="1" ht="14.25" customHeight="1" x14ac:dyDescent="0.25">
      <c r="A2879" s="4" t="s">
        <v>4800</v>
      </c>
      <c r="B2879" s="4" t="s">
        <v>38</v>
      </c>
      <c r="C2879" s="4" t="s">
        <v>14</v>
      </c>
      <c r="D2879" s="35">
        <v>2110</v>
      </c>
      <c r="E2879" s="4" t="s">
        <v>4801</v>
      </c>
      <c r="F2879" s="5">
        <v>39083</v>
      </c>
      <c r="H2879" s="4" t="s">
        <v>40</v>
      </c>
      <c r="I2879" s="6">
        <v>48128.5</v>
      </c>
      <c r="J2879" s="6">
        <v>48128.5</v>
      </c>
      <c r="K2879" s="37" t="s">
        <v>4667</v>
      </c>
      <c r="L2879" s="119"/>
      <c r="M2879" s="3"/>
    </row>
    <row r="2880" spans="1:13" s="4" customFormat="1" ht="14.25" customHeight="1" x14ac:dyDescent="0.25">
      <c r="A2880" s="4" t="s">
        <v>4802</v>
      </c>
      <c r="B2880" s="4" t="s">
        <v>38</v>
      </c>
      <c r="C2880" s="4" t="s">
        <v>14</v>
      </c>
      <c r="D2880" s="35">
        <v>2111</v>
      </c>
      <c r="E2880" s="4" t="s">
        <v>4803</v>
      </c>
      <c r="F2880" s="5">
        <v>39083</v>
      </c>
      <c r="H2880" s="4" t="s">
        <v>40</v>
      </c>
      <c r="I2880" s="6">
        <v>16464.349999999999</v>
      </c>
      <c r="J2880" s="6">
        <v>16464.349999999999</v>
      </c>
      <c r="K2880" s="37" t="s">
        <v>4667</v>
      </c>
      <c r="L2880" s="119"/>
      <c r="M2880" s="3"/>
    </row>
    <row r="2881" spans="1:13" s="4" customFormat="1" ht="14.25" customHeight="1" x14ac:dyDescent="0.25">
      <c r="A2881" s="4" t="s">
        <v>4804</v>
      </c>
      <c r="B2881" s="4" t="s">
        <v>38</v>
      </c>
      <c r="C2881" s="4" t="s">
        <v>14</v>
      </c>
      <c r="D2881" s="35">
        <v>2112</v>
      </c>
      <c r="E2881" s="4" t="s">
        <v>4805</v>
      </c>
      <c r="F2881" s="5">
        <v>39083</v>
      </c>
      <c r="H2881" s="4" t="s">
        <v>40</v>
      </c>
      <c r="I2881" s="6">
        <f>9552.4+18836.4+1993+4600.95+3212.6</f>
        <v>38195.35</v>
      </c>
      <c r="J2881" s="6">
        <f>34982.75+3212.6</f>
        <v>38195.35</v>
      </c>
      <c r="K2881" s="37" t="s">
        <v>4667</v>
      </c>
      <c r="L2881" s="119"/>
      <c r="M2881" s="3"/>
    </row>
    <row r="2882" spans="1:13" s="4" customFormat="1" ht="14.25" customHeight="1" x14ac:dyDescent="0.25">
      <c r="A2882" s="4" t="s">
        <v>4806</v>
      </c>
      <c r="B2882" s="4" t="s">
        <v>38</v>
      </c>
      <c r="C2882" s="4" t="s">
        <v>14</v>
      </c>
      <c r="D2882" s="35">
        <v>2113</v>
      </c>
      <c r="E2882" s="4" t="s">
        <v>4807</v>
      </c>
      <c r="F2882" s="5">
        <v>39083</v>
      </c>
      <c r="H2882" s="4" t="s">
        <v>40</v>
      </c>
      <c r="I2882" s="6">
        <v>11491.55</v>
      </c>
      <c r="J2882" s="6">
        <v>11491.55</v>
      </c>
      <c r="K2882" s="37" t="s">
        <v>4667</v>
      </c>
      <c r="L2882" s="119"/>
      <c r="M2882" s="3"/>
    </row>
    <row r="2883" spans="1:13" s="4" customFormat="1" ht="14.25" customHeight="1" x14ac:dyDescent="0.25">
      <c r="A2883" s="4" t="s">
        <v>4808</v>
      </c>
      <c r="B2883" s="4" t="s">
        <v>38</v>
      </c>
      <c r="C2883" s="4" t="s">
        <v>14</v>
      </c>
      <c r="D2883" s="35">
        <v>2114</v>
      </c>
      <c r="E2883" s="4" t="s">
        <v>4809</v>
      </c>
      <c r="F2883" s="5">
        <v>39083</v>
      </c>
      <c r="H2883" s="4" t="s">
        <v>40</v>
      </c>
      <c r="I2883" s="6">
        <v>329544.14</v>
      </c>
      <c r="J2883" s="6">
        <f>244746.99+84797.15</f>
        <v>329544.14</v>
      </c>
      <c r="K2883" s="37" t="s">
        <v>4667</v>
      </c>
      <c r="L2883" s="119"/>
      <c r="M2883" s="3"/>
    </row>
    <row r="2884" spans="1:13" s="4" customFormat="1" ht="14.25" customHeight="1" x14ac:dyDescent="0.25">
      <c r="A2884" s="4" t="s">
        <v>4810</v>
      </c>
      <c r="B2884" s="4" t="s">
        <v>38</v>
      </c>
      <c r="C2884" s="4" t="s">
        <v>14</v>
      </c>
      <c r="D2884" s="35">
        <v>2115</v>
      </c>
      <c r="E2884" s="4" t="s">
        <v>4811</v>
      </c>
      <c r="F2884" s="5">
        <v>39083</v>
      </c>
      <c r="H2884" s="4" t="s">
        <v>40</v>
      </c>
      <c r="I2884" s="6">
        <v>2436.35</v>
      </c>
      <c r="J2884" s="6">
        <v>2436.35</v>
      </c>
      <c r="K2884" s="37" t="s">
        <v>4667</v>
      </c>
      <c r="L2884" s="119"/>
      <c r="M2884" s="3"/>
    </row>
    <row r="2885" spans="1:13" s="4" customFormat="1" ht="14.25" customHeight="1" x14ac:dyDescent="0.25">
      <c r="A2885" s="4" t="s">
        <v>4812</v>
      </c>
      <c r="B2885" s="4" t="s">
        <v>38</v>
      </c>
      <c r="C2885" s="4" t="s">
        <v>14</v>
      </c>
      <c r="D2885" s="35">
        <v>2116</v>
      </c>
      <c r="E2885" s="4" t="s">
        <v>4813</v>
      </c>
      <c r="F2885" s="5">
        <v>39083</v>
      </c>
      <c r="H2885" s="4" t="s">
        <v>40</v>
      </c>
      <c r="I2885" s="6">
        <v>7400</v>
      </c>
      <c r="J2885" s="6">
        <v>7400</v>
      </c>
      <c r="K2885" s="37" t="s">
        <v>4667</v>
      </c>
      <c r="L2885" s="119"/>
      <c r="M2885" s="3"/>
    </row>
    <row r="2886" spans="1:13" s="4" customFormat="1" ht="14.25" customHeight="1" x14ac:dyDescent="0.25">
      <c r="A2886" s="4" t="s">
        <v>4814</v>
      </c>
      <c r="B2886" s="4" t="s">
        <v>38</v>
      </c>
      <c r="C2886" s="4" t="s">
        <v>14</v>
      </c>
      <c r="D2886" s="35">
        <v>2118</v>
      </c>
      <c r="E2886" s="4" t="s">
        <v>4815</v>
      </c>
      <c r="F2886" s="5">
        <v>39083</v>
      </c>
      <c r="H2886" s="4" t="s">
        <v>40</v>
      </c>
      <c r="I2886" s="6">
        <v>12164.4</v>
      </c>
      <c r="J2886" s="6">
        <v>12164.4</v>
      </c>
      <c r="K2886" s="37" t="s">
        <v>4667</v>
      </c>
      <c r="L2886" s="119"/>
      <c r="M2886" s="3"/>
    </row>
    <row r="2887" spans="1:13" s="4" customFormat="1" ht="14.25" customHeight="1" x14ac:dyDescent="0.25">
      <c r="A2887" s="4" t="s">
        <v>4816</v>
      </c>
      <c r="B2887" s="4" t="s">
        <v>38</v>
      </c>
      <c r="C2887" s="4" t="s">
        <v>14</v>
      </c>
      <c r="D2887" s="35">
        <v>2119</v>
      </c>
      <c r="E2887" s="4" t="s">
        <v>4817</v>
      </c>
      <c r="F2887" s="5">
        <v>39083</v>
      </c>
      <c r="H2887" s="4" t="s">
        <v>40</v>
      </c>
      <c r="I2887" s="6">
        <v>26701.09</v>
      </c>
      <c r="J2887" s="6">
        <f>24295.5+2405.59</f>
        <v>26701.09</v>
      </c>
      <c r="K2887" s="37" t="s">
        <v>4667</v>
      </c>
      <c r="L2887" s="119"/>
      <c r="M2887" s="3"/>
    </row>
    <row r="2888" spans="1:13" s="4" customFormat="1" ht="14.25" customHeight="1" x14ac:dyDescent="0.25">
      <c r="A2888" s="4" t="s">
        <v>4818</v>
      </c>
      <c r="B2888" s="4" t="s">
        <v>38</v>
      </c>
      <c r="C2888" s="4" t="s">
        <v>14</v>
      </c>
      <c r="D2888" s="35">
        <v>2128</v>
      </c>
      <c r="E2888" s="4" t="s">
        <v>4819</v>
      </c>
      <c r="F2888" s="5">
        <v>39448</v>
      </c>
      <c r="H2888" s="4" t="s">
        <v>40</v>
      </c>
      <c r="I2888" s="6">
        <v>19166.7</v>
      </c>
      <c r="J2888" s="6">
        <v>19166.7</v>
      </c>
      <c r="K2888" s="37" t="s">
        <v>4667</v>
      </c>
      <c r="L2888" s="119"/>
      <c r="M2888" s="3"/>
    </row>
    <row r="2889" spans="1:13" s="4" customFormat="1" ht="14.25" customHeight="1" x14ac:dyDescent="0.25">
      <c r="A2889" s="4" t="s">
        <v>4820</v>
      </c>
      <c r="B2889" s="4" t="s">
        <v>38</v>
      </c>
      <c r="C2889" s="4" t="s">
        <v>14</v>
      </c>
      <c r="D2889" s="35">
        <v>2707</v>
      </c>
      <c r="E2889" s="4" t="s">
        <v>4821</v>
      </c>
      <c r="F2889" s="5">
        <v>39083</v>
      </c>
      <c r="H2889" s="4" t="s">
        <v>40</v>
      </c>
      <c r="I2889" s="6">
        <v>89767.25</v>
      </c>
      <c r="J2889" s="6">
        <f>80070.9+9696.35</f>
        <v>89767.25</v>
      </c>
      <c r="K2889" s="37" t="s">
        <v>4667</v>
      </c>
      <c r="L2889" s="119"/>
      <c r="M2889" s="3"/>
    </row>
    <row r="2890" spans="1:13" s="4" customFormat="1" ht="14.25" customHeight="1" x14ac:dyDescent="0.25">
      <c r="A2890" s="4" t="s">
        <v>4822</v>
      </c>
      <c r="B2890" s="4" t="s">
        <v>38</v>
      </c>
      <c r="C2890" s="4" t="s">
        <v>14</v>
      </c>
      <c r="D2890" s="35">
        <v>2709</v>
      </c>
      <c r="E2890" s="4" t="s">
        <v>4823</v>
      </c>
      <c r="F2890" s="5">
        <v>39448</v>
      </c>
      <c r="H2890" s="4" t="s">
        <v>40</v>
      </c>
      <c r="I2890" s="6">
        <v>4954</v>
      </c>
      <c r="J2890" s="6">
        <v>4954</v>
      </c>
      <c r="K2890" s="37" t="s">
        <v>4667</v>
      </c>
      <c r="L2890" s="119"/>
      <c r="M2890" s="3"/>
    </row>
    <row r="2891" spans="1:13" s="4" customFormat="1" ht="14.25" customHeight="1" x14ac:dyDescent="0.25">
      <c r="A2891" s="4" t="s">
        <v>4824</v>
      </c>
      <c r="B2891" s="4" t="s">
        <v>50</v>
      </c>
      <c r="C2891" s="4" t="s">
        <v>14</v>
      </c>
      <c r="D2891" s="35">
        <v>2896</v>
      </c>
      <c r="E2891" s="4" t="s">
        <v>4825</v>
      </c>
      <c r="F2891" s="5">
        <v>39136</v>
      </c>
      <c r="H2891" s="4" t="s">
        <v>40</v>
      </c>
      <c r="I2891" s="6">
        <v>120000</v>
      </c>
      <c r="J2891" s="6">
        <v>60000</v>
      </c>
      <c r="K2891" s="37" t="s">
        <v>4667</v>
      </c>
      <c r="L2891" s="119"/>
      <c r="M2891" s="3"/>
    </row>
    <row r="2892" spans="1:13" s="4" customFormat="1" ht="14.25" customHeight="1" x14ac:dyDescent="0.25">
      <c r="A2892" s="4" t="s">
        <v>4826</v>
      </c>
      <c r="B2892" s="4" t="s">
        <v>50</v>
      </c>
      <c r="C2892" s="4" t="s">
        <v>14</v>
      </c>
      <c r="D2892" s="35">
        <v>2899</v>
      </c>
      <c r="E2892" s="4" t="s">
        <v>4827</v>
      </c>
      <c r="F2892" s="5">
        <v>39269</v>
      </c>
      <c r="H2892" s="4" t="s">
        <v>40</v>
      </c>
      <c r="I2892" s="6">
        <v>150000</v>
      </c>
      <c r="J2892" s="6">
        <v>75000</v>
      </c>
      <c r="K2892" s="37" t="s">
        <v>4667</v>
      </c>
      <c r="L2892" s="119"/>
      <c r="M2892" s="3"/>
    </row>
    <row r="2893" spans="1:13" s="4" customFormat="1" ht="14.25" customHeight="1" x14ac:dyDescent="0.25">
      <c r="A2893" s="4" t="s">
        <v>4828</v>
      </c>
      <c r="B2893" s="4" t="s">
        <v>59</v>
      </c>
      <c r="C2893" s="4" t="s">
        <v>14</v>
      </c>
      <c r="D2893" s="35">
        <v>2900</v>
      </c>
      <c r="E2893" s="4" t="s">
        <v>4829</v>
      </c>
      <c r="F2893" s="5">
        <v>39213</v>
      </c>
      <c r="H2893" s="4" t="s">
        <v>40</v>
      </c>
      <c r="I2893" s="6">
        <v>11250</v>
      </c>
      <c r="J2893" s="6">
        <v>11250</v>
      </c>
      <c r="K2893" s="37" t="s">
        <v>4667</v>
      </c>
      <c r="L2893" s="119"/>
      <c r="M2893" s="3"/>
    </row>
    <row r="2894" spans="1:13" s="4" customFormat="1" ht="14.25" customHeight="1" x14ac:dyDescent="0.25">
      <c r="A2894" s="4" t="s">
        <v>4830</v>
      </c>
      <c r="B2894" s="4" t="s">
        <v>50</v>
      </c>
      <c r="C2894" s="4" t="s">
        <v>14</v>
      </c>
      <c r="D2894" s="35">
        <v>2901</v>
      </c>
      <c r="E2894" s="4" t="s">
        <v>4831</v>
      </c>
      <c r="F2894" s="5">
        <v>39269</v>
      </c>
      <c r="H2894" s="4" t="s">
        <v>40</v>
      </c>
      <c r="I2894" s="6">
        <v>28100</v>
      </c>
      <c r="J2894" s="6">
        <v>14050</v>
      </c>
      <c r="K2894" s="37" t="s">
        <v>4667</v>
      </c>
      <c r="L2894" s="119"/>
      <c r="M2894" s="3"/>
    </row>
    <row r="2895" spans="1:13" s="4" customFormat="1" ht="14.25" customHeight="1" x14ac:dyDescent="0.25">
      <c r="A2895" s="4" t="s">
        <v>4832</v>
      </c>
      <c r="B2895" s="4" t="s">
        <v>50</v>
      </c>
      <c r="C2895" s="4" t="s">
        <v>14</v>
      </c>
      <c r="D2895" s="35">
        <v>2903</v>
      </c>
      <c r="E2895" s="4" t="s">
        <v>4833</v>
      </c>
      <c r="F2895" s="5">
        <v>39136</v>
      </c>
      <c r="H2895" s="4" t="s">
        <v>40</v>
      </c>
      <c r="I2895" s="6">
        <v>50000</v>
      </c>
      <c r="J2895" s="6">
        <v>25000</v>
      </c>
      <c r="K2895" s="37" t="s">
        <v>4667</v>
      </c>
      <c r="L2895" s="119"/>
      <c r="M2895" s="3"/>
    </row>
    <row r="2896" spans="1:13" s="4" customFormat="1" ht="14.25" customHeight="1" x14ac:dyDescent="0.25">
      <c r="A2896" s="4" t="s">
        <v>4834</v>
      </c>
      <c r="B2896" s="4" t="s">
        <v>59</v>
      </c>
      <c r="C2896" s="4" t="s">
        <v>14</v>
      </c>
      <c r="D2896" s="35">
        <v>2904</v>
      </c>
      <c r="E2896" s="4" t="s">
        <v>4835</v>
      </c>
      <c r="F2896" s="5">
        <v>39213</v>
      </c>
      <c r="H2896" s="4" t="s">
        <v>40</v>
      </c>
      <c r="I2896" s="6">
        <v>3000</v>
      </c>
      <c r="J2896" s="6">
        <v>3000</v>
      </c>
      <c r="K2896" s="37" t="s">
        <v>4667</v>
      </c>
      <c r="L2896" s="119"/>
      <c r="M2896" s="3"/>
    </row>
    <row r="2897" spans="1:13" s="4" customFormat="1" ht="14.25" customHeight="1" x14ac:dyDescent="0.25">
      <c r="A2897" s="4" t="s">
        <v>4836</v>
      </c>
      <c r="B2897" s="4" t="s">
        <v>50</v>
      </c>
      <c r="C2897" s="4" t="s">
        <v>14</v>
      </c>
      <c r="D2897" s="35">
        <v>2906</v>
      </c>
      <c r="E2897" s="4" t="s">
        <v>4837</v>
      </c>
      <c r="F2897" s="5">
        <v>39269</v>
      </c>
      <c r="H2897" s="4" t="s">
        <v>40</v>
      </c>
      <c r="I2897" s="6">
        <v>40000</v>
      </c>
      <c r="J2897" s="6">
        <v>20000</v>
      </c>
      <c r="K2897" s="37" t="s">
        <v>4667</v>
      </c>
      <c r="L2897" s="119"/>
      <c r="M2897" s="3"/>
    </row>
    <row r="2898" spans="1:13" s="4" customFormat="1" ht="14.25" customHeight="1" x14ac:dyDescent="0.25">
      <c r="A2898" s="4" t="s">
        <v>4838</v>
      </c>
      <c r="B2898" s="4" t="s">
        <v>50</v>
      </c>
      <c r="C2898" s="4" t="s">
        <v>14</v>
      </c>
      <c r="D2898" s="35">
        <v>2909</v>
      </c>
      <c r="E2898" s="4" t="s">
        <v>4839</v>
      </c>
      <c r="F2898" s="5">
        <v>39137</v>
      </c>
      <c r="H2898" s="4" t="s">
        <v>40</v>
      </c>
      <c r="I2898" s="6">
        <v>20000</v>
      </c>
      <c r="J2898" s="6">
        <v>10000</v>
      </c>
      <c r="K2898" s="37" t="s">
        <v>4667</v>
      </c>
      <c r="L2898" s="119"/>
      <c r="M2898" s="3"/>
    </row>
    <row r="2899" spans="1:13" s="4" customFormat="1" ht="14.25" customHeight="1" x14ac:dyDescent="0.25">
      <c r="A2899" s="4" t="s">
        <v>4840</v>
      </c>
      <c r="B2899" s="4" t="s">
        <v>50</v>
      </c>
      <c r="C2899" s="4" t="s">
        <v>14</v>
      </c>
      <c r="D2899" s="35">
        <v>2910</v>
      </c>
      <c r="E2899" s="4" t="s">
        <v>4841</v>
      </c>
      <c r="F2899" s="5">
        <v>39346</v>
      </c>
      <c r="H2899" s="4" t="s">
        <v>40</v>
      </c>
      <c r="I2899" s="6">
        <v>60000</v>
      </c>
      <c r="J2899" s="6">
        <v>30000</v>
      </c>
      <c r="K2899" s="37" t="s">
        <v>4667</v>
      </c>
      <c r="L2899" s="119"/>
      <c r="M2899" s="3"/>
    </row>
    <row r="2900" spans="1:13" s="4" customFormat="1" ht="14.25" customHeight="1" x14ac:dyDescent="0.25">
      <c r="A2900" s="4" t="s">
        <v>4842</v>
      </c>
      <c r="B2900" s="4" t="s">
        <v>59</v>
      </c>
      <c r="C2900" s="4" t="s">
        <v>14</v>
      </c>
      <c r="D2900" s="35">
        <v>2911</v>
      </c>
      <c r="E2900" s="4" t="s">
        <v>4843</v>
      </c>
      <c r="F2900" s="5">
        <v>39213</v>
      </c>
      <c r="H2900" s="4" t="s">
        <v>40</v>
      </c>
      <c r="I2900" s="6">
        <v>7500</v>
      </c>
      <c r="J2900" s="6">
        <v>7500</v>
      </c>
      <c r="K2900" s="37" t="s">
        <v>4667</v>
      </c>
      <c r="L2900" s="119"/>
      <c r="M2900" s="3"/>
    </row>
    <row r="2901" spans="1:13" s="4" customFormat="1" ht="14.25" customHeight="1" x14ac:dyDescent="0.25">
      <c r="A2901" s="4" t="s">
        <v>4844</v>
      </c>
      <c r="B2901" s="4" t="s">
        <v>50</v>
      </c>
      <c r="C2901" s="4" t="s">
        <v>14</v>
      </c>
      <c r="D2901" s="35">
        <v>2912</v>
      </c>
      <c r="E2901" s="4" t="s">
        <v>4845</v>
      </c>
      <c r="F2901" s="5">
        <v>39136</v>
      </c>
      <c r="H2901" s="4" t="s">
        <v>40</v>
      </c>
      <c r="I2901" s="6">
        <v>143358</v>
      </c>
      <c r="J2901" s="6">
        <v>71679</v>
      </c>
      <c r="K2901" s="37" t="s">
        <v>4667</v>
      </c>
      <c r="L2901" s="119"/>
      <c r="M2901" s="3"/>
    </row>
    <row r="2902" spans="1:13" s="4" customFormat="1" ht="14.25" customHeight="1" x14ac:dyDescent="0.25">
      <c r="A2902" s="4" t="s">
        <v>4846</v>
      </c>
      <c r="B2902" s="4" t="s">
        <v>59</v>
      </c>
      <c r="C2902" s="4" t="s">
        <v>14</v>
      </c>
      <c r="D2902" s="35">
        <v>2914</v>
      </c>
      <c r="E2902" s="4" t="s">
        <v>4847</v>
      </c>
      <c r="F2902" s="5">
        <v>39269</v>
      </c>
      <c r="H2902" s="4" t="s">
        <v>40</v>
      </c>
      <c r="I2902" s="6">
        <v>11250</v>
      </c>
      <c r="J2902" s="6">
        <v>11250</v>
      </c>
      <c r="K2902" s="37" t="s">
        <v>4667</v>
      </c>
      <c r="L2902" s="119"/>
      <c r="M2902" s="3"/>
    </row>
    <row r="2903" spans="1:13" s="4" customFormat="1" ht="14.25" customHeight="1" x14ac:dyDescent="0.25">
      <c r="A2903" s="4" t="s">
        <v>4848</v>
      </c>
      <c r="B2903" s="4" t="s">
        <v>59</v>
      </c>
      <c r="C2903" s="4" t="s">
        <v>14</v>
      </c>
      <c r="D2903" s="35">
        <v>2915</v>
      </c>
      <c r="E2903" s="4" t="s">
        <v>4849</v>
      </c>
      <c r="F2903" s="5">
        <v>39136</v>
      </c>
      <c r="H2903" s="4" t="s">
        <v>40</v>
      </c>
      <c r="I2903" s="6">
        <v>3750</v>
      </c>
      <c r="J2903" s="6">
        <v>3750</v>
      </c>
      <c r="K2903" s="37" t="s">
        <v>4667</v>
      </c>
      <c r="L2903" s="119"/>
      <c r="M2903" s="3"/>
    </row>
    <row r="2904" spans="1:13" s="4" customFormat="1" ht="14.25" customHeight="1" x14ac:dyDescent="0.25">
      <c r="A2904" s="4" t="s">
        <v>4854</v>
      </c>
      <c r="B2904" s="4" t="s">
        <v>50</v>
      </c>
      <c r="C2904" s="4" t="s">
        <v>14</v>
      </c>
      <c r="D2904" s="35">
        <v>2921</v>
      </c>
      <c r="E2904" s="4" t="s">
        <v>4855</v>
      </c>
      <c r="F2904" s="5">
        <v>39542</v>
      </c>
      <c r="H2904" s="4" t="s">
        <v>40</v>
      </c>
      <c r="I2904" s="6">
        <v>50000</v>
      </c>
      <c r="J2904" s="6">
        <v>25000</v>
      </c>
      <c r="K2904" s="37" t="s">
        <v>4667</v>
      </c>
      <c r="L2904" s="119"/>
      <c r="M2904" s="3"/>
    </row>
    <row r="2905" spans="1:13" s="4" customFormat="1" ht="14.25" customHeight="1" x14ac:dyDescent="0.25">
      <c r="A2905" s="4" t="s">
        <v>4822</v>
      </c>
      <c r="B2905" s="4" t="s">
        <v>38</v>
      </c>
      <c r="C2905" s="4" t="s">
        <v>14</v>
      </c>
      <c r="D2905" s="35">
        <v>2923</v>
      </c>
      <c r="E2905" s="4" t="s">
        <v>4858</v>
      </c>
      <c r="F2905" s="5">
        <v>39448</v>
      </c>
      <c r="H2905" s="4" t="s">
        <v>40</v>
      </c>
      <c r="I2905" s="6">
        <v>4226.6000000000004</v>
      </c>
      <c r="J2905" s="6">
        <v>4226.6000000000004</v>
      </c>
      <c r="K2905" s="37" t="s">
        <v>4667</v>
      </c>
      <c r="L2905" s="119"/>
      <c r="M2905" s="3"/>
    </row>
    <row r="2906" spans="1:13" s="4" customFormat="1" ht="14.25" customHeight="1" x14ac:dyDescent="0.25">
      <c r="A2906" s="4" t="s">
        <v>4861</v>
      </c>
      <c r="B2906" s="4" t="s">
        <v>90</v>
      </c>
      <c r="C2906" s="4" t="s">
        <v>14</v>
      </c>
      <c r="D2906" s="35">
        <v>2925</v>
      </c>
      <c r="E2906" s="4" t="s">
        <v>4862</v>
      </c>
      <c r="F2906" s="5">
        <v>39542</v>
      </c>
      <c r="H2906" s="4" t="s">
        <v>40</v>
      </c>
      <c r="I2906" s="6">
        <v>10200</v>
      </c>
      <c r="J2906" s="6">
        <v>5100</v>
      </c>
      <c r="K2906" s="37" t="s">
        <v>4667</v>
      </c>
      <c r="L2906" s="119"/>
      <c r="M2906" s="3"/>
    </row>
    <row r="2907" spans="1:13" s="4" customFormat="1" ht="14.25" customHeight="1" x14ac:dyDescent="0.25">
      <c r="A2907" s="4" t="s">
        <v>4863</v>
      </c>
      <c r="B2907" s="4" t="s">
        <v>59</v>
      </c>
      <c r="C2907" s="4" t="s">
        <v>14</v>
      </c>
      <c r="D2907" s="35">
        <v>2926</v>
      </c>
      <c r="E2907" s="4" t="s">
        <v>4864</v>
      </c>
      <c r="F2907" s="5">
        <v>39703</v>
      </c>
      <c r="H2907" s="4" t="s">
        <v>40</v>
      </c>
      <c r="I2907" s="6">
        <v>7500</v>
      </c>
      <c r="J2907" s="6">
        <v>7500</v>
      </c>
      <c r="K2907" s="37" t="s">
        <v>4667</v>
      </c>
      <c r="L2907" s="119"/>
      <c r="M2907" s="3"/>
    </row>
    <row r="2908" spans="1:13" s="4" customFormat="1" ht="14.25" customHeight="1" x14ac:dyDescent="0.25">
      <c r="A2908" s="4" t="s">
        <v>4865</v>
      </c>
      <c r="B2908" s="4" t="s">
        <v>59</v>
      </c>
      <c r="C2908" s="4" t="s">
        <v>14</v>
      </c>
      <c r="D2908" s="35">
        <v>2927</v>
      </c>
      <c r="E2908" s="4" t="s">
        <v>4866</v>
      </c>
      <c r="F2908" s="5">
        <v>39703</v>
      </c>
      <c r="H2908" s="4" t="s">
        <v>40</v>
      </c>
      <c r="I2908" s="6">
        <v>7500</v>
      </c>
      <c r="J2908" s="6">
        <v>7500</v>
      </c>
      <c r="K2908" s="37" t="s">
        <v>4667</v>
      </c>
      <c r="L2908" s="119"/>
      <c r="M2908" s="3"/>
    </row>
    <row r="2909" spans="1:13" s="4" customFormat="1" ht="14.25" customHeight="1" x14ac:dyDescent="0.25">
      <c r="A2909" s="4" t="s">
        <v>4867</v>
      </c>
      <c r="B2909" s="4" t="s">
        <v>50</v>
      </c>
      <c r="C2909" s="4" t="s">
        <v>14</v>
      </c>
      <c r="D2909" s="35">
        <v>2928</v>
      </c>
      <c r="E2909" s="4" t="s">
        <v>4868</v>
      </c>
      <c r="F2909" s="5">
        <v>39605</v>
      </c>
      <c r="H2909" s="4" t="s">
        <v>40</v>
      </c>
      <c r="I2909" s="6">
        <v>90000</v>
      </c>
      <c r="J2909" s="6">
        <v>45000</v>
      </c>
      <c r="K2909" s="37" t="s">
        <v>4667</v>
      </c>
      <c r="L2909" s="119"/>
      <c r="M2909" s="3"/>
    </row>
    <row r="2910" spans="1:13" s="4" customFormat="1" ht="14.25" customHeight="1" x14ac:dyDescent="0.25">
      <c r="A2910" s="4" t="s">
        <v>4869</v>
      </c>
      <c r="B2910" s="4" t="s">
        <v>50</v>
      </c>
      <c r="C2910" s="4" t="s">
        <v>14</v>
      </c>
      <c r="D2910" s="35">
        <v>2929</v>
      </c>
      <c r="E2910" s="4" t="s">
        <v>4870</v>
      </c>
      <c r="F2910" s="5">
        <v>39605</v>
      </c>
      <c r="H2910" s="4" t="s">
        <v>40</v>
      </c>
      <c r="I2910" s="6">
        <v>3870</v>
      </c>
      <c r="J2910" s="6">
        <v>1935</v>
      </c>
      <c r="K2910" s="37" t="s">
        <v>4667</v>
      </c>
      <c r="L2910" s="119"/>
      <c r="M2910" s="3"/>
    </row>
    <row r="2911" spans="1:13" s="4" customFormat="1" ht="14.25" customHeight="1" x14ac:dyDescent="0.25">
      <c r="A2911" s="4" t="s">
        <v>4871</v>
      </c>
      <c r="B2911" s="4" t="s">
        <v>90</v>
      </c>
      <c r="C2911" s="4" t="s">
        <v>14</v>
      </c>
      <c r="D2911" s="35">
        <v>2930</v>
      </c>
      <c r="E2911" s="4" t="s">
        <v>4872</v>
      </c>
      <c r="F2911" s="5">
        <v>39605</v>
      </c>
      <c r="H2911" s="4" t="s">
        <v>40</v>
      </c>
      <c r="I2911" s="6">
        <v>10200</v>
      </c>
      <c r="J2911" s="6">
        <v>5100</v>
      </c>
      <c r="K2911" s="37" t="s">
        <v>4667</v>
      </c>
      <c r="L2911" s="119"/>
      <c r="M2911" s="3"/>
    </row>
    <row r="2912" spans="1:13" s="4" customFormat="1" ht="14.25" customHeight="1" x14ac:dyDescent="0.25">
      <c r="A2912" s="4" t="s">
        <v>4873</v>
      </c>
      <c r="B2912" s="4" t="s">
        <v>38</v>
      </c>
      <c r="C2912" s="4" t="s">
        <v>14</v>
      </c>
      <c r="D2912" s="35">
        <v>5562</v>
      </c>
      <c r="E2912" s="4" t="s">
        <v>4874</v>
      </c>
      <c r="F2912" s="5">
        <v>39814</v>
      </c>
      <c r="H2912" s="4" t="s">
        <v>40</v>
      </c>
      <c r="I2912" s="6">
        <v>12818.95</v>
      </c>
      <c r="J2912" s="6">
        <v>12818.95</v>
      </c>
      <c r="K2912" s="37" t="s">
        <v>4667</v>
      </c>
      <c r="L2912" s="119"/>
      <c r="M2912" s="3"/>
    </row>
    <row r="2913" spans="1:13" s="4" customFormat="1" ht="14.25" customHeight="1" x14ac:dyDescent="0.25">
      <c r="A2913" s="4" t="s">
        <v>4875</v>
      </c>
      <c r="B2913" s="4" t="s">
        <v>38</v>
      </c>
      <c r="C2913" s="4" t="s">
        <v>14</v>
      </c>
      <c r="D2913" s="35">
        <v>5565</v>
      </c>
      <c r="E2913" s="4" t="s">
        <v>4876</v>
      </c>
      <c r="F2913" s="5">
        <v>39814</v>
      </c>
      <c r="H2913" s="4" t="s">
        <v>40</v>
      </c>
      <c r="I2913" s="6">
        <v>27828.05</v>
      </c>
      <c r="J2913" s="6">
        <f>19463.65+8364.4</f>
        <v>27828.050000000003</v>
      </c>
      <c r="K2913" s="37" t="s">
        <v>4667</v>
      </c>
      <c r="L2913" s="119"/>
      <c r="M2913" s="3"/>
    </row>
    <row r="2914" spans="1:13" s="4" customFormat="1" ht="14.25" customHeight="1" x14ac:dyDescent="0.25">
      <c r="A2914" s="4" t="s">
        <v>2372</v>
      </c>
      <c r="B2914" s="4" t="s">
        <v>38</v>
      </c>
      <c r="C2914" s="4" t="s">
        <v>14</v>
      </c>
      <c r="D2914" s="35">
        <v>5568</v>
      </c>
      <c r="E2914" s="4" t="s">
        <v>4877</v>
      </c>
      <c r="F2914" s="5">
        <v>39814</v>
      </c>
      <c r="H2914" s="4" t="s">
        <v>40</v>
      </c>
      <c r="I2914" s="6">
        <v>834.6</v>
      </c>
      <c r="J2914" s="6">
        <v>834.6</v>
      </c>
      <c r="K2914" s="37" t="s">
        <v>4667</v>
      </c>
      <c r="L2914" s="119"/>
      <c r="M2914" s="3"/>
    </row>
    <row r="2915" spans="1:13" s="4" customFormat="1" ht="14.25" customHeight="1" x14ac:dyDescent="0.25">
      <c r="A2915" s="4" t="s">
        <v>4878</v>
      </c>
      <c r="B2915" s="4" t="s">
        <v>38</v>
      </c>
      <c r="C2915" s="4" t="s">
        <v>14</v>
      </c>
      <c r="D2915" s="35">
        <v>5571</v>
      </c>
      <c r="E2915" s="4" t="s">
        <v>4879</v>
      </c>
      <c r="F2915" s="5">
        <v>39814</v>
      </c>
      <c r="H2915" s="4" t="s">
        <v>40</v>
      </c>
      <c r="I2915" s="6">
        <v>19000</v>
      </c>
      <c r="J2915" s="6">
        <v>19000</v>
      </c>
      <c r="K2915" s="37" t="s">
        <v>4667</v>
      </c>
      <c r="L2915" s="119"/>
      <c r="M2915" s="3"/>
    </row>
    <row r="2916" spans="1:13" s="4" customFormat="1" ht="14.25" customHeight="1" x14ac:dyDescent="0.25">
      <c r="A2916" s="4" t="s">
        <v>4880</v>
      </c>
      <c r="B2916" s="4" t="s">
        <v>38</v>
      </c>
      <c r="C2916" s="4" t="s">
        <v>14</v>
      </c>
      <c r="D2916" s="35">
        <v>5572</v>
      </c>
      <c r="E2916" s="7" t="s">
        <v>4881</v>
      </c>
      <c r="F2916" s="5">
        <v>39814</v>
      </c>
      <c r="H2916" s="4" t="s">
        <v>40</v>
      </c>
      <c r="I2916" s="6">
        <v>800.68</v>
      </c>
      <c r="J2916" s="6">
        <v>800.68</v>
      </c>
      <c r="K2916" s="37" t="s">
        <v>4667</v>
      </c>
      <c r="L2916" s="119"/>
      <c r="M2916" s="3"/>
    </row>
    <row r="2917" spans="1:13" s="4" customFormat="1" ht="14.25" customHeight="1" x14ac:dyDescent="0.25">
      <c r="A2917" s="4" t="s">
        <v>4886</v>
      </c>
      <c r="B2917" s="4" t="s">
        <v>59</v>
      </c>
      <c r="C2917" s="4" t="s">
        <v>14</v>
      </c>
      <c r="D2917" s="35">
        <v>5822</v>
      </c>
      <c r="E2917" s="4" t="s">
        <v>4887</v>
      </c>
      <c r="F2917" s="5">
        <v>39965</v>
      </c>
      <c r="H2917" s="4" t="s">
        <v>40</v>
      </c>
      <c r="I2917" s="6">
        <v>3750</v>
      </c>
      <c r="J2917" s="6">
        <v>3750</v>
      </c>
      <c r="K2917" s="37" t="s">
        <v>4667</v>
      </c>
      <c r="L2917" s="119"/>
      <c r="M2917" s="3"/>
    </row>
    <row r="2918" spans="1:13" s="4" customFormat="1" ht="14.25" customHeight="1" x14ac:dyDescent="0.25">
      <c r="A2918" s="4" t="s">
        <v>4890</v>
      </c>
      <c r="B2918" s="4" t="s">
        <v>50</v>
      </c>
      <c r="C2918" s="4" t="s">
        <v>14</v>
      </c>
      <c r="D2918" s="35">
        <v>5824</v>
      </c>
      <c r="E2918" s="4" t="s">
        <v>4891</v>
      </c>
      <c r="F2918" s="5">
        <v>39891</v>
      </c>
      <c r="H2918" s="4" t="s">
        <v>40</v>
      </c>
      <c r="I2918" s="6">
        <v>8958</v>
      </c>
      <c r="J2918" s="6">
        <v>4479</v>
      </c>
      <c r="K2918" s="37" t="s">
        <v>4667</v>
      </c>
      <c r="L2918" s="119"/>
      <c r="M2918" s="3"/>
    </row>
    <row r="2919" spans="1:13" s="4" customFormat="1" ht="14.25" customHeight="1" x14ac:dyDescent="0.25">
      <c r="A2919" s="4" t="s">
        <v>4892</v>
      </c>
      <c r="B2919" s="4" t="s">
        <v>50</v>
      </c>
      <c r="C2919" s="4" t="s">
        <v>14</v>
      </c>
      <c r="D2919" s="35">
        <v>5825</v>
      </c>
      <c r="E2919" s="4" t="s">
        <v>4893</v>
      </c>
      <c r="F2919" s="5">
        <v>39966</v>
      </c>
      <c r="H2919" s="4" t="s">
        <v>40</v>
      </c>
      <c r="I2919" s="6">
        <v>30540</v>
      </c>
      <c r="J2919" s="6">
        <v>15270</v>
      </c>
      <c r="K2919" s="37" t="s">
        <v>4667</v>
      </c>
      <c r="L2919" s="119"/>
      <c r="M2919" s="3"/>
    </row>
    <row r="2920" spans="1:13" s="4" customFormat="1" ht="14.25" customHeight="1" x14ac:dyDescent="0.25">
      <c r="A2920" s="4" t="s">
        <v>4894</v>
      </c>
      <c r="B2920" s="4" t="s">
        <v>59</v>
      </c>
      <c r="C2920" s="4" t="s">
        <v>14</v>
      </c>
      <c r="D2920" s="35">
        <v>5826</v>
      </c>
      <c r="E2920" s="4" t="s">
        <v>4895</v>
      </c>
      <c r="F2920" s="5">
        <v>39966</v>
      </c>
      <c r="H2920" s="4" t="s">
        <v>40</v>
      </c>
      <c r="I2920" s="6">
        <v>30000</v>
      </c>
      <c r="J2920" s="6">
        <v>30000</v>
      </c>
      <c r="K2920" s="37" t="s">
        <v>4667</v>
      </c>
      <c r="L2920" s="119"/>
      <c r="M2920" s="3"/>
    </row>
    <row r="2921" spans="1:13" s="4" customFormat="1" ht="14.25" customHeight="1" x14ac:dyDescent="0.25">
      <c r="A2921" s="4" t="s">
        <v>4896</v>
      </c>
      <c r="B2921" s="4" t="s">
        <v>59</v>
      </c>
      <c r="C2921" s="4" t="s">
        <v>14</v>
      </c>
      <c r="D2921" s="35">
        <v>5827</v>
      </c>
      <c r="E2921" s="4" t="s">
        <v>4897</v>
      </c>
      <c r="F2921" s="5">
        <v>40007</v>
      </c>
      <c r="H2921" s="4" t="s">
        <v>40</v>
      </c>
      <c r="I2921" s="6">
        <v>52500</v>
      </c>
      <c r="J2921" s="6">
        <v>52500</v>
      </c>
      <c r="K2921" s="37" t="s">
        <v>4667</v>
      </c>
      <c r="L2921" s="119"/>
      <c r="M2921" s="3"/>
    </row>
    <row r="2922" spans="1:13" s="4" customFormat="1" ht="14.25" customHeight="1" x14ac:dyDescent="0.25">
      <c r="A2922" s="4" t="s">
        <v>4900</v>
      </c>
      <c r="B2922" s="4" t="s">
        <v>59</v>
      </c>
      <c r="C2922" s="4" t="s">
        <v>14</v>
      </c>
      <c r="D2922" s="35">
        <v>5829</v>
      </c>
      <c r="E2922" s="4" t="s">
        <v>4901</v>
      </c>
      <c r="F2922" s="5">
        <v>40086</v>
      </c>
      <c r="H2922" s="4" t="s">
        <v>40</v>
      </c>
      <c r="I2922" s="6">
        <v>7500</v>
      </c>
      <c r="J2922" s="6">
        <v>7500</v>
      </c>
      <c r="K2922" s="37" t="s">
        <v>4667</v>
      </c>
      <c r="L2922" s="119"/>
      <c r="M2922" s="3"/>
    </row>
    <row r="2923" spans="1:13" s="4" customFormat="1" ht="14.25" customHeight="1" x14ac:dyDescent="0.25">
      <c r="A2923" s="4" t="s">
        <v>4902</v>
      </c>
      <c r="B2923" s="4" t="s">
        <v>190</v>
      </c>
      <c r="C2923" s="4" t="s">
        <v>14</v>
      </c>
      <c r="D2923" s="35">
        <v>6913</v>
      </c>
      <c r="E2923" s="4" t="s">
        <v>4903</v>
      </c>
      <c r="F2923" s="5">
        <v>40378</v>
      </c>
      <c r="H2923" s="4" t="s">
        <v>40</v>
      </c>
      <c r="I2923" s="6">
        <v>3500</v>
      </c>
      <c r="J2923" s="6">
        <v>3500</v>
      </c>
      <c r="K2923" s="37" t="s">
        <v>4667</v>
      </c>
      <c r="L2923" s="119"/>
      <c r="M2923" s="3"/>
    </row>
    <row r="2924" spans="1:13" s="4" customFormat="1" ht="14.25" customHeight="1" x14ac:dyDescent="0.25">
      <c r="A2924" s="4" t="s">
        <v>4904</v>
      </c>
      <c r="B2924" s="4" t="s">
        <v>190</v>
      </c>
      <c r="C2924" s="4" t="s">
        <v>14</v>
      </c>
      <c r="D2924" s="35">
        <v>6914</v>
      </c>
      <c r="E2924" s="4" t="s">
        <v>4905</v>
      </c>
      <c r="F2924" s="5">
        <v>40252</v>
      </c>
      <c r="H2924" s="4" t="s">
        <v>40</v>
      </c>
      <c r="I2924" s="6">
        <v>11250</v>
      </c>
      <c r="J2924" s="6">
        <v>11250</v>
      </c>
      <c r="K2924" s="37" t="s">
        <v>4667</v>
      </c>
      <c r="L2924" s="119"/>
      <c r="M2924" s="3"/>
    </row>
    <row r="2925" spans="1:13" s="4" customFormat="1" ht="14.25" customHeight="1" x14ac:dyDescent="0.25">
      <c r="A2925" s="4" t="s">
        <v>4906</v>
      </c>
      <c r="B2925" s="4" t="s">
        <v>183</v>
      </c>
      <c r="C2925" s="4" t="s">
        <v>14</v>
      </c>
      <c r="D2925" s="35">
        <v>6921</v>
      </c>
      <c r="E2925" s="4" t="s">
        <v>4907</v>
      </c>
      <c r="F2925" s="5">
        <v>40452</v>
      </c>
      <c r="H2925" s="4" t="s">
        <v>40</v>
      </c>
      <c r="I2925" s="6">
        <v>8000</v>
      </c>
      <c r="J2925" s="6">
        <v>8000</v>
      </c>
      <c r="K2925" s="37" t="s">
        <v>4667</v>
      </c>
      <c r="L2925" s="119"/>
      <c r="M2925" s="3"/>
    </row>
    <row r="2926" spans="1:13" s="4" customFormat="1" ht="14.25" customHeight="1" x14ac:dyDescent="0.25">
      <c r="A2926" s="4" t="s">
        <v>4910</v>
      </c>
      <c r="B2926" s="4" t="s">
        <v>183</v>
      </c>
      <c r="C2926" s="4" t="s">
        <v>14</v>
      </c>
      <c r="D2926" s="35">
        <v>6926</v>
      </c>
      <c r="E2926" s="4" t="s">
        <v>4911</v>
      </c>
      <c r="F2926" s="5">
        <v>40305</v>
      </c>
      <c r="H2926" s="4" t="s">
        <v>40</v>
      </c>
      <c r="I2926" s="6">
        <v>10000</v>
      </c>
      <c r="J2926" s="6">
        <v>10000</v>
      </c>
      <c r="K2926" s="37" t="s">
        <v>4667</v>
      </c>
      <c r="L2926" s="119"/>
      <c r="M2926" s="3"/>
    </row>
    <row r="2927" spans="1:13" s="4" customFormat="1" ht="14.25" customHeight="1" x14ac:dyDescent="0.25">
      <c r="A2927" s="4" t="s">
        <v>4912</v>
      </c>
      <c r="B2927" s="4" t="s">
        <v>59</v>
      </c>
      <c r="C2927" s="4" t="s">
        <v>14</v>
      </c>
      <c r="D2927" s="35">
        <v>6934</v>
      </c>
      <c r="E2927" s="4" t="s">
        <v>4913</v>
      </c>
      <c r="F2927" s="5">
        <v>40154</v>
      </c>
      <c r="H2927" s="4" t="s">
        <v>40</v>
      </c>
      <c r="I2927" s="6">
        <v>7500</v>
      </c>
      <c r="J2927" s="6">
        <v>7500</v>
      </c>
      <c r="K2927" s="37" t="s">
        <v>4667</v>
      </c>
      <c r="L2927" s="119"/>
      <c r="M2927" s="3"/>
    </row>
    <row r="2928" spans="1:13" s="4" customFormat="1" ht="14.25" customHeight="1" x14ac:dyDescent="0.25">
      <c r="A2928" s="4" t="s">
        <v>4914</v>
      </c>
      <c r="B2928" s="4" t="s">
        <v>190</v>
      </c>
      <c r="C2928" s="4" t="s">
        <v>14</v>
      </c>
      <c r="D2928" s="35">
        <v>6939</v>
      </c>
      <c r="E2928" s="4" t="s">
        <v>4915</v>
      </c>
      <c r="F2928" s="5">
        <v>40179</v>
      </c>
      <c r="H2928" s="4" t="s">
        <v>40</v>
      </c>
      <c r="I2928" s="6">
        <v>10000</v>
      </c>
      <c r="J2928" s="6">
        <v>10000</v>
      </c>
      <c r="K2928" s="37" t="s">
        <v>4667</v>
      </c>
      <c r="L2928" s="119"/>
      <c r="M2928" s="3"/>
    </row>
    <row r="2929" spans="1:13" s="4" customFormat="1" ht="14.25" customHeight="1" x14ac:dyDescent="0.25">
      <c r="A2929" s="4" t="s">
        <v>4916</v>
      </c>
      <c r="B2929" s="4" t="s">
        <v>90</v>
      </c>
      <c r="C2929" s="4" t="s">
        <v>14</v>
      </c>
      <c r="D2929" s="35">
        <v>6949</v>
      </c>
      <c r="E2929" s="4" t="s">
        <v>4917</v>
      </c>
      <c r="F2929" s="5">
        <v>39814</v>
      </c>
      <c r="H2929" s="4" t="s">
        <v>40</v>
      </c>
      <c r="I2929" s="6">
        <v>11805</v>
      </c>
      <c r="J2929" s="6">
        <v>5100</v>
      </c>
      <c r="K2929" s="37" t="s">
        <v>4667</v>
      </c>
      <c r="L2929" s="119"/>
      <c r="M2929" s="3"/>
    </row>
    <row r="2930" spans="1:13" s="4" customFormat="1" ht="14.25" customHeight="1" x14ac:dyDescent="0.25">
      <c r="A2930" s="4" t="s">
        <v>4920</v>
      </c>
      <c r="B2930" s="4" t="s">
        <v>90</v>
      </c>
      <c r="C2930" s="4" t="s">
        <v>14</v>
      </c>
      <c r="D2930" s="35">
        <v>6955</v>
      </c>
      <c r="E2930" s="4" t="s">
        <v>4921</v>
      </c>
      <c r="F2930" s="5">
        <v>40452</v>
      </c>
      <c r="H2930" s="4" t="s">
        <v>40</v>
      </c>
      <c r="I2930" s="6">
        <v>21570</v>
      </c>
      <c r="J2930" s="6">
        <v>10785</v>
      </c>
      <c r="K2930" s="37" t="s">
        <v>4667</v>
      </c>
      <c r="L2930" s="119"/>
      <c r="M2930" s="3"/>
    </row>
    <row r="2931" spans="1:13" s="4" customFormat="1" ht="14.25" customHeight="1" x14ac:dyDescent="0.25">
      <c r="A2931" s="4" t="s">
        <v>4922</v>
      </c>
      <c r="B2931" s="4" t="s">
        <v>190</v>
      </c>
      <c r="C2931" s="4" t="s">
        <v>14</v>
      </c>
      <c r="D2931" s="35">
        <v>6957</v>
      </c>
      <c r="E2931" s="4" t="s">
        <v>4923</v>
      </c>
      <c r="F2931" s="5">
        <v>40375</v>
      </c>
      <c r="H2931" s="4" t="s">
        <v>40</v>
      </c>
      <c r="I2931" s="6">
        <v>90070</v>
      </c>
      <c r="J2931" s="6">
        <v>56285</v>
      </c>
      <c r="K2931" s="37" t="s">
        <v>4667</v>
      </c>
      <c r="L2931" s="119"/>
      <c r="M2931" s="3"/>
    </row>
    <row r="2932" spans="1:13" s="4" customFormat="1" ht="14.25" customHeight="1" x14ac:dyDescent="0.25">
      <c r="A2932" s="4" t="s">
        <v>4924</v>
      </c>
      <c r="B2932" s="4" t="s">
        <v>90</v>
      </c>
      <c r="C2932" s="4" t="s">
        <v>14</v>
      </c>
      <c r="D2932" s="35">
        <v>6958</v>
      </c>
      <c r="E2932" s="4" t="s">
        <v>4925</v>
      </c>
      <c r="F2932" s="5">
        <v>40252</v>
      </c>
      <c r="H2932" s="4" t="s">
        <v>40</v>
      </c>
      <c r="I2932" s="6">
        <v>8248</v>
      </c>
      <c r="J2932" s="6">
        <v>4124</v>
      </c>
      <c r="K2932" s="37" t="s">
        <v>4667</v>
      </c>
      <c r="L2932" s="119"/>
      <c r="M2932" s="3"/>
    </row>
    <row r="2933" spans="1:13" s="4" customFormat="1" ht="14.25" customHeight="1" x14ac:dyDescent="0.25">
      <c r="A2933" s="4" t="s">
        <v>4926</v>
      </c>
      <c r="B2933" s="4" t="s">
        <v>190</v>
      </c>
      <c r="C2933" s="4" t="s">
        <v>14</v>
      </c>
      <c r="D2933" s="35">
        <v>6961</v>
      </c>
      <c r="E2933" s="4" t="s">
        <v>4927</v>
      </c>
      <c r="F2933" s="5">
        <v>40305</v>
      </c>
      <c r="H2933" s="4" t="s">
        <v>40</v>
      </c>
      <c r="I2933" s="6">
        <v>20000</v>
      </c>
      <c r="J2933" s="6">
        <v>10000</v>
      </c>
      <c r="K2933" s="37" t="s">
        <v>4667</v>
      </c>
      <c r="L2933" s="119"/>
      <c r="M2933" s="3"/>
    </row>
    <row r="2934" spans="1:13" s="4" customFormat="1" ht="14.25" customHeight="1" x14ac:dyDescent="0.25">
      <c r="A2934" s="4" t="s">
        <v>4928</v>
      </c>
      <c r="B2934" s="4" t="s">
        <v>190</v>
      </c>
      <c r="C2934" s="4" t="s">
        <v>14</v>
      </c>
      <c r="D2934" s="35">
        <v>6965</v>
      </c>
      <c r="E2934" s="4" t="s">
        <v>4929</v>
      </c>
      <c r="F2934" s="5">
        <v>40378</v>
      </c>
      <c r="H2934" s="4" t="s">
        <v>40</v>
      </c>
      <c r="I2934" s="6">
        <v>116956</v>
      </c>
      <c r="J2934" s="6">
        <v>58483</v>
      </c>
      <c r="K2934" s="37" t="s">
        <v>4667</v>
      </c>
      <c r="L2934" s="119"/>
      <c r="M2934" s="3"/>
    </row>
    <row r="2935" spans="1:13" s="4" customFormat="1" ht="14.25" customHeight="1" x14ac:dyDescent="0.25">
      <c r="A2935" s="4" t="s">
        <v>4932</v>
      </c>
      <c r="B2935" s="4" t="s">
        <v>190</v>
      </c>
      <c r="C2935" s="4" t="s">
        <v>14</v>
      </c>
      <c r="D2935" s="35">
        <v>6973</v>
      </c>
      <c r="E2935" s="4" t="s">
        <v>4933</v>
      </c>
      <c r="F2935" s="5">
        <v>40452</v>
      </c>
      <c r="H2935" s="4" t="s">
        <v>40</v>
      </c>
      <c r="I2935" s="6">
        <v>37000</v>
      </c>
      <c r="J2935" s="6">
        <v>28500</v>
      </c>
      <c r="K2935" s="37" t="s">
        <v>4667</v>
      </c>
      <c r="L2935" s="119"/>
      <c r="M2935" s="3"/>
    </row>
    <row r="2936" spans="1:13" s="4" customFormat="1" ht="14.25" customHeight="1" x14ac:dyDescent="0.25">
      <c r="A2936" s="4" t="s">
        <v>4934</v>
      </c>
      <c r="B2936" s="4" t="s">
        <v>190</v>
      </c>
      <c r="C2936" s="4" t="s">
        <v>14</v>
      </c>
      <c r="D2936" s="35">
        <v>6978</v>
      </c>
      <c r="E2936" s="4" t="s">
        <v>4935</v>
      </c>
      <c r="F2936" s="5">
        <v>40252</v>
      </c>
      <c r="H2936" s="4" t="s">
        <v>40</v>
      </c>
      <c r="I2936" s="6">
        <v>20000</v>
      </c>
      <c r="J2936" s="6">
        <v>20000</v>
      </c>
      <c r="K2936" s="37" t="s">
        <v>4667</v>
      </c>
      <c r="L2936" s="119"/>
      <c r="M2936" s="3"/>
    </row>
    <row r="2937" spans="1:13" s="4" customFormat="1" ht="14.25" customHeight="1" x14ac:dyDescent="0.25">
      <c r="A2937" s="4" t="s">
        <v>4936</v>
      </c>
      <c r="B2937" s="4" t="s">
        <v>59</v>
      </c>
      <c r="C2937" s="4" t="s">
        <v>14</v>
      </c>
      <c r="D2937" s="35">
        <v>6980</v>
      </c>
      <c r="E2937" s="4" t="s">
        <v>4937</v>
      </c>
      <c r="F2937" s="5">
        <v>40154</v>
      </c>
      <c r="H2937" s="4" t="s">
        <v>40</v>
      </c>
      <c r="I2937" s="6">
        <v>7500</v>
      </c>
      <c r="J2937" s="6">
        <v>7500</v>
      </c>
      <c r="K2937" s="37" t="s">
        <v>4667</v>
      </c>
      <c r="L2937" s="119"/>
      <c r="M2937" s="3"/>
    </row>
    <row r="2938" spans="1:13" s="4" customFormat="1" ht="14.25" customHeight="1" x14ac:dyDescent="0.25">
      <c r="A2938" s="4" t="s">
        <v>4938</v>
      </c>
      <c r="B2938" s="4" t="s">
        <v>190</v>
      </c>
      <c r="C2938" s="4" t="s">
        <v>14</v>
      </c>
      <c r="D2938" s="35">
        <v>6982</v>
      </c>
      <c r="E2938" s="4" t="s">
        <v>4939</v>
      </c>
      <c r="F2938" s="5">
        <v>40452</v>
      </c>
      <c r="H2938" s="4" t="s">
        <v>40</v>
      </c>
      <c r="I2938" s="6">
        <v>10000</v>
      </c>
      <c r="J2938" s="6">
        <v>10000</v>
      </c>
      <c r="K2938" s="37" t="s">
        <v>4667</v>
      </c>
      <c r="L2938" s="119"/>
      <c r="M2938" s="3"/>
    </row>
    <row r="2939" spans="1:13" s="4" customFormat="1" ht="14.25" customHeight="1" x14ac:dyDescent="0.25">
      <c r="A2939" s="4" t="s">
        <v>4940</v>
      </c>
      <c r="B2939" s="4" t="s">
        <v>38</v>
      </c>
      <c r="C2939" s="4" t="s">
        <v>14</v>
      </c>
      <c r="D2939" s="35">
        <v>7017</v>
      </c>
      <c r="E2939" s="4" t="s">
        <v>4941</v>
      </c>
      <c r="F2939" s="5">
        <v>40179</v>
      </c>
      <c r="H2939" s="4" t="s">
        <v>40</v>
      </c>
      <c r="I2939" s="6">
        <v>6300</v>
      </c>
      <c r="J2939" s="6">
        <v>6300</v>
      </c>
      <c r="K2939" s="37" t="s">
        <v>4667</v>
      </c>
      <c r="L2939" s="119"/>
      <c r="M2939" s="3"/>
    </row>
    <row r="2940" spans="1:13" s="4" customFormat="1" ht="14.25" customHeight="1" x14ac:dyDescent="0.25">
      <c r="A2940" s="4" t="s">
        <v>4942</v>
      </c>
      <c r="B2940" s="4" t="s">
        <v>38</v>
      </c>
      <c r="C2940" s="4" t="s">
        <v>14</v>
      </c>
      <c r="D2940" s="35">
        <v>8710</v>
      </c>
      <c r="E2940" s="4" t="s">
        <v>4943</v>
      </c>
      <c r="F2940" s="5">
        <v>40544</v>
      </c>
      <c r="H2940" s="4" t="s">
        <v>40</v>
      </c>
      <c r="I2940" s="6">
        <v>1210</v>
      </c>
      <c r="J2940" s="6">
        <v>1210</v>
      </c>
      <c r="K2940" s="37" t="s">
        <v>4667</v>
      </c>
      <c r="L2940" s="119"/>
      <c r="M2940" s="3"/>
    </row>
    <row r="2941" spans="1:13" s="4" customFormat="1" ht="14.25" customHeight="1" x14ac:dyDescent="0.25">
      <c r="A2941" s="4" t="s">
        <v>4944</v>
      </c>
      <c r="B2941" s="4" t="s">
        <v>38</v>
      </c>
      <c r="C2941" s="4" t="s">
        <v>14</v>
      </c>
      <c r="D2941" s="35">
        <v>8711</v>
      </c>
      <c r="E2941" s="4" t="s">
        <v>4945</v>
      </c>
      <c r="F2941" s="5">
        <v>40544</v>
      </c>
      <c r="H2941" s="4" t="s">
        <v>40</v>
      </c>
      <c r="I2941" s="6">
        <v>1200.5</v>
      </c>
      <c r="J2941" s="6">
        <v>1200.5</v>
      </c>
      <c r="K2941" s="37" t="s">
        <v>4667</v>
      </c>
      <c r="L2941" s="119"/>
      <c r="M2941" s="3"/>
    </row>
    <row r="2942" spans="1:13" s="4" customFormat="1" ht="14.25" customHeight="1" x14ac:dyDescent="0.25">
      <c r="A2942" s="4" t="s">
        <v>4946</v>
      </c>
      <c r="B2942" s="4" t="s">
        <v>38</v>
      </c>
      <c r="C2942" s="4" t="s">
        <v>14</v>
      </c>
      <c r="D2942" s="35">
        <v>8713</v>
      </c>
      <c r="E2942" s="4" t="s">
        <v>4947</v>
      </c>
      <c r="F2942" s="5">
        <v>40544</v>
      </c>
      <c r="H2942" s="4" t="s">
        <v>40</v>
      </c>
      <c r="I2942" s="6">
        <v>16826.28</v>
      </c>
      <c r="J2942" s="6">
        <f>4000+12826.28</f>
        <v>16826.28</v>
      </c>
      <c r="K2942" s="37" t="s">
        <v>4667</v>
      </c>
      <c r="L2942" s="119"/>
      <c r="M2942" s="3"/>
    </row>
    <row r="2943" spans="1:13" s="4" customFormat="1" ht="14.25" customHeight="1" x14ac:dyDescent="0.25">
      <c r="A2943" s="4" t="s">
        <v>4948</v>
      </c>
      <c r="B2943" s="4" t="s">
        <v>38</v>
      </c>
      <c r="C2943" s="4" t="s">
        <v>14</v>
      </c>
      <c r="D2943" s="35">
        <v>8715</v>
      </c>
      <c r="E2943" s="4" t="s">
        <v>4949</v>
      </c>
      <c r="F2943" s="5">
        <v>40544</v>
      </c>
      <c r="H2943" s="4" t="s">
        <v>40</v>
      </c>
      <c r="I2943" s="6">
        <v>14167.46</v>
      </c>
      <c r="J2943" s="6">
        <f>5759.39+8408.07</f>
        <v>14167.46</v>
      </c>
      <c r="K2943" s="37" t="s">
        <v>4667</v>
      </c>
      <c r="L2943" s="119"/>
      <c r="M2943" s="3"/>
    </row>
    <row r="2944" spans="1:13" s="4" customFormat="1" ht="14.25" customHeight="1" x14ac:dyDescent="0.25">
      <c r="A2944" s="4" t="s">
        <v>4950</v>
      </c>
      <c r="B2944" s="4" t="s">
        <v>38</v>
      </c>
      <c r="C2944" s="4" t="s">
        <v>14</v>
      </c>
      <c r="D2944" s="35">
        <v>8716</v>
      </c>
      <c r="E2944" s="4" t="s">
        <v>4951</v>
      </c>
      <c r="F2944" s="5">
        <v>40544</v>
      </c>
      <c r="H2944" s="4" t="s">
        <v>40</v>
      </c>
      <c r="I2944" s="6">
        <v>3817.76</v>
      </c>
      <c r="J2944" s="6">
        <v>3817.76</v>
      </c>
      <c r="K2944" s="37" t="s">
        <v>4667</v>
      </c>
      <c r="L2944" s="119"/>
      <c r="M2944" s="3"/>
    </row>
    <row r="2945" spans="1:13" s="4" customFormat="1" ht="14.25" customHeight="1" x14ac:dyDescent="0.25">
      <c r="A2945" s="4" t="s">
        <v>4952</v>
      </c>
      <c r="B2945" s="4" t="s">
        <v>190</v>
      </c>
      <c r="C2945" s="4" t="s">
        <v>14</v>
      </c>
      <c r="D2945" s="35">
        <v>8754</v>
      </c>
      <c r="E2945" s="4" t="s">
        <v>4953</v>
      </c>
      <c r="F2945" s="5">
        <v>40553</v>
      </c>
      <c r="H2945" s="4" t="s">
        <v>40</v>
      </c>
      <c r="I2945" s="6">
        <v>29438</v>
      </c>
      <c r="J2945" s="6">
        <v>17719</v>
      </c>
      <c r="K2945" s="37" t="s">
        <v>4667</v>
      </c>
      <c r="L2945" s="119"/>
      <c r="M2945" s="3"/>
    </row>
    <row r="2946" spans="1:13" s="4" customFormat="1" ht="14.25" customHeight="1" x14ac:dyDescent="0.25">
      <c r="A2946" s="4" t="s">
        <v>4954</v>
      </c>
      <c r="B2946" s="4" t="s">
        <v>183</v>
      </c>
      <c r="C2946" s="4" t="s">
        <v>14</v>
      </c>
      <c r="D2946" s="35">
        <v>8784</v>
      </c>
      <c r="E2946" s="4" t="s">
        <v>4955</v>
      </c>
      <c r="F2946" s="5">
        <v>40550</v>
      </c>
      <c r="H2946" s="4" t="s">
        <v>40</v>
      </c>
      <c r="I2946" s="6">
        <v>25000</v>
      </c>
      <c r="J2946" s="6">
        <v>25000</v>
      </c>
      <c r="K2946" s="37" t="s">
        <v>4667</v>
      </c>
      <c r="L2946" s="119"/>
      <c r="M2946" s="3"/>
    </row>
    <row r="2947" spans="1:13" s="4" customFormat="1" ht="14.25" customHeight="1" x14ac:dyDescent="0.25">
      <c r="A2947" s="4" t="s">
        <v>4956</v>
      </c>
      <c r="B2947" s="4" t="s">
        <v>190</v>
      </c>
      <c r="C2947" s="4" t="s">
        <v>14</v>
      </c>
      <c r="D2947" s="35">
        <v>8792</v>
      </c>
      <c r="E2947" s="4" t="s">
        <v>4957</v>
      </c>
      <c r="F2947" s="5">
        <v>40557</v>
      </c>
      <c r="H2947" s="4" t="s">
        <v>40</v>
      </c>
      <c r="I2947" s="6">
        <v>100000</v>
      </c>
      <c r="J2947" s="6">
        <v>50000</v>
      </c>
      <c r="K2947" s="37" t="s">
        <v>4667</v>
      </c>
      <c r="L2947" s="119"/>
      <c r="M2947" s="3"/>
    </row>
    <row r="2948" spans="1:13" s="4" customFormat="1" ht="14.25" customHeight="1" x14ac:dyDescent="0.25">
      <c r="A2948" s="4" t="s">
        <v>4958</v>
      </c>
      <c r="B2948" s="4" t="s">
        <v>183</v>
      </c>
      <c r="C2948" s="4" t="s">
        <v>14</v>
      </c>
      <c r="D2948" s="35">
        <v>8802</v>
      </c>
      <c r="E2948" s="4" t="s">
        <v>4959</v>
      </c>
      <c r="F2948" s="5">
        <v>40553</v>
      </c>
      <c r="H2948" s="4" t="s">
        <v>40</v>
      </c>
      <c r="I2948" s="6">
        <v>7500</v>
      </c>
      <c r="J2948" s="6">
        <v>7500</v>
      </c>
      <c r="K2948" s="37" t="s">
        <v>4667</v>
      </c>
      <c r="L2948" s="119"/>
      <c r="M2948" s="3"/>
    </row>
    <row r="2949" spans="1:13" s="4" customFormat="1" ht="14.25" customHeight="1" x14ac:dyDescent="0.25">
      <c r="A2949" s="4" t="s">
        <v>4960</v>
      </c>
      <c r="B2949" s="4" t="s">
        <v>190</v>
      </c>
      <c r="C2949" s="4" t="s">
        <v>14</v>
      </c>
      <c r="D2949" s="35">
        <v>8804</v>
      </c>
      <c r="E2949" s="4" t="s">
        <v>4961</v>
      </c>
      <c r="F2949" s="5">
        <v>40399</v>
      </c>
      <c r="H2949" s="4" t="s">
        <v>40</v>
      </c>
      <c r="I2949" s="6">
        <v>37276</v>
      </c>
      <c r="J2949" s="6">
        <v>18638</v>
      </c>
      <c r="K2949" s="37" t="s">
        <v>4667</v>
      </c>
      <c r="L2949" s="119"/>
      <c r="M2949" s="3"/>
    </row>
    <row r="2950" spans="1:13" s="4" customFormat="1" ht="14.25" customHeight="1" x14ac:dyDescent="0.25">
      <c r="A2950" s="4" t="s">
        <v>4962</v>
      </c>
      <c r="B2950" s="4" t="s">
        <v>183</v>
      </c>
      <c r="C2950" s="4" t="s">
        <v>14</v>
      </c>
      <c r="D2950" s="35">
        <v>8805</v>
      </c>
      <c r="E2950" s="4" t="s">
        <v>4963</v>
      </c>
      <c r="F2950" s="5">
        <v>40556</v>
      </c>
      <c r="H2950" s="4" t="s">
        <v>40</v>
      </c>
      <c r="I2950" s="6">
        <v>17248</v>
      </c>
      <c r="J2950" s="6">
        <v>12374</v>
      </c>
      <c r="K2950" s="37" t="s">
        <v>4667</v>
      </c>
      <c r="L2950" s="119"/>
      <c r="M2950" s="3"/>
    </row>
    <row r="2951" spans="1:13" s="4" customFormat="1" ht="14.25" customHeight="1" x14ac:dyDescent="0.25">
      <c r="A2951" s="4" t="s">
        <v>4964</v>
      </c>
      <c r="B2951" s="4" t="s">
        <v>183</v>
      </c>
      <c r="C2951" s="4" t="s">
        <v>14</v>
      </c>
      <c r="D2951" s="35">
        <v>8809</v>
      </c>
      <c r="E2951" s="7" t="s">
        <v>4965</v>
      </c>
      <c r="F2951" s="5">
        <v>40553</v>
      </c>
      <c r="H2951" s="4" t="s">
        <v>40</v>
      </c>
      <c r="I2951" s="6">
        <v>46600</v>
      </c>
      <c r="J2951" s="6">
        <v>43300</v>
      </c>
      <c r="K2951" s="37" t="s">
        <v>4667</v>
      </c>
      <c r="L2951" s="119"/>
      <c r="M2951" s="3"/>
    </row>
    <row r="2952" spans="1:13" s="4" customFormat="1" ht="14.25" customHeight="1" x14ac:dyDescent="0.25">
      <c r="A2952" s="4" t="s">
        <v>4968</v>
      </c>
      <c r="B2952" s="4" t="s">
        <v>183</v>
      </c>
      <c r="C2952" s="4" t="s">
        <v>14</v>
      </c>
      <c r="D2952" s="35">
        <v>8814</v>
      </c>
      <c r="E2952" s="4" t="s">
        <v>4969</v>
      </c>
      <c r="F2952" s="5">
        <v>40553</v>
      </c>
      <c r="H2952" s="4" t="s">
        <v>40</v>
      </c>
      <c r="I2952" s="6">
        <v>10000</v>
      </c>
      <c r="J2952" s="6">
        <v>10000</v>
      </c>
      <c r="K2952" s="37" t="s">
        <v>4667</v>
      </c>
      <c r="L2952" s="119"/>
      <c r="M2952" s="3"/>
    </row>
    <row r="2953" spans="1:13" s="4" customFormat="1" ht="14.25" customHeight="1" x14ac:dyDescent="0.25">
      <c r="A2953" s="4" t="s">
        <v>4970</v>
      </c>
      <c r="B2953" s="4" t="s">
        <v>183</v>
      </c>
      <c r="C2953" s="4" t="s">
        <v>14</v>
      </c>
      <c r="D2953" s="35">
        <v>8908</v>
      </c>
      <c r="E2953" s="7" t="s">
        <v>4971</v>
      </c>
      <c r="F2953" s="5">
        <v>40833</v>
      </c>
      <c r="H2953" s="4" t="s">
        <v>40</v>
      </c>
      <c r="I2953" s="6">
        <v>48000</v>
      </c>
      <c r="J2953" s="6">
        <v>39000</v>
      </c>
      <c r="K2953" s="37" t="s">
        <v>4667</v>
      </c>
      <c r="L2953" s="119"/>
      <c r="M2953" s="3"/>
    </row>
    <row r="2954" spans="1:13" s="4" customFormat="1" ht="14.25" customHeight="1" x14ac:dyDescent="0.25">
      <c r="A2954" s="4" t="s">
        <v>4972</v>
      </c>
      <c r="B2954" s="4" t="s">
        <v>190</v>
      </c>
      <c r="C2954" s="4" t="s">
        <v>14</v>
      </c>
      <c r="D2954" s="35">
        <v>8909</v>
      </c>
      <c r="E2954" s="7" t="s">
        <v>4973</v>
      </c>
      <c r="F2954" s="5">
        <v>40830</v>
      </c>
      <c r="H2954" s="4" t="s">
        <v>40</v>
      </c>
      <c r="I2954" s="6">
        <v>68602</v>
      </c>
      <c r="J2954" s="6">
        <v>52301</v>
      </c>
      <c r="K2954" s="37" t="s">
        <v>4667</v>
      </c>
      <c r="L2954" s="119"/>
      <c r="M2954" s="3"/>
    </row>
    <row r="2955" spans="1:13" s="4" customFormat="1" ht="14.25" customHeight="1" x14ac:dyDescent="0.25">
      <c r="A2955" s="4" t="s">
        <v>4974</v>
      </c>
      <c r="B2955" s="4" t="s">
        <v>90</v>
      </c>
      <c r="C2955" s="4" t="s">
        <v>14</v>
      </c>
      <c r="D2955" s="35">
        <v>8913</v>
      </c>
      <c r="E2955" s="4" t="s">
        <v>4975</v>
      </c>
      <c r="F2955" s="5">
        <v>40543</v>
      </c>
      <c r="H2955" s="4" t="s">
        <v>40</v>
      </c>
      <c r="I2955" s="6">
        <v>28680</v>
      </c>
      <c r="J2955" s="6">
        <v>14340</v>
      </c>
      <c r="K2955" s="37" t="s">
        <v>4667</v>
      </c>
      <c r="L2955" s="119"/>
      <c r="M2955" s="3"/>
    </row>
    <row r="2956" spans="1:13" s="4" customFormat="1" ht="14.25" customHeight="1" x14ac:dyDescent="0.25">
      <c r="A2956" s="4" t="s">
        <v>4976</v>
      </c>
      <c r="B2956" s="4" t="s">
        <v>183</v>
      </c>
      <c r="C2956" s="4" t="s">
        <v>14</v>
      </c>
      <c r="D2956" s="35">
        <v>8914</v>
      </c>
      <c r="E2956" s="4" t="s">
        <v>4977</v>
      </c>
      <c r="F2956" s="5">
        <v>40544</v>
      </c>
      <c r="H2956" s="4" t="s">
        <v>40</v>
      </c>
      <c r="I2956" s="6">
        <v>22500</v>
      </c>
      <c r="J2956" s="6">
        <v>22500</v>
      </c>
      <c r="K2956" s="37" t="s">
        <v>4667</v>
      </c>
      <c r="L2956" s="119"/>
      <c r="M2956" s="3"/>
    </row>
    <row r="2957" spans="1:13" s="4" customFormat="1" ht="14.25" customHeight="1" x14ac:dyDescent="0.25">
      <c r="A2957" s="4" t="s">
        <v>4976</v>
      </c>
      <c r="B2957" s="4" t="s">
        <v>183</v>
      </c>
      <c r="C2957" s="4" t="s">
        <v>14</v>
      </c>
      <c r="D2957" s="35">
        <v>8915</v>
      </c>
      <c r="E2957" s="4" t="s">
        <v>4978</v>
      </c>
      <c r="F2957" s="5">
        <v>40831</v>
      </c>
      <c r="H2957" s="4" t="s">
        <v>40</v>
      </c>
      <c r="I2957" s="6">
        <v>22500</v>
      </c>
      <c r="J2957" s="6">
        <v>22500</v>
      </c>
      <c r="K2957" s="37" t="s">
        <v>4667</v>
      </c>
      <c r="L2957" s="119"/>
      <c r="M2957" s="3"/>
    </row>
    <row r="2958" spans="1:13" s="4" customFormat="1" ht="14.25" customHeight="1" x14ac:dyDescent="0.25">
      <c r="A2958" s="4" t="s">
        <v>4979</v>
      </c>
      <c r="B2958" s="4" t="s">
        <v>38</v>
      </c>
      <c r="C2958" s="4" t="s">
        <v>14</v>
      </c>
      <c r="D2958" s="35">
        <v>9262</v>
      </c>
      <c r="E2958" s="4" t="s">
        <v>4980</v>
      </c>
      <c r="F2958" s="5">
        <v>40544</v>
      </c>
      <c r="H2958" s="4" t="s">
        <v>40</v>
      </c>
      <c r="I2958" s="6">
        <v>11910</v>
      </c>
      <c r="J2958" s="6">
        <v>5955</v>
      </c>
      <c r="K2958" s="37" t="s">
        <v>4667</v>
      </c>
      <c r="L2958" s="119"/>
      <c r="M2958" s="3"/>
    </row>
    <row r="2959" spans="1:13" s="4" customFormat="1" ht="14.25" customHeight="1" x14ac:dyDescent="0.25">
      <c r="A2959" s="4" t="s">
        <v>4983</v>
      </c>
      <c r="B2959" s="4" t="s">
        <v>183</v>
      </c>
      <c r="C2959" s="4" t="s">
        <v>14</v>
      </c>
      <c r="D2959" s="35">
        <v>10593</v>
      </c>
      <c r="E2959" s="4" t="s">
        <v>4984</v>
      </c>
      <c r="F2959" s="5">
        <v>40820</v>
      </c>
      <c r="H2959" s="4" t="s">
        <v>40</v>
      </c>
      <c r="I2959" s="6">
        <v>20000</v>
      </c>
      <c r="J2959" s="6">
        <v>17500</v>
      </c>
      <c r="K2959" s="37" t="s">
        <v>4667</v>
      </c>
      <c r="L2959" s="119"/>
      <c r="M2959" s="3"/>
    </row>
    <row r="2960" spans="1:13" s="4" customFormat="1" ht="14.25" customHeight="1" x14ac:dyDescent="0.25">
      <c r="A2960" s="4" t="s">
        <v>4985</v>
      </c>
      <c r="B2960" s="4" t="s">
        <v>38</v>
      </c>
      <c r="C2960" s="4" t="s">
        <v>14</v>
      </c>
      <c r="D2960" s="35">
        <v>10610</v>
      </c>
      <c r="E2960" s="4" t="s">
        <v>4986</v>
      </c>
      <c r="F2960" s="5">
        <v>40909</v>
      </c>
      <c r="H2960" s="4" t="s">
        <v>40</v>
      </c>
      <c r="I2960" s="6">
        <v>5000</v>
      </c>
      <c r="J2960" s="6">
        <v>5000</v>
      </c>
      <c r="K2960" s="37" t="s">
        <v>4667</v>
      </c>
      <c r="L2960" s="119"/>
      <c r="M2960" s="3"/>
    </row>
    <row r="2961" spans="1:13" s="4" customFormat="1" ht="14.25" customHeight="1" x14ac:dyDescent="0.25">
      <c r="A2961" s="4" t="s">
        <v>4987</v>
      </c>
      <c r="B2961" s="4" t="s">
        <v>190</v>
      </c>
      <c r="C2961" s="4" t="s">
        <v>14</v>
      </c>
      <c r="D2961" s="35">
        <v>10624</v>
      </c>
      <c r="E2961" s="4" t="s">
        <v>4988</v>
      </c>
      <c r="F2961" s="5">
        <v>41008</v>
      </c>
      <c r="H2961" s="4" t="s">
        <v>40</v>
      </c>
      <c r="I2961" s="6">
        <v>10000</v>
      </c>
      <c r="J2961" s="6">
        <v>10000</v>
      </c>
      <c r="K2961" s="37" t="s">
        <v>4667</v>
      </c>
      <c r="L2961" s="119"/>
      <c r="M2961" s="3"/>
    </row>
    <row r="2962" spans="1:13" s="4" customFormat="1" ht="14.25" customHeight="1" x14ac:dyDescent="0.25">
      <c r="A2962" s="4" t="s">
        <v>4989</v>
      </c>
      <c r="B2962" s="4" t="s">
        <v>190</v>
      </c>
      <c r="C2962" s="4" t="s">
        <v>14</v>
      </c>
      <c r="D2962" s="35">
        <v>10625</v>
      </c>
      <c r="E2962" s="4" t="s">
        <v>4990</v>
      </c>
      <c r="F2962" s="5">
        <v>41050</v>
      </c>
      <c r="H2962" s="4" t="s">
        <v>40</v>
      </c>
      <c r="I2962" s="6">
        <v>30000</v>
      </c>
      <c r="J2962" s="6">
        <f>15000+15000</f>
        <v>30000</v>
      </c>
      <c r="K2962" s="37" t="s">
        <v>4667</v>
      </c>
      <c r="L2962" s="119"/>
      <c r="M2962" s="3"/>
    </row>
    <row r="2963" spans="1:13" s="4" customFormat="1" ht="14.25" customHeight="1" x14ac:dyDescent="0.25">
      <c r="A2963" s="4" t="s">
        <v>4991</v>
      </c>
      <c r="B2963" s="4" t="s">
        <v>190</v>
      </c>
      <c r="C2963" s="4" t="s">
        <v>14</v>
      </c>
      <c r="D2963" s="35">
        <v>10626</v>
      </c>
      <c r="E2963" s="4" t="s">
        <v>4992</v>
      </c>
      <c r="F2963" s="5">
        <v>40952</v>
      </c>
      <c r="H2963" s="4" t="s">
        <v>40</v>
      </c>
      <c r="I2963" s="6">
        <v>140000</v>
      </c>
      <c r="J2963" s="6">
        <v>70000</v>
      </c>
      <c r="K2963" s="37" t="s">
        <v>4667</v>
      </c>
      <c r="L2963" s="119"/>
      <c r="M2963" s="3"/>
    </row>
    <row r="2964" spans="1:13" s="4" customFormat="1" ht="14.25" customHeight="1" x14ac:dyDescent="0.25">
      <c r="A2964" s="4" t="s">
        <v>4995</v>
      </c>
      <c r="B2964" s="4" t="s">
        <v>190</v>
      </c>
      <c r="C2964" s="4" t="s">
        <v>14</v>
      </c>
      <c r="D2964" s="35">
        <v>10628</v>
      </c>
      <c r="E2964" s="4" t="s">
        <v>4996</v>
      </c>
      <c r="F2964" s="5">
        <v>40970</v>
      </c>
      <c r="H2964" s="4" t="s">
        <v>40</v>
      </c>
      <c r="I2964" s="6">
        <v>7500</v>
      </c>
      <c r="J2964" s="6">
        <v>7500</v>
      </c>
      <c r="K2964" s="37" t="s">
        <v>4667</v>
      </c>
      <c r="L2964" s="119"/>
      <c r="M2964" s="3"/>
    </row>
    <row r="2965" spans="1:13" s="4" customFormat="1" ht="14.25" customHeight="1" x14ac:dyDescent="0.25">
      <c r="A2965" s="4" t="s">
        <v>4997</v>
      </c>
      <c r="B2965" s="4" t="s">
        <v>183</v>
      </c>
      <c r="C2965" s="4" t="s">
        <v>14</v>
      </c>
      <c r="D2965" s="35">
        <v>10629</v>
      </c>
      <c r="E2965" s="4" t="s">
        <v>4998</v>
      </c>
      <c r="F2965" s="5">
        <v>41148</v>
      </c>
      <c r="H2965" s="4" t="s">
        <v>40</v>
      </c>
      <c r="I2965" s="6">
        <v>530</v>
      </c>
      <c r="J2965" s="6">
        <v>265</v>
      </c>
      <c r="K2965" s="37" t="s">
        <v>4667</v>
      </c>
      <c r="L2965" s="119"/>
      <c r="M2965" s="3"/>
    </row>
    <row r="2966" spans="1:13" s="4" customFormat="1" ht="14.25" customHeight="1" x14ac:dyDescent="0.25">
      <c r="A2966" s="4" t="s">
        <v>5001</v>
      </c>
      <c r="B2966" s="4" t="s">
        <v>190</v>
      </c>
      <c r="C2966" s="4" t="s">
        <v>14</v>
      </c>
      <c r="D2966" s="35">
        <v>10631</v>
      </c>
      <c r="E2966" s="4" t="s">
        <v>5002</v>
      </c>
      <c r="F2966" s="5">
        <v>41061</v>
      </c>
      <c r="H2966" s="4" t="s">
        <v>40</v>
      </c>
      <c r="I2966" s="6">
        <v>7500</v>
      </c>
      <c r="J2966" s="6">
        <f>3750+3750</f>
        <v>7500</v>
      </c>
      <c r="K2966" s="37" t="s">
        <v>4667</v>
      </c>
      <c r="L2966" s="119"/>
      <c r="M2966" s="3"/>
    </row>
    <row r="2967" spans="1:13" s="4" customFormat="1" ht="14.25" customHeight="1" x14ac:dyDescent="0.25">
      <c r="A2967" s="4" t="s">
        <v>5005</v>
      </c>
      <c r="B2967" s="4" t="s">
        <v>190</v>
      </c>
      <c r="C2967" s="4" t="s">
        <v>14</v>
      </c>
      <c r="D2967" s="35">
        <v>10633</v>
      </c>
      <c r="E2967" s="7" t="s">
        <v>4973</v>
      </c>
      <c r="F2967" s="5">
        <v>41075</v>
      </c>
      <c r="H2967" s="4" t="s">
        <v>40</v>
      </c>
      <c r="I2967" s="6">
        <v>17460</v>
      </c>
      <c r="J2967" s="6">
        <v>17460</v>
      </c>
      <c r="K2967" s="37" t="s">
        <v>4667</v>
      </c>
      <c r="L2967" s="119"/>
      <c r="M2967" s="3"/>
    </row>
    <row r="2968" spans="1:13" s="4" customFormat="1" ht="14.25" customHeight="1" x14ac:dyDescent="0.25">
      <c r="A2968" s="4" t="s">
        <v>5006</v>
      </c>
      <c r="B2968" s="4" t="s">
        <v>190</v>
      </c>
      <c r="C2968" s="4" t="s">
        <v>14</v>
      </c>
      <c r="D2968" s="35">
        <v>10634</v>
      </c>
      <c r="E2968" s="4" t="s">
        <v>5007</v>
      </c>
      <c r="F2968" s="5">
        <v>40987</v>
      </c>
      <c r="H2968" s="4" t="s">
        <v>40</v>
      </c>
      <c r="I2968" s="6">
        <v>10000</v>
      </c>
      <c r="J2968" s="6">
        <v>10000</v>
      </c>
      <c r="K2968" s="37" t="s">
        <v>4667</v>
      </c>
      <c r="L2968" s="119"/>
      <c r="M2968" s="3"/>
    </row>
    <row r="2969" spans="1:13" s="4" customFormat="1" ht="14.25" customHeight="1" x14ac:dyDescent="0.25">
      <c r="A2969" s="4" t="s">
        <v>5008</v>
      </c>
      <c r="B2969" s="4" t="s">
        <v>183</v>
      </c>
      <c r="C2969" s="4" t="s">
        <v>14</v>
      </c>
      <c r="D2969" s="35">
        <v>10635</v>
      </c>
      <c r="E2969" s="4" t="s">
        <v>5009</v>
      </c>
      <c r="F2969" s="5">
        <v>41000</v>
      </c>
      <c r="H2969" s="4" t="s">
        <v>40</v>
      </c>
      <c r="I2969" s="6">
        <v>12000</v>
      </c>
      <c r="J2969" s="6">
        <v>12000</v>
      </c>
      <c r="K2969" s="37" t="s">
        <v>4667</v>
      </c>
      <c r="L2969" s="119"/>
      <c r="M2969" s="3"/>
    </row>
    <row r="2970" spans="1:13" s="4" customFormat="1" ht="14.25" customHeight="1" x14ac:dyDescent="0.25">
      <c r="A2970" s="4" t="s">
        <v>5010</v>
      </c>
      <c r="B2970" s="4" t="s">
        <v>38</v>
      </c>
      <c r="C2970" s="4" t="s">
        <v>14</v>
      </c>
      <c r="D2970" s="35">
        <v>10952</v>
      </c>
      <c r="E2970" s="4" t="s">
        <v>5011</v>
      </c>
      <c r="F2970" s="5">
        <v>40996</v>
      </c>
      <c r="G2970" s="5">
        <v>40996</v>
      </c>
      <c r="H2970" s="4" t="s">
        <v>40</v>
      </c>
      <c r="I2970" s="6">
        <v>1000</v>
      </c>
      <c r="J2970" s="6">
        <v>500</v>
      </c>
      <c r="K2970" s="37" t="s">
        <v>4667</v>
      </c>
      <c r="L2970" s="119"/>
      <c r="M2970" s="3"/>
    </row>
    <row r="2971" spans="1:13" ht="14.25" customHeight="1" x14ac:dyDescent="0.25">
      <c r="A2971" s="13" t="s">
        <v>10687</v>
      </c>
      <c r="B2971" s="13" t="s">
        <v>10195</v>
      </c>
      <c r="C2971" s="13" t="s">
        <v>14</v>
      </c>
      <c r="D2971" s="19">
        <v>12146</v>
      </c>
      <c r="E2971" s="13" t="s">
        <v>10688</v>
      </c>
      <c r="F2971" s="14">
        <v>41222</v>
      </c>
      <c r="H2971" s="13" t="s">
        <v>651</v>
      </c>
      <c r="I2971" s="18">
        <v>17050</v>
      </c>
      <c r="J2971" s="18">
        <v>8525</v>
      </c>
      <c r="K2971" s="20" t="s">
        <v>4667</v>
      </c>
    </row>
    <row r="2972" spans="1:13" ht="14.25" customHeight="1" x14ac:dyDescent="0.25">
      <c r="A2972" s="13" t="s">
        <v>10689</v>
      </c>
      <c r="B2972" s="13" t="s">
        <v>10192</v>
      </c>
      <c r="C2972" s="13" t="s">
        <v>14</v>
      </c>
      <c r="D2972" s="19">
        <v>12159</v>
      </c>
      <c r="E2972" s="13" t="s">
        <v>10690</v>
      </c>
      <c r="F2972" s="14">
        <v>40820</v>
      </c>
      <c r="H2972" s="13" t="s">
        <v>651</v>
      </c>
      <c r="I2972" s="18">
        <v>5148</v>
      </c>
      <c r="J2972" s="18">
        <v>2574</v>
      </c>
      <c r="K2972" s="20" t="s">
        <v>4667</v>
      </c>
    </row>
    <row r="2973" spans="1:13" ht="14.25" customHeight="1" x14ac:dyDescent="0.25">
      <c r="A2973" s="13" t="s">
        <v>10691</v>
      </c>
      <c r="B2973" s="13" t="s">
        <v>10195</v>
      </c>
      <c r="C2973" s="13" t="s">
        <v>14</v>
      </c>
      <c r="D2973" s="19">
        <v>12162</v>
      </c>
      <c r="E2973" s="13" t="s">
        <v>10692</v>
      </c>
      <c r="F2973" s="14">
        <v>41340</v>
      </c>
      <c r="H2973" s="13" t="s">
        <v>651</v>
      </c>
      <c r="I2973" s="18">
        <v>10000</v>
      </c>
      <c r="J2973" s="18">
        <v>10000</v>
      </c>
      <c r="K2973" s="20" t="s">
        <v>4667</v>
      </c>
    </row>
    <row r="2974" spans="1:13" ht="14.25" customHeight="1" x14ac:dyDescent="0.25">
      <c r="A2974" s="13" t="s">
        <v>10693</v>
      </c>
      <c r="B2974" s="13" t="s">
        <v>10192</v>
      </c>
      <c r="C2974" s="13" t="s">
        <v>14</v>
      </c>
      <c r="D2974" s="19">
        <v>12166</v>
      </c>
      <c r="E2974" s="13" t="s">
        <v>10694</v>
      </c>
      <c r="F2974" s="14">
        <v>41309</v>
      </c>
      <c r="H2974" s="13" t="s">
        <v>651</v>
      </c>
      <c r="I2974" s="18">
        <v>7407</v>
      </c>
      <c r="J2974" s="18">
        <v>3704</v>
      </c>
      <c r="K2974" s="20" t="s">
        <v>4667</v>
      </c>
    </row>
    <row r="2975" spans="1:13" ht="14.25" customHeight="1" x14ac:dyDescent="0.25">
      <c r="A2975" s="13" t="s">
        <v>10697</v>
      </c>
      <c r="B2975" s="13" t="s">
        <v>10195</v>
      </c>
      <c r="C2975" s="13" t="s">
        <v>14</v>
      </c>
      <c r="D2975" s="19">
        <v>12171</v>
      </c>
      <c r="E2975" s="13" t="s">
        <v>10698</v>
      </c>
      <c r="F2975" s="14">
        <v>41534</v>
      </c>
      <c r="H2975" s="13" t="s">
        <v>651</v>
      </c>
      <c r="I2975" s="18">
        <v>4032</v>
      </c>
      <c r="J2975" s="18">
        <v>2400</v>
      </c>
      <c r="K2975" s="20" t="s">
        <v>4667</v>
      </c>
    </row>
    <row r="2976" spans="1:13" ht="14.25" customHeight="1" x14ac:dyDescent="0.25">
      <c r="A2976" s="13" t="s">
        <v>10699</v>
      </c>
      <c r="B2976" s="13" t="s">
        <v>10195</v>
      </c>
      <c r="C2976" s="13" t="s">
        <v>14</v>
      </c>
      <c r="D2976" s="19">
        <v>12172</v>
      </c>
      <c r="E2976" s="13" t="s">
        <v>10700</v>
      </c>
      <c r="F2976" s="14">
        <v>41416</v>
      </c>
      <c r="H2976" s="13" t="s">
        <v>651</v>
      </c>
      <c r="I2976" s="18">
        <v>3750</v>
      </c>
      <c r="J2976" s="18">
        <v>3750</v>
      </c>
      <c r="K2976" s="20" t="s">
        <v>4667</v>
      </c>
    </row>
    <row r="2977" spans="1:11" ht="14.25" customHeight="1" x14ac:dyDescent="0.25">
      <c r="A2977" s="13" t="s">
        <v>10701</v>
      </c>
      <c r="B2977" s="13" t="s">
        <v>10220</v>
      </c>
      <c r="C2977" s="13" t="s">
        <v>14</v>
      </c>
      <c r="D2977" s="19">
        <v>12174</v>
      </c>
      <c r="E2977" s="13" t="s">
        <v>10702</v>
      </c>
      <c r="F2977" s="14">
        <v>41018</v>
      </c>
      <c r="H2977" s="13" t="s">
        <v>651</v>
      </c>
      <c r="I2977" s="18">
        <v>8376</v>
      </c>
      <c r="J2977" s="18">
        <v>4188</v>
      </c>
      <c r="K2977" s="20" t="s">
        <v>4667</v>
      </c>
    </row>
    <row r="2978" spans="1:11" ht="14.25" customHeight="1" x14ac:dyDescent="0.25">
      <c r="A2978" s="13" t="s">
        <v>10703</v>
      </c>
      <c r="B2978" s="13" t="s">
        <v>10220</v>
      </c>
      <c r="C2978" s="13" t="s">
        <v>14</v>
      </c>
      <c r="D2978" s="19">
        <v>12343</v>
      </c>
      <c r="E2978" s="13" t="s">
        <v>10704</v>
      </c>
      <c r="F2978" s="14">
        <v>41212</v>
      </c>
      <c r="H2978" s="13" t="s">
        <v>651</v>
      </c>
      <c r="I2978" s="18">
        <v>14954</v>
      </c>
      <c r="J2978" s="18">
        <v>7477</v>
      </c>
      <c r="K2978" s="20" t="s">
        <v>4667</v>
      </c>
    </row>
    <row r="2979" spans="1:11" ht="14.25" customHeight="1" x14ac:dyDescent="0.25">
      <c r="A2979" s="13" t="s">
        <v>10705</v>
      </c>
      <c r="B2979" s="13" t="s">
        <v>10192</v>
      </c>
      <c r="C2979" s="13" t="s">
        <v>14</v>
      </c>
      <c r="D2979" s="19">
        <v>12344</v>
      </c>
      <c r="E2979" s="13" t="s">
        <v>10706</v>
      </c>
      <c r="F2979" s="14">
        <v>41282</v>
      </c>
      <c r="H2979" s="13" t="s">
        <v>651</v>
      </c>
      <c r="I2979" s="18">
        <v>17518</v>
      </c>
      <c r="J2979" s="18">
        <v>13759</v>
      </c>
      <c r="K2979" s="20" t="s">
        <v>4667</v>
      </c>
    </row>
    <row r="2980" spans="1:11" ht="14.25" customHeight="1" x14ac:dyDescent="0.25">
      <c r="A2980" s="13" t="s">
        <v>10707</v>
      </c>
      <c r="B2980" s="13" t="s">
        <v>10195</v>
      </c>
      <c r="C2980" s="13" t="s">
        <v>14</v>
      </c>
      <c r="D2980" s="19">
        <v>12347</v>
      </c>
      <c r="E2980" s="13" t="s">
        <v>10708</v>
      </c>
      <c r="F2980" s="14">
        <v>41061</v>
      </c>
      <c r="H2980" s="13" t="s">
        <v>651</v>
      </c>
      <c r="I2980" s="18">
        <v>7500</v>
      </c>
      <c r="J2980" s="18">
        <v>7500</v>
      </c>
      <c r="K2980" s="20" t="s">
        <v>4667</v>
      </c>
    </row>
    <row r="2981" spans="1:11" ht="14.25" customHeight="1" x14ac:dyDescent="0.25">
      <c r="A2981" s="13" t="s">
        <v>10709</v>
      </c>
      <c r="B2981" s="13" t="s">
        <v>10195</v>
      </c>
      <c r="C2981" s="13" t="s">
        <v>14</v>
      </c>
      <c r="D2981" s="19">
        <v>12349</v>
      </c>
      <c r="E2981" s="13" t="s">
        <v>10710</v>
      </c>
      <c r="F2981" s="14">
        <v>41518</v>
      </c>
      <c r="H2981" s="13" t="s">
        <v>651</v>
      </c>
      <c r="I2981" s="18">
        <v>10000</v>
      </c>
      <c r="J2981" s="18">
        <v>10000</v>
      </c>
      <c r="K2981" s="20" t="s">
        <v>4667</v>
      </c>
    </row>
    <row r="2982" spans="1:11" ht="14.25" customHeight="1" x14ac:dyDescent="0.25">
      <c r="A2982" s="13" t="s">
        <v>10711</v>
      </c>
      <c r="B2982" s="13" t="s">
        <v>10195</v>
      </c>
      <c r="C2982" s="13" t="s">
        <v>14</v>
      </c>
      <c r="D2982" s="19">
        <v>12350</v>
      </c>
      <c r="E2982" s="13" t="s">
        <v>10712</v>
      </c>
      <c r="F2982" s="14">
        <v>41426</v>
      </c>
      <c r="H2982" s="13" t="s">
        <v>651</v>
      </c>
      <c r="I2982" s="18">
        <v>8836</v>
      </c>
      <c r="J2982" s="18">
        <v>6918</v>
      </c>
      <c r="K2982" s="20" t="s">
        <v>4667</v>
      </c>
    </row>
    <row r="2983" spans="1:11" ht="14.25" customHeight="1" x14ac:dyDescent="0.25">
      <c r="A2983" s="13" t="s">
        <v>10713</v>
      </c>
      <c r="B2983" s="13" t="s">
        <v>10192</v>
      </c>
      <c r="C2983" s="13" t="s">
        <v>14</v>
      </c>
      <c r="D2983" s="19">
        <v>12406</v>
      </c>
      <c r="E2983" s="13" t="s">
        <v>10714</v>
      </c>
      <c r="F2983" s="14">
        <v>41551</v>
      </c>
      <c r="H2983" s="13" t="s">
        <v>651</v>
      </c>
      <c r="I2983" s="18">
        <v>10000</v>
      </c>
      <c r="J2983" s="18">
        <v>10000</v>
      </c>
      <c r="K2983" s="20" t="s">
        <v>4667</v>
      </c>
    </row>
    <row r="2984" spans="1:11" ht="14.25" customHeight="1" x14ac:dyDescent="0.25">
      <c r="A2984" s="13" t="s">
        <v>10719</v>
      </c>
      <c r="B2984" s="13" t="s">
        <v>10192</v>
      </c>
      <c r="C2984" s="13" t="s">
        <v>14</v>
      </c>
      <c r="D2984" s="19">
        <v>12409</v>
      </c>
      <c r="E2984" s="13" t="s">
        <v>10720</v>
      </c>
      <c r="F2984" s="14">
        <v>41411</v>
      </c>
      <c r="H2984" s="13" t="s">
        <v>651</v>
      </c>
      <c r="I2984" s="18">
        <v>2500</v>
      </c>
      <c r="J2984" s="18">
        <v>2500</v>
      </c>
      <c r="K2984" s="20" t="s">
        <v>4667</v>
      </c>
    </row>
    <row r="2985" spans="1:11" ht="14.25" customHeight="1" x14ac:dyDescent="0.25">
      <c r="A2985" s="13" t="s">
        <v>10721</v>
      </c>
      <c r="B2985" s="13" t="s">
        <v>10192</v>
      </c>
      <c r="C2985" s="13" t="s">
        <v>14</v>
      </c>
      <c r="D2985" s="19">
        <v>12413</v>
      </c>
      <c r="E2985" s="13" t="s">
        <v>10722</v>
      </c>
      <c r="F2985" s="14">
        <v>41153</v>
      </c>
      <c r="H2985" s="13" t="s">
        <v>651</v>
      </c>
      <c r="I2985" s="18">
        <v>64000</v>
      </c>
      <c r="J2985" s="18">
        <v>44000</v>
      </c>
      <c r="K2985" s="20" t="s">
        <v>4667</v>
      </c>
    </row>
    <row r="2986" spans="1:11" ht="14.25" customHeight="1" x14ac:dyDescent="0.25">
      <c r="A2986" s="13" t="s">
        <v>10723</v>
      </c>
      <c r="B2986" s="13" t="s">
        <v>10195</v>
      </c>
      <c r="C2986" s="13" t="s">
        <v>14</v>
      </c>
      <c r="D2986" s="19">
        <v>12418</v>
      </c>
      <c r="E2986" s="13" t="s">
        <v>10724</v>
      </c>
      <c r="F2986" s="14">
        <v>41415</v>
      </c>
      <c r="H2986" s="13" t="s">
        <v>651</v>
      </c>
      <c r="I2986" s="18">
        <v>16000</v>
      </c>
      <c r="J2986" s="18">
        <v>8000</v>
      </c>
      <c r="K2986" s="20" t="s">
        <v>4667</v>
      </c>
    </row>
    <row r="2987" spans="1:11" ht="14.25" customHeight="1" x14ac:dyDescent="0.25">
      <c r="A2987" s="13" t="s">
        <v>10725</v>
      </c>
      <c r="B2987" s="13" t="s">
        <v>10195</v>
      </c>
      <c r="C2987" s="13" t="s">
        <v>14</v>
      </c>
      <c r="D2987" s="19">
        <v>12420</v>
      </c>
      <c r="E2987" s="13" t="s">
        <v>10726</v>
      </c>
      <c r="F2987" s="14">
        <v>41518</v>
      </c>
      <c r="H2987" s="13" t="s">
        <v>651</v>
      </c>
      <c r="I2987" s="18">
        <v>3750</v>
      </c>
      <c r="J2987" s="18">
        <v>3750</v>
      </c>
      <c r="K2987" s="20" t="s">
        <v>4667</v>
      </c>
    </row>
    <row r="2988" spans="1:11" ht="14.25" customHeight="1" x14ac:dyDescent="0.25">
      <c r="A2988" s="13" t="s">
        <v>10727</v>
      </c>
      <c r="B2988" s="13" t="s">
        <v>10192</v>
      </c>
      <c r="C2988" s="13" t="s">
        <v>14</v>
      </c>
      <c r="D2988" s="19">
        <v>12422</v>
      </c>
      <c r="E2988" s="13" t="s">
        <v>10728</v>
      </c>
      <c r="F2988" s="14">
        <v>41334</v>
      </c>
      <c r="H2988" s="13" t="s">
        <v>651</v>
      </c>
      <c r="I2988" s="18">
        <v>1650</v>
      </c>
      <c r="J2988" s="18">
        <v>825</v>
      </c>
      <c r="K2988" s="20" t="s">
        <v>4667</v>
      </c>
    </row>
    <row r="2989" spans="1:11" ht="14.25" customHeight="1" x14ac:dyDescent="0.25">
      <c r="A2989" s="13" t="s">
        <v>10729</v>
      </c>
      <c r="B2989" s="13" t="s">
        <v>10192</v>
      </c>
      <c r="C2989" s="13" t="s">
        <v>14</v>
      </c>
      <c r="D2989" s="19">
        <v>12425</v>
      </c>
      <c r="E2989" s="13" t="s">
        <v>10730</v>
      </c>
      <c r="F2989" s="14">
        <v>41426</v>
      </c>
      <c r="H2989" s="13" t="s">
        <v>651</v>
      </c>
      <c r="I2989" s="18">
        <v>5000</v>
      </c>
      <c r="J2989" s="18">
        <v>5000</v>
      </c>
      <c r="K2989" s="20" t="s">
        <v>4667</v>
      </c>
    </row>
    <row r="2990" spans="1:11" ht="14.25" customHeight="1" x14ac:dyDescent="0.25">
      <c r="A2990" s="13" t="s">
        <v>10733</v>
      </c>
      <c r="B2990" s="13" t="s">
        <v>10195</v>
      </c>
      <c r="C2990" s="13" t="s">
        <v>14</v>
      </c>
      <c r="D2990" s="19">
        <v>12429</v>
      </c>
      <c r="E2990" s="13" t="s">
        <v>10734</v>
      </c>
      <c r="F2990" s="14">
        <v>41214</v>
      </c>
      <c r="H2990" s="13" t="s">
        <v>651</v>
      </c>
      <c r="I2990" s="18">
        <v>17000</v>
      </c>
      <c r="J2990" s="18">
        <v>8500</v>
      </c>
      <c r="K2990" s="20" t="s">
        <v>4667</v>
      </c>
    </row>
    <row r="2991" spans="1:11" ht="14.25" customHeight="1" x14ac:dyDescent="0.25">
      <c r="A2991" s="13" t="s">
        <v>10737</v>
      </c>
      <c r="B2991" s="13" t="s">
        <v>38</v>
      </c>
      <c r="C2991" s="13" t="s">
        <v>14</v>
      </c>
      <c r="D2991" s="19">
        <v>12604</v>
      </c>
      <c r="E2991" s="13" t="s">
        <v>10738</v>
      </c>
      <c r="F2991" s="14">
        <v>41275</v>
      </c>
      <c r="H2991" s="13" t="s">
        <v>651</v>
      </c>
      <c r="I2991" s="18">
        <v>900</v>
      </c>
      <c r="J2991" s="18">
        <v>900</v>
      </c>
      <c r="K2991" s="20" t="s">
        <v>4667</v>
      </c>
    </row>
    <row r="2992" spans="1:11" ht="14.25" customHeight="1" x14ac:dyDescent="0.25">
      <c r="A2992" s="13" t="s">
        <v>10739</v>
      </c>
      <c r="B2992" s="13" t="s">
        <v>10195</v>
      </c>
      <c r="C2992" s="13" t="s">
        <v>14</v>
      </c>
      <c r="D2992" s="19">
        <v>12606</v>
      </c>
      <c r="E2992" s="13" t="s">
        <v>10740</v>
      </c>
      <c r="F2992" s="14">
        <v>41115</v>
      </c>
      <c r="H2992" s="13" t="s">
        <v>651</v>
      </c>
      <c r="I2992" s="18">
        <v>5000</v>
      </c>
      <c r="J2992" s="18">
        <v>5000</v>
      </c>
      <c r="K2992" s="20" t="s">
        <v>4667</v>
      </c>
    </row>
    <row r="2993" spans="1:60" s="4" customFormat="1" ht="14.25" customHeight="1" x14ac:dyDescent="0.25">
      <c r="A2993" s="9" t="s">
        <v>5012</v>
      </c>
      <c r="B2993" s="9" t="s">
        <v>13</v>
      </c>
      <c r="C2993" s="4" t="s">
        <v>14</v>
      </c>
      <c r="D2993" s="90">
        <v>4327</v>
      </c>
      <c r="E2993" s="9" t="s">
        <v>3574</v>
      </c>
      <c r="F2993" s="11">
        <v>39083</v>
      </c>
      <c r="G2993" s="11">
        <v>42369</v>
      </c>
      <c r="H2993" s="9" t="s">
        <v>2593</v>
      </c>
      <c r="I2993" s="16">
        <v>230866.73</v>
      </c>
      <c r="J2993" s="16">
        <v>230866.73</v>
      </c>
      <c r="K2993" s="112" t="s">
        <v>4667</v>
      </c>
      <c r="L2993" s="121"/>
      <c r="M2993" s="12"/>
      <c r="N2993" s="9"/>
      <c r="O2993" s="9"/>
      <c r="P2993" s="9"/>
      <c r="Q2993" s="9"/>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c r="AS2993" s="9"/>
      <c r="AT2993" s="9"/>
      <c r="AU2993" s="9"/>
      <c r="AV2993" s="9"/>
      <c r="AW2993" s="9"/>
      <c r="AX2993" s="9"/>
      <c r="AY2993" s="9"/>
      <c r="AZ2993" s="9"/>
      <c r="BA2993" s="9"/>
      <c r="BB2993" s="9"/>
      <c r="BC2993" s="9"/>
      <c r="BD2993" s="9"/>
      <c r="BE2993" s="9"/>
      <c r="BF2993" s="9"/>
      <c r="BG2993" s="9"/>
      <c r="BH2993" s="9"/>
    </row>
    <row r="2994" spans="1:60" s="4" customFormat="1" ht="14.25" customHeight="1" x14ac:dyDescent="0.25">
      <c r="A2994" s="9" t="s">
        <v>5013</v>
      </c>
      <c r="B2994" s="9" t="s">
        <v>13</v>
      </c>
      <c r="C2994" s="4" t="s">
        <v>14</v>
      </c>
      <c r="D2994" s="90">
        <v>4328</v>
      </c>
      <c r="E2994" s="15" t="s">
        <v>5014</v>
      </c>
      <c r="F2994" s="11">
        <v>39083</v>
      </c>
      <c r="G2994" s="11">
        <v>42369</v>
      </c>
      <c r="H2994" s="9" t="s">
        <v>2593</v>
      </c>
      <c r="I2994" s="16">
        <v>230866.73</v>
      </c>
      <c r="J2994" s="16">
        <v>230866.73</v>
      </c>
      <c r="K2994" s="112" t="s">
        <v>4667</v>
      </c>
      <c r="L2994" s="121"/>
      <c r="M2994" s="12"/>
      <c r="N2994" s="9"/>
      <c r="O2994" s="9"/>
      <c r="P2994" s="9"/>
      <c r="Q2994" s="9"/>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c r="AS2994" s="9"/>
      <c r="AT2994" s="9"/>
      <c r="AU2994" s="9"/>
      <c r="AV2994" s="9"/>
      <c r="AW2994" s="9"/>
      <c r="AX2994" s="9"/>
      <c r="AY2994" s="9"/>
      <c r="AZ2994" s="9"/>
      <c r="BA2994" s="9"/>
      <c r="BB2994" s="9"/>
      <c r="BC2994" s="9"/>
      <c r="BD2994" s="9"/>
      <c r="BE2994" s="9"/>
      <c r="BF2994" s="9"/>
      <c r="BG2994" s="9"/>
      <c r="BH2994" s="9"/>
    </row>
    <row r="2995" spans="1:60" s="32" customFormat="1" ht="14.25" customHeight="1" x14ac:dyDescent="0.25">
      <c r="A2995" s="13" t="s">
        <v>11589</v>
      </c>
      <c r="B2995" s="32" t="s">
        <v>13</v>
      </c>
      <c r="C2995" s="32" t="s">
        <v>14</v>
      </c>
      <c r="D2995" s="33">
        <v>13032</v>
      </c>
      <c r="E2995" s="13" t="s">
        <v>11590</v>
      </c>
      <c r="F2995" s="34">
        <v>40544</v>
      </c>
      <c r="G2995" s="34">
        <v>43100</v>
      </c>
      <c r="H2995" s="9" t="s">
        <v>2593</v>
      </c>
      <c r="I2995" s="94">
        <v>2776456.61</v>
      </c>
      <c r="J2995" s="94">
        <v>2776456.61</v>
      </c>
      <c r="K2995" s="38" t="s">
        <v>4667</v>
      </c>
      <c r="L2995" s="122"/>
    </row>
    <row r="2996" spans="1:60" s="32" customFormat="1" ht="14.25" customHeight="1" x14ac:dyDescent="0.25">
      <c r="A2996" s="13" t="s">
        <v>11591</v>
      </c>
      <c r="B2996" s="32" t="s">
        <v>13</v>
      </c>
      <c r="C2996" s="32" t="s">
        <v>14</v>
      </c>
      <c r="D2996" s="33">
        <v>12993</v>
      </c>
      <c r="E2996" s="13" t="s">
        <v>11550</v>
      </c>
      <c r="F2996" s="34">
        <v>40544</v>
      </c>
      <c r="G2996" s="34">
        <v>42825</v>
      </c>
      <c r="H2996" s="9" t="s">
        <v>3587</v>
      </c>
      <c r="I2996" s="94">
        <f>653329.65+153416.35</f>
        <v>806746</v>
      </c>
      <c r="J2996" s="94">
        <f>653329.65+153416.35</f>
        <v>806746</v>
      </c>
      <c r="K2996" s="38" t="s">
        <v>4667</v>
      </c>
      <c r="L2996" s="122"/>
    </row>
    <row r="2997" spans="1:60" s="32" customFormat="1" ht="14.25" customHeight="1" x14ac:dyDescent="0.25">
      <c r="A2997" s="13" t="s">
        <v>11592</v>
      </c>
      <c r="B2997" s="32" t="s">
        <v>13</v>
      </c>
      <c r="C2997" s="32" t="s">
        <v>14</v>
      </c>
      <c r="D2997" s="33">
        <v>12994</v>
      </c>
      <c r="E2997" s="13" t="s">
        <v>11593</v>
      </c>
      <c r="F2997" s="34">
        <v>40544</v>
      </c>
      <c r="G2997" s="34">
        <v>42825</v>
      </c>
      <c r="H2997" s="9" t="s">
        <v>3587</v>
      </c>
      <c r="I2997" s="94">
        <f>195886.26+58199.88</f>
        <v>254086.14</v>
      </c>
      <c r="J2997" s="94">
        <f>195886.26+58199.88</f>
        <v>254086.14</v>
      </c>
      <c r="K2997" s="38" t="s">
        <v>4667</v>
      </c>
      <c r="L2997" s="122"/>
    </row>
    <row r="2998" spans="1:60" s="32" customFormat="1" ht="14.25" customHeight="1" x14ac:dyDescent="0.25">
      <c r="A2998" s="13" t="s">
        <v>11594</v>
      </c>
      <c r="B2998" s="32" t="s">
        <v>13</v>
      </c>
      <c r="C2998" s="32" t="s">
        <v>14</v>
      </c>
      <c r="D2998" s="33">
        <v>12995</v>
      </c>
      <c r="E2998" s="13" t="s">
        <v>11539</v>
      </c>
      <c r="F2998" s="34">
        <v>40544</v>
      </c>
      <c r="G2998" s="34">
        <v>42825</v>
      </c>
      <c r="H2998" s="9" t="s">
        <v>3587</v>
      </c>
      <c r="I2998" s="94">
        <f>239887.68+50217.91</f>
        <v>290105.58999999997</v>
      </c>
      <c r="J2998" s="94">
        <f>239887.68+50217.91</f>
        <v>290105.58999999997</v>
      </c>
      <c r="K2998" s="38" t="s">
        <v>4667</v>
      </c>
      <c r="L2998" s="122"/>
    </row>
    <row r="2999" spans="1:60" s="32" customFormat="1" ht="14.25" customHeight="1" x14ac:dyDescent="0.25">
      <c r="A2999" s="13" t="s">
        <v>11595</v>
      </c>
      <c r="B2999" s="32" t="s">
        <v>13</v>
      </c>
      <c r="C2999" s="32" t="s">
        <v>14</v>
      </c>
      <c r="D2999" s="33">
        <v>12996</v>
      </c>
      <c r="E2999" s="13" t="s">
        <v>11563</v>
      </c>
      <c r="F2999" s="34">
        <v>40544</v>
      </c>
      <c r="G2999" s="34">
        <v>42825</v>
      </c>
      <c r="H2999" s="9" t="s">
        <v>3587</v>
      </c>
      <c r="I2999" s="94">
        <f>624346.85+239752.35</f>
        <v>864099.2</v>
      </c>
      <c r="J2999" s="94">
        <f>624346.85+239752.35</f>
        <v>864099.2</v>
      </c>
      <c r="K2999" s="38" t="s">
        <v>4667</v>
      </c>
      <c r="L2999" s="122"/>
    </row>
    <row r="3000" spans="1:60" s="4" customFormat="1" ht="14.25" customHeight="1" x14ac:dyDescent="0.25">
      <c r="A3000" s="9"/>
      <c r="B3000" s="9"/>
      <c r="D3000" s="90"/>
      <c r="E3000" s="29" t="s">
        <v>351</v>
      </c>
      <c r="F3000" s="30"/>
      <c r="G3000" s="30"/>
      <c r="H3000" s="26"/>
      <c r="I3000" s="27">
        <f>SUM(I2806:I2822)</f>
        <v>1528878.89</v>
      </c>
      <c r="J3000" s="27">
        <f>SUM(J2806:J2822)</f>
        <v>343493.47000000003</v>
      </c>
      <c r="K3000" s="38" t="s">
        <v>4667</v>
      </c>
      <c r="L3000" s="119"/>
      <c r="M3000" s="12"/>
      <c r="N3000" s="9"/>
      <c r="O3000" s="9"/>
      <c r="P3000" s="9"/>
      <c r="Q3000" s="9"/>
      <c r="R3000" s="9"/>
      <c r="S3000" s="9"/>
      <c r="T3000" s="9"/>
      <c r="U3000" s="9"/>
      <c r="V3000" s="9"/>
      <c r="W3000" s="9"/>
      <c r="X3000" s="9"/>
      <c r="Y3000" s="9"/>
      <c r="Z3000" s="9"/>
      <c r="AA3000" s="9"/>
      <c r="AB3000" s="9"/>
      <c r="AC3000" s="9"/>
      <c r="AD3000" s="9"/>
      <c r="AE3000" s="9"/>
      <c r="AF3000" s="9"/>
      <c r="AG3000" s="9"/>
      <c r="AH3000" s="9"/>
      <c r="AI3000" s="9"/>
      <c r="AJ3000" s="9"/>
      <c r="AK3000" s="9"/>
      <c r="AL3000" s="9"/>
      <c r="AM3000" s="9"/>
      <c r="AN3000" s="9"/>
      <c r="AO3000" s="9"/>
      <c r="AP3000" s="9"/>
      <c r="AQ3000" s="9"/>
      <c r="AR3000" s="9"/>
      <c r="AS3000" s="9"/>
      <c r="AT3000" s="9"/>
      <c r="AU3000" s="9"/>
      <c r="AV3000" s="9"/>
      <c r="AW3000" s="9"/>
      <c r="AX3000" s="9"/>
      <c r="AY3000" s="9"/>
      <c r="AZ3000" s="9"/>
      <c r="BA3000" s="9"/>
      <c r="BB3000" s="9"/>
      <c r="BC3000" s="9"/>
      <c r="BD3000" s="9"/>
      <c r="BE3000" s="9"/>
      <c r="BF3000" s="9"/>
      <c r="BG3000" s="9"/>
      <c r="BH3000" s="9"/>
    </row>
    <row r="3001" spans="1:60" s="4" customFormat="1" ht="14.25" customHeight="1" x14ac:dyDescent="0.25">
      <c r="A3001" s="9"/>
      <c r="B3001" s="9"/>
      <c r="D3001" s="90"/>
      <c r="E3001" s="29" t="s">
        <v>2643</v>
      </c>
      <c r="F3001" s="30"/>
      <c r="G3001" s="30"/>
      <c r="H3001" s="26"/>
      <c r="I3001" s="27">
        <f>SUM(I2823:I2858)</f>
        <v>3128950.8099999996</v>
      </c>
      <c r="J3001" s="27">
        <f>SUM(J2823:J2858)</f>
        <v>3128950.81</v>
      </c>
      <c r="K3001" s="38" t="s">
        <v>4667</v>
      </c>
      <c r="L3001" s="119"/>
      <c r="M3001" s="12"/>
      <c r="N3001" s="9"/>
      <c r="O3001" s="9"/>
      <c r="P3001" s="9"/>
      <c r="Q3001" s="9"/>
      <c r="R3001" s="9"/>
      <c r="S3001" s="9"/>
      <c r="T3001" s="9"/>
      <c r="U3001" s="9"/>
      <c r="V3001" s="9"/>
      <c r="W3001" s="9"/>
      <c r="X3001" s="9"/>
      <c r="Y3001" s="9"/>
      <c r="Z3001" s="9"/>
      <c r="AA3001" s="9"/>
      <c r="AB3001" s="9"/>
      <c r="AC3001" s="9"/>
      <c r="AD3001" s="9"/>
      <c r="AE3001" s="9"/>
      <c r="AF3001" s="9"/>
      <c r="AG3001" s="9"/>
      <c r="AH3001" s="9"/>
      <c r="AI3001" s="9"/>
      <c r="AJ3001" s="9"/>
      <c r="AK3001" s="9"/>
      <c r="AL3001" s="9"/>
      <c r="AM3001" s="9"/>
      <c r="AN3001" s="9"/>
      <c r="AO3001" s="9"/>
      <c r="AP3001" s="9"/>
      <c r="AQ3001" s="9"/>
      <c r="AR3001" s="9"/>
      <c r="AS3001" s="9"/>
      <c r="AT3001" s="9"/>
      <c r="AU3001" s="9"/>
      <c r="AV3001" s="9"/>
      <c r="AW3001" s="9"/>
      <c r="AX3001" s="9"/>
      <c r="AY3001" s="9"/>
      <c r="AZ3001" s="9"/>
      <c r="BA3001" s="9"/>
      <c r="BB3001" s="9"/>
      <c r="BC3001" s="9"/>
      <c r="BD3001" s="9"/>
      <c r="BE3001" s="9"/>
      <c r="BF3001" s="9"/>
      <c r="BG3001" s="9"/>
      <c r="BH3001" s="9"/>
    </row>
    <row r="3002" spans="1:60" s="4" customFormat="1" ht="14.25" customHeight="1" x14ac:dyDescent="0.25">
      <c r="A3002" s="9"/>
      <c r="B3002" s="9"/>
      <c r="D3002" s="90"/>
      <c r="E3002" s="29" t="s">
        <v>786</v>
      </c>
      <c r="F3002" s="30"/>
      <c r="G3002" s="30"/>
      <c r="H3002" s="26"/>
      <c r="I3002" s="27">
        <f>SUM(I2859:I2868)</f>
        <v>3978134.8</v>
      </c>
      <c r="J3002" s="27">
        <f>SUM(J2859:J2868)</f>
        <v>1106651.5499999998</v>
      </c>
      <c r="K3002" s="38" t="s">
        <v>4667</v>
      </c>
      <c r="L3002" s="119"/>
      <c r="M3002" s="12"/>
      <c r="N3002" s="9"/>
      <c r="O3002" s="9"/>
      <c r="P3002" s="9"/>
      <c r="Q3002" s="9"/>
      <c r="R3002" s="9"/>
      <c r="S3002" s="9"/>
      <c r="T3002" s="9"/>
      <c r="U3002" s="9"/>
      <c r="V3002" s="9"/>
      <c r="W3002" s="9"/>
      <c r="X3002" s="9"/>
      <c r="Y3002" s="9"/>
      <c r="Z3002" s="9"/>
      <c r="AA3002" s="9"/>
      <c r="AB3002" s="9"/>
      <c r="AC3002" s="9"/>
      <c r="AD3002" s="9"/>
      <c r="AE3002" s="9"/>
      <c r="AF3002" s="9"/>
      <c r="AG3002" s="9"/>
      <c r="AH3002" s="9"/>
      <c r="AI3002" s="9"/>
      <c r="AJ3002" s="9"/>
      <c r="AK3002" s="9"/>
      <c r="AL3002" s="9"/>
      <c r="AM3002" s="9"/>
      <c r="AN3002" s="9"/>
      <c r="AO3002" s="9"/>
      <c r="AP3002" s="9"/>
      <c r="AQ3002" s="9"/>
      <c r="AR3002" s="9"/>
      <c r="AS3002" s="9"/>
      <c r="AT3002" s="9"/>
      <c r="AU3002" s="9"/>
      <c r="AV3002" s="9"/>
      <c r="AW3002" s="9"/>
      <c r="AX3002" s="9"/>
      <c r="AY3002" s="9"/>
      <c r="AZ3002" s="9"/>
      <c r="BA3002" s="9"/>
      <c r="BB3002" s="9"/>
      <c r="BC3002" s="9"/>
      <c r="BD3002" s="9"/>
      <c r="BE3002" s="9"/>
      <c r="BF3002" s="9"/>
      <c r="BG3002" s="9"/>
      <c r="BH3002" s="9"/>
    </row>
    <row r="3003" spans="1:60" s="4" customFormat="1" ht="14.25" customHeight="1" x14ac:dyDescent="0.25">
      <c r="A3003" s="9"/>
      <c r="B3003" s="9"/>
      <c r="D3003" s="90"/>
      <c r="E3003" s="29" t="s">
        <v>11660</v>
      </c>
      <c r="F3003" s="30"/>
      <c r="G3003" s="30"/>
      <c r="H3003" s="26"/>
      <c r="I3003" s="27">
        <f>SUM(I2869)</f>
        <v>2264596.94</v>
      </c>
      <c r="J3003" s="27">
        <f>SUM(J2869)</f>
        <v>905838.78</v>
      </c>
      <c r="K3003" s="38" t="s">
        <v>4667</v>
      </c>
      <c r="L3003" s="119"/>
      <c r="M3003" s="12"/>
      <c r="N3003" s="9"/>
      <c r="O3003" s="9"/>
      <c r="P3003" s="9"/>
      <c r="Q3003" s="9"/>
      <c r="R3003" s="9"/>
      <c r="S3003" s="9"/>
      <c r="T3003" s="9"/>
      <c r="U3003" s="9"/>
      <c r="V3003" s="9"/>
      <c r="W3003" s="9"/>
      <c r="X3003" s="9"/>
      <c r="Y3003" s="9"/>
      <c r="Z3003" s="9"/>
      <c r="AA3003" s="9"/>
      <c r="AB3003" s="9"/>
      <c r="AC3003" s="9"/>
      <c r="AD3003" s="9"/>
      <c r="AE3003" s="9"/>
      <c r="AF3003" s="9"/>
      <c r="AG3003" s="9"/>
      <c r="AH3003" s="9"/>
      <c r="AI3003" s="9"/>
      <c r="AJ3003" s="9"/>
      <c r="AK3003" s="9"/>
      <c r="AL3003" s="9"/>
      <c r="AM3003" s="9"/>
      <c r="AN3003" s="9"/>
      <c r="AO3003" s="9"/>
      <c r="AP3003" s="9"/>
      <c r="AQ3003" s="9"/>
      <c r="AR3003" s="9"/>
      <c r="AS3003" s="9"/>
      <c r="AT3003" s="9"/>
      <c r="AU3003" s="9"/>
      <c r="AV3003" s="9"/>
      <c r="AW3003" s="9"/>
      <c r="AX3003" s="9"/>
      <c r="AY3003" s="9"/>
      <c r="AZ3003" s="9"/>
      <c r="BA3003" s="9"/>
      <c r="BB3003" s="9"/>
      <c r="BC3003" s="9"/>
      <c r="BD3003" s="9"/>
      <c r="BE3003" s="9"/>
      <c r="BF3003" s="9"/>
      <c r="BG3003" s="9"/>
      <c r="BH3003" s="9"/>
    </row>
    <row r="3004" spans="1:60" s="4" customFormat="1" ht="14.25" customHeight="1" x14ac:dyDescent="0.25">
      <c r="A3004" s="9"/>
      <c r="B3004" s="9"/>
      <c r="D3004" s="90"/>
      <c r="E3004" s="29" t="s">
        <v>352</v>
      </c>
      <c r="F3004" s="30"/>
      <c r="G3004" s="30"/>
      <c r="H3004" s="26"/>
      <c r="I3004" s="27">
        <f>SUM(I2870:I2992)</f>
        <v>4175309.97</v>
      </c>
      <c r="J3004" s="27">
        <f>SUM(J2870:J2992)</f>
        <v>3356831.97</v>
      </c>
      <c r="K3004" s="38" t="s">
        <v>4667</v>
      </c>
      <c r="L3004" s="119"/>
      <c r="M3004" s="12"/>
      <c r="N3004" s="9"/>
      <c r="O3004" s="9"/>
      <c r="P3004" s="9"/>
      <c r="Q3004" s="9"/>
      <c r="R3004" s="9"/>
      <c r="S3004" s="9"/>
      <c r="T3004" s="9"/>
      <c r="U3004" s="9"/>
      <c r="V3004" s="9"/>
      <c r="W3004" s="9"/>
      <c r="X3004" s="9"/>
      <c r="Y3004" s="9"/>
      <c r="Z3004" s="9"/>
      <c r="AA3004" s="9"/>
      <c r="AB3004" s="9"/>
      <c r="AC3004" s="9"/>
      <c r="AD3004" s="9"/>
      <c r="AE3004" s="9"/>
      <c r="AF3004" s="9"/>
      <c r="AG3004" s="9"/>
      <c r="AH3004" s="9"/>
      <c r="AI3004" s="9"/>
      <c r="AJ3004" s="9"/>
      <c r="AK3004" s="9"/>
      <c r="AL3004" s="9"/>
      <c r="AM3004" s="9"/>
      <c r="AN3004" s="9"/>
      <c r="AO3004" s="9"/>
      <c r="AP3004" s="9"/>
      <c r="AQ3004" s="9"/>
      <c r="AR3004" s="9"/>
      <c r="AS3004" s="9"/>
      <c r="AT3004" s="9"/>
      <c r="AU3004" s="9"/>
      <c r="AV3004" s="9"/>
      <c r="AW3004" s="9"/>
      <c r="AX3004" s="9"/>
      <c r="AY3004" s="9"/>
      <c r="AZ3004" s="9"/>
      <c r="BA3004" s="9"/>
      <c r="BB3004" s="9"/>
      <c r="BC3004" s="9"/>
      <c r="BD3004" s="9"/>
      <c r="BE3004" s="9"/>
      <c r="BF3004" s="9"/>
      <c r="BG3004" s="9"/>
      <c r="BH3004" s="9"/>
    </row>
    <row r="3005" spans="1:60" s="4" customFormat="1" ht="14.25" customHeight="1" x14ac:dyDescent="0.25">
      <c r="A3005" s="9"/>
      <c r="B3005" s="9"/>
      <c r="D3005" s="90"/>
      <c r="E3005" s="29" t="s">
        <v>4030</v>
      </c>
      <c r="F3005" s="30"/>
      <c r="G3005" s="30"/>
      <c r="H3005" s="26"/>
      <c r="I3005" s="31">
        <f>SUM(I2993:I2995)</f>
        <v>3238190.07</v>
      </c>
      <c r="J3005" s="31">
        <f>SUM(J2993:J2995)</f>
        <v>3238190.07</v>
      </c>
      <c r="K3005" s="38" t="s">
        <v>4667</v>
      </c>
      <c r="L3005" s="119"/>
      <c r="M3005" s="12"/>
      <c r="N3005" s="9"/>
      <c r="O3005" s="9"/>
      <c r="P3005" s="9"/>
      <c r="Q3005" s="9"/>
      <c r="R3005" s="9"/>
      <c r="S3005" s="9"/>
      <c r="T3005" s="9"/>
      <c r="U3005" s="9"/>
      <c r="V3005" s="9"/>
      <c r="W3005" s="9"/>
      <c r="X3005" s="9"/>
      <c r="Y3005" s="9"/>
      <c r="Z3005" s="9"/>
      <c r="AA3005" s="9"/>
      <c r="AB3005" s="9"/>
      <c r="AC3005" s="9"/>
      <c r="AD3005" s="9"/>
      <c r="AE3005" s="9"/>
      <c r="AF3005" s="9"/>
      <c r="AG3005" s="9"/>
      <c r="AH3005" s="9"/>
      <c r="AI3005" s="9"/>
      <c r="AJ3005" s="9"/>
      <c r="AK3005" s="9"/>
      <c r="AL3005" s="9"/>
      <c r="AM3005" s="9"/>
      <c r="AN3005" s="9"/>
      <c r="AO3005" s="9"/>
      <c r="AP3005" s="9"/>
      <c r="AQ3005" s="9"/>
      <c r="AR3005" s="9"/>
      <c r="AS3005" s="9"/>
      <c r="AT3005" s="9"/>
      <c r="AU3005" s="9"/>
      <c r="AV3005" s="9"/>
      <c r="AW3005" s="9"/>
      <c r="AX3005" s="9"/>
      <c r="AY3005" s="9"/>
      <c r="AZ3005" s="9"/>
      <c r="BA3005" s="9"/>
      <c r="BB3005" s="9"/>
      <c r="BC3005" s="9"/>
      <c r="BD3005" s="9"/>
      <c r="BE3005" s="9"/>
      <c r="BF3005" s="9"/>
      <c r="BG3005" s="9"/>
      <c r="BH3005" s="9"/>
    </row>
    <row r="3006" spans="1:60" s="4" customFormat="1" ht="14.25" customHeight="1" x14ac:dyDescent="0.25">
      <c r="A3006" s="9"/>
      <c r="B3006" s="9"/>
      <c r="D3006" s="90"/>
      <c r="E3006" s="29" t="s">
        <v>4031</v>
      </c>
      <c r="F3006" s="30"/>
      <c r="G3006" s="30"/>
      <c r="H3006" s="26"/>
      <c r="I3006" s="31">
        <f>SUM(I2996:I2999)</f>
        <v>2215036.9299999997</v>
      </c>
      <c r="J3006" s="31">
        <f>SUM(J2996:J2999)</f>
        <v>2215036.9299999997</v>
      </c>
      <c r="K3006" s="38" t="s">
        <v>4667</v>
      </c>
      <c r="L3006" s="119"/>
      <c r="M3006" s="12"/>
      <c r="N3006" s="9"/>
      <c r="O3006" s="9"/>
      <c r="P3006" s="9"/>
      <c r="Q3006" s="9"/>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c r="AS3006" s="9"/>
      <c r="AT3006" s="9"/>
      <c r="AU3006" s="9"/>
      <c r="AV3006" s="9"/>
      <c r="AW3006" s="9"/>
      <c r="AX3006" s="9"/>
      <c r="AY3006" s="9"/>
      <c r="AZ3006" s="9"/>
      <c r="BA3006" s="9"/>
      <c r="BB3006" s="9"/>
      <c r="BC3006" s="9"/>
      <c r="BD3006" s="9"/>
      <c r="BE3006" s="9"/>
      <c r="BF3006" s="9"/>
      <c r="BG3006" s="9"/>
      <c r="BH3006" s="9"/>
    </row>
    <row r="3007" spans="1:60" s="4" customFormat="1" ht="14.25" customHeight="1" x14ac:dyDescent="0.25">
      <c r="A3007" s="9"/>
      <c r="B3007" s="9"/>
      <c r="D3007" s="90"/>
      <c r="E3007" s="29" t="s">
        <v>5015</v>
      </c>
      <c r="F3007" s="30"/>
      <c r="G3007" s="30"/>
      <c r="H3007" s="26"/>
      <c r="I3007" s="31">
        <f>SUM(I3000:I3006)</f>
        <v>20529098.41</v>
      </c>
      <c r="J3007" s="31">
        <f>SUM(J3000:J3006)</f>
        <v>14294993.58</v>
      </c>
      <c r="K3007" s="38" t="s">
        <v>4667</v>
      </c>
      <c r="L3007" s="119"/>
      <c r="M3007" s="12"/>
      <c r="N3007" s="9"/>
      <c r="O3007" s="9"/>
      <c r="P3007" s="9"/>
      <c r="Q3007" s="9"/>
      <c r="R3007" s="9"/>
      <c r="S3007" s="9"/>
      <c r="T3007" s="9"/>
      <c r="U3007" s="9"/>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c r="AS3007" s="9"/>
      <c r="AT3007" s="9"/>
      <c r="AU3007" s="9"/>
      <c r="AV3007" s="9"/>
      <c r="AW3007" s="9"/>
      <c r="AX3007" s="9"/>
      <c r="AY3007" s="9"/>
      <c r="AZ3007" s="9"/>
      <c r="BA3007" s="9"/>
      <c r="BB3007" s="9"/>
      <c r="BC3007" s="9"/>
      <c r="BD3007" s="9"/>
      <c r="BE3007" s="9"/>
      <c r="BF3007" s="9"/>
      <c r="BG3007" s="9"/>
      <c r="BH3007" s="9"/>
    </row>
    <row r="3008" spans="1:60" s="4" customFormat="1" ht="14.25" customHeight="1" x14ac:dyDescent="0.25">
      <c r="A3008" s="9"/>
      <c r="B3008" s="9"/>
      <c r="D3008" s="90"/>
      <c r="E3008" s="15"/>
      <c r="F3008" s="11"/>
      <c r="G3008" s="11"/>
      <c r="H3008" s="9"/>
      <c r="I3008" s="16"/>
      <c r="J3008" s="16"/>
      <c r="K3008" s="112"/>
      <c r="L3008" s="121"/>
      <c r="M3008" s="12"/>
      <c r="N3008" s="9"/>
      <c r="O3008" s="9"/>
      <c r="P3008" s="9"/>
      <c r="Q3008" s="9"/>
      <c r="R3008" s="9"/>
      <c r="S3008" s="9"/>
      <c r="T3008" s="9"/>
      <c r="U3008" s="9"/>
      <c r="V3008" s="9"/>
      <c r="W3008" s="9"/>
      <c r="X3008" s="9"/>
      <c r="Y3008" s="9"/>
      <c r="Z3008" s="9"/>
      <c r="AA3008" s="9"/>
      <c r="AB3008" s="9"/>
      <c r="AC3008" s="9"/>
      <c r="AD3008" s="9"/>
      <c r="AE3008" s="9"/>
      <c r="AF3008" s="9"/>
      <c r="AG3008" s="9"/>
      <c r="AH3008" s="9"/>
      <c r="AI3008" s="9"/>
      <c r="AJ3008" s="9"/>
      <c r="AK3008" s="9"/>
      <c r="AL3008" s="9"/>
      <c r="AM3008" s="9"/>
      <c r="AN3008" s="9"/>
      <c r="AO3008" s="9"/>
      <c r="AP3008" s="9"/>
      <c r="AQ3008" s="9"/>
      <c r="AR3008" s="9"/>
      <c r="AS3008" s="9"/>
      <c r="AT3008" s="9"/>
      <c r="AU3008" s="9"/>
      <c r="AV3008" s="9"/>
      <c r="AW3008" s="9"/>
      <c r="AX3008" s="9"/>
      <c r="AY3008" s="9"/>
      <c r="AZ3008" s="9"/>
      <c r="BA3008" s="9"/>
      <c r="BB3008" s="9"/>
      <c r="BC3008" s="9"/>
      <c r="BD3008" s="9"/>
      <c r="BE3008" s="9"/>
      <c r="BF3008" s="9"/>
      <c r="BG3008" s="9"/>
      <c r="BH3008" s="9"/>
    </row>
    <row r="3009" spans="1:13" s="4" customFormat="1" ht="14.25" customHeight="1" x14ac:dyDescent="0.25">
      <c r="A3009" s="4" t="s">
        <v>5016</v>
      </c>
      <c r="B3009" s="4" t="s">
        <v>13</v>
      </c>
      <c r="C3009" s="4" t="s">
        <v>14</v>
      </c>
      <c r="D3009" s="35">
        <v>4004</v>
      </c>
      <c r="E3009" s="4" t="s">
        <v>5017</v>
      </c>
      <c r="F3009" s="5">
        <v>39479</v>
      </c>
      <c r="G3009" s="5">
        <v>39537</v>
      </c>
      <c r="H3009" s="4" t="s">
        <v>16</v>
      </c>
      <c r="I3009" s="6">
        <v>13000</v>
      </c>
      <c r="J3009" s="6">
        <v>3900</v>
      </c>
      <c r="K3009" s="37" t="s">
        <v>5018</v>
      </c>
      <c r="L3009" s="119"/>
      <c r="M3009" s="3"/>
    </row>
    <row r="3010" spans="1:13" s="4" customFormat="1" ht="14.25" customHeight="1" x14ac:dyDescent="0.25">
      <c r="A3010" s="4" t="s">
        <v>5019</v>
      </c>
      <c r="B3010" s="4" t="s">
        <v>13</v>
      </c>
      <c r="C3010" s="4" t="s">
        <v>14</v>
      </c>
      <c r="D3010" s="35">
        <v>4005</v>
      </c>
      <c r="E3010" s="4" t="s">
        <v>5020</v>
      </c>
      <c r="F3010" s="5">
        <v>39406</v>
      </c>
      <c r="G3010" s="5">
        <v>39689</v>
      </c>
      <c r="H3010" s="4" t="s">
        <v>16</v>
      </c>
      <c r="I3010" s="6">
        <v>33378.92</v>
      </c>
      <c r="J3010" s="6">
        <v>9000</v>
      </c>
      <c r="K3010" s="37" t="s">
        <v>5018</v>
      </c>
      <c r="L3010" s="119"/>
      <c r="M3010" s="3"/>
    </row>
    <row r="3011" spans="1:13" s="4" customFormat="1" ht="14.25" customHeight="1" x14ac:dyDescent="0.25">
      <c r="A3011" s="4" t="s">
        <v>5021</v>
      </c>
      <c r="B3011" s="4" t="s">
        <v>13</v>
      </c>
      <c r="C3011" s="4" t="s">
        <v>14</v>
      </c>
      <c r="D3011" s="35">
        <v>4006</v>
      </c>
      <c r="E3011" s="4" t="s">
        <v>5022</v>
      </c>
      <c r="F3011" s="5">
        <v>39370</v>
      </c>
      <c r="G3011" s="5">
        <v>39689</v>
      </c>
      <c r="H3011" s="4" t="s">
        <v>16</v>
      </c>
      <c r="I3011" s="6">
        <v>70375</v>
      </c>
      <c r="J3011" s="6">
        <v>21112.5</v>
      </c>
      <c r="K3011" s="37" t="s">
        <v>5018</v>
      </c>
      <c r="L3011" s="119"/>
      <c r="M3011" s="3"/>
    </row>
    <row r="3012" spans="1:13" s="4" customFormat="1" ht="14.25" customHeight="1" x14ac:dyDescent="0.25">
      <c r="A3012" s="4" t="s">
        <v>5023</v>
      </c>
      <c r="B3012" s="4" t="s">
        <v>13</v>
      </c>
      <c r="C3012" s="4" t="s">
        <v>14</v>
      </c>
      <c r="D3012" s="35">
        <v>4007</v>
      </c>
      <c r="E3012" s="4" t="s">
        <v>5024</v>
      </c>
      <c r="F3012" s="5">
        <v>39342</v>
      </c>
      <c r="G3012" s="5">
        <v>39476</v>
      </c>
      <c r="H3012" s="4" t="s">
        <v>16</v>
      </c>
      <c r="I3012" s="6">
        <v>24325</v>
      </c>
      <c r="J3012" s="6">
        <v>7297.5</v>
      </c>
      <c r="K3012" s="37" t="s">
        <v>5018</v>
      </c>
      <c r="L3012" s="119"/>
      <c r="M3012" s="3"/>
    </row>
    <row r="3013" spans="1:13" s="4" customFormat="1" ht="14.25" customHeight="1" x14ac:dyDescent="0.25">
      <c r="A3013" s="4" t="s">
        <v>5025</v>
      </c>
      <c r="B3013" s="4" t="s">
        <v>13</v>
      </c>
      <c r="C3013" s="4" t="s">
        <v>14</v>
      </c>
      <c r="D3013" s="35">
        <v>4008</v>
      </c>
      <c r="E3013" s="4" t="s">
        <v>5024</v>
      </c>
      <c r="F3013" s="5">
        <v>39330</v>
      </c>
      <c r="G3013" s="5">
        <v>39507</v>
      </c>
      <c r="H3013" s="4" t="s">
        <v>16</v>
      </c>
      <c r="I3013" s="6">
        <v>23975</v>
      </c>
      <c r="J3013" s="6">
        <v>7192.5</v>
      </c>
      <c r="K3013" s="37" t="s">
        <v>5018</v>
      </c>
      <c r="L3013" s="119"/>
      <c r="M3013" s="3"/>
    </row>
    <row r="3014" spans="1:13" s="4" customFormat="1" ht="14.25" customHeight="1" x14ac:dyDescent="0.25">
      <c r="A3014" s="4" t="s">
        <v>5026</v>
      </c>
      <c r="B3014" s="4" t="s">
        <v>13</v>
      </c>
      <c r="C3014" s="4" t="s">
        <v>14</v>
      </c>
      <c r="D3014" s="35">
        <v>4012</v>
      </c>
      <c r="E3014" s="4" t="s">
        <v>5027</v>
      </c>
      <c r="F3014" s="5">
        <v>39183</v>
      </c>
      <c r="G3014" s="5">
        <v>39290</v>
      </c>
      <c r="H3014" s="4" t="s">
        <v>16</v>
      </c>
      <c r="I3014" s="6">
        <v>74950</v>
      </c>
      <c r="J3014" s="6">
        <v>21423</v>
      </c>
      <c r="K3014" s="37" t="s">
        <v>5018</v>
      </c>
      <c r="L3014" s="119"/>
      <c r="M3014" s="3"/>
    </row>
    <row r="3015" spans="1:13" s="4" customFormat="1" ht="14.25" customHeight="1" x14ac:dyDescent="0.25">
      <c r="A3015" s="4" t="s">
        <v>5023</v>
      </c>
      <c r="B3015" s="4" t="s">
        <v>13</v>
      </c>
      <c r="C3015" s="4" t="s">
        <v>14</v>
      </c>
      <c r="D3015" s="35">
        <v>4013</v>
      </c>
      <c r="E3015" s="4" t="s">
        <v>5028</v>
      </c>
      <c r="F3015" s="5">
        <v>39342</v>
      </c>
      <c r="G3015" s="5">
        <v>39476</v>
      </c>
      <c r="H3015" s="4" t="s">
        <v>16</v>
      </c>
      <c r="I3015" s="6">
        <v>5890.65</v>
      </c>
      <c r="J3015" s="6">
        <v>960</v>
      </c>
      <c r="K3015" s="37" t="s">
        <v>5018</v>
      </c>
      <c r="L3015" s="119"/>
      <c r="M3015" s="3"/>
    </row>
    <row r="3016" spans="1:13" s="4" customFormat="1" ht="14.25" customHeight="1" x14ac:dyDescent="0.25">
      <c r="A3016" s="4" t="s">
        <v>5029</v>
      </c>
      <c r="B3016" s="4" t="s">
        <v>13</v>
      </c>
      <c r="C3016" s="4" t="s">
        <v>14</v>
      </c>
      <c r="D3016" s="35">
        <v>4014</v>
      </c>
      <c r="E3016" s="4" t="s">
        <v>5030</v>
      </c>
      <c r="F3016" s="5">
        <v>39507</v>
      </c>
      <c r="G3016" s="5">
        <v>39689</v>
      </c>
      <c r="H3016" s="4" t="s">
        <v>16</v>
      </c>
      <c r="I3016" s="6">
        <v>5300</v>
      </c>
      <c r="J3016" s="6">
        <v>1367</v>
      </c>
      <c r="K3016" s="37" t="s">
        <v>5018</v>
      </c>
      <c r="L3016" s="119"/>
      <c r="M3016" s="3"/>
    </row>
    <row r="3017" spans="1:13" s="4" customFormat="1" ht="14.25" customHeight="1" x14ac:dyDescent="0.25">
      <c r="A3017" s="4" t="s">
        <v>5019</v>
      </c>
      <c r="B3017" s="4" t="s">
        <v>13</v>
      </c>
      <c r="C3017" s="4" t="s">
        <v>14</v>
      </c>
      <c r="D3017" s="35">
        <v>4015</v>
      </c>
      <c r="E3017" s="4" t="s">
        <v>5031</v>
      </c>
      <c r="F3017" s="5">
        <v>39821</v>
      </c>
      <c r="G3017" s="5">
        <v>39903</v>
      </c>
      <c r="H3017" s="4" t="s">
        <v>16</v>
      </c>
      <c r="I3017" s="6">
        <v>8512.5</v>
      </c>
      <c r="J3017" s="6">
        <v>2250</v>
      </c>
      <c r="K3017" s="37" t="s">
        <v>5018</v>
      </c>
      <c r="L3017" s="119"/>
      <c r="M3017" s="3"/>
    </row>
    <row r="3018" spans="1:13" s="4" customFormat="1" ht="14.25" customHeight="1" x14ac:dyDescent="0.25">
      <c r="A3018" s="4" t="s">
        <v>5032</v>
      </c>
      <c r="B3018" s="4" t="s">
        <v>13</v>
      </c>
      <c r="C3018" s="4" t="s">
        <v>14</v>
      </c>
      <c r="D3018" s="35">
        <v>4017</v>
      </c>
      <c r="E3018" s="4" t="s">
        <v>5024</v>
      </c>
      <c r="F3018" s="5">
        <v>39342</v>
      </c>
      <c r="G3018" s="5">
        <v>39791</v>
      </c>
      <c r="H3018" s="4" t="s">
        <v>16</v>
      </c>
      <c r="I3018" s="6">
        <v>36105</v>
      </c>
      <c r="J3018" s="6">
        <v>9750</v>
      </c>
      <c r="K3018" s="37" t="s">
        <v>5018</v>
      </c>
      <c r="L3018" s="119"/>
      <c r="M3018" s="3"/>
    </row>
    <row r="3019" spans="1:13" s="4" customFormat="1" ht="14.25" customHeight="1" x14ac:dyDescent="0.25">
      <c r="A3019" s="4" t="s">
        <v>5033</v>
      </c>
      <c r="B3019" s="4" t="s">
        <v>13</v>
      </c>
      <c r="C3019" s="4" t="s">
        <v>14</v>
      </c>
      <c r="D3019" s="35">
        <v>4018</v>
      </c>
      <c r="E3019" s="4" t="s">
        <v>5034</v>
      </c>
      <c r="F3019" s="5">
        <v>39357</v>
      </c>
      <c r="G3019" s="5">
        <v>39721</v>
      </c>
      <c r="H3019" s="4" t="s">
        <v>16</v>
      </c>
      <c r="I3019" s="6">
        <v>106953.4</v>
      </c>
      <c r="J3019" s="6">
        <v>30000</v>
      </c>
      <c r="K3019" s="37" t="s">
        <v>5018</v>
      </c>
      <c r="L3019" s="119"/>
      <c r="M3019" s="3"/>
    </row>
    <row r="3020" spans="1:13" s="4" customFormat="1" ht="14.25" customHeight="1" x14ac:dyDescent="0.25">
      <c r="A3020" s="4" t="s">
        <v>5035</v>
      </c>
      <c r="B3020" s="4" t="s">
        <v>13</v>
      </c>
      <c r="C3020" s="4" t="s">
        <v>14</v>
      </c>
      <c r="D3020" s="35">
        <v>4019</v>
      </c>
      <c r="E3020" s="4" t="s">
        <v>5036</v>
      </c>
      <c r="F3020" s="5">
        <v>39415</v>
      </c>
      <c r="G3020" s="5">
        <v>39660</v>
      </c>
      <c r="H3020" s="4" t="s">
        <v>16</v>
      </c>
      <c r="I3020" s="6">
        <v>20828</v>
      </c>
      <c r="J3020" s="6">
        <v>6184</v>
      </c>
      <c r="K3020" s="37" t="s">
        <v>5018</v>
      </c>
      <c r="L3020" s="119"/>
      <c r="M3020" s="3"/>
    </row>
    <row r="3021" spans="1:13" s="4" customFormat="1" ht="14.25" customHeight="1" x14ac:dyDescent="0.25">
      <c r="A3021" s="4" t="s">
        <v>5037</v>
      </c>
      <c r="B3021" s="4" t="s">
        <v>13</v>
      </c>
      <c r="C3021" s="4" t="s">
        <v>14</v>
      </c>
      <c r="D3021" s="35">
        <v>4020</v>
      </c>
      <c r="E3021" s="4" t="s">
        <v>5038</v>
      </c>
      <c r="F3021" s="5">
        <v>39332</v>
      </c>
      <c r="G3021" s="5">
        <v>39569</v>
      </c>
      <c r="H3021" s="4" t="s">
        <v>16</v>
      </c>
      <c r="I3021" s="6">
        <v>906524.38</v>
      </c>
      <c r="J3021" s="6">
        <v>189528</v>
      </c>
      <c r="K3021" s="37" t="s">
        <v>5018</v>
      </c>
      <c r="L3021" s="119"/>
      <c r="M3021" s="3"/>
    </row>
    <row r="3022" spans="1:13" s="4" customFormat="1" ht="14.25" customHeight="1" x14ac:dyDescent="0.25">
      <c r="A3022" s="4" t="s">
        <v>5039</v>
      </c>
      <c r="B3022" s="4" t="s">
        <v>13</v>
      </c>
      <c r="C3022" s="4" t="s">
        <v>14</v>
      </c>
      <c r="D3022" s="35">
        <v>4021</v>
      </c>
      <c r="E3022" s="4" t="s">
        <v>5040</v>
      </c>
      <c r="F3022" s="5">
        <v>39671</v>
      </c>
      <c r="G3022" s="5">
        <v>39752</v>
      </c>
      <c r="H3022" s="4" t="s">
        <v>16</v>
      </c>
      <c r="I3022" s="6">
        <v>89872.92</v>
      </c>
      <c r="J3022" s="6">
        <v>16500</v>
      </c>
      <c r="K3022" s="37" t="s">
        <v>5018</v>
      </c>
      <c r="L3022" s="119"/>
      <c r="M3022" s="3"/>
    </row>
    <row r="3023" spans="1:13" s="4" customFormat="1" ht="14.25" customHeight="1" x14ac:dyDescent="0.25">
      <c r="A3023" s="4" t="s">
        <v>5041</v>
      </c>
      <c r="B3023" s="4" t="s">
        <v>13</v>
      </c>
      <c r="C3023" s="4" t="s">
        <v>14</v>
      </c>
      <c r="D3023" s="35">
        <v>4022</v>
      </c>
      <c r="E3023" s="4" t="s">
        <v>5042</v>
      </c>
      <c r="F3023" s="5">
        <v>39825</v>
      </c>
      <c r="G3023" s="5">
        <v>40140</v>
      </c>
      <c r="H3023" s="4" t="s">
        <v>16</v>
      </c>
      <c r="I3023" s="6">
        <v>27022.03</v>
      </c>
      <c r="J3023" s="6">
        <v>8106.61</v>
      </c>
      <c r="K3023" s="37" t="s">
        <v>5018</v>
      </c>
      <c r="L3023" s="119"/>
      <c r="M3023" s="3"/>
    </row>
    <row r="3024" spans="1:13" s="4" customFormat="1" ht="14.25" customHeight="1" x14ac:dyDescent="0.25">
      <c r="A3024" s="4" t="s">
        <v>5043</v>
      </c>
      <c r="B3024" s="4" t="s">
        <v>13</v>
      </c>
      <c r="C3024" s="4" t="s">
        <v>14</v>
      </c>
      <c r="D3024" s="35">
        <v>4023</v>
      </c>
      <c r="E3024" s="4" t="s">
        <v>5044</v>
      </c>
      <c r="F3024" s="5">
        <v>40017</v>
      </c>
      <c r="G3024" s="5">
        <v>40170</v>
      </c>
      <c r="H3024" s="4" t="s">
        <v>16</v>
      </c>
      <c r="I3024" s="6">
        <v>4520</v>
      </c>
      <c r="J3024" s="6">
        <v>1340</v>
      </c>
      <c r="K3024" s="37" t="s">
        <v>5018</v>
      </c>
      <c r="L3024" s="119"/>
      <c r="M3024" s="3"/>
    </row>
    <row r="3025" spans="1:13" s="4" customFormat="1" ht="14.25" customHeight="1" x14ac:dyDescent="0.25">
      <c r="A3025" s="4" t="s">
        <v>5045</v>
      </c>
      <c r="B3025" s="4" t="s">
        <v>13</v>
      </c>
      <c r="C3025" s="4" t="s">
        <v>14</v>
      </c>
      <c r="D3025" s="35">
        <v>4025</v>
      </c>
      <c r="E3025" s="4" t="s">
        <v>5046</v>
      </c>
      <c r="F3025" s="5">
        <v>39770</v>
      </c>
      <c r="G3025" s="5">
        <v>39871</v>
      </c>
      <c r="H3025" s="4" t="s">
        <v>16</v>
      </c>
      <c r="I3025" s="6">
        <v>15000</v>
      </c>
      <c r="J3025" s="6">
        <v>4320</v>
      </c>
      <c r="K3025" s="37" t="s">
        <v>5018</v>
      </c>
      <c r="L3025" s="119"/>
      <c r="M3025" s="3"/>
    </row>
    <row r="3026" spans="1:13" s="4" customFormat="1" ht="14.25" customHeight="1" x14ac:dyDescent="0.25">
      <c r="A3026" s="4" t="s">
        <v>5035</v>
      </c>
      <c r="B3026" s="4" t="s">
        <v>13</v>
      </c>
      <c r="C3026" s="4" t="s">
        <v>14</v>
      </c>
      <c r="D3026" s="35">
        <v>4026</v>
      </c>
      <c r="E3026" s="4" t="s">
        <v>5047</v>
      </c>
      <c r="F3026" s="5">
        <v>39415</v>
      </c>
      <c r="G3026" s="5">
        <v>39660</v>
      </c>
      <c r="H3026" s="4" t="s">
        <v>16</v>
      </c>
      <c r="I3026" s="6">
        <v>8025</v>
      </c>
      <c r="J3026" s="6">
        <v>2408</v>
      </c>
      <c r="K3026" s="37" t="s">
        <v>5018</v>
      </c>
      <c r="L3026" s="119"/>
      <c r="M3026" s="3"/>
    </row>
    <row r="3027" spans="1:13" s="4" customFormat="1" ht="14.25" customHeight="1" x14ac:dyDescent="0.25">
      <c r="A3027" s="4" t="s">
        <v>5032</v>
      </c>
      <c r="B3027" s="4" t="s">
        <v>13</v>
      </c>
      <c r="C3027" s="4" t="s">
        <v>14</v>
      </c>
      <c r="D3027" s="35">
        <v>4028</v>
      </c>
      <c r="E3027" s="4" t="s">
        <v>5048</v>
      </c>
      <c r="F3027" s="5">
        <v>39352</v>
      </c>
      <c r="G3027" s="5">
        <v>39791</v>
      </c>
      <c r="H3027" s="4" t="s">
        <v>16</v>
      </c>
      <c r="I3027" s="6">
        <v>4800</v>
      </c>
      <c r="J3027" s="6">
        <v>1440</v>
      </c>
      <c r="K3027" s="37" t="s">
        <v>5018</v>
      </c>
      <c r="L3027" s="119"/>
      <c r="M3027" s="3"/>
    </row>
    <row r="3028" spans="1:13" s="4" customFormat="1" ht="14.25" customHeight="1" x14ac:dyDescent="0.25">
      <c r="A3028" s="4" t="s">
        <v>5049</v>
      </c>
      <c r="B3028" s="4" t="s">
        <v>13</v>
      </c>
      <c r="C3028" s="4" t="s">
        <v>14</v>
      </c>
      <c r="D3028" s="35">
        <v>4032</v>
      </c>
      <c r="E3028" s="4" t="s">
        <v>5050</v>
      </c>
      <c r="F3028" s="5">
        <v>39825</v>
      </c>
      <c r="G3028" s="5">
        <v>39903</v>
      </c>
      <c r="H3028" s="4" t="s">
        <v>16</v>
      </c>
      <c r="I3028" s="6">
        <v>5200</v>
      </c>
      <c r="J3028" s="6">
        <v>1560</v>
      </c>
      <c r="K3028" s="37" t="s">
        <v>5018</v>
      </c>
      <c r="L3028" s="119"/>
      <c r="M3028" s="3"/>
    </row>
    <row r="3029" spans="1:13" s="4" customFormat="1" ht="14.25" customHeight="1" x14ac:dyDescent="0.25">
      <c r="A3029" s="4" t="s">
        <v>4685</v>
      </c>
      <c r="B3029" s="4" t="s">
        <v>13</v>
      </c>
      <c r="C3029" s="4" t="s">
        <v>14</v>
      </c>
      <c r="D3029" s="35">
        <v>4034</v>
      </c>
      <c r="E3029" s="4" t="s">
        <v>5051</v>
      </c>
      <c r="F3029" s="5">
        <v>39972</v>
      </c>
      <c r="G3029" s="5">
        <v>40162</v>
      </c>
      <c r="H3029" s="4" t="s">
        <v>16</v>
      </c>
      <c r="I3029" s="6">
        <v>16422</v>
      </c>
      <c r="J3029" s="6">
        <v>4800</v>
      </c>
      <c r="K3029" s="37" t="s">
        <v>5018</v>
      </c>
      <c r="L3029" s="119"/>
      <c r="M3029" s="3"/>
    </row>
    <row r="3030" spans="1:13" s="4" customFormat="1" ht="14.25" customHeight="1" x14ac:dyDescent="0.25">
      <c r="A3030" s="4" t="s">
        <v>5052</v>
      </c>
      <c r="B3030" s="4" t="s">
        <v>13</v>
      </c>
      <c r="C3030" s="4" t="s">
        <v>14</v>
      </c>
      <c r="D3030" s="35">
        <v>9467</v>
      </c>
      <c r="E3030" s="4" t="s">
        <v>5053</v>
      </c>
      <c r="F3030" s="5">
        <v>39406</v>
      </c>
      <c r="G3030" s="5">
        <v>39660</v>
      </c>
      <c r="H3030" s="4" t="s">
        <v>16</v>
      </c>
      <c r="I3030" s="6">
        <v>40450</v>
      </c>
      <c r="J3030" s="6">
        <v>10613</v>
      </c>
      <c r="K3030" s="37" t="s">
        <v>5018</v>
      </c>
      <c r="L3030" s="119"/>
      <c r="M3030" s="3"/>
    </row>
    <row r="3031" spans="1:13" s="4" customFormat="1" ht="14.25" customHeight="1" x14ac:dyDescent="0.25">
      <c r="A3031" s="4" t="s">
        <v>5054</v>
      </c>
      <c r="B3031" s="4" t="s">
        <v>13</v>
      </c>
      <c r="C3031" s="4" t="s">
        <v>14</v>
      </c>
      <c r="D3031" s="35">
        <v>9884</v>
      </c>
      <c r="E3031" s="4" t="s">
        <v>5055</v>
      </c>
      <c r="F3031" s="5">
        <v>40289</v>
      </c>
      <c r="G3031" s="5">
        <v>40466</v>
      </c>
      <c r="H3031" s="4" t="s">
        <v>16</v>
      </c>
      <c r="I3031" s="6">
        <v>4845.8100000000004</v>
      </c>
      <c r="J3031" s="6">
        <v>1453.74</v>
      </c>
      <c r="K3031" s="37" t="s">
        <v>5018</v>
      </c>
      <c r="L3031" s="119"/>
      <c r="M3031" s="3"/>
    </row>
    <row r="3032" spans="1:13" s="4" customFormat="1" ht="14.25" customHeight="1" x14ac:dyDescent="0.25">
      <c r="A3032" s="4" t="s">
        <v>5056</v>
      </c>
      <c r="B3032" s="4" t="s">
        <v>13</v>
      </c>
      <c r="C3032" s="4" t="s">
        <v>14</v>
      </c>
      <c r="D3032" s="35">
        <v>9895</v>
      </c>
      <c r="E3032" s="4" t="s">
        <v>5057</v>
      </c>
      <c r="F3032" s="5">
        <v>40504</v>
      </c>
      <c r="G3032" s="5">
        <v>40598</v>
      </c>
      <c r="H3032" s="4" t="s">
        <v>16</v>
      </c>
      <c r="I3032" s="6">
        <v>33000</v>
      </c>
      <c r="J3032" s="6">
        <v>13200</v>
      </c>
      <c r="K3032" s="37" t="s">
        <v>5018</v>
      </c>
      <c r="L3032" s="119"/>
      <c r="M3032" s="3"/>
    </row>
    <row r="3033" spans="1:13" s="4" customFormat="1" ht="14.25" customHeight="1" x14ac:dyDescent="0.25">
      <c r="A3033" s="4" t="s">
        <v>5058</v>
      </c>
      <c r="B3033" s="4" t="s">
        <v>13</v>
      </c>
      <c r="C3033" s="4" t="s">
        <v>14</v>
      </c>
      <c r="D3033" s="35">
        <v>9944</v>
      </c>
      <c r="E3033" s="4" t="s">
        <v>5059</v>
      </c>
      <c r="F3033" s="5">
        <v>40204</v>
      </c>
      <c r="G3033" s="5">
        <v>40364</v>
      </c>
      <c r="H3033" s="4" t="s">
        <v>16</v>
      </c>
      <c r="I3033" s="6">
        <v>67700</v>
      </c>
      <c r="J3033" s="6">
        <v>20190</v>
      </c>
      <c r="K3033" s="37" t="s">
        <v>5018</v>
      </c>
      <c r="L3033" s="119"/>
      <c r="M3033" s="3"/>
    </row>
    <row r="3034" spans="1:13" s="4" customFormat="1" ht="14.25" customHeight="1" x14ac:dyDescent="0.25">
      <c r="A3034" s="4" t="s">
        <v>5060</v>
      </c>
      <c r="B3034" s="4" t="s">
        <v>13</v>
      </c>
      <c r="C3034" s="4" t="s">
        <v>14</v>
      </c>
      <c r="D3034" s="35">
        <v>9953</v>
      </c>
      <c r="E3034" s="4" t="s">
        <v>5061</v>
      </c>
      <c r="F3034" s="5">
        <v>40486</v>
      </c>
      <c r="G3034" s="5">
        <v>40598</v>
      </c>
      <c r="H3034" s="4" t="s">
        <v>16</v>
      </c>
      <c r="I3034" s="6">
        <v>5500</v>
      </c>
      <c r="J3034" s="6">
        <v>1248</v>
      </c>
      <c r="K3034" s="37" t="s">
        <v>5018</v>
      </c>
      <c r="L3034" s="119"/>
      <c r="M3034" s="3"/>
    </row>
    <row r="3035" spans="1:13" s="4" customFormat="1" ht="14.25" customHeight="1" x14ac:dyDescent="0.25">
      <c r="A3035" s="4" t="s">
        <v>5062</v>
      </c>
      <c r="B3035" s="4" t="s">
        <v>13</v>
      </c>
      <c r="C3035" s="4" t="s">
        <v>14</v>
      </c>
      <c r="D3035" s="35">
        <v>9957</v>
      </c>
      <c r="E3035" s="4" t="s">
        <v>5063</v>
      </c>
      <c r="F3035" s="5">
        <v>40526</v>
      </c>
      <c r="G3035" s="5">
        <v>40673</v>
      </c>
      <c r="H3035" s="4" t="s">
        <v>16</v>
      </c>
      <c r="I3035" s="6">
        <v>9226.43</v>
      </c>
      <c r="J3035" s="6">
        <v>2597.7600000000002</v>
      </c>
      <c r="K3035" s="37" t="s">
        <v>5018</v>
      </c>
      <c r="L3035" s="119"/>
      <c r="M3035" s="3"/>
    </row>
    <row r="3036" spans="1:13" s="4" customFormat="1" ht="14.25" customHeight="1" x14ac:dyDescent="0.25">
      <c r="A3036" s="4" t="s">
        <v>5064</v>
      </c>
      <c r="B3036" s="4" t="s">
        <v>13</v>
      </c>
      <c r="C3036" s="4" t="s">
        <v>14</v>
      </c>
      <c r="D3036" s="35">
        <v>9993</v>
      </c>
      <c r="E3036" s="4" t="s">
        <v>5065</v>
      </c>
      <c r="F3036" s="5">
        <v>40424</v>
      </c>
      <c r="G3036" s="5">
        <v>40583</v>
      </c>
      <c r="H3036" s="4" t="s">
        <v>16</v>
      </c>
      <c r="I3036" s="6">
        <v>13204.41</v>
      </c>
      <c r="J3036" s="6">
        <v>3961.32</v>
      </c>
      <c r="K3036" s="37" t="s">
        <v>5018</v>
      </c>
      <c r="L3036" s="119"/>
      <c r="M3036" s="3"/>
    </row>
    <row r="3037" spans="1:13" s="4" customFormat="1" ht="14.25" customHeight="1" x14ac:dyDescent="0.25">
      <c r="A3037" s="4" t="s">
        <v>5066</v>
      </c>
      <c r="B3037" s="4" t="s">
        <v>13</v>
      </c>
      <c r="C3037" s="4" t="s">
        <v>14</v>
      </c>
      <c r="D3037" s="35">
        <v>10032</v>
      </c>
      <c r="E3037" s="7" t="s">
        <v>5067</v>
      </c>
      <c r="F3037" s="5">
        <v>40428</v>
      </c>
      <c r="G3037" s="5">
        <v>40535</v>
      </c>
      <c r="H3037" s="4" t="s">
        <v>392</v>
      </c>
      <c r="I3037" s="6">
        <v>264000</v>
      </c>
      <c r="J3037" s="6">
        <v>66000</v>
      </c>
      <c r="K3037" s="37" t="s">
        <v>5018</v>
      </c>
      <c r="L3037" s="119"/>
      <c r="M3037" s="3"/>
    </row>
    <row r="3038" spans="1:13" s="4" customFormat="1" ht="14.25" customHeight="1" x14ac:dyDescent="0.25">
      <c r="A3038" s="4" t="s">
        <v>5068</v>
      </c>
      <c r="B3038" s="4" t="s">
        <v>59</v>
      </c>
      <c r="C3038" s="4" t="s">
        <v>14</v>
      </c>
      <c r="D3038" s="35">
        <v>1484</v>
      </c>
      <c r="E3038" s="4" t="s">
        <v>5069</v>
      </c>
      <c r="F3038" s="5">
        <v>39164</v>
      </c>
      <c r="G3038" s="5">
        <v>39530</v>
      </c>
      <c r="H3038" s="4" t="s">
        <v>40</v>
      </c>
      <c r="I3038" s="6">
        <v>5000</v>
      </c>
      <c r="J3038" s="6">
        <v>5000</v>
      </c>
      <c r="K3038" s="37" t="s">
        <v>5018</v>
      </c>
      <c r="L3038" s="119"/>
      <c r="M3038" s="3"/>
    </row>
    <row r="3039" spans="1:13" s="4" customFormat="1" ht="14.25" customHeight="1" x14ac:dyDescent="0.25">
      <c r="A3039" s="4" t="s">
        <v>5070</v>
      </c>
      <c r="B3039" s="4" t="s">
        <v>59</v>
      </c>
      <c r="C3039" s="4" t="s">
        <v>14</v>
      </c>
      <c r="D3039" s="35">
        <v>1518</v>
      </c>
      <c r="E3039" s="4" t="s">
        <v>5071</v>
      </c>
      <c r="F3039" s="5">
        <v>39202</v>
      </c>
      <c r="G3039" s="5">
        <v>39568</v>
      </c>
      <c r="H3039" s="4" t="s">
        <v>40</v>
      </c>
      <c r="I3039" s="6">
        <v>5000</v>
      </c>
      <c r="J3039" s="6">
        <v>5000</v>
      </c>
      <c r="K3039" s="37" t="s">
        <v>5018</v>
      </c>
      <c r="L3039" s="119"/>
      <c r="M3039" s="3"/>
    </row>
    <row r="3040" spans="1:13" s="4" customFormat="1" ht="14.25" customHeight="1" x14ac:dyDescent="0.25">
      <c r="A3040" s="4" t="s">
        <v>5072</v>
      </c>
      <c r="B3040" s="4" t="s">
        <v>59</v>
      </c>
      <c r="C3040" s="4" t="s">
        <v>14</v>
      </c>
      <c r="D3040" s="35">
        <v>1526</v>
      </c>
      <c r="E3040" s="4" t="s">
        <v>5073</v>
      </c>
      <c r="F3040" s="5">
        <v>39202</v>
      </c>
      <c r="G3040" s="5">
        <v>39568</v>
      </c>
      <c r="H3040" s="4" t="s">
        <v>40</v>
      </c>
      <c r="I3040" s="6">
        <v>5000</v>
      </c>
      <c r="J3040" s="6">
        <v>5000</v>
      </c>
      <c r="K3040" s="37" t="s">
        <v>5018</v>
      </c>
      <c r="L3040" s="119"/>
      <c r="M3040" s="3"/>
    </row>
    <row r="3041" spans="1:13" s="4" customFormat="1" ht="14.25" customHeight="1" x14ac:dyDescent="0.25">
      <c r="A3041" s="4" t="s">
        <v>5074</v>
      </c>
      <c r="B3041" s="4" t="s">
        <v>59</v>
      </c>
      <c r="C3041" s="4" t="s">
        <v>14</v>
      </c>
      <c r="D3041" s="35">
        <v>1529</v>
      </c>
      <c r="E3041" s="4" t="s">
        <v>5075</v>
      </c>
      <c r="F3041" s="5">
        <v>39202</v>
      </c>
      <c r="G3041" s="5">
        <v>39568</v>
      </c>
      <c r="H3041" s="4" t="s">
        <v>40</v>
      </c>
      <c r="I3041" s="6">
        <v>5000</v>
      </c>
      <c r="J3041" s="6">
        <v>5000</v>
      </c>
      <c r="K3041" s="37" t="s">
        <v>5018</v>
      </c>
      <c r="L3041" s="119"/>
      <c r="M3041" s="3"/>
    </row>
    <row r="3042" spans="1:13" s="4" customFormat="1" ht="14.25" customHeight="1" x14ac:dyDescent="0.25">
      <c r="A3042" s="4" t="s">
        <v>5076</v>
      </c>
      <c r="B3042" s="4" t="s">
        <v>90</v>
      </c>
      <c r="C3042" s="4" t="s">
        <v>14</v>
      </c>
      <c r="D3042" s="35">
        <v>1535</v>
      </c>
      <c r="E3042" s="4" t="s">
        <v>5077</v>
      </c>
      <c r="F3042" s="5">
        <v>39164</v>
      </c>
      <c r="G3042" s="5">
        <v>39530</v>
      </c>
      <c r="H3042" s="4" t="s">
        <v>40</v>
      </c>
      <c r="I3042" s="6">
        <v>10000</v>
      </c>
      <c r="J3042" s="6">
        <v>5000</v>
      </c>
      <c r="K3042" s="37" t="s">
        <v>5018</v>
      </c>
      <c r="L3042" s="119"/>
      <c r="M3042" s="3"/>
    </row>
    <row r="3043" spans="1:13" s="4" customFormat="1" ht="14.25" customHeight="1" x14ac:dyDescent="0.25">
      <c r="A3043" s="4" t="s">
        <v>5078</v>
      </c>
      <c r="B3043" s="4" t="s">
        <v>50</v>
      </c>
      <c r="C3043" s="4" t="s">
        <v>14</v>
      </c>
      <c r="D3043" s="35">
        <v>1558</v>
      </c>
      <c r="E3043" s="4" t="s">
        <v>5079</v>
      </c>
      <c r="F3043" s="5">
        <v>39258</v>
      </c>
      <c r="G3043" s="5">
        <v>39624</v>
      </c>
      <c r="H3043" s="4" t="s">
        <v>40</v>
      </c>
      <c r="I3043" s="6">
        <v>23754</v>
      </c>
      <c r="J3043" s="6">
        <v>11877</v>
      </c>
      <c r="K3043" s="37" t="s">
        <v>5018</v>
      </c>
      <c r="L3043" s="119"/>
      <c r="M3043" s="3"/>
    </row>
    <row r="3044" spans="1:13" s="4" customFormat="1" ht="14.25" customHeight="1" x14ac:dyDescent="0.25">
      <c r="A3044" s="4" t="s">
        <v>5080</v>
      </c>
      <c r="B3044" s="4" t="s">
        <v>59</v>
      </c>
      <c r="C3044" s="4" t="s">
        <v>14</v>
      </c>
      <c r="D3044" s="35">
        <v>1560</v>
      </c>
      <c r="E3044" s="4" t="s">
        <v>5081</v>
      </c>
      <c r="F3044" s="5">
        <v>39202</v>
      </c>
      <c r="G3044" s="5">
        <v>39568</v>
      </c>
      <c r="H3044" s="4" t="s">
        <v>40</v>
      </c>
      <c r="I3044" s="6">
        <v>3125</v>
      </c>
      <c r="J3044" s="6">
        <v>3125</v>
      </c>
      <c r="K3044" s="37" t="s">
        <v>5018</v>
      </c>
      <c r="L3044" s="119"/>
      <c r="M3044" s="3"/>
    </row>
    <row r="3045" spans="1:13" s="4" customFormat="1" ht="14.25" customHeight="1" x14ac:dyDescent="0.25">
      <c r="A3045" s="4" t="s">
        <v>5082</v>
      </c>
      <c r="B3045" s="4" t="s">
        <v>50</v>
      </c>
      <c r="C3045" s="4" t="s">
        <v>14</v>
      </c>
      <c r="D3045" s="35">
        <v>1565</v>
      </c>
      <c r="E3045" s="4" t="s">
        <v>5083</v>
      </c>
      <c r="F3045" s="5">
        <v>39202</v>
      </c>
      <c r="G3045" s="5">
        <v>39568</v>
      </c>
      <c r="H3045" s="4" t="s">
        <v>40</v>
      </c>
      <c r="I3045" s="6">
        <v>18477.84</v>
      </c>
      <c r="J3045" s="6">
        <v>9238.92</v>
      </c>
      <c r="K3045" s="37" t="s">
        <v>5018</v>
      </c>
      <c r="L3045" s="119"/>
      <c r="M3045" s="3"/>
    </row>
    <row r="3046" spans="1:13" s="4" customFormat="1" ht="14.25" customHeight="1" x14ac:dyDescent="0.25">
      <c r="A3046" s="4" t="s">
        <v>5084</v>
      </c>
      <c r="B3046" s="4" t="s">
        <v>59</v>
      </c>
      <c r="C3046" s="4" t="s">
        <v>14</v>
      </c>
      <c r="D3046" s="35">
        <v>1568</v>
      </c>
      <c r="E3046" s="4" t="s">
        <v>5085</v>
      </c>
      <c r="F3046" s="5">
        <v>39202</v>
      </c>
      <c r="G3046" s="5">
        <v>39568</v>
      </c>
      <c r="H3046" s="4" t="s">
        <v>40</v>
      </c>
      <c r="I3046" s="6">
        <v>2500</v>
      </c>
      <c r="J3046" s="6">
        <v>2500</v>
      </c>
      <c r="K3046" s="37" t="s">
        <v>5018</v>
      </c>
      <c r="L3046" s="119"/>
      <c r="M3046" s="3"/>
    </row>
    <row r="3047" spans="1:13" s="4" customFormat="1" ht="14.25" customHeight="1" x14ac:dyDescent="0.25">
      <c r="A3047" s="4" t="s">
        <v>5086</v>
      </c>
      <c r="B3047" s="4" t="s">
        <v>59</v>
      </c>
      <c r="C3047" s="4" t="s">
        <v>14</v>
      </c>
      <c r="D3047" s="35">
        <v>1570</v>
      </c>
      <c r="E3047" s="4" t="s">
        <v>5087</v>
      </c>
      <c r="F3047" s="5">
        <v>39377</v>
      </c>
      <c r="G3047" s="5">
        <v>39743</v>
      </c>
      <c r="H3047" s="4" t="s">
        <v>40</v>
      </c>
      <c r="I3047" s="6">
        <v>5000</v>
      </c>
      <c r="J3047" s="6">
        <v>5000</v>
      </c>
      <c r="K3047" s="37" t="s">
        <v>5018</v>
      </c>
      <c r="L3047" s="119"/>
      <c r="M3047" s="3"/>
    </row>
    <row r="3048" spans="1:13" s="4" customFormat="1" ht="14.25" customHeight="1" x14ac:dyDescent="0.25">
      <c r="A3048" s="4" t="s">
        <v>5090</v>
      </c>
      <c r="B3048" s="4" t="s">
        <v>59</v>
      </c>
      <c r="C3048" s="4" t="s">
        <v>14</v>
      </c>
      <c r="D3048" s="35">
        <v>1580</v>
      </c>
      <c r="E3048" s="4" t="s">
        <v>5091</v>
      </c>
      <c r="F3048" s="5">
        <v>39335</v>
      </c>
      <c r="G3048" s="5">
        <v>39701</v>
      </c>
      <c r="H3048" s="4" t="s">
        <v>40</v>
      </c>
      <c r="I3048" s="6">
        <v>5000</v>
      </c>
      <c r="J3048" s="6">
        <v>5000</v>
      </c>
      <c r="K3048" s="37" t="s">
        <v>5018</v>
      </c>
      <c r="L3048" s="119"/>
      <c r="M3048" s="3"/>
    </row>
    <row r="3049" spans="1:13" s="4" customFormat="1" ht="14.25" customHeight="1" x14ac:dyDescent="0.25">
      <c r="A3049" s="4" t="s">
        <v>5092</v>
      </c>
      <c r="B3049" s="4" t="s">
        <v>50</v>
      </c>
      <c r="C3049" s="4" t="s">
        <v>14</v>
      </c>
      <c r="D3049" s="35">
        <v>1583</v>
      </c>
      <c r="E3049" s="4" t="s">
        <v>5093</v>
      </c>
      <c r="F3049" s="5">
        <v>39258</v>
      </c>
      <c r="G3049" s="5">
        <v>39624</v>
      </c>
      <c r="H3049" s="4" t="s">
        <v>40</v>
      </c>
      <c r="I3049" s="6">
        <v>38400</v>
      </c>
      <c r="J3049" s="6">
        <v>19200</v>
      </c>
      <c r="K3049" s="37" t="s">
        <v>5018</v>
      </c>
      <c r="L3049" s="119"/>
      <c r="M3049" s="3"/>
    </row>
    <row r="3050" spans="1:13" s="4" customFormat="1" ht="14.25" customHeight="1" x14ac:dyDescent="0.25">
      <c r="A3050" s="4" t="s">
        <v>5094</v>
      </c>
      <c r="B3050" s="4" t="s">
        <v>90</v>
      </c>
      <c r="C3050" s="4" t="s">
        <v>14</v>
      </c>
      <c r="D3050" s="35">
        <v>1587</v>
      </c>
      <c r="E3050" s="4" t="s">
        <v>5095</v>
      </c>
      <c r="F3050" s="5">
        <v>39335</v>
      </c>
      <c r="G3050" s="5">
        <v>39701</v>
      </c>
      <c r="H3050" s="4" t="s">
        <v>40</v>
      </c>
      <c r="I3050" s="6">
        <v>5896</v>
      </c>
      <c r="J3050" s="6">
        <v>2948</v>
      </c>
      <c r="K3050" s="37" t="s">
        <v>5018</v>
      </c>
      <c r="L3050" s="119"/>
      <c r="M3050" s="3"/>
    </row>
    <row r="3051" spans="1:13" s="4" customFormat="1" ht="14.25" customHeight="1" x14ac:dyDescent="0.25">
      <c r="A3051" s="4" t="s">
        <v>5096</v>
      </c>
      <c r="B3051" s="4" t="s">
        <v>50</v>
      </c>
      <c r="C3051" s="4" t="s">
        <v>14</v>
      </c>
      <c r="D3051" s="35">
        <v>1588</v>
      </c>
      <c r="E3051" s="4" t="s">
        <v>5097</v>
      </c>
      <c r="F3051" s="5">
        <v>39258</v>
      </c>
      <c r="G3051" s="5">
        <v>39624</v>
      </c>
      <c r="H3051" s="4" t="s">
        <v>40</v>
      </c>
      <c r="I3051" s="6">
        <v>10006</v>
      </c>
      <c r="J3051" s="6">
        <v>5003</v>
      </c>
      <c r="K3051" s="37" t="s">
        <v>5018</v>
      </c>
      <c r="L3051" s="119"/>
      <c r="M3051" s="3"/>
    </row>
    <row r="3052" spans="1:13" s="4" customFormat="1" ht="14.25" customHeight="1" x14ac:dyDescent="0.25">
      <c r="A3052" s="4" t="s">
        <v>5098</v>
      </c>
      <c r="B3052" s="4" t="s">
        <v>59</v>
      </c>
      <c r="C3052" s="4" t="s">
        <v>14</v>
      </c>
      <c r="D3052" s="35">
        <v>1591</v>
      </c>
      <c r="E3052" s="4" t="s">
        <v>5099</v>
      </c>
      <c r="F3052" s="5">
        <v>39258</v>
      </c>
      <c r="G3052" s="5">
        <v>39716</v>
      </c>
      <c r="H3052" s="4" t="s">
        <v>40</v>
      </c>
      <c r="I3052" s="6">
        <v>7500</v>
      </c>
      <c r="J3052" s="6">
        <v>7500</v>
      </c>
      <c r="K3052" s="37" t="s">
        <v>5018</v>
      </c>
      <c r="L3052" s="119"/>
      <c r="M3052" s="3"/>
    </row>
    <row r="3053" spans="1:13" s="4" customFormat="1" ht="14.25" customHeight="1" x14ac:dyDescent="0.25">
      <c r="A3053" s="4" t="s">
        <v>5100</v>
      </c>
      <c r="B3053" s="4" t="s">
        <v>59</v>
      </c>
      <c r="C3053" s="4" t="s">
        <v>14</v>
      </c>
      <c r="D3053" s="35">
        <v>1596</v>
      </c>
      <c r="E3053" s="4" t="s">
        <v>5101</v>
      </c>
      <c r="F3053" s="5">
        <v>39335</v>
      </c>
      <c r="G3053" s="5">
        <v>39701</v>
      </c>
      <c r="H3053" s="4" t="s">
        <v>40</v>
      </c>
      <c r="I3053" s="6">
        <v>5000</v>
      </c>
      <c r="J3053" s="6">
        <v>5000</v>
      </c>
      <c r="K3053" s="37" t="s">
        <v>5018</v>
      </c>
      <c r="L3053" s="119"/>
      <c r="M3053" s="3"/>
    </row>
    <row r="3054" spans="1:13" s="4" customFormat="1" ht="14.25" customHeight="1" x14ac:dyDescent="0.25">
      <c r="A3054" s="4" t="s">
        <v>5102</v>
      </c>
      <c r="B3054" s="4" t="s">
        <v>59</v>
      </c>
      <c r="C3054" s="4" t="s">
        <v>14</v>
      </c>
      <c r="D3054" s="35">
        <v>1598</v>
      </c>
      <c r="E3054" s="4" t="s">
        <v>5103</v>
      </c>
      <c r="F3054" s="5">
        <v>39377</v>
      </c>
      <c r="G3054" s="5">
        <v>39743</v>
      </c>
      <c r="H3054" s="4" t="s">
        <v>40</v>
      </c>
      <c r="I3054" s="6">
        <v>5000</v>
      </c>
      <c r="J3054" s="6">
        <v>5000</v>
      </c>
      <c r="K3054" s="37" t="s">
        <v>5018</v>
      </c>
      <c r="L3054" s="119"/>
      <c r="M3054" s="3"/>
    </row>
    <row r="3055" spans="1:13" s="4" customFormat="1" ht="14.25" customHeight="1" x14ac:dyDescent="0.25">
      <c r="A3055" s="4" t="s">
        <v>5104</v>
      </c>
      <c r="B3055" s="4" t="s">
        <v>50</v>
      </c>
      <c r="C3055" s="4" t="s">
        <v>14</v>
      </c>
      <c r="D3055" s="35">
        <v>1602</v>
      </c>
      <c r="E3055" s="4" t="s">
        <v>5105</v>
      </c>
      <c r="F3055" s="5">
        <v>39335</v>
      </c>
      <c r="G3055" s="5">
        <v>39701</v>
      </c>
      <c r="H3055" s="4" t="s">
        <v>40</v>
      </c>
      <c r="I3055" s="6">
        <v>49200</v>
      </c>
      <c r="J3055" s="6">
        <v>24600</v>
      </c>
      <c r="K3055" s="37" t="s">
        <v>5018</v>
      </c>
      <c r="L3055" s="119"/>
      <c r="M3055" s="3"/>
    </row>
    <row r="3056" spans="1:13" s="4" customFormat="1" ht="14.25" customHeight="1" x14ac:dyDescent="0.25">
      <c r="A3056" s="4" t="s">
        <v>5106</v>
      </c>
      <c r="B3056" s="4" t="s">
        <v>59</v>
      </c>
      <c r="C3056" s="4" t="s">
        <v>14</v>
      </c>
      <c r="D3056" s="35">
        <v>1604</v>
      </c>
      <c r="E3056" s="4" t="s">
        <v>5107</v>
      </c>
      <c r="F3056" s="5">
        <v>39428</v>
      </c>
      <c r="G3056" s="5">
        <v>39794</v>
      </c>
      <c r="H3056" s="4" t="s">
        <v>40</v>
      </c>
      <c r="I3056" s="6">
        <v>2500</v>
      </c>
      <c r="J3056" s="6">
        <v>2500</v>
      </c>
      <c r="K3056" s="37" t="s">
        <v>5018</v>
      </c>
      <c r="L3056" s="119"/>
      <c r="M3056" s="3"/>
    </row>
    <row r="3057" spans="1:13" s="4" customFormat="1" ht="14.25" customHeight="1" x14ac:dyDescent="0.25">
      <c r="A3057" s="4" t="s">
        <v>5108</v>
      </c>
      <c r="B3057" s="4" t="s">
        <v>59</v>
      </c>
      <c r="C3057" s="4" t="s">
        <v>14</v>
      </c>
      <c r="D3057" s="35">
        <v>1607</v>
      </c>
      <c r="E3057" s="4" t="s">
        <v>5109</v>
      </c>
      <c r="F3057" s="5">
        <v>39428</v>
      </c>
      <c r="G3057" s="5">
        <v>39794</v>
      </c>
      <c r="H3057" s="4" t="s">
        <v>40</v>
      </c>
      <c r="I3057" s="6">
        <v>5000</v>
      </c>
      <c r="J3057" s="6">
        <v>5000</v>
      </c>
      <c r="K3057" s="37" t="s">
        <v>5018</v>
      </c>
      <c r="L3057" s="119"/>
      <c r="M3057" s="3"/>
    </row>
    <row r="3058" spans="1:13" s="4" customFormat="1" ht="14.25" customHeight="1" x14ac:dyDescent="0.25">
      <c r="A3058" s="4" t="s">
        <v>5110</v>
      </c>
      <c r="B3058" s="4" t="s">
        <v>59</v>
      </c>
      <c r="C3058" s="4" t="s">
        <v>14</v>
      </c>
      <c r="D3058" s="35">
        <v>1608</v>
      </c>
      <c r="E3058" s="4" t="s">
        <v>5111</v>
      </c>
      <c r="F3058" s="5">
        <v>39428</v>
      </c>
      <c r="G3058" s="5">
        <v>39794</v>
      </c>
      <c r="H3058" s="4" t="s">
        <v>40</v>
      </c>
      <c r="I3058" s="6">
        <v>10000</v>
      </c>
      <c r="J3058" s="6">
        <v>10000</v>
      </c>
      <c r="K3058" s="37" t="s">
        <v>5018</v>
      </c>
      <c r="L3058" s="119"/>
      <c r="M3058" s="3"/>
    </row>
    <row r="3059" spans="1:13" s="4" customFormat="1" ht="14.25" customHeight="1" x14ac:dyDescent="0.25">
      <c r="A3059" s="4" t="s">
        <v>5112</v>
      </c>
      <c r="B3059" s="4" t="s">
        <v>59</v>
      </c>
      <c r="C3059" s="4" t="s">
        <v>14</v>
      </c>
      <c r="D3059" s="35">
        <v>1610</v>
      </c>
      <c r="E3059" s="4" t="s">
        <v>5113</v>
      </c>
      <c r="F3059" s="5">
        <v>39552</v>
      </c>
      <c r="G3059" s="5">
        <v>39917</v>
      </c>
      <c r="H3059" s="4" t="s">
        <v>40</v>
      </c>
      <c r="I3059" s="6">
        <v>5000</v>
      </c>
      <c r="J3059" s="6">
        <v>5000</v>
      </c>
      <c r="K3059" s="37" t="s">
        <v>5018</v>
      </c>
      <c r="L3059" s="119"/>
      <c r="M3059" s="3"/>
    </row>
    <row r="3060" spans="1:13" s="4" customFormat="1" ht="14.25" customHeight="1" x14ac:dyDescent="0.25">
      <c r="A3060" s="4" t="s">
        <v>5114</v>
      </c>
      <c r="B3060" s="4" t="s">
        <v>59</v>
      </c>
      <c r="C3060" s="4" t="s">
        <v>14</v>
      </c>
      <c r="D3060" s="35">
        <v>1611</v>
      </c>
      <c r="E3060" s="4" t="s">
        <v>5115</v>
      </c>
      <c r="F3060" s="5">
        <v>39503</v>
      </c>
      <c r="G3060" s="5">
        <v>39869</v>
      </c>
      <c r="H3060" s="4" t="s">
        <v>40</v>
      </c>
      <c r="I3060" s="6">
        <v>5000</v>
      </c>
      <c r="J3060" s="6">
        <v>5000</v>
      </c>
      <c r="K3060" s="37" t="s">
        <v>5018</v>
      </c>
      <c r="L3060" s="119"/>
      <c r="M3060" s="3"/>
    </row>
    <row r="3061" spans="1:13" s="4" customFormat="1" ht="14.25" customHeight="1" x14ac:dyDescent="0.25">
      <c r="A3061" s="4" t="s">
        <v>5116</v>
      </c>
      <c r="B3061" s="4" t="s">
        <v>50</v>
      </c>
      <c r="C3061" s="4" t="s">
        <v>14</v>
      </c>
      <c r="D3061" s="35">
        <v>1612</v>
      </c>
      <c r="E3061" s="4" t="s">
        <v>5117</v>
      </c>
      <c r="F3061" s="5">
        <v>39202</v>
      </c>
      <c r="G3061" s="5">
        <v>39598</v>
      </c>
      <c r="H3061" s="4" t="s">
        <v>40</v>
      </c>
      <c r="I3061" s="6">
        <v>24292</v>
      </c>
      <c r="J3061" s="6">
        <v>12146</v>
      </c>
      <c r="K3061" s="37" t="s">
        <v>5018</v>
      </c>
      <c r="L3061" s="119"/>
      <c r="M3061" s="3"/>
    </row>
    <row r="3062" spans="1:13" s="4" customFormat="1" ht="14.25" customHeight="1" x14ac:dyDescent="0.25">
      <c r="A3062" s="4" t="s">
        <v>5118</v>
      </c>
      <c r="B3062" s="4" t="s">
        <v>59</v>
      </c>
      <c r="C3062" s="4" t="s">
        <v>14</v>
      </c>
      <c r="D3062" s="35">
        <v>1613</v>
      </c>
      <c r="E3062" s="4" t="s">
        <v>5119</v>
      </c>
      <c r="F3062" s="5">
        <v>39428</v>
      </c>
      <c r="G3062" s="5">
        <v>39794</v>
      </c>
      <c r="H3062" s="4" t="s">
        <v>40</v>
      </c>
      <c r="I3062" s="6">
        <v>1250</v>
      </c>
      <c r="J3062" s="6">
        <v>1250</v>
      </c>
      <c r="K3062" s="37" t="s">
        <v>5018</v>
      </c>
      <c r="L3062" s="119"/>
      <c r="M3062" s="3"/>
    </row>
    <row r="3063" spans="1:13" s="4" customFormat="1" ht="14.25" customHeight="1" x14ac:dyDescent="0.25">
      <c r="A3063" s="4" t="s">
        <v>5120</v>
      </c>
      <c r="B3063" s="4" t="s">
        <v>59</v>
      </c>
      <c r="C3063" s="4" t="s">
        <v>14</v>
      </c>
      <c r="D3063" s="35">
        <v>1615</v>
      </c>
      <c r="E3063" s="4" t="s">
        <v>5121</v>
      </c>
      <c r="F3063" s="5">
        <v>39594</v>
      </c>
      <c r="G3063" s="5">
        <v>39959</v>
      </c>
      <c r="H3063" s="4" t="s">
        <v>40</v>
      </c>
      <c r="I3063" s="6">
        <v>5000</v>
      </c>
      <c r="J3063" s="6">
        <v>5000</v>
      </c>
      <c r="K3063" s="37" t="s">
        <v>5018</v>
      </c>
      <c r="L3063" s="119"/>
      <c r="M3063" s="3"/>
    </row>
    <row r="3064" spans="1:13" s="4" customFormat="1" ht="14.25" customHeight="1" x14ac:dyDescent="0.25">
      <c r="A3064" s="4" t="s">
        <v>5122</v>
      </c>
      <c r="B3064" s="4" t="s">
        <v>59</v>
      </c>
      <c r="C3064" s="4" t="s">
        <v>14</v>
      </c>
      <c r="D3064" s="35">
        <v>1616</v>
      </c>
      <c r="E3064" s="4" t="s">
        <v>5123</v>
      </c>
      <c r="F3064" s="5">
        <v>39503</v>
      </c>
      <c r="G3064" s="5">
        <v>39869</v>
      </c>
      <c r="H3064" s="4" t="s">
        <v>40</v>
      </c>
      <c r="I3064" s="6">
        <v>5000</v>
      </c>
      <c r="J3064" s="6">
        <v>5000</v>
      </c>
      <c r="K3064" s="37" t="s">
        <v>5018</v>
      </c>
      <c r="L3064" s="119"/>
      <c r="M3064" s="3"/>
    </row>
    <row r="3065" spans="1:13" s="4" customFormat="1" ht="14.25" customHeight="1" x14ac:dyDescent="0.25">
      <c r="A3065" s="4" t="s">
        <v>5124</v>
      </c>
      <c r="B3065" s="4" t="s">
        <v>90</v>
      </c>
      <c r="C3065" s="4" t="s">
        <v>14</v>
      </c>
      <c r="D3065" s="35">
        <v>1617</v>
      </c>
      <c r="E3065" s="4" t="s">
        <v>5125</v>
      </c>
      <c r="F3065" s="5">
        <v>39428</v>
      </c>
      <c r="G3065" s="5">
        <v>39794</v>
      </c>
      <c r="H3065" s="4" t="s">
        <v>40</v>
      </c>
      <c r="I3065" s="6">
        <v>10000</v>
      </c>
      <c r="J3065" s="6">
        <v>5000</v>
      </c>
      <c r="K3065" s="37" t="s">
        <v>5018</v>
      </c>
      <c r="L3065" s="119"/>
      <c r="M3065" s="3"/>
    </row>
    <row r="3066" spans="1:13" s="4" customFormat="1" ht="14.25" customHeight="1" x14ac:dyDescent="0.25">
      <c r="A3066" s="4" t="s">
        <v>5126</v>
      </c>
      <c r="B3066" s="4" t="s">
        <v>50</v>
      </c>
      <c r="C3066" s="4" t="s">
        <v>14</v>
      </c>
      <c r="D3066" s="35">
        <v>1618</v>
      </c>
      <c r="E3066" s="4" t="s">
        <v>5127</v>
      </c>
      <c r="F3066" s="5">
        <v>39448</v>
      </c>
      <c r="G3066" s="5">
        <v>39814</v>
      </c>
      <c r="H3066" s="4" t="s">
        <v>40</v>
      </c>
      <c r="I3066" s="6">
        <v>150000</v>
      </c>
      <c r="J3066" s="6">
        <v>75000</v>
      </c>
      <c r="K3066" s="37" t="s">
        <v>5018</v>
      </c>
      <c r="L3066" s="119"/>
      <c r="M3066" s="3"/>
    </row>
    <row r="3067" spans="1:13" s="4" customFormat="1" ht="14.25" customHeight="1" x14ac:dyDescent="0.25">
      <c r="A3067" s="4" t="s">
        <v>5128</v>
      </c>
      <c r="B3067" s="4" t="s">
        <v>50</v>
      </c>
      <c r="C3067" s="4" t="s">
        <v>14</v>
      </c>
      <c r="D3067" s="35">
        <v>1621</v>
      </c>
      <c r="E3067" s="4" t="s">
        <v>5129</v>
      </c>
      <c r="F3067" s="5">
        <v>39503</v>
      </c>
      <c r="G3067" s="5">
        <v>39994</v>
      </c>
      <c r="H3067" s="4" t="s">
        <v>40</v>
      </c>
      <c r="I3067" s="6">
        <v>15000</v>
      </c>
      <c r="J3067" s="6">
        <v>7500</v>
      </c>
      <c r="K3067" s="37" t="s">
        <v>5018</v>
      </c>
      <c r="L3067" s="119"/>
      <c r="M3067" s="3"/>
    </row>
    <row r="3068" spans="1:13" s="4" customFormat="1" ht="14.25" customHeight="1" x14ac:dyDescent="0.25">
      <c r="A3068" s="4" t="s">
        <v>5130</v>
      </c>
      <c r="B3068" s="4" t="s">
        <v>90</v>
      </c>
      <c r="C3068" s="4" t="s">
        <v>14</v>
      </c>
      <c r="D3068" s="35">
        <v>1623</v>
      </c>
      <c r="E3068" s="4" t="s">
        <v>5131</v>
      </c>
      <c r="F3068" s="5">
        <v>39636</v>
      </c>
      <c r="G3068" s="5">
        <v>40001</v>
      </c>
      <c r="H3068" s="4" t="s">
        <v>40</v>
      </c>
      <c r="I3068" s="6">
        <v>10000</v>
      </c>
      <c r="J3068" s="6">
        <v>5000</v>
      </c>
      <c r="K3068" s="37" t="s">
        <v>5018</v>
      </c>
      <c r="L3068" s="119"/>
      <c r="M3068" s="3"/>
    </row>
    <row r="3069" spans="1:13" s="4" customFormat="1" ht="14.25" customHeight="1" x14ac:dyDescent="0.25">
      <c r="A3069" s="4" t="s">
        <v>5132</v>
      </c>
      <c r="B3069" s="4" t="s">
        <v>90</v>
      </c>
      <c r="C3069" s="4" t="s">
        <v>14</v>
      </c>
      <c r="D3069" s="35">
        <v>1625</v>
      </c>
      <c r="E3069" s="4" t="s">
        <v>5133</v>
      </c>
      <c r="F3069" s="5">
        <v>39503</v>
      </c>
      <c r="G3069" s="5">
        <v>39869</v>
      </c>
      <c r="H3069" s="4" t="s">
        <v>40</v>
      </c>
      <c r="I3069" s="6">
        <v>6190</v>
      </c>
      <c r="J3069" s="6">
        <v>3095</v>
      </c>
      <c r="K3069" s="37" t="s">
        <v>5018</v>
      </c>
      <c r="L3069" s="119"/>
      <c r="M3069" s="3"/>
    </row>
    <row r="3070" spans="1:13" s="4" customFormat="1" ht="14.25" customHeight="1" x14ac:dyDescent="0.25">
      <c r="A3070" s="4" t="s">
        <v>5110</v>
      </c>
      <c r="B3070" s="4" t="s">
        <v>59</v>
      </c>
      <c r="C3070" s="4" t="s">
        <v>14</v>
      </c>
      <c r="D3070" s="35">
        <v>1626</v>
      </c>
      <c r="E3070" s="4" t="s">
        <v>5134</v>
      </c>
      <c r="F3070" s="5">
        <v>39713</v>
      </c>
      <c r="G3070" s="5">
        <v>40078</v>
      </c>
      <c r="H3070" s="4" t="s">
        <v>40</v>
      </c>
      <c r="I3070" s="6">
        <v>5000</v>
      </c>
      <c r="J3070" s="6">
        <v>5000</v>
      </c>
      <c r="K3070" s="37" t="s">
        <v>5018</v>
      </c>
      <c r="L3070" s="119"/>
      <c r="M3070" s="3"/>
    </row>
    <row r="3071" spans="1:13" s="4" customFormat="1" ht="14.25" customHeight="1" x14ac:dyDescent="0.25">
      <c r="A3071" s="4" t="s">
        <v>5135</v>
      </c>
      <c r="B3071" s="4" t="s">
        <v>59</v>
      </c>
      <c r="C3071" s="4" t="s">
        <v>14</v>
      </c>
      <c r="D3071" s="35">
        <v>1627</v>
      </c>
      <c r="E3071" s="4" t="s">
        <v>5136</v>
      </c>
      <c r="F3071" s="5">
        <v>39713</v>
      </c>
      <c r="G3071" s="5">
        <v>40078</v>
      </c>
      <c r="H3071" s="4" t="s">
        <v>40</v>
      </c>
      <c r="I3071" s="6">
        <v>5000</v>
      </c>
      <c r="J3071" s="6">
        <v>5000</v>
      </c>
      <c r="K3071" s="37" t="s">
        <v>5018</v>
      </c>
      <c r="L3071" s="119"/>
      <c r="M3071" s="3"/>
    </row>
    <row r="3072" spans="1:13" s="4" customFormat="1" ht="14.25" customHeight="1" x14ac:dyDescent="0.25">
      <c r="A3072" s="4" t="s">
        <v>5137</v>
      </c>
      <c r="B3072" s="4" t="s">
        <v>59</v>
      </c>
      <c r="C3072" s="4" t="s">
        <v>14</v>
      </c>
      <c r="D3072" s="35">
        <v>1628</v>
      </c>
      <c r="E3072" s="4" t="s">
        <v>5138</v>
      </c>
      <c r="F3072" s="5">
        <v>39636</v>
      </c>
      <c r="G3072" s="5">
        <v>40001</v>
      </c>
      <c r="H3072" s="4" t="s">
        <v>40</v>
      </c>
      <c r="I3072" s="6">
        <v>10000</v>
      </c>
      <c r="J3072" s="6">
        <v>10000</v>
      </c>
      <c r="K3072" s="37" t="s">
        <v>5018</v>
      </c>
      <c r="L3072" s="119"/>
      <c r="M3072" s="3"/>
    </row>
    <row r="3073" spans="1:14" s="4" customFormat="1" ht="14.25" customHeight="1" x14ac:dyDescent="0.25">
      <c r="A3073" s="4" t="s">
        <v>5139</v>
      </c>
      <c r="B3073" s="4" t="s">
        <v>59</v>
      </c>
      <c r="C3073" s="4" t="s">
        <v>14</v>
      </c>
      <c r="D3073" s="35">
        <v>1629</v>
      </c>
      <c r="E3073" s="4" t="s">
        <v>5140</v>
      </c>
      <c r="F3073" s="5">
        <v>39552</v>
      </c>
      <c r="G3073" s="5">
        <v>39917</v>
      </c>
      <c r="H3073" s="4" t="s">
        <v>40</v>
      </c>
      <c r="I3073" s="6">
        <v>5000</v>
      </c>
      <c r="J3073" s="6">
        <v>5000</v>
      </c>
      <c r="K3073" s="37" t="s">
        <v>5018</v>
      </c>
      <c r="L3073" s="119"/>
      <c r="M3073" s="3"/>
    </row>
    <row r="3074" spans="1:14" s="4" customFormat="1" ht="14.25" customHeight="1" x14ac:dyDescent="0.25">
      <c r="A3074" s="4" t="s">
        <v>5143</v>
      </c>
      <c r="B3074" s="4" t="s">
        <v>90</v>
      </c>
      <c r="C3074" s="4" t="s">
        <v>14</v>
      </c>
      <c r="D3074" s="35">
        <v>1632</v>
      </c>
      <c r="E3074" s="4" t="s">
        <v>5144</v>
      </c>
      <c r="F3074" s="5">
        <v>39552</v>
      </c>
      <c r="G3074" s="5">
        <v>39917</v>
      </c>
      <c r="H3074" s="4" t="s">
        <v>40</v>
      </c>
      <c r="I3074" s="6">
        <v>10000</v>
      </c>
      <c r="J3074" s="6">
        <v>5000</v>
      </c>
      <c r="K3074" s="37" t="s">
        <v>5018</v>
      </c>
      <c r="L3074" s="119"/>
      <c r="M3074" s="3"/>
    </row>
    <row r="3075" spans="1:14" s="4" customFormat="1" ht="14.25" customHeight="1" x14ac:dyDescent="0.25">
      <c r="A3075" s="4" t="s">
        <v>5147</v>
      </c>
      <c r="B3075" s="4" t="s">
        <v>90</v>
      </c>
      <c r="C3075" s="4" t="s">
        <v>14</v>
      </c>
      <c r="D3075" s="35">
        <v>1634</v>
      </c>
      <c r="E3075" s="4" t="s">
        <v>5148</v>
      </c>
      <c r="F3075" s="5">
        <v>39428</v>
      </c>
      <c r="G3075" s="5">
        <v>39794</v>
      </c>
      <c r="H3075" s="4" t="s">
        <v>40</v>
      </c>
      <c r="I3075" s="6">
        <v>7500</v>
      </c>
      <c r="J3075" s="6">
        <v>3750</v>
      </c>
      <c r="K3075" s="37" t="s">
        <v>5018</v>
      </c>
      <c r="L3075" s="119"/>
      <c r="M3075" s="3"/>
    </row>
    <row r="3076" spans="1:14" s="4" customFormat="1" ht="14.25" customHeight="1" x14ac:dyDescent="0.25">
      <c r="A3076" s="4" t="s">
        <v>5149</v>
      </c>
      <c r="B3076" s="4" t="s">
        <v>38</v>
      </c>
      <c r="C3076" s="4" t="s">
        <v>14</v>
      </c>
      <c r="D3076" s="35">
        <v>1639</v>
      </c>
      <c r="E3076" s="4" t="s">
        <v>5150</v>
      </c>
      <c r="F3076" s="5">
        <v>39083</v>
      </c>
      <c r="G3076" s="5">
        <v>39447</v>
      </c>
      <c r="H3076" s="4" t="s">
        <v>40</v>
      </c>
      <c r="I3076" s="6">
        <v>41894.75</v>
      </c>
      <c r="J3076" s="6">
        <v>41894.75</v>
      </c>
      <c r="K3076" s="37" t="s">
        <v>5018</v>
      </c>
      <c r="L3076" s="119"/>
      <c r="M3076" s="3"/>
    </row>
    <row r="3077" spans="1:14" s="4" customFormat="1" ht="14.25" customHeight="1" x14ac:dyDescent="0.25">
      <c r="A3077" s="4" t="s">
        <v>5151</v>
      </c>
      <c r="B3077" s="4" t="s">
        <v>38</v>
      </c>
      <c r="C3077" s="4" t="s">
        <v>14</v>
      </c>
      <c r="D3077" s="35">
        <v>1640</v>
      </c>
      <c r="E3077" s="4" t="s">
        <v>5152</v>
      </c>
      <c r="F3077" s="5">
        <v>39083</v>
      </c>
      <c r="G3077" s="5">
        <v>39447</v>
      </c>
      <c r="H3077" s="4" t="s">
        <v>40</v>
      </c>
      <c r="I3077" s="6">
        <f>82458.72-0.4</f>
        <v>82458.320000000007</v>
      </c>
      <c r="J3077" s="6">
        <v>41229.360000000001</v>
      </c>
      <c r="K3077" s="37" t="s">
        <v>5018</v>
      </c>
      <c r="L3077" s="119"/>
      <c r="M3077" s="3"/>
    </row>
    <row r="3078" spans="1:14" s="4" customFormat="1" ht="14.25" customHeight="1" x14ac:dyDescent="0.25">
      <c r="A3078" s="4" t="s">
        <v>5153</v>
      </c>
      <c r="B3078" s="4" t="s">
        <v>38</v>
      </c>
      <c r="C3078" s="4" t="s">
        <v>14</v>
      </c>
      <c r="D3078" s="35">
        <v>1729</v>
      </c>
      <c r="E3078" s="4" t="s">
        <v>5154</v>
      </c>
      <c r="F3078" s="5">
        <v>39087</v>
      </c>
      <c r="G3078" s="5">
        <v>39447</v>
      </c>
      <c r="H3078" s="4" t="s">
        <v>40</v>
      </c>
      <c r="I3078" s="6">
        <v>83410.179999999993</v>
      </c>
      <c r="J3078" s="6">
        <v>83410.179999999993</v>
      </c>
      <c r="K3078" s="37" t="s">
        <v>5018</v>
      </c>
      <c r="L3078" s="119"/>
      <c r="M3078" s="3"/>
    </row>
    <row r="3079" spans="1:14" s="4" customFormat="1" ht="14.25" customHeight="1" x14ac:dyDescent="0.25">
      <c r="A3079" s="4" t="s">
        <v>5155</v>
      </c>
      <c r="B3079" s="4" t="s">
        <v>38</v>
      </c>
      <c r="C3079" s="4" t="s">
        <v>14</v>
      </c>
      <c r="D3079" s="35">
        <v>1730</v>
      </c>
      <c r="E3079" s="4" t="s">
        <v>5156</v>
      </c>
      <c r="F3079" s="5">
        <v>39083</v>
      </c>
      <c r="G3079" s="5">
        <v>39447</v>
      </c>
      <c r="H3079" s="4" t="s">
        <v>40</v>
      </c>
      <c r="I3079" s="6">
        <v>20971.61</v>
      </c>
      <c r="J3079" s="6">
        <v>20971.61</v>
      </c>
      <c r="K3079" s="37" t="s">
        <v>5018</v>
      </c>
      <c r="L3079" s="119"/>
      <c r="M3079" s="3"/>
    </row>
    <row r="3080" spans="1:14" s="4" customFormat="1" ht="14.25" customHeight="1" x14ac:dyDescent="0.25">
      <c r="A3080" s="4" t="s">
        <v>5157</v>
      </c>
      <c r="B3080" s="4" t="s">
        <v>38</v>
      </c>
      <c r="C3080" s="4" t="s">
        <v>14</v>
      </c>
      <c r="D3080" s="35">
        <v>1731</v>
      </c>
      <c r="E3080" s="4" t="s">
        <v>5158</v>
      </c>
      <c r="F3080" s="5">
        <v>39356</v>
      </c>
      <c r="G3080" s="5">
        <v>39360</v>
      </c>
      <c r="H3080" s="4" t="s">
        <v>40</v>
      </c>
      <c r="I3080" s="6">
        <v>20116.07</v>
      </c>
      <c r="J3080" s="6">
        <v>20116.07</v>
      </c>
      <c r="K3080" s="37" t="s">
        <v>5018</v>
      </c>
      <c r="L3080" s="119"/>
      <c r="M3080" s="3"/>
    </row>
    <row r="3081" spans="1:14" s="4" customFormat="1" ht="14.25" customHeight="1" x14ac:dyDescent="0.25">
      <c r="A3081" s="4" t="s">
        <v>5159</v>
      </c>
      <c r="B3081" s="4" t="s">
        <v>38</v>
      </c>
      <c r="C3081" s="4" t="s">
        <v>14</v>
      </c>
      <c r="D3081" s="35">
        <v>1732</v>
      </c>
      <c r="E3081" s="4" t="s">
        <v>5160</v>
      </c>
      <c r="F3081" s="5">
        <v>39326</v>
      </c>
      <c r="G3081" s="5">
        <v>39328</v>
      </c>
      <c r="H3081" s="4" t="s">
        <v>40</v>
      </c>
      <c r="I3081" s="6">
        <v>3400</v>
      </c>
      <c r="J3081" s="6">
        <v>3400</v>
      </c>
      <c r="K3081" s="37" t="s">
        <v>5018</v>
      </c>
      <c r="L3081" s="119"/>
      <c r="M3081" s="3"/>
    </row>
    <row r="3082" spans="1:14" s="4" customFormat="1" ht="14.25" customHeight="1" x14ac:dyDescent="0.25">
      <c r="A3082" s="4" t="s">
        <v>5161</v>
      </c>
      <c r="B3082" s="4" t="s">
        <v>38</v>
      </c>
      <c r="C3082" s="4" t="s">
        <v>14</v>
      </c>
      <c r="D3082" s="35">
        <v>1733</v>
      </c>
      <c r="E3082" s="4" t="s">
        <v>5162</v>
      </c>
      <c r="F3082" s="5">
        <v>39084</v>
      </c>
      <c r="G3082" s="5">
        <v>39447</v>
      </c>
      <c r="H3082" s="4" t="s">
        <v>40</v>
      </c>
      <c r="I3082" s="6">
        <v>9668.36</v>
      </c>
      <c r="J3082" s="6">
        <v>9668.36</v>
      </c>
      <c r="K3082" s="37" t="s">
        <v>5018</v>
      </c>
      <c r="L3082" s="119"/>
      <c r="M3082" s="3"/>
    </row>
    <row r="3083" spans="1:14" s="4" customFormat="1" ht="14.25" customHeight="1" x14ac:dyDescent="0.25">
      <c r="A3083" s="4" t="s">
        <v>5163</v>
      </c>
      <c r="B3083" s="4" t="s">
        <v>38</v>
      </c>
      <c r="C3083" s="4" t="s">
        <v>14</v>
      </c>
      <c r="D3083" s="35">
        <v>1734</v>
      </c>
      <c r="E3083" s="4" t="s">
        <v>5164</v>
      </c>
      <c r="F3083" s="5">
        <v>39083</v>
      </c>
      <c r="G3083" s="5">
        <v>39447</v>
      </c>
      <c r="H3083" s="4" t="s">
        <v>40</v>
      </c>
      <c r="I3083" s="6">
        <v>2155</v>
      </c>
      <c r="J3083" s="6">
        <v>2155</v>
      </c>
      <c r="K3083" s="37" t="s">
        <v>5018</v>
      </c>
      <c r="L3083" s="119"/>
      <c r="M3083" s="3"/>
    </row>
    <row r="3084" spans="1:14" s="4" customFormat="1" ht="14.25" customHeight="1" x14ac:dyDescent="0.25">
      <c r="A3084" s="4" t="s">
        <v>5165</v>
      </c>
      <c r="B3084" s="4" t="s">
        <v>38</v>
      </c>
      <c r="C3084" s="4" t="s">
        <v>14</v>
      </c>
      <c r="D3084" s="35">
        <v>1822</v>
      </c>
      <c r="E3084" s="4" t="s">
        <v>5166</v>
      </c>
      <c r="F3084" s="5">
        <v>39394</v>
      </c>
      <c r="G3084" s="5">
        <v>39394</v>
      </c>
      <c r="H3084" s="4" t="s">
        <v>40</v>
      </c>
      <c r="I3084" s="6">
        <v>325</v>
      </c>
      <c r="J3084" s="6">
        <v>325</v>
      </c>
      <c r="K3084" s="37" t="s">
        <v>5018</v>
      </c>
      <c r="L3084" s="119"/>
      <c r="M3084" s="3"/>
    </row>
    <row r="3085" spans="1:14" s="4" customFormat="1" ht="14.25" customHeight="1" x14ac:dyDescent="0.25">
      <c r="A3085" s="4" t="s">
        <v>5167</v>
      </c>
      <c r="B3085" s="4" t="s">
        <v>38</v>
      </c>
      <c r="C3085" s="4" t="s">
        <v>14</v>
      </c>
      <c r="D3085" s="35">
        <v>1824</v>
      </c>
      <c r="E3085" s="4" t="s">
        <v>5168</v>
      </c>
      <c r="F3085" s="5">
        <v>39405</v>
      </c>
      <c r="G3085" s="5">
        <v>39405</v>
      </c>
      <c r="H3085" s="4" t="s">
        <v>40</v>
      </c>
      <c r="I3085" s="6">
        <v>450</v>
      </c>
      <c r="J3085" s="6">
        <v>450</v>
      </c>
      <c r="K3085" s="37" t="s">
        <v>5018</v>
      </c>
      <c r="L3085" s="119"/>
      <c r="M3085" s="3"/>
    </row>
    <row r="3086" spans="1:14" s="4" customFormat="1" ht="14.25" customHeight="1" x14ac:dyDescent="0.25">
      <c r="A3086" s="4" t="s">
        <v>5169</v>
      </c>
      <c r="B3086" s="4" t="s">
        <v>38</v>
      </c>
      <c r="C3086" s="4" t="s">
        <v>14</v>
      </c>
      <c r="D3086" s="35">
        <v>1827</v>
      </c>
      <c r="E3086" s="4" t="s">
        <v>5170</v>
      </c>
      <c r="F3086" s="5">
        <v>39401</v>
      </c>
      <c r="G3086" s="5">
        <v>39401</v>
      </c>
      <c r="H3086" s="4" t="s">
        <v>40</v>
      </c>
      <c r="I3086" s="6">
        <v>550</v>
      </c>
      <c r="J3086" s="6">
        <v>550</v>
      </c>
      <c r="K3086" s="37" t="s">
        <v>5018</v>
      </c>
      <c r="L3086" s="119"/>
      <c r="M3086" s="3"/>
    </row>
    <row r="3087" spans="1:14" s="21" customFormat="1" ht="14.25" customHeight="1" x14ac:dyDescent="0.25">
      <c r="A3087" s="21" t="s">
        <v>11630</v>
      </c>
      <c r="B3087" s="4" t="s">
        <v>38</v>
      </c>
      <c r="C3087" s="21" t="s">
        <v>14</v>
      </c>
      <c r="D3087" s="36">
        <v>1829</v>
      </c>
      <c r="E3087" s="4" t="s">
        <v>11631</v>
      </c>
      <c r="F3087" s="22">
        <v>39189</v>
      </c>
      <c r="G3087" s="22">
        <v>39217</v>
      </c>
      <c r="H3087" s="21" t="s">
        <v>40</v>
      </c>
      <c r="I3087" s="23">
        <v>-470</v>
      </c>
      <c r="J3087" s="23">
        <v>-470</v>
      </c>
      <c r="K3087" s="39" t="s">
        <v>5018</v>
      </c>
      <c r="L3087" s="123"/>
      <c r="M3087" s="24"/>
      <c r="N3087" s="24"/>
    </row>
    <row r="3088" spans="1:14" s="4" customFormat="1" ht="14.25" customHeight="1" x14ac:dyDescent="0.25">
      <c r="A3088" s="4" t="s">
        <v>5171</v>
      </c>
      <c r="B3088" s="4" t="s">
        <v>38</v>
      </c>
      <c r="C3088" s="4" t="s">
        <v>14</v>
      </c>
      <c r="D3088" s="35">
        <v>1832</v>
      </c>
      <c r="E3088" s="4" t="s">
        <v>5172</v>
      </c>
      <c r="F3088" s="5">
        <v>39366</v>
      </c>
      <c r="G3088" s="5">
        <v>39387</v>
      </c>
      <c r="H3088" s="4" t="s">
        <v>40</v>
      </c>
      <c r="I3088" s="6">
        <v>457</v>
      </c>
      <c r="J3088" s="6">
        <v>457</v>
      </c>
      <c r="K3088" s="37" t="s">
        <v>5018</v>
      </c>
      <c r="L3088" s="119"/>
      <c r="M3088" s="3"/>
    </row>
    <row r="3089" spans="1:60" s="4" customFormat="1" ht="14.25" customHeight="1" x14ac:dyDescent="0.25">
      <c r="A3089" s="4" t="s">
        <v>5173</v>
      </c>
      <c r="B3089" s="4" t="s">
        <v>38</v>
      </c>
      <c r="C3089" s="4" t="s">
        <v>14</v>
      </c>
      <c r="D3089" s="35">
        <v>1839</v>
      </c>
      <c r="E3089" s="4" t="s">
        <v>5174</v>
      </c>
      <c r="F3089" s="5">
        <v>39392</v>
      </c>
      <c r="G3089" s="5">
        <v>39392</v>
      </c>
      <c r="H3089" s="4" t="s">
        <v>40</v>
      </c>
      <c r="I3089" s="6">
        <v>130</v>
      </c>
      <c r="J3089" s="6">
        <v>130</v>
      </c>
      <c r="K3089" s="37" t="s">
        <v>5018</v>
      </c>
      <c r="L3089" s="119"/>
      <c r="M3089" s="3"/>
    </row>
    <row r="3090" spans="1:60" s="4" customFormat="1" ht="14.25" customHeight="1" x14ac:dyDescent="0.25">
      <c r="A3090" s="9" t="s">
        <v>5175</v>
      </c>
      <c r="B3090" s="9" t="s">
        <v>38</v>
      </c>
      <c r="C3090" s="9" t="s">
        <v>14</v>
      </c>
      <c r="D3090" s="90">
        <v>1842</v>
      </c>
      <c r="E3090" s="9" t="s">
        <v>5174</v>
      </c>
      <c r="F3090" s="11">
        <v>39148</v>
      </c>
      <c r="G3090" s="11">
        <v>39169</v>
      </c>
      <c r="H3090" s="9" t="s">
        <v>651</v>
      </c>
      <c r="I3090" s="8">
        <v>600</v>
      </c>
      <c r="J3090" s="8">
        <v>600</v>
      </c>
      <c r="K3090" s="89" t="s">
        <v>5018</v>
      </c>
      <c r="L3090" s="121"/>
      <c r="M3090" s="9"/>
      <c r="N3090" s="9"/>
      <c r="O3090" s="9"/>
      <c r="P3090" s="9"/>
      <c r="Q3090" s="9"/>
      <c r="R3090" s="9"/>
      <c r="S3090" s="9"/>
      <c r="T3090" s="9"/>
      <c r="U3090" s="9"/>
      <c r="V3090" s="9"/>
      <c r="W3090" s="9"/>
      <c r="X3090" s="9"/>
      <c r="Y3090" s="9"/>
      <c r="Z3090" s="9"/>
      <c r="AA3090" s="9"/>
      <c r="AB3090" s="9"/>
      <c r="AC3090" s="9"/>
      <c r="AD3090" s="9"/>
      <c r="AE3090" s="9"/>
      <c r="AF3090" s="9"/>
      <c r="AG3090" s="9"/>
      <c r="AH3090" s="9"/>
      <c r="AI3090" s="9"/>
      <c r="AJ3090" s="9"/>
      <c r="AK3090" s="9"/>
      <c r="AL3090" s="9"/>
      <c r="AM3090" s="9"/>
      <c r="AN3090" s="9"/>
      <c r="AO3090" s="9"/>
      <c r="AP3090" s="9"/>
      <c r="AQ3090" s="9"/>
      <c r="AR3090" s="9"/>
      <c r="AS3090" s="9"/>
      <c r="AT3090" s="9"/>
      <c r="AU3090" s="9"/>
      <c r="AV3090" s="9"/>
      <c r="AW3090" s="9"/>
      <c r="AX3090" s="9"/>
      <c r="AY3090" s="9"/>
      <c r="AZ3090" s="9"/>
      <c r="BA3090" s="9"/>
      <c r="BB3090" s="9"/>
      <c r="BC3090" s="9"/>
      <c r="BD3090" s="9"/>
      <c r="BE3090" s="9"/>
      <c r="BF3090" s="9"/>
      <c r="BG3090" s="9"/>
      <c r="BH3090" s="9"/>
    </row>
    <row r="3091" spans="1:60" s="4" customFormat="1" ht="14.25" customHeight="1" x14ac:dyDescent="0.25">
      <c r="A3091" s="4" t="s">
        <v>5176</v>
      </c>
      <c r="B3091" s="4" t="s">
        <v>38</v>
      </c>
      <c r="C3091" s="4" t="s">
        <v>14</v>
      </c>
      <c r="D3091" s="35">
        <v>1844</v>
      </c>
      <c r="E3091" s="4" t="s">
        <v>5176</v>
      </c>
      <c r="F3091" s="5">
        <v>39354</v>
      </c>
      <c r="G3091" s="5">
        <v>39396</v>
      </c>
      <c r="H3091" s="4" t="s">
        <v>40</v>
      </c>
      <c r="I3091" s="6">
        <v>2241.4899999999998</v>
      </c>
      <c r="J3091" s="6">
        <v>2241.4899999999998</v>
      </c>
      <c r="K3091" s="37" t="s">
        <v>5018</v>
      </c>
      <c r="L3091" s="119"/>
      <c r="M3091" s="3"/>
    </row>
    <row r="3092" spans="1:60" s="4" customFormat="1" ht="14.25" customHeight="1" x14ac:dyDescent="0.25">
      <c r="A3092" s="4" t="s">
        <v>5177</v>
      </c>
      <c r="B3092" s="4" t="s">
        <v>38</v>
      </c>
      <c r="C3092" s="4" t="s">
        <v>14</v>
      </c>
      <c r="D3092" s="35">
        <v>1848</v>
      </c>
      <c r="E3092" s="4" t="s">
        <v>5178</v>
      </c>
      <c r="F3092" s="5">
        <v>39252</v>
      </c>
      <c r="G3092" s="5">
        <v>39259</v>
      </c>
      <c r="H3092" s="4" t="s">
        <v>40</v>
      </c>
      <c r="I3092" s="6">
        <v>820</v>
      </c>
      <c r="J3092" s="6">
        <v>820</v>
      </c>
      <c r="K3092" s="37" t="s">
        <v>5018</v>
      </c>
      <c r="L3092" s="119"/>
      <c r="M3092" s="3"/>
    </row>
    <row r="3093" spans="1:60" s="4" customFormat="1" ht="14.25" customHeight="1" x14ac:dyDescent="0.25">
      <c r="A3093" s="4" t="s">
        <v>5179</v>
      </c>
      <c r="B3093" s="4" t="s">
        <v>38</v>
      </c>
      <c r="C3093" s="4" t="s">
        <v>14</v>
      </c>
      <c r="D3093" s="35">
        <v>1851</v>
      </c>
      <c r="E3093" s="4" t="s">
        <v>5180</v>
      </c>
      <c r="F3093" s="5">
        <v>39125</v>
      </c>
      <c r="G3093" s="5">
        <v>39139</v>
      </c>
      <c r="H3093" s="4" t="s">
        <v>40</v>
      </c>
      <c r="I3093" s="6">
        <v>1079.05</v>
      </c>
      <c r="J3093" s="6">
        <v>1079.05</v>
      </c>
      <c r="K3093" s="37" t="s">
        <v>5018</v>
      </c>
      <c r="L3093" s="119"/>
      <c r="M3093" s="3"/>
    </row>
    <row r="3094" spans="1:60" s="4" customFormat="1" ht="14.25" customHeight="1" x14ac:dyDescent="0.25">
      <c r="A3094" s="4" t="s">
        <v>5181</v>
      </c>
      <c r="B3094" s="4" t="s">
        <v>38</v>
      </c>
      <c r="C3094" s="4" t="s">
        <v>14</v>
      </c>
      <c r="D3094" s="35">
        <v>1853</v>
      </c>
      <c r="E3094" s="4" t="s">
        <v>5181</v>
      </c>
      <c r="F3094" s="5">
        <v>39394</v>
      </c>
      <c r="G3094" s="5">
        <v>39408</v>
      </c>
      <c r="H3094" s="4" t="s">
        <v>40</v>
      </c>
      <c r="I3094" s="6">
        <v>200</v>
      </c>
      <c r="J3094" s="6">
        <v>200</v>
      </c>
      <c r="K3094" s="37" t="s">
        <v>5018</v>
      </c>
      <c r="L3094" s="119"/>
      <c r="M3094" s="3"/>
    </row>
    <row r="3095" spans="1:60" s="4" customFormat="1" ht="14.25" customHeight="1" x14ac:dyDescent="0.25">
      <c r="A3095" s="4" t="s">
        <v>5182</v>
      </c>
      <c r="B3095" s="4" t="s">
        <v>38</v>
      </c>
      <c r="C3095" s="4" t="s">
        <v>14</v>
      </c>
      <c r="D3095" s="35">
        <v>1856</v>
      </c>
      <c r="E3095" s="4" t="s">
        <v>5182</v>
      </c>
      <c r="F3095" s="5">
        <v>39191</v>
      </c>
      <c r="G3095" s="5">
        <v>39212</v>
      </c>
      <c r="H3095" s="4" t="s">
        <v>40</v>
      </c>
      <c r="I3095" s="6">
        <v>940</v>
      </c>
      <c r="J3095" s="6">
        <v>940</v>
      </c>
      <c r="K3095" s="37" t="s">
        <v>5018</v>
      </c>
      <c r="L3095" s="119"/>
      <c r="M3095" s="3"/>
    </row>
    <row r="3096" spans="1:60" s="4" customFormat="1" ht="14.25" customHeight="1" x14ac:dyDescent="0.25">
      <c r="A3096" s="4" t="s">
        <v>5183</v>
      </c>
      <c r="B3096" s="4" t="s">
        <v>38</v>
      </c>
      <c r="C3096" s="4" t="s">
        <v>14</v>
      </c>
      <c r="D3096" s="35">
        <v>1859</v>
      </c>
      <c r="E3096" s="4" t="s">
        <v>5184</v>
      </c>
      <c r="F3096" s="5">
        <v>39219</v>
      </c>
      <c r="G3096" s="5">
        <v>39219</v>
      </c>
      <c r="H3096" s="4" t="s">
        <v>40</v>
      </c>
      <c r="I3096" s="6">
        <v>625</v>
      </c>
      <c r="J3096" s="6">
        <v>625</v>
      </c>
      <c r="K3096" s="37" t="s">
        <v>5018</v>
      </c>
      <c r="L3096" s="119"/>
      <c r="M3096" s="3"/>
    </row>
    <row r="3097" spans="1:60" s="4" customFormat="1" ht="14.25" customHeight="1" x14ac:dyDescent="0.25">
      <c r="A3097" s="4" t="s">
        <v>5185</v>
      </c>
      <c r="B3097" s="4" t="s">
        <v>38</v>
      </c>
      <c r="C3097" s="4" t="s">
        <v>14</v>
      </c>
      <c r="D3097" s="35">
        <v>1861</v>
      </c>
      <c r="E3097" s="4" t="s">
        <v>5186</v>
      </c>
      <c r="F3097" s="5">
        <v>39392</v>
      </c>
      <c r="G3097" s="5">
        <v>39420</v>
      </c>
      <c r="H3097" s="4" t="s">
        <v>40</v>
      </c>
      <c r="I3097" s="6">
        <v>120</v>
      </c>
      <c r="J3097" s="6">
        <v>120</v>
      </c>
      <c r="K3097" s="37" t="s">
        <v>5018</v>
      </c>
      <c r="L3097" s="119"/>
      <c r="M3097" s="3"/>
    </row>
    <row r="3098" spans="1:60" s="4" customFormat="1" ht="14.25" customHeight="1" x14ac:dyDescent="0.25">
      <c r="A3098" s="4" t="s">
        <v>5187</v>
      </c>
      <c r="B3098" s="4" t="s">
        <v>38</v>
      </c>
      <c r="C3098" s="4" t="s">
        <v>14</v>
      </c>
      <c r="D3098" s="35">
        <v>1863</v>
      </c>
      <c r="E3098" s="4" t="s">
        <v>5186</v>
      </c>
      <c r="F3098" s="5">
        <v>39212</v>
      </c>
      <c r="G3098" s="5">
        <v>39240</v>
      </c>
      <c r="H3098" s="4" t="s">
        <v>40</v>
      </c>
      <c r="I3098" s="6">
        <v>0</v>
      </c>
      <c r="J3098" s="6">
        <v>0</v>
      </c>
      <c r="K3098" s="37" t="s">
        <v>5018</v>
      </c>
      <c r="L3098" s="119"/>
      <c r="M3098" s="3"/>
    </row>
    <row r="3099" spans="1:60" s="4" customFormat="1" ht="14.25" customHeight="1" x14ac:dyDescent="0.25">
      <c r="A3099" s="4" t="s">
        <v>5188</v>
      </c>
      <c r="B3099" s="4" t="s">
        <v>38</v>
      </c>
      <c r="C3099" s="4" t="s">
        <v>14</v>
      </c>
      <c r="D3099" s="35">
        <v>1864</v>
      </c>
      <c r="E3099" s="4" t="s">
        <v>5188</v>
      </c>
      <c r="F3099" s="5">
        <v>39408</v>
      </c>
      <c r="G3099" s="5">
        <v>39415</v>
      </c>
      <c r="H3099" s="4" t="s">
        <v>40</v>
      </c>
      <c r="I3099" s="6">
        <v>420</v>
      </c>
      <c r="J3099" s="6">
        <v>420</v>
      </c>
      <c r="K3099" s="37" t="s">
        <v>5018</v>
      </c>
      <c r="L3099" s="119"/>
      <c r="M3099" s="3"/>
    </row>
    <row r="3100" spans="1:60" s="4" customFormat="1" ht="14.25" customHeight="1" x14ac:dyDescent="0.25">
      <c r="A3100" s="4" t="s">
        <v>5189</v>
      </c>
      <c r="B3100" s="4" t="s">
        <v>38</v>
      </c>
      <c r="C3100" s="4" t="s">
        <v>14</v>
      </c>
      <c r="D3100" s="35">
        <v>1866</v>
      </c>
      <c r="E3100" s="4" t="s">
        <v>5189</v>
      </c>
      <c r="F3100" s="5">
        <v>39148</v>
      </c>
      <c r="G3100" s="5">
        <v>39171</v>
      </c>
      <c r="H3100" s="4" t="s">
        <v>40</v>
      </c>
      <c r="I3100" s="6">
        <v>670</v>
      </c>
      <c r="J3100" s="6">
        <v>670</v>
      </c>
      <c r="K3100" s="37" t="s">
        <v>5018</v>
      </c>
      <c r="L3100" s="119"/>
      <c r="M3100" s="3"/>
    </row>
    <row r="3101" spans="1:60" s="4" customFormat="1" ht="14.25" customHeight="1" x14ac:dyDescent="0.25">
      <c r="A3101" s="4" t="s">
        <v>5190</v>
      </c>
      <c r="B3101" s="4" t="s">
        <v>38</v>
      </c>
      <c r="C3101" s="4" t="s">
        <v>14</v>
      </c>
      <c r="D3101" s="35">
        <v>1867</v>
      </c>
      <c r="E3101" s="7" t="s">
        <v>5191</v>
      </c>
      <c r="F3101" s="5">
        <v>39405</v>
      </c>
      <c r="G3101" s="5">
        <v>39412</v>
      </c>
      <c r="H3101" s="4" t="s">
        <v>40</v>
      </c>
      <c r="I3101" s="6">
        <v>1100</v>
      </c>
      <c r="J3101" s="6">
        <v>1100</v>
      </c>
      <c r="K3101" s="37" t="s">
        <v>5018</v>
      </c>
      <c r="L3101" s="119"/>
      <c r="M3101" s="3"/>
    </row>
    <row r="3102" spans="1:60" s="4" customFormat="1" ht="14.25" customHeight="1" x14ac:dyDescent="0.25">
      <c r="A3102" s="4" t="s">
        <v>5192</v>
      </c>
      <c r="B3102" s="4" t="s">
        <v>38</v>
      </c>
      <c r="C3102" s="4" t="s">
        <v>14</v>
      </c>
      <c r="D3102" s="35">
        <v>1869</v>
      </c>
      <c r="E3102" s="4" t="s">
        <v>5193</v>
      </c>
      <c r="F3102" s="5">
        <v>39342</v>
      </c>
      <c r="G3102" s="5">
        <v>39377</v>
      </c>
      <c r="H3102" s="4" t="s">
        <v>40</v>
      </c>
      <c r="I3102" s="6">
        <v>6581.29</v>
      </c>
      <c r="J3102" s="6">
        <v>6581.29</v>
      </c>
      <c r="K3102" s="37" t="s">
        <v>5018</v>
      </c>
      <c r="L3102" s="119"/>
      <c r="M3102" s="3"/>
    </row>
    <row r="3103" spans="1:60" s="4" customFormat="1" ht="14.25" customHeight="1" x14ac:dyDescent="0.25">
      <c r="A3103" s="4" t="s">
        <v>5194</v>
      </c>
      <c r="B3103" s="4" t="s">
        <v>38</v>
      </c>
      <c r="C3103" s="4" t="s">
        <v>14</v>
      </c>
      <c r="D3103" s="35">
        <v>1870</v>
      </c>
      <c r="E3103" s="4" t="s">
        <v>5195</v>
      </c>
      <c r="F3103" s="5">
        <v>39392</v>
      </c>
      <c r="G3103" s="5">
        <v>39406</v>
      </c>
      <c r="H3103" s="4" t="s">
        <v>40</v>
      </c>
      <c r="I3103" s="6">
        <v>1440</v>
      </c>
      <c r="J3103" s="6">
        <v>1440</v>
      </c>
      <c r="K3103" s="37" t="s">
        <v>5018</v>
      </c>
      <c r="L3103" s="119"/>
      <c r="M3103" s="3"/>
    </row>
    <row r="3104" spans="1:60" s="9" customFormat="1" ht="14.25" customHeight="1" x14ac:dyDescent="0.25">
      <c r="A3104" s="4" t="s">
        <v>5196</v>
      </c>
      <c r="B3104" s="4" t="s">
        <v>38</v>
      </c>
      <c r="C3104" s="4" t="s">
        <v>14</v>
      </c>
      <c r="D3104" s="35">
        <v>1871</v>
      </c>
      <c r="E3104" s="4" t="s">
        <v>5197</v>
      </c>
      <c r="F3104" s="5">
        <v>39370</v>
      </c>
      <c r="G3104" s="5">
        <v>39377</v>
      </c>
      <c r="H3104" s="4" t="s">
        <v>40</v>
      </c>
      <c r="I3104" s="6">
        <v>2602</v>
      </c>
      <c r="J3104" s="6">
        <v>2602</v>
      </c>
      <c r="K3104" s="37" t="s">
        <v>5018</v>
      </c>
      <c r="L3104" s="119"/>
      <c r="M3104" s="3"/>
      <c r="N3104" s="4"/>
      <c r="O3104" s="4"/>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4"/>
      <c r="AN3104" s="4"/>
      <c r="AO3104" s="4"/>
      <c r="AP3104" s="4"/>
      <c r="AQ3104" s="4"/>
      <c r="AR3104" s="4"/>
      <c r="AS3104" s="4"/>
      <c r="AT3104" s="4"/>
      <c r="AU3104" s="4"/>
      <c r="AV3104" s="4"/>
      <c r="AW3104" s="4"/>
      <c r="AX3104" s="4"/>
      <c r="AY3104" s="4"/>
      <c r="AZ3104" s="4"/>
      <c r="BA3104" s="4"/>
      <c r="BB3104" s="4"/>
      <c r="BC3104" s="4"/>
      <c r="BD3104" s="4"/>
      <c r="BE3104" s="4"/>
      <c r="BF3104" s="4"/>
      <c r="BG3104" s="4"/>
      <c r="BH3104" s="4"/>
    </row>
    <row r="3105" spans="1:14" s="4" customFormat="1" ht="14.25" customHeight="1" x14ac:dyDescent="0.25">
      <c r="A3105" s="4" t="s">
        <v>5198</v>
      </c>
      <c r="B3105" s="4" t="s">
        <v>38</v>
      </c>
      <c r="C3105" s="4" t="s">
        <v>14</v>
      </c>
      <c r="D3105" s="35">
        <v>1872</v>
      </c>
      <c r="E3105" s="4" t="s">
        <v>5198</v>
      </c>
      <c r="F3105" s="5">
        <v>39211</v>
      </c>
      <c r="G3105" s="5">
        <v>39218</v>
      </c>
      <c r="H3105" s="4" t="s">
        <v>40</v>
      </c>
      <c r="I3105" s="6">
        <v>1560.85</v>
      </c>
      <c r="J3105" s="6">
        <v>1560.85</v>
      </c>
      <c r="K3105" s="37" t="s">
        <v>5018</v>
      </c>
      <c r="L3105" s="119"/>
      <c r="M3105" s="3"/>
    </row>
    <row r="3106" spans="1:14" s="4" customFormat="1" ht="14.25" customHeight="1" x14ac:dyDescent="0.25">
      <c r="A3106" s="4" t="s">
        <v>5199</v>
      </c>
      <c r="B3106" s="4" t="s">
        <v>38</v>
      </c>
      <c r="C3106" s="4" t="s">
        <v>14</v>
      </c>
      <c r="D3106" s="35">
        <v>1875</v>
      </c>
      <c r="E3106" s="4" t="s">
        <v>5200</v>
      </c>
      <c r="F3106" s="5">
        <v>39083</v>
      </c>
      <c r="G3106" s="5">
        <v>39447</v>
      </c>
      <c r="H3106" s="4" t="s">
        <v>40</v>
      </c>
      <c r="I3106" s="6">
        <v>484</v>
      </c>
      <c r="J3106" s="6">
        <v>484</v>
      </c>
      <c r="K3106" s="37" t="s">
        <v>5018</v>
      </c>
      <c r="L3106" s="119"/>
      <c r="M3106" s="3"/>
    </row>
    <row r="3107" spans="1:14" s="4" customFormat="1" ht="14.25" customHeight="1" x14ac:dyDescent="0.25">
      <c r="A3107" s="4" t="s">
        <v>5201</v>
      </c>
      <c r="B3107" s="4" t="s">
        <v>38</v>
      </c>
      <c r="C3107" s="4" t="s">
        <v>14</v>
      </c>
      <c r="D3107" s="35">
        <v>1879</v>
      </c>
      <c r="E3107" s="4" t="s">
        <v>5202</v>
      </c>
      <c r="F3107" s="5">
        <v>39351</v>
      </c>
      <c r="G3107" s="5">
        <v>39447</v>
      </c>
      <c r="H3107" s="4" t="s">
        <v>40</v>
      </c>
      <c r="I3107" s="6">
        <v>13734</v>
      </c>
      <c r="J3107" s="6">
        <v>13734</v>
      </c>
      <c r="K3107" s="37" t="s">
        <v>5018</v>
      </c>
      <c r="L3107" s="119"/>
      <c r="M3107" s="3"/>
    </row>
    <row r="3108" spans="1:14" s="4" customFormat="1" ht="14.25" customHeight="1" x14ac:dyDescent="0.25">
      <c r="A3108" s="4" t="s">
        <v>5203</v>
      </c>
      <c r="B3108" s="4" t="s">
        <v>38</v>
      </c>
      <c r="C3108" s="4" t="s">
        <v>14</v>
      </c>
      <c r="D3108" s="35">
        <v>1880</v>
      </c>
      <c r="E3108" s="4" t="s">
        <v>5204</v>
      </c>
      <c r="F3108" s="5">
        <v>39223</v>
      </c>
      <c r="G3108" s="5">
        <v>39233</v>
      </c>
      <c r="H3108" s="4" t="s">
        <v>40</v>
      </c>
      <c r="I3108" s="6">
        <v>1525</v>
      </c>
      <c r="J3108" s="6">
        <v>1525</v>
      </c>
      <c r="K3108" s="37" t="s">
        <v>5018</v>
      </c>
      <c r="L3108" s="119"/>
      <c r="M3108" s="3"/>
    </row>
    <row r="3109" spans="1:14" s="21" customFormat="1" ht="14.25" customHeight="1" x14ac:dyDescent="0.25">
      <c r="A3109" s="21" t="s">
        <v>11632</v>
      </c>
      <c r="B3109" s="4" t="s">
        <v>38</v>
      </c>
      <c r="C3109" s="21" t="s">
        <v>14</v>
      </c>
      <c r="D3109" s="36">
        <v>1883</v>
      </c>
      <c r="E3109" s="4" t="s">
        <v>5206</v>
      </c>
      <c r="F3109" s="22">
        <v>39156</v>
      </c>
      <c r="G3109" s="22">
        <v>39156</v>
      </c>
      <c r="H3109" s="21" t="s">
        <v>40</v>
      </c>
      <c r="I3109" s="23">
        <v>-25</v>
      </c>
      <c r="J3109" s="23">
        <v>-25</v>
      </c>
      <c r="K3109" s="39" t="s">
        <v>5018</v>
      </c>
      <c r="L3109" s="123"/>
      <c r="M3109" s="24"/>
      <c r="N3109" s="24"/>
    </row>
    <row r="3110" spans="1:14" s="4" customFormat="1" ht="14.25" customHeight="1" x14ac:dyDescent="0.25">
      <c r="A3110" s="4" t="s">
        <v>5205</v>
      </c>
      <c r="B3110" s="4" t="s">
        <v>38</v>
      </c>
      <c r="C3110" s="4" t="s">
        <v>14</v>
      </c>
      <c r="D3110" s="35">
        <v>1886</v>
      </c>
      <c r="E3110" s="4" t="s">
        <v>5206</v>
      </c>
      <c r="F3110" s="5">
        <v>39083</v>
      </c>
      <c r="G3110" s="5">
        <v>39447</v>
      </c>
      <c r="H3110" s="4" t="s">
        <v>40</v>
      </c>
      <c r="I3110" s="6">
        <v>395</v>
      </c>
      <c r="J3110" s="6">
        <v>395</v>
      </c>
      <c r="K3110" s="37" t="s">
        <v>5018</v>
      </c>
      <c r="L3110" s="119"/>
      <c r="M3110" s="3"/>
    </row>
    <row r="3111" spans="1:14" s="4" customFormat="1" ht="14.25" customHeight="1" x14ac:dyDescent="0.25">
      <c r="A3111" s="4" t="s">
        <v>5207</v>
      </c>
      <c r="B3111" s="4" t="s">
        <v>38</v>
      </c>
      <c r="C3111" s="4" t="s">
        <v>14</v>
      </c>
      <c r="D3111" s="35">
        <v>1894</v>
      </c>
      <c r="E3111" s="4" t="s">
        <v>5208</v>
      </c>
      <c r="F3111" s="5">
        <v>39405</v>
      </c>
      <c r="G3111" s="5">
        <v>39412</v>
      </c>
      <c r="H3111" s="4" t="s">
        <v>40</v>
      </c>
      <c r="I3111" s="6">
        <v>450</v>
      </c>
      <c r="J3111" s="6">
        <v>450</v>
      </c>
      <c r="K3111" s="37" t="s">
        <v>5018</v>
      </c>
      <c r="L3111" s="119"/>
      <c r="M3111" s="3"/>
    </row>
    <row r="3112" spans="1:14" s="4" customFormat="1" ht="14.25" customHeight="1" x14ac:dyDescent="0.25">
      <c r="A3112" s="4" t="s">
        <v>5209</v>
      </c>
      <c r="B3112" s="4" t="s">
        <v>38</v>
      </c>
      <c r="C3112" s="4" t="s">
        <v>14</v>
      </c>
      <c r="D3112" s="35">
        <v>1896</v>
      </c>
      <c r="E3112" s="4" t="s">
        <v>5210</v>
      </c>
      <c r="F3112" s="5">
        <v>39198</v>
      </c>
      <c r="G3112" s="5">
        <v>39198</v>
      </c>
      <c r="H3112" s="4" t="s">
        <v>40</v>
      </c>
      <c r="I3112" s="6">
        <v>536.4</v>
      </c>
      <c r="J3112" s="6">
        <v>536.4</v>
      </c>
      <c r="K3112" s="37" t="s">
        <v>5018</v>
      </c>
      <c r="L3112" s="119"/>
      <c r="M3112" s="3"/>
    </row>
    <row r="3113" spans="1:14" s="4" customFormat="1" ht="14.25" customHeight="1" x14ac:dyDescent="0.25">
      <c r="A3113" s="4" t="s">
        <v>5211</v>
      </c>
      <c r="B3113" s="4" t="s">
        <v>38</v>
      </c>
      <c r="C3113" s="4" t="s">
        <v>14</v>
      </c>
      <c r="D3113" s="35">
        <v>1900</v>
      </c>
      <c r="E3113" s="4" t="s">
        <v>5206</v>
      </c>
      <c r="F3113" s="5">
        <v>39377</v>
      </c>
      <c r="G3113" s="5">
        <v>39377</v>
      </c>
      <c r="H3113" s="4" t="s">
        <v>40</v>
      </c>
      <c r="I3113" s="6">
        <v>519.29999999999995</v>
      </c>
      <c r="J3113" s="6">
        <v>519.29999999999995</v>
      </c>
      <c r="K3113" s="37" t="s">
        <v>5018</v>
      </c>
      <c r="L3113" s="119"/>
      <c r="M3113" s="3"/>
    </row>
    <row r="3114" spans="1:14" s="4" customFormat="1" ht="14.25" customHeight="1" x14ac:dyDescent="0.25">
      <c r="A3114" s="4" t="s">
        <v>5212</v>
      </c>
      <c r="B3114" s="4" t="s">
        <v>38</v>
      </c>
      <c r="C3114" s="4" t="s">
        <v>14</v>
      </c>
      <c r="D3114" s="35">
        <v>1901</v>
      </c>
      <c r="E3114" s="4" t="s">
        <v>5213</v>
      </c>
      <c r="F3114" s="5">
        <v>39370</v>
      </c>
      <c r="G3114" s="5">
        <v>39386</v>
      </c>
      <c r="H3114" s="4" t="s">
        <v>40</v>
      </c>
      <c r="I3114" s="6">
        <v>1612</v>
      </c>
      <c r="J3114" s="6">
        <v>1612</v>
      </c>
      <c r="K3114" s="37" t="s">
        <v>5018</v>
      </c>
      <c r="L3114" s="119"/>
      <c r="M3114" s="3"/>
    </row>
    <row r="3115" spans="1:14" s="4" customFormat="1" ht="14.25" customHeight="1" x14ac:dyDescent="0.25">
      <c r="A3115" s="4" t="s">
        <v>5214</v>
      </c>
      <c r="B3115" s="4" t="s">
        <v>38</v>
      </c>
      <c r="C3115" s="4" t="s">
        <v>14</v>
      </c>
      <c r="D3115" s="35">
        <v>1903</v>
      </c>
      <c r="E3115" s="4" t="s">
        <v>5213</v>
      </c>
      <c r="F3115" s="5">
        <v>39157</v>
      </c>
      <c r="G3115" s="5">
        <v>39171</v>
      </c>
      <c r="H3115" s="4" t="s">
        <v>40</v>
      </c>
      <c r="I3115" s="6">
        <v>255</v>
      </c>
      <c r="J3115" s="6">
        <v>255</v>
      </c>
      <c r="K3115" s="37" t="s">
        <v>5018</v>
      </c>
      <c r="L3115" s="119"/>
      <c r="M3115" s="3"/>
    </row>
    <row r="3116" spans="1:14" s="4" customFormat="1" ht="14.25" customHeight="1" x14ac:dyDescent="0.25">
      <c r="A3116" s="4" t="s">
        <v>5215</v>
      </c>
      <c r="B3116" s="4" t="s">
        <v>38</v>
      </c>
      <c r="C3116" s="4" t="s">
        <v>14</v>
      </c>
      <c r="D3116" s="35">
        <v>1904</v>
      </c>
      <c r="E3116" s="4" t="s">
        <v>5216</v>
      </c>
      <c r="F3116" s="5">
        <v>39370</v>
      </c>
      <c r="G3116" s="5">
        <v>39370</v>
      </c>
      <c r="H3116" s="4" t="s">
        <v>40</v>
      </c>
      <c r="I3116" s="6">
        <v>2874</v>
      </c>
      <c r="J3116" s="6">
        <v>2874</v>
      </c>
      <c r="K3116" s="37" t="s">
        <v>5018</v>
      </c>
      <c r="L3116" s="119"/>
      <c r="M3116" s="3"/>
    </row>
    <row r="3117" spans="1:14" s="4" customFormat="1" ht="14.25" customHeight="1" x14ac:dyDescent="0.25">
      <c r="A3117" s="4" t="s">
        <v>5217</v>
      </c>
      <c r="B3117" s="4" t="s">
        <v>38</v>
      </c>
      <c r="C3117" s="4" t="s">
        <v>14</v>
      </c>
      <c r="D3117" s="35">
        <v>1907</v>
      </c>
      <c r="E3117" s="4" t="s">
        <v>5218</v>
      </c>
      <c r="F3117" s="5">
        <v>39399</v>
      </c>
      <c r="G3117" s="5">
        <v>39413</v>
      </c>
      <c r="H3117" s="4" t="s">
        <v>40</v>
      </c>
      <c r="I3117" s="6">
        <v>200</v>
      </c>
      <c r="J3117" s="6">
        <v>200</v>
      </c>
      <c r="K3117" s="37" t="s">
        <v>5018</v>
      </c>
      <c r="L3117" s="119"/>
      <c r="M3117" s="3"/>
    </row>
    <row r="3118" spans="1:14" s="4" customFormat="1" ht="14.25" customHeight="1" x14ac:dyDescent="0.25">
      <c r="A3118" s="4" t="s">
        <v>5219</v>
      </c>
      <c r="B3118" s="4" t="s">
        <v>38</v>
      </c>
      <c r="C3118" s="4" t="s">
        <v>14</v>
      </c>
      <c r="D3118" s="35">
        <v>1908</v>
      </c>
      <c r="E3118" s="4" t="s">
        <v>5220</v>
      </c>
      <c r="F3118" s="5">
        <v>39190</v>
      </c>
      <c r="G3118" s="5">
        <v>39204</v>
      </c>
      <c r="H3118" s="4" t="s">
        <v>40</v>
      </c>
      <c r="I3118" s="6">
        <v>450</v>
      </c>
      <c r="J3118" s="6">
        <v>450</v>
      </c>
      <c r="K3118" s="37" t="s">
        <v>5018</v>
      </c>
      <c r="L3118" s="119"/>
      <c r="M3118" s="3"/>
    </row>
    <row r="3119" spans="1:14" s="4" customFormat="1" ht="14.25" customHeight="1" x14ac:dyDescent="0.25">
      <c r="A3119" s="4" t="s">
        <v>5221</v>
      </c>
      <c r="B3119" s="4" t="s">
        <v>38</v>
      </c>
      <c r="C3119" s="4" t="s">
        <v>14</v>
      </c>
      <c r="D3119" s="35">
        <v>1909</v>
      </c>
      <c r="E3119" s="4" t="s">
        <v>5222</v>
      </c>
      <c r="F3119" s="5">
        <v>39147</v>
      </c>
      <c r="G3119" s="5">
        <v>39168</v>
      </c>
      <c r="H3119" s="4" t="s">
        <v>40</v>
      </c>
      <c r="I3119" s="6">
        <v>1190</v>
      </c>
      <c r="J3119" s="6">
        <v>1190</v>
      </c>
      <c r="K3119" s="37" t="s">
        <v>5018</v>
      </c>
      <c r="L3119" s="119"/>
      <c r="M3119" s="3"/>
    </row>
    <row r="3120" spans="1:14" s="4" customFormat="1" ht="14.25" customHeight="1" x14ac:dyDescent="0.25">
      <c r="A3120" s="4" t="s">
        <v>5223</v>
      </c>
      <c r="B3120" s="4" t="s">
        <v>38</v>
      </c>
      <c r="C3120" s="4" t="s">
        <v>14</v>
      </c>
      <c r="D3120" s="35">
        <v>1926</v>
      </c>
      <c r="E3120" s="4" t="s">
        <v>5222</v>
      </c>
      <c r="F3120" s="5">
        <v>39364</v>
      </c>
      <c r="G3120" s="5">
        <v>39392</v>
      </c>
      <c r="H3120" s="4" t="s">
        <v>40</v>
      </c>
      <c r="I3120" s="6">
        <v>1950</v>
      </c>
      <c r="J3120" s="6">
        <v>1950</v>
      </c>
      <c r="K3120" s="37" t="s">
        <v>5018</v>
      </c>
      <c r="L3120" s="119"/>
      <c r="M3120" s="3"/>
    </row>
    <row r="3121" spans="1:13" s="4" customFormat="1" ht="14.25" customHeight="1" x14ac:dyDescent="0.25">
      <c r="A3121" s="4" t="s">
        <v>5224</v>
      </c>
      <c r="B3121" s="4" t="s">
        <v>38</v>
      </c>
      <c r="C3121" s="4" t="s">
        <v>14</v>
      </c>
      <c r="D3121" s="35">
        <v>1927</v>
      </c>
      <c r="E3121" s="4" t="s">
        <v>5222</v>
      </c>
      <c r="F3121" s="5">
        <v>39363</v>
      </c>
      <c r="G3121" s="5">
        <v>39398</v>
      </c>
      <c r="H3121" s="4" t="s">
        <v>40</v>
      </c>
      <c r="I3121" s="6">
        <v>1500</v>
      </c>
      <c r="J3121" s="6">
        <v>1500</v>
      </c>
      <c r="K3121" s="37" t="s">
        <v>5018</v>
      </c>
      <c r="L3121" s="119"/>
      <c r="M3121" s="3"/>
    </row>
    <row r="3122" spans="1:13" s="4" customFormat="1" ht="14.25" customHeight="1" x14ac:dyDescent="0.25">
      <c r="A3122" s="4" t="s">
        <v>5225</v>
      </c>
      <c r="B3122" s="4" t="s">
        <v>38</v>
      </c>
      <c r="C3122" s="4" t="s">
        <v>14</v>
      </c>
      <c r="D3122" s="35">
        <v>1928</v>
      </c>
      <c r="E3122" s="4" t="s">
        <v>5222</v>
      </c>
      <c r="F3122" s="5">
        <v>39188</v>
      </c>
      <c r="G3122" s="5">
        <v>39216</v>
      </c>
      <c r="H3122" s="4" t="s">
        <v>40</v>
      </c>
      <c r="I3122" s="6">
        <v>1615</v>
      </c>
      <c r="J3122" s="6">
        <v>1615</v>
      </c>
      <c r="K3122" s="37" t="s">
        <v>5018</v>
      </c>
      <c r="L3122" s="119"/>
      <c r="M3122" s="3"/>
    </row>
    <row r="3123" spans="1:13" s="4" customFormat="1" ht="14.25" customHeight="1" x14ac:dyDescent="0.25">
      <c r="A3123" s="4" t="s">
        <v>5226</v>
      </c>
      <c r="B3123" s="4" t="s">
        <v>38</v>
      </c>
      <c r="C3123" s="4" t="s">
        <v>14</v>
      </c>
      <c r="D3123" s="35">
        <v>1929</v>
      </c>
      <c r="E3123" s="4" t="s">
        <v>5222</v>
      </c>
      <c r="F3123" s="5">
        <v>39198</v>
      </c>
      <c r="G3123" s="5">
        <v>39218</v>
      </c>
      <c r="H3123" s="4" t="s">
        <v>40</v>
      </c>
      <c r="I3123" s="6">
        <v>1615</v>
      </c>
      <c r="J3123" s="6">
        <v>1615</v>
      </c>
      <c r="K3123" s="37" t="s">
        <v>5018</v>
      </c>
      <c r="L3123" s="119"/>
      <c r="M3123" s="3"/>
    </row>
    <row r="3124" spans="1:13" s="4" customFormat="1" ht="14.25" customHeight="1" x14ac:dyDescent="0.25">
      <c r="A3124" s="4" t="s">
        <v>5227</v>
      </c>
      <c r="B3124" s="4" t="s">
        <v>38</v>
      </c>
      <c r="C3124" s="4" t="s">
        <v>14</v>
      </c>
      <c r="D3124" s="35">
        <v>1930</v>
      </c>
      <c r="E3124" s="4" t="s">
        <v>5228</v>
      </c>
      <c r="F3124" s="5">
        <v>39196</v>
      </c>
      <c r="G3124" s="5">
        <v>39217</v>
      </c>
      <c r="H3124" s="4" t="s">
        <v>40</v>
      </c>
      <c r="I3124" s="6">
        <v>1533</v>
      </c>
      <c r="J3124" s="6">
        <v>1533</v>
      </c>
      <c r="K3124" s="37" t="s">
        <v>5018</v>
      </c>
      <c r="L3124" s="119"/>
      <c r="M3124" s="3"/>
    </row>
    <row r="3125" spans="1:13" s="4" customFormat="1" ht="14.25" customHeight="1" x14ac:dyDescent="0.25">
      <c r="A3125" s="4" t="s">
        <v>5229</v>
      </c>
      <c r="B3125" s="4" t="s">
        <v>38</v>
      </c>
      <c r="C3125" s="4" t="s">
        <v>14</v>
      </c>
      <c r="D3125" s="35">
        <v>1931</v>
      </c>
      <c r="E3125" s="4" t="s">
        <v>5230</v>
      </c>
      <c r="F3125" s="5">
        <v>39393</v>
      </c>
      <c r="G3125" s="5">
        <v>39393</v>
      </c>
      <c r="H3125" s="4" t="s">
        <v>40</v>
      </c>
      <c r="I3125" s="6">
        <v>475</v>
      </c>
      <c r="J3125" s="6">
        <v>475</v>
      </c>
      <c r="K3125" s="37" t="s">
        <v>5018</v>
      </c>
      <c r="L3125" s="119"/>
      <c r="M3125" s="3"/>
    </row>
    <row r="3126" spans="1:13" s="4" customFormat="1" ht="14.25" customHeight="1" x14ac:dyDescent="0.25">
      <c r="A3126" s="4" t="s">
        <v>5231</v>
      </c>
      <c r="B3126" s="4" t="s">
        <v>38</v>
      </c>
      <c r="C3126" s="4" t="s">
        <v>14</v>
      </c>
      <c r="D3126" s="35">
        <v>1932</v>
      </c>
      <c r="E3126" s="4" t="s">
        <v>5232</v>
      </c>
      <c r="F3126" s="5">
        <v>39358</v>
      </c>
      <c r="G3126" s="5">
        <v>39398</v>
      </c>
      <c r="H3126" s="4" t="s">
        <v>40</v>
      </c>
      <c r="I3126" s="6">
        <v>1748.18</v>
      </c>
      <c r="J3126" s="6">
        <v>1748.18</v>
      </c>
      <c r="K3126" s="37" t="s">
        <v>5018</v>
      </c>
      <c r="L3126" s="119"/>
      <c r="M3126" s="3"/>
    </row>
    <row r="3127" spans="1:13" s="4" customFormat="1" ht="14.25" customHeight="1" x14ac:dyDescent="0.25">
      <c r="A3127" s="4" t="s">
        <v>5233</v>
      </c>
      <c r="B3127" s="4" t="s">
        <v>38</v>
      </c>
      <c r="C3127" s="4" t="s">
        <v>14</v>
      </c>
      <c r="D3127" s="35">
        <v>1933</v>
      </c>
      <c r="E3127" s="4" t="s">
        <v>5232</v>
      </c>
      <c r="F3127" s="5">
        <v>39125</v>
      </c>
      <c r="G3127" s="5">
        <v>39196</v>
      </c>
      <c r="H3127" s="4" t="s">
        <v>40</v>
      </c>
      <c r="I3127" s="6">
        <v>450</v>
      </c>
      <c r="J3127" s="6">
        <v>450</v>
      </c>
      <c r="K3127" s="37" t="s">
        <v>5018</v>
      </c>
      <c r="L3127" s="119"/>
      <c r="M3127" s="3"/>
    </row>
    <row r="3128" spans="1:13" s="4" customFormat="1" ht="14.25" customHeight="1" x14ac:dyDescent="0.25">
      <c r="A3128" s="4" t="s">
        <v>5234</v>
      </c>
      <c r="B3128" s="4" t="s">
        <v>38</v>
      </c>
      <c r="C3128" s="4" t="s">
        <v>14</v>
      </c>
      <c r="D3128" s="35">
        <v>1934</v>
      </c>
      <c r="E3128" s="4" t="s">
        <v>5232</v>
      </c>
      <c r="F3128" s="5">
        <v>39392</v>
      </c>
      <c r="G3128" s="5">
        <v>39422</v>
      </c>
      <c r="H3128" s="4" t="s">
        <v>40</v>
      </c>
      <c r="I3128" s="6">
        <v>2490.33</v>
      </c>
      <c r="J3128" s="6">
        <v>2490.33</v>
      </c>
      <c r="K3128" s="37" t="s">
        <v>5018</v>
      </c>
      <c r="L3128" s="119"/>
      <c r="M3128" s="3"/>
    </row>
    <row r="3129" spans="1:13" s="4" customFormat="1" ht="14.25" customHeight="1" x14ac:dyDescent="0.25">
      <c r="A3129" s="4" t="s">
        <v>5235</v>
      </c>
      <c r="B3129" s="4" t="s">
        <v>38</v>
      </c>
      <c r="C3129" s="4" t="s">
        <v>14</v>
      </c>
      <c r="D3129" s="35">
        <v>1935</v>
      </c>
      <c r="E3129" s="4" t="s">
        <v>5232</v>
      </c>
      <c r="F3129" s="5">
        <v>39162</v>
      </c>
      <c r="G3129" s="5">
        <v>39232</v>
      </c>
      <c r="H3129" s="4" t="s">
        <v>40</v>
      </c>
      <c r="I3129" s="6">
        <v>1150</v>
      </c>
      <c r="J3129" s="6">
        <v>1150</v>
      </c>
      <c r="K3129" s="37" t="s">
        <v>5018</v>
      </c>
      <c r="L3129" s="119"/>
      <c r="M3129" s="3"/>
    </row>
    <row r="3130" spans="1:13" s="4" customFormat="1" ht="14.25" customHeight="1" x14ac:dyDescent="0.25">
      <c r="A3130" s="4" t="s">
        <v>5236</v>
      </c>
      <c r="B3130" s="4" t="s">
        <v>38</v>
      </c>
      <c r="C3130" s="4" t="s">
        <v>14</v>
      </c>
      <c r="D3130" s="35">
        <v>1936</v>
      </c>
      <c r="E3130" s="4" t="s">
        <v>5232</v>
      </c>
      <c r="F3130" s="5">
        <v>39500</v>
      </c>
      <c r="G3130" s="5">
        <v>39813</v>
      </c>
      <c r="H3130" s="4" t="s">
        <v>40</v>
      </c>
      <c r="I3130" s="6">
        <v>95.65</v>
      </c>
      <c r="J3130" s="6">
        <v>95.65</v>
      </c>
      <c r="K3130" s="37" t="s">
        <v>5018</v>
      </c>
      <c r="L3130" s="119"/>
      <c r="M3130" s="3"/>
    </row>
    <row r="3131" spans="1:13" s="4" customFormat="1" ht="14.25" customHeight="1" x14ac:dyDescent="0.25">
      <c r="A3131" s="4" t="s">
        <v>5237</v>
      </c>
      <c r="B3131" s="4" t="s">
        <v>38</v>
      </c>
      <c r="C3131" s="4" t="s">
        <v>14</v>
      </c>
      <c r="D3131" s="35">
        <v>1937</v>
      </c>
      <c r="E3131" s="4" t="s">
        <v>5238</v>
      </c>
      <c r="F3131" s="5">
        <v>39083</v>
      </c>
      <c r="G3131" s="5">
        <v>39813</v>
      </c>
      <c r="H3131" s="4" t="s">
        <v>40</v>
      </c>
      <c r="I3131" s="6">
        <v>95.65</v>
      </c>
      <c r="J3131" s="6">
        <v>95.65</v>
      </c>
      <c r="K3131" s="37" t="s">
        <v>5018</v>
      </c>
      <c r="L3131" s="119"/>
      <c r="M3131" s="3"/>
    </row>
    <row r="3132" spans="1:13" s="4" customFormat="1" ht="14.25" customHeight="1" x14ac:dyDescent="0.25">
      <c r="A3132" s="4" t="s">
        <v>5239</v>
      </c>
      <c r="B3132" s="4" t="s">
        <v>38</v>
      </c>
      <c r="C3132" s="4" t="s">
        <v>14</v>
      </c>
      <c r="D3132" s="35">
        <v>1938</v>
      </c>
      <c r="E3132" s="4" t="s">
        <v>5240</v>
      </c>
      <c r="F3132" s="5">
        <v>39542</v>
      </c>
      <c r="G3132" s="5">
        <v>39813</v>
      </c>
      <c r="H3132" s="4" t="s">
        <v>40</v>
      </c>
      <c r="I3132" s="6">
        <v>325.66000000000003</v>
      </c>
      <c r="J3132" s="6">
        <v>325.66000000000003</v>
      </c>
      <c r="K3132" s="37" t="s">
        <v>5018</v>
      </c>
      <c r="L3132" s="119"/>
      <c r="M3132" s="3"/>
    </row>
    <row r="3133" spans="1:13" s="4" customFormat="1" ht="14.25" customHeight="1" x14ac:dyDescent="0.25">
      <c r="A3133" s="4" t="s">
        <v>5241</v>
      </c>
      <c r="B3133" s="4" t="s">
        <v>38</v>
      </c>
      <c r="C3133" s="4" t="s">
        <v>14</v>
      </c>
      <c r="D3133" s="35">
        <v>1939</v>
      </c>
      <c r="E3133" s="4" t="s">
        <v>5242</v>
      </c>
      <c r="F3133" s="5">
        <v>39392</v>
      </c>
      <c r="G3133" s="5">
        <v>39413</v>
      </c>
      <c r="H3133" s="4" t="s">
        <v>40</v>
      </c>
      <c r="I3133" s="6">
        <v>300</v>
      </c>
      <c r="J3133" s="6">
        <v>300</v>
      </c>
      <c r="K3133" s="37" t="s">
        <v>5018</v>
      </c>
      <c r="L3133" s="119"/>
      <c r="M3133" s="3"/>
    </row>
    <row r="3134" spans="1:13" s="4" customFormat="1" ht="14.25" customHeight="1" x14ac:dyDescent="0.25">
      <c r="A3134" s="4" t="s">
        <v>5243</v>
      </c>
      <c r="B3134" s="4" t="s">
        <v>38</v>
      </c>
      <c r="C3134" s="4" t="s">
        <v>14</v>
      </c>
      <c r="D3134" s="35">
        <v>1940</v>
      </c>
      <c r="E3134" s="4" t="s">
        <v>5243</v>
      </c>
      <c r="F3134" s="5">
        <v>39146</v>
      </c>
      <c r="G3134" s="5">
        <v>39174</v>
      </c>
      <c r="H3134" s="4" t="s">
        <v>40</v>
      </c>
      <c r="I3134" s="6">
        <v>350</v>
      </c>
      <c r="J3134" s="6">
        <v>350</v>
      </c>
      <c r="K3134" s="37" t="s">
        <v>5018</v>
      </c>
      <c r="L3134" s="119"/>
      <c r="M3134" s="3"/>
    </row>
    <row r="3135" spans="1:13" s="4" customFormat="1" ht="14.25" customHeight="1" x14ac:dyDescent="0.25">
      <c r="A3135" s="4" t="s">
        <v>5244</v>
      </c>
      <c r="B3135" s="4" t="s">
        <v>38</v>
      </c>
      <c r="C3135" s="4" t="s">
        <v>14</v>
      </c>
      <c r="D3135" s="35">
        <v>1941</v>
      </c>
      <c r="E3135" s="4" t="s">
        <v>5244</v>
      </c>
      <c r="F3135" s="5">
        <v>39149</v>
      </c>
      <c r="G3135" s="5">
        <v>39163</v>
      </c>
      <c r="H3135" s="4" t="s">
        <v>40</v>
      </c>
      <c r="I3135" s="6">
        <v>895</v>
      </c>
      <c r="J3135" s="6">
        <v>895</v>
      </c>
      <c r="K3135" s="37" t="s">
        <v>5018</v>
      </c>
      <c r="L3135" s="119"/>
      <c r="M3135" s="3"/>
    </row>
    <row r="3136" spans="1:13" s="4" customFormat="1" ht="14.25" customHeight="1" x14ac:dyDescent="0.25">
      <c r="A3136" s="4" t="s">
        <v>5245</v>
      </c>
      <c r="B3136" s="4" t="s">
        <v>38</v>
      </c>
      <c r="C3136" s="4" t="s">
        <v>14</v>
      </c>
      <c r="D3136" s="35">
        <v>1942</v>
      </c>
      <c r="E3136" s="4" t="s">
        <v>5246</v>
      </c>
      <c r="F3136" s="5">
        <v>39142</v>
      </c>
      <c r="G3136" s="5">
        <v>39202</v>
      </c>
      <c r="H3136" s="4" t="s">
        <v>40</v>
      </c>
      <c r="I3136" s="6">
        <v>2067</v>
      </c>
      <c r="J3136" s="6">
        <v>2067</v>
      </c>
      <c r="K3136" s="37" t="s">
        <v>5018</v>
      </c>
      <c r="L3136" s="119"/>
      <c r="M3136" s="3"/>
    </row>
    <row r="3137" spans="1:13" s="4" customFormat="1" ht="14.25" customHeight="1" x14ac:dyDescent="0.25">
      <c r="A3137" s="4" t="s">
        <v>5247</v>
      </c>
      <c r="B3137" s="4" t="s">
        <v>38</v>
      </c>
      <c r="C3137" s="4" t="s">
        <v>14</v>
      </c>
      <c r="D3137" s="35">
        <v>1943</v>
      </c>
      <c r="E3137" s="4" t="s">
        <v>5248</v>
      </c>
      <c r="F3137" s="5">
        <v>39387</v>
      </c>
      <c r="G3137" s="5">
        <v>39387</v>
      </c>
      <c r="H3137" s="4" t="s">
        <v>40</v>
      </c>
      <c r="I3137" s="6">
        <v>635</v>
      </c>
      <c r="J3137" s="6">
        <v>635</v>
      </c>
      <c r="K3137" s="37" t="s">
        <v>5018</v>
      </c>
      <c r="L3137" s="119"/>
      <c r="M3137" s="3"/>
    </row>
    <row r="3138" spans="1:13" s="4" customFormat="1" ht="14.25" customHeight="1" x14ac:dyDescent="0.25">
      <c r="A3138" s="4" t="s">
        <v>5249</v>
      </c>
      <c r="B3138" s="4" t="s">
        <v>38</v>
      </c>
      <c r="C3138" s="4" t="s">
        <v>14</v>
      </c>
      <c r="D3138" s="35">
        <v>1944</v>
      </c>
      <c r="E3138" s="4" t="s">
        <v>5250</v>
      </c>
      <c r="F3138" s="5">
        <v>39155</v>
      </c>
      <c r="G3138" s="5">
        <v>39155</v>
      </c>
      <c r="H3138" s="4" t="s">
        <v>40</v>
      </c>
      <c r="I3138" s="6">
        <v>500</v>
      </c>
      <c r="J3138" s="6">
        <v>500</v>
      </c>
      <c r="K3138" s="37" t="s">
        <v>5018</v>
      </c>
      <c r="L3138" s="119"/>
      <c r="M3138" s="3"/>
    </row>
    <row r="3139" spans="1:13" s="4" customFormat="1" ht="14.25" customHeight="1" x14ac:dyDescent="0.25">
      <c r="A3139" s="4" t="s">
        <v>5251</v>
      </c>
      <c r="B3139" s="4" t="s">
        <v>38</v>
      </c>
      <c r="C3139" s="4" t="s">
        <v>14</v>
      </c>
      <c r="D3139" s="35">
        <v>1945</v>
      </c>
      <c r="E3139" s="4" t="s">
        <v>5252</v>
      </c>
      <c r="F3139" s="5">
        <v>39368</v>
      </c>
      <c r="G3139" s="5">
        <v>39375</v>
      </c>
      <c r="H3139" s="4" t="s">
        <v>40</v>
      </c>
      <c r="I3139" s="6">
        <v>2352</v>
      </c>
      <c r="J3139" s="6">
        <v>2352</v>
      </c>
      <c r="K3139" s="37" t="s">
        <v>5018</v>
      </c>
      <c r="L3139" s="119"/>
      <c r="M3139" s="3"/>
    </row>
    <row r="3140" spans="1:13" s="4" customFormat="1" ht="14.25" customHeight="1" x14ac:dyDescent="0.25">
      <c r="A3140" s="4" t="s">
        <v>5253</v>
      </c>
      <c r="B3140" s="4" t="s">
        <v>183</v>
      </c>
      <c r="C3140" s="4" t="s">
        <v>14</v>
      </c>
      <c r="D3140" s="35">
        <v>1946</v>
      </c>
      <c r="E3140" s="4" t="s">
        <v>5254</v>
      </c>
      <c r="F3140" s="5">
        <v>39083</v>
      </c>
      <c r="G3140" s="5">
        <v>39447</v>
      </c>
      <c r="H3140" s="4" t="s">
        <v>40</v>
      </c>
      <c r="I3140" s="6">
        <v>2579.3000000000002</v>
      </c>
      <c r="J3140" s="6">
        <v>2579.3000000000002</v>
      </c>
      <c r="K3140" s="37" t="s">
        <v>5018</v>
      </c>
      <c r="L3140" s="119"/>
      <c r="M3140" s="3"/>
    </row>
    <row r="3141" spans="1:13" s="4" customFormat="1" ht="14.25" customHeight="1" x14ac:dyDescent="0.25">
      <c r="A3141" s="4" t="s">
        <v>5255</v>
      </c>
      <c r="B3141" s="4" t="s">
        <v>38</v>
      </c>
      <c r="C3141" s="4" t="s">
        <v>14</v>
      </c>
      <c r="D3141" s="35">
        <v>1947</v>
      </c>
      <c r="E3141" s="4" t="s">
        <v>5256</v>
      </c>
      <c r="F3141" s="5">
        <v>39149</v>
      </c>
      <c r="G3141" s="5">
        <v>39156</v>
      </c>
      <c r="H3141" s="4" t="s">
        <v>40</v>
      </c>
      <c r="I3141" s="6">
        <v>2020</v>
      </c>
      <c r="J3141" s="6">
        <v>2020</v>
      </c>
      <c r="K3141" s="37" t="s">
        <v>5018</v>
      </c>
      <c r="L3141" s="119"/>
      <c r="M3141" s="3"/>
    </row>
    <row r="3142" spans="1:13" s="4" customFormat="1" ht="14.25" customHeight="1" x14ac:dyDescent="0.25">
      <c r="A3142" s="4" t="s">
        <v>5257</v>
      </c>
      <c r="B3142" s="4" t="s">
        <v>38</v>
      </c>
      <c r="C3142" s="4" t="s">
        <v>14</v>
      </c>
      <c r="D3142" s="35">
        <v>1948</v>
      </c>
      <c r="E3142" s="4" t="s">
        <v>5256</v>
      </c>
      <c r="F3142" s="5">
        <v>39204</v>
      </c>
      <c r="G3142" s="5">
        <v>39239</v>
      </c>
      <c r="H3142" s="4" t="s">
        <v>40</v>
      </c>
      <c r="I3142" s="6">
        <v>1900</v>
      </c>
      <c r="J3142" s="6">
        <v>1900</v>
      </c>
      <c r="K3142" s="37" t="s">
        <v>5018</v>
      </c>
      <c r="L3142" s="119"/>
      <c r="M3142" s="3"/>
    </row>
    <row r="3143" spans="1:13" s="4" customFormat="1" ht="14.25" customHeight="1" x14ac:dyDescent="0.25">
      <c r="A3143" s="4" t="s">
        <v>5258</v>
      </c>
      <c r="B3143" s="4" t="s">
        <v>38</v>
      </c>
      <c r="C3143" s="4" t="s">
        <v>14</v>
      </c>
      <c r="D3143" s="35">
        <v>1949</v>
      </c>
      <c r="E3143" s="4" t="s">
        <v>5259</v>
      </c>
      <c r="F3143" s="5">
        <v>39162</v>
      </c>
      <c r="G3143" s="5">
        <v>39176</v>
      </c>
      <c r="H3143" s="4" t="s">
        <v>40</v>
      </c>
      <c r="I3143" s="6">
        <v>1009.29</v>
      </c>
      <c r="J3143" s="6">
        <v>1009.29</v>
      </c>
      <c r="K3143" s="37" t="s">
        <v>5018</v>
      </c>
      <c r="L3143" s="119"/>
      <c r="M3143" s="3"/>
    </row>
    <row r="3144" spans="1:13" s="4" customFormat="1" ht="14.25" customHeight="1" x14ac:dyDescent="0.25">
      <c r="A3144" s="4" t="s">
        <v>5260</v>
      </c>
      <c r="B3144" s="4" t="s">
        <v>38</v>
      </c>
      <c r="C3144" s="4" t="s">
        <v>14</v>
      </c>
      <c r="D3144" s="35">
        <v>1950</v>
      </c>
      <c r="E3144" s="4" t="s">
        <v>5261</v>
      </c>
      <c r="F3144" s="5">
        <v>39189</v>
      </c>
      <c r="G3144" s="5">
        <v>39210</v>
      </c>
      <c r="H3144" s="4" t="s">
        <v>40</v>
      </c>
      <c r="I3144" s="6">
        <v>4595.3</v>
      </c>
      <c r="J3144" s="6">
        <v>4595</v>
      </c>
      <c r="K3144" s="37" t="s">
        <v>5018</v>
      </c>
      <c r="L3144" s="119"/>
      <c r="M3144" s="3"/>
    </row>
    <row r="3145" spans="1:13" s="4" customFormat="1" ht="14.25" customHeight="1" x14ac:dyDescent="0.25">
      <c r="A3145" s="4" t="s">
        <v>5262</v>
      </c>
      <c r="B3145" s="4" t="s">
        <v>38</v>
      </c>
      <c r="C3145" s="4" t="s">
        <v>14</v>
      </c>
      <c r="D3145" s="35">
        <v>1951</v>
      </c>
      <c r="E3145" s="4" t="s">
        <v>5263</v>
      </c>
      <c r="F3145" s="5">
        <v>39083</v>
      </c>
      <c r="G3145" s="5">
        <v>39447</v>
      </c>
      <c r="H3145" s="4" t="s">
        <v>40</v>
      </c>
      <c r="I3145" s="6">
        <v>523</v>
      </c>
      <c r="J3145" s="6">
        <v>523</v>
      </c>
      <c r="K3145" s="37" t="s">
        <v>5018</v>
      </c>
      <c r="L3145" s="119"/>
      <c r="M3145" s="3"/>
    </row>
    <row r="3146" spans="1:13" s="4" customFormat="1" ht="14.25" customHeight="1" x14ac:dyDescent="0.25">
      <c r="A3146" s="4" t="s">
        <v>5264</v>
      </c>
      <c r="B3146" s="4" t="s">
        <v>38</v>
      </c>
      <c r="C3146" s="4" t="s">
        <v>14</v>
      </c>
      <c r="D3146" s="35">
        <v>2227</v>
      </c>
      <c r="E3146" s="4" t="s">
        <v>5265</v>
      </c>
      <c r="F3146" s="5">
        <v>39088</v>
      </c>
      <c r="G3146" s="5">
        <v>39447</v>
      </c>
      <c r="H3146" s="4" t="s">
        <v>40</v>
      </c>
      <c r="I3146" s="6">
        <v>21604.97</v>
      </c>
      <c r="J3146" s="6">
        <v>21604.97</v>
      </c>
      <c r="K3146" s="37" t="s">
        <v>5018</v>
      </c>
      <c r="L3146" s="119"/>
      <c r="M3146" s="3"/>
    </row>
    <row r="3147" spans="1:13" s="4" customFormat="1" ht="14.25" customHeight="1" x14ac:dyDescent="0.25">
      <c r="A3147" s="4" t="s">
        <v>5266</v>
      </c>
      <c r="B3147" s="4" t="s">
        <v>38</v>
      </c>
      <c r="C3147" s="4" t="s">
        <v>14</v>
      </c>
      <c r="D3147" s="35">
        <v>2551</v>
      </c>
      <c r="E3147" s="7" t="s">
        <v>5267</v>
      </c>
      <c r="F3147" s="5">
        <v>39083</v>
      </c>
      <c r="G3147" s="5">
        <v>39447</v>
      </c>
      <c r="H3147" s="4" t="s">
        <v>40</v>
      </c>
      <c r="I3147" s="6">
        <v>1082.1099999999999</v>
      </c>
      <c r="J3147" s="6">
        <v>1082.21</v>
      </c>
      <c r="K3147" s="37" t="s">
        <v>5018</v>
      </c>
      <c r="L3147" s="119"/>
      <c r="M3147" s="3"/>
    </row>
    <row r="3148" spans="1:13" s="4" customFormat="1" ht="14.25" customHeight="1" x14ac:dyDescent="0.25">
      <c r="A3148" s="4" t="s">
        <v>5268</v>
      </c>
      <c r="B3148" s="4" t="s">
        <v>38</v>
      </c>
      <c r="C3148" s="4" t="s">
        <v>14</v>
      </c>
      <c r="D3148" s="35">
        <v>2561</v>
      </c>
      <c r="E3148" s="4" t="s">
        <v>5268</v>
      </c>
      <c r="F3148" s="5">
        <v>39449</v>
      </c>
      <c r="G3148" s="5">
        <v>39813</v>
      </c>
      <c r="H3148" s="4" t="s">
        <v>40</v>
      </c>
      <c r="I3148" s="6">
        <v>24341.119999999999</v>
      </c>
      <c r="J3148" s="6">
        <v>24341.119999999999</v>
      </c>
      <c r="K3148" s="37" t="s">
        <v>5018</v>
      </c>
      <c r="L3148" s="119"/>
      <c r="M3148" s="3"/>
    </row>
    <row r="3149" spans="1:13" s="4" customFormat="1" ht="14.25" customHeight="1" x14ac:dyDescent="0.25">
      <c r="A3149" s="4" t="s">
        <v>5269</v>
      </c>
      <c r="B3149" s="4" t="s">
        <v>38</v>
      </c>
      <c r="C3149" s="4" t="s">
        <v>14</v>
      </c>
      <c r="D3149" s="35">
        <v>2566</v>
      </c>
      <c r="E3149" s="4" t="s">
        <v>5269</v>
      </c>
      <c r="F3149" s="5">
        <v>39602</v>
      </c>
      <c r="G3149" s="5">
        <v>39731</v>
      </c>
      <c r="H3149" s="4" t="s">
        <v>40</v>
      </c>
      <c r="I3149" s="6">
        <v>5219.08</v>
      </c>
      <c r="J3149" s="6">
        <v>5219.08</v>
      </c>
      <c r="K3149" s="37" t="s">
        <v>5018</v>
      </c>
      <c r="L3149" s="119"/>
      <c r="M3149" s="3"/>
    </row>
    <row r="3150" spans="1:13" s="4" customFormat="1" ht="14.25" customHeight="1" x14ac:dyDescent="0.25">
      <c r="A3150" s="4" t="s">
        <v>5270</v>
      </c>
      <c r="B3150" s="4" t="s">
        <v>38</v>
      </c>
      <c r="C3150" s="4" t="s">
        <v>14</v>
      </c>
      <c r="D3150" s="35">
        <v>2576</v>
      </c>
      <c r="E3150" s="4" t="s">
        <v>5270</v>
      </c>
      <c r="F3150" s="5">
        <v>39448</v>
      </c>
      <c r="G3150" s="5">
        <v>39813</v>
      </c>
      <c r="H3150" s="4" t="s">
        <v>40</v>
      </c>
      <c r="I3150" s="6">
        <v>14500</v>
      </c>
      <c r="J3150" s="6">
        <v>14500</v>
      </c>
      <c r="K3150" s="37" t="s">
        <v>5018</v>
      </c>
      <c r="L3150" s="119"/>
      <c r="M3150" s="3"/>
    </row>
    <row r="3151" spans="1:13" s="4" customFormat="1" ht="14.25" customHeight="1" x14ac:dyDescent="0.25">
      <c r="A3151" s="4" t="s">
        <v>5271</v>
      </c>
      <c r="B3151" s="4" t="s">
        <v>38</v>
      </c>
      <c r="C3151" s="4" t="s">
        <v>14</v>
      </c>
      <c r="D3151" s="35">
        <v>2581</v>
      </c>
      <c r="E3151" s="4" t="s">
        <v>5271</v>
      </c>
      <c r="F3151" s="5">
        <v>39734</v>
      </c>
      <c r="G3151" s="5">
        <v>39738</v>
      </c>
      <c r="H3151" s="4" t="s">
        <v>40</v>
      </c>
      <c r="I3151" s="6">
        <v>2729.48</v>
      </c>
      <c r="J3151" s="6">
        <v>2729.48</v>
      </c>
      <c r="K3151" s="37" t="s">
        <v>5018</v>
      </c>
      <c r="L3151" s="119"/>
      <c r="M3151" s="3"/>
    </row>
    <row r="3152" spans="1:13" s="4" customFormat="1" ht="14.25" customHeight="1" x14ac:dyDescent="0.25">
      <c r="A3152" s="4" t="s">
        <v>5272</v>
      </c>
      <c r="B3152" s="4" t="s">
        <v>38</v>
      </c>
      <c r="C3152" s="4" t="s">
        <v>14</v>
      </c>
      <c r="D3152" s="35">
        <v>2582</v>
      </c>
      <c r="E3152" s="4" t="s">
        <v>5273</v>
      </c>
      <c r="F3152" s="5">
        <v>39448</v>
      </c>
      <c r="G3152" s="5">
        <v>39813</v>
      </c>
      <c r="H3152" s="4" t="s">
        <v>40</v>
      </c>
      <c r="I3152" s="6">
        <v>918.5</v>
      </c>
      <c r="J3152" s="6">
        <v>918.5</v>
      </c>
      <c r="K3152" s="37" t="s">
        <v>5018</v>
      </c>
      <c r="L3152" s="119"/>
      <c r="M3152" s="3"/>
    </row>
    <row r="3153" spans="1:13" s="4" customFormat="1" ht="14.25" customHeight="1" x14ac:dyDescent="0.25">
      <c r="A3153" s="4" t="s">
        <v>5274</v>
      </c>
      <c r="B3153" s="4" t="s">
        <v>38</v>
      </c>
      <c r="C3153" s="4" t="s">
        <v>14</v>
      </c>
      <c r="D3153" s="35">
        <v>2584</v>
      </c>
      <c r="E3153" s="7" t="s">
        <v>5275</v>
      </c>
      <c r="F3153" s="5">
        <v>39448</v>
      </c>
      <c r="G3153" s="5">
        <v>39813</v>
      </c>
      <c r="H3153" s="4" t="s">
        <v>40</v>
      </c>
      <c r="I3153" s="6">
        <v>5000</v>
      </c>
      <c r="J3153" s="6">
        <v>5000</v>
      </c>
      <c r="K3153" s="37" t="s">
        <v>5018</v>
      </c>
      <c r="L3153" s="119"/>
      <c r="M3153" s="3"/>
    </row>
    <row r="3154" spans="1:13" s="4" customFormat="1" ht="14.25" customHeight="1" x14ac:dyDescent="0.25">
      <c r="A3154" s="4" t="s">
        <v>5276</v>
      </c>
      <c r="B3154" s="4" t="s">
        <v>38</v>
      </c>
      <c r="C3154" s="4" t="s">
        <v>14</v>
      </c>
      <c r="D3154" s="35">
        <v>2585</v>
      </c>
      <c r="E3154" s="4" t="s">
        <v>5277</v>
      </c>
      <c r="F3154" s="5">
        <v>39448</v>
      </c>
      <c r="G3154" s="5">
        <v>39813</v>
      </c>
      <c r="H3154" s="4" t="s">
        <v>40</v>
      </c>
      <c r="I3154" s="6">
        <v>1837.68</v>
      </c>
      <c r="J3154" s="6">
        <v>1837.68</v>
      </c>
      <c r="K3154" s="37" t="s">
        <v>5018</v>
      </c>
      <c r="L3154" s="119"/>
      <c r="M3154" s="3"/>
    </row>
    <row r="3155" spans="1:13" s="4" customFormat="1" ht="14.25" customHeight="1" x14ac:dyDescent="0.25">
      <c r="A3155" s="4" t="s">
        <v>5278</v>
      </c>
      <c r="B3155" s="4" t="s">
        <v>38</v>
      </c>
      <c r="C3155" s="4" t="s">
        <v>14</v>
      </c>
      <c r="D3155" s="35">
        <v>2586</v>
      </c>
      <c r="E3155" s="4" t="s">
        <v>5278</v>
      </c>
      <c r="F3155" s="5">
        <v>39448</v>
      </c>
      <c r="G3155" s="5">
        <v>39813</v>
      </c>
      <c r="H3155" s="4" t="s">
        <v>40</v>
      </c>
      <c r="I3155" s="6">
        <v>83445.91</v>
      </c>
      <c r="J3155" s="6">
        <v>83445.91</v>
      </c>
      <c r="K3155" s="37" t="s">
        <v>5018</v>
      </c>
      <c r="L3155" s="119"/>
      <c r="M3155" s="3"/>
    </row>
    <row r="3156" spans="1:13" s="4" customFormat="1" ht="14.25" customHeight="1" x14ac:dyDescent="0.25">
      <c r="A3156" s="4" t="s">
        <v>5279</v>
      </c>
      <c r="B3156" s="4" t="s">
        <v>38</v>
      </c>
      <c r="C3156" s="4" t="s">
        <v>14</v>
      </c>
      <c r="D3156" s="35">
        <v>2587</v>
      </c>
      <c r="E3156" s="4" t="s">
        <v>5279</v>
      </c>
      <c r="F3156" s="5">
        <v>39448</v>
      </c>
      <c r="G3156" s="5">
        <v>39813</v>
      </c>
      <c r="H3156" s="4" t="s">
        <v>40</v>
      </c>
      <c r="I3156" s="6">
        <v>43646.07</v>
      </c>
      <c r="J3156" s="6">
        <v>43646.07</v>
      </c>
      <c r="K3156" s="37" t="s">
        <v>5018</v>
      </c>
      <c r="L3156" s="119"/>
      <c r="M3156" s="3"/>
    </row>
    <row r="3157" spans="1:13" s="4" customFormat="1" ht="14.25" customHeight="1" x14ac:dyDescent="0.25">
      <c r="A3157" s="4" t="s">
        <v>5280</v>
      </c>
      <c r="B3157" s="4" t="s">
        <v>38</v>
      </c>
      <c r="C3157" s="4" t="s">
        <v>14</v>
      </c>
      <c r="D3157" s="35">
        <v>2588</v>
      </c>
      <c r="E3157" s="4" t="s">
        <v>5280</v>
      </c>
      <c r="F3157" s="5">
        <v>39448</v>
      </c>
      <c r="G3157" s="5">
        <v>39813</v>
      </c>
      <c r="H3157" s="4" t="s">
        <v>40</v>
      </c>
      <c r="I3157" s="6">
        <v>1532.37</v>
      </c>
      <c r="J3157" s="6">
        <v>1532.37</v>
      </c>
      <c r="K3157" s="37" t="s">
        <v>5018</v>
      </c>
      <c r="L3157" s="119"/>
      <c r="M3157" s="3"/>
    </row>
    <row r="3158" spans="1:13" s="4" customFormat="1" ht="14.25" customHeight="1" x14ac:dyDescent="0.25">
      <c r="A3158" s="4" t="s">
        <v>5281</v>
      </c>
      <c r="B3158" s="4" t="s">
        <v>38</v>
      </c>
      <c r="C3158" s="4" t="s">
        <v>14</v>
      </c>
      <c r="D3158" s="35">
        <v>2589</v>
      </c>
      <c r="E3158" s="4" t="s">
        <v>5282</v>
      </c>
      <c r="F3158" s="5">
        <v>39448</v>
      </c>
      <c r="G3158" s="5">
        <v>39813</v>
      </c>
      <c r="H3158" s="4" t="s">
        <v>40</v>
      </c>
      <c r="I3158" s="6">
        <v>1954.4</v>
      </c>
      <c r="J3158" s="6">
        <v>1954.4</v>
      </c>
      <c r="K3158" s="37" t="s">
        <v>5018</v>
      </c>
      <c r="L3158" s="119"/>
      <c r="M3158" s="3"/>
    </row>
    <row r="3159" spans="1:13" s="4" customFormat="1" ht="14.25" customHeight="1" x14ac:dyDescent="0.25">
      <c r="A3159" s="4" t="s">
        <v>5283</v>
      </c>
      <c r="B3159" s="4" t="s">
        <v>38</v>
      </c>
      <c r="C3159" s="4" t="s">
        <v>14</v>
      </c>
      <c r="D3159" s="35">
        <v>2590</v>
      </c>
      <c r="E3159" s="4" t="s">
        <v>5283</v>
      </c>
      <c r="F3159" s="5">
        <v>39448</v>
      </c>
      <c r="G3159" s="5">
        <v>39813</v>
      </c>
      <c r="H3159" s="4" t="s">
        <v>40</v>
      </c>
      <c r="I3159" s="6">
        <v>1446.35</v>
      </c>
      <c r="J3159" s="6">
        <v>1446.35</v>
      </c>
      <c r="K3159" s="37" t="s">
        <v>5018</v>
      </c>
      <c r="L3159" s="119"/>
      <c r="M3159" s="3"/>
    </row>
    <row r="3160" spans="1:13" s="4" customFormat="1" ht="14.25" customHeight="1" x14ac:dyDescent="0.25">
      <c r="A3160" s="4" t="s">
        <v>5284</v>
      </c>
      <c r="B3160" s="4" t="s">
        <v>38</v>
      </c>
      <c r="C3160" s="4" t="s">
        <v>14</v>
      </c>
      <c r="D3160" s="35">
        <v>2591</v>
      </c>
      <c r="E3160" s="7" t="s">
        <v>5267</v>
      </c>
      <c r="F3160" s="5">
        <v>39448</v>
      </c>
      <c r="G3160" s="5">
        <v>39813</v>
      </c>
      <c r="H3160" s="4" t="s">
        <v>40</v>
      </c>
      <c r="I3160" s="6">
        <v>10188.34</v>
      </c>
      <c r="J3160" s="6">
        <v>10188.34</v>
      </c>
      <c r="K3160" s="37" t="s">
        <v>5018</v>
      </c>
      <c r="L3160" s="119"/>
      <c r="M3160" s="3"/>
    </row>
    <row r="3161" spans="1:13" s="4" customFormat="1" ht="14.25" customHeight="1" x14ac:dyDescent="0.25">
      <c r="A3161" s="4" t="s">
        <v>5285</v>
      </c>
      <c r="B3161" s="4" t="s">
        <v>38</v>
      </c>
      <c r="C3161" s="4" t="s">
        <v>14</v>
      </c>
      <c r="D3161" s="35">
        <v>2592</v>
      </c>
      <c r="E3161" s="4" t="s">
        <v>5286</v>
      </c>
      <c r="F3161" s="5">
        <v>39720</v>
      </c>
      <c r="G3161" s="5">
        <v>39720</v>
      </c>
      <c r="H3161" s="4" t="s">
        <v>40</v>
      </c>
      <c r="I3161" s="6">
        <v>3400</v>
      </c>
      <c r="J3161" s="6">
        <v>3400</v>
      </c>
      <c r="K3161" s="37" t="s">
        <v>5018</v>
      </c>
      <c r="L3161" s="119"/>
      <c r="M3161" s="3"/>
    </row>
    <row r="3162" spans="1:13" s="4" customFormat="1" ht="14.25" customHeight="1" x14ac:dyDescent="0.25">
      <c r="A3162" s="4" t="s">
        <v>5287</v>
      </c>
      <c r="B3162" s="4" t="s">
        <v>38</v>
      </c>
      <c r="C3162" s="4" t="s">
        <v>14</v>
      </c>
      <c r="D3162" s="35">
        <v>2594</v>
      </c>
      <c r="E3162" s="4" t="s">
        <v>5287</v>
      </c>
      <c r="F3162" s="5">
        <v>39448</v>
      </c>
      <c r="G3162" s="5">
        <v>39813</v>
      </c>
      <c r="H3162" s="4" t="s">
        <v>40</v>
      </c>
      <c r="I3162" s="6">
        <v>26555.919999999998</v>
      </c>
      <c r="J3162" s="6">
        <v>26555.919999999998</v>
      </c>
      <c r="K3162" s="37" t="s">
        <v>5018</v>
      </c>
      <c r="L3162" s="119"/>
      <c r="M3162" s="3"/>
    </row>
    <row r="3163" spans="1:13" s="4" customFormat="1" ht="14.25" customHeight="1" x14ac:dyDescent="0.25">
      <c r="A3163" s="4" t="s">
        <v>5288</v>
      </c>
      <c r="B3163" s="4" t="s">
        <v>38</v>
      </c>
      <c r="C3163" s="4" t="s">
        <v>14</v>
      </c>
      <c r="D3163" s="35">
        <v>2595</v>
      </c>
      <c r="E3163" s="4" t="s">
        <v>5289</v>
      </c>
      <c r="F3163" s="5">
        <v>39448</v>
      </c>
      <c r="G3163" s="5">
        <v>39813</v>
      </c>
      <c r="H3163" s="4" t="s">
        <v>40</v>
      </c>
      <c r="I3163" s="6">
        <v>75931.600000000006</v>
      </c>
      <c r="J3163" s="6">
        <v>37965.800000000003</v>
      </c>
      <c r="K3163" s="37" t="s">
        <v>5018</v>
      </c>
      <c r="L3163" s="119"/>
      <c r="M3163" s="3"/>
    </row>
    <row r="3164" spans="1:13" s="4" customFormat="1" ht="14.25" customHeight="1" x14ac:dyDescent="0.25">
      <c r="A3164" s="4" t="s">
        <v>5290</v>
      </c>
      <c r="B3164" s="4" t="s">
        <v>38</v>
      </c>
      <c r="C3164" s="4" t="s">
        <v>14</v>
      </c>
      <c r="D3164" s="35">
        <v>2596</v>
      </c>
      <c r="E3164" s="4" t="s">
        <v>5290</v>
      </c>
      <c r="F3164" s="5">
        <v>39499</v>
      </c>
      <c r="G3164" s="5">
        <v>39520</v>
      </c>
      <c r="H3164" s="4" t="s">
        <v>40</v>
      </c>
      <c r="I3164" s="6">
        <v>700</v>
      </c>
      <c r="J3164" s="6">
        <v>700</v>
      </c>
      <c r="K3164" s="37" t="s">
        <v>5018</v>
      </c>
      <c r="L3164" s="119"/>
      <c r="M3164" s="3"/>
    </row>
    <row r="3165" spans="1:13" s="4" customFormat="1" ht="14.25" customHeight="1" x14ac:dyDescent="0.25">
      <c r="A3165" s="4" t="s">
        <v>5291</v>
      </c>
      <c r="B3165" s="4" t="s">
        <v>38</v>
      </c>
      <c r="C3165" s="4" t="s">
        <v>14</v>
      </c>
      <c r="D3165" s="35">
        <v>2597</v>
      </c>
      <c r="E3165" s="4" t="s">
        <v>5291</v>
      </c>
      <c r="F3165" s="5">
        <v>39757</v>
      </c>
      <c r="G3165" s="5">
        <v>39778</v>
      </c>
      <c r="H3165" s="4" t="s">
        <v>40</v>
      </c>
      <c r="I3165" s="6">
        <v>700</v>
      </c>
      <c r="J3165" s="6">
        <v>700</v>
      </c>
      <c r="K3165" s="37" t="s">
        <v>5018</v>
      </c>
      <c r="L3165" s="119"/>
      <c r="M3165" s="3"/>
    </row>
    <row r="3166" spans="1:13" s="4" customFormat="1" ht="14.25" customHeight="1" x14ac:dyDescent="0.25">
      <c r="A3166" s="4" t="s">
        <v>5292</v>
      </c>
      <c r="B3166" s="4" t="s">
        <v>38</v>
      </c>
      <c r="C3166" s="4" t="s">
        <v>14</v>
      </c>
      <c r="D3166" s="35">
        <v>2598</v>
      </c>
      <c r="E3166" s="4" t="s">
        <v>5292</v>
      </c>
      <c r="F3166" s="5">
        <v>39548</v>
      </c>
      <c r="G3166" s="5">
        <v>39569</v>
      </c>
      <c r="H3166" s="4" t="s">
        <v>40</v>
      </c>
      <c r="I3166" s="6">
        <v>100</v>
      </c>
      <c r="J3166" s="6">
        <v>100</v>
      </c>
      <c r="K3166" s="37" t="s">
        <v>5018</v>
      </c>
      <c r="L3166" s="119"/>
      <c r="M3166" s="3"/>
    </row>
    <row r="3167" spans="1:13" s="4" customFormat="1" ht="14.25" customHeight="1" x14ac:dyDescent="0.25">
      <c r="A3167" s="4" t="s">
        <v>5293</v>
      </c>
      <c r="B3167" s="4" t="s">
        <v>38</v>
      </c>
      <c r="C3167" s="4" t="s">
        <v>14</v>
      </c>
      <c r="D3167" s="35">
        <v>2599</v>
      </c>
      <c r="E3167" s="4" t="s">
        <v>5293</v>
      </c>
      <c r="F3167" s="5">
        <v>39756</v>
      </c>
      <c r="G3167" s="5">
        <v>39766</v>
      </c>
      <c r="H3167" s="4" t="s">
        <v>40</v>
      </c>
      <c r="I3167" s="6">
        <v>300</v>
      </c>
      <c r="J3167" s="6">
        <v>300</v>
      </c>
      <c r="K3167" s="37" t="s">
        <v>5018</v>
      </c>
      <c r="L3167" s="119"/>
      <c r="M3167" s="3"/>
    </row>
    <row r="3168" spans="1:13" s="4" customFormat="1" ht="14.25" customHeight="1" x14ac:dyDescent="0.25">
      <c r="A3168" s="4" t="s">
        <v>5294</v>
      </c>
      <c r="B3168" s="4" t="s">
        <v>38</v>
      </c>
      <c r="C3168" s="4" t="s">
        <v>14</v>
      </c>
      <c r="D3168" s="35">
        <v>2600</v>
      </c>
      <c r="E3168" s="4" t="s">
        <v>5294</v>
      </c>
      <c r="F3168" s="5">
        <v>39448</v>
      </c>
      <c r="G3168" s="5">
        <v>39813</v>
      </c>
      <c r="H3168" s="4" t="s">
        <v>40</v>
      </c>
      <c r="I3168" s="6">
        <v>3153.5</v>
      </c>
      <c r="J3168" s="6">
        <v>3153.5</v>
      </c>
      <c r="K3168" s="37" t="s">
        <v>5018</v>
      </c>
      <c r="L3168" s="119"/>
      <c r="M3168" s="3"/>
    </row>
    <row r="3169" spans="1:14" s="4" customFormat="1" ht="14.25" customHeight="1" x14ac:dyDescent="0.25">
      <c r="A3169" s="4" t="s">
        <v>5295</v>
      </c>
      <c r="B3169" s="4" t="s">
        <v>38</v>
      </c>
      <c r="C3169" s="4" t="s">
        <v>14</v>
      </c>
      <c r="D3169" s="35">
        <v>2601</v>
      </c>
      <c r="E3169" s="4" t="s">
        <v>5295</v>
      </c>
      <c r="F3169" s="5">
        <v>39555</v>
      </c>
      <c r="G3169" s="5">
        <v>39555</v>
      </c>
      <c r="H3169" s="4" t="s">
        <v>40</v>
      </c>
      <c r="I3169" s="6">
        <v>580</v>
      </c>
      <c r="J3169" s="6">
        <v>580</v>
      </c>
      <c r="K3169" s="37" t="s">
        <v>5018</v>
      </c>
      <c r="L3169" s="119"/>
      <c r="M3169" s="3"/>
    </row>
    <row r="3170" spans="1:14" s="4" customFormat="1" ht="14.25" customHeight="1" x14ac:dyDescent="0.25">
      <c r="A3170" s="4" t="s">
        <v>5296</v>
      </c>
      <c r="B3170" s="4" t="s">
        <v>38</v>
      </c>
      <c r="C3170" s="4" t="s">
        <v>14</v>
      </c>
      <c r="D3170" s="35">
        <v>2603</v>
      </c>
      <c r="E3170" s="4" t="s">
        <v>5296</v>
      </c>
      <c r="F3170" s="5">
        <v>39476</v>
      </c>
      <c r="G3170" s="5">
        <v>39813</v>
      </c>
      <c r="H3170" s="4" t="s">
        <v>40</v>
      </c>
      <c r="I3170" s="6">
        <v>7140</v>
      </c>
      <c r="J3170" s="6">
        <v>7140</v>
      </c>
      <c r="K3170" s="37" t="s">
        <v>5018</v>
      </c>
      <c r="L3170" s="119"/>
      <c r="M3170" s="3"/>
    </row>
    <row r="3171" spans="1:14" s="21" customFormat="1" ht="14.25" customHeight="1" x14ac:dyDescent="0.25">
      <c r="A3171" s="21" t="s">
        <v>11633</v>
      </c>
      <c r="B3171" s="4" t="s">
        <v>38</v>
      </c>
      <c r="C3171" s="21" t="s">
        <v>14</v>
      </c>
      <c r="D3171" s="36">
        <v>2604</v>
      </c>
      <c r="E3171" s="4" t="s">
        <v>11633</v>
      </c>
      <c r="F3171" s="22">
        <v>39540</v>
      </c>
      <c r="G3171" s="22">
        <v>39568</v>
      </c>
      <c r="H3171" s="21" t="s">
        <v>40</v>
      </c>
      <c r="I3171" s="23">
        <v>-240</v>
      </c>
      <c r="J3171" s="23">
        <v>-240</v>
      </c>
      <c r="K3171" s="39" t="s">
        <v>5018</v>
      </c>
      <c r="L3171" s="123"/>
      <c r="M3171" s="24"/>
      <c r="N3171" s="24"/>
    </row>
    <row r="3172" spans="1:14" s="4" customFormat="1" ht="14.25" customHeight="1" x14ac:dyDescent="0.25">
      <c r="A3172" s="4" t="s">
        <v>5297</v>
      </c>
      <c r="B3172" s="4" t="s">
        <v>38</v>
      </c>
      <c r="C3172" s="4" t="s">
        <v>14</v>
      </c>
      <c r="D3172" s="35">
        <v>2826</v>
      </c>
      <c r="E3172" s="4" t="s">
        <v>5297</v>
      </c>
      <c r="F3172" s="5">
        <v>39497</v>
      </c>
      <c r="G3172" s="5">
        <v>39511</v>
      </c>
      <c r="H3172" s="4" t="s">
        <v>40</v>
      </c>
      <c r="I3172" s="6">
        <v>1594</v>
      </c>
      <c r="J3172" s="6">
        <v>1594</v>
      </c>
      <c r="K3172" s="37" t="s">
        <v>5018</v>
      </c>
      <c r="L3172" s="119"/>
      <c r="M3172" s="3"/>
    </row>
    <row r="3173" spans="1:14" s="4" customFormat="1" ht="14.25" customHeight="1" x14ac:dyDescent="0.25">
      <c r="A3173" s="4" t="s">
        <v>5298</v>
      </c>
      <c r="B3173" s="4" t="s">
        <v>38</v>
      </c>
      <c r="C3173" s="4" t="s">
        <v>14</v>
      </c>
      <c r="D3173" s="35">
        <v>2830</v>
      </c>
      <c r="E3173" s="4" t="s">
        <v>5240</v>
      </c>
      <c r="F3173" s="5">
        <v>39480</v>
      </c>
      <c r="G3173" s="5">
        <v>39510</v>
      </c>
      <c r="H3173" s="4" t="s">
        <v>40</v>
      </c>
      <c r="I3173" s="6">
        <v>1865.49</v>
      </c>
      <c r="J3173" s="6">
        <v>1865.49</v>
      </c>
      <c r="K3173" s="37" t="s">
        <v>5018</v>
      </c>
      <c r="L3173" s="119"/>
      <c r="M3173" s="3"/>
    </row>
    <row r="3174" spans="1:14" s="4" customFormat="1" ht="14.25" customHeight="1" x14ac:dyDescent="0.25">
      <c r="A3174" s="4" t="s">
        <v>5299</v>
      </c>
      <c r="B3174" s="4" t="s">
        <v>38</v>
      </c>
      <c r="C3174" s="4" t="s">
        <v>14</v>
      </c>
      <c r="D3174" s="35">
        <v>2831</v>
      </c>
      <c r="E3174" s="4" t="s">
        <v>5240</v>
      </c>
      <c r="F3174" s="5">
        <v>39480</v>
      </c>
      <c r="G3174" s="5">
        <v>39568</v>
      </c>
      <c r="H3174" s="4" t="s">
        <v>40</v>
      </c>
      <c r="I3174" s="6">
        <v>680.13</v>
      </c>
      <c r="J3174" s="6">
        <v>680.13</v>
      </c>
      <c r="K3174" s="37" t="s">
        <v>5018</v>
      </c>
      <c r="L3174" s="119"/>
      <c r="M3174" s="3"/>
    </row>
    <row r="3175" spans="1:14" s="4" customFormat="1" ht="14.25" customHeight="1" x14ac:dyDescent="0.25">
      <c r="A3175" s="4" t="s">
        <v>5300</v>
      </c>
      <c r="B3175" s="4" t="s">
        <v>38</v>
      </c>
      <c r="C3175" s="4" t="s">
        <v>14</v>
      </c>
      <c r="D3175" s="35">
        <v>2836</v>
      </c>
      <c r="E3175" s="4" t="s">
        <v>5301</v>
      </c>
      <c r="F3175" s="5">
        <v>39692</v>
      </c>
      <c r="G3175" s="5">
        <v>40178</v>
      </c>
      <c r="H3175" s="4" t="s">
        <v>40</v>
      </c>
      <c r="I3175" s="6">
        <v>1395.64</v>
      </c>
      <c r="J3175" s="6">
        <v>1395.64</v>
      </c>
      <c r="K3175" s="37" t="s">
        <v>5018</v>
      </c>
      <c r="L3175" s="119"/>
      <c r="M3175" s="3"/>
    </row>
    <row r="3176" spans="1:14" s="4" customFormat="1" ht="14.25" customHeight="1" x14ac:dyDescent="0.25">
      <c r="A3176" s="4" t="s">
        <v>5302</v>
      </c>
      <c r="B3176" s="4" t="s">
        <v>38</v>
      </c>
      <c r="C3176" s="4" t="s">
        <v>14</v>
      </c>
      <c r="D3176" s="35">
        <v>2837</v>
      </c>
      <c r="E3176" s="4" t="s">
        <v>5303</v>
      </c>
      <c r="F3176" s="5">
        <v>39692</v>
      </c>
      <c r="G3176" s="5">
        <v>40178</v>
      </c>
      <c r="H3176" s="4" t="s">
        <v>40</v>
      </c>
      <c r="I3176" s="6">
        <v>1696.7</v>
      </c>
      <c r="J3176" s="6">
        <v>1696.7</v>
      </c>
      <c r="K3176" s="37" t="s">
        <v>5018</v>
      </c>
      <c r="L3176" s="119"/>
      <c r="M3176" s="3"/>
    </row>
    <row r="3177" spans="1:14" s="4" customFormat="1" ht="14.25" customHeight="1" x14ac:dyDescent="0.25">
      <c r="A3177" s="4" t="s">
        <v>5304</v>
      </c>
      <c r="B3177" s="4" t="s">
        <v>38</v>
      </c>
      <c r="C3177" s="4" t="s">
        <v>14</v>
      </c>
      <c r="D3177" s="35">
        <v>2838</v>
      </c>
      <c r="E3177" s="4" t="s">
        <v>5250</v>
      </c>
      <c r="F3177" s="5">
        <v>39692</v>
      </c>
      <c r="G3177" s="5">
        <v>39813</v>
      </c>
      <c r="H3177" s="4" t="s">
        <v>40</v>
      </c>
      <c r="I3177" s="6">
        <v>525</v>
      </c>
      <c r="J3177" s="6">
        <v>525</v>
      </c>
      <c r="K3177" s="37" t="s">
        <v>5018</v>
      </c>
      <c r="L3177" s="119"/>
      <c r="M3177" s="3"/>
    </row>
    <row r="3178" spans="1:14" s="4" customFormat="1" ht="14.25" customHeight="1" x14ac:dyDescent="0.25">
      <c r="A3178" s="4" t="s">
        <v>5305</v>
      </c>
      <c r="B3178" s="4" t="s">
        <v>38</v>
      </c>
      <c r="C3178" s="4" t="s">
        <v>14</v>
      </c>
      <c r="D3178" s="35">
        <v>2839</v>
      </c>
      <c r="E3178" s="4" t="s">
        <v>5305</v>
      </c>
      <c r="F3178" s="5">
        <v>39482</v>
      </c>
      <c r="G3178" s="5">
        <v>39510</v>
      </c>
      <c r="H3178" s="4" t="s">
        <v>40</v>
      </c>
      <c r="I3178" s="6">
        <v>3015</v>
      </c>
      <c r="J3178" s="6">
        <v>3015</v>
      </c>
      <c r="K3178" s="37" t="s">
        <v>5018</v>
      </c>
      <c r="L3178" s="119"/>
      <c r="M3178" s="3"/>
    </row>
    <row r="3179" spans="1:14" s="21" customFormat="1" ht="14.25" customHeight="1" x14ac:dyDescent="0.25">
      <c r="A3179" s="21" t="s">
        <v>11634</v>
      </c>
      <c r="B3179" s="4" t="s">
        <v>38</v>
      </c>
      <c r="C3179" s="21" t="s">
        <v>14</v>
      </c>
      <c r="D3179" s="36">
        <v>2840</v>
      </c>
      <c r="E3179" s="4" t="s">
        <v>11634</v>
      </c>
      <c r="F3179" s="22">
        <v>39479</v>
      </c>
      <c r="G3179" s="22">
        <v>39629</v>
      </c>
      <c r="H3179" s="21" t="s">
        <v>40</v>
      </c>
      <c r="I3179" s="23">
        <v>-300</v>
      </c>
      <c r="J3179" s="23">
        <v>-300</v>
      </c>
      <c r="K3179" s="39" t="s">
        <v>5018</v>
      </c>
      <c r="L3179" s="123"/>
      <c r="M3179" s="24"/>
      <c r="N3179" s="24"/>
    </row>
    <row r="3180" spans="1:14" s="4" customFormat="1" ht="14.25" customHeight="1" x14ac:dyDescent="0.25">
      <c r="A3180" s="4" t="s">
        <v>5306</v>
      </c>
      <c r="B3180" s="4" t="s">
        <v>38</v>
      </c>
      <c r="C3180" s="4" t="s">
        <v>14</v>
      </c>
      <c r="D3180" s="35">
        <v>2841</v>
      </c>
      <c r="E3180" s="4" t="s">
        <v>5306</v>
      </c>
      <c r="F3180" s="5">
        <v>39692</v>
      </c>
      <c r="G3180" s="5">
        <v>39813</v>
      </c>
      <c r="H3180" s="4" t="s">
        <v>40</v>
      </c>
      <c r="I3180" s="6">
        <v>950</v>
      </c>
      <c r="J3180" s="6">
        <v>950</v>
      </c>
      <c r="K3180" s="37" t="s">
        <v>5018</v>
      </c>
      <c r="L3180" s="119"/>
      <c r="M3180" s="3"/>
    </row>
    <row r="3181" spans="1:14" s="4" customFormat="1" ht="14.25" customHeight="1" x14ac:dyDescent="0.25">
      <c r="A3181" s="4" t="s">
        <v>5307</v>
      </c>
      <c r="B3181" s="4" t="s">
        <v>38</v>
      </c>
      <c r="C3181" s="4" t="s">
        <v>14</v>
      </c>
      <c r="D3181" s="35">
        <v>2842</v>
      </c>
      <c r="E3181" s="4" t="s">
        <v>5307</v>
      </c>
      <c r="F3181" s="5">
        <v>39692</v>
      </c>
      <c r="G3181" s="5">
        <v>39813</v>
      </c>
      <c r="H3181" s="4" t="s">
        <v>40</v>
      </c>
      <c r="I3181" s="6">
        <v>500</v>
      </c>
      <c r="J3181" s="6">
        <v>500</v>
      </c>
      <c r="K3181" s="37" t="s">
        <v>5018</v>
      </c>
      <c r="L3181" s="119"/>
      <c r="M3181" s="3"/>
    </row>
    <row r="3182" spans="1:14" s="21" customFormat="1" ht="14.25" customHeight="1" x14ac:dyDescent="0.25">
      <c r="A3182" s="21" t="s">
        <v>11635</v>
      </c>
      <c r="B3182" s="4" t="s">
        <v>38</v>
      </c>
      <c r="C3182" s="21" t="s">
        <v>14</v>
      </c>
      <c r="D3182" s="36">
        <v>2843</v>
      </c>
      <c r="E3182" s="4" t="s">
        <v>11635</v>
      </c>
      <c r="F3182" s="22">
        <v>39713</v>
      </c>
      <c r="G3182" s="22">
        <v>39741</v>
      </c>
      <c r="H3182" s="21" t="s">
        <v>40</v>
      </c>
      <c r="I3182" s="23">
        <v>-915</v>
      </c>
      <c r="J3182" s="23">
        <v>-915</v>
      </c>
      <c r="K3182" s="39" t="s">
        <v>5018</v>
      </c>
      <c r="L3182" s="123"/>
      <c r="M3182" s="24"/>
      <c r="N3182" s="24"/>
    </row>
    <row r="3183" spans="1:14" s="4" customFormat="1" ht="14.25" customHeight="1" x14ac:dyDescent="0.25">
      <c r="A3183" s="4" t="s">
        <v>5308</v>
      </c>
      <c r="B3183" s="4" t="s">
        <v>38</v>
      </c>
      <c r="C3183" s="4" t="s">
        <v>14</v>
      </c>
      <c r="D3183" s="35">
        <v>2844</v>
      </c>
      <c r="E3183" s="4" t="s">
        <v>5308</v>
      </c>
      <c r="F3183" s="5">
        <v>39779</v>
      </c>
      <c r="G3183" s="5">
        <v>39785</v>
      </c>
      <c r="H3183" s="4" t="s">
        <v>40</v>
      </c>
      <c r="I3183" s="6">
        <v>600</v>
      </c>
      <c r="J3183" s="6">
        <v>600</v>
      </c>
      <c r="K3183" s="37" t="s">
        <v>5018</v>
      </c>
      <c r="L3183" s="119"/>
      <c r="M3183" s="3"/>
    </row>
    <row r="3184" spans="1:14" s="4" customFormat="1" ht="14.25" customHeight="1" x14ac:dyDescent="0.25">
      <c r="A3184" s="4" t="s">
        <v>5309</v>
      </c>
      <c r="B3184" s="4" t="s">
        <v>38</v>
      </c>
      <c r="C3184" s="4" t="s">
        <v>14</v>
      </c>
      <c r="D3184" s="35">
        <v>2845</v>
      </c>
      <c r="E3184" s="4" t="s">
        <v>5309</v>
      </c>
      <c r="F3184" s="5">
        <v>39546</v>
      </c>
      <c r="G3184" s="5">
        <v>39553</v>
      </c>
      <c r="H3184" s="4" t="s">
        <v>40</v>
      </c>
      <c r="I3184" s="6">
        <v>1159</v>
      </c>
      <c r="J3184" s="6">
        <v>1159</v>
      </c>
      <c r="K3184" s="37" t="s">
        <v>5018</v>
      </c>
      <c r="L3184" s="119"/>
      <c r="M3184" s="3"/>
    </row>
    <row r="3185" spans="1:14" s="4" customFormat="1" ht="14.25" customHeight="1" x14ac:dyDescent="0.25">
      <c r="A3185" s="4" t="s">
        <v>5310</v>
      </c>
      <c r="B3185" s="4" t="s">
        <v>38</v>
      </c>
      <c r="C3185" s="4" t="s">
        <v>14</v>
      </c>
      <c r="D3185" s="35">
        <v>2846</v>
      </c>
      <c r="E3185" s="4" t="s">
        <v>5310</v>
      </c>
      <c r="F3185" s="5">
        <v>39755</v>
      </c>
      <c r="G3185" s="5">
        <v>39769</v>
      </c>
      <c r="H3185" s="4" t="s">
        <v>40</v>
      </c>
      <c r="I3185" s="6">
        <v>1955</v>
      </c>
      <c r="J3185" s="6">
        <v>1955</v>
      </c>
      <c r="K3185" s="37" t="s">
        <v>5018</v>
      </c>
      <c r="L3185" s="119"/>
      <c r="M3185" s="3"/>
    </row>
    <row r="3186" spans="1:14" s="21" customFormat="1" ht="14.25" customHeight="1" x14ac:dyDescent="0.25">
      <c r="A3186" s="21" t="s">
        <v>11636</v>
      </c>
      <c r="B3186" s="4" t="s">
        <v>38</v>
      </c>
      <c r="C3186" s="21" t="s">
        <v>14</v>
      </c>
      <c r="D3186" s="36">
        <v>2847</v>
      </c>
      <c r="E3186" s="4" t="s">
        <v>11636</v>
      </c>
      <c r="F3186" s="22">
        <v>39560</v>
      </c>
      <c r="G3186" s="22">
        <v>39574</v>
      </c>
      <c r="H3186" s="21" t="s">
        <v>40</v>
      </c>
      <c r="I3186" s="23">
        <v>-250</v>
      </c>
      <c r="J3186" s="23">
        <v>-250</v>
      </c>
      <c r="K3186" s="39" t="s">
        <v>5018</v>
      </c>
      <c r="L3186" s="123"/>
      <c r="M3186" s="24"/>
      <c r="N3186" s="24"/>
    </row>
    <row r="3187" spans="1:14" s="4" customFormat="1" ht="14.25" customHeight="1" x14ac:dyDescent="0.25">
      <c r="A3187" s="4" t="s">
        <v>5311</v>
      </c>
      <c r="B3187" s="4" t="s">
        <v>38</v>
      </c>
      <c r="C3187" s="4" t="s">
        <v>14</v>
      </c>
      <c r="D3187" s="35">
        <v>2848</v>
      </c>
      <c r="E3187" s="4" t="s">
        <v>5311</v>
      </c>
      <c r="F3187" s="5">
        <v>39494</v>
      </c>
      <c r="G3187" s="5">
        <v>39508</v>
      </c>
      <c r="H3187" s="4" t="s">
        <v>40</v>
      </c>
      <c r="I3187" s="6">
        <v>3548</v>
      </c>
      <c r="J3187" s="6">
        <v>3548</v>
      </c>
      <c r="K3187" s="37" t="s">
        <v>5018</v>
      </c>
      <c r="L3187" s="119"/>
      <c r="M3187" s="3"/>
    </row>
    <row r="3188" spans="1:14" s="4" customFormat="1" ht="14.25" customHeight="1" x14ac:dyDescent="0.25">
      <c r="A3188" s="4" t="s">
        <v>5312</v>
      </c>
      <c r="B3188" s="4" t="s">
        <v>38</v>
      </c>
      <c r="C3188" s="4" t="s">
        <v>14</v>
      </c>
      <c r="D3188" s="35">
        <v>2849</v>
      </c>
      <c r="E3188" s="4" t="s">
        <v>5312</v>
      </c>
      <c r="F3188" s="5">
        <v>39692</v>
      </c>
      <c r="G3188" s="5">
        <v>39813</v>
      </c>
      <c r="H3188" s="4" t="s">
        <v>40</v>
      </c>
      <c r="I3188" s="6">
        <v>1200</v>
      </c>
      <c r="J3188" s="6">
        <v>1200</v>
      </c>
      <c r="K3188" s="37" t="s">
        <v>5018</v>
      </c>
      <c r="L3188" s="119"/>
      <c r="M3188" s="3"/>
    </row>
    <row r="3189" spans="1:14" s="4" customFormat="1" ht="14.25" customHeight="1" x14ac:dyDescent="0.25">
      <c r="A3189" s="4" t="s">
        <v>5313</v>
      </c>
      <c r="B3189" s="4" t="s">
        <v>38</v>
      </c>
      <c r="C3189" s="4" t="s">
        <v>14</v>
      </c>
      <c r="D3189" s="35">
        <v>2850</v>
      </c>
      <c r="E3189" s="4" t="s">
        <v>5313</v>
      </c>
      <c r="F3189" s="5">
        <v>39504</v>
      </c>
      <c r="G3189" s="5">
        <v>39518</v>
      </c>
      <c r="H3189" s="4" t="s">
        <v>40</v>
      </c>
      <c r="I3189" s="6">
        <v>350</v>
      </c>
      <c r="J3189" s="6">
        <v>350</v>
      </c>
      <c r="K3189" s="37" t="s">
        <v>5018</v>
      </c>
      <c r="L3189" s="119"/>
      <c r="M3189" s="3"/>
    </row>
    <row r="3190" spans="1:14" s="4" customFormat="1" ht="14.25" customHeight="1" x14ac:dyDescent="0.25">
      <c r="A3190" s="4" t="s">
        <v>5314</v>
      </c>
      <c r="B3190" s="4" t="s">
        <v>38</v>
      </c>
      <c r="C3190" s="4" t="s">
        <v>14</v>
      </c>
      <c r="D3190" s="35">
        <v>2851</v>
      </c>
      <c r="E3190" s="4" t="s">
        <v>5314</v>
      </c>
      <c r="F3190" s="5">
        <v>39728</v>
      </c>
      <c r="G3190" s="5">
        <v>39742</v>
      </c>
      <c r="H3190" s="4" t="s">
        <v>40</v>
      </c>
      <c r="I3190" s="6">
        <v>625</v>
      </c>
      <c r="J3190" s="6">
        <v>625</v>
      </c>
      <c r="K3190" s="37" t="s">
        <v>5018</v>
      </c>
      <c r="L3190" s="119"/>
      <c r="M3190" s="3"/>
    </row>
    <row r="3191" spans="1:14" s="4" customFormat="1" ht="14.25" customHeight="1" x14ac:dyDescent="0.25">
      <c r="A3191" s="4" t="s">
        <v>5315</v>
      </c>
      <c r="B3191" s="4" t="s">
        <v>38</v>
      </c>
      <c r="C3191" s="4" t="s">
        <v>14</v>
      </c>
      <c r="D3191" s="35">
        <v>2852</v>
      </c>
      <c r="E3191" s="4" t="s">
        <v>5315</v>
      </c>
      <c r="F3191" s="5">
        <v>39511</v>
      </c>
      <c r="G3191" s="5">
        <v>39518</v>
      </c>
      <c r="H3191" s="4" t="s">
        <v>40</v>
      </c>
      <c r="I3191" s="6">
        <v>100</v>
      </c>
      <c r="J3191" s="6">
        <v>100</v>
      </c>
      <c r="K3191" s="37" t="s">
        <v>5018</v>
      </c>
      <c r="L3191" s="119"/>
      <c r="M3191" s="3"/>
    </row>
    <row r="3192" spans="1:14" s="4" customFormat="1" ht="14.25" customHeight="1" x14ac:dyDescent="0.25">
      <c r="A3192" s="4" t="s">
        <v>5316</v>
      </c>
      <c r="B3192" s="4" t="s">
        <v>38</v>
      </c>
      <c r="C3192" s="4" t="s">
        <v>14</v>
      </c>
      <c r="D3192" s="35">
        <v>2853</v>
      </c>
      <c r="E3192" s="4" t="s">
        <v>5317</v>
      </c>
      <c r="F3192" s="5">
        <v>39541</v>
      </c>
      <c r="G3192" s="5">
        <v>39541</v>
      </c>
      <c r="H3192" s="4" t="s">
        <v>40</v>
      </c>
      <c r="I3192" s="6">
        <v>115</v>
      </c>
      <c r="J3192" s="6">
        <v>115</v>
      </c>
      <c r="K3192" s="37" t="s">
        <v>5018</v>
      </c>
      <c r="L3192" s="119"/>
      <c r="M3192" s="3"/>
    </row>
    <row r="3193" spans="1:14" s="4" customFormat="1" ht="14.25" customHeight="1" x14ac:dyDescent="0.25">
      <c r="A3193" s="4" t="s">
        <v>5318</v>
      </c>
      <c r="B3193" s="4" t="s">
        <v>38</v>
      </c>
      <c r="C3193" s="4" t="s">
        <v>14</v>
      </c>
      <c r="D3193" s="35">
        <v>2854</v>
      </c>
      <c r="E3193" s="4" t="s">
        <v>5318</v>
      </c>
      <c r="F3193" s="5">
        <v>39539</v>
      </c>
      <c r="G3193" s="5">
        <v>39721</v>
      </c>
      <c r="H3193" s="4" t="s">
        <v>40</v>
      </c>
      <c r="I3193" s="6">
        <v>2264.92</v>
      </c>
      <c r="J3193" s="6">
        <v>2264.92</v>
      </c>
      <c r="K3193" s="37" t="s">
        <v>5018</v>
      </c>
      <c r="L3193" s="119"/>
      <c r="M3193" s="3"/>
    </row>
    <row r="3194" spans="1:14" s="4" customFormat="1" ht="14.25" customHeight="1" x14ac:dyDescent="0.25">
      <c r="A3194" s="4" t="s">
        <v>5319</v>
      </c>
      <c r="B3194" s="4" t="s">
        <v>38</v>
      </c>
      <c r="C3194" s="4" t="s">
        <v>14</v>
      </c>
      <c r="D3194" s="35">
        <v>2855</v>
      </c>
      <c r="E3194" s="4" t="s">
        <v>5319</v>
      </c>
      <c r="F3194" s="5">
        <v>39708</v>
      </c>
      <c r="G3194" s="5">
        <v>39813</v>
      </c>
      <c r="H3194" s="4" t="s">
        <v>40</v>
      </c>
      <c r="I3194" s="6">
        <v>3575.5</v>
      </c>
      <c r="J3194" s="6">
        <v>3575.5</v>
      </c>
      <c r="K3194" s="37" t="s">
        <v>5018</v>
      </c>
      <c r="L3194" s="119"/>
      <c r="M3194" s="3"/>
    </row>
    <row r="3195" spans="1:14" s="4" customFormat="1" ht="14.25" customHeight="1" x14ac:dyDescent="0.25">
      <c r="A3195" s="4" t="s">
        <v>5320</v>
      </c>
      <c r="B3195" s="4" t="s">
        <v>38</v>
      </c>
      <c r="C3195" s="4" t="s">
        <v>14</v>
      </c>
      <c r="D3195" s="35">
        <v>2856</v>
      </c>
      <c r="E3195" s="4" t="s">
        <v>5320</v>
      </c>
      <c r="F3195" s="5">
        <v>39503</v>
      </c>
      <c r="G3195" s="5">
        <v>39517</v>
      </c>
      <c r="H3195" s="4" t="s">
        <v>40</v>
      </c>
      <c r="I3195" s="6">
        <v>225</v>
      </c>
      <c r="J3195" s="6">
        <v>225</v>
      </c>
      <c r="K3195" s="37" t="s">
        <v>5018</v>
      </c>
      <c r="L3195" s="119"/>
      <c r="M3195" s="3"/>
    </row>
    <row r="3196" spans="1:14" s="4" customFormat="1" ht="14.25" customHeight="1" x14ac:dyDescent="0.25">
      <c r="A3196" s="4" t="s">
        <v>5321</v>
      </c>
      <c r="B3196" s="4" t="s">
        <v>38</v>
      </c>
      <c r="C3196" s="4" t="s">
        <v>14</v>
      </c>
      <c r="D3196" s="35">
        <v>2857</v>
      </c>
      <c r="E3196" s="4" t="s">
        <v>5321</v>
      </c>
      <c r="F3196" s="5">
        <v>39727</v>
      </c>
      <c r="G3196" s="5">
        <v>39741</v>
      </c>
      <c r="H3196" s="4" t="s">
        <v>40</v>
      </c>
      <c r="I3196" s="6">
        <v>450</v>
      </c>
      <c r="J3196" s="6">
        <v>450</v>
      </c>
      <c r="K3196" s="37" t="s">
        <v>5018</v>
      </c>
      <c r="L3196" s="119"/>
      <c r="M3196" s="3"/>
    </row>
    <row r="3197" spans="1:14" s="4" customFormat="1" ht="14.25" customHeight="1" x14ac:dyDescent="0.25">
      <c r="A3197" s="4" t="s">
        <v>5322</v>
      </c>
      <c r="B3197" s="4" t="s">
        <v>38</v>
      </c>
      <c r="C3197" s="4" t="s">
        <v>14</v>
      </c>
      <c r="D3197" s="35">
        <v>2858</v>
      </c>
      <c r="E3197" s="4" t="s">
        <v>5322</v>
      </c>
      <c r="F3197" s="5">
        <v>39538</v>
      </c>
      <c r="G3197" s="5">
        <v>39539</v>
      </c>
      <c r="H3197" s="4" t="s">
        <v>40</v>
      </c>
      <c r="I3197" s="6">
        <v>1650</v>
      </c>
      <c r="J3197" s="6">
        <v>1650</v>
      </c>
      <c r="K3197" s="37" t="s">
        <v>5018</v>
      </c>
      <c r="L3197" s="119"/>
      <c r="M3197" s="3"/>
    </row>
    <row r="3198" spans="1:14" s="4" customFormat="1" ht="14.25" customHeight="1" x14ac:dyDescent="0.25">
      <c r="A3198" s="4" t="s">
        <v>5323</v>
      </c>
      <c r="B3198" s="4" t="s">
        <v>38</v>
      </c>
      <c r="C3198" s="4" t="s">
        <v>14</v>
      </c>
      <c r="D3198" s="35">
        <v>2859</v>
      </c>
      <c r="E3198" s="4" t="s">
        <v>5323</v>
      </c>
      <c r="F3198" s="5">
        <v>39784</v>
      </c>
      <c r="G3198" s="5">
        <v>39798</v>
      </c>
      <c r="H3198" s="4" t="s">
        <v>40</v>
      </c>
      <c r="I3198" s="6">
        <v>900</v>
      </c>
      <c r="J3198" s="6">
        <v>900</v>
      </c>
      <c r="K3198" s="37" t="s">
        <v>5018</v>
      </c>
      <c r="L3198" s="119"/>
      <c r="M3198" s="3"/>
    </row>
    <row r="3199" spans="1:14" s="21" customFormat="1" ht="14.25" customHeight="1" x14ac:dyDescent="0.25">
      <c r="A3199" s="21" t="s">
        <v>11637</v>
      </c>
      <c r="B3199" s="4" t="s">
        <v>38</v>
      </c>
      <c r="C3199" s="21" t="s">
        <v>14</v>
      </c>
      <c r="D3199" s="36">
        <v>2860</v>
      </c>
      <c r="E3199" s="4" t="s">
        <v>11638</v>
      </c>
      <c r="F3199" s="22">
        <v>39743</v>
      </c>
      <c r="G3199" s="22">
        <v>39771</v>
      </c>
      <c r="H3199" s="21" t="s">
        <v>40</v>
      </c>
      <c r="I3199" s="23">
        <v>-215</v>
      </c>
      <c r="J3199" s="23">
        <v>-215</v>
      </c>
      <c r="K3199" s="39" t="s">
        <v>5018</v>
      </c>
      <c r="L3199" s="123"/>
      <c r="M3199" s="24"/>
      <c r="N3199" s="24"/>
    </row>
    <row r="3200" spans="1:14" s="4" customFormat="1" ht="14.25" customHeight="1" x14ac:dyDescent="0.25">
      <c r="A3200" s="4" t="s">
        <v>5324</v>
      </c>
      <c r="B3200" s="4" t="s">
        <v>38</v>
      </c>
      <c r="C3200" s="4" t="s">
        <v>14</v>
      </c>
      <c r="D3200" s="35">
        <v>2861</v>
      </c>
      <c r="E3200" s="4" t="s">
        <v>5324</v>
      </c>
      <c r="F3200" s="5">
        <v>39553</v>
      </c>
      <c r="G3200" s="5">
        <v>39567</v>
      </c>
      <c r="H3200" s="4" t="s">
        <v>40</v>
      </c>
      <c r="I3200" s="6">
        <v>150</v>
      </c>
      <c r="J3200" s="6">
        <v>150</v>
      </c>
      <c r="K3200" s="37" t="s">
        <v>5018</v>
      </c>
      <c r="L3200" s="119"/>
      <c r="M3200" s="3"/>
    </row>
    <row r="3201" spans="1:13" s="4" customFormat="1" ht="14.25" customHeight="1" x14ac:dyDescent="0.25">
      <c r="A3201" s="4" t="s">
        <v>5325</v>
      </c>
      <c r="B3201" s="4" t="s">
        <v>38</v>
      </c>
      <c r="C3201" s="4" t="s">
        <v>14</v>
      </c>
      <c r="D3201" s="35">
        <v>2862</v>
      </c>
      <c r="E3201" s="4" t="s">
        <v>5325</v>
      </c>
      <c r="F3201" s="5">
        <v>39538</v>
      </c>
      <c r="G3201" s="5">
        <v>39566</v>
      </c>
      <c r="H3201" s="4" t="s">
        <v>40</v>
      </c>
      <c r="I3201" s="6">
        <v>2615</v>
      </c>
      <c r="J3201" s="6">
        <v>2615</v>
      </c>
      <c r="K3201" s="37" t="s">
        <v>5018</v>
      </c>
      <c r="L3201" s="119"/>
      <c r="M3201" s="3"/>
    </row>
    <row r="3202" spans="1:13" s="4" customFormat="1" ht="14.25" customHeight="1" x14ac:dyDescent="0.25">
      <c r="A3202" s="4" t="s">
        <v>5326</v>
      </c>
      <c r="B3202" s="4" t="s">
        <v>38</v>
      </c>
      <c r="C3202" s="4" t="s">
        <v>14</v>
      </c>
      <c r="D3202" s="35">
        <v>2863</v>
      </c>
      <c r="E3202" s="4" t="s">
        <v>5326</v>
      </c>
      <c r="F3202" s="5">
        <v>39741</v>
      </c>
      <c r="G3202" s="5">
        <v>39769</v>
      </c>
      <c r="H3202" s="4" t="s">
        <v>40</v>
      </c>
      <c r="I3202" s="6">
        <v>1000</v>
      </c>
      <c r="J3202" s="6">
        <v>1000</v>
      </c>
      <c r="K3202" s="37" t="s">
        <v>5018</v>
      </c>
      <c r="L3202" s="119"/>
      <c r="M3202" s="3"/>
    </row>
    <row r="3203" spans="1:13" s="4" customFormat="1" ht="14.25" customHeight="1" x14ac:dyDescent="0.25">
      <c r="A3203" s="4" t="s">
        <v>5327</v>
      </c>
      <c r="B3203" s="4" t="s">
        <v>38</v>
      </c>
      <c r="C3203" s="4" t="s">
        <v>14</v>
      </c>
      <c r="D3203" s="35">
        <v>2864</v>
      </c>
      <c r="E3203" s="4" t="s">
        <v>5327</v>
      </c>
      <c r="F3203" s="5">
        <v>39540</v>
      </c>
      <c r="G3203" s="5">
        <v>40178</v>
      </c>
      <c r="H3203" s="4" t="s">
        <v>40</v>
      </c>
      <c r="I3203" s="6">
        <v>600</v>
      </c>
      <c r="J3203" s="6">
        <v>600</v>
      </c>
      <c r="K3203" s="37" t="s">
        <v>5018</v>
      </c>
      <c r="L3203" s="119"/>
      <c r="M3203" s="3"/>
    </row>
    <row r="3204" spans="1:13" s="4" customFormat="1" ht="14.25" customHeight="1" x14ac:dyDescent="0.25">
      <c r="A3204" s="4" t="s">
        <v>5328</v>
      </c>
      <c r="B3204" s="4" t="s">
        <v>38</v>
      </c>
      <c r="C3204" s="4" t="s">
        <v>14</v>
      </c>
      <c r="D3204" s="35">
        <v>2865</v>
      </c>
      <c r="E3204" s="4" t="s">
        <v>5328</v>
      </c>
      <c r="F3204" s="5">
        <v>39547</v>
      </c>
      <c r="G3204" s="5">
        <v>39561</v>
      </c>
      <c r="H3204" s="4" t="s">
        <v>40</v>
      </c>
      <c r="I3204" s="6">
        <v>1395</v>
      </c>
      <c r="J3204" s="6">
        <v>1395</v>
      </c>
      <c r="K3204" s="37" t="s">
        <v>5018</v>
      </c>
      <c r="L3204" s="119"/>
      <c r="M3204" s="3"/>
    </row>
    <row r="3205" spans="1:13" s="4" customFormat="1" ht="14.25" customHeight="1" x14ac:dyDescent="0.25">
      <c r="A3205" s="4" t="s">
        <v>5329</v>
      </c>
      <c r="B3205" s="4" t="s">
        <v>38</v>
      </c>
      <c r="C3205" s="4" t="s">
        <v>14</v>
      </c>
      <c r="D3205" s="35">
        <v>2866</v>
      </c>
      <c r="E3205" s="4" t="s">
        <v>5240</v>
      </c>
      <c r="F3205" s="5">
        <v>39553</v>
      </c>
      <c r="G3205" s="5">
        <v>40086</v>
      </c>
      <c r="H3205" s="4" t="s">
        <v>40</v>
      </c>
      <c r="I3205" s="6">
        <v>2502.79</v>
      </c>
      <c r="J3205" s="6">
        <v>2502.79</v>
      </c>
      <c r="K3205" s="37" t="s">
        <v>5018</v>
      </c>
      <c r="L3205" s="119"/>
      <c r="M3205" s="3"/>
    </row>
    <row r="3206" spans="1:13" s="4" customFormat="1" ht="14.25" customHeight="1" x14ac:dyDescent="0.25">
      <c r="A3206" s="4" t="s">
        <v>5330</v>
      </c>
      <c r="B3206" s="4" t="s">
        <v>38</v>
      </c>
      <c r="C3206" s="4" t="s">
        <v>14</v>
      </c>
      <c r="D3206" s="35">
        <v>2867</v>
      </c>
      <c r="E3206" s="4" t="s">
        <v>5330</v>
      </c>
      <c r="F3206" s="5">
        <v>39557</v>
      </c>
      <c r="G3206" s="5">
        <v>39564</v>
      </c>
      <c r="H3206" s="4" t="s">
        <v>40</v>
      </c>
      <c r="I3206" s="6">
        <v>800</v>
      </c>
      <c r="J3206" s="6">
        <v>800</v>
      </c>
      <c r="K3206" s="37" t="s">
        <v>5018</v>
      </c>
      <c r="L3206" s="119"/>
      <c r="M3206" s="3"/>
    </row>
    <row r="3207" spans="1:13" s="4" customFormat="1" ht="14.25" customHeight="1" x14ac:dyDescent="0.25">
      <c r="A3207" s="4" t="s">
        <v>5331</v>
      </c>
      <c r="B3207" s="4" t="s">
        <v>38</v>
      </c>
      <c r="C3207" s="4" t="s">
        <v>14</v>
      </c>
      <c r="D3207" s="35">
        <v>2868</v>
      </c>
      <c r="E3207" s="4" t="s">
        <v>5331</v>
      </c>
      <c r="F3207" s="5">
        <v>39729</v>
      </c>
      <c r="G3207" s="5">
        <v>39736</v>
      </c>
      <c r="H3207" s="4" t="s">
        <v>40</v>
      </c>
      <c r="I3207" s="6">
        <v>900</v>
      </c>
      <c r="J3207" s="6">
        <v>900</v>
      </c>
      <c r="K3207" s="37" t="s">
        <v>5018</v>
      </c>
      <c r="L3207" s="119"/>
      <c r="M3207" s="3"/>
    </row>
    <row r="3208" spans="1:13" s="4" customFormat="1" ht="14.25" customHeight="1" x14ac:dyDescent="0.25">
      <c r="A3208" s="4" t="s">
        <v>5332</v>
      </c>
      <c r="B3208" s="4" t="s">
        <v>38</v>
      </c>
      <c r="C3208" s="4" t="s">
        <v>14</v>
      </c>
      <c r="D3208" s="35">
        <v>2982</v>
      </c>
      <c r="E3208" s="4" t="s">
        <v>5332</v>
      </c>
      <c r="F3208" s="5">
        <v>39405</v>
      </c>
      <c r="G3208" s="5">
        <v>39813</v>
      </c>
      <c r="H3208" s="4" t="s">
        <v>40</v>
      </c>
      <c r="I3208" s="6">
        <v>875</v>
      </c>
      <c r="J3208" s="6">
        <v>875</v>
      </c>
      <c r="K3208" s="37" t="s">
        <v>5018</v>
      </c>
      <c r="L3208" s="119"/>
      <c r="M3208" s="3"/>
    </row>
    <row r="3209" spans="1:13" s="4" customFormat="1" ht="14.25" customHeight="1" x14ac:dyDescent="0.25">
      <c r="A3209" s="4" t="s">
        <v>5333</v>
      </c>
      <c r="B3209" s="4" t="s">
        <v>38</v>
      </c>
      <c r="C3209" s="4" t="s">
        <v>14</v>
      </c>
      <c r="D3209" s="35">
        <v>3036</v>
      </c>
      <c r="E3209" s="4" t="s">
        <v>5333</v>
      </c>
      <c r="F3209" s="5">
        <v>39083</v>
      </c>
      <c r="G3209" s="5">
        <v>41639</v>
      </c>
      <c r="H3209" s="4" t="s">
        <v>40</v>
      </c>
      <c r="I3209" s="6">
        <v>210122.97</v>
      </c>
      <c r="J3209" s="6">
        <v>210122.97</v>
      </c>
      <c r="K3209" s="37" t="s">
        <v>5018</v>
      </c>
      <c r="L3209" s="119"/>
      <c r="M3209" s="3"/>
    </row>
    <row r="3210" spans="1:13" s="4" customFormat="1" ht="14.25" customHeight="1" x14ac:dyDescent="0.25">
      <c r="A3210" s="4" t="s">
        <v>5334</v>
      </c>
      <c r="B3210" s="4" t="s">
        <v>38</v>
      </c>
      <c r="C3210" s="4" t="s">
        <v>14</v>
      </c>
      <c r="D3210" s="35">
        <v>3037</v>
      </c>
      <c r="E3210" s="4" t="s">
        <v>5335</v>
      </c>
      <c r="F3210" s="5">
        <v>39448</v>
      </c>
      <c r="G3210" s="5">
        <v>39813</v>
      </c>
      <c r="H3210" s="4" t="s">
        <v>40</v>
      </c>
      <c r="I3210" s="6">
        <v>7861</v>
      </c>
      <c r="J3210" s="6">
        <v>7861</v>
      </c>
      <c r="K3210" s="37" t="s">
        <v>5018</v>
      </c>
      <c r="L3210" s="119"/>
      <c r="M3210" s="3"/>
    </row>
    <row r="3211" spans="1:13" s="4" customFormat="1" ht="14.25" customHeight="1" x14ac:dyDescent="0.25">
      <c r="A3211" s="4" t="s">
        <v>5336</v>
      </c>
      <c r="B3211" s="4" t="s">
        <v>38</v>
      </c>
      <c r="C3211" s="4" t="s">
        <v>14</v>
      </c>
      <c r="D3211" s="35">
        <v>3038</v>
      </c>
      <c r="E3211" s="4" t="s">
        <v>5337</v>
      </c>
      <c r="F3211" s="5">
        <v>39083</v>
      </c>
      <c r="G3211" s="5">
        <v>39447</v>
      </c>
      <c r="H3211" s="4" t="s">
        <v>40</v>
      </c>
      <c r="I3211" s="6">
        <v>1500.4</v>
      </c>
      <c r="J3211" s="6">
        <v>1500.4</v>
      </c>
      <c r="K3211" s="37" t="s">
        <v>5018</v>
      </c>
      <c r="L3211" s="119"/>
      <c r="M3211" s="3"/>
    </row>
    <row r="3212" spans="1:13" s="4" customFormat="1" ht="14.25" customHeight="1" x14ac:dyDescent="0.25">
      <c r="A3212" s="4" t="s">
        <v>5338</v>
      </c>
      <c r="B3212" s="4" t="s">
        <v>59</v>
      </c>
      <c r="C3212" s="4" t="s">
        <v>14</v>
      </c>
      <c r="D3212" s="35">
        <v>4549</v>
      </c>
      <c r="E3212" s="4" t="s">
        <v>5339</v>
      </c>
      <c r="F3212" s="5">
        <v>39814</v>
      </c>
      <c r="G3212" s="5">
        <v>40178</v>
      </c>
      <c r="H3212" s="4" t="s">
        <v>40</v>
      </c>
      <c r="I3212" s="6">
        <v>2500</v>
      </c>
      <c r="J3212" s="6">
        <v>2500</v>
      </c>
      <c r="K3212" s="37" t="s">
        <v>5018</v>
      </c>
      <c r="L3212" s="119"/>
      <c r="M3212" s="3"/>
    </row>
    <row r="3213" spans="1:13" s="4" customFormat="1" ht="14.25" customHeight="1" x14ac:dyDescent="0.25">
      <c r="A3213" s="4" t="s">
        <v>5340</v>
      </c>
      <c r="B3213" s="4" t="s">
        <v>59</v>
      </c>
      <c r="C3213" s="4" t="s">
        <v>14</v>
      </c>
      <c r="D3213" s="35">
        <v>4556</v>
      </c>
      <c r="E3213" s="4" t="s">
        <v>5341</v>
      </c>
      <c r="F3213" s="5">
        <v>39909</v>
      </c>
      <c r="G3213" s="5">
        <v>40274</v>
      </c>
      <c r="H3213" s="4" t="s">
        <v>40</v>
      </c>
      <c r="I3213" s="6">
        <v>5000</v>
      </c>
      <c r="J3213" s="6">
        <v>5000</v>
      </c>
      <c r="K3213" s="37" t="s">
        <v>5018</v>
      </c>
      <c r="L3213" s="119"/>
      <c r="M3213" s="3"/>
    </row>
    <row r="3214" spans="1:13" s="4" customFormat="1" ht="14.25" customHeight="1" x14ac:dyDescent="0.25">
      <c r="A3214" s="4" t="s">
        <v>5342</v>
      </c>
      <c r="B3214" s="4" t="s">
        <v>59</v>
      </c>
      <c r="C3214" s="4" t="s">
        <v>14</v>
      </c>
      <c r="D3214" s="35">
        <v>4557</v>
      </c>
      <c r="E3214" s="4" t="s">
        <v>5343</v>
      </c>
      <c r="F3214" s="5">
        <v>39867</v>
      </c>
      <c r="G3214" s="5">
        <v>40232</v>
      </c>
      <c r="H3214" s="4" t="s">
        <v>40</v>
      </c>
      <c r="I3214" s="6">
        <v>2500</v>
      </c>
      <c r="J3214" s="6">
        <v>2500</v>
      </c>
      <c r="K3214" s="37" t="s">
        <v>5018</v>
      </c>
      <c r="L3214" s="119"/>
      <c r="M3214" s="3"/>
    </row>
    <row r="3215" spans="1:13" s="4" customFormat="1" ht="14.25" customHeight="1" x14ac:dyDescent="0.25">
      <c r="A3215" s="4" t="s">
        <v>5344</v>
      </c>
      <c r="B3215" s="4" t="s">
        <v>50</v>
      </c>
      <c r="C3215" s="4" t="s">
        <v>14</v>
      </c>
      <c r="D3215" s="35">
        <v>4559</v>
      </c>
      <c r="E3215" s="4" t="s">
        <v>5345</v>
      </c>
      <c r="F3215" s="5">
        <v>39909</v>
      </c>
      <c r="G3215" s="5">
        <v>40274</v>
      </c>
      <c r="H3215" s="4" t="s">
        <v>40</v>
      </c>
      <c r="I3215" s="6">
        <v>16200</v>
      </c>
      <c r="J3215" s="6">
        <v>8100</v>
      </c>
      <c r="K3215" s="37" t="s">
        <v>5018</v>
      </c>
      <c r="L3215" s="119"/>
      <c r="M3215" s="3"/>
    </row>
    <row r="3216" spans="1:13" s="4" customFormat="1" ht="14.25" customHeight="1" x14ac:dyDescent="0.25">
      <c r="A3216" s="4" t="s">
        <v>5346</v>
      </c>
      <c r="B3216" s="4" t="s">
        <v>50</v>
      </c>
      <c r="C3216" s="4" t="s">
        <v>14</v>
      </c>
      <c r="D3216" s="35">
        <v>4562</v>
      </c>
      <c r="E3216" s="4" t="s">
        <v>5347</v>
      </c>
      <c r="F3216" s="5">
        <v>39755</v>
      </c>
      <c r="G3216" s="5">
        <v>40178</v>
      </c>
      <c r="H3216" s="4" t="s">
        <v>40</v>
      </c>
      <c r="I3216" s="6">
        <v>54800</v>
      </c>
      <c r="J3216" s="6">
        <v>27400</v>
      </c>
      <c r="K3216" s="37" t="s">
        <v>5018</v>
      </c>
      <c r="L3216" s="119"/>
      <c r="M3216" s="3"/>
    </row>
    <row r="3217" spans="1:13" s="4" customFormat="1" ht="14.25" customHeight="1" x14ac:dyDescent="0.25">
      <c r="A3217" s="4" t="s">
        <v>5348</v>
      </c>
      <c r="B3217" s="4" t="s">
        <v>59</v>
      </c>
      <c r="C3217" s="4" t="s">
        <v>14</v>
      </c>
      <c r="D3217" s="35">
        <v>4564</v>
      </c>
      <c r="E3217" s="4" t="s">
        <v>5349</v>
      </c>
      <c r="F3217" s="5">
        <v>40000</v>
      </c>
      <c r="G3217" s="5">
        <v>40543</v>
      </c>
      <c r="H3217" s="4" t="s">
        <v>40</v>
      </c>
      <c r="I3217" s="6">
        <v>5000</v>
      </c>
      <c r="J3217" s="6">
        <v>5000</v>
      </c>
      <c r="K3217" s="37" t="s">
        <v>5018</v>
      </c>
      <c r="L3217" s="119"/>
      <c r="M3217" s="3"/>
    </row>
    <row r="3218" spans="1:13" s="4" customFormat="1" ht="14.25" customHeight="1" x14ac:dyDescent="0.25">
      <c r="A3218" s="4" t="s">
        <v>5350</v>
      </c>
      <c r="B3218" s="4" t="s">
        <v>59</v>
      </c>
      <c r="C3218" s="4" t="s">
        <v>14</v>
      </c>
      <c r="D3218" s="35">
        <v>4566</v>
      </c>
      <c r="E3218" s="4" t="s">
        <v>5351</v>
      </c>
      <c r="F3218" s="5">
        <v>39958</v>
      </c>
      <c r="G3218" s="5">
        <v>40323</v>
      </c>
      <c r="H3218" s="4" t="s">
        <v>40</v>
      </c>
      <c r="I3218" s="6">
        <v>5000</v>
      </c>
      <c r="J3218" s="6">
        <v>5000</v>
      </c>
      <c r="K3218" s="37" t="s">
        <v>5018</v>
      </c>
      <c r="L3218" s="119"/>
      <c r="M3218" s="3"/>
    </row>
    <row r="3219" spans="1:13" s="4" customFormat="1" ht="14.25" customHeight="1" x14ac:dyDescent="0.25">
      <c r="A3219" s="4" t="s">
        <v>5139</v>
      </c>
      <c r="B3219" s="4" t="s">
        <v>59</v>
      </c>
      <c r="C3219" s="4" t="s">
        <v>14</v>
      </c>
      <c r="D3219" s="35">
        <v>4568</v>
      </c>
      <c r="E3219" s="4" t="s">
        <v>5352</v>
      </c>
      <c r="F3219" s="5">
        <v>40126</v>
      </c>
      <c r="G3219" s="5">
        <v>40491</v>
      </c>
      <c r="H3219" s="4" t="s">
        <v>40</v>
      </c>
      <c r="I3219" s="6">
        <v>5000</v>
      </c>
      <c r="J3219" s="6">
        <v>5000</v>
      </c>
      <c r="K3219" s="37" t="s">
        <v>5018</v>
      </c>
      <c r="L3219" s="119"/>
      <c r="M3219" s="3"/>
    </row>
    <row r="3220" spans="1:13" s="4" customFormat="1" ht="14.25" customHeight="1" x14ac:dyDescent="0.25">
      <c r="A3220" s="4" t="s">
        <v>5353</v>
      </c>
      <c r="B3220" s="4" t="s">
        <v>50</v>
      </c>
      <c r="C3220" s="4" t="s">
        <v>14</v>
      </c>
      <c r="D3220" s="35">
        <v>4571</v>
      </c>
      <c r="E3220" s="4" t="s">
        <v>5354</v>
      </c>
      <c r="F3220" s="5">
        <v>39909</v>
      </c>
      <c r="G3220" s="5">
        <v>40274</v>
      </c>
      <c r="H3220" s="4" t="s">
        <v>40</v>
      </c>
      <c r="I3220" s="6">
        <v>150000</v>
      </c>
      <c r="J3220" s="6">
        <v>75000</v>
      </c>
      <c r="K3220" s="37" t="s">
        <v>5018</v>
      </c>
      <c r="L3220" s="119"/>
      <c r="M3220" s="3"/>
    </row>
    <row r="3221" spans="1:13" s="4" customFormat="1" ht="14.25" customHeight="1" x14ac:dyDescent="0.25">
      <c r="A3221" s="4" t="s">
        <v>5355</v>
      </c>
      <c r="B3221" s="4" t="s">
        <v>90</v>
      </c>
      <c r="C3221" s="4" t="s">
        <v>14</v>
      </c>
      <c r="D3221" s="35">
        <v>4572</v>
      </c>
      <c r="E3221" s="4" t="s">
        <v>5356</v>
      </c>
      <c r="F3221" s="5">
        <v>39909</v>
      </c>
      <c r="G3221" s="5">
        <v>40092</v>
      </c>
      <c r="H3221" s="4" t="s">
        <v>40</v>
      </c>
      <c r="I3221" s="6">
        <v>10000</v>
      </c>
      <c r="J3221" s="6">
        <v>5000</v>
      </c>
      <c r="K3221" s="37" t="s">
        <v>5018</v>
      </c>
      <c r="L3221" s="119"/>
      <c r="M3221" s="3"/>
    </row>
    <row r="3222" spans="1:13" s="4" customFormat="1" ht="14.25" customHeight="1" x14ac:dyDescent="0.25">
      <c r="A3222" s="4" t="s">
        <v>5357</v>
      </c>
      <c r="B3222" s="4" t="s">
        <v>59</v>
      </c>
      <c r="C3222" s="4" t="s">
        <v>14</v>
      </c>
      <c r="D3222" s="35">
        <v>4573</v>
      </c>
      <c r="E3222" s="4" t="s">
        <v>5358</v>
      </c>
      <c r="F3222" s="5">
        <v>40000</v>
      </c>
      <c r="G3222" s="5">
        <v>40365</v>
      </c>
      <c r="H3222" s="4" t="s">
        <v>40</v>
      </c>
      <c r="I3222" s="6">
        <v>2500</v>
      </c>
      <c r="J3222" s="6">
        <v>2500</v>
      </c>
      <c r="K3222" s="37" t="s">
        <v>5018</v>
      </c>
      <c r="L3222" s="119"/>
      <c r="M3222" s="3"/>
    </row>
    <row r="3223" spans="1:13" s="4" customFormat="1" ht="14.25" customHeight="1" x14ac:dyDescent="0.25">
      <c r="A3223" s="4" t="s">
        <v>5359</v>
      </c>
      <c r="B3223" s="4" t="s">
        <v>90</v>
      </c>
      <c r="C3223" s="4" t="s">
        <v>14</v>
      </c>
      <c r="D3223" s="35">
        <v>5233</v>
      </c>
      <c r="E3223" s="4" t="s">
        <v>5360</v>
      </c>
      <c r="F3223" s="5">
        <v>39867</v>
      </c>
      <c r="G3223" s="5">
        <v>40232</v>
      </c>
      <c r="H3223" s="4" t="s">
        <v>40</v>
      </c>
      <c r="I3223" s="6">
        <v>10000</v>
      </c>
      <c r="J3223" s="6">
        <v>5000</v>
      </c>
      <c r="K3223" s="37" t="s">
        <v>5018</v>
      </c>
      <c r="L3223" s="119"/>
      <c r="M3223" s="3"/>
    </row>
    <row r="3224" spans="1:13" s="4" customFormat="1" ht="14.25" customHeight="1" x14ac:dyDescent="0.25">
      <c r="A3224" s="4" t="s">
        <v>5361</v>
      </c>
      <c r="B3224" s="4" t="s">
        <v>59</v>
      </c>
      <c r="C3224" s="4" t="s">
        <v>14</v>
      </c>
      <c r="D3224" s="35">
        <v>5273</v>
      </c>
      <c r="E3224" s="4" t="s">
        <v>5362</v>
      </c>
      <c r="F3224" s="5">
        <v>40084</v>
      </c>
      <c r="G3224" s="5">
        <v>40449</v>
      </c>
      <c r="H3224" s="4" t="s">
        <v>40</v>
      </c>
      <c r="I3224" s="6">
        <v>5000</v>
      </c>
      <c r="J3224" s="6">
        <v>5000</v>
      </c>
      <c r="K3224" s="37" t="s">
        <v>5018</v>
      </c>
      <c r="L3224" s="119"/>
      <c r="M3224" s="3"/>
    </row>
    <row r="3225" spans="1:13" s="4" customFormat="1" ht="14.25" customHeight="1" x14ac:dyDescent="0.25">
      <c r="A3225" s="4" t="s">
        <v>5365</v>
      </c>
      <c r="B3225" s="4" t="s">
        <v>90</v>
      </c>
      <c r="C3225" s="4" t="s">
        <v>14</v>
      </c>
      <c r="D3225" s="35">
        <v>5282</v>
      </c>
      <c r="E3225" s="4" t="s">
        <v>5366</v>
      </c>
      <c r="F3225" s="5">
        <v>39909</v>
      </c>
      <c r="G3225" s="5">
        <v>40274</v>
      </c>
      <c r="H3225" s="4" t="s">
        <v>40</v>
      </c>
      <c r="I3225" s="6">
        <v>10000</v>
      </c>
      <c r="J3225" s="6">
        <v>5000</v>
      </c>
      <c r="K3225" s="37" t="s">
        <v>5018</v>
      </c>
      <c r="L3225" s="119"/>
      <c r="M3225" s="3"/>
    </row>
    <row r="3226" spans="1:13" s="4" customFormat="1" ht="14.25" customHeight="1" x14ac:dyDescent="0.25">
      <c r="A3226" s="4" t="s">
        <v>5367</v>
      </c>
      <c r="B3226" s="4" t="s">
        <v>90</v>
      </c>
      <c r="C3226" s="4" t="s">
        <v>14</v>
      </c>
      <c r="D3226" s="35">
        <v>5283</v>
      </c>
      <c r="E3226" s="4" t="s">
        <v>5368</v>
      </c>
      <c r="F3226" s="5">
        <v>39958</v>
      </c>
      <c r="G3226" s="5">
        <v>40323</v>
      </c>
      <c r="H3226" s="4" t="s">
        <v>40</v>
      </c>
      <c r="I3226" s="6">
        <v>10000</v>
      </c>
      <c r="J3226" s="6">
        <v>5000</v>
      </c>
      <c r="K3226" s="37" t="s">
        <v>5018</v>
      </c>
      <c r="L3226" s="119"/>
      <c r="M3226" s="3"/>
    </row>
    <row r="3227" spans="1:13" s="4" customFormat="1" ht="14.25" customHeight="1" x14ac:dyDescent="0.25">
      <c r="A3227" s="4" t="s">
        <v>5369</v>
      </c>
      <c r="B3227" s="4" t="s">
        <v>50</v>
      </c>
      <c r="C3227" s="4" t="s">
        <v>14</v>
      </c>
      <c r="D3227" s="35">
        <v>5314</v>
      </c>
      <c r="E3227" s="4" t="s">
        <v>5370</v>
      </c>
      <c r="F3227" s="5">
        <v>39713</v>
      </c>
      <c r="G3227" s="5">
        <v>40078</v>
      </c>
      <c r="H3227" s="4" t="s">
        <v>40</v>
      </c>
      <c r="I3227" s="6">
        <v>45065.5</v>
      </c>
      <c r="J3227" s="6">
        <v>22532.75</v>
      </c>
      <c r="K3227" s="37" t="s">
        <v>5018</v>
      </c>
      <c r="L3227" s="119"/>
      <c r="M3227" s="3"/>
    </row>
    <row r="3228" spans="1:13" s="4" customFormat="1" ht="14.25" customHeight="1" x14ac:dyDescent="0.25">
      <c r="A3228" s="4" t="s">
        <v>5371</v>
      </c>
      <c r="B3228" s="4" t="s">
        <v>50</v>
      </c>
      <c r="C3228" s="4" t="s">
        <v>14</v>
      </c>
      <c r="D3228" s="35">
        <v>5318</v>
      </c>
      <c r="E3228" s="4" t="s">
        <v>5372</v>
      </c>
      <c r="F3228" s="5">
        <v>39958</v>
      </c>
      <c r="G3228" s="5">
        <v>40323</v>
      </c>
      <c r="H3228" s="4" t="s">
        <v>40</v>
      </c>
      <c r="I3228" s="6">
        <v>35369.54</v>
      </c>
      <c r="J3228" s="6">
        <v>17684.77</v>
      </c>
      <c r="K3228" s="37" t="s">
        <v>5018</v>
      </c>
      <c r="L3228" s="119"/>
      <c r="M3228" s="3"/>
    </row>
    <row r="3229" spans="1:13" s="4" customFormat="1" ht="14.25" customHeight="1" x14ac:dyDescent="0.25">
      <c r="A3229" s="4" t="s">
        <v>5375</v>
      </c>
      <c r="B3229" s="4" t="s">
        <v>59</v>
      </c>
      <c r="C3229" s="4" t="s">
        <v>14</v>
      </c>
      <c r="D3229" s="35">
        <v>5321</v>
      </c>
      <c r="E3229" s="4" t="s">
        <v>5376</v>
      </c>
      <c r="F3229" s="5">
        <v>40084</v>
      </c>
      <c r="G3229" s="5">
        <v>40449</v>
      </c>
      <c r="H3229" s="4" t="s">
        <v>40</v>
      </c>
      <c r="I3229" s="6">
        <v>5000</v>
      </c>
      <c r="J3229" s="6">
        <v>5000</v>
      </c>
      <c r="K3229" s="37" t="s">
        <v>5018</v>
      </c>
      <c r="L3229" s="119"/>
      <c r="M3229" s="3"/>
    </row>
    <row r="3230" spans="1:13" s="4" customFormat="1" ht="14.25" customHeight="1" x14ac:dyDescent="0.25">
      <c r="A3230" s="4" t="s">
        <v>5377</v>
      </c>
      <c r="B3230" s="4" t="s">
        <v>59</v>
      </c>
      <c r="C3230" s="4" t="s">
        <v>14</v>
      </c>
      <c r="D3230" s="35">
        <v>5322</v>
      </c>
      <c r="E3230" s="4" t="s">
        <v>5378</v>
      </c>
      <c r="F3230" s="5">
        <v>40161</v>
      </c>
      <c r="G3230" s="5">
        <v>40526</v>
      </c>
      <c r="H3230" s="4" t="s">
        <v>40</v>
      </c>
      <c r="I3230" s="6">
        <v>10000</v>
      </c>
      <c r="J3230" s="6">
        <v>10000</v>
      </c>
      <c r="K3230" s="37" t="s">
        <v>5018</v>
      </c>
      <c r="L3230" s="119"/>
      <c r="M3230" s="3"/>
    </row>
    <row r="3231" spans="1:13" s="4" customFormat="1" ht="14.25" customHeight="1" x14ac:dyDescent="0.25">
      <c r="A3231" s="4" t="s">
        <v>5379</v>
      </c>
      <c r="B3231" s="4" t="s">
        <v>50</v>
      </c>
      <c r="C3231" s="4" t="s">
        <v>14</v>
      </c>
      <c r="D3231" s="35">
        <v>5323</v>
      </c>
      <c r="E3231" s="4" t="s">
        <v>5380</v>
      </c>
      <c r="F3231" s="5">
        <v>40161</v>
      </c>
      <c r="G3231" s="5">
        <v>40526</v>
      </c>
      <c r="H3231" s="4" t="s">
        <v>40</v>
      </c>
      <c r="I3231" s="6">
        <v>63361.88</v>
      </c>
      <c r="J3231" s="6">
        <v>31680.94</v>
      </c>
      <c r="K3231" s="37" t="s">
        <v>5018</v>
      </c>
      <c r="L3231" s="119"/>
      <c r="M3231" s="3"/>
    </row>
    <row r="3232" spans="1:13" s="4" customFormat="1" ht="14.25" customHeight="1" x14ac:dyDescent="0.25">
      <c r="A3232" s="4" t="s">
        <v>5381</v>
      </c>
      <c r="B3232" s="4" t="s">
        <v>50</v>
      </c>
      <c r="C3232" s="4" t="s">
        <v>14</v>
      </c>
      <c r="D3232" s="35">
        <v>5324</v>
      </c>
      <c r="E3232" s="4" t="s">
        <v>5382</v>
      </c>
      <c r="F3232" s="5">
        <v>39958</v>
      </c>
      <c r="G3232" s="5">
        <v>40323</v>
      </c>
      <c r="H3232" s="4" t="s">
        <v>40</v>
      </c>
      <c r="I3232" s="6">
        <v>150000</v>
      </c>
      <c r="J3232" s="6">
        <v>75000</v>
      </c>
      <c r="K3232" s="37" t="s">
        <v>5018</v>
      </c>
      <c r="L3232" s="119"/>
      <c r="M3232" s="3"/>
    </row>
    <row r="3233" spans="1:13" s="4" customFormat="1" ht="14.25" customHeight="1" x14ac:dyDescent="0.25">
      <c r="A3233" s="4" t="s">
        <v>5383</v>
      </c>
      <c r="B3233" s="4" t="s">
        <v>38</v>
      </c>
      <c r="C3233" s="4" t="s">
        <v>14</v>
      </c>
      <c r="D3233" s="35">
        <v>5348</v>
      </c>
      <c r="E3233" s="4" t="s">
        <v>5384</v>
      </c>
      <c r="F3233" s="5">
        <v>39814</v>
      </c>
      <c r="G3233" s="5">
        <v>40178</v>
      </c>
      <c r="H3233" s="4" t="s">
        <v>40</v>
      </c>
      <c r="I3233" s="6">
        <v>38234.1</v>
      </c>
      <c r="J3233" s="6">
        <v>38234.1</v>
      </c>
      <c r="K3233" s="37" t="s">
        <v>5018</v>
      </c>
      <c r="L3233" s="119"/>
      <c r="M3233" s="3"/>
    </row>
    <row r="3234" spans="1:13" s="4" customFormat="1" ht="14.25" customHeight="1" x14ac:dyDescent="0.25">
      <c r="A3234" s="4" t="s">
        <v>5385</v>
      </c>
      <c r="B3234" s="4" t="s">
        <v>38</v>
      </c>
      <c r="C3234" s="4" t="s">
        <v>14</v>
      </c>
      <c r="D3234" s="35">
        <v>5351</v>
      </c>
      <c r="E3234" s="4" t="s">
        <v>5385</v>
      </c>
      <c r="F3234" s="5">
        <v>39814</v>
      </c>
      <c r="G3234" s="5">
        <v>39994</v>
      </c>
      <c r="H3234" s="4" t="s">
        <v>40</v>
      </c>
      <c r="I3234" s="6">
        <v>10607.5</v>
      </c>
      <c r="J3234" s="6">
        <v>10607.5</v>
      </c>
      <c r="K3234" s="37" t="s">
        <v>5018</v>
      </c>
      <c r="L3234" s="119"/>
      <c r="M3234" s="3"/>
    </row>
    <row r="3235" spans="1:13" s="4" customFormat="1" ht="14.25" customHeight="1" x14ac:dyDescent="0.25">
      <c r="A3235" s="4" t="s">
        <v>5386</v>
      </c>
      <c r="B3235" s="4" t="s">
        <v>38</v>
      </c>
      <c r="C3235" s="4" t="s">
        <v>14</v>
      </c>
      <c r="D3235" s="35">
        <v>5393</v>
      </c>
      <c r="E3235" s="4" t="s">
        <v>5387</v>
      </c>
      <c r="F3235" s="5">
        <v>39814</v>
      </c>
      <c r="G3235" s="5">
        <v>40178</v>
      </c>
      <c r="H3235" s="4" t="s">
        <v>40</v>
      </c>
      <c r="I3235" s="6">
        <v>19555.240000000002</v>
      </c>
      <c r="J3235" s="6">
        <v>19555.240000000002</v>
      </c>
      <c r="K3235" s="37" t="s">
        <v>5018</v>
      </c>
      <c r="L3235" s="119"/>
      <c r="M3235" s="3"/>
    </row>
    <row r="3236" spans="1:13" s="4" customFormat="1" ht="14.25" customHeight="1" x14ac:dyDescent="0.25">
      <c r="A3236" s="4" t="s">
        <v>5388</v>
      </c>
      <c r="B3236" s="4" t="s">
        <v>38</v>
      </c>
      <c r="C3236" s="4" t="s">
        <v>14</v>
      </c>
      <c r="D3236" s="35">
        <v>5394</v>
      </c>
      <c r="E3236" s="4" t="s">
        <v>5389</v>
      </c>
      <c r="F3236" s="5">
        <v>39814</v>
      </c>
      <c r="G3236" s="5">
        <v>40178</v>
      </c>
      <c r="H3236" s="4" t="s">
        <v>40</v>
      </c>
      <c r="I3236" s="6">
        <v>624</v>
      </c>
      <c r="J3236" s="6">
        <v>624</v>
      </c>
      <c r="K3236" s="37" t="s">
        <v>5018</v>
      </c>
      <c r="L3236" s="119"/>
      <c r="M3236" s="3"/>
    </row>
    <row r="3237" spans="1:13" s="4" customFormat="1" ht="14.25" customHeight="1" x14ac:dyDescent="0.25">
      <c r="A3237" s="4" t="s">
        <v>5390</v>
      </c>
      <c r="B3237" s="4" t="s">
        <v>38</v>
      </c>
      <c r="C3237" s="4" t="s">
        <v>14</v>
      </c>
      <c r="D3237" s="35">
        <v>5396</v>
      </c>
      <c r="E3237" s="4" t="s">
        <v>5391</v>
      </c>
      <c r="F3237" s="5">
        <v>39814</v>
      </c>
      <c r="G3237" s="5">
        <v>40178</v>
      </c>
      <c r="H3237" s="4" t="s">
        <v>40</v>
      </c>
      <c r="I3237" s="6">
        <v>3106</v>
      </c>
      <c r="J3237" s="6">
        <v>3106</v>
      </c>
      <c r="K3237" s="37" t="s">
        <v>5018</v>
      </c>
      <c r="L3237" s="119"/>
      <c r="M3237" s="3"/>
    </row>
    <row r="3238" spans="1:13" s="4" customFormat="1" ht="14.25" customHeight="1" x14ac:dyDescent="0.25">
      <c r="A3238" s="4" t="s">
        <v>5392</v>
      </c>
      <c r="B3238" s="4" t="s">
        <v>38</v>
      </c>
      <c r="C3238" s="4" t="s">
        <v>14</v>
      </c>
      <c r="D3238" s="35">
        <v>5397</v>
      </c>
      <c r="E3238" s="4" t="s">
        <v>5393</v>
      </c>
      <c r="F3238" s="5">
        <v>39814</v>
      </c>
      <c r="G3238" s="5">
        <v>40178</v>
      </c>
      <c r="H3238" s="4" t="s">
        <v>40</v>
      </c>
      <c r="I3238" s="6">
        <v>2006.79</v>
      </c>
      <c r="J3238" s="6">
        <v>2006.79</v>
      </c>
      <c r="K3238" s="37" t="s">
        <v>5018</v>
      </c>
      <c r="L3238" s="119"/>
      <c r="M3238" s="3"/>
    </row>
    <row r="3239" spans="1:13" s="4" customFormat="1" ht="14.25" customHeight="1" x14ac:dyDescent="0.25">
      <c r="A3239" s="4" t="s">
        <v>5394</v>
      </c>
      <c r="B3239" s="4" t="s">
        <v>38</v>
      </c>
      <c r="C3239" s="4" t="s">
        <v>14</v>
      </c>
      <c r="D3239" s="35">
        <v>5398</v>
      </c>
      <c r="E3239" s="4" t="s">
        <v>5395</v>
      </c>
      <c r="F3239" s="5">
        <v>40087</v>
      </c>
      <c r="G3239" s="5">
        <v>40117</v>
      </c>
      <c r="H3239" s="4" t="s">
        <v>40</v>
      </c>
      <c r="I3239" s="6">
        <v>2335.23</v>
      </c>
      <c r="J3239" s="6">
        <v>2335.23</v>
      </c>
      <c r="K3239" s="37" t="s">
        <v>5018</v>
      </c>
      <c r="L3239" s="119"/>
      <c r="M3239" s="3"/>
    </row>
    <row r="3240" spans="1:13" s="4" customFormat="1" ht="14.25" customHeight="1" x14ac:dyDescent="0.25">
      <c r="A3240" s="4" t="s">
        <v>5396</v>
      </c>
      <c r="B3240" s="4" t="s">
        <v>38</v>
      </c>
      <c r="C3240" s="4" t="s">
        <v>14</v>
      </c>
      <c r="D3240" s="35">
        <v>5399</v>
      </c>
      <c r="E3240" s="4" t="s">
        <v>5397</v>
      </c>
      <c r="F3240" s="5">
        <v>39814</v>
      </c>
      <c r="G3240" s="5">
        <v>40178</v>
      </c>
      <c r="H3240" s="4" t="s">
        <v>40</v>
      </c>
      <c r="I3240" s="6">
        <v>57284.14</v>
      </c>
      <c r="J3240" s="6">
        <v>57284.14</v>
      </c>
      <c r="K3240" s="37" t="s">
        <v>5018</v>
      </c>
      <c r="L3240" s="119"/>
      <c r="M3240" s="3"/>
    </row>
    <row r="3241" spans="1:13" s="4" customFormat="1" ht="14.25" customHeight="1" x14ac:dyDescent="0.25">
      <c r="A3241" s="4" t="s">
        <v>5398</v>
      </c>
      <c r="B3241" s="4" t="s">
        <v>38</v>
      </c>
      <c r="C3241" s="4" t="s">
        <v>14</v>
      </c>
      <c r="D3241" s="35">
        <v>5400</v>
      </c>
      <c r="E3241" s="4" t="s">
        <v>5399</v>
      </c>
      <c r="F3241" s="5">
        <v>39873</v>
      </c>
      <c r="G3241" s="5">
        <v>40117</v>
      </c>
      <c r="H3241" s="4" t="s">
        <v>40</v>
      </c>
      <c r="I3241" s="6">
        <v>10000</v>
      </c>
      <c r="J3241" s="6">
        <v>10000</v>
      </c>
      <c r="K3241" s="37" t="s">
        <v>5018</v>
      </c>
      <c r="L3241" s="119"/>
      <c r="M3241" s="3"/>
    </row>
    <row r="3242" spans="1:13" s="4" customFormat="1" ht="14.25" customHeight="1" x14ac:dyDescent="0.25">
      <c r="A3242" s="4" t="s">
        <v>5400</v>
      </c>
      <c r="B3242" s="4" t="s">
        <v>38</v>
      </c>
      <c r="C3242" s="4" t="s">
        <v>14</v>
      </c>
      <c r="D3242" s="35">
        <v>5401</v>
      </c>
      <c r="E3242" s="4" t="s">
        <v>5401</v>
      </c>
      <c r="F3242" s="5">
        <v>39873</v>
      </c>
      <c r="G3242" s="5">
        <v>40482</v>
      </c>
      <c r="H3242" s="4" t="s">
        <v>40</v>
      </c>
      <c r="I3242" s="6">
        <v>15292.11</v>
      </c>
      <c r="J3242" s="6">
        <v>15292.11</v>
      </c>
      <c r="K3242" s="37" t="s">
        <v>5018</v>
      </c>
      <c r="L3242" s="119"/>
      <c r="M3242" s="3"/>
    </row>
    <row r="3243" spans="1:13" s="4" customFormat="1" ht="14.25" customHeight="1" x14ac:dyDescent="0.25">
      <c r="A3243" s="4" t="s">
        <v>5402</v>
      </c>
      <c r="B3243" s="4" t="s">
        <v>38</v>
      </c>
      <c r="C3243" s="4" t="s">
        <v>14</v>
      </c>
      <c r="D3243" s="35">
        <v>5402</v>
      </c>
      <c r="E3243" s="4" t="s">
        <v>5402</v>
      </c>
      <c r="F3243" s="5">
        <v>39814</v>
      </c>
      <c r="G3243" s="5">
        <v>40543</v>
      </c>
      <c r="H3243" s="4" t="s">
        <v>40</v>
      </c>
      <c r="I3243" s="6">
        <v>25077.91</v>
      </c>
      <c r="J3243" s="6">
        <v>25077.91</v>
      </c>
      <c r="K3243" s="37" t="s">
        <v>5018</v>
      </c>
      <c r="L3243" s="119"/>
      <c r="M3243" s="3"/>
    </row>
    <row r="3244" spans="1:13" s="4" customFormat="1" ht="14.25" customHeight="1" x14ac:dyDescent="0.25">
      <c r="A3244" s="4" t="s">
        <v>5403</v>
      </c>
      <c r="B3244" s="4" t="s">
        <v>38</v>
      </c>
      <c r="C3244" s="4" t="s">
        <v>14</v>
      </c>
      <c r="D3244" s="35">
        <v>5403</v>
      </c>
      <c r="E3244" s="4" t="s">
        <v>5404</v>
      </c>
      <c r="F3244" s="5">
        <v>39814</v>
      </c>
      <c r="G3244" s="5">
        <v>40543</v>
      </c>
      <c r="H3244" s="4" t="s">
        <v>40</v>
      </c>
      <c r="I3244" s="6">
        <v>1776.35</v>
      </c>
      <c r="J3244" s="6">
        <v>1776.35</v>
      </c>
      <c r="K3244" s="37" t="s">
        <v>5018</v>
      </c>
      <c r="L3244" s="119"/>
      <c r="M3244" s="3"/>
    </row>
    <row r="3245" spans="1:13" s="4" customFormat="1" ht="14.25" customHeight="1" x14ac:dyDescent="0.25">
      <c r="A3245" s="4" t="s">
        <v>5405</v>
      </c>
      <c r="B3245" s="4" t="s">
        <v>38</v>
      </c>
      <c r="C3245" s="4" t="s">
        <v>14</v>
      </c>
      <c r="D3245" s="35">
        <v>5404</v>
      </c>
      <c r="E3245" s="4" t="s">
        <v>5406</v>
      </c>
      <c r="F3245" s="5">
        <v>39814</v>
      </c>
      <c r="G3245" s="5">
        <v>40178</v>
      </c>
      <c r="H3245" s="4" t="s">
        <v>40</v>
      </c>
      <c r="I3245" s="6">
        <v>592.95000000000005</v>
      </c>
      <c r="J3245" s="6">
        <v>592.95000000000005</v>
      </c>
      <c r="K3245" s="37" t="s">
        <v>5018</v>
      </c>
      <c r="L3245" s="119"/>
      <c r="M3245" s="3"/>
    </row>
    <row r="3246" spans="1:13" s="4" customFormat="1" ht="14.25" customHeight="1" x14ac:dyDescent="0.25">
      <c r="A3246" s="4" t="s">
        <v>5407</v>
      </c>
      <c r="B3246" s="4" t="s">
        <v>38</v>
      </c>
      <c r="C3246" s="4" t="s">
        <v>14</v>
      </c>
      <c r="D3246" s="35">
        <v>5405</v>
      </c>
      <c r="E3246" s="7" t="s">
        <v>5408</v>
      </c>
      <c r="F3246" s="5">
        <v>39814</v>
      </c>
      <c r="G3246" s="5">
        <v>40178</v>
      </c>
      <c r="H3246" s="4" t="s">
        <v>40</v>
      </c>
      <c r="I3246" s="6">
        <v>5112</v>
      </c>
      <c r="J3246" s="6">
        <v>5112</v>
      </c>
      <c r="K3246" s="37" t="s">
        <v>5018</v>
      </c>
      <c r="L3246" s="119"/>
      <c r="M3246" s="3"/>
    </row>
    <row r="3247" spans="1:13" s="4" customFormat="1" ht="14.25" customHeight="1" x14ac:dyDescent="0.25">
      <c r="A3247" s="4" t="s">
        <v>5409</v>
      </c>
      <c r="B3247" s="4" t="s">
        <v>38</v>
      </c>
      <c r="C3247" s="4" t="s">
        <v>14</v>
      </c>
      <c r="D3247" s="35">
        <v>5408</v>
      </c>
      <c r="E3247" s="4" t="s">
        <v>5410</v>
      </c>
      <c r="F3247" s="5">
        <v>39995</v>
      </c>
      <c r="G3247" s="5">
        <v>40178</v>
      </c>
      <c r="H3247" s="4" t="s">
        <v>40</v>
      </c>
      <c r="I3247" s="6">
        <v>8491.9599999999991</v>
      </c>
      <c r="J3247" s="6">
        <v>8491.9599999999991</v>
      </c>
      <c r="K3247" s="37" t="s">
        <v>5018</v>
      </c>
      <c r="L3247" s="119"/>
      <c r="M3247" s="3"/>
    </row>
    <row r="3248" spans="1:13" s="4" customFormat="1" ht="14.25" customHeight="1" x14ac:dyDescent="0.25">
      <c r="A3248" s="4" t="s">
        <v>5411</v>
      </c>
      <c r="B3248" s="4" t="s">
        <v>38</v>
      </c>
      <c r="C3248" s="4" t="s">
        <v>14</v>
      </c>
      <c r="D3248" s="35">
        <v>5409</v>
      </c>
      <c r="E3248" s="4" t="s">
        <v>5412</v>
      </c>
      <c r="F3248" s="5">
        <v>39814</v>
      </c>
      <c r="G3248" s="5">
        <v>40178</v>
      </c>
      <c r="H3248" s="4" t="s">
        <v>40</v>
      </c>
      <c r="I3248" s="6">
        <v>62741.279999999999</v>
      </c>
      <c r="J3248" s="6">
        <v>31370.59</v>
      </c>
      <c r="K3248" s="37" t="s">
        <v>5018</v>
      </c>
      <c r="L3248" s="119"/>
      <c r="M3248" s="3"/>
    </row>
    <row r="3249" spans="1:13" s="4" customFormat="1" ht="14.25" customHeight="1" x14ac:dyDescent="0.25">
      <c r="A3249" s="4" t="s">
        <v>5413</v>
      </c>
      <c r="B3249" s="4" t="s">
        <v>38</v>
      </c>
      <c r="C3249" s="4" t="s">
        <v>14</v>
      </c>
      <c r="D3249" s="35">
        <v>5410</v>
      </c>
      <c r="E3249" s="4" t="s">
        <v>5413</v>
      </c>
      <c r="F3249" s="5">
        <v>39814</v>
      </c>
      <c r="G3249" s="5">
        <v>40178</v>
      </c>
      <c r="H3249" s="4" t="s">
        <v>40</v>
      </c>
      <c r="I3249" s="6">
        <v>800</v>
      </c>
      <c r="J3249" s="6">
        <v>800</v>
      </c>
      <c r="K3249" s="37" t="s">
        <v>5018</v>
      </c>
      <c r="L3249" s="119"/>
      <c r="M3249" s="3"/>
    </row>
    <row r="3250" spans="1:13" s="4" customFormat="1" ht="14.25" customHeight="1" x14ac:dyDescent="0.25">
      <c r="A3250" s="4" t="s">
        <v>5414</v>
      </c>
      <c r="B3250" s="4" t="s">
        <v>38</v>
      </c>
      <c r="C3250" s="4" t="s">
        <v>14</v>
      </c>
      <c r="D3250" s="35">
        <v>5411</v>
      </c>
      <c r="E3250" s="4" t="s">
        <v>5415</v>
      </c>
      <c r="F3250" s="5">
        <v>39814</v>
      </c>
      <c r="G3250" s="5">
        <v>40178</v>
      </c>
      <c r="H3250" s="4" t="s">
        <v>40</v>
      </c>
      <c r="I3250" s="6">
        <v>17328.91</v>
      </c>
      <c r="J3250" s="6">
        <v>17328.91</v>
      </c>
      <c r="K3250" s="37" t="s">
        <v>5018</v>
      </c>
      <c r="L3250" s="119"/>
      <c r="M3250" s="3"/>
    </row>
    <row r="3251" spans="1:13" s="4" customFormat="1" ht="14.25" customHeight="1" x14ac:dyDescent="0.25">
      <c r="A3251" s="4" t="s">
        <v>5416</v>
      </c>
      <c r="B3251" s="4" t="s">
        <v>38</v>
      </c>
      <c r="C3251" s="4" t="s">
        <v>14</v>
      </c>
      <c r="D3251" s="35">
        <v>5412</v>
      </c>
      <c r="E3251" s="7" t="s">
        <v>5417</v>
      </c>
      <c r="F3251" s="5">
        <v>39814</v>
      </c>
      <c r="G3251" s="5">
        <v>40178</v>
      </c>
      <c r="H3251" s="4" t="s">
        <v>40</v>
      </c>
      <c r="I3251" s="6">
        <v>2121.09</v>
      </c>
      <c r="J3251" s="6">
        <v>2121.09</v>
      </c>
      <c r="K3251" s="37" t="s">
        <v>5018</v>
      </c>
      <c r="L3251" s="119"/>
      <c r="M3251" s="3"/>
    </row>
    <row r="3252" spans="1:13" s="4" customFormat="1" ht="14.25" customHeight="1" x14ac:dyDescent="0.25">
      <c r="A3252" s="4" t="s">
        <v>5418</v>
      </c>
      <c r="B3252" s="4" t="s">
        <v>38</v>
      </c>
      <c r="C3252" s="4" t="s">
        <v>14</v>
      </c>
      <c r="D3252" s="35">
        <v>5424</v>
      </c>
      <c r="E3252" s="4" t="s">
        <v>5419</v>
      </c>
      <c r="F3252" s="5">
        <v>39814</v>
      </c>
      <c r="G3252" s="5">
        <v>40178</v>
      </c>
      <c r="H3252" s="4" t="s">
        <v>40</v>
      </c>
      <c r="I3252" s="6">
        <v>1547</v>
      </c>
      <c r="J3252" s="6">
        <v>1547</v>
      </c>
      <c r="K3252" s="37" t="s">
        <v>5018</v>
      </c>
      <c r="L3252" s="119"/>
      <c r="M3252" s="3"/>
    </row>
    <row r="3253" spans="1:13" s="4" customFormat="1" ht="14.25" customHeight="1" x14ac:dyDescent="0.25">
      <c r="A3253" s="4" t="s">
        <v>5420</v>
      </c>
      <c r="B3253" s="4" t="s">
        <v>38</v>
      </c>
      <c r="C3253" s="4" t="s">
        <v>14</v>
      </c>
      <c r="D3253" s="35">
        <v>5425</v>
      </c>
      <c r="E3253" s="4" t="s">
        <v>5420</v>
      </c>
      <c r="F3253" s="5">
        <v>39814</v>
      </c>
      <c r="G3253" s="5">
        <v>40178</v>
      </c>
      <c r="H3253" s="4" t="s">
        <v>40</v>
      </c>
      <c r="I3253" s="6">
        <v>272</v>
      </c>
      <c r="J3253" s="6">
        <v>272</v>
      </c>
      <c r="K3253" s="37" t="s">
        <v>5018</v>
      </c>
      <c r="L3253" s="119"/>
      <c r="M3253" s="3"/>
    </row>
    <row r="3254" spans="1:13" s="4" customFormat="1" ht="14.25" customHeight="1" x14ac:dyDescent="0.25">
      <c r="A3254" s="4" t="s">
        <v>5421</v>
      </c>
      <c r="B3254" s="4" t="s">
        <v>38</v>
      </c>
      <c r="C3254" s="4" t="s">
        <v>14</v>
      </c>
      <c r="D3254" s="35">
        <v>5426</v>
      </c>
      <c r="E3254" s="4" t="s">
        <v>5421</v>
      </c>
      <c r="F3254" s="5">
        <v>39814</v>
      </c>
      <c r="G3254" s="5">
        <v>40178</v>
      </c>
      <c r="H3254" s="4" t="s">
        <v>40</v>
      </c>
      <c r="I3254" s="6">
        <v>753</v>
      </c>
      <c r="J3254" s="6">
        <v>753</v>
      </c>
      <c r="K3254" s="37" t="s">
        <v>5018</v>
      </c>
      <c r="L3254" s="119"/>
      <c r="M3254" s="3"/>
    </row>
    <row r="3255" spans="1:13" s="4" customFormat="1" ht="14.25" customHeight="1" x14ac:dyDescent="0.25">
      <c r="A3255" s="4" t="s">
        <v>5422</v>
      </c>
      <c r="B3255" s="4" t="s">
        <v>38</v>
      </c>
      <c r="C3255" s="4" t="s">
        <v>14</v>
      </c>
      <c r="D3255" s="35">
        <v>5427</v>
      </c>
      <c r="E3255" s="4" t="s">
        <v>5422</v>
      </c>
      <c r="F3255" s="5">
        <v>39814</v>
      </c>
      <c r="G3255" s="5">
        <v>40178</v>
      </c>
      <c r="H3255" s="4" t="s">
        <v>40</v>
      </c>
      <c r="I3255" s="6">
        <v>428</v>
      </c>
      <c r="J3255" s="6">
        <v>428</v>
      </c>
      <c r="K3255" s="37" t="s">
        <v>5018</v>
      </c>
      <c r="L3255" s="119"/>
      <c r="M3255" s="3"/>
    </row>
    <row r="3256" spans="1:13" s="4" customFormat="1" ht="14.25" customHeight="1" x14ac:dyDescent="0.25">
      <c r="A3256" s="4" t="s">
        <v>5423</v>
      </c>
      <c r="B3256" s="4" t="s">
        <v>38</v>
      </c>
      <c r="C3256" s="4" t="s">
        <v>14</v>
      </c>
      <c r="D3256" s="35">
        <v>5428</v>
      </c>
      <c r="E3256" s="4" t="s">
        <v>5423</v>
      </c>
      <c r="F3256" s="5">
        <v>39814</v>
      </c>
      <c r="G3256" s="5">
        <v>40178</v>
      </c>
      <c r="H3256" s="4" t="s">
        <v>40</v>
      </c>
      <c r="I3256" s="6">
        <v>337.25</v>
      </c>
      <c r="J3256" s="6">
        <v>337.25</v>
      </c>
      <c r="K3256" s="37" t="s">
        <v>5018</v>
      </c>
      <c r="L3256" s="119"/>
      <c r="M3256" s="3"/>
    </row>
    <row r="3257" spans="1:13" s="4" customFormat="1" ht="14.25" customHeight="1" x14ac:dyDescent="0.25">
      <c r="A3257" s="4" t="s">
        <v>5424</v>
      </c>
      <c r="B3257" s="4" t="s">
        <v>38</v>
      </c>
      <c r="C3257" s="4" t="s">
        <v>14</v>
      </c>
      <c r="D3257" s="35">
        <v>5429</v>
      </c>
      <c r="E3257" s="4" t="s">
        <v>5424</v>
      </c>
      <c r="F3257" s="5">
        <v>39814</v>
      </c>
      <c r="G3257" s="5">
        <v>40178</v>
      </c>
      <c r="H3257" s="4" t="s">
        <v>40</v>
      </c>
      <c r="I3257" s="6">
        <v>400</v>
      </c>
      <c r="J3257" s="6">
        <v>400</v>
      </c>
      <c r="K3257" s="37" t="s">
        <v>5018</v>
      </c>
      <c r="L3257" s="119"/>
      <c r="M3257" s="3"/>
    </row>
    <row r="3258" spans="1:13" s="4" customFormat="1" ht="14.25" customHeight="1" x14ac:dyDescent="0.25">
      <c r="A3258" s="4" t="s">
        <v>5425</v>
      </c>
      <c r="B3258" s="4" t="s">
        <v>38</v>
      </c>
      <c r="C3258" s="4" t="s">
        <v>14</v>
      </c>
      <c r="D3258" s="35">
        <v>5431</v>
      </c>
      <c r="E3258" s="4" t="s">
        <v>5425</v>
      </c>
      <c r="F3258" s="5">
        <v>39814</v>
      </c>
      <c r="G3258" s="5">
        <v>40178</v>
      </c>
      <c r="H3258" s="4" t="s">
        <v>40</v>
      </c>
      <c r="I3258" s="6">
        <v>613</v>
      </c>
      <c r="J3258" s="6">
        <v>613</v>
      </c>
      <c r="K3258" s="37" t="s">
        <v>5018</v>
      </c>
      <c r="L3258" s="119"/>
      <c r="M3258" s="3"/>
    </row>
    <row r="3259" spans="1:13" s="4" customFormat="1" ht="14.25" customHeight="1" x14ac:dyDescent="0.25">
      <c r="A3259" s="4" t="s">
        <v>5426</v>
      </c>
      <c r="B3259" s="4" t="s">
        <v>38</v>
      </c>
      <c r="C3259" s="4" t="s">
        <v>14</v>
      </c>
      <c r="D3259" s="35">
        <v>5432</v>
      </c>
      <c r="E3259" s="4" t="s">
        <v>5426</v>
      </c>
      <c r="F3259" s="5">
        <v>39814</v>
      </c>
      <c r="G3259" s="5">
        <v>40178</v>
      </c>
      <c r="H3259" s="4" t="s">
        <v>40</v>
      </c>
      <c r="I3259" s="6">
        <v>1420</v>
      </c>
      <c r="J3259" s="6">
        <v>1420</v>
      </c>
      <c r="K3259" s="37" t="s">
        <v>5018</v>
      </c>
      <c r="L3259" s="119"/>
      <c r="M3259" s="3"/>
    </row>
    <row r="3260" spans="1:13" s="4" customFormat="1" ht="14.25" customHeight="1" x14ac:dyDescent="0.25">
      <c r="A3260" s="4" t="s">
        <v>5427</v>
      </c>
      <c r="B3260" s="4" t="s">
        <v>38</v>
      </c>
      <c r="C3260" s="4" t="s">
        <v>14</v>
      </c>
      <c r="D3260" s="35">
        <v>5433</v>
      </c>
      <c r="E3260" s="4" t="s">
        <v>5427</v>
      </c>
      <c r="F3260" s="5">
        <v>39814</v>
      </c>
      <c r="G3260" s="5">
        <v>40178</v>
      </c>
      <c r="H3260" s="4" t="s">
        <v>40</v>
      </c>
      <c r="I3260" s="6">
        <v>780</v>
      </c>
      <c r="J3260" s="6">
        <v>780</v>
      </c>
      <c r="K3260" s="37" t="s">
        <v>5018</v>
      </c>
      <c r="L3260" s="119"/>
      <c r="M3260" s="3"/>
    </row>
    <row r="3261" spans="1:13" s="4" customFormat="1" ht="14.25" customHeight="1" x14ac:dyDescent="0.25">
      <c r="A3261" s="4" t="s">
        <v>5428</v>
      </c>
      <c r="B3261" s="4" t="s">
        <v>38</v>
      </c>
      <c r="C3261" s="4" t="s">
        <v>14</v>
      </c>
      <c r="D3261" s="35">
        <v>5434</v>
      </c>
      <c r="E3261" s="4" t="s">
        <v>5428</v>
      </c>
      <c r="F3261" s="5">
        <v>39814</v>
      </c>
      <c r="G3261" s="5">
        <v>40178</v>
      </c>
      <c r="H3261" s="4" t="s">
        <v>40</v>
      </c>
      <c r="I3261" s="6">
        <v>405</v>
      </c>
      <c r="J3261" s="6">
        <v>405</v>
      </c>
      <c r="K3261" s="37" t="s">
        <v>5018</v>
      </c>
      <c r="L3261" s="119"/>
      <c r="M3261" s="3"/>
    </row>
    <row r="3262" spans="1:13" s="4" customFormat="1" ht="14.25" customHeight="1" x14ac:dyDescent="0.25">
      <c r="A3262" s="4" t="s">
        <v>5429</v>
      </c>
      <c r="B3262" s="4" t="s">
        <v>38</v>
      </c>
      <c r="C3262" s="4" t="s">
        <v>14</v>
      </c>
      <c r="D3262" s="35">
        <v>5435</v>
      </c>
      <c r="E3262" s="4" t="s">
        <v>5430</v>
      </c>
      <c r="F3262" s="5">
        <v>39814</v>
      </c>
      <c r="G3262" s="5">
        <v>40178</v>
      </c>
      <c r="H3262" s="4" t="s">
        <v>40</v>
      </c>
      <c r="I3262" s="6">
        <v>365</v>
      </c>
      <c r="J3262" s="6">
        <v>365</v>
      </c>
      <c r="K3262" s="37" t="s">
        <v>5018</v>
      </c>
      <c r="L3262" s="119"/>
      <c r="M3262" s="3"/>
    </row>
    <row r="3263" spans="1:13" s="4" customFormat="1" ht="14.25" customHeight="1" x14ac:dyDescent="0.25">
      <c r="A3263" s="4" t="s">
        <v>5431</v>
      </c>
      <c r="B3263" s="4" t="s">
        <v>38</v>
      </c>
      <c r="C3263" s="4" t="s">
        <v>14</v>
      </c>
      <c r="D3263" s="35">
        <v>5437</v>
      </c>
      <c r="E3263" s="4" t="s">
        <v>5431</v>
      </c>
      <c r="F3263" s="5">
        <v>39814</v>
      </c>
      <c r="G3263" s="5">
        <v>40178</v>
      </c>
      <c r="H3263" s="4" t="s">
        <v>40</v>
      </c>
      <c r="I3263" s="6">
        <v>467</v>
      </c>
      <c r="J3263" s="6">
        <v>467</v>
      </c>
      <c r="K3263" s="37" t="s">
        <v>5018</v>
      </c>
      <c r="L3263" s="119"/>
      <c r="M3263" s="3"/>
    </row>
    <row r="3264" spans="1:13" s="4" customFormat="1" ht="14.25" customHeight="1" x14ac:dyDescent="0.25">
      <c r="A3264" s="4" t="s">
        <v>5432</v>
      </c>
      <c r="B3264" s="4" t="s">
        <v>38</v>
      </c>
      <c r="C3264" s="4" t="s">
        <v>14</v>
      </c>
      <c r="D3264" s="35">
        <v>5438</v>
      </c>
      <c r="E3264" s="4" t="s">
        <v>5432</v>
      </c>
      <c r="F3264" s="5">
        <v>39814</v>
      </c>
      <c r="G3264" s="5">
        <v>40178</v>
      </c>
      <c r="H3264" s="4" t="s">
        <v>40</v>
      </c>
      <c r="I3264" s="6">
        <v>359.5</v>
      </c>
      <c r="J3264" s="6">
        <v>359.5</v>
      </c>
      <c r="K3264" s="37" t="s">
        <v>5018</v>
      </c>
      <c r="L3264" s="119"/>
      <c r="M3264" s="3"/>
    </row>
    <row r="3265" spans="1:13" s="4" customFormat="1" ht="14.25" customHeight="1" x14ac:dyDescent="0.25">
      <c r="A3265" s="4" t="s">
        <v>5433</v>
      </c>
      <c r="B3265" s="4" t="s">
        <v>38</v>
      </c>
      <c r="C3265" s="4" t="s">
        <v>14</v>
      </c>
      <c r="D3265" s="35">
        <v>5439</v>
      </c>
      <c r="E3265" s="4" t="s">
        <v>5433</v>
      </c>
      <c r="F3265" s="5">
        <v>39814</v>
      </c>
      <c r="G3265" s="5">
        <v>40178</v>
      </c>
      <c r="H3265" s="4" t="s">
        <v>40</v>
      </c>
      <c r="I3265" s="6">
        <v>800</v>
      </c>
      <c r="J3265" s="6">
        <v>800</v>
      </c>
      <c r="K3265" s="37" t="s">
        <v>5018</v>
      </c>
      <c r="L3265" s="119"/>
      <c r="M3265" s="3"/>
    </row>
    <row r="3266" spans="1:13" s="4" customFormat="1" ht="14.25" customHeight="1" x14ac:dyDescent="0.25">
      <c r="A3266" s="4" t="s">
        <v>5434</v>
      </c>
      <c r="B3266" s="4" t="s">
        <v>38</v>
      </c>
      <c r="C3266" s="4" t="s">
        <v>14</v>
      </c>
      <c r="D3266" s="35">
        <v>5440</v>
      </c>
      <c r="E3266" s="4" t="s">
        <v>5434</v>
      </c>
      <c r="F3266" s="5">
        <v>39814</v>
      </c>
      <c r="G3266" s="5">
        <v>40178</v>
      </c>
      <c r="H3266" s="4" t="s">
        <v>40</v>
      </c>
      <c r="I3266" s="6">
        <v>1004.08</v>
      </c>
      <c r="J3266" s="6">
        <v>1004.08</v>
      </c>
      <c r="K3266" s="37" t="s">
        <v>5018</v>
      </c>
      <c r="L3266" s="119"/>
      <c r="M3266" s="3"/>
    </row>
    <row r="3267" spans="1:13" s="4" customFormat="1" ht="14.25" customHeight="1" x14ac:dyDescent="0.25">
      <c r="A3267" s="4" t="s">
        <v>5435</v>
      </c>
      <c r="B3267" s="4" t="s">
        <v>38</v>
      </c>
      <c r="C3267" s="4" t="s">
        <v>14</v>
      </c>
      <c r="D3267" s="35">
        <v>5441</v>
      </c>
      <c r="E3267" s="4" t="s">
        <v>5436</v>
      </c>
      <c r="F3267" s="5">
        <v>39814</v>
      </c>
      <c r="G3267" s="5">
        <v>40178</v>
      </c>
      <c r="H3267" s="4" t="s">
        <v>40</v>
      </c>
      <c r="I3267" s="6">
        <v>487</v>
      </c>
      <c r="J3267" s="6">
        <v>487</v>
      </c>
      <c r="K3267" s="37" t="s">
        <v>5018</v>
      </c>
      <c r="L3267" s="119"/>
      <c r="M3267" s="3"/>
    </row>
    <row r="3268" spans="1:13" s="4" customFormat="1" ht="14.25" customHeight="1" x14ac:dyDescent="0.25">
      <c r="A3268" s="4" t="s">
        <v>5437</v>
      </c>
      <c r="B3268" s="4" t="s">
        <v>38</v>
      </c>
      <c r="C3268" s="4" t="s">
        <v>14</v>
      </c>
      <c r="D3268" s="35">
        <v>5442</v>
      </c>
      <c r="E3268" s="4" t="s">
        <v>5437</v>
      </c>
      <c r="F3268" s="5">
        <v>39814</v>
      </c>
      <c r="G3268" s="5">
        <v>40178</v>
      </c>
      <c r="H3268" s="4" t="s">
        <v>40</v>
      </c>
      <c r="I3268" s="6">
        <v>1065.1500000000001</v>
      </c>
      <c r="J3268" s="6">
        <v>1065.1500000000001</v>
      </c>
      <c r="K3268" s="37" t="s">
        <v>5018</v>
      </c>
      <c r="L3268" s="119"/>
      <c r="M3268" s="3"/>
    </row>
    <row r="3269" spans="1:13" s="4" customFormat="1" ht="14.25" customHeight="1" x14ac:dyDescent="0.25">
      <c r="A3269" s="4" t="s">
        <v>5438</v>
      </c>
      <c r="B3269" s="4" t="s">
        <v>38</v>
      </c>
      <c r="C3269" s="4" t="s">
        <v>14</v>
      </c>
      <c r="D3269" s="35">
        <v>5443</v>
      </c>
      <c r="E3269" s="4" t="s">
        <v>5438</v>
      </c>
      <c r="F3269" s="5">
        <v>39814</v>
      </c>
      <c r="G3269" s="5">
        <v>40178</v>
      </c>
      <c r="H3269" s="4" t="s">
        <v>40</v>
      </c>
      <c r="I3269" s="6">
        <v>1140.1500000000001</v>
      </c>
      <c r="J3269" s="6">
        <v>1140.1500000000001</v>
      </c>
      <c r="K3269" s="37" t="s">
        <v>5018</v>
      </c>
      <c r="L3269" s="119"/>
      <c r="M3269" s="3"/>
    </row>
    <row r="3270" spans="1:13" s="4" customFormat="1" ht="14.25" customHeight="1" x14ac:dyDescent="0.25">
      <c r="A3270" s="4" t="s">
        <v>5439</v>
      </c>
      <c r="B3270" s="4" t="s">
        <v>38</v>
      </c>
      <c r="C3270" s="4" t="s">
        <v>14</v>
      </c>
      <c r="D3270" s="35">
        <v>5444</v>
      </c>
      <c r="E3270" s="4" t="s">
        <v>5440</v>
      </c>
      <c r="F3270" s="5">
        <v>39814</v>
      </c>
      <c r="G3270" s="5">
        <v>40178</v>
      </c>
      <c r="H3270" s="4" t="s">
        <v>40</v>
      </c>
      <c r="I3270" s="6">
        <v>200</v>
      </c>
      <c r="J3270" s="6">
        <v>200</v>
      </c>
      <c r="K3270" s="37" t="s">
        <v>5018</v>
      </c>
      <c r="L3270" s="119"/>
      <c r="M3270" s="3"/>
    </row>
    <row r="3271" spans="1:13" s="4" customFormat="1" ht="14.25" customHeight="1" x14ac:dyDescent="0.25">
      <c r="A3271" s="4" t="s">
        <v>5441</v>
      </c>
      <c r="B3271" s="4" t="s">
        <v>38</v>
      </c>
      <c r="C3271" s="4" t="s">
        <v>14</v>
      </c>
      <c r="D3271" s="35">
        <v>5445</v>
      </c>
      <c r="E3271" s="4" t="s">
        <v>5441</v>
      </c>
      <c r="F3271" s="5">
        <v>39814</v>
      </c>
      <c r="G3271" s="5">
        <v>40178</v>
      </c>
      <c r="H3271" s="4" t="s">
        <v>40</v>
      </c>
      <c r="I3271" s="6">
        <v>664</v>
      </c>
      <c r="J3271" s="6">
        <v>664</v>
      </c>
      <c r="K3271" s="37" t="s">
        <v>5018</v>
      </c>
      <c r="L3271" s="119"/>
      <c r="M3271" s="3"/>
    </row>
    <row r="3272" spans="1:13" s="4" customFormat="1" ht="14.25" customHeight="1" x14ac:dyDescent="0.25">
      <c r="A3272" s="4" t="s">
        <v>5442</v>
      </c>
      <c r="B3272" s="4" t="s">
        <v>38</v>
      </c>
      <c r="C3272" s="4" t="s">
        <v>14</v>
      </c>
      <c r="D3272" s="35">
        <v>5446</v>
      </c>
      <c r="E3272" s="4" t="s">
        <v>5443</v>
      </c>
      <c r="F3272" s="5">
        <v>39814</v>
      </c>
      <c r="G3272" s="5">
        <v>40178</v>
      </c>
      <c r="H3272" s="4" t="s">
        <v>40</v>
      </c>
      <c r="I3272" s="6">
        <v>2874.23</v>
      </c>
      <c r="J3272" s="6">
        <v>2874.23</v>
      </c>
      <c r="K3272" s="37" t="s">
        <v>5018</v>
      </c>
      <c r="L3272" s="119"/>
      <c r="M3272" s="3"/>
    </row>
    <row r="3273" spans="1:13" s="4" customFormat="1" ht="14.25" customHeight="1" x14ac:dyDescent="0.25">
      <c r="A3273" s="4" t="s">
        <v>5444</v>
      </c>
      <c r="B3273" s="4" t="s">
        <v>38</v>
      </c>
      <c r="C3273" s="4" t="s">
        <v>14</v>
      </c>
      <c r="D3273" s="35">
        <v>5447</v>
      </c>
      <c r="E3273" s="4" t="s">
        <v>5445</v>
      </c>
      <c r="F3273" s="5">
        <v>39814</v>
      </c>
      <c r="G3273" s="5">
        <v>40178</v>
      </c>
      <c r="H3273" s="4" t="s">
        <v>40</v>
      </c>
      <c r="I3273" s="6">
        <v>1057.6600000000001</v>
      </c>
      <c r="J3273" s="6">
        <v>1057.6600000000001</v>
      </c>
      <c r="K3273" s="37" t="s">
        <v>5018</v>
      </c>
      <c r="L3273" s="119"/>
      <c r="M3273" s="3"/>
    </row>
    <row r="3274" spans="1:13" s="4" customFormat="1" ht="14.25" customHeight="1" x14ac:dyDescent="0.25">
      <c r="A3274" s="4" t="s">
        <v>5446</v>
      </c>
      <c r="B3274" s="4" t="s">
        <v>38</v>
      </c>
      <c r="C3274" s="4" t="s">
        <v>14</v>
      </c>
      <c r="D3274" s="35">
        <v>5448</v>
      </c>
      <c r="E3274" s="4" t="s">
        <v>5447</v>
      </c>
      <c r="F3274" s="5">
        <v>39814</v>
      </c>
      <c r="G3274" s="5">
        <v>40178</v>
      </c>
      <c r="H3274" s="4" t="s">
        <v>40</v>
      </c>
      <c r="I3274" s="6">
        <v>1359.16</v>
      </c>
      <c r="J3274" s="6">
        <v>1359.16</v>
      </c>
      <c r="K3274" s="37" t="s">
        <v>5018</v>
      </c>
      <c r="L3274" s="119"/>
      <c r="M3274" s="3"/>
    </row>
    <row r="3275" spans="1:13" s="4" customFormat="1" ht="14.25" customHeight="1" x14ac:dyDescent="0.25">
      <c r="A3275" s="4" t="s">
        <v>5448</v>
      </c>
      <c r="B3275" s="4" t="s">
        <v>38</v>
      </c>
      <c r="C3275" s="4" t="s">
        <v>14</v>
      </c>
      <c r="D3275" s="35">
        <v>5449</v>
      </c>
      <c r="E3275" s="4" t="s">
        <v>5449</v>
      </c>
      <c r="F3275" s="5">
        <v>39814</v>
      </c>
      <c r="G3275" s="5">
        <v>40178</v>
      </c>
      <c r="H3275" s="4" t="s">
        <v>40</v>
      </c>
      <c r="I3275" s="6">
        <v>1112.3800000000001</v>
      </c>
      <c r="J3275" s="6">
        <v>1112.3800000000001</v>
      </c>
      <c r="K3275" s="37" t="s">
        <v>5018</v>
      </c>
      <c r="L3275" s="119"/>
      <c r="M3275" s="3"/>
    </row>
    <row r="3276" spans="1:13" s="4" customFormat="1" ht="14.25" customHeight="1" x14ac:dyDescent="0.25">
      <c r="A3276" s="4" t="s">
        <v>5448</v>
      </c>
      <c r="B3276" s="4" t="s">
        <v>38</v>
      </c>
      <c r="C3276" s="4" t="s">
        <v>14</v>
      </c>
      <c r="D3276" s="35">
        <v>5450</v>
      </c>
      <c r="E3276" s="4" t="s">
        <v>5450</v>
      </c>
      <c r="F3276" s="5">
        <v>39814</v>
      </c>
      <c r="G3276" s="5">
        <v>40178</v>
      </c>
      <c r="H3276" s="4" t="s">
        <v>40</v>
      </c>
      <c r="I3276" s="6">
        <v>1709.77</v>
      </c>
      <c r="J3276" s="6">
        <v>1709.77</v>
      </c>
      <c r="K3276" s="37" t="s">
        <v>5018</v>
      </c>
      <c r="L3276" s="119"/>
      <c r="M3276" s="3"/>
    </row>
    <row r="3277" spans="1:13" s="4" customFormat="1" ht="14.25" customHeight="1" x14ac:dyDescent="0.25">
      <c r="A3277" s="4" t="s">
        <v>5451</v>
      </c>
      <c r="B3277" s="4" t="s">
        <v>38</v>
      </c>
      <c r="C3277" s="4" t="s">
        <v>14</v>
      </c>
      <c r="D3277" s="35">
        <v>5451</v>
      </c>
      <c r="E3277" s="4" t="s">
        <v>5451</v>
      </c>
      <c r="F3277" s="5">
        <v>39814</v>
      </c>
      <c r="G3277" s="5">
        <v>40178</v>
      </c>
      <c r="H3277" s="4" t="s">
        <v>40</v>
      </c>
      <c r="I3277" s="6">
        <v>344</v>
      </c>
      <c r="J3277" s="6">
        <v>344</v>
      </c>
      <c r="K3277" s="37" t="s">
        <v>5018</v>
      </c>
      <c r="L3277" s="119"/>
      <c r="M3277" s="3"/>
    </row>
    <row r="3278" spans="1:13" s="4" customFormat="1" ht="14.25" customHeight="1" x14ac:dyDescent="0.25">
      <c r="A3278" s="4" t="s">
        <v>5452</v>
      </c>
      <c r="B3278" s="4" t="s">
        <v>38</v>
      </c>
      <c r="C3278" s="4" t="s">
        <v>14</v>
      </c>
      <c r="D3278" s="35">
        <v>5452</v>
      </c>
      <c r="E3278" s="4" t="s">
        <v>5452</v>
      </c>
      <c r="F3278" s="5">
        <v>39814</v>
      </c>
      <c r="G3278" s="5">
        <v>40178</v>
      </c>
      <c r="H3278" s="4" t="s">
        <v>40</v>
      </c>
      <c r="I3278" s="6">
        <v>757.9</v>
      </c>
      <c r="J3278" s="6">
        <v>757.9</v>
      </c>
      <c r="K3278" s="37" t="s">
        <v>5018</v>
      </c>
      <c r="L3278" s="119"/>
      <c r="M3278" s="3"/>
    </row>
    <row r="3279" spans="1:13" s="4" customFormat="1" ht="14.25" customHeight="1" x14ac:dyDescent="0.25">
      <c r="A3279" s="4" t="s">
        <v>5453</v>
      </c>
      <c r="B3279" s="4" t="s">
        <v>38</v>
      </c>
      <c r="C3279" s="4" t="s">
        <v>14</v>
      </c>
      <c r="D3279" s="35">
        <v>5453</v>
      </c>
      <c r="E3279" s="4" t="s">
        <v>5454</v>
      </c>
      <c r="F3279" s="5">
        <v>39814</v>
      </c>
      <c r="G3279" s="5">
        <v>40178</v>
      </c>
      <c r="H3279" s="4" t="s">
        <v>40</v>
      </c>
      <c r="I3279" s="6">
        <v>1244</v>
      </c>
      <c r="J3279" s="6">
        <v>1244</v>
      </c>
      <c r="K3279" s="37" t="s">
        <v>5018</v>
      </c>
      <c r="L3279" s="119"/>
      <c r="M3279" s="3"/>
    </row>
    <row r="3280" spans="1:13" s="4" customFormat="1" ht="14.25" customHeight="1" x14ac:dyDescent="0.25">
      <c r="A3280" s="4" t="s">
        <v>5455</v>
      </c>
      <c r="B3280" s="4" t="s">
        <v>38</v>
      </c>
      <c r="C3280" s="4" t="s">
        <v>14</v>
      </c>
      <c r="D3280" s="35">
        <v>5454</v>
      </c>
      <c r="E3280" s="4" t="s">
        <v>5455</v>
      </c>
      <c r="F3280" s="5">
        <v>39814</v>
      </c>
      <c r="G3280" s="5">
        <v>40178</v>
      </c>
      <c r="H3280" s="4" t="s">
        <v>40</v>
      </c>
      <c r="I3280" s="6">
        <v>976.15</v>
      </c>
      <c r="J3280" s="6">
        <v>976.15</v>
      </c>
      <c r="K3280" s="37" t="s">
        <v>5018</v>
      </c>
      <c r="L3280" s="119"/>
      <c r="M3280" s="3"/>
    </row>
    <row r="3281" spans="1:13" s="4" customFormat="1" ht="14.25" customHeight="1" x14ac:dyDescent="0.25">
      <c r="A3281" s="4" t="s">
        <v>5456</v>
      </c>
      <c r="B3281" s="4" t="s">
        <v>38</v>
      </c>
      <c r="C3281" s="4" t="s">
        <v>14</v>
      </c>
      <c r="D3281" s="35">
        <v>5455</v>
      </c>
      <c r="E3281" s="4" t="s">
        <v>5456</v>
      </c>
      <c r="F3281" s="5">
        <v>39814</v>
      </c>
      <c r="G3281" s="5">
        <v>40178</v>
      </c>
      <c r="H3281" s="4" t="s">
        <v>40</v>
      </c>
      <c r="I3281" s="6">
        <v>295.8</v>
      </c>
      <c r="J3281" s="6">
        <v>295.8</v>
      </c>
      <c r="K3281" s="37" t="s">
        <v>5018</v>
      </c>
      <c r="L3281" s="119"/>
      <c r="M3281" s="3"/>
    </row>
    <row r="3282" spans="1:13" s="4" customFormat="1" ht="14.25" customHeight="1" x14ac:dyDescent="0.25">
      <c r="A3282" s="4" t="s">
        <v>5457</v>
      </c>
      <c r="B3282" s="4" t="s">
        <v>38</v>
      </c>
      <c r="C3282" s="4" t="s">
        <v>14</v>
      </c>
      <c r="D3282" s="35">
        <v>5635</v>
      </c>
      <c r="E3282" s="4" t="s">
        <v>5457</v>
      </c>
      <c r="F3282" s="5">
        <v>39814</v>
      </c>
      <c r="G3282" s="5">
        <v>40178</v>
      </c>
      <c r="H3282" s="4" t="s">
        <v>40</v>
      </c>
      <c r="I3282" s="6">
        <v>818</v>
      </c>
      <c r="J3282" s="6">
        <v>818</v>
      </c>
      <c r="K3282" s="37" t="s">
        <v>5018</v>
      </c>
      <c r="L3282" s="119"/>
      <c r="M3282" s="3"/>
    </row>
    <row r="3283" spans="1:13" s="4" customFormat="1" ht="14.25" customHeight="1" x14ac:dyDescent="0.25">
      <c r="A3283" s="4" t="s">
        <v>5458</v>
      </c>
      <c r="B3283" s="4" t="s">
        <v>38</v>
      </c>
      <c r="C3283" s="4" t="s">
        <v>14</v>
      </c>
      <c r="D3283" s="35">
        <v>5644</v>
      </c>
      <c r="E3283" s="4" t="s">
        <v>5458</v>
      </c>
      <c r="F3283" s="5">
        <v>39814</v>
      </c>
      <c r="G3283" s="5">
        <v>40117</v>
      </c>
      <c r="H3283" s="4" t="s">
        <v>40</v>
      </c>
      <c r="I3283" s="6">
        <v>322</v>
      </c>
      <c r="J3283" s="6">
        <v>322</v>
      </c>
      <c r="K3283" s="37" t="s">
        <v>5018</v>
      </c>
      <c r="L3283" s="119"/>
      <c r="M3283" s="3"/>
    </row>
    <row r="3284" spans="1:13" s="4" customFormat="1" ht="14.25" customHeight="1" x14ac:dyDescent="0.25">
      <c r="A3284" s="4" t="s">
        <v>5459</v>
      </c>
      <c r="B3284" s="4" t="s">
        <v>38</v>
      </c>
      <c r="C3284" s="4" t="s">
        <v>14</v>
      </c>
      <c r="D3284" s="35">
        <v>5719</v>
      </c>
      <c r="E3284" s="4" t="s">
        <v>5460</v>
      </c>
      <c r="F3284" s="5">
        <v>39814</v>
      </c>
      <c r="G3284" s="5">
        <v>40178</v>
      </c>
      <c r="H3284" s="4" t="s">
        <v>40</v>
      </c>
      <c r="I3284" s="6">
        <v>3093.2</v>
      </c>
      <c r="J3284" s="6">
        <v>3093.2</v>
      </c>
      <c r="K3284" s="37" t="s">
        <v>5018</v>
      </c>
      <c r="L3284" s="119"/>
      <c r="M3284" s="3"/>
    </row>
    <row r="3285" spans="1:13" s="4" customFormat="1" ht="14.25" customHeight="1" x14ac:dyDescent="0.25">
      <c r="A3285" s="4" t="s">
        <v>5461</v>
      </c>
      <c r="B3285" s="4" t="s">
        <v>90</v>
      </c>
      <c r="C3285" s="4" t="s">
        <v>14</v>
      </c>
      <c r="D3285" s="35">
        <v>7361</v>
      </c>
      <c r="E3285" s="7" t="s">
        <v>5462</v>
      </c>
      <c r="F3285" s="5">
        <v>40322</v>
      </c>
      <c r="G3285" s="5">
        <v>40543</v>
      </c>
      <c r="H3285" s="4" t="s">
        <v>40</v>
      </c>
      <c r="I3285" s="6">
        <v>10000</v>
      </c>
      <c r="J3285" s="6">
        <v>5000</v>
      </c>
      <c r="K3285" s="37" t="s">
        <v>5018</v>
      </c>
      <c r="L3285" s="119"/>
      <c r="M3285" s="3"/>
    </row>
    <row r="3286" spans="1:13" s="4" customFormat="1" ht="14.25" customHeight="1" x14ac:dyDescent="0.25">
      <c r="A3286" s="4" t="s">
        <v>5463</v>
      </c>
      <c r="B3286" s="4" t="s">
        <v>59</v>
      </c>
      <c r="C3286" s="4" t="s">
        <v>14</v>
      </c>
      <c r="D3286" s="35">
        <v>7363</v>
      </c>
      <c r="E3286" s="4" t="s">
        <v>5464</v>
      </c>
      <c r="F3286" s="5">
        <v>40100</v>
      </c>
      <c r="G3286" s="5">
        <v>40452</v>
      </c>
      <c r="H3286" s="4" t="s">
        <v>40</v>
      </c>
      <c r="I3286" s="6">
        <v>2500</v>
      </c>
      <c r="J3286" s="6">
        <v>2500</v>
      </c>
      <c r="K3286" s="37" t="s">
        <v>5018</v>
      </c>
      <c r="L3286" s="119"/>
      <c r="M3286" s="3"/>
    </row>
    <row r="3287" spans="1:13" s="4" customFormat="1" ht="14.25" customHeight="1" x14ac:dyDescent="0.25">
      <c r="A3287" s="4" t="s">
        <v>5465</v>
      </c>
      <c r="B3287" s="4" t="s">
        <v>50</v>
      </c>
      <c r="C3287" s="4" t="s">
        <v>14</v>
      </c>
      <c r="D3287" s="35">
        <v>7364</v>
      </c>
      <c r="E3287" s="4" t="s">
        <v>5466</v>
      </c>
      <c r="F3287" s="5">
        <v>39909</v>
      </c>
      <c r="G3287" s="5">
        <v>40345</v>
      </c>
      <c r="H3287" s="4" t="s">
        <v>40</v>
      </c>
      <c r="I3287" s="6">
        <v>110000</v>
      </c>
      <c r="J3287" s="6">
        <v>55000</v>
      </c>
      <c r="K3287" s="37" t="s">
        <v>5018</v>
      </c>
      <c r="L3287" s="119"/>
      <c r="M3287" s="3"/>
    </row>
    <row r="3288" spans="1:13" s="4" customFormat="1" ht="14.25" customHeight="1" x14ac:dyDescent="0.25">
      <c r="A3288" s="4" t="s">
        <v>5469</v>
      </c>
      <c r="B3288" s="4" t="s">
        <v>190</v>
      </c>
      <c r="C3288" s="4" t="s">
        <v>14</v>
      </c>
      <c r="D3288" s="35">
        <v>7372</v>
      </c>
      <c r="E3288" s="4" t="s">
        <v>5470</v>
      </c>
      <c r="F3288" s="5">
        <v>40449</v>
      </c>
      <c r="G3288" s="5">
        <v>40908</v>
      </c>
      <c r="H3288" s="4" t="s">
        <v>40</v>
      </c>
      <c r="I3288" s="6">
        <v>27750</v>
      </c>
      <c r="J3288" s="6">
        <v>27750</v>
      </c>
      <c r="K3288" s="37" t="s">
        <v>5018</v>
      </c>
      <c r="L3288" s="119"/>
      <c r="M3288" s="3"/>
    </row>
    <row r="3289" spans="1:13" s="4" customFormat="1" ht="14.25" customHeight="1" x14ac:dyDescent="0.25">
      <c r="A3289" s="4" t="s">
        <v>5471</v>
      </c>
      <c r="B3289" s="4" t="s">
        <v>183</v>
      </c>
      <c r="C3289" s="4" t="s">
        <v>14</v>
      </c>
      <c r="D3289" s="35">
        <v>7373</v>
      </c>
      <c r="E3289" s="4" t="s">
        <v>5472</v>
      </c>
      <c r="F3289" s="5">
        <v>40448</v>
      </c>
      <c r="G3289" s="5">
        <v>40908</v>
      </c>
      <c r="H3289" s="4" t="s">
        <v>40</v>
      </c>
      <c r="I3289" s="6">
        <v>6500</v>
      </c>
      <c r="J3289" s="6">
        <v>6500</v>
      </c>
      <c r="K3289" s="37" t="s">
        <v>5018</v>
      </c>
      <c r="L3289" s="119"/>
      <c r="M3289" s="3"/>
    </row>
    <row r="3290" spans="1:13" s="4" customFormat="1" ht="14.25" customHeight="1" x14ac:dyDescent="0.25">
      <c r="A3290" s="4" t="s">
        <v>5473</v>
      </c>
      <c r="B3290" s="4" t="s">
        <v>190</v>
      </c>
      <c r="C3290" s="4" t="s">
        <v>14</v>
      </c>
      <c r="D3290" s="35">
        <v>7374</v>
      </c>
      <c r="E3290" s="4" t="s">
        <v>5474</v>
      </c>
      <c r="F3290" s="5">
        <v>40364</v>
      </c>
      <c r="G3290" s="5">
        <v>40493</v>
      </c>
      <c r="H3290" s="4" t="s">
        <v>40</v>
      </c>
      <c r="I3290" s="6">
        <v>8800</v>
      </c>
      <c r="J3290" s="6">
        <v>6900</v>
      </c>
      <c r="K3290" s="37" t="s">
        <v>5018</v>
      </c>
      <c r="L3290" s="119"/>
      <c r="M3290" s="3"/>
    </row>
    <row r="3291" spans="1:13" s="4" customFormat="1" ht="14.25" customHeight="1" x14ac:dyDescent="0.25">
      <c r="A3291" s="4" t="s">
        <v>5475</v>
      </c>
      <c r="B3291" s="4" t="s">
        <v>190</v>
      </c>
      <c r="C3291" s="4" t="s">
        <v>14</v>
      </c>
      <c r="D3291" s="35">
        <v>7375</v>
      </c>
      <c r="E3291" s="4" t="s">
        <v>5476</v>
      </c>
      <c r="F3291" s="5">
        <v>40281</v>
      </c>
      <c r="G3291" s="5">
        <v>40497</v>
      </c>
      <c r="H3291" s="4" t="s">
        <v>40</v>
      </c>
      <c r="I3291" s="6">
        <v>37026</v>
      </c>
      <c r="J3291" s="6">
        <v>18513</v>
      </c>
      <c r="K3291" s="37" t="s">
        <v>5018</v>
      </c>
      <c r="L3291" s="119"/>
      <c r="M3291" s="3"/>
    </row>
    <row r="3292" spans="1:13" s="4" customFormat="1" ht="14.25" customHeight="1" x14ac:dyDescent="0.25">
      <c r="A3292" s="4" t="s">
        <v>5477</v>
      </c>
      <c r="B3292" s="4" t="s">
        <v>90</v>
      </c>
      <c r="C3292" s="4" t="s">
        <v>14</v>
      </c>
      <c r="D3292" s="35">
        <v>7376</v>
      </c>
      <c r="E3292" s="4" t="s">
        <v>5478</v>
      </c>
      <c r="F3292" s="5">
        <v>40365</v>
      </c>
      <c r="G3292" s="5">
        <v>40534</v>
      </c>
      <c r="H3292" s="4" t="s">
        <v>40</v>
      </c>
      <c r="I3292" s="6">
        <v>40000</v>
      </c>
      <c r="J3292" s="6">
        <v>20000</v>
      </c>
      <c r="K3292" s="37" t="s">
        <v>5018</v>
      </c>
      <c r="L3292" s="119"/>
      <c r="M3292" s="3"/>
    </row>
    <row r="3293" spans="1:13" s="4" customFormat="1" ht="14.25" customHeight="1" x14ac:dyDescent="0.25">
      <c r="A3293" s="4" t="s">
        <v>5481</v>
      </c>
      <c r="B3293" s="4" t="s">
        <v>90</v>
      </c>
      <c r="C3293" s="4" t="s">
        <v>14</v>
      </c>
      <c r="D3293" s="35">
        <v>7430</v>
      </c>
      <c r="E3293" s="4" t="s">
        <v>5482</v>
      </c>
      <c r="F3293" s="5">
        <v>40308</v>
      </c>
      <c r="G3293" s="5">
        <v>40317</v>
      </c>
      <c r="H3293" s="4" t="s">
        <v>40</v>
      </c>
      <c r="I3293" s="6">
        <v>10000</v>
      </c>
      <c r="J3293" s="6">
        <v>5000</v>
      </c>
      <c r="K3293" s="37" t="s">
        <v>5018</v>
      </c>
      <c r="L3293" s="119"/>
      <c r="M3293" s="3"/>
    </row>
    <row r="3294" spans="1:13" s="4" customFormat="1" ht="14.25" customHeight="1" x14ac:dyDescent="0.25">
      <c r="A3294" s="4" t="s">
        <v>5483</v>
      </c>
      <c r="B3294" s="4" t="s">
        <v>38</v>
      </c>
      <c r="C3294" s="4" t="s">
        <v>14</v>
      </c>
      <c r="D3294" s="35">
        <v>7557</v>
      </c>
      <c r="E3294" s="4" t="s">
        <v>5240</v>
      </c>
      <c r="F3294" s="5">
        <v>40179</v>
      </c>
      <c r="G3294" s="5">
        <v>40543</v>
      </c>
      <c r="H3294" s="4" t="s">
        <v>40</v>
      </c>
      <c r="I3294" s="6">
        <v>1352.34</v>
      </c>
      <c r="J3294" s="6">
        <v>1352.34</v>
      </c>
      <c r="K3294" s="37" t="s">
        <v>5018</v>
      </c>
      <c r="L3294" s="119"/>
      <c r="M3294" s="3"/>
    </row>
    <row r="3295" spans="1:13" s="4" customFormat="1" ht="14.25" customHeight="1" x14ac:dyDescent="0.25">
      <c r="A3295" s="4" t="s">
        <v>5484</v>
      </c>
      <c r="B3295" s="4" t="s">
        <v>38</v>
      </c>
      <c r="C3295" s="4" t="s">
        <v>14</v>
      </c>
      <c r="D3295" s="35">
        <v>7558</v>
      </c>
      <c r="E3295" s="4" t="s">
        <v>5240</v>
      </c>
      <c r="F3295" s="5">
        <v>40179</v>
      </c>
      <c r="G3295" s="5">
        <v>40543</v>
      </c>
      <c r="H3295" s="4" t="s">
        <v>40</v>
      </c>
      <c r="I3295" s="6">
        <v>1931.34</v>
      </c>
      <c r="J3295" s="6">
        <v>1931.34</v>
      </c>
      <c r="K3295" s="37" t="s">
        <v>5018</v>
      </c>
      <c r="L3295" s="119"/>
      <c r="M3295" s="3"/>
    </row>
    <row r="3296" spans="1:13" s="4" customFormat="1" ht="14.25" customHeight="1" x14ac:dyDescent="0.25">
      <c r="A3296" s="4" t="s">
        <v>5485</v>
      </c>
      <c r="B3296" s="4" t="s">
        <v>38</v>
      </c>
      <c r="C3296" s="4" t="s">
        <v>14</v>
      </c>
      <c r="D3296" s="35">
        <v>7559</v>
      </c>
      <c r="E3296" s="4" t="s">
        <v>5240</v>
      </c>
      <c r="F3296" s="5">
        <v>40179</v>
      </c>
      <c r="G3296" s="5">
        <v>40543</v>
      </c>
      <c r="H3296" s="4" t="s">
        <v>40</v>
      </c>
      <c r="I3296" s="6">
        <v>618.32000000000005</v>
      </c>
      <c r="J3296" s="6">
        <v>618.32000000000005</v>
      </c>
      <c r="K3296" s="37" t="s">
        <v>5018</v>
      </c>
      <c r="L3296" s="119"/>
      <c r="M3296" s="3"/>
    </row>
    <row r="3297" spans="1:13" s="4" customFormat="1" ht="14.25" customHeight="1" x14ac:dyDescent="0.25">
      <c r="A3297" s="4" t="s">
        <v>5486</v>
      </c>
      <c r="B3297" s="4" t="s">
        <v>38</v>
      </c>
      <c r="C3297" s="4" t="s">
        <v>14</v>
      </c>
      <c r="D3297" s="35">
        <v>7560</v>
      </c>
      <c r="E3297" s="4" t="s">
        <v>5240</v>
      </c>
      <c r="F3297" s="5">
        <v>40179</v>
      </c>
      <c r="G3297" s="5">
        <v>40543</v>
      </c>
      <c r="H3297" s="4" t="s">
        <v>40</v>
      </c>
      <c r="I3297" s="6">
        <v>2606.36</v>
      </c>
      <c r="J3297" s="6">
        <v>2606.36</v>
      </c>
      <c r="K3297" s="37" t="s">
        <v>5018</v>
      </c>
      <c r="L3297" s="119"/>
      <c r="M3297" s="3"/>
    </row>
    <row r="3298" spans="1:13" s="4" customFormat="1" ht="14.25" customHeight="1" x14ac:dyDescent="0.25">
      <c r="A3298" s="4" t="s">
        <v>5487</v>
      </c>
      <c r="B3298" s="4" t="s">
        <v>38</v>
      </c>
      <c r="C3298" s="4" t="s">
        <v>14</v>
      </c>
      <c r="D3298" s="35">
        <v>7561</v>
      </c>
      <c r="E3298" s="4" t="s">
        <v>5240</v>
      </c>
      <c r="F3298" s="5">
        <v>40179</v>
      </c>
      <c r="G3298" s="5">
        <v>40543</v>
      </c>
      <c r="H3298" s="4" t="s">
        <v>40</v>
      </c>
      <c r="I3298" s="6">
        <v>2095.31</v>
      </c>
      <c r="J3298" s="6">
        <v>2095.31</v>
      </c>
      <c r="K3298" s="37" t="s">
        <v>5018</v>
      </c>
      <c r="L3298" s="119"/>
      <c r="M3298" s="3"/>
    </row>
    <row r="3299" spans="1:13" s="4" customFormat="1" ht="14.25" customHeight="1" x14ac:dyDescent="0.25">
      <c r="A3299" s="4" t="s">
        <v>5488</v>
      </c>
      <c r="B3299" s="4" t="s">
        <v>38</v>
      </c>
      <c r="C3299" s="4" t="s">
        <v>14</v>
      </c>
      <c r="D3299" s="35">
        <v>7563</v>
      </c>
      <c r="E3299" s="4" t="s">
        <v>5489</v>
      </c>
      <c r="F3299" s="5">
        <v>40179</v>
      </c>
      <c r="G3299" s="5">
        <v>40543</v>
      </c>
      <c r="H3299" s="4" t="s">
        <v>40</v>
      </c>
      <c r="I3299" s="6">
        <v>275</v>
      </c>
      <c r="J3299" s="6">
        <v>275</v>
      </c>
      <c r="K3299" s="37" t="s">
        <v>5018</v>
      </c>
      <c r="L3299" s="119"/>
      <c r="M3299" s="3"/>
    </row>
    <row r="3300" spans="1:13" s="4" customFormat="1" ht="14.25" customHeight="1" x14ac:dyDescent="0.25">
      <c r="A3300" s="4" t="s">
        <v>5490</v>
      </c>
      <c r="B3300" s="4" t="s">
        <v>38</v>
      </c>
      <c r="C3300" s="4" t="s">
        <v>14</v>
      </c>
      <c r="D3300" s="35">
        <v>7564</v>
      </c>
      <c r="E3300" s="4" t="s">
        <v>5491</v>
      </c>
      <c r="F3300" s="5">
        <v>40179</v>
      </c>
      <c r="G3300" s="5">
        <v>40543</v>
      </c>
      <c r="H3300" s="4" t="s">
        <v>40</v>
      </c>
      <c r="I3300" s="6">
        <v>1500</v>
      </c>
      <c r="J3300" s="6">
        <v>1500</v>
      </c>
      <c r="K3300" s="37" t="s">
        <v>5018</v>
      </c>
      <c r="L3300" s="119"/>
      <c r="M3300" s="3"/>
    </row>
    <row r="3301" spans="1:13" s="4" customFormat="1" ht="14.25" customHeight="1" x14ac:dyDescent="0.25">
      <c r="A3301" s="4" t="s">
        <v>5492</v>
      </c>
      <c r="B3301" s="4" t="s">
        <v>38</v>
      </c>
      <c r="C3301" s="4" t="s">
        <v>14</v>
      </c>
      <c r="D3301" s="35">
        <v>7565</v>
      </c>
      <c r="E3301" s="4" t="s">
        <v>5493</v>
      </c>
      <c r="F3301" s="5">
        <v>40179</v>
      </c>
      <c r="G3301" s="5">
        <v>40543</v>
      </c>
      <c r="H3301" s="4" t="s">
        <v>40</v>
      </c>
      <c r="I3301" s="6">
        <v>535.04999999999995</v>
      </c>
      <c r="J3301" s="6">
        <v>535.04999999999995</v>
      </c>
      <c r="K3301" s="37" t="s">
        <v>5018</v>
      </c>
      <c r="L3301" s="119"/>
      <c r="M3301" s="3"/>
    </row>
    <row r="3302" spans="1:13" s="4" customFormat="1" ht="14.25" customHeight="1" x14ac:dyDescent="0.25">
      <c r="A3302" s="4" t="s">
        <v>5494</v>
      </c>
      <c r="B3302" s="4" t="s">
        <v>38</v>
      </c>
      <c r="C3302" s="4" t="s">
        <v>14</v>
      </c>
      <c r="D3302" s="35">
        <v>7566</v>
      </c>
      <c r="E3302" s="4" t="s">
        <v>5495</v>
      </c>
      <c r="F3302" s="5">
        <v>40181</v>
      </c>
      <c r="G3302" s="5">
        <v>40501</v>
      </c>
      <c r="H3302" s="4" t="s">
        <v>40</v>
      </c>
      <c r="I3302" s="6">
        <v>866.85</v>
      </c>
      <c r="J3302" s="6">
        <v>866.85</v>
      </c>
      <c r="K3302" s="37" t="s">
        <v>5018</v>
      </c>
      <c r="L3302" s="119"/>
      <c r="M3302" s="3"/>
    </row>
    <row r="3303" spans="1:13" s="4" customFormat="1" ht="14.25" customHeight="1" x14ac:dyDescent="0.25">
      <c r="A3303" s="4" t="s">
        <v>5496</v>
      </c>
      <c r="B3303" s="4" t="s">
        <v>38</v>
      </c>
      <c r="C3303" s="4" t="s">
        <v>14</v>
      </c>
      <c r="D3303" s="35">
        <v>7567</v>
      </c>
      <c r="E3303" s="4" t="s">
        <v>5250</v>
      </c>
      <c r="F3303" s="5">
        <v>40179</v>
      </c>
      <c r="G3303" s="5">
        <v>40543</v>
      </c>
      <c r="H3303" s="4" t="s">
        <v>40</v>
      </c>
      <c r="I3303" s="6">
        <v>809.7</v>
      </c>
      <c r="J3303" s="6">
        <v>809.7</v>
      </c>
      <c r="K3303" s="37" t="s">
        <v>5018</v>
      </c>
      <c r="L3303" s="119"/>
      <c r="M3303" s="3"/>
    </row>
    <row r="3304" spans="1:13" s="4" customFormat="1" ht="14.25" customHeight="1" x14ac:dyDescent="0.25">
      <c r="A3304" s="4" t="s">
        <v>5497</v>
      </c>
      <c r="B3304" s="4" t="s">
        <v>38</v>
      </c>
      <c r="C3304" s="4" t="s">
        <v>14</v>
      </c>
      <c r="D3304" s="35">
        <v>7568</v>
      </c>
      <c r="E3304" s="4" t="s">
        <v>5495</v>
      </c>
      <c r="F3304" s="5">
        <v>40179</v>
      </c>
      <c r="G3304" s="5">
        <v>40543</v>
      </c>
      <c r="H3304" s="4" t="s">
        <v>40</v>
      </c>
      <c r="I3304" s="6">
        <v>590</v>
      </c>
      <c r="J3304" s="6">
        <v>590</v>
      </c>
      <c r="K3304" s="37" t="s">
        <v>5018</v>
      </c>
      <c r="L3304" s="119"/>
      <c r="M3304" s="3"/>
    </row>
    <row r="3305" spans="1:13" s="4" customFormat="1" ht="14.25" customHeight="1" x14ac:dyDescent="0.25">
      <c r="A3305" s="4" t="s">
        <v>5498</v>
      </c>
      <c r="B3305" s="4" t="s">
        <v>38</v>
      </c>
      <c r="C3305" s="4" t="s">
        <v>14</v>
      </c>
      <c r="D3305" s="35">
        <v>7570</v>
      </c>
      <c r="E3305" s="4" t="s">
        <v>5499</v>
      </c>
      <c r="F3305" s="5">
        <v>40179</v>
      </c>
      <c r="G3305" s="5">
        <v>40543</v>
      </c>
      <c r="H3305" s="4" t="s">
        <v>40</v>
      </c>
      <c r="I3305" s="6">
        <v>1087</v>
      </c>
      <c r="J3305" s="6">
        <v>1087</v>
      </c>
      <c r="K3305" s="37" t="s">
        <v>5018</v>
      </c>
      <c r="L3305" s="119"/>
      <c r="M3305" s="3"/>
    </row>
    <row r="3306" spans="1:13" s="4" customFormat="1" ht="14.25" customHeight="1" x14ac:dyDescent="0.25">
      <c r="A3306" s="4" t="s">
        <v>5500</v>
      </c>
      <c r="B3306" s="4" t="s">
        <v>38</v>
      </c>
      <c r="C3306" s="4" t="s">
        <v>14</v>
      </c>
      <c r="D3306" s="35">
        <v>7571</v>
      </c>
      <c r="E3306" s="4" t="s">
        <v>5501</v>
      </c>
      <c r="F3306" s="5">
        <v>40179</v>
      </c>
      <c r="G3306" s="5">
        <v>40543</v>
      </c>
      <c r="H3306" s="4" t="s">
        <v>40</v>
      </c>
      <c r="I3306" s="6">
        <v>867.5</v>
      </c>
      <c r="J3306" s="6">
        <v>867.5</v>
      </c>
      <c r="K3306" s="37" t="s">
        <v>5018</v>
      </c>
      <c r="L3306" s="119"/>
      <c r="M3306" s="3"/>
    </row>
    <row r="3307" spans="1:13" s="4" customFormat="1" ht="14.25" customHeight="1" x14ac:dyDescent="0.25">
      <c r="A3307" s="4" t="s">
        <v>5502</v>
      </c>
      <c r="B3307" s="4" t="s">
        <v>38</v>
      </c>
      <c r="C3307" s="4" t="s">
        <v>14</v>
      </c>
      <c r="D3307" s="35">
        <v>7572</v>
      </c>
      <c r="E3307" s="4" t="s">
        <v>5503</v>
      </c>
      <c r="F3307" s="5">
        <v>40179</v>
      </c>
      <c r="G3307" s="5">
        <v>40543</v>
      </c>
      <c r="H3307" s="4" t="s">
        <v>40</v>
      </c>
      <c r="I3307" s="6">
        <v>1726.4</v>
      </c>
      <c r="J3307" s="6">
        <v>1726.4</v>
      </c>
      <c r="K3307" s="37" t="s">
        <v>5018</v>
      </c>
      <c r="L3307" s="119"/>
      <c r="M3307" s="3"/>
    </row>
    <row r="3308" spans="1:13" s="4" customFormat="1" ht="14.25" customHeight="1" x14ac:dyDescent="0.25">
      <c r="A3308" s="4" t="s">
        <v>5504</v>
      </c>
      <c r="B3308" s="4" t="s">
        <v>38</v>
      </c>
      <c r="C3308" s="4" t="s">
        <v>14</v>
      </c>
      <c r="D3308" s="35">
        <v>7573</v>
      </c>
      <c r="E3308" s="4" t="s">
        <v>5505</v>
      </c>
      <c r="F3308" s="5">
        <v>40179</v>
      </c>
      <c r="G3308" s="5">
        <v>40543</v>
      </c>
      <c r="H3308" s="4" t="s">
        <v>40</v>
      </c>
      <c r="I3308" s="6">
        <v>1202.5999999999999</v>
      </c>
      <c r="J3308" s="6">
        <v>1202.5999999999999</v>
      </c>
      <c r="K3308" s="37" t="s">
        <v>5018</v>
      </c>
      <c r="L3308" s="119"/>
      <c r="M3308" s="3"/>
    </row>
    <row r="3309" spans="1:13" s="4" customFormat="1" ht="14.25" customHeight="1" x14ac:dyDescent="0.25">
      <c r="A3309" s="4" t="s">
        <v>5506</v>
      </c>
      <c r="B3309" s="4" t="s">
        <v>38</v>
      </c>
      <c r="C3309" s="4" t="s">
        <v>14</v>
      </c>
      <c r="D3309" s="35">
        <v>7574</v>
      </c>
      <c r="E3309" s="4" t="s">
        <v>5507</v>
      </c>
      <c r="F3309" s="5">
        <v>40179</v>
      </c>
      <c r="G3309" s="5">
        <v>40543</v>
      </c>
      <c r="H3309" s="4" t="s">
        <v>40</v>
      </c>
      <c r="I3309" s="6">
        <v>977.6</v>
      </c>
      <c r="J3309" s="6">
        <v>977.6</v>
      </c>
      <c r="K3309" s="37" t="s">
        <v>5018</v>
      </c>
      <c r="L3309" s="119"/>
      <c r="M3309" s="3"/>
    </row>
    <row r="3310" spans="1:13" s="4" customFormat="1" ht="14.25" customHeight="1" x14ac:dyDescent="0.25">
      <c r="A3310" s="4" t="s">
        <v>5508</v>
      </c>
      <c r="B3310" s="4" t="s">
        <v>38</v>
      </c>
      <c r="C3310" s="4" t="s">
        <v>14</v>
      </c>
      <c r="D3310" s="35">
        <v>7575</v>
      </c>
      <c r="E3310" s="4" t="s">
        <v>5509</v>
      </c>
      <c r="F3310" s="5">
        <v>40179</v>
      </c>
      <c r="G3310" s="5">
        <v>40543</v>
      </c>
      <c r="H3310" s="4" t="s">
        <v>40</v>
      </c>
      <c r="I3310" s="6">
        <v>595</v>
      </c>
      <c r="J3310" s="6">
        <v>595</v>
      </c>
      <c r="K3310" s="37" t="s">
        <v>5018</v>
      </c>
      <c r="L3310" s="119"/>
      <c r="M3310" s="3"/>
    </row>
    <row r="3311" spans="1:13" s="4" customFormat="1" ht="14.25" customHeight="1" x14ac:dyDescent="0.25">
      <c r="A3311" s="4" t="s">
        <v>5510</v>
      </c>
      <c r="B3311" s="4" t="s">
        <v>38</v>
      </c>
      <c r="C3311" s="4" t="s">
        <v>14</v>
      </c>
      <c r="D3311" s="35">
        <v>7577</v>
      </c>
      <c r="E3311" s="4" t="s">
        <v>5511</v>
      </c>
      <c r="F3311" s="5">
        <v>40179</v>
      </c>
      <c r="G3311" s="5">
        <v>40543</v>
      </c>
      <c r="H3311" s="4" t="s">
        <v>40</v>
      </c>
      <c r="I3311" s="6">
        <v>1617.5</v>
      </c>
      <c r="J3311" s="6">
        <v>1617.5</v>
      </c>
      <c r="K3311" s="37" t="s">
        <v>5018</v>
      </c>
      <c r="L3311" s="119"/>
      <c r="M3311" s="3"/>
    </row>
    <row r="3312" spans="1:13" s="4" customFormat="1" ht="14.25" customHeight="1" x14ac:dyDescent="0.25">
      <c r="A3312" s="4" t="s">
        <v>5512</v>
      </c>
      <c r="B3312" s="4" t="s">
        <v>38</v>
      </c>
      <c r="C3312" s="4" t="s">
        <v>14</v>
      </c>
      <c r="D3312" s="35">
        <v>7578</v>
      </c>
      <c r="E3312" s="4" t="s">
        <v>5513</v>
      </c>
      <c r="F3312" s="5">
        <v>40179</v>
      </c>
      <c r="G3312" s="5">
        <v>40543</v>
      </c>
      <c r="H3312" s="4" t="s">
        <v>40</v>
      </c>
      <c r="I3312" s="6">
        <v>1476.4</v>
      </c>
      <c r="J3312" s="6">
        <v>1476.4</v>
      </c>
      <c r="K3312" s="37" t="s">
        <v>5018</v>
      </c>
      <c r="L3312" s="119"/>
      <c r="M3312" s="3"/>
    </row>
    <row r="3313" spans="1:13" s="4" customFormat="1" ht="14.25" customHeight="1" x14ac:dyDescent="0.25">
      <c r="A3313" s="4" t="s">
        <v>5514</v>
      </c>
      <c r="B3313" s="4" t="s">
        <v>38</v>
      </c>
      <c r="C3313" s="4" t="s">
        <v>14</v>
      </c>
      <c r="D3313" s="35">
        <v>7579</v>
      </c>
      <c r="E3313" s="4" t="s">
        <v>5515</v>
      </c>
      <c r="F3313" s="5">
        <v>40179</v>
      </c>
      <c r="G3313" s="5">
        <v>40543</v>
      </c>
      <c r="H3313" s="4" t="s">
        <v>40</v>
      </c>
      <c r="I3313" s="6">
        <v>1030.95</v>
      </c>
      <c r="J3313" s="6">
        <v>1030.95</v>
      </c>
      <c r="K3313" s="37" t="s">
        <v>5018</v>
      </c>
      <c r="L3313" s="119"/>
      <c r="M3313" s="3"/>
    </row>
    <row r="3314" spans="1:13" s="4" customFormat="1" ht="14.25" customHeight="1" x14ac:dyDescent="0.25">
      <c r="A3314" s="4" t="s">
        <v>5516</v>
      </c>
      <c r="B3314" s="4" t="s">
        <v>38</v>
      </c>
      <c r="C3314" s="4" t="s">
        <v>14</v>
      </c>
      <c r="D3314" s="35">
        <v>7580</v>
      </c>
      <c r="E3314" s="4" t="s">
        <v>5517</v>
      </c>
      <c r="F3314" s="5">
        <v>40179</v>
      </c>
      <c r="G3314" s="5">
        <v>40543</v>
      </c>
      <c r="H3314" s="4" t="s">
        <v>40</v>
      </c>
      <c r="I3314" s="6">
        <v>717.6</v>
      </c>
      <c r="J3314" s="6">
        <v>717.6</v>
      </c>
      <c r="K3314" s="37" t="s">
        <v>5018</v>
      </c>
      <c r="L3314" s="119"/>
      <c r="M3314" s="3"/>
    </row>
    <row r="3315" spans="1:13" s="4" customFormat="1" ht="14.25" customHeight="1" x14ac:dyDescent="0.25">
      <c r="A3315" s="4" t="s">
        <v>5518</v>
      </c>
      <c r="B3315" s="4" t="s">
        <v>38</v>
      </c>
      <c r="C3315" s="4" t="s">
        <v>14</v>
      </c>
      <c r="D3315" s="35">
        <v>7583</v>
      </c>
      <c r="E3315" s="4" t="s">
        <v>5519</v>
      </c>
      <c r="F3315" s="5">
        <v>40179</v>
      </c>
      <c r="G3315" s="5">
        <v>40543</v>
      </c>
      <c r="H3315" s="4" t="s">
        <v>40</v>
      </c>
      <c r="I3315" s="6">
        <v>2266</v>
      </c>
      <c r="J3315" s="6">
        <v>2266</v>
      </c>
      <c r="K3315" s="37" t="s">
        <v>5018</v>
      </c>
      <c r="L3315" s="119"/>
      <c r="M3315" s="3"/>
    </row>
    <row r="3316" spans="1:13" s="4" customFormat="1" ht="14.25" customHeight="1" x14ac:dyDescent="0.25">
      <c r="A3316" s="4" t="s">
        <v>5520</v>
      </c>
      <c r="B3316" s="4" t="s">
        <v>38</v>
      </c>
      <c r="C3316" s="4" t="s">
        <v>14</v>
      </c>
      <c r="D3316" s="35">
        <v>7585</v>
      </c>
      <c r="E3316" s="4" t="s">
        <v>5520</v>
      </c>
      <c r="F3316" s="5">
        <v>40179</v>
      </c>
      <c r="G3316" s="5">
        <v>40908</v>
      </c>
      <c r="H3316" s="4" t="s">
        <v>40</v>
      </c>
      <c r="I3316" s="6">
        <v>13591</v>
      </c>
      <c r="J3316" s="6">
        <v>13591</v>
      </c>
      <c r="K3316" s="37" t="s">
        <v>5018</v>
      </c>
      <c r="L3316" s="119"/>
      <c r="M3316" s="3"/>
    </row>
    <row r="3317" spans="1:13" s="4" customFormat="1" ht="14.25" customHeight="1" x14ac:dyDescent="0.25">
      <c r="A3317" s="4" t="s">
        <v>5521</v>
      </c>
      <c r="B3317" s="4" t="s">
        <v>38</v>
      </c>
      <c r="C3317" s="4" t="s">
        <v>14</v>
      </c>
      <c r="D3317" s="35">
        <v>7586</v>
      </c>
      <c r="E3317" s="4" t="s">
        <v>5522</v>
      </c>
      <c r="F3317" s="5">
        <v>40179</v>
      </c>
      <c r="G3317" s="5">
        <v>40543</v>
      </c>
      <c r="H3317" s="4" t="s">
        <v>40</v>
      </c>
      <c r="I3317" s="6">
        <v>4400.3</v>
      </c>
      <c r="J3317" s="6">
        <v>4400.3</v>
      </c>
      <c r="K3317" s="37" t="s">
        <v>5018</v>
      </c>
      <c r="L3317" s="119"/>
      <c r="M3317" s="3"/>
    </row>
    <row r="3318" spans="1:13" s="4" customFormat="1" ht="14.25" customHeight="1" x14ac:dyDescent="0.25">
      <c r="A3318" s="4" t="s">
        <v>5523</v>
      </c>
      <c r="B3318" s="4" t="s">
        <v>38</v>
      </c>
      <c r="C3318" s="4" t="s">
        <v>14</v>
      </c>
      <c r="D3318" s="35">
        <v>7587</v>
      </c>
      <c r="E3318" s="4" t="s">
        <v>5213</v>
      </c>
      <c r="F3318" s="5">
        <v>40179</v>
      </c>
      <c r="G3318" s="5">
        <v>40543</v>
      </c>
      <c r="H3318" s="4" t="s">
        <v>40</v>
      </c>
      <c r="I3318" s="6">
        <v>647.5</v>
      </c>
      <c r="J3318" s="6">
        <v>647.5</v>
      </c>
      <c r="K3318" s="37" t="s">
        <v>5018</v>
      </c>
      <c r="L3318" s="119"/>
      <c r="M3318" s="3"/>
    </row>
    <row r="3319" spans="1:13" s="4" customFormat="1" ht="14.25" customHeight="1" x14ac:dyDescent="0.25">
      <c r="A3319" s="4" t="s">
        <v>5524</v>
      </c>
      <c r="B3319" s="4" t="s">
        <v>38</v>
      </c>
      <c r="C3319" s="4" t="s">
        <v>14</v>
      </c>
      <c r="D3319" s="35">
        <v>7588</v>
      </c>
      <c r="E3319" s="4" t="s">
        <v>5525</v>
      </c>
      <c r="F3319" s="5">
        <v>40179</v>
      </c>
      <c r="G3319" s="5">
        <v>40543</v>
      </c>
      <c r="H3319" s="4" t="s">
        <v>40</v>
      </c>
      <c r="I3319" s="6">
        <v>1950.1</v>
      </c>
      <c r="J3319" s="6">
        <v>1950.1</v>
      </c>
      <c r="K3319" s="37" t="s">
        <v>5018</v>
      </c>
      <c r="L3319" s="119"/>
      <c r="M3319" s="3"/>
    </row>
    <row r="3320" spans="1:13" s="4" customFormat="1" ht="14.25" customHeight="1" x14ac:dyDescent="0.25">
      <c r="A3320" s="4" t="s">
        <v>5526</v>
      </c>
      <c r="B3320" s="4" t="s">
        <v>38</v>
      </c>
      <c r="C3320" s="4" t="s">
        <v>14</v>
      </c>
      <c r="D3320" s="35">
        <v>7591</v>
      </c>
      <c r="E3320" s="4" t="s">
        <v>5527</v>
      </c>
      <c r="F3320" s="5">
        <v>40179</v>
      </c>
      <c r="G3320" s="5">
        <v>40543</v>
      </c>
      <c r="H3320" s="4" t="s">
        <v>40</v>
      </c>
      <c r="I3320" s="6">
        <v>721</v>
      </c>
      <c r="J3320" s="6">
        <v>721</v>
      </c>
      <c r="K3320" s="37" t="s">
        <v>5018</v>
      </c>
      <c r="L3320" s="119"/>
      <c r="M3320" s="3"/>
    </row>
    <row r="3321" spans="1:13" s="4" customFormat="1" ht="14.25" customHeight="1" x14ac:dyDescent="0.25">
      <c r="A3321" s="4" t="s">
        <v>5528</v>
      </c>
      <c r="B3321" s="4" t="s">
        <v>38</v>
      </c>
      <c r="C3321" s="4" t="s">
        <v>14</v>
      </c>
      <c r="D3321" s="35">
        <v>7592</v>
      </c>
      <c r="E3321" s="4" t="s">
        <v>5529</v>
      </c>
      <c r="F3321" s="5">
        <v>40179</v>
      </c>
      <c r="G3321" s="5">
        <v>40543</v>
      </c>
      <c r="H3321" s="4" t="s">
        <v>40</v>
      </c>
      <c r="I3321" s="6">
        <v>636.75</v>
      </c>
      <c r="J3321" s="6">
        <v>636.75</v>
      </c>
      <c r="K3321" s="37" t="s">
        <v>5018</v>
      </c>
      <c r="L3321" s="119"/>
      <c r="M3321" s="3"/>
    </row>
    <row r="3322" spans="1:13" s="4" customFormat="1" ht="14.25" customHeight="1" x14ac:dyDescent="0.25">
      <c r="A3322" s="4" t="s">
        <v>5530</v>
      </c>
      <c r="B3322" s="4" t="s">
        <v>38</v>
      </c>
      <c r="C3322" s="4" t="s">
        <v>14</v>
      </c>
      <c r="D3322" s="35">
        <v>7593</v>
      </c>
      <c r="E3322" s="4" t="s">
        <v>5531</v>
      </c>
      <c r="F3322" s="5">
        <v>40179</v>
      </c>
      <c r="G3322" s="5">
        <v>40543</v>
      </c>
      <c r="H3322" s="4" t="s">
        <v>40</v>
      </c>
      <c r="I3322" s="6">
        <v>91</v>
      </c>
      <c r="J3322" s="6">
        <v>91</v>
      </c>
      <c r="K3322" s="37" t="s">
        <v>5018</v>
      </c>
      <c r="L3322" s="119"/>
      <c r="M3322" s="3"/>
    </row>
    <row r="3323" spans="1:13" s="4" customFormat="1" ht="14.25" customHeight="1" x14ac:dyDescent="0.25">
      <c r="A3323" s="4" t="s">
        <v>5532</v>
      </c>
      <c r="B3323" s="4" t="s">
        <v>38</v>
      </c>
      <c r="C3323" s="4" t="s">
        <v>14</v>
      </c>
      <c r="D3323" s="35">
        <v>7594</v>
      </c>
      <c r="E3323" s="4" t="s">
        <v>5533</v>
      </c>
      <c r="F3323" s="5">
        <v>40179</v>
      </c>
      <c r="G3323" s="5">
        <v>40543</v>
      </c>
      <c r="H3323" s="4" t="s">
        <v>40</v>
      </c>
      <c r="I3323" s="6">
        <v>471.25</v>
      </c>
      <c r="J3323" s="6">
        <v>471.25</v>
      </c>
      <c r="K3323" s="37" t="s">
        <v>5018</v>
      </c>
      <c r="L3323" s="119"/>
      <c r="M3323" s="3"/>
    </row>
    <row r="3324" spans="1:13" s="4" customFormat="1" ht="14.25" customHeight="1" x14ac:dyDescent="0.25">
      <c r="A3324" s="4" t="s">
        <v>5534</v>
      </c>
      <c r="B3324" s="4" t="s">
        <v>38</v>
      </c>
      <c r="C3324" s="4" t="s">
        <v>14</v>
      </c>
      <c r="D3324" s="35">
        <v>7595</v>
      </c>
      <c r="E3324" s="4" t="s">
        <v>5535</v>
      </c>
      <c r="F3324" s="5">
        <v>40179</v>
      </c>
      <c r="G3324" s="5">
        <v>40543</v>
      </c>
      <c r="H3324" s="4" t="s">
        <v>40</v>
      </c>
      <c r="I3324" s="6">
        <v>542.5</v>
      </c>
      <c r="J3324" s="6">
        <v>542.5</v>
      </c>
      <c r="K3324" s="37" t="s">
        <v>5018</v>
      </c>
      <c r="L3324" s="119"/>
      <c r="M3324" s="3"/>
    </row>
    <row r="3325" spans="1:13" s="4" customFormat="1" ht="14.25" customHeight="1" x14ac:dyDescent="0.25">
      <c r="A3325" s="4" t="s">
        <v>5536</v>
      </c>
      <c r="B3325" s="4" t="s">
        <v>38</v>
      </c>
      <c r="C3325" s="4" t="s">
        <v>14</v>
      </c>
      <c r="D3325" s="35">
        <v>7596</v>
      </c>
      <c r="E3325" s="4" t="s">
        <v>5529</v>
      </c>
      <c r="F3325" s="5">
        <v>40179</v>
      </c>
      <c r="G3325" s="5">
        <v>40543</v>
      </c>
      <c r="H3325" s="4" t="s">
        <v>40</v>
      </c>
      <c r="I3325" s="6">
        <v>808.6</v>
      </c>
      <c r="J3325" s="6">
        <v>808.6</v>
      </c>
      <c r="K3325" s="37" t="s">
        <v>5018</v>
      </c>
      <c r="L3325" s="119"/>
      <c r="M3325" s="3"/>
    </row>
    <row r="3326" spans="1:13" s="4" customFormat="1" ht="14.25" customHeight="1" x14ac:dyDescent="0.25">
      <c r="A3326" s="4" t="s">
        <v>5537</v>
      </c>
      <c r="B3326" s="4" t="s">
        <v>38</v>
      </c>
      <c r="C3326" s="4" t="s">
        <v>14</v>
      </c>
      <c r="D3326" s="35">
        <v>7597</v>
      </c>
      <c r="E3326" s="4" t="s">
        <v>5529</v>
      </c>
      <c r="F3326" s="5">
        <v>40179</v>
      </c>
      <c r="G3326" s="5">
        <v>40543</v>
      </c>
      <c r="H3326" s="4" t="s">
        <v>40</v>
      </c>
      <c r="I3326" s="6">
        <v>1037.2</v>
      </c>
      <c r="J3326" s="6">
        <v>1037.2</v>
      </c>
      <c r="K3326" s="37" t="s">
        <v>5018</v>
      </c>
      <c r="L3326" s="119"/>
      <c r="M3326" s="3"/>
    </row>
    <row r="3327" spans="1:13" s="4" customFormat="1" ht="14.25" customHeight="1" x14ac:dyDescent="0.25">
      <c r="A3327" s="4" t="s">
        <v>5538</v>
      </c>
      <c r="B3327" s="4" t="s">
        <v>38</v>
      </c>
      <c r="C3327" s="4" t="s">
        <v>14</v>
      </c>
      <c r="D3327" s="35">
        <v>7598</v>
      </c>
      <c r="E3327" s="4" t="s">
        <v>5531</v>
      </c>
      <c r="F3327" s="5">
        <v>40179</v>
      </c>
      <c r="G3327" s="5">
        <v>40543</v>
      </c>
      <c r="H3327" s="4" t="s">
        <v>40</v>
      </c>
      <c r="I3327" s="6">
        <v>418.6</v>
      </c>
      <c r="J3327" s="6">
        <v>418.6</v>
      </c>
      <c r="K3327" s="37" t="s">
        <v>5018</v>
      </c>
      <c r="L3327" s="119"/>
      <c r="M3327" s="3"/>
    </row>
    <row r="3328" spans="1:13" s="4" customFormat="1" ht="14.25" customHeight="1" x14ac:dyDescent="0.25">
      <c r="A3328" s="4" t="s">
        <v>5539</v>
      </c>
      <c r="B3328" s="4" t="s">
        <v>38</v>
      </c>
      <c r="C3328" s="4" t="s">
        <v>14</v>
      </c>
      <c r="D3328" s="35">
        <v>7599</v>
      </c>
      <c r="E3328" s="4" t="s">
        <v>5540</v>
      </c>
      <c r="F3328" s="5">
        <v>40179</v>
      </c>
      <c r="G3328" s="5">
        <v>40543</v>
      </c>
      <c r="H3328" s="4" t="s">
        <v>40</v>
      </c>
      <c r="I3328" s="6">
        <v>518.6</v>
      </c>
      <c r="J3328" s="6">
        <v>518.6</v>
      </c>
      <c r="K3328" s="37" t="s">
        <v>5018</v>
      </c>
      <c r="L3328" s="119"/>
      <c r="M3328" s="3"/>
    </row>
    <row r="3329" spans="1:13" s="4" customFormat="1" ht="14.25" customHeight="1" x14ac:dyDescent="0.25">
      <c r="A3329" s="4" t="s">
        <v>5541</v>
      </c>
      <c r="B3329" s="4" t="s">
        <v>38</v>
      </c>
      <c r="C3329" s="4" t="s">
        <v>14</v>
      </c>
      <c r="D3329" s="35">
        <v>7600</v>
      </c>
      <c r="E3329" s="4" t="s">
        <v>5542</v>
      </c>
      <c r="F3329" s="5">
        <v>40179</v>
      </c>
      <c r="G3329" s="5">
        <v>40543</v>
      </c>
      <c r="H3329" s="4" t="s">
        <v>40</v>
      </c>
      <c r="I3329" s="6">
        <v>2480.12</v>
      </c>
      <c r="J3329" s="6">
        <v>2480.12</v>
      </c>
      <c r="K3329" s="37" t="s">
        <v>5018</v>
      </c>
      <c r="L3329" s="119"/>
      <c r="M3329" s="3"/>
    </row>
    <row r="3330" spans="1:13" s="4" customFormat="1" ht="14.25" customHeight="1" x14ac:dyDescent="0.25">
      <c r="A3330" s="4" t="s">
        <v>5543</v>
      </c>
      <c r="B3330" s="4" t="s">
        <v>38</v>
      </c>
      <c r="C3330" s="4" t="s">
        <v>14</v>
      </c>
      <c r="D3330" s="35">
        <v>7601</v>
      </c>
      <c r="E3330" s="4" t="s">
        <v>5544</v>
      </c>
      <c r="F3330" s="5">
        <v>40179</v>
      </c>
      <c r="G3330" s="5">
        <v>40543</v>
      </c>
      <c r="H3330" s="4" t="s">
        <v>40</v>
      </c>
      <c r="I3330" s="6">
        <v>8137.93</v>
      </c>
      <c r="J3330" s="6">
        <v>8137.93</v>
      </c>
      <c r="K3330" s="37" t="s">
        <v>5018</v>
      </c>
      <c r="L3330" s="119"/>
      <c r="M3330" s="3"/>
    </row>
    <row r="3331" spans="1:13" s="4" customFormat="1" ht="14.25" customHeight="1" x14ac:dyDescent="0.25">
      <c r="A3331" s="4" t="s">
        <v>5545</v>
      </c>
      <c r="B3331" s="4" t="s">
        <v>38</v>
      </c>
      <c r="C3331" s="4" t="s">
        <v>14</v>
      </c>
      <c r="D3331" s="35">
        <v>7602</v>
      </c>
      <c r="E3331" s="4" t="s">
        <v>5546</v>
      </c>
      <c r="F3331" s="5">
        <v>40179</v>
      </c>
      <c r="G3331" s="5">
        <v>40543</v>
      </c>
      <c r="H3331" s="4" t="s">
        <v>40</v>
      </c>
      <c r="I3331" s="6">
        <v>15675.38</v>
      </c>
      <c r="J3331" s="6">
        <v>15675.38</v>
      </c>
      <c r="K3331" s="37" t="s">
        <v>5018</v>
      </c>
      <c r="L3331" s="119"/>
      <c r="M3331" s="3"/>
    </row>
    <row r="3332" spans="1:13" s="4" customFormat="1" ht="14.25" customHeight="1" x14ac:dyDescent="0.25">
      <c r="A3332" s="4" t="s">
        <v>5547</v>
      </c>
      <c r="B3332" s="4" t="s">
        <v>38</v>
      </c>
      <c r="C3332" s="4" t="s">
        <v>14</v>
      </c>
      <c r="D3332" s="35">
        <v>7624</v>
      </c>
      <c r="E3332" s="4" t="s">
        <v>5548</v>
      </c>
      <c r="F3332" s="5">
        <v>40179</v>
      </c>
      <c r="G3332" s="5">
        <v>40543</v>
      </c>
      <c r="H3332" s="4" t="s">
        <v>40</v>
      </c>
      <c r="I3332" s="6">
        <v>108.9</v>
      </c>
      <c r="J3332" s="6">
        <v>108.9</v>
      </c>
      <c r="K3332" s="37" t="s">
        <v>5018</v>
      </c>
      <c r="L3332" s="119"/>
      <c r="M3332" s="3"/>
    </row>
    <row r="3333" spans="1:13" s="4" customFormat="1" ht="14.25" customHeight="1" x14ac:dyDescent="0.25">
      <c r="A3333" s="4" t="s">
        <v>5549</v>
      </c>
      <c r="B3333" s="4" t="s">
        <v>38</v>
      </c>
      <c r="C3333" s="4" t="s">
        <v>14</v>
      </c>
      <c r="D3333" s="35">
        <v>7625</v>
      </c>
      <c r="E3333" s="4" t="s">
        <v>5550</v>
      </c>
      <c r="F3333" s="5">
        <v>40179</v>
      </c>
      <c r="G3333" s="5">
        <v>40543</v>
      </c>
      <c r="H3333" s="4" t="s">
        <v>40</v>
      </c>
      <c r="I3333" s="6">
        <v>3333.25</v>
      </c>
      <c r="J3333" s="6">
        <v>3333.25</v>
      </c>
      <c r="K3333" s="37" t="s">
        <v>5018</v>
      </c>
      <c r="L3333" s="119"/>
      <c r="M3333" s="3"/>
    </row>
    <row r="3334" spans="1:13" s="4" customFormat="1" ht="14.25" customHeight="1" x14ac:dyDescent="0.25">
      <c r="A3334" s="4" t="s">
        <v>5551</v>
      </c>
      <c r="B3334" s="4" t="s">
        <v>38</v>
      </c>
      <c r="C3334" s="4" t="s">
        <v>14</v>
      </c>
      <c r="D3334" s="35">
        <v>7626</v>
      </c>
      <c r="E3334" s="4" t="s">
        <v>5552</v>
      </c>
      <c r="F3334" s="5">
        <v>40179</v>
      </c>
      <c r="G3334" s="5">
        <v>40543</v>
      </c>
      <c r="H3334" s="4" t="s">
        <v>40</v>
      </c>
      <c r="I3334" s="6">
        <v>565</v>
      </c>
      <c r="J3334" s="6">
        <v>565</v>
      </c>
      <c r="K3334" s="37" t="s">
        <v>5018</v>
      </c>
      <c r="L3334" s="119"/>
      <c r="M3334" s="3"/>
    </row>
    <row r="3335" spans="1:13" s="4" customFormat="1" ht="14.25" customHeight="1" x14ac:dyDescent="0.25">
      <c r="A3335" s="4" t="s">
        <v>5553</v>
      </c>
      <c r="B3335" s="4" t="s">
        <v>38</v>
      </c>
      <c r="C3335" s="4" t="s">
        <v>14</v>
      </c>
      <c r="D3335" s="35">
        <v>7627</v>
      </c>
      <c r="E3335" s="4" t="s">
        <v>5554</v>
      </c>
      <c r="F3335" s="5">
        <v>40179</v>
      </c>
      <c r="G3335" s="5">
        <v>40543</v>
      </c>
      <c r="H3335" s="4" t="s">
        <v>40</v>
      </c>
      <c r="I3335" s="6">
        <v>2308</v>
      </c>
      <c r="J3335" s="6">
        <v>2308</v>
      </c>
      <c r="K3335" s="37" t="s">
        <v>5018</v>
      </c>
      <c r="L3335" s="119"/>
      <c r="M3335" s="3"/>
    </row>
    <row r="3336" spans="1:13" s="4" customFormat="1" ht="14.25" customHeight="1" x14ac:dyDescent="0.25">
      <c r="A3336" s="4" t="s">
        <v>5555</v>
      </c>
      <c r="B3336" s="4" t="s">
        <v>38</v>
      </c>
      <c r="C3336" s="4" t="s">
        <v>14</v>
      </c>
      <c r="D3336" s="35">
        <v>7628</v>
      </c>
      <c r="E3336" s="7" t="s">
        <v>5556</v>
      </c>
      <c r="F3336" s="5">
        <v>40179</v>
      </c>
      <c r="G3336" s="5">
        <v>40543</v>
      </c>
      <c r="H3336" s="4" t="s">
        <v>40</v>
      </c>
      <c r="I3336" s="6">
        <v>28346.13</v>
      </c>
      <c r="J3336" s="6">
        <v>28346.13</v>
      </c>
      <c r="K3336" s="37" t="s">
        <v>5018</v>
      </c>
      <c r="L3336" s="119"/>
      <c r="M3336" s="3"/>
    </row>
    <row r="3337" spans="1:13" s="4" customFormat="1" ht="14.25" customHeight="1" x14ac:dyDescent="0.25">
      <c r="A3337" s="4" t="s">
        <v>5557</v>
      </c>
      <c r="B3337" s="4" t="s">
        <v>38</v>
      </c>
      <c r="C3337" s="4" t="s">
        <v>14</v>
      </c>
      <c r="D3337" s="35">
        <v>7629</v>
      </c>
      <c r="E3337" s="4" t="s">
        <v>5397</v>
      </c>
      <c r="F3337" s="5">
        <v>40179</v>
      </c>
      <c r="G3337" s="5">
        <v>40543</v>
      </c>
      <c r="H3337" s="4" t="s">
        <v>40</v>
      </c>
      <c r="I3337" s="6">
        <v>52981.62</v>
      </c>
      <c r="J3337" s="6">
        <v>52981.62</v>
      </c>
      <c r="K3337" s="37" t="s">
        <v>5018</v>
      </c>
      <c r="L3337" s="119"/>
      <c r="M3337" s="3"/>
    </row>
    <row r="3338" spans="1:13" s="4" customFormat="1" ht="14.25" customHeight="1" x14ac:dyDescent="0.25">
      <c r="A3338" s="4" t="s">
        <v>5558</v>
      </c>
      <c r="B3338" s="4" t="s">
        <v>38</v>
      </c>
      <c r="C3338" s="4" t="s">
        <v>14</v>
      </c>
      <c r="D3338" s="35">
        <v>7631</v>
      </c>
      <c r="E3338" s="4" t="s">
        <v>5559</v>
      </c>
      <c r="F3338" s="5">
        <v>40179</v>
      </c>
      <c r="G3338" s="5">
        <v>40543</v>
      </c>
      <c r="H3338" s="4" t="s">
        <v>40</v>
      </c>
      <c r="I3338" s="6">
        <v>2611</v>
      </c>
      <c r="J3338" s="6">
        <v>2611</v>
      </c>
      <c r="K3338" s="37" t="s">
        <v>5018</v>
      </c>
      <c r="L3338" s="119"/>
      <c r="M3338" s="3"/>
    </row>
    <row r="3339" spans="1:13" s="4" customFormat="1" ht="14.25" customHeight="1" x14ac:dyDescent="0.25">
      <c r="A3339" s="4" t="s">
        <v>5560</v>
      </c>
      <c r="B3339" s="4" t="s">
        <v>38</v>
      </c>
      <c r="C3339" s="4" t="s">
        <v>14</v>
      </c>
      <c r="D3339" s="35">
        <v>7635</v>
      </c>
      <c r="E3339" s="4" t="s">
        <v>5561</v>
      </c>
      <c r="F3339" s="5">
        <v>40179</v>
      </c>
      <c r="G3339" s="5">
        <v>40543</v>
      </c>
      <c r="H3339" s="4" t="s">
        <v>40</v>
      </c>
      <c r="I3339" s="6">
        <v>40792.07</v>
      </c>
      <c r="J3339" s="6">
        <v>21969.26</v>
      </c>
      <c r="K3339" s="37" t="s">
        <v>5018</v>
      </c>
      <c r="L3339" s="119"/>
      <c r="M3339" s="3"/>
    </row>
    <row r="3340" spans="1:13" s="4" customFormat="1" ht="14.25" customHeight="1" x14ac:dyDescent="0.25">
      <c r="A3340" s="4" t="s">
        <v>5562</v>
      </c>
      <c r="B3340" s="4" t="s">
        <v>183</v>
      </c>
      <c r="C3340" s="4" t="s">
        <v>14</v>
      </c>
      <c r="D3340" s="35">
        <v>9211</v>
      </c>
      <c r="E3340" s="4" t="s">
        <v>5563</v>
      </c>
      <c r="F3340" s="5">
        <v>40758</v>
      </c>
      <c r="G3340" s="5">
        <v>41274</v>
      </c>
      <c r="H3340" s="4" t="s">
        <v>40</v>
      </c>
      <c r="I3340" s="6">
        <v>14531.5</v>
      </c>
      <c r="J3340" s="6">
        <v>14531.5</v>
      </c>
      <c r="K3340" s="37" t="s">
        <v>5018</v>
      </c>
      <c r="L3340" s="119"/>
      <c r="M3340" s="3"/>
    </row>
    <row r="3341" spans="1:13" s="4" customFormat="1" ht="14.25" customHeight="1" x14ac:dyDescent="0.25">
      <c r="A3341" s="4" t="s">
        <v>5564</v>
      </c>
      <c r="B3341" s="4" t="s">
        <v>183</v>
      </c>
      <c r="C3341" s="4" t="s">
        <v>14</v>
      </c>
      <c r="D3341" s="35">
        <v>9212</v>
      </c>
      <c r="E3341" s="4" t="s">
        <v>5565</v>
      </c>
      <c r="F3341" s="5">
        <v>40861</v>
      </c>
      <c r="G3341" s="5">
        <v>41274</v>
      </c>
      <c r="H3341" s="4" t="s">
        <v>40</v>
      </c>
      <c r="I3341" s="6">
        <v>36375</v>
      </c>
      <c r="J3341" s="6">
        <v>36375</v>
      </c>
      <c r="K3341" s="37" t="s">
        <v>5018</v>
      </c>
      <c r="L3341" s="119"/>
      <c r="M3341" s="3"/>
    </row>
    <row r="3342" spans="1:13" s="4" customFormat="1" ht="14.25" customHeight="1" x14ac:dyDescent="0.25">
      <c r="A3342" s="4" t="s">
        <v>5566</v>
      </c>
      <c r="B3342" s="4" t="s">
        <v>183</v>
      </c>
      <c r="C3342" s="4" t="s">
        <v>14</v>
      </c>
      <c r="D3342" s="35">
        <v>9215</v>
      </c>
      <c r="E3342" s="4" t="s">
        <v>5567</v>
      </c>
      <c r="F3342" s="5">
        <v>40448</v>
      </c>
      <c r="G3342" s="5">
        <v>40813</v>
      </c>
      <c r="H3342" s="4" t="s">
        <v>40</v>
      </c>
      <c r="I3342" s="6">
        <v>133485.34</v>
      </c>
      <c r="J3342" s="6">
        <v>66742.67</v>
      </c>
      <c r="K3342" s="37" t="s">
        <v>5018</v>
      </c>
      <c r="L3342" s="119"/>
      <c r="M3342" s="3"/>
    </row>
    <row r="3343" spans="1:13" s="4" customFormat="1" ht="14.25" customHeight="1" x14ac:dyDescent="0.25">
      <c r="A3343" s="4" t="s">
        <v>5568</v>
      </c>
      <c r="B3343" s="4" t="s">
        <v>90</v>
      </c>
      <c r="C3343" s="4" t="s">
        <v>14</v>
      </c>
      <c r="D3343" s="35">
        <v>9216</v>
      </c>
      <c r="E3343" s="4" t="s">
        <v>5569</v>
      </c>
      <c r="F3343" s="5">
        <v>40644</v>
      </c>
      <c r="G3343" s="5">
        <v>40841</v>
      </c>
      <c r="H3343" s="4" t="s">
        <v>40</v>
      </c>
      <c r="I3343" s="6">
        <v>20000</v>
      </c>
      <c r="J3343" s="6">
        <v>10000</v>
      </c>
      <c r="K3343" s="37" t="s">
        <v>5018</v>
      </c>
      <c r="L3343" s="119"/>
      <c r="M3343" s="3"/>
    </row>
    <row r="3344" spans="1:13" s="4" customFormat="1" ht="14.25" customHeight="1" x14ac:dyDescent="0.25">
      <c r="A3344" s="4" t="s">
        <v>5572</v>
      </c>
      <c r="B3344" s="4" t="s">
        <v>183</v>
      </c>
      <c r="C3344" s="4" t="s">
        <v>14</v>
      </c>
      <c r="D3344" s="35">
        <v>9218</v>
      </c>
      <c r="E3344" s="4" t="s">
        <v>5573</v>
      </c>
      <c r="F3344" s="5">
        <v>40812</v>
      </c>
      <c r="G3344" s="5">
        <v>41237</v>
      </c>
      <c r="H3344" s="4" t="s">
        <v>40</v>
      </c>
      <c r="I3344" s="6">
        <v>9256</v>
      </c>
      <c r="J3344" s="6">
        <v>9256</v>
      </c>
      <c r="K3344" s="37" t="s">
        <v>5018</v>
      </c>
      <c r="L3344" s="119"/>
      <c r="M3344" s="3"/>
    </row>
    <row r="3345" spans="1:13" s="4" customFormat="1" ht="14.25" customHeight="1" x14ac:dyDescent="0.25">
      <c r="A3345" s="4" t="s">
        <v>5574</v>
      </c>
      <c r="B3345" s="4" t="s">
        <v>190</v>
      </c>
      <c r="C3345" s="4" t="s">
        <v>14</v>
      </c>
      <c r="D3345" s="35">
        <v>9248</v>
      </c>
      <c r="E3345" s="4" t="s">
        <v>5575</v>
      </c>
      <c r="F3345" s="5">
        <v>40602</v>
      </c>
      <c r="G3345" s="5">
        <v>40883</v>
      </c>
      <c r="H3345" s="4" t="s">
        <v>40</v>
      </c>
      <c r="I3345" s="6">
        <v>24375</v>
      </c>
      <c r="J3345" s="6">
        <v>16875</v>
      </c>
      <c r="K3345" s="37" t="s">
        <v>5018</v>
      </c>
      <c r="L3345" s="119"/>
      <c r="M3345" s="3"/>
    </row>
    <row r="3346" spans="1:13" s="4" customFormat="1" ht="14.25" customHeight="1" x14ac:dyDescent="0.25">
      <c r="A3346" s="4" t="s">
        <v>5576</v>
      </c>
      <c r="B3346" s="4" t="s">
        <v>90</v>
      </c>
      <c r="C3346" s="4" t="s">
        <v>14</v>
      </c>
      <c r="D3346" s="35">
        <v>9249</v>
      </c>
      <c r="E3346" s="4" t="s">
        <v>5577</v>
      </c>
      <c r="F3346" s="5">
        <v>40686</v>
      </c>
      <c r="G3346" s="5">
        <v>40892</v>
      </c>
      <c r="H3346" s="4" t="s">
        <v>40</v>
      </c>
      <c r="I3346" s="6">
        <v>12000</v>
      </c>
      <c r="J3346" s="6">
        <v>6000</v>
      </c>
      <c r="K3346" s="37" t="s">
        <v>5018</v>
      </c>
      <c r="L3346" s="119"/>
      <c r="M3346" s="3"/>
    </row>
    <row r="3347" spans="1:13" s="4" customFormat="1" ht="14.25" customHeight="1" x14ac:dyDescent="0.25">
      <c r="A3347" s="4" t="s">
        <v>5578</v>
      </c>
      <c r="B3347" s="4" t="s">
        <v>183</v>
      </c>
      <c r="C3347" s="4" t="s">
        <v>14</v>
      </c>
      <c r="D3347" s="35">
        <v>9250</v>
      </c>
      <c r="E3347" s="4" t="s">
        <v>5579</v>
      </c>
      <c r="F3347" s="5">
        <v>40813</v>
      </c>
      <c r="G3347" s="5">
        <v>40835</v>
      </c>
      <c r="H3347" s="4" t="s">
        <v>40</v>
      </c>
      <c r="I3347" s="6">
        <v>15700.2</v>
      </c>
      <c r="J3347" s="6">
        <v>7850.1</v>
      </c>
      <c r="K3347" s="37" t="s">
        <v>5018</v>
      </c>
      <c r="L3347" s="119"/>
      <c r="M3347" s="3"/>
    </row>
    <row r="3348" spans="1:13" s="4" customFormat="1" ht="14.25" customHeight="1" x14ac:dyDescent="0.25">
      <c r="A3348" s="4" t="s">
        <v>5582</v>
      </c>
      <c r="B3348" s="4" t="s">
        <v>90</v>
      </c>
      <c r="C3348" s="4" t="s">
        <v>14</v>
      </c>
      <c r="D3348" s="35">
        <v>9252</v>
      </c>
      <c r="E3348" s="4" t="s">
        <v>5583</v>
      </c>
      <c r="F3348" s="5">
        <v>40686</v>
      </c>
      <c r="G3348" s="5">
        <v>40869</v>
      </c>
      <c r="H3348" s="4" t="s">
        <v>40</v>
      </c>
      <c r="I3348" s="6">
        <v>7559.02</v>
      </c>
      <c r="J3348" s="6">
        <v>3779.51</v>
      </c>
      <c r="K3348" s="37" t="s">
        <v>5018</v>
      </c>
      <c r="L3348" s="119"/>
      <c r="M3348" s="3"/>
    </row>
    <row r="3349" spans="1:13" s="4" customFormat="1" ht="14.25" customHeight="1" x14ac:dyDescent="0.25">
      <c r="A3349" s="4" t="s">
        <v>5584</v>
      </c>
      <c r="B3349" s="4" t="s">
        <v>190</v>
      </c>
      <c r="C3349" s="4" t="s">
        <v>14</v>
      </c>
      <c r="D3349" s="35">
        <v>9253</v>
      </c>
      <c r="E3349" s="4" t="s">
        <v>5585</v>
      </c>
      <c r="F3349" s="5">
        <v>40686</v>
      </c>
      <c r="G3349" s="5">
        <v>41264</v>
      </c>
      <c r="H3349" s="4" t="s">
        <v>40</v>
      </c>
      <c r="I3349" s="6">
        <v>10727.32</v>
      </c>
      <c r="J3349" s="6">
        <v>9488.66</v>
      </c>
      <c r="K3349" s="37" t="s">
        <v>5018</v>
      </c>
      <c r="L3349" s="119"/>
      <c r="M3349" s="3"/>
    </row>
    <row r="3350" spans="1:13" s="4" customFormat="1" ht="14.25" customHeight="1" x14ac:dyDescent="0.25">
      <c r="A3350" s="4" t="s">
        <v>5588</v>
      </c>
      <c r="B3350" s="4" t="s">
        <v>90</v>
      </c>
      <c r="C3350" s="4" t="s">
        <v>14</v>
      </c>
      <c r="D3350" s="35">
        <v>9255</v>
      </c>
      <c r="E3350" s="4" t="s">
        <v>5589</v>
      </c>
      <c r="F3350" s="5">
        <v>40644</v>
      </c>
      <c r="G3350" s="5">
        <v>40898</v>
      </c>
      <c r="H3350" s="4" t="s">
        <v>40</v>
      </c>
      <c r="I3350" s="6">
        <v>19900</v>
      </c>
      <c r="J3350" s="6">
        <v>9950</v>
      </c>
      <c r="K3350" s="37" t="s">
        <v>5018</v>
      </c>
      <c r="L3350" s="119"/>
      <c r="M3350" s="3"/>
    </row>
    <row r="3351" spans="1:13" s="4" customFormat="1" ht="14.25" customHeight="1" x14ac:dyDescent="0.25">
      <c r="A3351" s="4" t="s">
        <v>5590</v>
      </c>
      <c r="B3351" s="4" t="s">
        <v>38</v>
      </c>
      <c r="C3351" s="4" t="s">
        <v>14</v>
      </c>
      <c r="D3351" s="35">
        <v>9302</v>
      </c>
      <c r="E3351" s="4" t="s">
        <v>5591</v>
      </c>
      <c r="F3351" s="5">
        <v>40790</v>
      </c>
      <c r="G3351" s="5">
        <v>40908</v>
      </c>
      <c r="H3351" s="4" t="s">
        <v>40</v>
      </c>
      <c r="I3351" s="6">
        <v>15835.74</v>
      </c>
      <c r="J3351" s="6">
        <v>15835.74</v>
      </c>
      <c r="K3351" s="37" t="s">
        <v>5018</v>
      </c>
      <c r="L3351" s="119"/>
      <c r="M3351" s="3"/>
    </row>
    <row r="3352" spans="1:13" s="4" customFormat="1" ht="14.25" customHeight="1" x14ac:dyDescent="0.25">
      <c r="A3352" s="4" t="s">
        <v>5592</v>
      </c>
      <c r="B3352" s="4" t="s">
        <v>38</v>
      </c>
      <c r="C3352" s="4" t="s">
        <v>14</v>
      </c>
      <c r="D3352" s="35">
        <v>9303</v>
      </c>
      <c r="E3352" s="4" t="s">
        <v>5593</v>
      </c>
      <c r="F3352" s="5">
        <v>40544</v>
      </c>
      <c r="G3352" s="5">
        <v>40908</v>
      </c>
      <c r="H3352" s="4" t="s">
        <v>40</v>
      </c>
      <c r="I3352" s="6">
        <v>43527.01</v>
      </c>
      <c r="J3352" s="6">
        <v>43527.01</v>
      </c>
      <c r="K3352" s="37" t="s">
        <v>5018</v>
      </c>
      <c r="L3352" s="119"/>
      <c r="M3352" s="3"/>
    </row>
    <row r="3353" spans="1:13" s="4" customFormat="1" ht="14.25" customHeight="1" x14ac:dyDescent="0.25">
      <c r="A3353" s="4" t="s">
        <v>5594</v>
      </c>
      <c r="B3353" s="4" t="s">
        <v>38</v>
      </c>
      <c r="C3353" s="4" t="s">
        <v>14</v>
      </c>
      <c r="D3353" s="35">
        <v>9304</v>
      </c>
      <c r="E3353" s="4" t="s">
        <v>5594</v>
      </c>
      <c r="F3353" s="5">
        <v>40544</v>
      </c>
      <c r="G3353" s="5">
        <v>40908</v>
      </c>
      <c r="H3353" s="4" t="s">
        <v>40</v>
      </c>
      <c r="I3353" s="6">
        <v>60326.23</v>
      </c>
      <c r="J3353" s="6">
        <v>60326.23</v>
      </c>
      <c r="K3353" s="37" t="s">
        <v>5018</v>
      </c>
      <c r="L3353" s="119"/>
      <c r="M3353" s="3"/>
    </row>
    <row r="3354" spans="1:13" s="4" customFormat="1" ht="14.25" customHeight="1" x14ac:dyDescent="0.25">
      <c r="A3354" s="4" t="s">
        <v>5595</v>
      </c>
      <c r="B3354" s="4" t="s">
        <v>38</v>
      </c>
      <c r="C3354" s="4" t="s">
        <v>14</v>
      </c>
      <c r="D3354" s="35">
        <v>9306</v>
      </c>
      <c r="E3354" s="4" t="s">
        <v>5596</v>
      </c>
      <c r="F3354" s="5">
        <v>40787</v>
      </c>
      <c r="G3354" s="5">
        <v>41061</v>
      </c>
      <c r="H3354" s="4" t="s">
        <v>40</v>
      </c>
      <c r="I3354" s="6">
        <v>7496</v>
      </c>
      <c r="J3354" s="6">
        <v>7496</v>
      </c>
      <c r="K3354" s="37" t="s">
        <v>5018</v>
      </c>
      <c r="L3354" s="119"/>
      <c r="M3354" s="3"/>
    </row>
    <row r="3355" spans="1:13" s="4" customFormat="1" ht="14.25" customHeight="1" x14ac:dyDescent="0.25">
      <c r="A3355" s="4" t="s">
        <v>5597</v>
      </c>
      <c r="B3355" s="4" t="s">
        <v>38</v>
      </c>
      <c r="C3355" s="4" t="s">
        <v>14</v>
      </c>
      <c r="D3355" s="35">
        <v>9307</v>
      </c>
      <c r="E3355" s="4" t="s">
        <v>5598</v>
      </c>
      <c r="F3355" s="5">
        <v>40787</v>
      </c>
      <c r="G3355" s="5">
        <v>40908</v>
      </c>
      <c r="H3355" s="4" t="s">
        <v>40</v>
      </c>
      <c r="I3355" s="6">
        <v>4605</v>
      </c>
      <c r="J3355" s="6">
        <v>4605</v>
      </c>
      <c r="K3355" s="37" t="s">
        <v>5018</v>
      </c>
      <c r="L3355" s="119"/>
      <c r="M3355" s="3"/>
    </row>
    <row r="3356" spans="1:13" s="4" customFormat="1" ht="14.25" customHeight="1" x14ac:dyDescent="0.25">
      <c r="A3356" s="4" t="s">
        <v>5599</v>
      </c>
      <c r="B3356" s="4" t="s">
        <v>38</v>
      </c>
      <c r="C3356" s="4" t="s">
        <v>14</v>
      </c>
      <c r="D3356" s="35">
        <v>9308</v>
      </c>
      <c r="E3356" s="4" t="s">
        <v>5600</v>
      </c>
      <c r="F3356" s="5">
        <v>40544</v>
      </c>
      <c r="G3356" s="5">
        <v>40908</v>
      </c>
      <c r="H3356" s="4" t="s">
        <v>40</v>
      </c>
      <c r="I3356" s="6">
        <v>23369.77</v>
      </c>
      <c r="J3356" s="6">
        <v>23369.77</v>
      </c>
      <c r="K3356" s="37" t="s">
        <v>5018</v>
      </c>
      <c r="L3356" s="119"/>
      <c r="M3356" s="3"/>
    </row>
    <row r="3357" spans="1:13" s="4" customFormat="1" ht="14.25" customHeight="1" x14ac:dyDescent="0.25">
      <c r="A3357" s="4" t="s">
        <v>5601</v>
      </c>
      <c r="B3357" s="4" t="s">
        <v>38</v>
      </c>
      <c r="C3357" s="4" t="s">
        <v>14</v>
      </c>
      <c r="D3357" s="35">
        <v>9309</v>
      </c>
      <c r="E3357" s="4" t="s">
        <v>5602</v>
      </c>
      <c r="F3357" s="5">
        <v>40814</v>
      </c>
      <c r="G3357" s="5">
        <v>40908</v>
      </c>
      <c r="H3357" s="4" t="s">
        <v>40</v>
      </c>
      <c r="I3357" s="6">
        <v>8947.5499999999993</v>
      </c>
      <c r="J3357" s="6">
        <v>8947.5499999999993</v>
      </c>
      <c r="K3357" s="37" t="s">
        <v>5018</v>
      </c>
      <c r="L3357" s="119"/>
      <c r="M3357" s="3"/>
    </row>
    <row r="3358" spans="1:13" s="4" customFormat="1" ht="14.25" customHeight="1" x14ac:dyDescent="0.25">
      <c r="A3358" s="4" t="s">
        <v>5603</v>
      </c>
      <c r="B3358" s="4" t="s">
        <v>38</v>
      </c>
      <c r="C3358" s="4" t="s">
        <v>14</v>
      </c>
      <c r="D3358" s="35">
        <v>9310</v>
      </c>
      <c r="E3358" s="4" t="s">
        <v>5604</v>
      </c>
      <c r="F3358" s="5">
        <v>40841</v>
      </c>
      <c r="G3358" s="5">
        <v>40841</v>
      </c>
      <c r="H3358" s="4" t="s">
        <v>40</v>
      </c>
      <c r="I3358" s="6">
        <v>400</v>
      </c>
      <c r="J3358" s="6">
        <v>400</v>
      </c>
      <c r="K3358" s="37" t="s">
        <v>5018</v>
      </c>
      <c r="L3358" s="119"/>
      <c r="M3358" s="3"/>
    </row>
    <row r="3359" spans="1:13" s="4" customFormat="1" ht="14.25" customHeight="1" x14ac:dyDescent="0.25">
      <c r="A3359" s="4" t="s">
        <v>5605</v>
      </c>
      <c r="B3359" s="4" t="s">
        <v>38</v>
      </c>
      <c r="C3359" s="4" t="s">
        <v>14</v>
      </c>
      <c r="D3359" s="35">
        <v>9311</v>
      </c>
      <c r="E3359" s="4" t="s">
        <v>5606</v>
      </c>
      <c r="F3359" s="5">
        <v>40821</v>
      </c>
      <c r="G3359" s="5">
        <v>40821</v>
      </c>
      <c r="H3359" s="4" t="s">
        <v>40</v>
      </c>
      <c r="I3359" s="6">
        <v>250</v>
      </c>
      <c r="J3359" s="6">
        <v>250</v>
      </c>
      <c r="K3359" s="37" t="s">
        <v>5018</v>
      </c>
      <c r="L3359" s="119"/>
      <c r="M3359" s="3"/>
    </row>
    <row r="3360" spans="1:13" s="4" customFormat="1" ht="14.25" customHeight="1" x14ac:dyDescent="0.25">
      <c r="A3360" s="4" t="s">
        <v>5607</v>
      </c>
      <c r="B3360" s="4" t="s">
        <v>38</v>
      </c>
      <c r="C3360" s="4" t="s">
        <v>14</v>
      </c>
      <c r="D3360" s="35">
        <v>9313</v>
      </c>
      <c r="E3360" s="4" t="s">
        <v>5608</v>
      </c>
      <c r="F3360" s="5">
        <v>40544</v>
      </c>
      <c r="G3360" s="5">
        <v>40908</v>
      </c>
      <c r="H3360" s="4" t="s">
        <v>40</v>
      </c>
      <c r="I3360" s="6">
        <v>1032.45</v>
      </c>
      <c r="J3360" s="6">
        <v>1032.45</v>
      </c>
      <c r="K3360" s="37" t="s">
        <v>5018</v>
      </c>
      <c r="L3360" s="119"/>
      <c r="M3360" s="3"/>
    </row>
    <row r="3361" spans="1:13" s="4" customFormat="1" ht="14.25" customHeight="1" x14ac:dyDescent="0.25">
      <c r="A3361" s="4" t="s">
        <v>5609</v>
      </c>
      <c r="B3361" s="4" t="s">
        <v>38</v>
      </c>
      <c r="C3361" s="4" t="s">
        <v>14</v>
      </c>
      <c r="D3361" s="35">
        <v>9314</v>
      </c>
      <c r="E3361" s="4" t="s">
        <v>5610</v>
      </c>
      <c r="F3361" s="5">
        <v>40544</v>
      </c>
      <c r="G3361" s="5">
        <v>40908</v>
      </c>
      <c r="H3361" s="4" t="s">
        <v>40</v>
      </c>
      <c r="I3361" s="6">
        <v>1023.45</v>
      </c>
      <c r="J3361" s="6">
        <v>1023.45</v>
      </c>
      <c r="K3361" s="37" t="s">
        <v>5018</v>
      </c>
      <c r="L3361" s="119"/>
      <c r="M3361" s="3"/>
    </row>
    <row r="3362" spans="1:13" s="4" customFormat="1" ht="14.25" customHeight="1" x14ac:dyDescent="0.25">
      <c r="A3362" s="4" t="s">
        <v>5611</v>
      </c>
      <c r="B3362" s="4" t="s">
        <v>38</v>
      </c>
      <c r="C3362" s="4" t="s">
        <v>14</v>
      </c>
      <c r="D3362" s="35">
        <v>9315</v>
      </c>
      <c r="E3362" s="4" t="s">
        <v>5612</v>
      </c>
      <c r="F3362" s="5">
        <v>40544</v>
      </c>
      <c r="G3362" s="5">
        <v>40908</v>
      </c>
      <c r="H3362" s="4" t="s">
        <v>40</v>
      </c>
      <c r="I3362" s="6">
        <v>1057.95</v>
      </c>
      <c r="J3362" s="6">
        <v>1057.95</v>
      </c>
      <c r="K3362" s="37" t="s">
        <v>5018</v>
      </c>
      <c r="L3362" s="119"/>
      <c r="M3362" s="3"/>
    </row>
    <row r="3363" spans="1:13" s="4" customFormat="1" ht="14.25" customHeight="1" x14ac:dyDescent="0.25">
      <c r="A3363" s="4" t="s">
        <v>5613</v>
      </c>
      <c r="B3363" s="4" t="s">
        <v>38</v>
      </c>
      <c r="C3363" s="4" t="s">
        <v>14</v>
      </c>
      <c r="D3363" s="35">
        <v>9316</v>
      </c>
      <c r="E3363" s="4" t="s">
        <v>5614</v>
      </c>
      <c r="F3363" s="5">
        <v>40544</v>
      </c>
      <c r="G3363" s="5">
        <v>40908</v>
      </c>
      <c r="H3363" s="4" t="s">
        <v>40</v>
      </c>
      <c r="I3363" s="6">
        <v>1063.45</v>
      </c>
      <c r="J3363" s="6">
        <v>1063.45</v>
      </c>
      <c r="K3363" s="37" t="s">
        <v>5018</v>
      </c>
      <c r="L3363" s="119"/>
      <c r="M3363" s="3"/>
    </row>
    <row r="3364" spans="1:13" s="4" customFormat="1" ht="14.25" customHeight="1" x14ac:dyDescent="0.25">
      <c r="A3364" s="4" t="s">
        <v>5615</v>
      </c>
      <c r="B3364" s="4" t="s">
        <v>38</v>
      </c>
      <c r="C3364" s="4" t="s">
        <v>14</v>
      </c>
      <c r="D3364" s="35">
        <v>9317</v>
      </c>
      <c r="E3364" s="4" t="s">
        <v>5616</v>
      </c>
      <c r="F3364" s="5">
        <v>40544</v>
      </c>
      <c r="G3364" s="5">
        <v>40908</v>
      </c>
      <c r="H3364" s="4" t="s">
        <v>40</v>
      </c>
      <c r="I3364" s="6">
        <v>1135.45</v>
      </c>
      <c r="J3364" s="6">
        <v>1135.45</v>
      </c>
      <c r="K3364" s="37" t="s">
        <v>5018</v>
      </c>
      <c r="L3364" s="119"/>
      <c r="M3364" s="3"/>
    </row>
    <row r="3365" spans="1:13" s="4" customFormat="1" ht="14.25" customHeight="1" x14ac:dyDescent="0.25">
      <c r="A3365" s="4" t="s">
        <v>5617</v>
      </c>
      <c r="B3365" s="4" t="s">
        <v>38</v>
      </c>
      <c r="C3365" s="4" t="s">
        <v>14</v>
      </c>
      <c r="D3365" s="35">
        <v>9318</v>
      </c>
      <c r="E3365" s="4" t="s">
        <v>5618</v>
      </c>
      <c r="F3365" s="5">
        <v>40544</v>
      </c>
      <c r="G3365" s="5">
        <v>40908</v>
      </c>
      <c r="H3365" s="4" t="s">
        <v>40</v>
      </c>
      <c r="I3365" s="6">
        <v>905.95</v>
      </c>
      <c r="J3365" s="6">
        <v>905.95</v>
      </c>
      <c r="K3365" s="37" t="s">
        <v>5018</v>
      </c>
      <c r="L3365" s="119"/>
      <c r="M3365" s="3"/>
    </row>
    <row r="3366" spans="1:13" s="4" customFormat="1" ht="14.25" customHeight="1" x14ac:dyDescent="0.25">
      <c r="A3366" s="4" t="s">
        <v>5619</v>
      </c>
      <c r="B3366" s="4" t="s">
        <v>38</v>
      </c>
      <c r="C3366" s="4" t="s">
        <v>14</v>
      </c>
      <c r="D3366" s="35">
        <v>9319</v>
      </c>
      <c r="E3366" s="4" t="s">
        <v>5619</v>
      </c>
      <c r="F3366" s="5">
        <v>40866</v>
      </c>
      <c r="G3366" s="5">
        <v>40866</v>
      </c>
      <c r="H3366" s="4" t="s">
        <v>40</v>
      </c>
      <c r="I3366" s="6">
        <v>300.5</v>
      </c>
      <c r="J3366" s="6">
        <v>300.5</v>
      </c>
      <c r="K3366" s="37" t="s">
        <v>5018</v>
      </c>
      <c r="L3366" s="119"/>
      <c r="M3366" s="3"/>
    </row>
    <row r="3367" spans="1:13" s="4" customFormat="1" ht="14.25" customHeight="1" x14ac:dyDescent="0.25">
      <c r="A3367" s="4" t="s">
        <v>5620</v>
      </c>
      <c r="B3367" s="4" t="s">
        <v>38</v>
      </c>
      <c r="C3367" s="4" t="s">
        <v>14</v>
      </c>
      <c r="D3367" s="35">
        <v>9320</v>
      </c>
      <c r="E3367" s="4" t="s">
        <v>5240</v>
      </c>
      <c r="F3367" s="5">
        <v>40575</v>
      </c>
      <c r="G3367" s="5">
        <v>40634</v>
      </c>
      <c r="H3367" s="4" t="s">
        <v>40</v>
      </c>
      <c r="I3367" s="6">
        <v>2171</v>
      </c>
      <c r="J3367" s="6">
        <v>2171</v>
      </c>
      <c r="K3367" s="37" t="s">
        <v>5018</v>
      </c>
      <c r="L3367" s="119"/>
      <c r="M3367" s="3"/>
    </row>
    <row r="3368" spans="1:13" s="4" customFormat="1" ht="14.25" customHeight="1" x14ac:dyDescent="0.25">
      <c r="A3368" s="4" t="s">
        <v>5621</v>
      </c>
      <c r="B3368" s="4" t="s">
        <v>38</v>
      </c>
      <c r="C3368" s="4" t="s">
        <v>14</v>
      </c>
      <c r="D3368" s="35">
        <v>9321</v>
      </c>
      <c r="E3368" s="4" t="s">
        <v>5240</v>
      </c>
      <c r="F3368" s="5">
        <v>40616</v>
      </c>
      <c r="G3368" s="5">
        <v>40677</v>
      </c>
      <c r="H3368" s="4" t="s">
        <v>40</v>
      </c>
      <c r="I3368" s="6">
        <v>1810</v>
      </c>
      <c r="J3368" s="6">
        <v>1810</v>
      </c>
      <c r="K3368" s="37" t="s">
        <v>5018</v>
      </c>
      <c r="L3368" s="119"/>
      <c r="M3368" s="3"/>
    </row>
    <row r="3369" spans="1:13" s="4" customFormat="1" ht="14.25" customHeight="1" x14ac:dyDescent="0.25">
      <c r="A3369" s="4" t="s">
        <v>5622</v>
      </c>
      <c r="B3369" s="4" t="s">
        <v>38</v>
      </c>
      <c r="C3369" s="4" t="s">
        <v>14</v>
      </c>
      <c r="D3369" s="35">
        <v>9322</v>
      </c>
      <c r="E3369" s="4" t="s">
        <v>5240</v>
      </c>
      <c r="F3369" s="5">
        <v>40667</v>
      </c>
      <c r="G3369" s="5">
        <v>40704</v>
      </c>
      <c r="H3369" s="4" t="s">
        <v>40</v>
      </c>
      <c r="I3369" s="6">
        <v>2194.0500000000002</v>
      </c>
      <c r="J3369" s="6">
        <v>2194.0500000000002</v>
      </c>
      <c r="K3369" s="37" t="s">
        <v>5018</v>
      </c>
      <c r="L3369" s="119"/>
      <c r="M3369" s="3"/>
    </row>
    <row r="3370" spans="1:13" s="4" customFormat="1" ht="14.25" customHeight="1" x14ac:dyDescent="0.25">
      <c r="A3370" s="4" t="s">
        <v>5623</v>
      </c>
      <c r="B3370" s="4" t="s">
        <v>38</v>
      </c>
      <c r="C3370" s="4" t="s">
        <v>14</v>
      </c>
      <c r="D3370" s="35">
        <v>9323</v>
      </c>
      <c r="E3370" s="4" t="s">
        <v>5240</v>
      </c>
      <c r="F3370" s="5">
        <v>40772</v>
      </c>
      <c r="G3370" s="5">
        <v>40803</v>
      </c>
      <c r="H3370" s="4" t="s">
        <v>40</v>
      </c>
      <c r="I3370" s="6">
        <v>2249.8000000000002</v>
      </c>
      <c r="J3370" s="6">
        <v>2249.8000000000002</v>
      </c>
      <c r="K3370" s="37" t="s">
        <v>5018</v>
      </c>
      <c r="L3370" s="119"/>
      <c r="M3370" s="3"/>
    </row>
    <row r="3371" spans="1:13" s="4" customFormat="1" ht="14.25" customHeight="1" x14ac:dyDescent="0.25">
      <c r="A3371" s="4" t="s">
        <v>5624</v>
      </c>
      <c r="B3371" s="4" t="s">
        <v>38</v>
      </c>
      <c r="C3371" s="4" t="s">
        <v>14</v>
      </c>
      <c r="D3371" s="35">
        <v>9324</v>
      </c>
      <c r="E3371" s="4" t="s">
        <v>5240</v>
      </c>
      <c r="F3371" s="5">
        <v>40854</v>
      </c>
      <c r="G3371" s="5">
        <v>40891</v>
      </c>
      <c r="H3371" s="4" t="s">
        <v>40</v>
      </c>
      <c r="I3371" s="6">
        <v>736</v>
      </c>
      <c r="J3371" s="6">
        <v>736</v>
      </c>
      <c r="K3371" s="37" t="s">
        <v>5018</v>
      </c>
      <c r="L3371" s="119"/>
      <c r="M3371" s="3"/>
    </row>
    <row r="3372" spans="1:13" s="4" customFormat="1" ht="14.25" customHeight="1" x14ac:dyDescent="0.25">
      <c r="A3372" s="4" t="s">
        <v>5625</v>
      </c>
      <c r="B3372" s="4" t="s">
        <v>38</v>
      </c>
      <c r="C3372" s="4" t="s">
        <v>14</v>
      </c>
      <c r="D3372" s="35">
        <v>9325</v>
      </c>
      <c r="E3372" s="4" t="s">
        <v>5626</v>
      </c>
      <c r="F3372" s="5">
        <v>40695</v>
      </c>
      <c r="G3372" s="5">
        <v>40908</v>
      </c>
      <c r="H3372" s="4" t="s">
        <v>40</v>
      </c>
      <c r="I3372" s="6">
        <v>6420.31</v>
      </c>
      <c r="J3372" s="6">
        <v>6420.31</v>
      </c>
      <c r="K3372" s="37" t="s">
        <v>5018</v>
      </c>
      <c r="L3372" s="119"/>
      <c r="M3372" s="3"/>
    </row>
    <row r="3373" spans="1:13" s="4" customFormat="1" ht="14.25" customHeight="1" x14ac:dyDescent="0.25">
      <c r="A3373" s="4" t="s">
        <v>5627</v>
      </c>
      <c r="B3373" s="4" t="s">
        <v>38</v>
      </c>
      <c r="C3373" s="4" t="s">
        <v>14</v>
      </c>
      <c r="D3373" s="35">
        <v>9326</v>
      </c>
      <c r="E3373" s="4" t="s">
        <v>5628</v>
      </c>
      <c r="F3373" s="5">
        <v>40886</v>
      </c>
      <c r="G3373" s="5">
        <v>40886</v>
      </c>
      <c r="H3373" s="4" t="s">
        <v>40</v>
      </c>
      <c r="I3373" s="6">
        <v>750</v>
      </c>
      <c r="J3373" s="6">
        <v>750</v>
      </c>
      <c r="K3373" s="37" t="s">
        <v>5018</v>
      </c>
      <c r="L3373" s="119"/>
      <c r="M3373" s="3"/>
    </row>
    <row r="3374" spans="1:13" s="4" customFormat="1" ht="14.25" customHeight="1" x14ac:dyDescent="0.25">
      <c r="A3374" s="4" t="s">
        <v>5629</v>
      </c>
      <c r="B3374" s="4" t="s">
        <v>38</v>
      </c>
      <c r="C3374" s="4" t="s">
        <v>14</v>
      </c>
      <c r="D3374" s="35">
        <v>9328</v>
      </c>
      <c r="E3374" s="4" t="s">
        <v>5630</v>
      </c>
      <c r="F3374" s="5">
        <v>40617</v>
      </c>
      <c r="G3374" s="5">
        <v>40617</v>
      </c>
      <c r="H3374" s="4" t="s">
        <v>40</v>
      </c>
      <c r="I3374" s="6">
        <v>200</v>
      </c>
      <c r="J3374" s="6">
        <v>200</v>
      </c>
      <c r="K3374" s="37" t="s">
        <v>5018</v>
      </c>
      <c r="L3374" s="119"/>
      <c r="M3374" s="3"/>
    </row>
    <row r="3375" spans="1:13" s="4" customFormat="1" ht="14.25" customHeight="1" x14ac:dyDescent="0.25">
      <c r="A3375" s="4" t="s">
        <v>5631</v>
      </c>
      <c r="B3375" s="4" t="s">
        <v>38</v>
      </c>
      <c r="C3375" s="4" t="s">
        <v>14</v>
      </c>
      <c r="D3375" s="35">
        <v>9329</v>
      </c>
      <c r="E3375" s="4" t="s">
        <v>5632</v>
      </c>
      <c r="F3375" s="5">
        <v>40617</v>
      </c>
      <c r="G3375" s="5">
        <v>40617</v>
      </c>
      <c r="H3375" s="4" t="s">
        <v>40</v>
      </c>
      <c r="I3375" s="6">
        <v>445</v>
      </c>
      <c r="J3375" s="6">
        <v>445</v>
      </c>
      <c r="K3375" s="37" t="s">
        <v>5018</v>
      </c>
      <c r="L3375" s="119"/>
      <c r="M3375" s="3"/>
    </row>
    <row r="3376" spans="1:13" s="4" customFormat="1" ht="14.25" customHeight="1" x14ac:dyDescent="0.25">
      <c r="A3376" s="4" t="s">
        <v>5633</v>
      </c>
      <c r="B3376" s="4" t="s">
        <v>38</v>
      </c>
      <c r="C3376" s="4" t="s">
        <v>14</v>
      </c>
      <c r="D3376" s="35">
        <v>9330</v>
      </c>
      <c r="E3376" s="4" t="s">
        <v>5634</v>
      </c>
      <c r="F3376" s="5">
        <v>40610</v>
      </c>
      <c r="G3376" s="5">
        <v>40648</v>
      </c>
      <c r="H3376" s="4" t="s">
        <v>40</v>
      </c>
      <c r="I3376" s="6">
        <v>1621.6</v>
      </c>
      <c r="J3376" s="6">
        <v>1621.6</v>
      </c>
      <c r="K3376" s="37" t="s">
        <v>5018</v>
      </c>
      <c r="L3376" s="119"/>
      <c r="M3376" s="3"/>
    </row>
    <row r="3377" spans="1:13" s="4" customFormat="1" ht="14.25" customHeight="1" x14ac:dyDescent="0.25">
      <c r="A3377" s="4" t="s">
        <v>5635</v>
      </c>
      <c r="B3377" s="4" t="s">
        <v>38</v>
      </c>
      <c r="C3377" s="4" t="s">
        <v>14</v>
      </c>
      <c r="D3377" s="35">
        <v>9331</v>
      </c>
      <c r="E3377" s="4" t="s">
        <v>5636</v>
      </c>
      <c r="F3377" s="5">
        <v>40626</v>
      </c>
      <c r="G3377" s="5">
        <v>40657</v>
      </c>
      <c r="H3377" s="4" t="s">
        <v>40</v>
      </c>
      <c r="I3377" s="6">
        <v>1297.5999999999999</v>
      </c>
      <c r="J3377" s="6">
        <v>1297.5999999999999</v>
      </c>
      <c r="K3377" s="37" t="s">
        <v>5018</v>
      </c>
      <c r="L3377" s="119"/>
      <c r="M3377" s="3"/>
    </row>
    <row r="3378" spans="1:13" s="4" customFormat="1" ht="14.25" customHeight="1" x14ac:dyDescent="0.25">
      <c r="A3378" s="4" t="s">
        <v>5637</v>
      </c>
      <c r="B3378" s="4" t="s">
        <v>38</v>
      </c>
      <c r="C3378" s="4" t="s">
        <v>14</v>
      </c>
      <c r="D3378" s="35">
        <v>9332</v>
      </c>
      <c r="E3378" s="4" t="s">
        <v>5180</v>
      </c>
      <c r="F3378" s="5">
        <v>40577</v>
      </c>
      <c r="G3378" s="5">
        <v>40626</v>
      </c>
      <c r="H3378" s="4" t="s">
        <v>40</v>
      </c>
      <c r="I3378" s="6">
        <v>1274.4000000000001</v>
      </c>
      <c r="J3378" s="6">
        <v>1274.4000000000001</v>
      </c>
      <c r="K3378" s="37" t="s">
        <v>5018</v>
      </c>
      <c r="L3378" s="119"/>
      <c r="M3378" s="3"/>
    </row>
    <row r="3379" spans="1:13" s="4" customFormat="1" ht="14.25" customHeight="1" x14ac:dyDescent="0.25">
      <c r="A3379" s="4" t="s">
        <v>5638</v>
      </c>
      <c r="B3379" s="4" t="s">
        <v>38</v>
      </c>
      <c r="C3379" s="4" t="s">
        <v>14</v>
      </c>
      <c r="D3379" s="35">
        <v>9333</v>
      </c>
      <c r="E3379" s="4" t="s">
        <v>5639</v>
      </c>
      <c r="F3379" s="5">
        <v>40612</v>
      </c>
      <c r="G3379" s="5">
        <v>40612</v>
      </c>
      <c r="H3379" s="4" t="s">
        <v>40</v>
      </c>
      <c r="I3379" s="6">
        <v>260</v>
      </c>
      <c r="J3379" s="6">
        <v>260</v>
      </c>
      <c r="K3379" s="37" t="s">
        <v>5018</v>
      </c>
      <c r="L3379" s="119"/>
      <c r="M3379" s="3"/>
    </row>
    <row r="3380" spans="1:13" s="4" customFormat="1" ht="14.25" customHeight="1" x14ac:dyDescent="0.25">
      <c r="A3380" s="4" t="s">
        <v>5640</v>
      </c>
      <c r="B3380" s="4" t="s">
        <v>38</v>
      </c>
      <c r="C3380" s="4" t="s">
        <v>14</v>
      </c>
      <c r="D3380" s="35">
        <v>9334</v>
      </c>
      <c r="E3380" s="4" t="s">
        <v>5641</v>
      </c>
      <c r="F3380" s="5">
        <v>40618</v>
      </c>
      <c r="G3380" s="5">
        <v>40618</v>
      </c>
      <c r="H3380" s="4" t="s">
        <v>40</v>
      </c>
      <c r="I3380" s="6">
        <v>300</v>
      </c>
      <c r="J3380" s="6">
        <v>300</v>
      </c>
      <c r="K3380" s="37" t="s">
        <v>5018</v>
      </c>
      <c r="L3380" s="119"/>
      <c r="M3380" s="3"/>
    </row>
    <row r="3381" spans="1:13" s="4" customFormat="1" ht="14.25" customHeight="1" x14ac:dyDescent="0.25">
      <c r="A3381" s="4" t="s">
        <v>5642</v>
      </c>
      <c r="B3381" s="4" t="s">
        <v>38</v>
      </c>
      <c r="C3381" s="4" t="s">
        <v>14</v>
      </c>
      <c r="D3381" s="35">
        <v>9335</v>
      </c>
      <c r="E3381" s="4" t="s">
        <v>5643</v>
      </c>
      <c r="F3381" s="5">
        <v>40617</v>
      </c>
      <c r="G3381" s="5">
        <v>40617</v>
      </c>
      <c r="H3381" s="4" t="s">
        <v>40</v>
      </c>
      <c r="I3381" s="6">
        <v>240</v>
      </c>
      <c r="J3381" s="6">
        <v>240</v>
      </c>
      <c r="K3381" s="37" t="s">
        <v>5018</v>
      </c>
      <c r="L3381" s="119"/>
      <c r="M3381" s="3"/>
    </row>
    <row r="3382" spans="1:13" s="4" customFormat="1" ht="14.25" customHeight="1" x14ac:dyDescent="0.25">
      <c r="A3382" s="4" t="s">
        <v>5644</v>
      </c>
      <c r="B3382" s="4" t="s">
        <v>38</v>
      </c>
      <c r="C3382" s="4" t="s">
        <v>14</v>
      </c>
      <c r="D3382" s="35">
        <v>9336</v>
      </c>
      <c r="E3382" s="4" t="s">
        <v>5645</v>
      </c>
      <c r="F3382" s="5">
        <v>40613</v>
      </c>
      <c r="G3382" s="5">
        <v>40613</v>
      </c>
      <c r="H3382" s="4" t="s">
        <v>40</v>
      </c>
      <c r="I3382" s="6">
        <v>285</v>
      </c>
      <c r="J3382" s="6">
        <v>285</v>
      </c>
      <c r="K3382" s="37" t="s">
        <v>5018</v>
      </c>
      <c r="L3382" s="119"/>
      <c r="M3382" s="3"/>
    </row>
    <row r="3383" spans="1:13" s="4" customFormat="1" ht="14.25" customHeight="1" x14ac:dyDescent="0.25">
      <c r="A3383" s="4" t="s">
        <v>5646</v>
      </c>
      <c r="B3383" s="4" t="s">
        <v>38</v>
      </c>
      <c r="C3383" s="4" t="s">
        <v>14</v>
      </c>
      <c r="D3383" s="35">
        <v>9337</v>
      </c>
      <c r="E3383" s="4" t="s">
        <v>5634</v>
      </c>
      <c r="F3383" s="5">
        <v>40813</v>
      </c>
      <c r="G3383" s="5">
        <v>40843</v>
      </c>
      <c r="H3383" s="4" t="s">
        <v>40</v>
      </c>
      <c r="I3383" s="6">
        <v>2126.4</v>
      </c>
      <c r="J3383" s="6">
        <v>2126.4</v>
      </c>
      <c r="K3383" s="37" t="s">
        <v>5018</v>
      </c>
      <c r="L3383" s="119"/>
      <c r="M3383" s="3"/>
    </row>
    <row r="3384" spans="1:13" s="4" customFormat="1" ht="14.25" customHeight="1" x14ac:dyDescent="0.25">
      <c r="A3384" s="4" t="s">
        <v>5647</v>
      </c>
      <c r="B3384" s="4" t="s">
        <v>38</v>
      </c>
      <c r="C3384" s="4" t="s">
        <v>14</v>
      </c>
      <c r="D3384" s="35">
        <v>9338</v>
      </c>
      <c r="E3384" s="4" t="s">
        <v>5648</v>
      </c>
      <c r="F3384" s="5">
        <v>40842</v>
      </c>
      <c r="G3384" s="5">
        <v>40842</v>
      </c>
      <c r="H3384" s="4" t="s">
        <v>40</v>
      </c>
      <c r="I3384" s="6">
        <v>230</v>
      </c>
      <c r="J3384" s="6">
        <v>230</v>
      </c>
      <c r="K3384" s="37" t="s">
        <v>5018</v>
      </c>
      <c r="L3384" s="119"/>
      <c r="M3384" s="3"/>
    </row>
    <row r="3385" spans="1:13" s="4" customFormat="1" ht="14.25" customHeight="1" x14ac:dyDescent="0.25">
      <c r="A3385" s="4" t="s">
        <v>5649</v>
      </c>
      <c r="B3385" s="4" t="s">
        <v>38</v>
      </c>
      <c r="C3385" s="4" t="s">
        <v>14</v>
      </c>
      <c r="D3385" s="35">
        <v>9339</v>
      </c>
      <c r="E3385" s="4" t="s">
        <v>5636</v>
      </c>
      <c r="F3385" s="5">
        <v>40856</v>
      </c>
      <c r="G3385" s="5">
        <v>40873</v>
      </c>
      <c r="H3385" s="4" t="s">
        <v>40</v>
      </c>
      <c r="I3385" s="6">
        <v>894.4</v>
      </c>
      <c r="J3385" s="6">
        <v>894.4</v>
      </c>
      <c r="K3385" s="37" t="s">
        <v>5018</v>
      </c>
      <c r="L3385" s="119"/>
      <c r="M3385" s="3"/>
    </row>
    <row r="3386" spans="1:13" s="4" customFormat="1" ht="14.25" customHeight="1" x14ac:dyDescent="0.25">
      <c r="A3386" s="4" t="s">
        <v>5650</v>
      </c>
      <c r="B3386" s="4" t="s">
        <v>38</v>
      </c>
      <c r="C3386" s="4" t="s">
        <v>14</v>
      </c>
      <c r="D3386" s="35">
        <v>9340</v>
      </c>
      <c r="E3386" s="4" t="s">
        <v>5651</v>
      </c>
      <c r="F3386" s="5">
        <v>40823</v>
      </c>
      <c r="G3386" s="5">
        <v>40823</v>
      </c>
      <c r="H3386" s="4" t="s">
        <v>40</v>
      </c>
      <c r="I3386" s="6">
        <v>455</v>
      </c>
      <c r="J3386" s="6">
        <v>455</v>
      </c>
      <c r="K3386" s="37" t="s">
        <v>5018</v>
      </c>
      <c r="L3386" s="119"/>
      <c r="M3386" s="3"/>
    </row>
    <row r="3387" spans="1:13" s="4" customFormat="1" ht="14.25" customHeight="1" x14ac:dyDescent="0.25">
      <c r="A3387" s="4" t="s">
        <v>5652</v>
      </c>
      <c r="B3387" s="4" t="s">
        <v>38</v>
      </c>
      <c r="C3387" s="4" t="s">
        <v>14</v>
      </c>
      <c r="D3387" s="35">
        <v>9341</v>
      </c>
      <c r="E3387" s="4" t="s">
        <v>5653</v>
      </c>
      <c r="F3387" s="5">
        <v>40833</v>
      </c>
      <c r="G3387" s="5">
        <v>40840</v>
      </c>
      <c r="H3387" s="4" t="s">
        <v>40</v>
      </c>
      <c r="I3387" s="6">
        <v>777</v>
      </c>
      <c r="J3387" s="6">
        <v>777</v>
      </c>
      <c r="K3387" s="37" t="s">
        <v>5018</v>
      </c>
      <c r="L3387" s="119"/>
      <c r="M3387" s="3"/>
    </row>
    <row r="3388" spans="1:13" s="4" customFormat="1" ht="14.25" customHeight="1" x14ac:dyDescent="0.25">
      <c r="A3388" s="4" t="s">
        <v>5654</v>
      </c>
      <c r="B3388" s="4" t="s">
        <v>38</v>
      </c>
      <c r="C3388" s="4" t="s">
        <v>14</v>
      </c>
      <c r="D3388" s="35">
        <v>9342</v>
      </c>
      <c r="E3388" s="4" t="s">
        <v>5655</v>
      </c>
      <c r="F3388" s="5">
        <v>40632</v>
      </c>
      <c r="G3388" s="5">
        <v>40663</v>
      </c>
      <c r="H3388" s="4" t="s">
        <v>40</v>
      </c>
      <c r="I3388" s="6">
        <v>457.5</v>
      </c>
      <c r="J3388" s="6">
        <v>457.5</v>
      </c>
      <c r="K3388" s="37" t="s">
        <v>5018</v>
      </c>
      <c r="L3388" s="119"/>
      <c r="M3388" s="3"/>
    </row>
    <row r="3389" spans="1:13" s="4" customFormat="1" ht="14.25" customHeight="1" x14ac:dyDescent="0.25">
      <c r="A3389" s="4" t="s">
        <v>5656</v>
      </c>
      <c r="B3389" s="4" t="s">
        <v>38</v>
      </c>
      <c r="C3389" s="4" t="s">
        <v>14</v>
      </c>
      <c r="D3389" s="35">
        <v>9343</v>
      </c>
      <c r="E3389" s="4" t="s">
        <v>5657</v>
      </c>
      <c r="F3389" s="5">
        <v>40672</v>
      </c>
      <c r="G3389" s="5">
        <v>40703</v>
      </c>
      <c r="H3389" s="4" t="s">
        <v>40</v>
      </c>
      <c r="I3389" s="6">
        <v>1894.6</v>
      </c>
      <c r="J3389" s="6">
        <v>1894.6</v>
      </c>
      <c r="K3389" s="37" t="s">
        <v>5018</v>
      </c>
      <c r="L3389" s="119"/>
      <c r="M3389" s="3"/>
    </row>
    <row r="3390" spans="1:13" s="4" customFormat="1" ht="14.25" customHeight="1" x14ac:dyDescent="0.25">
      <c r="A3390" s="4" t="s">
        <v>5658</v>
      </c>
      <c r="B3390" s="4" t="s">
        <v>38</v>
      </c>
      <c r="C3390" s="4" t="s">
        <v>14</v>
      </c>
      <c r="D3390" s="35">
        <v>9344</v>
      </c>
      <c r="E3390" s="4" t="s">
        <v>5659</v>
      </c>
      <c r="F3390" s="5">
        <v>40660</v>
      </c>
      <c r="G3390" s="5">
        <v>40660</v>
      </c>
      <c r="H3390" s="4" t="s">
        <v>40</v>
      </c>
      <c r="I3390" s="6">
        <v>337.5</v>
      </c>
      <c r="J3390" s="6">
        <v>337.5</v>
      </c>
      <c r="K3390" s="37" t="s">
        <v>5018</v>
      </c>
      <c r="L3390" s="119"/>
      <c r="M3390" s="3"/>
    </row>
    <row r="3391" spans="1:13" s="4" customFormat="1" ht="14.25" customHeight="1" x14ac:dyDescent="0.25">
      <c r="A3391" s="4" t="s">
        <v>5660</v>
      </c>
      <c r="B3391" s="4" t="s">
        <v>38</v>
      </c>
      <c r="C3391" s="4" t="s">
        <v>14</v>
      </c>
      <c r="D3391" s="35">
        <v>9345</v>
      </c>
      <c r="E3391" s="4" t="s">
        <v>5661</v>
      </c>
      <c r="F3391" s="5">
        <v>40854</v>
      </c>
      <c r="G3391" s="5">
        <v>40884</v>
      </c>
      <c r="H3391" s="4" t="s">
        <v>40</v>
      </c>
      <c r="I3391" s="6">
        <v>885</v>
      </c>
      <c r="J3391" s="6">
        <v>885</v>
      </c>
      <c r="K3391" s="37" t="s">
        <v>5018</v>
      </c>
      <c r="L3391" s="119"/>
      <c r="M3391" s="3"/>
    </row>
    <row r="3392" spans="1:13" s="4" customFormat="1" ht="14.25" customHeight="1" x14ac:dyDescent="0.25">
      <c r="A3392" s="4" t="s">
        <v>5662</v>
      </c>
      <c r="B3392" s="4" t="s">
        <v>38</v>
      </c>
      <c r="C3392" s="4" t="s">
        <v>14</v>
      </c>
      <c r="D3392" s="35">
        <v>9347</v>
      </c>
      <c r="E3392" s="4" t="s">
        <v>5663</v>
      </c>
      <c r="F3392" s="5">
        <v>40875</v>
      </c>
      <c r="G3392" s="5">
        <v>40875</v>
      </c>
      <c r="H3392" s="4" t="s">
        <v>40</v>
      </c>
      <c r="I3392" s="6">
        <v>297.5</v>
      </c>
      <c r="J3392" s="6">
        <v>297.5</v>
      </c>
      <c r="K3392" s="37" t="s">
        <v>5018</v>
      </c>
      <c r="L3392" s="119"/>
      <c r="M3392" s="3"/>
    </row>
    <row r="3393" spans="1:13" s="4" customFormat="1" ht="14.25" customHeight="1" x14ac:dyDescent="0.25">
      <c r="A3393" s="4" t="s">
        <v>5664</v>
      </c>
      <c r="B3393" s="4" t="s">
        <v>38</v>
      </c>
      <c r="C3393" s="4" t="s">
        <v>14</v>
      </c>
      <c r="D3393" s="35">
        <v>9349</v>
      </c>
      <c r="E3393" s="4" t="s">
        <v>5665</v>
      </c>
      <c r="F3393" s="5">
        <v>40695</v>
      </c>
      <c r="G3393" s="5">
        <v>40908</v>
      </c>
      <c r="H3393" s="4" t="s">
        <v>40</v>
      </c>
      <c r="I3393" s="6">
        <v>1208.5999999999999</v>
      </c>
      <c r="J3393" s="6">
        <v>1208.5999999999999</v>
      </c>
      <c r="K3393" s="37" t="s">
        <v>5018</v>
      </c>
      <c r="L3393" s="119"/>
      <c r="M3393" s="3"/>
    </row>
    <row r="3394" spans="1:13" s="4" customFormat="1" ht="14.25" customHeight="1" x14ac:dyDescent="0.25">
      <c r="A3394" s="4" t="s">
        <v>5666</v>
      </c>
      <c r="B3394" s="4" t="s">
        <v>38</v>
      </c>
      <c r="C3394" s="4" t="s">
        <v>14</v>
      </c>
      <c r="D3394" s="35">
        <v>9356</v>
      </c>
      <c r="E3394" s="4" t="s">
        <v>5256</v>
      </c>
      <c r="F3394" s="5">
        <v>40683</v>
      </c>
      <c r="G3394" s="5">
        <v>40690</v>
      </c>
      <c r="H3394" s="4" t="s">
        <v>40</v>
      </c>
      <c r="I3394" s="6">
        <v>281</v>
      </c>
      <c r="J3394" s="6">
        <v>281</v>
      </c>
      <c r="K3394" s="37" t="s">
        <v>5018</v>
      </c>
      <c r="L3394" s="119"/>
      <c r="M3394" s="3"/>
    </row>
    <row r="3395" spans="1:13" s="4" customFormat="1" ht="14.25" customHeight="1" x14ac:dyDescent="0.25">
      <c r="A3395" s="4" t="s">
        <v>5667</v>
      </c>
      <c r="B3395" s="4" t="s">
        <v>38</v>
      </c>
      <c r="C3395" s="4" t="s">
        <v>14</v>
      </c>
      <c r="D3395" s="35">
        <v>9357</v>
      </c>
      <c r="E3395" s="4" t="s">
        <v>5540</v>
      </c>
      <c r="F3395" s="5">
        <v>40679</v>
      </c>
      <c r="G3395" s="5">
        <v>40679</v>
      </c>
      <c r="H3395" s="4" t="s">
        <v>40</v>
      </c>
      <c r="I3395" s="6">
        <v>877</v>
      </c>
      <c r="J3395" s="6">
        <v>877</v>
      </c>
      <c r="K3395" s="37" t="s">
        <v>5018</v>
      </c>
      <c r="L3395" s="119"/>
      <c r="M3395" s="3"/>
    </row>
    <row r="3396" spans="1:13" s="4" customFormat="1" ht="14.25" customHeight="1" x14ac:dyDescent="0.25">
      <c r="A3396" s="4" t="s">
        <v>5668</v>
      </c>
      <c r="B3396" s="4" t="s">
        <v>38</v>
      </c>
      <c r="C3396" s="4" t="s">
        <v>14</v>
      </c>
      <c r="D3396" s="35">
        <v>9358</v>
      </c>
      <c r="E3396" s="4" t="s">
        <v>5669</v>
      </c>
      <c r="F3396" s="5">
        <v>40837</v>
      </c>
      <c r="G3396" s="5">
        <v>40837</v>
      </c>
      <c r="H3396" s="4" t="s">
        <v>40</v>
      </c>
      <c r="I3396" s="6">
        <v>399</v>
      </c>
      <c r="J3396" s="6">
        <v>399</v>
      </c>
      <c r="K3396" s="37" t="s">
        <v>5018</v>
      </c>
      <c r="L3396" s="119"/>
      <c r="M3396" s="3"/>
    </row>
    <row r="3397" spans="1:13" s="4" customFormat="1" ht="14.25" customHeight="1" x14ac:dyDescent="0.25">
      <c r="A3397" s="4" t="s">
        <v>5670</v>
      </c>
      <c r="B3397" s="4" t="s">
        <v>38</v>
      </c>
      <c r="C3397" s="4" t="s">
        <v>14</v>
      </c>
      <c r="D3397" s="35">
        <v>9359</v>
      </c>
      <c r="E3397" s="4" t="s">
        <v>5540</v>
      </c>
      <c r="F3397" s="5">
        <v>40868</v>
      </c>
      <c r="G3397" s="5">
        <v>40868</v>
      </c>
      <c r="H3397" s="4" t="s">
        <v>40</v>
      </c>
      <c r="I3397" s="6">
        <v>250</v>
      </c>
      <c r="J3397" s="6">
        <v>250</v>
      </c>
      <c r="K3397" s="37" t="s">
        <v>5018</v>
      </c>
      <c r="L3397" s="119"/>
      <c r="M3397" s="3"/>
    </row>
    <row r="3398" spans="1:13" s="4" customFormat="1" ht="14.25" customHeight="1" x14ac:dyDescent="0.25">
      <c r="A3398" s="4" t="s">
        <v>5671</v>
      </c>
      <c r="B3398" s="4" t="s">
        <v>38</v>
      </c>
      <c r="C3398" s="4" t="s">
        <v>14</v>
      </c>
      <c r="D3398" s="35">
        <v>9361</v>
      </c>
      <c r="E3398" s="4" t="s">
        <v>5672</v>
      </c>
      <c r="F3398" s="5">
        <v>40544</v>
      </c>
      <c r="G3398" s="5">
        <v>40908</v>
      </c>
      <c r="H3398" s="4" t="s">
        <v>40</v>
      </c>
      <c r="I3398" s="6">
        <v>45930.98</v>
      </c>
      <c r="J3398" s="6">
        <v>45930.98</v>
      </c>
      <c r="K3398" s="37" t="s">
        <v>5018</v>
      </c>
      <c r="L3398" s="119"/>
      <c r="M3398" s="3"/>
    </row>
    <row r="3399" spans="1:13" s="4" customFormat="1" ht="14.25" customHeight="1" x14ac:dyDescent="0.25">
      <c r="A3399" s="4" t="s">
        <v>5673</v>
      </c>
      <c r="B3399" s="4" t="s">
        <v>183</v>
      </c>
      <c r="C3399" s="4" t="s">
        <v>14</v>
      </c>
      <c r="D3399" s="35">
        <v>10657</v>
      </c>
      <c r="E3399" s="4" t="s">
        <v>5674</v>
      </c>
      <c r="F3399" s="5">
        <v>41022</v>
      </c>
      <c r="G3399" s="5">
        <v>41274</v>
      </c>
      <c r="H3399" s="4" t="s">
        <v>40</v>
      </c>
      <c r="I3399" s="6">
        <v>4687.5</v>
      </c>
      <c r="J3399" s="6">
        <v>4687.5</v>
      </c>
      <c r="K3399" s="37" t="s">
        <v>5018</v>
      </c>
      <c r="L3399" s="119"/>
      <c r="M3399" s="3"/>
    </row>
    <row r="3400" spans="1:13" s="4" customFormat="1" ht="14.25" customHeight="1" x14ac:dyDescent="0.25">
      <c r="A3400" s="4" t="s">
        <v>5675</v>
      </c>
      <c r="B3400" s="4" t="s">
        <v>190</v>
      </c>
      <c r="C3400" s="4" t="s">
        <v>14</v>
      </c>
      <c r="D3400" s="35">
        <v>10658</v>
      </c>
      <c r="E3400" s="4" t="s">
        <v>5676</v>
      </c>
      <c r="F3400" s="5">
        <v>41023</v>
      </c>
      <c r="G3400" s="5">
        <v>41274</v>
      </c>
      <c r="H3400" s="4" t="s">
        <v>40</v>
      </c>
      <c r="I3400" s="6">
        <v>57879.68</v>
      </c>
      <c r="J3400" s="6">
        <v>28939.84</v>
      </c>
      <c r="K3400" s="37" t="s">
        <v>5018</v>
      </c>
      <c r="L3400" s="119"/>
      <c r="M3400" s="3"/>
    </row>
    <row r="3401" spans="1:13" s="4" customFormat="1" ht="14.25" customHeight="1" x14ac:dyDescent="0.25">
      <c r="A3401" s="4" t="s">
        <v>5677</v>
      </c>
      <c r="B3401" s="4" t="s">
        <v>183</v>
      </c>
      <c r="C3401" s="4" t="s">
        <v>14</v>
      </c>
      <c r="D3401" s="35">
        <v>10659</v>
      </c>
      <c r="E3401" s="4" t="s">
        <v>5678</v>
      </c>
      <c r="F3401" s="5">
        <v>41022</v>
      </c>
      <c r="G3401" s="5">
        <v>41274</v>
      </c>
      <c r="H3401" s="4" t="s">
        <v>40</v>
      </c>
      <c r="I3401" s="6">
        <v>5625</v>
      </c>
      <c r="J3401" s="6">
        <v>5625</v>
      </c>
      <c r="K3401" s="37" t="s">
        <v>5018</v>
      </c>
      <c r="L3401" s="119"/>
      <c r="M3401" s="3"/>
    </row>
    <row r="3402" spans="1:13" s="4" customFormat="1" ht="14.25" customHeight="1" x14ac:dyDescent="0.25">
      <c r="A3402" s="4" t="s">
        <v>5679</v>
      </c>
      <c r="B3402" s="4" t="s">
        <v>13</v>
      </c>
      <c r="C3402" s="4" t="s">
        <v>14</v>
      </c>
      <c r="D3402" s="35">
        <v>10660</v>
      </c>
      <c r="E3402" s="4" t="s">
        <v>5680</v>
      </c>
      <c r="F3402" s="5">
        <v>40995</v>
      </c>
      <c r="G3402" s="5">
        <v>41274</v>
      </c>
      <c r="H3402" s="4" t="s">
        <v>40</v>
      </c>
      <c r="I3402" s="6">
        <v>40000</v>
      </c>
      <c r="J3402" s="6">
        <v>20000</v>
      </c>
      <c r="K3402" s="37" t="s">
        <v>5018</v>
      </c>
      <c r="L3402" s="119"/>
      <c r="M3402" s="3"/>
    </row>
    <row r="3403" spans="1:13" s="4" customFormat="1" ht="14.25" customHeight="1" x14ac:dyDescent="0.25">
      <c r="A3403" s="4" t="s">
        <v>5681</v>
      </c>
      <c r="B3403" s="4" t="s">
        <v>190</v>
      </c>
      <c r="C3403" s="4" t="s">
        <v>14</v>
      </c>
      <c r="D3403" s="35">
        <v>10661</v>
      </c>
      <c r="E3403" s="4" t="s">
        <v>5682</v>
      </c>
      <c r="F3403" s="5">
        <v>41275</v>
      </c>
      <c r="G3403" s="5">
        <v>41639</v>
      </c>
      <c r="H3403" s="4" t="s">
        <v>40</v>
      </c>
      <c r="I3403" s="6">
        <v>74281.740000000005</v>
      </c>
      <c r="J3403" s="6">
        <f>51769.12+7196.75</f>
        <v>58965.87</v>
      </c>
      <c r="K3403" s="37" t="s">
        <v>5018</v>
      </c>
      <c r="L3403" s="119"/>
      <c r="M3403" s="3"/>
    </row>
    <row r="3404" spans="1:13" s="4" customFormat="1" ht="14.25" customHeight="1" x14ac:dyDescent="0.25">
      <c r="A3404" s="4" t="s">
        <v>5685</v>
      </c>
      <c r="B3404" s="4" t="s">
        <v>183</v>
      </c>
      <c r="C3404" s="4" t="s">
        <v>14</v>
      </c>
      <c r="D3404" s="35">
        <v>10663</v>
      </c>
      <c r="E3404" s="4" t="s">
        <v>5686</v>
      </c>
      <c r="F3404" s="5">
        <v>41176</v>
      </c>
      <c r="G3404" s="5">
        <v>41274</v>
      </c>
      <c r="H3404" s="4" t="s">
        <v>40</v>
      </c>
      <c r="I3404" s="6">
        <v>45000</v>
      </c>
      <c r="J3404" s="6">
        <v>45000</v>
      </c>
      <c r="K3404" s="37" t="s">
        <v>5018</v>
      </c>
      <c r="L3404" s="119"/>
      <c r="M3404" s="3"/>
    </row>
    <row r="3405" spans="1:13" s="4" customFormat="1" ht="14.25" customHeight="1" x14ac:dyDescent="0.25">
      <c r="A3405" s="4" t="s">
        <v>5687</v>
      </c>
      <c r="B3405" s="4" t="s">
        <v>190</v>
      </c>
      <c r="C3405" s="4" t="s">
        <v>14</v>
      </c>
      <c r="D3405" s="35">
        <v>10664</v>
      </c>
      <c r="E3405" s="4" t="s">
        <v>5134</v>
      </c>
      <c r="F3405" s="5">
        <v>41022</v>
      </c>
      <c r="G3405" s="5">
        <v>41274</v>
      </c>
      <c r="H3405" s="4" t="s">
        <v>40</v>
      </c>
      <c r="I3405" s="6">
        <v>15000</v>
      </c>
      <c r="J3405" s="6">
        <v>15000</v>
      </c>
      <c r="K3405" s="37" t="s">
        <v>5018</v>
      </c>
      <c r="L3405" s="119"/>
      <c r="M3405" s="3"/>
    </row>
    <row r="3406" spans="1:13" s="4" customFormat="1" ht="14.25" customHeight="1" x14ac:dyDescent="0.25">
      <c r="A3406" s="4" t="s">
        <v>5688</v>
      </c>
      <c r="B3406" s="4" t="s">
        <v>183</v>
      </c>
      <c r="C3406" s="4" t="s">
        <v>14</v>
      </c>
      <c r="D3406" s="35">
        <v>10665</v>
      </c>
      <c r="E3406" s="4" t="s">
        <v>5689</v>
      </c>
      <c r="F3406" s="5">
        <v>41253</v>
      </c>
      <c r="G3406" s="5">
        <v>41639</v>
      </c>
      <c r="H3406" s="4" t="s">
        <v>40</v>
      </c>
      <c r="I3406" s="6">
        <f>3750+3750</f>
        <v>7500</v>
      </c>
      <c r="J3406" s="6">
        <f>3750+3750</f>
        <v>7500</v>
      </c>
      <c r="K3406" s="37" t="s">
        <v>5018</v>
      </c>
      <c r="L3406" s="119"/>
      <c r="M3406" s="3"/>
    </row>
    <row r="3407" spans="1:13" s="4" customFormat="1" ht="14.25" customHeight="1" x14ac:dyDescent="0.25">
      <c r="A3407" s="4" t="s">
        <v>5690</v>
      </c>
      <c r="B3407" s="4" t="s">
        <v>183</v>
      </c>
      <c r="C3407" s="4" t="s">
        <v>14</v>
      </c>
      <c r="D3407" s="35">
        <v>10667</v>
      </c>
      <c r="E3407" s="4" t="s">
        <v>5691</v>
      </c>
      <c r="F3407" s="5">
        <v>41022</v>
      </c>
      <c r="G3407" s="5">
        <v>41274</v>
      </c>
      <c r="H3407" s="4" t="s">
        <v>40</v>
      </c>
      <c r="I3407" s="6">
        <v>13125</v>
      </c>
      <c r="J3407" s="6">
        <v>13125</v>
      </c>
      <c r="K3407" s="37" t="s">
        <v>5018</v>
      </c>
      <c r="L3407" s="119"/>
      <c r="M3407" s="3"/>
    </row>
    <row r="3408" spans="1:13" s="4" customFormat="1" ht="14.25" customHeight="1" x14ac:dyDescent="0.25">
      <c r="A3408" s="4" t="s">
        <v>5692</v>
      </c>
      <c r="B3408" s="4" t="s">
        <v>190</v>
      </c>
      <c r="C3408" s="4" t="s">
        <v>14</v>
      </c>
      <c r="D3408" s="35">
        <v>10668</v>
      </c>
      <c r="E3408" s="4" t="s">
        <v>5693</v>
      </c>
      <c r="F3408" s="5">
        <v>41176</v>
      </c>
      <c r="G3408" s="5">
        <v>41639</v>
      </c>
      <c r="H3408" s="4" t="s">
        <v>40</v>
      </c>
      <c r="I3408" s="6">
        <v>17125</v>
      </c>
      <c r="J3408" s="6">
        <f>5625+5750</f>
        <v>11375</v>
      </c>
      <c r="K3408" s="37" t="s">
        <v>5018</v>
      </c>
      <c r="L3408" s="119"/>
      <c r="M3408" s="3"/>
    </row>
    <row r="3409" spans="1:13" s="4" customFormat="1" ht="14.25" customHeight="1" x14ac:dyDescent="0.25">
      <c r="A3409" s="4" t="s">
        <v>5694</v>
      </c>
      <c r="B3409" s="4" t="s">
        <v>190</v>
      </c>
      <c r="C3409" s="4" t="s">
        <v>14</v>
      </c>
      <c r="D3409" s="35">
        <v>10669</v>
      </c>
      <c r="E3409" s="4" t="s">
        <v>5695</v>
      </c>
      <c r="F3409" s="5">
        <v>41057</v>
      </c>
      <c r="G3409" s="5">
        <v>41639</v>
      </c>
      <c r="H3409" s="4" t="s">
        <v>40</v>
      </c>
      <c r="I3409" s="6">
        <v>7800</v>
      </c>
      <c r="J3409" s="6">
        <f>3900+3900</f>
        <v>7800</v>
      </c>
      <c r="K3409" s="37" t="s">
        <v>5018</v>
      </c>
      <c r="L3409" s="119"/>
      <c r="M3409" s="3"/>
    </row>
    <row r="3410" spans="1:13" s="4" customFormat="1" ht="14.25" customHeight="1" x14ac:dyDescent="0.25">
      <c r="A3410" s="4" t="s">
        <v>5696</v>
      </c>
      <c r="B3410" s="4" t="s">
        <v>183</v>
      </c>
      <c r="C3410" s="4" t="s">
        <v>14</v>
      </c>
      <c r="D3410" s="35">
        <v>10676</v>
      </c>
      <c r="E3410" s="4" t="s">
        <v>5697</v>
      </c>
      <c r="F3410" s="5">
        <v>41255</v>
      </c>
      <c r="G3410" s="5">
        <v>41274</v>
      </c>
      <c r="H3410" s="4" t="s">
        <v>40</v>
      </c>
      <c r="I3410" s="6">
        <v>3623</v>
      </c>
      <c r="J3410" s="6">
        <v>1811.5</v>
      </c>
      <c r="K3410" s="37" t="s">
        <v>5018</v>
      </c>
      <c r="L3410" s="119"/>
      <c r="M3410" s="3"/>
    </row>
    <row r="3411" spans="1:13" s="4" customFormat="1" ht="14.25" customHeight="1" x14ac:dyDescent="0.25">
      <c r="A3411" s="4" t="s">
        <v>5698</v>
      </c>
      <c r="B3411" s="4" t="s">
        <v>38</v>
      </c>
      <c r="C3411" s="4" t="s">
        <v>14</v>
      </c>
      <c r="D3411" s="35">
        <v>10695</v>
      </c>
      <c r="E3411" s="4" t="s">
        <v>5698</v>
      </c>
      <c r="F3411" s="5">
        <v>40909</v>
      </c>
      <c r="G3411" s="5">
        <v>41274</v>
      </c>
      <c r="H3411" s="4" t="s">
        <v>40</v>
      </c>
      <c r="I3411" s="6">
        <v>60420.4</v>
      </c>
      <c r="J3411" s="6">
        <v>60420.4</v>
      </c>
      <c r="K3411" s="37" t="s">
        <v>5018</v>
      </c>
      <c r="L3411" s="119"/>
      <c r="M3411" s="3"/>
    </row>
    <row r="3412" spans="1:13" s="4" customFormat="1" ht="14.25" customHeight="1" x14ac:dyDescent="0.25">
      <c r="A3412" s="4" t="s">
        <v>5699</v>
      </c>
      <c r="B3412" s="4" t="s">
        <v>38</v>
      </c>
      <c r="C3412" s="4" t="s">
        <v>14</v>
      </c>
      <c r="D3412" s="35">
        <v>10696</v>
      </c>
      <c r="E3412" s="4" t="s">
        <v>5700</v>
      </c>
      <c r="F3412" s="5">
        <v>40909</v>
      </c>
      <c r="G3412" s="5">
        <v>41274</v>
      </c>
      <c r="H3412" s="4" t="s">
        <v>40</v>
      </c>
      <c r="I3412" s="6">
        <v>5000</v>
      </c>
      <c r="J3412" s="6">
        <v>5000</v>
      </c>
      <c r="K3412" s="37" t="s">
        <v>5018</v>
      </c>
      <c r="L3412" s="119"/>
      <c r="M3412" s="3"/>
    </row>
    <row r="3413" spans="1:13" s="4" customFormat="1" ht="14.25" customHeight="1" x14ac:dyDescent="0.25">
      <c r="A3413" s="4" t="s">
        <v>5701</v>
      </c>
      <c r="B3413" s="4" t="s">
        <v>38</v>
      </c>
      <c r="C3413" s="4" t="s">
        <v>14</v>
      </c>
      <c r="D3413" s="35">
        <v>10697</v>
      </c>
      <c r="E3413" s="4" t="s">
        <v>5701</v>
      </c>
      <c r="F3413" s="5">
        <v>40909</v>
      </c>
      <c r="G3413" s="5">
        <v>41274</v>
      </c>
      <c r="H3413" s="4" t="s">
        <v>40</v>
      </c>
      <c r="I3413" s="6">
        <v>283.19</v>
      </c>
      <c r="J3413" s="6">
        <v>283.19</v>
      </c>
      <c r="K3413" s="37" t="s">
        <v>5018</v>
      </c>
      <c r="L3413" s="119"/>
      <c r="M3413" s="3"/>
    </row>
    <row r="3414" spans="1:13" s="4" customFormat="1" ht="14.25" customHeight="1" x14ac:dyDescent="0.25">
      <c r="A3414" s="4" t="s">
        <v>5702</v>
      </c>
      <c r="B3414" s="4" t="s">
        <v>38</v>
      </c>
      <c r="C3414" s="4" t="s">
        <v>14</v>
      </c>
      <c r="D3414" s="35">
        <v>10699</v>
      </c>
      <c r="E3414" s="4" t="s">
        <v>5703</v>
      </c>
      <c r="F3414" s="5">
        <v>40909</v>
      </c>
      <c r="G3414" s="5">
        <v>41274</v>
      </c>
      <c r="H3414" s="4" t="s">
        <v>40</v>
      </c>
      <c r="I3414" s="6">
        <v>5000</v>
      </c>
      <c r="J3414" s="6">
        <v>5000</v>
      </c>
      <c r="K3414" s="37" t="s">
        <v>5018</v>
      </c>
      <c r="L3414" s="119"/>
      <c r="M3414" s="3"/>
    </row>
    <row r="3415" spans="1:13" s="4" customFormat="1" ht="14.25" customHeight="1" x14ac:dyDescent="0.25">
      <c r="A3415" s="4" t="s">
        <v>5704</v>
      </c>
      <c r="B3415" s="4" t="s">
        <v>38</v>
      </c>
      <c r="C3415" s="4" t="s">
        <v>14</v>
      </c>
      <c r="D3415" s="35">
        <v>10705</v>
      </c>
      <c r="E3415" s="4" t="s">
        <v>5705</v>
      </c>
      <c r="F3415" s="5">
        <v>40909</v>
      </c>
      <c r="G3415" s="5">
        <v>41273</v>
      </c>
      <c r="H3415" s="4" t="s">
        <v>40</v>
      </c>
      <c r="I3415" s="6">
        <v>600</v>
      </c>
      <c r="J3415" s="6">
        <v>600</v>
      </c>
      <c r="K3415" s="37" t="s">
        <v>5018</v>
      </c>
      <c r="L3415" s="119"/>
      <c r="M3415" s="3"/>
    </row>
    <row r="3416" spans="1:13" s="4" customFormat="1" ht="14.25" customHeight="1" x14ac:dyDescent="0.25">
      <c r="A3416" s="4" t="s">
        <v>5706</v>
      </c>
      <c r="B3416" s="4" t="s">
        <v>38</v>
      </c>
      <c r="C3416" s="4" t="s">
        <v>14</v>
      </c>
      <c r="D3416" s="35">
        <v>10706</v>
      </c>
      <c r="E3416" s="4" t="s">
        <v>5707</v>
      </c>
      <c r="F3416" s="5">
        <v>40909</v>
      </c>
      <c r="G3416" s="5">
        <v>41274</v>
      </c>
      <c r="H3416" s="4" t="s">
        <v>40</v>
      </c>
      <c r="I3416" s="6">
        <v>300</v>
      </c>
      <c r="J3416" s="6">
        <v>300</v>
      </c>
      <c r="K3416" s="37" t="s">
        <v>5018</v>
      </c>
      <c r="L3416" s="119"/>
      <c r="M3416" s="3"/>
    </row>
    <row r="3417" spans="1:13" s="4" customFormat="1" ht="14.25" customHeight="1" x14ac:dyDescent="0.25">
      <c r="A3417" s="4" t="s">
        <v>5708</v>
      </c>
      <c r="B3417" s="4" t="s">
        <v>38</v>
      </c>
      <c r="C3417" s="4" t="s">
        <v>14</v>
      </c>
      <c r="D3417" s="35">
        <v>10710</v>
      </c>
      <c r="E3417" s="4" t="s">
        <v>5240</v>
      </c>
      <c r="F3417" s="5">
        <v>40909</v>
      </c>
      <c r="G3417" s="5">
        <v>41274</v>
      </c>
      <c r="H3417" s="4" t="s">
        <v>40</v>
      </c>
      <c r="I3417" s="6">
        <v>1644.75</v>
      </c>
      <c r="J3417" s="6">
        <v>1644.75</v>
      </c>
      <c r="K3417" s="37" t="s">
        <v>5018</v>
      </c>
      <c r="L3417" s="119"/>
      <c r="M3417" s="3"/>
    </row>
    <row r="3418" spans="1:13" s="4" customFormat="1" ht="14.25" customHeight="1" x14ac:dyDescent="0.25">
      <c r="A3418" s="4" t="s">
        <v>5709</v>
      </c>
      <c r="B3418" s="4" t="s">
        <v>38</v>
      </c>
      <c r="C3418" s="4" t="s">
        <v>14</v>
      </c>
      <c r="D3418" s="35">
        <v>10711</v>
      </c>
      <c r="E3418" s="4" t="s">
        <v>5240</v>
      </c>
      <c r="F3418" s="5">
        <v>40909</v>
      </c>
      <c r="G3418" s="5">
        <v>41274</v>
      </c>
      <c r="H3418" s="4" t="s">
        <v>40</v>
      </c>
      <c r="I3418" s="6">
        <v>2412</v>
      </c>
      <c r="J3418" s="6">
        <v>2412</v>
      </c>
      <c r="K3418" s="37" t="s">
        <v>5018</v>
      </c>
      <c r="L3418" s="119"/>
      <c r="M3418" s="3"/>
    </row>
    <row r="3419" spans="1:13" s="4" customFormat="1" ht="14.25" customHeight="1" x14ac:dyDescent="0.25">
      <c r="A3419" s="4" t="s">
        <v>5710</v>
      </c>
      <c r="B3419" s="4" t="s">
        <v>38</v>
      </c>
      <c r="C3419" s="4" t="s">
        <v>14</v>
      </c>
      <c r="D3419" s="35">
        <v>10714</v>
      </c>
      <c r="E3419" s="4" t="s">
        <v>5240</v>
      </c>
      <c r="F3419" s="5">
        <v>40909</v>
      </c>
      <c r="G3419" s="5">
        <v>41274</v>
      </c>
      <c r="H3419" s="4" t="s">
        <v>40</v>
      </c>
      <c r="I3419" s="6">
        <v>421.25</v>
      </c>
      <c r="J3419" s="6">
        <v>421.25</v>
      </c>
      <c r="K3419" s="37" t="s">
        <v>5018</v>
      </c>
      <c r="L3419" s="119"/>
      <c r="M3419" s="3"/>
    </row>
    <row r="3420" spans="1:13" s="4" customFormat="1" ht="14.25" customHeight="1" x14ac:dyDescent="0.25">
      <c r="A3420" s="4" t="s">
        <v>5711</v>
      </c>
      <c r="B3420" s="4" t="s">
        <v>38</v>
      </c>
      <c r="C3420" s="4" t="s">
        <v>14</v>
      </c>
      <c r="D3420" s="35">
        <v>10781</v>
      </c>
      <c r="E3420" s="4" t="s">
        <v>5712</v>
      </c>
      <c r="F3420" s="5">
        <v>40909</v>
      </c>
      <c r="G3420" s="5">
        <v>41274</v>
      </c>
      <c r="H3420" s="4" t="s">
        <v>40</v>
      </c>
      <c r="I3420" s="6">
        <v>255</v>
      </c>
      <c r="J3420" s="6">
        <v>255</v>
      </c>
      <c r="K3420" s="37" t="s">
        <v>5018</v>
      </c>
      <c r="L3420" s="119"/>
      <c r="M3420" s="3"/>
    </row>
    <row r="3421" spans="1:13" s="4" customFormat="1" ht="14.25" customHeight="1" x14ac:dyDescent="0.25">
      <c r="A3421" s="4" t="s">
        <v>5713</v>
      </c>
      <c r="B3421" s="4" t="s">
        <v>38</v>
      </c>
      <c r="C3421" s="4" t="s">
        <v>14</v>
      </c>
      <c r="D3421" s="35">
        <v>10782</v>
      </c>
      <c r="E3421" s="4" t="s">
        <v>5240</v>
      </c>
      <c r="F3421" s="5">
        <v>40909</v>
      </c>
      <c r="G3421" s="5">
        <v>41274</v>
      </c>
      <c r="H3421" s="4" t="s">
        <v>40</v>
      </c>
      <c r="I3421" s="6">
        <v>2091.5</v>
      </c>
      <c r="J3421" s="6">
        <v>2091.5</v>
      </c>
      <c r="K3421" s="37" t="s">
        <v>5018</v>
      </c>
      <c r="L3421" s="119"/>
      <c r="M3421" s="3"/>
    </row>
    <row r="3422" spans="1:13" s="4" customFormat="1" ht="14.25" customHeight="1" x14ac:dyDescent="0.25">
      <c r="A3422" s="4" t="s">
        <v>5714</v>
      </c>
      <c r="B3422" s="4" t="s">
        <v>38</v>
      </c>
      <c r="C3422" s="4" t="s">
        <v>14</v>
      </c>
      <c r="D3422" s="35">
        <v>10784</v>
      </c>
      <c r="E3422" s="4" t="s">
        <v>5712</v>
      </c>
      <c r="F3422" s="5">
        <v>40909</v>
      </c>
      <c r="G3422" s="5">
        <v>41274</v>
      </c>
      <c r="H3422" s="4" t="s">
        <v>40</v>
      </c>
      <c r="I3422" s="6">
        <v>255</v>
      </c>
      <c r="J3422" s="6">
        <v>255</v>
      </c>
      <c r="K3422" s="37" t="s">
        <v>5018</v>
      </c>
      <c r="L3422" s="119"/>
      <c r="M3422" s="3"/>
    </row>
    <row r="3423" spans="1:13" s="4" customFormat="1" ht="14.25" customHeight="1" x14ac:dyDescent="0.25">
      <c r="A3423" s="4" t="s">
        <v>5715</v>
      </c>
      <c r="B3423" s="4" t="s">
        <v>38</v>
      </c>
      <c r="C3423" s="4" t="s">
        <v>14</v>
      </c>
      <c r="D3423" s="35">
        <v>10786</v>
      </c>
      <c r="E3423" s="4" t="s">
        <v>5240</v>
      </c>
      <c r="F3423" s="5">
        <v>40909</v>
      </c>
      <c r="G3423" s="5">
        <v>41274</v>
      </c>
      <c r="H3423" s="4" t="s">
        <v>40</v>
      </c>
      <c r="I3423" s="6">
        <v>1337.5</v>
      </c>
      <c r="J3423" s="6">
        <v>1337.5</v>
      </c>
      <c r="K3423" s="37" t="s">
        <v>5018</v>
      </c>
      <c r="L3423" s="119"/>
      <c r="M3423" s="3"/>
    </row>
    <row r="3424" spans="1:13" s="4" customFormat="1" ht="14.25" customHeight="1" x14ac:dyDescent="0.25">
      <c r="A3424" s="4" t="s">
        <v>5716</v>
      </c>
      <c r="B3424" s="4" t="s">
        <v>38</v>
      </c>
      <c r="C3424" s="4" t="s">
        <v>14</v>
      </c>
      <c r="D3424" s="35">
        <v>10787</v>
      </c>
      <c r="E3424" s="4" t="s">
        <v>5717</v>
      </c>
      <c r="F3424" s="5">
        <v>40909</v>
      </c>
      <c r="G3424" s="5">
        <v>41274</v>
      </c>
      <c r="H3424" s="4" t="s">
        <v>40</v>
      </c>
      <c r="I3424" s="6">
        <v>241.71</v>
      </c>
      <c r="J3424" s="6">
        <v>241.71</v>
      </c>
      <c r="K3424" s="37" t="s">
        <v>5018</v>
      </c>
      <c r="L3424" s="119"/>
      <c r="M3424" s="3"/>
    </row>
    <row r="3425" spans="1:13" s="4" customFormat="1" ht="14.25" customHeight="1" x14ac:dyDescent="0.25">
      <c r="A3425" s="4" t="s">
        <v>5718</v>
      </c>
      <c r="B3425" s="4" t="s">
        <v>38</v>
      </c>
      <c r="C3425" s="4" t="s">
        <v>14</v>
      </c>
      <c r="D3425" s="35">
        <v>10788</v>
      </c>
      <c r="E3425" s="4" t="s">
        <v>5719</v>
      </c>
      <c r="F3425" s="5">
        <v>40909</v>
      </c>
      <c r="G3425" s="5">
        <v>41274</v>
      </c>
      <c r="H3425" s="4" t="s">
        <v>40</v>
      </c>
      <c r="I3425" s="6">
        <v>275</v>
      </c>
      <c r="J3425" s="6">
        <v>275</v>
      </c>
      <c r="K3425" s="37" t="s">
        <v>5018</v>
      </c>
      <c r="L3425" s="119"/>
      <c r="M3425" s="3"/>
    </row>
    <row r="3426" spans="1:13" s="4" customFormat="1" ht="14.25" customHeight="1" x14ac:dyDescent="0.25">
      <c r="A3426" s="4" t="s">
        <v>5720</v>
      </c>
      <c r="B3426" s="4" t="s">
        <v>38</v>
      </c>
      <c r="C3426" s="4" t="s">
        <v>14</v>
      </c>
      <c r="D3426" s="35">
        <v>10789</v>
      </c>
      <c r="E3426" s="4" t="s">
        <v>5721</v>
      </c>
      <c r="F3426" s="5">
        <v>40909</v>
      </c>
      <c r="G3426" s="5">
        <v>41274</v>
      </c>
      <c r="H3426" s="4" t="s">
        <v>40</v>
      </c>
      <c r="I3426" s="6">
        <v>125</v>
      </c>
      <c r="J3426" s="6">
        <v>125</v>
      </c>
      <c r="K3426" s="37" t="s">
        <v>5018</v>
      </c>
      <c r="L3426" s="119"/>
      <c r="M3426" s="3"/>
    </row>
    <row r="3427" spans="1:13" s="4" customFormat="1" ht="14.25" customHeight="1" x14ac:dyDescent="0.25">
      <c r="A3427" s="4" t="s">
        <v>5722</v>
      </c>
      <c r="B3427" s="4" t="s">
        <v>38</v>
      </c>
      <c r="C3427" s="4" t="s">
        <v>14</v>
      </c>
      <c r="D3427" s="35">
        <v>10790</v>
      </c>
      <c r="E3427" s="4" t="s">
        <v>5723</v>
      </c>
      <c r="F3427" s="5">
        <v>40909</v>
      </c>
      <c r="G3427" s="5">
        <v>41274</v>
      </c>
      <c r="H3427" s="4" t="s">
        <v>40</v>
      </c>
      <c r="I3427" s="6">
        <v>459.6</v>
      </c>
      <c r="J3427" s="6">
        <v>459.6</v>
      </c>
      <c r="K3427" s="37" t="s">
        <v>5018</v>
      </c>
      <c r="L3427" s="119"/>
      <c r="M3427" s="3"/>
    </row>
    <row r="3428" spans="1:13" s="4" customFormat="1" ht="14.25" customHeight="1" x14ac:dyDescent="0.25">
      <c r="A3428" s="4" t="s">
        <v>5724</v>
      </c>
      <c r="B3428" s="4" t="s">
        <v>38</v>
      </c>
      <c r="C3428" s="4" t="s">
        <v>14</v>
      </c>
      <c r="D3428" s="35">
        <v>10792</v>
      </c>
      <c r="E3428" s="4" t="s">
        <v>5725</v>
      </c>
      <c r="F3428" s="5">
        <v>40909</v>
      </c>
      <c r="G3428" s="5">
        <v>41274</v>
      </c>
      <c r="H3428" s="4" t="s">
        <v>40</v>
      </c>
      <c r="I3428" s="6">
        <v>532.20000000000005</v>
      </c>
      <c r="J3428" s="6">
        <v>532.20000000000005</v>
      </c>
      <c r="K3428" s="37" t="s">
        <v>5018</v>
      </c>
      <c r="L3428" s="119"/>
      <c r="M3428" s="3"/>
    </row>
    <row r="3429" spans="1:13" s="4" customFormat="1" ht="14.25" customHeight="1" x14ac:dyDescent="0.25">
      <c r="A3429" s="4" t="s">
        <v>5726</v>
      </c>
      <c r="B3429" s="4" t="s">
        <v>38</v>
      </c>
      <c r="C3429" s="4" t="s">
        <v>14</v>
      </c>
      <c r="D3429" s="35">
        <v>10793</v>
      </c>
      <c r="E3429" s="4" t="s">
        <v>5727</v>
      </c>
      <c r="F3429" s="5">
        <v>40909</v>
      </c>
      <c r="G3429" s="5">
        <v>41274</v>
      </c>
      <c r="H3429" s="4" t="s">
        <v>40</v>
      </c>
      <c r="I3429" s="6">
        <v>262.25</v>
      </c>
      <c r="J3429" s="6">
        <v>262.25</v>
      </c>
      <c r="K3429" s="37" t="s">
        <v>5018</v>
      </c>
      <c r="L3429" s="119"/>
      <c r="M3429" s="3"/>
    </row>
    <row r="3430" spans="1:13" s="4" customFormat="1" ht="14.25" customHeight="1" x14ac:dyDescent="0.25">
      <c r="A3430" s="4" t="s">
        <v>5728</v>
      </c>
      <c r="B3430" s="4" t="s">
        <v>38</v>
      </c>
      <c r="C3430" s="4" t="s">
        <v>14</v>
      </c>
      <c r="D3430" s="35">
        <v>10794</v>
      </c>
      <c r="E3430" s="4" t="s">
        <v>5729</v>
      </c>
      <c r="F3430" s="5">
        <v>40909</v>
      </c>
      <c r="G3430" s="5">
        <v>41274</v>
      </c>
      <c r="H3430" s="4" t="s">
        <v>40</v>
      </c>
      <c r="I3430" s="6">
        <v>474.7</v>
      </c>
      <c r="J3430" s="6">
        <v>474.7</v>
      </c>
      <c r="K3430" s="37" t="s">
        <v>5018</v>
      </c>
      <c r="L3430" s="119"/>
      <c r="M3430" s="3"/>
    </row>
    <row r="3431" spans="1:13" s="4" customFormat="1" ht="14.25" customHeight="1" x14ac:dyDescent="0.25">
      <c r="A3431" s="4" t="s">
        <v>5730</v>
      </c>
      <c r="B3431" s="4" t="s">
        <v>38</v>
      </c>
      <c r="C3431" s="4" t="s">
        <v>14</v>
      </c>
      <c r="D3431" s="35">
        <v>10796</v>
      </c>
      <c r="E3431" s="4" t="s">
        <v>5731</v>
      </c>
      <c r="F3431" s="5">
        <v>40909</v>
      </c>
      <c r="G3431" s="5">
        <v>41274</v>
      </c>
      <c r="H3431" s="4" t="s">
        <v>40</v>
      </c>
      <c r="I3431" s="6">
        <v>315</v>
      </c>
      <c r="J3431" s="6">
        <v>315</v>
      </c>
      <c r="K3431" s="37" t="s">
        <v>5018</v>
      </c>
      <c r="L3431" s="119"/>
      <c r="M3431" s="3"/>
    </row>
    <row r="3432" spans="1:13" s="4" customFormat="1" ht="14.25" customHeight="1" x14ac:dyDescent="0.25">
      <c r="A3432" s="4" t="s">
        <v>5732</v>
      </c>
      <c r="B3432" s="4" t="s">
        <v>38</v>
      </c>
      <c r="C3432" s="4" t="s">
        <v>14</v>
      </c>
      <c r="D3432" s="35">
        <v>10797</v>
      </c>
      <c r="E3432" s="4" t="s">
        <v>5733</v>
      </c>
      <c r="F3432" s="5">
        <v>40909</v>
      </c>
      <c r="G3432" s="5">
        <v>41274</v>
      </c>
      <c r="H3432" s="4" t="s">
        <v>40</v>
      </c>
      <c r="I3432" s="6">
        <v>562.25</v>
      </c>
      <c r="J3432" s="6">
        <v>562.25</v>
      </c>
      <c r="K3432" s="37" t="s">
        <v>5018</v>
      </c>
      <c r="L3432" s="119"/>
      <c r="M3432" s="3"/>
    </row>
    <row r="3433" spans="1:13" s="4" customFormat="1" ht="14.25" customHeight="1" x14ac:dyDescent="0.25">
      <c r="A3433" s="4" t="s">
        <v>5734</v>
      </c>
      <c r="B3433" s="4" t="s">
        <v>38</v>
      </c>
      <c r="C3433" s="4" t="s">
        <v>14</v>
      </c>
      <c r="D3433" s="35">
        <v>10799</v>
      </c>
      <c r="E3433" s="4" t="s">
        <v>5735</v>
      </c>
      <c r="F3433" s="5">
        <v>40909</v>
      </c>
      <c r="G3433" s="5">
        <v>41274</v>
      </c>
      <c r="H3433" s="4" t="s">
        <v>40</v>
      </c>
      <c r="I3433" s="6">
        <v>649.70000000000005</v>
      </c>
      <c r="J3433" s="6">
        <v>649.70000000000005</v>
      </c>
      <c r="K3433" s="37" t="s">
        <v>5018</v>
      </c>
      <c r="L3433" s="119"/>
      <c r="M3433" s="3"/>
    </row>
    <row r="3434" spans="1:13" s="4" customFormat="1" ht="14.25" customHeight="1" x14ac:dyDescent="0.25">
      <c r="A3434" s="4" t="s">
        <v>5736</v>
      </c>
      <c r="B3434" s="4" t="s">
        <v>38</v>
      </c>
      <c r="C3434" s="4" t="s">
        <v>14</v>
      </c>
      <c r="D3434" s="35">
        <v>10808</v>
      </c>
      <c r="E3434" s="4" t="s">
        <v>5737</v>
      </c>
      <c r="F3434" s="5">
        <v>40909</v>
      </c>
      <c r="G3434" s="5">
        <v>41274</v>
      </c>
      <c r="H3434" s="4" t="s">
        <v>40</v>
      </c>
      <c r="I3434" s="6">
        <v>411.85</v>
      </c>
      <c r="J3434" s="6">
        <v>411.85</v>
      </c>
      <c r="K3434" s="37" t="s">
        <v>5018</v>
      </c>
      <c r="L3434" s="119"/>
      <c r="M3434" s="3"/>
    </row>
    <row r="3435" spans="1:13" s="4" customFormat="1" ht="14.25" customHeight="1" x14ac:dyDescent="0.25">
      <c r="A3435" s="4" t="s">
        <v>5738</v>
      </c>
      <c r="B3435" s="4" t="s">
        <v>38</v>
      </c>
      <c r="C3435" s="4" t="s">
        <v>14</v>
      </c>
      <c r="D3435" s="35">
        <v>10809</v>
      </c>
      <c r="E3435" s="4" t="s">
        <v>5739</v>
      </c>
      <c r="F3435" s="5">
        <v>40909</v>
      </c>
      <c r="G3435" s="5">
        <v>41274</v>
      </c>
      <c r="H3435" s="4" t="s">
        <v>40</v>
      </c>
      <c r="I3435" s="6">
        <v>375</v>
      </c>
      <c r="J3435" s="6">
        <v>375</v>
      </c>
      <c r="K3435" s="37" t="s">
        <v>5018</v>
      </c>
      <c r="L3435" s="119"/>
      <c r="M3435" s="3"/>
    </row>
    <row r="3436" spans="1:13" s="4" customFormat="1" ht="14.25" customHeight="1" x14ac:dyDescent="0.25">
      <c r="A3436" s="4" t="s">
        <v>5740</v>
      </c>
      <c r="B3436" s="4" t="s">
        <v>38</v>
      </c>
      <c r="C3436" s="4" t="s">
        <v>14</v>
      </c>
      <c r="D3436" s="35">
        <v>10810</v>
      </c>
      <c r="E3436" s="4" t="s">
        <v>5741</v>
      </c>
      <c r="F3436" s="5">
        <v>40909</v>
      </c>
      <c r="G3436" s="5">
        <v>41274</v>
      </c>
      <c r="H3436" s="4" t="s">
        <v>40</v>
      </c>
      <c r="I3436" s="6">
        <v>337.5</v>
      </c>
      <c r="J3436" s="6">
        <v>337.5</v>
      </c>
      <c r="K3436" s="37" t="s">
        <v>5018</v>
      </c>
      <c r="L3436" s="119"/>
      <c r="M3436" s="3"/>
    </row>
    <row r="3437" spans="1:13" s="4" customFormat="1" ht="14.25" customHeight="1" x14ac:dyDescent="0.25">
      <c r="A3437" s="4" t="s">
        <v>5742</v>
      </c>
      <c r="B3437" s="4" t="s">
        <v>38</v>
      </c>
      <c r="C3437" s="4" t="s">
        <v>14</v>
      </c>
      <c r="D3437" s="35">
        <v>10811</v>
      </c>
      <c r="E3437" s="4" t="s">
        <v>5743</v>
      </c>
      <c r="F3437" s="5">
        <v>40909</v>
      </c>
      <c r="G3437" s="5">
        <v>41274</v>
      </c>
      <c r="H3437" s="4" t="s">
        <v>40</v>
      </c>
      <c r="I3437" s="6">
        <v>300</v>
      </c>
      <c r="J3437" s="6">
        <v>300</v>
      </c>
      <c r="K3437" s="37" t="s">
        <v>5018</v>
      </c>
      <c r="L3437" s="119"/>
      <c r="M3437" s="3"/>
    </row>
    <row r="3438" spans="1:13" s="4" customFormat="1" ht="14.25" customHeight="1" x14ac:dyDescent="0.25">
      <c r="A3438" s="4" t="s">
        <v>5744</v>
      </c>
      <c r="B3438" s="4" t="s">
        <v>38</v>
      </c>
      <c r="C3438" s="4" t="s">
        <v>14</v>
      </c>
      <c r="D3438" s="35">
        <v>10812</v>
      </c>
      <c r="E3438" s="4" t="s">
        <v>5745</v>
      </c>
      <c r="F3438" s="5">
        <v>40909</v>
      </c>
      <c r="G3438" s="5">
        <v>41274</v>
      </c>
      <c r="H3438" s="4" t="s">
        <v>40</v>
      </c>
      <c r="I3438" s="6">
        <v>374.5</v>
      </c>
      <c r="J3438" s="6">
        <v>374.5</v>
      </c>
      <c r="K3438" s="37" t="s">
        <v>5018</v>
      </c>
      <c r="L3438" s="119"/>
      <c r="M3438" s="3"/>
    </row>
    <row r="3439" spans="1:13" s="4" customFormat="1" ht="14.25" customHeight="1" x14ac:dyDescent="0.25">
      <c r="A3439" s="4" t="s">
        <v>5746</v>
      </c>
      <c r="B3439" s="4" t="s">
        <v>38</v>
      </c>
      <c r="C3439" s="4" t="s">
        <v>14</v>
      </c>
      <c r="D3439" s="35">
        <v>10813</v>
      </c>
      <c r="E3439" s="4" t="s">
        <v>5747</v>
      </c>
      <c r="F3439" s="5">
        <v>40909</v>
      </c>
      <c r="G3439" s="5">
        <v>41274</v>
      </c>
      <c r="H3439" s="4" t="s">
        <v>40</v>
      </c>
      <c r="I3439" s="6">
        <v>197.5</v>
      </c>
      <c r="J3439" s="6">
        <v>197.5</v>
      </c>
      <c r="K3439" s="37" t="s">
        <v>5018</v>
      </c>
      <c r="L3439" s="119"/>
      <c r="M3439" s="3"/>
    </row>
    <row r="3440" spans="1:13" s="4" customFormat="1" ht="14.25" customHeight="1" x14ac:dyDescent="0.25">
      <c r="A3440" s="4" t="s">
        <v>5748</v>
      </c>
      <c r="B3440" s="4" t="s">
        <v>38</v>
      </c>
      <c r="C3440" s="4" t="s">
        <v>14</v>
      </c>
      <c r="D3440" s="35">
        <v>10814</v>
      </c>
      <c r="E3440" s="4" t="s">
        <v>5749</v>
      </c>
      <c r="F3440" s="5">
        <v>40909</v>
      </c>
      <c r="G3440" s="5">
        <v>41274</v>
      </c>
      <c r="H3440" s="4" t="s">
        <v>40</v>
      </c>
      <c r="I3440" s="6">
        <v>188.5</v>
      </c>
      <c r="J3440" s="6">
        <v>188.5</v>
      </c>
      <c r="K3440" s="37" t="s">
        <v>5018</v>
      </c>
      <c r="L3440" s="119"/>
      <c r="M3440" s="3"/>
    </row>
    <row r="3441" spans="1:13" s="4" customFormat="1" ht="14.25" customHeight="1" x14ac:dyDescent="0.25">
      <c r="A3441" s="4" t="s">
        <v>5750</v>
      </c>
      <c r="B3441" s="4" t="s">
        <v>38</v>
      </c>
      <c r="C3441" s="4" t="s">
        <v>14</v>
      </c>
      <c r="D3441" s="35">
        <v>10815</v>
      </c>
      <c r="E3441" s="4" t="s">
        <v>5751</v>
      </c>
      <c r="F3441" s="5">
        <v>40909</v>
      </c>
      <c r="G3441" s="5">
        <v>41274</v>
      </c>
      <c r="H3441" s="4" t="s">
        <v>40</v>
      </c>
      <c r="I3441" s="6">
        <v>387.5</v>
      </c>
      <c r="J3441" s="6">
        <v>387.5</v>
      </c>
      <c r="K3441" s="37" t="s">
        <v>5018</v>
      </c>
      <c r="L3441" s="119"/>
      <c r="M3441" s="3"/>
    </row>
    <row r="3442" spans="1:13" s="4" customFormat="1" ht="14.25" customHeight="1" x14ac:dyDescent="0.25">
      <c r="A3442" s="4" t="s">
        <v>5752</v>
      </c>
      <c r="B3442" s="4" t="s">
        <v>38</v>
      </c>
      <c r="C3442" s="4" t="s">
        <v>14</v>
      </c>
      <c r="D3442" s="35">
        <v>10816</v>
      </c>
      <c r="E3442" s="4" t="s">
        <v>5753</v>
      </c>
      <c r="F3442" s="5">
        <v>40909</v>
      </c>
      <c r="G3442" s="5">
        <v>41274</v>
      </c>
      <c r="H3442" s="4" t="s">
        <v>40</v>
      </c>
      <c r="I3442" s="6">
        <v>2080.8000000000002</v>
      </c>
      <c r="J3442" s="6">
        <v>2080.8000000000002</v>
      </c>
      <c r="K3442" s="37" t="s">
        <v>5018</v>
      </c>
      <c r="L3442" s="119"/>
      <c r="M3442" s="3"/>
    </row>
    <row r="3443" spans="1:13" s="4" customFormat="1" ht="14.25" customHeight="1" x14ac:dyDescent="0.25">
      <c r="A3443" s="4" t="s">
        <v>5754</v>
      </c>
      <c r="B3443" s="4" t="s">
        <v>38</v>
      </c>
      <c r="C3443" s="4" t="s">
        <v>14</v>
      </c>
      <c r="D3443" s="35">
        <v>10817</v>
      </c>
      <c r="E3443" s="4" t="s">
        <v>5180</v>
      </c>
      <c r="F3443" s="5">
        <v>40909</v>
      </c>
      <c r="G3443" s="5">
        <v>41274</v>
      </c>
      <c r="H3443" s="4" t="s">
        <v>40</v>
      </c>
      <c r="I3443" s="6">
        <v>1290.4000000000001</v>
      </c>
      <c r="J3443" s="6">
        <v>1290.4000000000001</v>
      </c>
      <c r="K3443" s="37" t="s">
        <v>5018</v>
      </c>
      <c r="L3443" s="119"/>
      <c r="M3443" s="3"/>
    </row>
    <row r="3444" spans="1:13" s="4" customFormat="1" ht="14.25" customHeight="1" x14ac:dyDescent="0.25">
      <c r="A3444" s="4" t="s">
        <v>5755</v>
      </c>
      <c r="B3444" s="4" t="s">
        <v>38</v>
      </c>
      <c r="C3444" s="4" t="s">
        <v>14</v>
      </c>
      <c r="D3444" s="35">
        <v>10819</v>
      </c>
      <c r="E3444" s="4" t="s">
        <v>5756</v>
      </c>
      <c r="F3444" s="5">
        <v>40909</v>
      </c>
      <c r="G3444" s="5">
        <v>41274</v>
      </c>
      <c r="H3444" s="4" t="s">
        <v>40</v>
      </c>
      <c r="I3444" s="6">
        <v>2280</v>
      </c>
      <c r="J3444" s="6">
        <v>2280</v>
      </c>
      <c r="K3444" s="37" t="s">
        <v>5018</v>
      </c>
      <c r="L3444" s="119"/>
      <c r="M3444" s="3"/>
    </row>
    <row r="3445" spans="1:13" s="4" customFormat="1" ht="14.25" customHeight="1" x14ac:dyDescent="0.25">
      <c r="A3445" s="4" t="s">
        <v>5757</v>
      </c>
      <c r="B3445" s="4" t="s">
        <v>38</v>
      </c>
      <c r="C3445" s="4" t="s">
        <v>14</v>
      </c>
      <c r="D3445" s="35">
        <v>10828</v>
      </c>
      <c r="E3445" s="4" t="s">
        <v>5753</v>
      </c>
      <c r="F3445" s="5">
        <v>40909</v>
      </c>
      <c r="G3445" s="5">
        <v>41274</v>
      </c>
      <c r="H3445" s="4" t="s">
        <v>40</v>
      </c>
      <c r="I3445" s="6">
        <v>1633.2</v>
      </c>
      <c r="J3445" s="6">
        <v>1633.2</v>
      </c>
      <c r="K3445" s="37" t="s">
        <v>5018</v>
      </c>
      <c r="L3445" s="119"/>
      <c r="M3445" s="3"/>
    </row>
    <row r="3446" spans="1:13" s="4" customFormat="1" ht="14.25" customHeight="1" x14ac:dyDescent="0.25">
      <c r="A3446" s="4" t="s">
        <v>5758</v>
      </c>
      <c r="B3446" s="4" t="s">
        <v>38</v>
      </c>
      <c r="C3446" s="4" t="s">
        <v>14</v>
      </c>
      <c r="D3446" s="35">
        <v>10830</v>
      </c>
      <c r="E3446" s="4" t="s">
        <v>5759</v>
      </c>
      <c r="F3446" s="5">
        <v>40909</v>
      </c>
      <c r="G3446" s="5">
        <v>41274</v>
      </c>
      <c r="H3446" s="4" t="s">
        <v>40</v>
      </c>
      <c r="I3446" s="6">
        <v>199</v>
      </c>
      <c r="J3446" s="6">
        <v>199</v>
      </c>
      <c r="K3446" s="37" t="s">
        <v>5018</v>
      </c>
      <c r="L3446" s="119"/>
      <c r="M3446" s="3"/>
    </row>
    <row r="3447" spans="1:13" s="4" customFormat="1" ht="14.25" customHeight="1" x14ac:dyDescent="0.25">
      <c r="A3447" s="4" t="s">
        <v>5760</v>
      </c>
      <c r="B3447" s="4" t="s">
        <v>38</v>
      </c>
      <c r="C3447" s="4" t="s">
        <v>14</v>
      </c>
      <c r="D3447" s="35">
        <v>10831</v>
      </c>
      <c r="E3447" s="4" t="s">
        <v>5761</v>
      </c>
      <c r="F3447" s="5">
        <v>40909</v>
      </c>
      <c r="G3447" s="5">
        <v>41274</v>
      </c>
      <c r="H3447" s="4" t="s">
        <v>40</v>
      </c>
      <c r="I3447" s="6">
        <v>1183.8</v>
      </c>
      <c r="J3447" s="6">
        <v>1183.8</v>
      </c>
      <c r="K3447" s="37" t="s">
        <v>5018</v>
      </c>
      <c r="L3447" s="119"/>
      <c r="M3447" s="3"/>
    </row>
    <row r="3448" spans="1:13" s="4" customFormat="1" ht="14.25" customHeight="1" x14ac:dyDescent="0.25">
      <c r="A3448" s="4" t="s">
        <v>5762</v>
      </c>
      <c r="B3448" s="4" t="s">
        <v>38</v>
      </c>
      <c r="C3448" s="4" t="s">
        <v>14</v>
      </c>
      <c r="D3448" s="35">
        <v>10832</v>
      </c>
      <c r="E3448" s="4" t="s">
        <v>5745</v>
      </c>
      <c r="F3448" s="5">
        <v>40909</v>
      </c>
      <c r="G3448" s="5">
        <v>41274</v>
      </c>
      <c r="H3448" s="4" t="s">
        <v>40</v>
      </c>
      <c r="I3448" s="6">
        <v>309.75</v>
      </c>
      <c r="J3448" s="6">
        <v>309.75</v>
      </c>
      <c r="K3448" s="37" t="s">
        <v>5018</v>
      </c>
      <c r="L3448" s="119"/>
      <c r="M3448" s="3"/>
    </row>
    <row r="3449" spans="1:13" s="4" customFormat="1" ht="14.25" customHeight="1" x14ac:dyDescent="0.25">
      <c r="A3449" s="4" t="s">
        <v>5763</v>
      </c>
      <c r="B3449" s="4" t="s">
        <v>38</v>
      </c>
      <c r="C3449" s="4" t="s">
        <v>14</v>
      </c>
      <c r="D3449" s="35">
        <v>10833</v>
      </c>
      <c r="E3449" s="4" t="s">
        <v>5751</v>
      </c>
      <c r="F3449" s="5">
        <v>40909</v>
      </c>
      <c r="G3449" s="5">
        <v>41274</v>
      </c>
      <c r="H3449" s="4" t="s">
        <v>40</v>
      </c>
      <c r="I3449" s="6">
        <v>260</v>
      </c>
      <c r="J3449" s="6">
        <v>260</v>
      </c>
      <c r="K3449" s="37" t="s">
        <v>5018</v>
      </c>
      <c r="L3449" s="119"/>
      <c r="M3449" s="3"/>
    </row>
    <row r="3450" spans="1:13" s="4" customFormat="1" ht="14.25" customHeight="1" x14ac:dyDescent="0.25">
      <c r="A3450" s="4" t="s">
        <v>5764</v>
      </c>
      <c r="B3450" s="4" t="s">
        <v>38</v>
      </c>
      <c r="C3450" s="4" t="s">
        <v>14</v>
      </c>
      <c r="D3450" s="35">
        <v>10839</v>
      </c>
      <c r="E3450" s="4" t="s">
        <v>5765</v>
      </c>
      <c r="F3450" s="5">
        <v>40909</v>
      </c>
      <c r="G3450" s="5">
        <v>41274</v>
      </c>
      <c r="H3450" s="4" t="s">
        <v>40</v>
      </c>
      <c r="I3450" s="6">
        <v>1692.8</v>
      </c>
      <c r="J3450" s="6">
        <v>1692.8</v>
      </c>
      <c r="K3450" s="37" t="s">
        <v>5018</v>
      </c>
      <c r="L3450" s="119"/>
      <c r="M3450" s="3"/>
    </row>
    <row r="3451" spans="1:13" s="4" customFormat="1" ht="14.25" customHeight="1" x14ac:dyDescent="0.25">
      <c r="A3451" s="4" t="s">
        <v>5766</v>
      </c>
      <c r="B3451" s="4" t="s">
        <v>38</v>
      </c>
      <c r="C3451" s="4" t="s">
        <v>14</v>
      </c>
      <c r="D3451" s="35">
        <v>10840</v>
      </c>
      <c r="E3451" s="4" t="s">
        <v>5767</v>
      </c>
      <c r="F3451" s="5">
        <v>40909</v>
      </c>
      <c r="G3451" s="5">
        <v>41274</v>
      </c>
      <c r="H3451" s="4" t="s">
        <v>40</v>
      </c>
      <c r="I3451" s="6">
        <v>265</v>
      </c>
      <c r="J3451" s="6">
        <v>265</v>
      </c>
      <c r="K3451" s="37" t="s">
        <v>5018</v>
      </c>
      <c r="L3451" s="119"/>
      <c r="M3451" s="3"/>
    </row>
    <row r="3452" spans="1:13" s="4" customFormat="1" ht="14.25" customHeight="1" x14ac:dyDescent="0.25">
      <c r="A3452" s="4" t="s">
        <v>5768</v>
      </c>
      <c r="B3452" s="4" t="s">
        <v>38</v>
      </c>
      <c r="C3452" s="4" t="s">
        <v>14</v>
      </c>
      <c r="D3452" s="35">
        <v>10841</v>
      </c>
      <c r="E3452" s="4" t="s">
        <v>5769</v>
      </c>
      <c r="F3452" s="5">
        <v>40909</v>
      </c>
      <c r="G3452" s="5">
        <v>41274</v>
      </c>
      <c r="H3452" s="4" t="s">
        <v>40</v>
      </c>
      <c r="I3452" s="6">
        <v>864</v>
      </c>
      <c r="J3452" s="6">
        <v>864</v>
      </c>
      <c r="K3452" s="37" t="s">
        <v>5018</v>
      </c>
      <c r="L3452" s="119"/>
      <c r="M3452" s="3"/>
    </row>
    <row r="3453" spans="1:13" s="4" customFormat="1" ht="14.25" customHeight="1" x14ac:dyDescent="0.25">
      <c r="A3453" s="4" t="s">
        <v>5770</v>
      </c>
      <c r="B3453" s="4" t="s">
        <v>38</v>
      </c>
      <c r="C3453" s="4" t="s">
        <v>14</v>
      </c>
      <c r="D3453" s="35">
        <v>10842</v>
      </c>
      <c r="E3453" s="4" t="s">
        <v>5771</v>
      </c>
      <c r="F3453" s="5">
        <v>40909</v>
      </c>
      <c r="G3453" s="5">
        <v>41274</v>
      </c>
      <c r="H3453" s="4" t="s">
        <v>40</v>
      </c>
      <c r="I3453" s="6">
        <v>2064</v>
      </c>
      <c r="J3453" s="6">
        <v>2064</v>
      </c>
      <c r="K3453" s="37" t="s">
        <v>5018</v>
      </c>
      <c r="L3453" s="119"/>
      <c r="M3453" s="3"/>
    </row>
    <row r="3454" spans="1:13" s="4" customFormat="1" ht="14.25" customHeight="1" x14ac:dyDescent="0.25">
      <c r="A3454" s="4" t="s">
        <v>5772</v>
      </c>
      <c r="B3454" s="4" t="s">
        <v>38</v>
      </c>
      <c r="C3454" s="4" t="s">
        <v>14</v>
      </c>
      <c r="D3454" s="35">
        <v>10843</v>
      </c>
      <c r="E3454" s="4" t="s">
        <v>5773</v>
      </c>
      <c r="F3454" s="5">
        <v>40909</v>
      </c>
      <c r="G3454" s="5">
        <v>41274</v>
      </c>
      <c r="H3454" s="4" t="s">
        <v>40</v>
      </c>
      <c r="I3454" s="6">
        <v>904</v>
      </c>
      <c r="J3454" s="6">
        <v>904</v>
      </c>
      <c r="K3454" s="37" t="s">
        <v>5018</v>
      </c>
      <c r="L3454" s="119"/>
      <c r="M3454" s="3"/>
    </row>
    <row r="3455" spans="1:13" s="4" customFormat="1" ht="14.25" customHeight="1" x14ac:dyDescent="0.25">
      <c r="A3455" s="4" t="s">
        <v>5774</v>
      </c>
      <c r="B3455" s="4" t="s">
        <v>38</v>
      </c>
      <c r="C3455" s="4" t="s">
        <v>14</v>
      </c>
      <c r="D3455" s="35">
        <v>10844</v>
      </c>
      <c r="E3455" s="4" t="s">
        <v>5775</v>
      </c>
      <c r="F3455" s="5">
        <v>40909</v>
      </c>
      <c r="G3455" s="5">
        <v>41274</v>
      </c>
      <c r="H3455" s="4" t="s">
        <v>40</v>
      </c>
      <c r="I3455" s="6">
        <v>171</v>
      </c>
      <c r="J3455" s="6">
        <v>171</v>
      </c>
      <c r="K3455" s="37" t="s">
        <v>5018</v>
      </c>
      <c r="L3455" s="119"/>
      <c r="M3455" s="3"/>
    </row>
    <row r="3456" spans="1:13" s="4" customFormat="1" ht="14.25" customHeight="1" x14ac:dyDescent="0.25">
      <c r="A3456" s="4" t="s">
        <v>5776</v>
      </c>
      <c r="B3456" s="4" t="s">
        <v>38</v>
      </c>
      <c r="C3456" s="4" t="s">
        <v>14</v>
      </c>
      <c r="D3456" s="35">
        <v>10845</v>
      </c>
      <c r="E3456" s="4" t="s">
        <v>5777</v>
      </c>
      <c r="F3456" s="5">
        <v>40909</v>
      </c>
      <c r="G3456" s="5">
        <v>41274</v>
      </c>
      <c r="H3456" s="4" t="s">
        <v>40</v>
      </c>
      <c r="I3456" s="6">
        <v>1500</v>
      </c>
      <c r="J3456" s="6">
        <v>1500</v>
      </c>
      <c r="K3456" s="37" t="s">
        <v>5018</v>
      </c>
      <c r="L3456" s="119"/>
      <c r="M3456" s="3"/>
    </row>
    <row r="3457" spans="1:13" s="4" customFormat="1" ht="14.25" customHeight="1" x14ac:dyDescent="0.25">
      <c r="A3457" s="4" t="s">
        <v>5778</v>
      </c>
      <c r="B3457" s="4" t="s">
        <v>38</v>
      </c>
      <c r="C3457" s="4" t="s">
        <v>14</v>
      </c>
      <c r="D3457" s="35">
        <v>10856</v>
      </c>
      <c r="E3457" s="4" t="s">
        <v>5779</v>
      </c>
      <c r="F3457" s="5">
        <v>40909</v>
      </c>
      <c r="G3457" s="5">
        <v>41274</v>
      </c>
      <c r="H3457" s="4" t="s">
        <v>40</v>
      </c>
      <c r="I3457" s="6">
        <v>140</v>
      </c>
      <c r="J3457" s="6">
        <v>140</v>
      </c>
      <c r="K3457" s="37" t="s">
        <v>5018</v>
      </c>
      <c r="L3457" s="119"/>
      <c r="M3457" s="3"/>
    </row>
    <row r="3458" spans="1:13" s="4" customFormat="1" ht="14.25" customHeight="1" x14ac:dyDescent="0.25">
      <c r="A3458" s="4" t="s">
        <v>5780</v>
      </c>
      <c r="B3458" s="4" t="s">
        <v>38</v>
      </c>
      <c r="C3458" s="4" t="s">
        <v>14</v>
      </c>
      <c r="D3458" s="35">
        <v>10857</v>
      </c>
      <c r="E3458" s="4" t="s">
        <v>5781</v>
      </c>
      <c r="F3458" s="5">
        <v>40909</v>
      </c>
      <c r="G3458" s="5">
        <v>41274</v>
      </c>
      <c r="H3458" s="4" t="s">
        <v>40</v>
      </c>
      <c r="I3458" s="6">
        <v>265</v>
      </c>
      <c r="J3458" s="6">
        <v>265</v>
      </c>
      <c r="K3458" s="37" t="s">
        <v>5018</v>
      </c>
      <c r="L3458" s="119"/>
      <c r="M3458" s="3"/>
    </row>
    <row r="3459" spans="1:13" s="4" customFormat="1" ht="14.25" customHeight="1" x14ac:dyDescent="0.25">
      <c r="A3459" s="4" t="s">
        <v>5782</v>
      </c>
      <c r="B3459" s="4" t="s">
        <v>38</v>
      </c>
      <c r="C3459" s="4" t="s">
        <v>14</v>
      </c>
      <c r="D3459" s="35">
        <v>10859</v>
      </c>
      <c r="E3459" s="4" t="s">
        <v>5783</v>
      </c>
      <c r="F3459" s="5">
        <v>40909</v>
      </c>
      <c r="G3459" s="5">
        <v>41274</v>
      </c>
      <c r="H3459" s="4" t="s">
        <v>40</v>
      </c>
      <c r="I3459" s="6">
        <v>630</v>
      </c>
      <c r="J3459" s="6">
        <v>630</v>
      </c>
      <c r="K3459" s="37" t="s">
        <v>5018</v>
      </c>
      <c r="L3459" s="119"/>
      <c r="M3459" s="3"/>
    </row>
    <row r="3460" spans="1:13" s="4" customFormat="1" ht="14.25" customHeight="1" x14ac:dyDescent="0.25">
      <c r="A3460" s="4" t="s">
        <v>5784</v>
      </c>
      <c r="B3460" s="4" t="s">
        <v>38</v>
      </c>
      <c r="C3460" s="4" t="s">
        <v>14</v>
      </c>
      <c r="D3460" s="35">
        <v>10861</v>
      </c>
      <c r="E3460" s="4" t="s">
        <v>5785</v>
      </c>
      <c r="F3460" s="5">
        <v>40909</v>
      </c>
      <c r="G3460" s="5">
        <v>41274</v>
      </c>
      <c r="H3460" s="4" t="s">
        <v>40</v>
      </c>
      <c r="I3460" s="6">
        <v>399</v>
      </c>
      <c r="J3460" s="6">
        <v>399</v>
      </c>
      <c r="K3460" s="37" t="s">
        <v>5018</v>
      </c>
      <c r="L3460" s="119"/>
      <c r="M3460" s="3"/>
    </row>
    <row r="3461" spans="1:13" s="4" customFormat="1" ht="14.25" customHeight="1" x14ac:dyDescent="0.25">
      <c r="A3461" s="4" t="s">
        <v>5786</v>
      </c>
      <c r="B3461" s="4" t="s">
        <v>38</v>
      </c>
      <c r="C3461" s="4" t="s">
        <v>14</v>
      </c>
      <c r="D3461" s="35">
        <v>10862</v>
      </c>
      <c r="E3461" s="4" t="s">
        <v>5783</v>
      </c>
      <c r="F3461" s="5">
        <v>40909</v>
      </c>
      <c r="G3461" s="5">
        <v>41274</v>
      </c>
      <c r="H3461" s="4" t="s">
        <v>40</v>
      </c>
      <c r="I3461" s="6">
        <v>971</v>
      </c>
      <c r="J3461" s="6">
        <v>971</v>
      </c>
      <c r="K3461" s="37" t="s">
        <v>5018</v>
      </c>
      <c r="L3461" s="119"/>
      <c r="M3461" s="3"/>
    </row>
    <row r="3462" spans="1:13" s="4" customFormat="1" ht="14.25" customHeight="1" x14ac:dyDescent="0.25">
      <c r="A3462" s="4" t="s">
        <v>5787</v>
      </c>
      <c r="B3462" s="4" t="s">
        <v>38</v>
      </c>
      <c r="C3462" s="4" t="s">
        <v>14</v>
      </c>
      <c r="D3462" s="35">
        <v>10863</v>
      </c>
      <c r="E3462" s="4" t="s">
        <v>5788</v>
      </c>
      <c r="F3462" s="5">
        <v>40909</v>
      </c>
      <c r="G3462" s="5">
        <v>41274</v>
      </c>
      <c r="H3462" s="4" t="s">
        <v>40</v>
      </c>
      <c r="I3462" s="6">
        <v>458</v>
      </c>
      <c r="J3462" s="6">
        <v>458</v>
      </c>
      <c r="K3462" s="37" t="s">
        <v>5018</v>
      </c>
      <c r="L3462" s="119"/>
      <c r="M3462" s="3"/>
    </row>
    <row r="3463" spans="1:13" s="4" customFormat="1" ht="14.25" customHeight="1" x14ac:dyDescent="0.25">
      <c r="A3463" s="4" t="s">
        <v>5789</v>
      </c>
      <c r="B3463" s="4" t="s">
        <v>38</v>
      </c>
      <c r="C3463" s="4" t="s">
        <v>14</v>
      </c>
      <c r="D3463" s="35">
        <v>10864</v>
      </c>
      <c r="E3463" s="4" t="s">
        <v>5783</v>
      </c>
      <c r="F3463" s="5">
        <v>40909</v>
      </c>
      <c r="G3463" s="5">
        <v>41274</v>
      </c>
      <c r="H3463" s="4" t="s">
        <v>40</v>
      </c>
      <c r="I3463" s="6">
        <v>971</v>
      </c>
      <c r="J3463" s="6">
        <v>971</v>
      </c>
      <c r="K3463" s="37" t="s">
        <v>5018</v>
      </c>
      <c r="L3463" s="119"/>
      <c r="M3463" s="3"/>
    </row>
    <row r="3464" spans="1:13" s="4" customFormat="1" ht="14.25" customHeight="1" x14ac:dyDescent="0.25">
      <c r="A3464" s="4" t="s">
        <v>5790</v>
      </c>
      <c r="B3464" s="4" t="s">
        <v>38</v>
      </c>
      <c r="C3464" s="4" t="s">
        <v>14</v>
      </c>
      <c r="D3464" s="35">
        <v>10865</v>
      </c>
      <c r="E3464" s="4" t="s">
        <v>5791</v>
      </c>
      <c r="F3464" s="5">
        <v>40909</v>
      </c>
      <c r="G3464" s="5">
        <v>41274</v>
      </c>
      <c r="H3464" s="4" t="s">
        <v>40</v>
      </c>
      <c r="I3464" s="6">
        <v>299</v>
      </c>
      <c r="J3464" s="6">
        <v>299</v>
      </c>
      <c r="K3464" s="37" t="s">
        <v>5018</v>
      </c>
      <c r="L3464" s="119"/>
      <c r="M3464" s="3"/>
    </row>
    <row r="3465" spans="1:13" s="4" customFormat="1" ht="14.25" customHeight="1" x14ac:dyDescent="0.25">
      <c r="A3465" s="4" t="s">
        <v>5792</v>
      </c>
      <c r="B3465" s="4" t="s">
        <v>38</v>
      </c>
      <c r="C3465" s="4" t="s">
        <v>14</v>
      </c>
      <c r="D3465" s="35">
        <v>10866</v>
      </c>
      <c r="E3465" s="4" t="s">
        <v>5793</v>
      </c>
      <c r="F3465" s="5">
        <v>40909</v>
      </c>
      <c r="G3465" s="5">
        <v>41274</v>
      </c>
      <c r="H3465" s="4" t="s">
        <v>40</v>
      </c>
      <c r="I3465" s="6">
        <v>15117.84</v>
      </c>
      <c r="J3465" s="6">
        <v>15117.84</v>
      </c>
      <c r="K3465" s="37" t="s">
        <v>5018</v>
      </c>
      <c r="L3465" s="119"/>
      <c r="M3465" s="3"/>
    </row>
    <row r="3466" spans="1:13" s="4" customFormat="1" ht="14.25" customHeight="1" x14ac:dyDescent="0.25">
      <c r="A3466" s="4" t="s">
        <v>5794</v>
      </c>
      <c r="B3466" s="4" t="s">
        <v>38</v>
      </c>
      <c r="C3466" s="4" t="s">
        <v>14</v>
      </c>
      <c r="D3466" s="35">
        <v>10867</v>
      </c>
      <c r="E3466" s="4" t="s">
        <v>5795</v>
      </c>
      <c r="F3466" s="5">
        <v>40909</v>
      </c>
      <c r="G3466" s="5">
        <v>41274</v>
      </c>
      <c r="H3466" s="4" t="s">
        <v>40</v>
      </c>
      <c r="I3466" s="6">
        <v>1232.5</v>
      </c>
      <c r="J3466" s="6">
        <v>1232.5</v>
      </c>
      <c r="K3466" s="37" t="s">
        <v>5018</v>
      </c>
      <c r="L3466" s="119"/>
      <c r="M3466" s="3"/>
    </row>
    <row r="3467" spans="1:13" s="4" customFormat="1" ht="14.25" customHeight="1" x14ac:dyDescent="0.25">
      <c r="A3467" s="4" t="s">
        <v>5796</v>
      </c>
      <c r="B3467" s="4" t="s">
        <v>38</v>
      </c>
      <c r="C3467" s="4" t="s">
        <v>14</v>
      </c>
      <c r="D3467" s="35">
        <v>10868</v>
      </c>
      <c r="E3467" s="4" t="s">
        <v>5797</v>
      </c>
      <c r="F3467" s="5">
        <v>40909</v>
      </c>
      <c r="G3467" s="5">
        <v>41274</v>
      </c>
      <c r="H3467" s="4" t="s">
        <v>40</v>
      </c>
      <c r="I3467" s="6">
        <v>1074</v>
      </c>
      <c r="J3467" s="6">
        <v>1074</v>
      </c>
      <c r="K3467" s="37" t="s">
        <v>5018</v>
      </c>
      <c r="L3467" s="119"/>
      <c r="M3467" s="3"/>
    </row>
    <row r="3468" spans="1:13" s="4" customFormat="1" ht="14.25" customHeight="1" x14ac:dyDescent="0.25">
      <c r="A3468" s="4" t="s">
        <v>5798</v>
      </c>
      <c r="B3468" s="4" t="s">
        <v>38</v>
      </c>
      <c r="C3468" s="4" t="s">
        <v>14</v>
      </c>
      <c r="D3468" s="35">
        <v>10873</v>
      </c>
      <c r="E3468" s="4" t="s">
        <v>5799</v>
      </c>
      <c r="F3468" s="5">
        <v>40909</v>
      </c>
      <c r="G3468" s="5">
        <v>41274</v>
      </c>
      <c r="H3468" s="4" t="s">
        <v>40</v>
      </c>
      <c r="I3468" s="6">
        <v>57074.21</v>
      </c>
      <c r="J3468" s="6">
        <v>57074.21</v>
      </c>
      <c r="K3468" s="37" t="s">
        <v>5018</v>
      </c>
      <c r="L3468" s="119"/>
      <c r="M3468" s="3"/>
    </row>
    <row r="3469" spans="1:13" s="4" customFormat="1" ht="14.25" customHeight="1" x14ac:dyDescent="0.25">
      <c r="A3469" s="4" t="s">
        <v>5800</v>
      </c>
      <c r="B3469" s="4" t="s">
        <v>38</v>
      </c>
      <c r="C3469" s="4" t="s">
        <v>14</v>
      </c>
      <c r="D3469" s="35">
        <v>10874</v>
      </c>
      <c r="E3469" s="4" t="s">
        <v>5801</v>
      </c>
      <c r="F3469" s="5">
        <v>40909</v>
      </c>
      <c r="G3469" s="5">
        <v>41274</v>
      </c>
      <c r="H3469" s="4" t="s">
        <v>40</v>
      </c>
      <c r="I3469" s="6">
        <v>21847.85</v>
      </c>
      <c r="J3469" s="6">
        <v>21847.85</v>
      </c>
      <c r="K3469" s="37" t="s">
        <v>5018</v>
      </c>
      <c r="L3469" s="119"/>
      <c r="M3469" s="3"/>
    </row>
    <row r="3470" spans="1:13" s="4" customFormat="1" ht="14.25" customHeight="1" x14ac:dyDescent="0.25">
      <c r="A3470" s="4" t="s">
        <v>5802</v>
      </c>
      <c r="B3470" s="4" t="s">
        <v>38</v>
      </c>
      <c r="C3470" s="4" t="s">
        <v>14</v>
      </c>
      <c r="D3470" s="35">
        <v>10876</v>
      </c>
      <c r="E3470" s="4" t="s">
        <v>5803</v>
      </c>
      <c r="F3470" s="5">
        <v>40909</v>
      </c>
      <c r="G3470" s="5">
        <v>41274</v>
      </c>
      <c r="H3470" s="4" t="s">
        <v>40</v>
      </c>
      <c r="I3470" s="6">
        <v>300</v>
      </c>
      <c r="J3470" s="6">
        <v>300</v>
      </c>
      <c r="K3470" s="37" t="s">
        <v>5018</v>
      </c>
      <c r="L3470" s="119"/>
      <c r="M3470" s="3"/>
    </row>
    <row r="3471" spans="1:13" s="4" customFormat="1" ht="14.25" customHeight="1" x14ac:dyDescent="0.25">
      <c r="A3471" s="4" t="s">
        <v>5804</v>
      </c>
      <c r="B3471" s="4" t="s">
        <v>38</v>
      </c>
      <c r="C3471" s="4" t="s">
        <v>14</v>
      </c>
      <c r="D3471" s="35">
        <v>10877</v>
      </c>
      <c r="E3471" s="4" t="s">
        <v>5805</v>
      </c>
      <c r="F3471" s="5">
        <v>40909</v>
      </c>
      <c r="G3471" s="5">
        <v>41274</v>
      </c>
      <c r="H3471" s="4" t="s">
        <v>40</v>
      </c>
      <c r="I3471" s="6">
        <v>729</v>
      </c>
      <c r="J3471" s="6">
        <v>729</v>
      </c>
      <c r="K3471" s="37" t="s">
        <v>5018</v>
      </c>
      <c r="L3471" s="119"/>
      <c r="M3471" s="3"/>
    </row>
    <row r="3472" spans="1:13" s="4" customFormat="1" ht="14.25" customHeight="1" x14ac:dyDescent="0.25">
      <c r="A3472" s="4" t="s">
        <v>5806</v>
      </c>
      <c r="B3472" s="4" t="s">
        <v>38</v>
      </c>
      <c r="C3472" s="4" t="s">
        <v>14</v>
      </c>
      <c r="D3472" s="35">
        <v>10878</v>
      </c>
      <c r="E3472" s="4" t="s">
        <v>5807</v>
      </c>
      <c r="F3472" s="5">
        <v>40909</v>
      </c>
      <c r="G3472" s="5">
        <v>41274</v>
      </c>
      <c r="H3472" s="4" t="s">
        <v>40</v>
      </c>
      <c r="I3472" s="6">
        <v>750</v>
      </c>
      <c r="J3472" s="6">
        <v>750</v>
      </c>
      <c r="K3472" s="37" t="s">
        <v>5018</v>
      </c>
      <c r="L3472" s="119"/>
      <c r="M3472" s="3"/>
    </row>
    <row r="3473" spans="1:13" s="4" customFormat="1" ht="14.25" customHeight="1" x14ac:dyDescent="0.25">
      <c r="A3473" s="4" t="s">
        <v>5808</v>
      </c>
      <c r="B3473" s="4" t="s">
        <v>38</v>
      </c>
      <c r="C3473" s="4" t="s">
        <v>14</v>
      </c>
      <c r="D3473" s="35">
        <v>10879</v>
      </c>
      <c r="E3473" s="4" t="s">
        <v>5809</v>
      </c>
      <c r="F3473" s="5">
        <v>40909</v>
      </c>
      <c r="G3473" s="5">
        <v>41274</v>
      </c>
      <c r="H3473" s="4" t="s">
        <v>40</v>
      </c>
      <c r="I3473" s="6">
        <v>772.97</v>
      </c>
      <c r="J3473" s="6">
        <v>772.97</v>
      </c>
      <c r="K3473" s="37" t="s">
        <v>5018</v>
      </c>
      <c r="L3473" s="119"/>
      <c r="M3473" s="3"/>
    </row>
    <row r="3474" spans="1:13" s="4" customFormat="1" ht="14.25" customHeight="1" x14ac:dyDescent="0.25">
      <c r="A3474" s="4" t="s">
        <v>5810</v>
      </c>
      <c r="B3474" s="4" t="s">
        <v>38</v>
      </c>
      <c r="C3474" s="4" t="s">
        <v>14</v>
      </c>
      <c r="D3474" s="35">
        <v>10880</v>
      </c>
      <c r="E3474" s="4" t="s">
        <v>5811</v>
      </c>
      <c r="F3474" s="5">
        <v>40909</v>
      </c>
      <c r="G3474" s="5">
        <v>41274</v>
      </c>
      <c r="H3474" s="4" t="s">
        <v>40</v>
      </c>
      <c r="I3474" s="6">
        <v>1231.5</v>
      </c>
      <c r="J3474" s="6">
        <v>1231.5</v>
      </c>
      <c r="K3474" s="37" t="s">
        <v>5018</v>
      </c>
      <c r="L3474" s="119"/>
      <c r="M3474" s="3"/>
    </row>
    <row r="3475" spans="1:13" ht="14.25" customHeight="1" x14ac:dyDescent="0.25">
      <c r="A3475" s="13" t="s">
        <v>10741</v>
      </c>
      <c r="B3475" s="13" t="s">
        <v>10192</v>
      </c>
      <c r="C3475" s="13" t="s">
        <v>14</v>
      </c>
      <c r="D3475" s="19">
        <v>12184</v>
      </c>
      <c r="E3475" s="13" t="s">
        <v>10742</v>
      </c>
      <c r="F3475" s="14">
        <v>41330</v>
      </c>
      <c r="G3475" s="14">
        <v>41639</v>
      </c>
      <c r="H3475" s="13" t="s">
        <v>651</v>
      </c>
      <c r="I3475" s="18">
        <v>15000</v>
      </c>
      <c r="J3475" s="18">
        <v>15000</v>
      </c>
      <c r="K3475" s="20" t="s">
        <v>5018</v>
      </c>
    </row>
    <row r="3476" spans="1:13" ht="14.25" customHeight="1" x14ac:dyDescent="0.25">
      <c r="A3476" s="13" t="s">
        <v>10743</v>
      </c>
      <c r="B3476" s="13" t="s">
        <v>10195</v>
      </c>
      <c r="C3476" s="13" t="s">
        <v>14</v>
      </c>
      <c r="D3476" s="19">
        <v>12185</v>
      </c>
      <c r="E3476" s="13" t="s">
        <v>10744</v>
      </c>
      <c r="F3476" s="14">
        <v>41057</v>
      </c>
      <c r="G3476" s="14">
        <v>41639</v>
      </c>
      <c r="H3476" s="13" t="s">
        <v>651</v>
      </c>
      <c r="I3476" s="18">
        <v>2865</v>
      </c>
      <c r="J3476" s="18">
        <v>1432.5</v>
      </c>
      <c r="K3476" s="20" t="s">
        <v>5018</v>
      </c>
    </row>
    <row r="3477" spans="1:13" ht="14.25" customHeight="1" x14ac:dyDescent="0.25">
      <c r="A3477" s="13" t="s">
        <v>10745</v>
      </c>
      <c r="B3477" s="13" t="s">
        <v>10195</v>
      </c>
      <c r="C3477" s="13" t="s">
        <v>14</v>
      </c>
      <c r="D3477" s="19">
        <v>12187</v>
      </c>
      <c r="E3477" s="13" t="s">
        <v>10746</v>
      </c>
      <c r="F3477" s="14">
        <v>41372</v>
      </c>
      <c r="G3477" s="14">
        <v>41639</v>
      </c>
      <c r="H3477" s="13" t="s">
        <v>651</v>
      </c>
      <c r="I3477" s="18">
        <v>4604</v>
      </c>
      <c r="J3477" s="18">
        <v>2302</v>
      </c>
      <c r="K3477" s="20" t="s">
        <v>5018</v>
      </c>
    </row>
    <row r="3478" spans="1:13" ht="14.25" customHeight="1" x14ac:dyDescent="0.25">
      <c r="A3478" s="13" t="s">
        <v>10747</v>
      </c>
      <c r="B3478" s="13" t="s">
        <v>13</v>
      </c>
      <c r="C3478" s="13" t="s">
        <v>14</v>
      </c>
      <c r="D3478" s="19">
        <v>12188</v>
      </c>
      <c r="E3478" s="13" t="s">
        <v>10748</v>
      </c>
      <c r="F3478" s="14">
        <v>41176</v>
      </c>
      <c r="G3478" s="14">
        <v>41639</v>
      </c>
      <c r="H3478" s="13" t="s">
        <v>651</v>
      </c>
      <c r="I3478" s="18">
        <v>7870.12</v>
      </c>
      <c r="J3478" s="18">
        <v>3935.06</v>
      </c>
      <c r="K3478" s="20" t="s">
        <v>5018</v>
      </c>
    </row>
    <row r="3479" spans="1:13" ht="14.25" customHeight="1" x14ac:dyDescent="0.25">
      <c r="A3479" s="13" t="s">
        <v>10749</v>
      </c>
      <c r="B3479" s="13" t="s">
        <v>10220</v>
      </c>
      <c r="C3479" s="13" t="s">
        <v>14</v>
      </c>
      <c r="D3479" s="19">
        <v>12189</v>
      </c>
      <c r="E3479" s="13" t="s">
        <v>10750</v>
      </c>
      <c r="F3479" s="14">
        <v>41330</v>
      </c>
      <c r="G3479" s="14">
        <v>41639</v>
      </c>
      <c r="H3479" s="13" t="s">
        <v>651</v>
      </c>
      <c r="I3479" s="18">
        <v>10000</v>
      </c>
      <c r="J3479" s="18">
        <v>5000</v>
      </c>
      <c r="K3479" s="20" t="s">
        <v>5018</v>
      </c>
    </row>
    <row r="3480" spans="1:13" ht="14.25" customHeight="1" x14ac:dyDescent="0.25">
      <c r="A3480" s="13" t="s">
        <v>10751</v>
      </c>
      <c r="B3480" s="13" t="s">
        <v>10192</v>
      </c>
      <c r="C3480" s="13" t="s">
        <v>14</v>
      </c>
      <c r="D3480" s="19">
        <v>12190</v>
      </c>
      <c r="E3480" s="13" t="s">
        <v>10752</v>
      </c>
      <c r="F3480" s="14">
        <v>41463</v>
      </c>
      <c r="G3480" s="14">
        <v>41639</v>
      </c>
      <c r="H3480" s="13" t="s">
        <v>651</v>
      </c>
      <c r="I3480" s="18">
        <v>7500</v>
      </c>
      <c r="J3480" s="18">
        <v>7500</v>
      </c>
      <c r="K3480" s="20" t="s">
        <v>5018</v>
      </c>
    </row>
    <row r="3481" spans="1:13" ht="14.25" customHeight="1" x14ac:dyDescent="0.25">
      <c r="A3481" s="13" t="s">
        <v>10753</v>
      </c>
      <c r="B3481" s="13" t="s">
        <v>10192</v>
      </c>
      <c r="C3481" s="13" t="s">
        <v>14</v>
      </c>
      <c r="D3481" s="19">
        <v>12261</v>
      </c>
      <c r="E3481" s="13" t="s">
        <v>10754</v>
      </c>
      <c r="F3481" s="14">
        <v>41540</v>
      </c>
      <c r="G3481" s="14">
        <v>41639</v>
      </c>
      <c r="H3481" s="13" t="s">
        <v>651</v>
      </c>
      <c r="I3481" s="18">
        <v>7500</v>
      </c>
      <c r="J3481" s="18">
        <v>7500</v>
      </c>
      <c r="K3481" s="20" t="s">
        <v>5018</v>
      </c>
    </row>
    <row r="3482" spans="1:13" ht="14.25" customHeight="1" x14ac:dyDescent="0.25">
      <c r="A3482" s="13" t="s">
        <v>10755</v>
      </c>
      <c r="B3482" s="13" t="s">
        <v>10192</v>
      </c>
      <c r="C3482" s="13" t="s">
        <v>14</v>
      </c>
      <c r="D3482" s="19">
        <v>12262</v>
      </c>
      <c r="E3482" s="13" t="s">
        <v>10756</v>
      </c>
      <c r="F3482" s="14">
        <v>41463</v>
      </c>
      <c r="G3482" s="14">
        <v>41639</v>
      </c>
      <c r="H3482" s="13" t="s">
        <v>651</v>
      </c>
      <c r="I3482" s="18">
        <v>3195.5</v>
      </c>
      <c r="J3482" s="18">
        <v>3195.5</v>
      </c>
      <c r="K3482" s="20" t="s">
        <v>5018</v>
      </c>
    </row>
    <row r="3483" spans="1:13" ht="14.25" customHeight="1" x14ac:dyDescent="0.25">
      <c r="A3483" s="13" t="s">
        <v>10757</v>
      </c>
      <c r="B3483" s="13" t="s">
        <v>13</v>
      </c>
      <c r="C3483" s="13" t="s">
        <v>14</v>
      </c>
      <c r="D3483" s="19">
        <v>12263</v>
      </c>
      <c r="E3483" s="13" t="s">
        <v>10758</v>
      </c>
      <c r="F3483" s="14">
        <v>41372</v>
      </c>
      <c r="G3483" s="14">
        <v>41639</v>
      </c>
      <c r="H3483" s="13" t="s">
        <v>651</v>
      </c>
      <c r="I3483" s="18">
        <v>49965.96</v>
      </c>
      <c r="J3483" s="18">
        <v>42795.48</v>
      </c>
      <c r="K3483" s="20" t="s">
        <v>5018</v>
      </c>
    </row>
    <row r="3484" spans="1:13" ht="14.25" customHeight="1" x14ac:dyDescent="0.25">
      <c r="A3484" s="13" t="s">
        <v>10759</v>
      </c>
      <c r="B3484" s="13" t="s">
        <v>10220</v>
      </c>
      <c r="C3484" s="13" t="s">
        <v>14</v>
      </c>
      <c r="D3484" s="19">
        <v>12264</v>
      </c>
      <c r="E3484" s="13" t="s">
        <v>10760</v>
      </c>
      <c r="F3484" s="14">
        <v>41372</v>
      </c>
      <c r="G3484" s="14">
        <v>41639</v>
      </c>
      <c r="H3484" s="13" t="s">
        <v>651</v>
      </c>
      <c r="I3484" s="18">
        <v>7554.48</v>
      </c>
      <c r="J3484" s="18">
        <v>3777.24</v>
      </c>
      <c r="K3484" s="20" t="s">
        <v>5018</v>
      </c>
    </row>
    <row r="3485" spans="1:13" ht="14.25" customHeight="1" x14ac:dyDescent="0.25">
      <c r="A3485" s="13" t="s">
        <v>10761</v>
      </c>
      <c r="B3485" s="13" t="s">
        <v>10195</v>
      </c>
      <c r="C3485" s="13" t="s">
        <v>14</v>
      </c>
      <c r="D3485" s="19">
        <v>12265</v>
      </c>
      <c r="E3485" s="13" t="s">
        <v>10762</v>
      </c>
      <c r="F3485" s="14">
        <v>41540</v>
      </c>
      <c r="G3485" s="14">
        <v>41639</v>
      </c>
      <c r="H3485" s="13" t="s">
        <v>651</v>
      </c>
      <c r="I3485" s="18">
        <v>5625</v>
      </c>
      <c r="J3485" s="18">
        <v>5625</v>
      </c>
      <c r="K3485" s="20" t="s">
        <v>5018</v>
      </c>
    </row>
    <row r="3486" spans="1:13" ht="14.25" customHeight="1" x14ac:dyDescent="0.25">
      <c r="A3486" s="13" t="s">
        <v>10763</v>
      </c>
      <c r="B3486" s="13" t="s">
        <v>10195</v>
      </c>
      <c r="C3486" s="13" t="s">
        <v>14</v>
      </c>
      <c r="D3486" s="19">
        <v>12266</v>
      </c>
      <c r="E3486" s="13" t="s">
        <v>10764</v>
      </c>
      <c r="F3486" s="14">
        <v>41463</v>
      </c>
      <c r="G3486" s="14">
        <v>41639</v>
      </c>
      <c r="H3486" s="13" t="s">
        <v>651</v>
      </c>
      <c r="I3486" s="18">
        <v>6924.38</v>
      </c>
      <c r="J3486" s="18">
        <v>6924.38</v>
      </c>
      <c r="K3486" s="20" t="s">
        <v>5018</v>
      </c>
    </row>
    <row r="3487" spans="1:13" ht="14.25" customHeight="1" x14ac:dyDescent="0.25">
      <c r="A3487" s="13" t="s">
        <v>10765</v>
      </c>
      <c r="B3487" s="13" t="s">
        <v>10195</v>
      </c>
      <c r="C3487" s="13" t="s">
        <v>14</v>
      </c>
      <c r="D3487" s="19">
        <v>12267</v>
      </c>
      <c r="E3487" s="13" t="s">
        <v>10766</v>
      </c>
      <c r="F3487" s="14">
        <v>41582</v>
      </c>
      <c r="G3487" s="14">
        <v>41639</v>
      </c>
      <c r="H3487" s="13" t="s">
        <v>651</v>
      </c>
      <c r="I3487" s="18">
        <v>30939.13</v>
      </c>
      <c r="J3487" s="18">
        <v>20189.13</v>
      </c>
      <c r="K3487" s="20" t="s">
        <v>5018</v>
      </c>
    </row>
    <row r="3488" spans="1:13" ht="14.25" customHeight="1" x14ac:dyDescent="0.25">
      <c r="A3488" s="13" t="s">
        <v>11148</v>
      </c>
      <c r="B3488" s="13" t="s">
        <v>10195</v>
      </c>
      <c r="C3488" s="13" t="s">
        <v>14</v>
      </c>
      <c r="D3488" s="19">
        <v>12268</v>
      </c>
      <c r="E3488" s="13" t="s">
        <v>11149</v>
      </c>
      <c r="F3488" s="14">
        <v>41463</v>
      </c>
      <c r="G3488" s="14">
        <v>41639</v>
      </c>
      <c r="H3488" s="13" t="s">
        <v>651</v>
      </c>
      <c r="I3488" s="18">
        <v>14472.8</v>
      </c>
      <c r="J3488" s="18">
        <v>7236.4</v>
      </c>
      <c r="K3488" s="20" t="s">
        <v>5018</v>
      </c>
    </row>
    <row r="3489" spans="1:11" ht="14.25" customHeight="1" x14ac:dyDescent="0.25">
      <c r="A3489" s="13" t="s">
        <v>10767</v>
      </c>
      <c r="B3489" s="13" t="s">
        <v>10220</v>
      </c>
      <c r="C3489" s="13" t="s">
        <v>14</v>
      </c>
      <c r="D3489" s="19">
        <v>12269</v>
      </c>
      <c r="E3489" s="13" t="s">
        <v>10768</v>
      </c>
      <c r="F3489" s="14">
        <v>41463</v>
      </c>
      <c r="G3489" s="14">
        <v>41639</v>
      </c>
      <c r="H3489" s="13" t="s">
        <v>651</v>
      </c>
      <c r="I3489" s="18">
        <v>18400</v>
      </c>
      <c r="J3489" s="18">
        <v>9200</v>
      </c>
      <c r="K3489" s="20" t="s">
        <v>5018</v>
      </c>
    </row>
    <row r="3490" spans="1:11" ht="14.25" customHeight="1" x14ac:dyDescent="0.25">
      <c r="A3490" s="13" t="s">
        <v>10769</v>
      </c>
      <c r="B3490" s="13" t="s">
        <v>38</v>
      </c>
      <c r="C3490" s="13" t="s">
        <v>14</v>
      </c>
      <c r="D3490" s="19">
        <v>12270</v>
      </c>
      <c r="E3490" s="13" t="s">
        <v>10769</v>
      </c>
      <c r="F3490" s="14">
        <v>41275</v>
      </c>
      <c r="G3490" s="14">
        <v>41639</v>
      </c>
      <c r="H3490" s="13" t="s">
        <v>651</v>
      </c>
      <c r="I3490" s="18">
        <v>17716.75</v>
      </c>
      <c r="J3490" s="18">
        <v>17716.75</v>
      </c>
      <c r="K3490" s="20" t="s">
        <v>5018</v>
      </c>
    </row>
    <row r="3491" spans="1:11" ht="14.25" customHeight="1" x14ac:dyDescent="0.25">
      <c r="A3491" s="13" t="s">
        <v>10770</v>
      </c>
      <c r="B3491" s="13" t="s">
        <v>38</v>
      </c>
      <c r="C3491" s="13" t="s">
        <v>14</v>
      </c>
      <c r="D3491" s="19">
        <v>12271</v>
      </c>
      <c r="E3491" s="13" t="s">
        <v>10771</v>
      </c>
      <c r="F3491" s="14">
        <v>41275</v>
      </c>
      <c r="G3491" s="14">
        <v>41639</v>
      </c>
      <c r="H3491" s="13" t="s">
        <v>651</v>
      </c>
      <c r="I3491" s="18">
        <v>60119.27</v>
      </c>
      <c r="J3491" s="18">
        <v>60119.27</v>
      </c>
      <c r="K3491" s="20" t="s">
        <v>5018</v>
      </c>
    </row>
    <row r="3492" spans="1:11" ht="14.25" customHeight="1" x14ac:dyDescent="0.25">
      <c r="A3492" s="13" t="s">
        <v>10772</v>
      </c>
      <c r="B3492" s="13" t="s">
        <v>38</v>
      </c>
      <c r="C3492" s="13" t="s">
        <v>14</v>
      </c>
      <c r="D3492" s="19">
        <v>12272</v>
      </c>
      <c r="E3492" s="13" t="s">
        <v>10773</v>
      </c>
      <c r="F3492" s="14">
        <v>41275</v>
      </c>
      <c r="G3492" s="14">
        <v>41305</v>
      </c>
      <c r="H3492" s="13" t="s">
        <v>651</v>
      </c>
      <c r="I3492" s="18">
        <v>517.5</v>
      </c>
      <c r="J3492" s="18">
        <v>517.5</v>
      </c>
      <c r="K3492" s="20" t="s">
        <v>5018</v>
      </c>
    </row>
    <row r="3493" spans="1:11" ht="14.25" customHeight="1" x14ac:dyDescent="0.25">
      <c r="A3493" s="13" t="s">
        <v>10774</v>
      </c>
      <c r="B3493" s="13" t="s">
        <v>38</v>
      </c>
      <c r="C3493" s="13" t="s">
        <v>14</v>
      </c>
      <c r="D3493" s="19">
        <v>12273</v>
      </c>
      <c r="E3493" s="13" t="s">
        <v>10775</v>
      </c>
      <c r="F3493" s="14">
        <v>41275</v>
      </c>
      <c r="G3493" s="14">
        <v>41639</v>
      </c>
      <c r="H3493" s="13" t="s">
        <v>651</v>
      </c>
      <c r="I3493" s="18">
        <v>6570</v>
      </c>
      <c r="J3493" s="18">
        <v>6570</v>
      </c>
      <c r="K3493" s="20" t="s">
        <v>5018</v>
      </c>
    </row>
    <row r="3494" spans="1:11" ht="14.25" customHeight="1" x14ac:dyDescent="0.25">
      <c r="A3494" s="13" t="s">
        <v>10776</v>
      </c>
      <c r="B3494" s="13" t="s">
        <v>38</v>
      </c>
      <c r="C3494" s="13" t="s">
        <v>14</v>
      </c>
      <c r="D3494" s="19">
        <v>12276</v>
      </c>
      <c r="E3494" s="13" t="s">
        <v>10777</v>
      </c>
      <c r="F3494" s="14">
        <v>41275</v>
      </c>
      <c r="G3494" s="14">
        <v>41639</v>
      </c>
      <c r="H3494" s="13" t="s">
        <v>651</v>
      </c>
      <c r="I3494" s="18">
        <v>1119.31</v>
      </c>
      <c r="J3494" s="18">
        <v>1119.31</v>
      </c>
      <c r="K3494" s="20" t="s">
        <v>5018</v>
      </c>
    </row>
    <row r="3495" spans="1:11" ht="14.25" customHeight="1" x14ac:dyDescent="0.25">
      <c r="A3495" s="13" t="s">
        <v>10778</v>
      </c>
      <c r="B3495" s="13" t="s">
        <v>38</v>
      </c>
      <c r="C3495" s="13" t="s">
        <v>14</v>
      </c>
      <c r="D3495" s="19">
        <v>12277</v>
      </c>
      <c r="E3495" s="13" t="s">
        <v>10779</v>
      </c>
      <c r="F3495" s="14">
        <v>41275</v>
      </c>
      <c r="G3495" s="14">
        <v>41639</v>
      </c>
      <c r="H3495" s="13" t="s">
        <v>651</v>
      </c>
      <c r="I3495" s="18">
        <v>240</v>
      </c>
      <c r="J3495" s="18">
        <v>240</v>
      </c>
      <c r="K3495" s="20" t="s">
        <v>5018</v>
      </c>
    </row>
    <row r="3496" spans="1:11" ht="14.25" customHeight="1" x14ac:dyDescent="0.25">
      <c r="A3496" s="13" t="s">
        <v>10780</v>
      </c>
      <c r="B3496" s="13" t="s">
        <v>38</v>
      </c>
      <c r="C3496" s="13" t="s">
        <v>14</v>
      </c>
      <c r="D3496" s="19">
        <v>12278</v>
      </c>
      <c r="E3496" s="13" t="s">
        <v>10781</v>
      </c>
      <c r="F3496" s="14">
        <v>41275</v>
      </c>
      <c r="G3496" s="14">
        <v>41639</v>
      </c>
      <c r="H3496" s="13" t="s">
        <v>651</v>
      </c>
      <c r="I3496" s="18">
        <v>1955.55</v>
      </c>
      <c r="J3496" s="18">
        <v>1955.55</v>
      </c>
      <c r="K3496" s="20" t="s">
        <v>5018</v>
      </c>
    </row>
    <row r="3497" spans="1:11" ht="14.25" customHeight="1" x14ac:dyDescent="0.25">
      <c r="A3497" s="13" t="s">
        <v>10782</v>
      </c>
      <c r="B3497" s="13" t="s">
        <v>38</v>
      </c>
      <c r="C3497" s="13" t="s">
        <v>14</v>
      </c>
      <c r="D3497" s="19">
        <v>12280</v>
      </c>
      <c r="E3497" s="13" t="s">
        <v>10783</v>
      </c>
      <c r="F3497" s="14">
        <v>41275</v>
      </c>
      <c r="G3497" s="14">
        <v>41639</v>
      </c>
      <c r="H3497" s="13" t="s">
        <v>651</v>
      </c>
      <c r="I3497" s="18">
        <v>1714.05</v>
      </c>
      <c r="J3497" s="18">
        <v>1714.05</v>
      </c>
      <c r="K3497" s="20" t="s">
        <v>5018</v>
      </c>
    </row>
    <row r="3498" spans="1:11" ht="14.25" customHeight="1" x14ac:dyDescent="0.25">
      <c r="A3498" s="13" t="s">
        <v>10784</v>
      </c>
      <c r="B3498" s="13" t="s">
        <v>38</v>
      </c>
      <c r="C3498" s="13" t="s">
        <v>14</v>
      </c>
      <c r="D3498" s="19">
        <v>12282</v>
      </c>
      <c r="E3498" s="13" t="s">
        <v>10785</v>
      </c>
      <c r="F3498" s="14">
        <v>41275</v>
      </c>
      <c r="G3498" s="14">
        <v>41639</v>
      </c>
      <c r="H3498" s="13" t="s">
        <v>651</v>
      </c>
      <c r="I3498" s="18">
        <v>1542</v>
      </c>
      <c r="J3498" s="18">
        <v>1542</v>
      </c>
      <c r="K3498" s="20" t="s">
        <v>5018</v>
      </c>
    </row>
    <row r="3499" spans="1:11" ht="14.25" customHeight="1" x14ac:dyDescent="0.25">
      <c r="A3499" s="13" t="s">
        <v>10786</v>
      </c>
      <c r="B3499" s="13" t="s">
        <v>38</v>
      </c>
      <c r="C3499" s="13" t="s">
        <v>14</v>
      </c>
      <c r="D3499" s="19">
        <v>12283</v>
      </c>
      <c r="E3499" s="13" t="s">
        <v>10785</v>
      </c>
      <c r="F3499" s="14">
        <v>41275</v>
      </c>
      <c r="G3499" s="14">
        <v>41639</v>
      </c>
      <c r="H3499" s="13" t="s">
        <v>651</v>
      </c>
      <c r="I3499" s="18">
        <v>1412.5</v>
      </c>
      <c r="J3499" s="18">
        <v>1412.5</v>
      </c>
      <c r="K3499" s="20" t="s">
        <v>5018</v>
      </c>
    </row>
    <row r="3500" spans="1:11" ht="14.25" customHeight="1" x14ac:dyDescent="0.25">
      <c r="A3500" s="13" t="s">
        <v>10787</v>
      </c>
      <c r="B3500" s="13" t="s">
        <v>38</v>
      </c>
      <c r="C3500" s="13" t="s">
        <v>14</v>
      </c>
      <c r="D3500" s="19">
        <v>12285</v>
      </c>
      <c r="E3500" s="13" t="s">
        <v>10788</v>
      </c>
      <c r="F3500" s="14">
        <v>41275</v>
      </c>
      <c r="G3500" s="14">
        <v>41639</v>
      </c>
      <c r="H3500" s="13" t="s">
        <v>651</v>
      </c>
      <c r="I3500" s="18">
        <v>550</v>
      </c>
      <c r="J3500" s="18">
        <v>550</v>
      </c>
      <c r="K3500" s="20" t="s">
        <v>5018</v>
      </c>
    </row>
    <row r="3501" spans="1:11" ht="14.25" customHeight="1" x14ac:dyDescent="0.25">
      <c r="A3501" s="13" t="s">
        <v>10789</v>
      </c>
      <c r="B3501" s="13" t="s">
        <v>38</v>
      </c>
      <c r="C3501" s="13" t="s">
        <v>14</v>
      </c>
      <c r="D3501" s="19">
        <v>12286</v>
      </c>
      <c r="E3501" s="13" t="s">
        <v>10785</v>
      </c>
      <c r="F3501" s="14">
        <v>41275</v>
      </c>
      <c r="G3501" s="14">
        <v>41639</v>
      </c>
      <c r="H3501" s="13" t="s">
        <v>651</v>
      </c>
      <c r="I3501" s="18">
        <v>1812.58</v>
      </c>
      <c r="J3501" s="18">
        <v>1812.58</v>
      </c>
      <c r="K3501" s="20" t="s">
        <v>5018</v>
      </c>
    </row>
    <row r="3502" spans="1:11" ht="14.25" customHeight="1" x14ac:dyDescent="0.25">
      <c r="A3502" s="13" t="s">
        <v>10790</v>
      </c>
      <c r="B3502" s="13" t="s">
        <v>38</v>
      </c>
      <c r="C3502" s="13" t="s">
        <v>14</v>
      </c>
      <c r="D3502" s="19">
        <v>12287</v>
      </c>
      <c r="E3502" s="13" t="s">
        <v>10785</v>
      </c>
      <c r="F3502" s="14">
        <v>41275</v>
      </c>
      <c r="G3502" s="14">
        <v>41639</v>
      </c>
      <c r="H3502" s="13" t="s">
        <v>651</v>
      </c>
      <c r="I3502" s="18">
        <v>1976.4</v>
      </c>
      <c r="J3502" s="18">
        <v>1976.4</v>
      </c>
      <c r="K3502" s="20" t="s">
        <v>5018</v>
      </c>
    </row>
    <row r="3503" spans="1:11" ht="14.25" customHeight="1" x14ac:dyDescent="0.25">
      <c r="A3503" s="13" t="s">
        <v>10791</v>
      </c>
      <c r="B3503" s="13" t="s">
        <v>38</v>
      </c>
      <c r="C3503" s="13" t="s">
        <v>14</v>
      </c>
      <c r="D3503" s="19">
        <v>12288</v>
      </c>
      <c r="E3503" s="13" t="s">
        <v>10792</v>
      </c>
      <c r="F3503" s="14">
        <v>41275</v>
      </c>
      <c r="G3503" s="14">
        <v>41639</v>
      </c>
      <c r="H3503" s="13" t="s">
        <v>651</v>
      </c>
      <c r="I3503" s="18">
        <v>308.5</v>
      </c>
      <c r="J3503" s="18">
        <v>308.5</v>
      </c>
      <c r="K3503" s="20" t="s">
        <v>5018</v>
      </c>
    </row>
    <row r="3504" spans="1:11" ht="14.25" customHeight="1" x14ac:dyDescent="0.25">
      <c r="A3504" s="13" t="s">
        <v>10793</v>
      </c>
      <c r="B3504" s="13" t="s">
        <v>38</v>
      </c>
      <c r="C3504" s="13" t="s">
        <v>14</v>
      </c>
      <c r="D3504" s="19">
        <v>12289</v>
      </c>
      <c r="E3504" s="13" t="s">
        <v>10794</v>
      </c>
      <c r="F3504" s="14">
        <v>41275</v>
      </c>
      <c r="G3504" s="14">
        <v>41639</v>
      </c>
      <c r="H3504" s="13" t="s">
        <v>651</v>
      </c>
      <c r="I3504" s="18">
        <v>436.6</v>
      </c>
      <c r="J3504" s="18">
        <v>436.6</v>
      </c>
      <c r="K3504" s="20" t="s">
        <v>5018</v>
      </c>
    </row>
    <row r="3505" spans="1:11" ht="14.25" customHeight="1" x14ac:dyDescent="0.25">
      <c r="A3505" s="13" t="s">
        <v>10795</v>
      </c>
      <c r="B3505" s="13" t="s">
        <v>38</v>
      </c>
      <c r="C3505" s="13" t="s">
        <v>14</v>
      </c>
      <c r="D3505" s="19">
        <v>12290</v>
      </c>
      <c r="E3505" s="13" t="s">
        <v>10796</v>
      </c>
      <c r="F3505" s="14">
        <v>41275</v>
      </c>
      <c r="G3505" s="14">
        <v>41639</v>
      </c>
      <c r="H3505" s="13" t="s">
        <v>651</v>
      </c>
      <c r="I3505" s="18">
        <v>565.65</v>
      </c>
      <c r="J3505" s="18">
        <v>565.65</v>
      </c>
      <c r="K3505" s="20" t="s">
        <v>5018</v>
      </c>
    </row>
    <row r="3506" spans="1:11" ht="14.25" customHeight="1" x14ac:dyDescent="0.25">
      <c r="A3506" s="13" t="s">
        <v>10797</v>
      </c>
      <c r="B3506" s="13" t="s">
        <v>38</v>
      </c>
      <c r="C3506" s="13" t="s">
        <v>14</v>
      </c>
      <c r="D3506" s="19">
        <v>12291</v>
      </c>
      <c r="E3506" s="13" t="s">
        <v>10792</v>
      </c>
      <c r="F3506" s="14">
        <v>41275</v>
      </c>
      <c r="G3506" s="14">
        <v>41639</v>
      </c>
      <c r="H3506" s="13" t="s">
        <v>651</v>
      </c>
      <c r="I3506" s="18">
        <v>259.42</v>
      </c>
      <c r="J3506" s="18">
        <v>259.42</v>
      </c>
      <c r="K3506" s="20" t="s">
        <v>5018</v>
      </c>
    </row>
    <row r="3507" spans="1:11" ht="14.25" customHeight="1" x14ac:dyDescent="0.25">
      <c r="A3507" s="13" t="s">
        <v>10798</v>
      </c>
      <c r="B3507" s="13" t="s">
        <v>38</v>
      </c>
      <c r="C3507" s="13" t="s">
        <v>14</v>
      </c>
      <c r="D3507" s="19">
        <v>12292</v>
      </c>
      <c r="E3507" s="13" t="s">
        <v>10799</v>
      </c>
      <c r="F3507" s="14">
        <v>41275</v>
      </c>
      <c r="G3507" s="14">
        <v>41639</v>
      </c>
      <c r="H3507" s="13" t="s">
        <v>651</v>
      </c>
      <c r="I3507" s="18">
        <v>676.8</v>
      </c>
      <c r="J3507" s="18">
        <v>676.8</v>
      </c>
      <c r="K3507" s="20" t="s">
        <v>5018</v>
      </c>
    </row>
    <row r="3508" spans="1:11" ht="14.25" customHeight="1" x14ac:dyDescent="0.25">
      <c r="A3508" s="13" t="s">
        <v>10800</v>
      </c>
      <c r="B3508" s="13" t="s">
        <v>38</v>
      </c>
      <c r="C3508" s="13" t="s">
        <v>14</v>
      </c>
      <c r="D3508" s="19">
        <v>12293</v>
      </c>
      <c r="E3508" s="13" t="s">
        <v>10801</v>
      </c>
      <c r="F3508" s="14">
        <v>41275</v>
      </c>
      <c r="G3508" s="14">
        <v>41639</v>
      </c>
      <c r="H3508" s="13" t="s">
        <v>651</v>
      </c>
      <c r="I3508" s="18">
        <v>456.55</v>
      </c>
      <c r="J3508" s="18">
        <v>456.55</v>
      </c>
      <c r="K3508" s="20" t="s">
        <v>5018</v>
      </c>
    </row>
    <row r="3509" spans="1:11" ht="14.25" customHeight="1" x14ac:dyDescent="0.25">
      <c r="A3509" s="13" t="s">
        <v>10802</v>
      </c>
      <c r="B3509" s="13" t="s">
        <v>38</v>
      </c>
      <c r="C3509" s="13" t="s">
        <v>14</v>
      </c>
      <c r="D3509" s="19">
        <v>12294</v>
      </c>
      <c r="E3509" s="13" t="s">
        <v>10803</v>
      </c>
      <c r="F3509" s="14">
        <v>41275</v>
      </c>
      <c r="G3509" s="14">
        <v>41639</v>
      </c>
      <c r="H3509" s="13" t="s">
        <v>651</v>
      </c>
      <c r="I3509" s="18">
        <v>370</v>
      </c>
      <c r="J3509" s="18">
        <v>370</v>
      </c>
      <c r="K3509" s="20" t="s">
        <v>5018</v>
      </c>
    </row>
    <row r="3510" spans="1:11" ht="14.25" customHeight="1" x14ac:dyDescent="0.25">
      <c r="A3510" s="13" t="s">
        <v>10804</v>
      </c>
      <c r="B3510" s="13" t="s">
        <v>38</v>
      </c>
      <c r="C3510" s="13" t="s">
        <v>14</v>
      </c>
      <c r="D3510" s="19">
        <v>12295</v>
      </c>
      <c r="E3510" s="13" t="s">
        <v>10805</v>
      </c>
      <c r="F3510" s="14">
        <v>41275</v>
      </c>
      <c r="G3510" s="14">
        <v>41639</v>
      </c>
      <c r="H3510" s="13" t="s">
        <v>651</v>
      </c>
      <c r="I3510" s="18">
        <v>200</v>
      </c>
      <c r="J3510" s="18">
        <v>200</v>
      </c>
      <c r="K3510" s="20" t="s">
        <v>5018</v>
      </c>
    </row>
    <row r="3511" spans="1:11" ht="14.25" customHeight="1" x14ac:dyDescent="0.25">
      <c r="A3511" s="13" t="s">
        <v>10806</v>
      </c>
      <c r="B3511" s="13" t="s">
        <v>38</v>
      </c>
      <c r="C3511" s="13" t="s">
        <v>14</v>
      </c>
      <c r="D3511" s="19">
        <v>12296</v>
      </c>
      <c r="E3511" s="13" t="s">
        <v>10807</v>
      </c>
      <c r="F3511" s="14">
        <v>41275</v>
      </c>
      <c r="G3511" s="14">
        <v>41639</v>
      </c>
      <c r="H3511" s="13" t="s">
        <v>651</v>
      </c>
      <c r="I3511" s="18">
        <v>1362.2</v>
      </c>
      <c r="J3511" s="18">
        <v>1362.2</v>
      </c>
      <c r="K3511" s="20" t="s">
        <v>5018</v>
      </c>
    </row>
    <row r="3512" spans="1:11" ht="14.25" customHeight="1" x14ac:dyDescent="0.25">
      <c r="A3512" s="13" t="s">
        <v>10808</v>
      </c>
      <c r="B3512" s="13" t="s">
        <v>38</v>
      </c>
      <c r="C3512" s="13" t="s">
        <v>14</v>
      </c>
      <c r="D3512" s="19">
        <v>12297</v>
      </c>
      <c r="E3512" s="13" t="s">
        <v>10809</v>
      </c>
      <c r="F3512" s="14">
        <v>41275</v>
      </c>
      <c r="G3512" s="14">
        <v>41639</v>
      </c>
      <c r="H3512" s="13" t="s">
        <v>651</v>
      </c>
      <c r="I3512" s="18">
        <v>265</v>
      </c>
      <c r="J3512" s="18">
        <v>265</v>
      </c>
      <c r="K3512" s="20" t="s">
        <v>5018</v>
      </c>
    </row>
    <row r="3513" spans="1:11" ht="14.25" customHeight="1" x14ac:dyDescent="0.25">
      <c r="A3513" s="13" t="s">
        <v>10810</v>
      </c>
      <c r="B3513" s="13" t="s">
        <v>38</v>
      </c>
      <c r="C3513" s="13" t="s">
        <v>14</v>
      </c>
      <c r="D3513" s="19">
        <v>12298</v>
      </c>
      <c r="E3513" s="13" t="s">
        <v>10811</v>
      </c>
      <c r="F3513" s="14">
        <v>41275</v>
      </c>
      <c r="G3513" s="14">
        <v>41639</v>
      </c>
      <c r="H3513" s="13" t="s">
        <v>651</v>
      </c>
      <c r="I3513" s="18">
        <v>1233.8</v>
      </c>
      <c r="J3513" s="18">
        <v>1233.8</v>
      </c>
      <c r="K3513" s="20" t="s">
        <v>5018</v>
      </c>
    </row>
    <row r="3514" spans="1:11" ht="14.25" customHeight="1" x14ac:dyDescent="0.25">
      <c r="A3514" s="13" t="s">
        <v>10812</v>
      </c>
      <c r="B3514" s="13" t="s">
        <v>38</v>
      </c>
      <c r="C3514" s="13" t="s">
        <v>14</v>
      </c>
      <c r="D3514" s="19">
        <v>12300</v>
      </c>
      <c r="E3514" s="13" t="s">
        <v>10813</v>
      </c>
      <c r="F3514" s="14">
        <v>41275</v>
      </c>
      <c r="G3514" s="14">
        <v>41639</v>
      </c>
      <c r="H3514" s="13" t="s">
        <v>651</v>
      </c>
      <c r="I3514" s="18">
        <v>280</v>
      </c>
      <c r="J3514" s="18">
        <v>280</v>
      </c>
      <c r="K3514" s="20" t="s">
        <v>5018</v>
      </c>
    </row>
    <row r="3515" spans="1:11" ht="14.25" customHeight="1" x14ac:dyDescent="0.25">
      <c r="A3515" s="13" t="s">
        <v>10814</v>
      </c>
      <c r="B3515" s="13" t="s">
        <v>38</v>
      </c>
      <c r="C3515" s="13" t="s">
        <v>14</v>
      </c>
      <c r="D3515" s="19">
        <v>12301</v>
      </c>
      <c r="E3515" s="13" t="s">
        <v>10815</v>
      </c>
      <c r="F3515" s="14">
        <v>41275</v>
      </c>
      <c r="G3515" s="14">
        <v>41639</v>
      </c>
      <c r="H3515" s="13" t="s">
        <v>651</v>
      </c>
      <c r="I3515" s="18">
        <v>1938.9</v>
      </c>
      <c r="J3515" s="18">
        <v>1938.9</v>
      </c>
      <c r="K3515" s="20" t="s">
        <v>5018</v>
      </c>
    </row>
    <row r="3516" spans="1:11" ht="14.25" customHeight="1" x14ac:dyDescent="0.25">
      <c r="A3516" s="13" t="s">
        <v>10816</v>
      </c>
      <c r="B3516" s="13" t="s">
        <v>38</v>
      </c>
      <c r="C3516" s="13" t="s">
        <v>14</v>
      </c>
      <c r="D3516" s="19">
        <v>12302</v>
      </c>
      <c r="E3516" s="13" t="s">
        <v>10817</v>
      </c>
      <c r="F3516" s="14">
        <v>41275</v>
      </c>
      <c r="G3516" s="14">
        <v>41639</v>
      </c>
      <c r="H3516" s="13" t="s">
        <v>651</v>
      </c>
      <c r="I3516" s="18">
        <v>203.5</v>
      </c>
      <c r="J3516" s="18">
        <v>203.5</v>
      </c>
      <c r="K3516" s="20" t="s">
        <v>5018</v>
      </c>
    </row>
    <row r="3517" spans="1:11" ht="14.25" customHeight="1" x14ac:dyDescent="0.25">
      <c r="A3517" s="13" t="s">
        <v>10818</v>
      </c>
      <c r="B3517" s="13" t="s">
        <v>38</v>
      </c>
      <c r="C3517" s="13" t="s">
        <v>14</v>
      </c>
      <c r="D3517" s="19">
        <v>12303</v>
      </c>
      <c r="E3517" s="13" t="s">
        <v>10819</v>
      </c>
      <c r="F3517" s="14">
        <v>41275</v>
      </c>
      <c r="G3517" s="14">
        <v>41639</v>
      </c>
      <c r="H3517" s="13" t="s">
        <v>651</v>
      </c>
      <c r="I3517" s="18">
        <v>1780.8</v>
      </c>
      <c r="J3517" s="18">
        <v>1780.8</v>
      </c>
      <c r="K3517" s="20" t="s">
        <v>5018</v>
      </c>
    </row>
    <row r="3518" spans="1:11" ht="14.25" customHeight="1" x14ac:dyDescent="0.25">
      <c r="A3518" s="13" t="s">
        <v>10820</v>
      </c>
      <c r="B3518" s="13" t="s">
        <v>38</v>
      </c>
      <c r="C3518" s="13" t="s">
        <v>14</v>
      </c>
      <c r="D3518" s="19">
        <v>12304</v>
      </c>
      <c r="E3518" s="13" t="s">
        <v>10821</v>
      </c>
      <c r="F3518" s="14">
        <v>41275</v>
      </c>
      <c r="G3518" s="14">
        <v>41639</v>
      </c>
      <c r="H3518" s="13" t="s">
        <v>651</v>
      </c>
      <c r="I3518" s="18">
        <v>1077.2</v>
      </c>
      <c r="J3518" s="18">
        <v>1077.2</v>
      </c>
      <c r="K3518" s="20" t="s">
        <v>5018</v>
      </c>
    </row>
    <row r="3519" spans="1:11" ht="14.25" customHeight="1" x14ac:dyDescent="0.25">
      <c r="A3519" s="13" t="s">
        <v>10822</v>
      </c>
      <c r="B3519" s="13" t="s">
        <v>38</v>
      </c>
      <c r="C3519" s="13" t="s">
        <v>14</v>
      </c>
      <c r="D3519" s="19">
        <v>12305</v>
      </c>
      <c r="E3519" s="13" t="s">
        <v>10823</v>
      </c>
      <c r="F3519" s="14">
        <v>41275</v>
      </c>
      <c r="G3519" s="14">
        <v>41639</v>
      </c>
      <c r="H3519" s="13" t="s">
        <v>651</v>
      </c>
      <c r="I3519" s="18">
        <v>1182.6500000000001</v>
      </c>
      <c r="J3519" s="18">
        <v>1182.6500000000001</v>
      </c>
      <c r="K3519" s="20" t="s">
        <v>5018</v>
      </c>
    </row>
    <row r="3520" spans="1:11" ht="14.25" customHeight="1" x14ac:dyDescent="0.25">
      <c r="A3520" s="13" t="s">
        <v>10824</v>
      </c>
      <c r="B3520" s="13" t="s">
        <v>38</v>
      </c>
      <c r="C3520" s="13" t="s">
        <v>14</v>
      </c>
      <c r="D3520" s="19">
        <v>12306</v>
      </c>
      <c r="E3520" s="13" t="s">
        <v>10825</v>
      </c>
      <c r="F3520" s="14">
        <v>41275</v>
      </c>
      <c r="G3520" s="14">
        <v>41639</v>
      </c>
      <c r="H3520" s="13" t="s">
        <v>651</v>
      </c>
      <c r="I3520" s="18">
        <v>520</v>
      </c>
      <c r="J3520" s="18">
        <v>520</v>
      </c>
      <c r="K3520" s="20" t="s">
        <v>5018</v>
      </c>
    </row>
    <row r="3521" spans="1:11" ht="14.25" customHeight="1" x14ac:dyDescent="0.25">
      <c r="A3521" s="13" t="s">
        <v>10826</v>
      </c>
      <c r="B3521" s="13" t="s">
        <v>38</v>
      </c>
      <c r="C3521" s="13" t="s">
        <v>14</v>
      </c>
      <c r="D3521" s="19">
        <v>12307</v>
      </c>
      <c r="E3521" s="13" t="s">
        <v>10827</v>
      </c>
      <c r="F3521" s="14">
        <v>41275</v>
      </c>
      <c r="G3521" s="14">
        <v>41639</v>
      </c>
      <c r="H3521" s="13" t="s">
        <v>651</v>
      </c>
      <c r="I3521" s="18">
        <v>1780.8</v>
      </c>
      <c r="J3521" s="18">
        <v>1780.8</v>
      </c>
      <c r="K3521" s="20" t="s">
        <v>5018</v>
      </c>
    </row>
    <row r="3522" spans="1:11" ht="14.25" customHeight="1" x14ac:dyDescent="0.25">
      <c r="A3522" s="13" t="s">
        <v>10828</v>
      </c>
      <c r="B3522" s="13" t="s">
        <v>38</v>
      </c>
      <c r="C3522" s="13" t="s">
        <v>14</v>
      </c>
      <c r="D3522" s="19">
        <v>12308</v>
      </c>
      <c r="E3522" s="13" t="s">
        <v>10829</v>
      </c>
      <c r="F3522" s="14">
        <v>41275</v>
      </c>
      <c r="G3522" s="14">
        <v>41639</v>
      </c>
      <c r="H3522" s="13" t="s">
        <v>651</v>
      </c>
      <c r="I3522" s="18">
        <v>749</v>
      </c>
      <c r="J3522" s="18">
        <v>749</v>
      </c>
      <c r="K3522" s="20" t="s">
        <v>5018</v>
      </c>
    </row>
    <row r="3523" spans="1:11" ht="14.25" customHeight="1" x14ac:dyDescent="0.25">
      <c r="A3523" s="13" t="s">
        <v>10830</v>
      </c>
      <c r="B3523" s="13" t="s">
        <v>38</v>
      </c>
      <c r="C3523" s="13" t="s">
        <v>14</v>
      </c>
      <c r="D3523" s="19">
        <v>12309</v>
      </c>
      <c r="E3523" s="13" t="s">
        <v>10831</v>
      </c>
      <c r="F3523" s="14">
        <v>41275</v>
      </c>
      <c r="G3523" s="14">
        <v>41639</v>
      </c>
      <c r="H3523" s="13" t="s">
        <v>651</v>
      </c>
      <c r="I3523" s="18">
        <v>337.5</v>
      </c>
      <c r="J3523" s="18">
        <v>337.5</v>
      </c>
      <c r="K3523" s="20" t="s">
        <v>5018</v>
      </c>
    </row>
    <row r="3524" spans="1:11" ht="14.25" customHeight="1" x14ac:dyDescent="0.25">
      <c r="A3524" s="13" t="s">
        <v>10832</v>
      </c>
      <c r="B3524" s="13" t="s">
        <v>38</v>
      </c>
      <c r="C3524" s="13" t="s">
        <v>14</v>
      </c>
      <c r="D3524" s="19">
        <v>12310</v>
      </c>
      <c r="E3524" s="13" t="s">
        <v>10833</v>
      </c>
      <c r="F3524" s="14">
        <v>41275</v>
      </c>
      <c r="G3524" s="14">
        <v>41639</v>
      </c>
      <c r="H3524" s="13" t="s">
        <v>651</v>
      </c>
      <c r="I3524" s="18">
        <v>319.45</v>
      </c>
      <c r="J3524" s="18">
        <v>319.45</v>
      </c>
      <c r="K3524" s="20" t="s">
        <v>5018</v>
      </c>
    </row>
    <row r="3525" spans="1:11" ht="14.25" customHeight="1" x14ac:dyDescent="0.25">
      <c r="A3525" s="13" t="s">
        <v>10834</v>
      </c>
      <c r="B3525" s="13" t="s">
        <v>38</v>
      </c>
      <c r="C3525" s="13" t="s">
        <v>14</v>
      </c>
      <c r="D3525" s="19">
        <v>12311</v>
      </c>
      <c r="E3525" s="13" t="s">
        <v>10835</v>
      </c>
      <c r="F3525" s="14">
        <v>41275</v>
      </c>
      <c r="G3525" s="14">
        <v>41639</v>
      </c>
      <c r="H3525" s="13" t="s">
        <v>651</v>
      </c>
      <c r="I3525" s="18">
        <v>924.2</v>
      </c>
      <c r="J3525" s="18">
        <v>924.2</v>
      </c>
      <c r="K3525" s="20" t="s">
        <v>5018</v>
      </c>
    </row>
    <row r="3526" spans="1:11" ht="14.25" customHeight="1" x14ac:dyDescent="0.25">
      <c r="A3526" s="13" t="s">
        <v>10836</v>
      </c>
      <c r="B3526" s="13" t="s">
        <v>38</v>
      </c>
      <c r="C3526" s="13" t="s">
        <v>14</v>
      </c>
      <c r="D3526" s="19">
        <v>12312</v>
      </c>
      <c r="E3526" s="13" t="s">
        <v>10837</v>
      </c>
      <c r="F3526" s="14">
        <v>41275</v>
      </c>
      <c r="G3526" s="14">
        <v>41639</v>
      </c>
      <c r="H3526" s="13" t="s">
        <v>651</v>
      </c>
      <c r="I3526" s="18">
        <v>1094.6500000000001</v>
      </c>
      <c r="J3526" s="18">
        <v>1094.6500000000001</v>
      </c>
      <c r="K3526" s="20" t="s">
        <v>5018</v>
      </c>
    </row>
    <row r="3527" spans="1:11" ht="14.25" customHeight="1" x14ac:dyDescent="0.25">
      <c r="A3527" s="13" t="s">
        <v>10838</v>
      </c>
      <c r="B3527" s="13" t="s">
        <v>38</v>
      </c>
      <c r="C3527" s="13" t="s">
        <v>14</v>
      </c>
      <c r="D3527" s="19">
        <v>12313</v>
      </c>
      <c r="E3527" s="13" t="s">
        <v>10839</v>
      </c>
      <c r="F3527" s="14">
        <v>41275</v>
      </c>
      <c r="G3527" s="14">
        <v>41639</v>
      </c>
      <c r="H3527" s="13" t="s">
        <v>651</v>
      </c>
      <c r="I3527" s="18">
        <v>1572.9</v>
      </c>
      <c r="J3527" s="18">
        <v>1572.9</v>
      </c>
      <c r="K3527" s="20" t="s">
        <v>5018</v>
      </c>
    </row>
    <row r="3528" spans="1:11" ht="14.25" customHeight="1" x14ac:dyDescent="0.25">
      <c r="A3528" s="13" t="s">
        <v>10840</v>
      </c>
      <c r="B3528" s="13" t="s">
        <v>38</v>
      </c>
      <c r="C3528" s="13" t="s">
        <v>14</v>
      </c>
      <c r="D3528" s="19">
        <v>12314</v>
      </c>
      <c r="E3528" s="13" t="s">
        <v>10841</v>
      </c>
      <c r="F3528" s="14">
        <v>41275</v>
      </c>
      <c r="G3528" s="14">
        <v>41639</v>
      </c>
      <c r="H3528" s="13" t="s">
        <v>651</v>
      </c>
      <c r="I3528" s="18">
        <v>630</v>
      </c>
      <c r="J3528" s="18">
        <v>630</v>
      </c>
      <c r="K3528" s="20" t="s">
        <v>5018</v>
      </c>
    </row>
    <row r="3529" spans="1:11" ht="14.25" customHeight="1" x14ac:dyDescent="0.25">
      <c r="A3529" s="13" t="s">
        <v>10842</v>
      </c>
      <c r="B3529" s="13" t="s">
        <v>38</v>
      </c>
      <c r="C3529" s="13" t="s">
        <v>14</v>
      </c>
      <c r="D3529" s="19">
        <v>12315</v>
      </c>
      <c r="E3529" s="13" t="s">
        <v>10843</v>
      </c>
      <c r="F3529" s="14">
        <v>41275</v>
      </c>
      <c r="G3529" s="14">
        <v>41639</v>
      </c>
      <c r="H3529" s="13" t="s">
        <v>651</v>
      </c>
      <c r="I3529" s="18">
        <v>524</v>
      </c>
      <c r="J3529" s="18">
        <v>524</v>
      </c>
      <c r="K3529" s="20" t="s">
        <v>5018</v>
      </c>
    </row>
    <row r="3530" spans="1:11" ht="14.25" customHeight="1" x14ac:dyDescent="0.25">
      <c r="A3530" s="13" t="s">
        <v>10844</v>
      </c>
      <c r="B3530" s="13" t="s">
        <v>38</v>
      </c>
      <c r="C3530" s="13" t="s">
        <v>14</v>
      </c>
      <c r="D3530" s="19">
        <v>12316</v>
      </c>
      <c r="E3530" s="13" t="s">
        <v>10843</v>
      </c>
      <c r="F3530" s="14">
        <v>41275</v>
      </c>
      <c r="G3530" s="14">
        <v>41639</v>
      </c>
      <c r="H3530" s="13" t="s">
        <v>651</v>
      </c>
      <c r="I3530" s="18">
        <v>727</v>
      </c>
      <c r="J3530" s="18">
        <v>727</v>
      </c>
      <c r="K3530" s="20" t="s">
        <v>5018</v>
      </c>
    </row>
    <row r="3531" spans="1:11" ht="14.25" customHeight="1" x14ac:dyDescent="0.25">
      <c r="A3531" s="13" t="s">
        <v>10845</v>
      </c>
      <c r="B3531" s="13" t="s">
        <v>38</v>
      </c>
      <c r="C3531" s="13" t="s">
        <v>14</v>
      </c>
      <c r="D3531" s="19">
        <v>12317</v>
      </c>
      <c r="E3531" s="13" t="s">
        <v>10846</v>
      </c>
      <c r="F3531" s="14">
        <v>41275</v>
      </c>
      <c r="G3531" s="14">
        <v>41639</v>
      </c>
      <c r="H3531" s="13" t="s">
        <v>651</v>
      </c>
      <c r="I3531" s="18">
        <v>212</v>
      </c>
      <c r="J3531" s="18">
        <v>212</v>
      </c>
      <c r="K3531" s="20" t="s">
        <v>5018</v>
      </c>
    </row>
    <row r="3532" spans="1:11" ht="14.25" customHeight="1" x14ac:dyDescent="0.25">
      <c r="A3532" s="13" t="s">
        <v>10847</v>
      </c>
      <c r="B3532" s="13" t="s">
        <v>38</v>
      </c>
      <c r="C3532" s="13" t="s">
        <v>14</v>
      </c>
      <c r="D3532" s="19">
        <v>12318</v>
      </c>
      <c r="E3532" s="13" t="s">
        <v>10848</v>
      </c>
      <c r="F3532" s="14">
        <v>41275</v>
      </c>
      <c r="G3532" s="14">
        <v>41639</v>
      </c>
      <c r="H3532" s="13" t="s">
        <v>651</v>
      </c>
      <c r="I3532" s="18">
        <v>287</v>
      </c>
      <c r="J3532" s="18">
        <v>287</v>
      </c>
      <c r="K3532" s="20" t="s">
        <v>5018</v>
      </c>
    </row>
    <row r="3533" spans="1:11" ht="14.25" customHeight="1" x14ac:dyDescent="0.25">
      <c r="A3533" s="13" t="s">
        <v>10849</v>
      </c>
      <c r="B3533" s="13" t="s">
        <v>38</v>
      </c>
      <c r="C3533" s="13" t="s">
        <v>14</v>
      </c>
      <c r="D3533" s="19">
        <v>12319</v>
      </c>
      <c r="E3533" s="13" t="s">
        <v>10850</v>
      </c>
      <c r="F3533" s="14">
        <v>41275</v>
      </c>
      <c r="G3533" s="14">
        <v>41639</v>
      </c>
      <c r="H3533" s="13" t="s">
        <v>651</v>
      </c>
      <c r="I3533" s="18">
        <v>220</v>
      </c>
      <c r="J3533" s="18">
        <v>220</v>
      </c>
      <c r="K3533" s="20" t="s">
        <v>5018</v>
      </c>
    </row>
    <row r="3534" spans="1:11" ht="14.25" customHeight="1" x14ac:dyDescent="0.25">
      <c r="A3534" s="13" t="s">
        <v>10851</v>
      </c>
      <c r="B3534" s="13" t="s">
        <v>38</v>
      </c>
      <c r="C3534" s="13" t="s">
        <v>14</v>
      </c>
      <c r="D3534" s="19">
        <v>12320</v>
      </c>
      <c r="E3534" s="13" t="s">
        <v>10852</v>
      </c>
      <c r="F3534" s="14">
        <v>41275</v>
      </c>
      <c r="G3534" s="14">
        <v>41639</v>
      </c>
      <c r="H3534" s="13" t="s">
        <v>651</v>
      </c>
      <c r="I3534" s="18">
        <v>420</v>
      </c>
      <c r="J3534" s="18">
        <v>420</v>
      </c>
      <c r="K3534" s="20" t="s">
        <v>5018</v>
      </c>
    </row>
    <row r="3535" spans="1:11" ht="14.25" customHeight="1" x14ac:dyDescent="0.25">
      <c r="A3535" s="13" t="s">
        <v>10853</v>
      </c>
      <c r="B3535" s="13" t="s">
        <v>38</v>
      </c>
      <c r="C3535" s="13" t="s">
        <v>14</v>
      </c>
      <c r="D3535" s="19">
        <v>12321</v>
      </c>
      <c r="E3535" s="13" t="s">
        <v>10338</v>
      </c>
      <c r="F3535" s="14">
        <v>41275</v>
      </c>
      <c r="G3535" s="14">
        <v>41639</v>
      </c>
      <c r="H3535" s="13" t="s">
        <v>651</v>
      </c>
      <c r="I3535" s="18">
        <v>570</v>
      </c>
      <c r="J3535" s="18">
        <v>570</v>
      </c>
      <c r="K3535" s="20" t="s">
        <v>5018</v>
      </c>
    </row>
    <row r="3536" spans="1:11" ht="14.25" customHeight="1" x14ac:dyDescent="0.25">
      <c r="A3536" s="13" t="s">
        <v>10854</v>
      </c>
      <c r="B3536" s="13" t="s">
        <v>38</v>
      </c>
      <c r="C3536" s="13" t="s">
        <v>14</v>
      </c>
      <c r="D3536" s="19">
        <v>12322</v>
      </c>
      <c r="E3536" s="13" t="s">
        <v>10855</v>
      </c>
      <c r="F3536" s="14">
        <v>41275</v>
      </c>
      <c r="G3536" s="14">
        <v>41639</v>
      </c>
      <c r="H3536" s="13" t="s">
        <v>651</v>
      </c>
      <c r="I3536" s="18">
        <v>245</v>
      </c>
      <c r="J3536" s="18">
        <v>245</v>
      </c>
      <c r="K3536" s="20" t="s">
        <v>5018</v>
      </c>
    </row>
    <row r="3537" spans="1:11" ht="14.25" customHeight="1" x14ac:dyDescent="0.25">
      <c r="A3537" s="13" t="s">
        <v>10856</v>
      </c>
      <c r="B3537" s="13" t="s">
        <v>38</v>
      </c>
      <c r="C3537" s="13" t="s">
        <v>14</v>
      </c>
      <c r="D3537" s="19">
        <v>12324</v>
      </c>
      <c r="E3537" s="13" t="s">
        <v>10857</v>
      </c>
      <c r="F3537" s="14">
        <v>41275</v>
      </c>
      <c r="G3537" s="14">
        <v>41639</v>
      </c>
      <c r="H3537" s="13" t="s">
        <v>651</v>
      </c>
      <c r="I3537" s="18">
        <v>220</v>
      </c>
      <c r="J3537" s="18">
        <v>220</v>
      </c>
      <c r="K3537" s="20" t="s">
        <v>5018</v>
      </c>
    </row>
    <row r="3538" spans="1:11" ht="14.25" customHeight="1" x14ac:dyDescent="0.25">
      <c r="A3538" s="13" t="s">
        <v>10858</v>
      </c>
      <c r="B3538" s="13" t="s">
        <v>38</v>
      </c>
      <c r="C3538" s="13" t="s">
        <v>14</v>
      </c>
      <c r="D3538" s="19">
        <v>12325</v>
      </c>
      <c r="E3538" s="13" t="s">
        <v>10850</v>
      </c>
      <c r="F3538" s="14">
        <v>41275</v>
      </c>
      <c r="G3538" s="14">
        <v>41639</v>
      </c>
      <c r="H3538" s="13" t="s">
        <v>651</v>
      </c>
      <c r="I3538" s="18">
        <v>334</v>
      </c>
      <c r="J3538" s="18">
        <v>334</v>
      </c>
      <c r="K3538" s="20" t="s">
        <v>5018</v>
      </c>
    </row>
    <row r="3539" spans="1:11" ht="14.25" customHeight="1" x14ac:dyDescent="0.25">
      <c r="A3539" s="13" t="s">
        <v>10859</v>
      </c>
      <c r="B3539" s="13" t="s">
        <v>38</v>
      </c>
      <c r="C3539" s="13" t="s">
        <v>14</v>
      </c>
      <c r="D3539" s="19">
        <v>12326</v>
      </c>
      <c r="E3539" s="13" t="s">
        <v>10843</v>
      </c>
      <c r="F3539" s="14">
        <v>41275</v>
      </c>
      <c r="G3539" s="14">
        <v>41639</v>
      </c>
      <c r="H3539" s="13" t="s">
        <v>651</v>
      </c>
      <c r="I3539" s="18">
        <v>762</v>
      </c>
      <c r="J3539" s="18">
        <v>762</v>
      </c>
      <c r="K3539" s="20" t="s">
        <v>5018</v>
      </c>
    </row>
    <row r="3540" spans="1:11" ht="14.25" customHeight="1" x14ac:dyDescent="0.25">
      <c r="A3540" s="13" t="s">
        <v>10860</v>
      </c>
      <c r="B3540" s="13" t="s">
        <v>38</v>
      </c>
      <c r="C3540" s="13" t="s">
        <v>14</v>
      </c>
      <c r="D3540" s="19">
        <v>12327</v>
      </c>
      <c r="E3540" s="13" t="s">
        <v>10852</v>
      </c>
      <c r="F3540" s="14">
        <v>41275</v>
      </c>
      <c r="G3540" s="14">
        <v>41639</v>
      </c>
      <c r="H3540" s="13" t="s">
        <v>651</v>
      </c>
      <c r="I3540" s="18">
        <v>300</v>
      </c>
      <c r="J3540" s="18">
        <v>300</v>
      </c>
      <c r="K3540" s="20" t="s">
        <v>5018</v>
      </c>
    </row>
    <row r="3541" spans="1:11" ht="14.25" customHeight="1" x14ac:dyDescent="0.25">
      <c r="A3541" s="13" t="s">
        <v>10861</v>
      </c>
      <c r="B3541" s="13" t="s">
        <v>38</v>
      </c>
      <c r="C3541" s="13" t="s">
        <v>14</v>
      </c>
      <c r="D3541" s="19">
        <v>12328</v>
      </c>
      <c r="E3541" s="13" t="s">
        <v>10862</v>
      </c>
      <c r="F3541" s="14">
        <v>41275</v>
      </c>
      <c r="G3541" s="14">
        <v>41639</v>
      </c>
      <c r="H3541" s="13" t="s">
        <v>651</v>
      </c>
      <c r="I3541" s="18">
        <v>926</v>
      </c>
      <c r="J3541" s="18">
        <v>926</v>
      </c>
      <c r="K3541" s="20" t="s">
        <v>5018</v>
      </c>
    </row>
    <row r="3542" spans="1:11" ht="14.25" customHeight="1" x14ac:dyDescent="0.25">
      <c r="A3542" s="13" t="s">
        <v>10863</v>
      </c>
      <c r="B3542" s="13" t="s">
        <v>38</v>
      </c>
      <c r="C3542" s="13" t="s">
        <v>14</v>
      </c>
      <c r="D3542" s="19">
        <v>12329</v>
      </c>
      <c r="E3542" s="13" t="s">
        <v>10864</v>
      </c>
      <c r="F3542" s="14">
        <v>41275</v>
      </c>
      <c r="G3542" s="14">
        <v>41639</v>
      </c>
      <c r="H3542" s="13" t="s">
        <v>651</v>
      </c>
      <c r="I3542" s="18">
        <v>585</v>
      </c>
      <c r="J3542" s="18">
        <v>585</v>
      </c>
      <c r="K3542" s="20" t="s">
        <v>5018</v>
      </c>
    </row>
    <row r="3543" spans="1:11" ht="14.25" customHeight="1" x14ac:dyDescent="0.25">
      <c r="A3543" s="13" t="s">
        <v>10865</v>
      </c>
      <c r="B3543" s="13" t="s">
        <v>38</v>
      </c>
      <c r="C3543" s="13" t="s">
        <v>14</v>
      </c>
      <c r="D3543" s="19">
        <v>12330</v>
      </c>
      <c r="E3543" s="13" t="s">
        <v>10848</v>
      </c>
      <c r="F3543" s="14">
        <v>41275</v>
      </c>
      <c r="G3543" s="14">
        <v>41639</v>
      </c>
      <c r="H3543" s="13" t="s">
        <v>651</v>
      </c>
      <c r="I3543" s="18">
        <v>271.5</v>
      </c>
      <c r="J3543" s="18">
        <v>271.5</v>
      </c>
      <c r="K3543" s="20" t="s">
        <v>5018</v>
      </c>
    </row>
    <row r="3544" spans="1:11" ht="14.25" customHeight="1" x14ac:dyDescent="0.25">
      <c r="A3544" s="13" t="s">
        <v>10866</v>
      </c>
      <c r="B3544" s="13" t="s">
        <v>38</v>
      </c>
      <c r="C3544" s="13" t="s">
        <v>14</v>
      </c>
      <c r="D3544" s="19">
        <v>12331</v>
      </c>
      <c r="E3544" s="13" t="s">
        <v>10338</v>
      </c>
      <c r="F3544" s="14">
        <v>41275</v>
      </c>
      <c r="G3544" s="14">
        <v>41639</v>
      </c>
      <c r="H3544" s="13" t="s">
        <v>651</v>
      </c>
      <c r="I3544" s="18">
        <v>399</v>
      </c>
      <c r="J3544" s="18">
        <v>399</v>
      </c>
      <c r="K3544" s="20" t="s">
        <v>5018</v>
      </c>
    </row>
    <row r="3545" spans="1:11" ht="14.25" customHeight="1" x14ac:dyDescent="0.25">
      <c r="A3545" s="13" t="s">
        <v>10867</v>
      </c>
      <c r="B3545" s="13" t="s">
        <v>38</v>
      </c>
      <c r="C3545" s="13" t="s">
        <v>14</v>
      </c>
      <c r="D3545" s="19">
        <v>12332</v>
      </c>
      <c r="E3545" s="13" t="s">
        <v>10868</v>
      </c>
      <c r="F3545" s="14">
        <v>41275</v>
      </c>
      <c r="G3545" s="14">
        <v>41639</v>
      </c>
      <c r="H3545" s="13" t="s">
        <v>651</v>
      </c>
      <c r="I3545" s="18">
        <v>947</v>
      </c>
      <c r="J3545" s="18">
        <v>947</v>
      </c>
      <c r="K3545" s="20" t="s">
        <v>5018</v>
      </c>
    </row>
    <row r="3546" spans="1:11" ht="14.25" customHeight="1" x14ac:dyDescent="0.25">
      <c r="A3546" s="13" t="s">
        <v>10869</v>
      </c>
      <c r="B3546" s="13" t="s">
        <v>38</v>
      </c>
      <c r="C3546" s="13" t="s">
        <v>14</v>
      </c>
      <c r="D3546" s="19">
        <v>12333</v>
      </c>
      <c r="E3546" s="13" t="s">
        <v>10870</v>
      </c>
      <c r="F3546" s="14">
        <v>41275</v>
      </c>
      <c r="G3546" s="14">
        <v>41639</v>
      </c>
      <c r="H3546" s="13" t="s">
        <v>651</v>
      </c>
      <c r="I3546" s="18">
        <v>6011.8</v>
      </c>
      <c r="J3546" s="18">
        <v>6011.8</v>
      </c>
      <c r="K3546" s="20" t="s">
        <v>5018</v>
      </c>
    </row>
    <row r="3547" spans="1:11" ht="14.25" customHeight="1" x14ac:dyDescent="0.25">
      <c r="A3547" s="13" t="s">
        <v>10871</v>
      </c>
      <c r="B3547" s="13" t="s">
        <v>38</v>
      </c>
      <c r="C3547" s="13" t="s">
        <v>14</v>
      </c>
      <c r="D3547" s="19">
        <v>12334</v>
      </c>
      <c r="E3547" s="13" t="s">
        <v>10872</v>
      </c>
      <c r="F3547" s="14">
        <v>41275</v>
      </c>
      <c r="G3547" s="14">
        <v>41639</v>
      </c>
      <c r="H3547" s="13" t="s">
        <v>651</v>
      </c>
      <c r="I3547" s="18">
        <v>1169.9000000000001</v>
      </c>
      <c r="J3547" s="18">
        <v>1169.9000000000001</v>
      </c>
      <c r="K3547" s="20" t="s">
        <v>5018</v>
      </c>
    </row>
    <row r="3548" spans="1:11" ht="14.25" customHeight="1" x14ac:dyDescent="0.25">
      <c r="A3548" s="13" t="s">
        <v>5796</v>
      </c>
      <c r="B3548" s="13" t="s">
        <v>38</v>
      </c>
      <c r="C3548" s="13" t="s">
        <v>14</v>
      </c>
      <c r="D3548" s="19">
        <v>12335</v>
      </c>
      <c r="E3548" s="13" t="s">
        <v>10873</v>
      </c>
      <c r="F3548" s="14">
        <v>41275</v>
      </c>
      <c r="G3548" s="14">
        <v>41639</v>
      </c>
      <c r="H3548" s="13" t="s">
        <v>651</v>
      </c>
      <c r="I3548" s="18">
        <v>3256.59</v>
      </c>
      <c r="J3548" s="18">
        <v>3256.59</v>
      </c>
      <c r="K3548" s="20" t="s">
        <v>5018</v>
      </c>
    </row>
    <row r="3549" spans="1:11" ht="14.25" customHeight="1" x14ac:dyDescent="0.25">
      <c r="A3549" s="13" t="s">
        <v>10874</v>
      </c>
      <c r="B3549" s="13" t="s">
        <v>38</v>
      </c>
      <c r="C3549" s="13" t="s">
        <v>14</v>
      </c>
      <c r="D3549" s="19">
        <v>12337</v>
      </c>
      <c r="E3549" s="13" t="s">
        <v>10875</v>
      </c>
      <c r="F3549" s="14">
        <v>41275</v>
      </c>
      <c r="G3549" s="14">
        <v>41639</v>
      </c>
      <c r="H3549" s="13" t="s">
        <v>651</v>
      </c>
      <c r="I3549" s="18">
        <v>745</v>
      </c>
      <c r="J3549" s="18">
        <v>745</v>
      </c>
      <c r="K3549" s="20" t="s">
        <v>5018</v>
      </c>
    </row>
    <row r="3550" spans="1:11" ht="14.25" customHeight="1" x14ac:dyDescent="0.25">
      <c r="A3550" s="13" t="s">
        <v>10876</v>
      </c>
      <c r="B3550" s="13" t="s">
        <v>38</v>
      </c>
      <c r="C3550" s="13" t="s">
        <v>14</v>
      </c>
      <c r="D3550" s="19">
        <v>12338</v>
      </c>
      <c r="E3550" s="13" t="s">
        <v>10877</v>
      </c>
      <c r="F3550" s="14">
        <v>41275</v>
      </c>
      <c r="G3550" s="14">
        <v>41639</v>
      </c>
      <c r="H3550" s="13" t="s">
        <v>651</v>
      </c>
      <c r="I3550" s="18">
        <v>550</v>
      </c>
      <c r="J3550" s="18">
        <v>550</v>
      </c>
      <c r="K3550" s="20" t="s">
        <v>5018</v>
      </c>
    </row>
    <row r="3551" spans="1:11" ht="14.25" customHeight="1" x14ac:dyDescent="0.25">
      <c r="A3551" s="13" t="s">
        <v>10878</v>
      </c>
      <c r="B3551" s="13" t="s">
        <v>38</v>
      </c>
      <c r="C3551" s="13" t="s">
        <v>14</v>
      </c>
      <c r="D3551" s="19">
        <v>12339</v>
      </c>
      <c r="E3551" s="13" t="s">
        <v>10879</v>
      </c>
      <c r="F3551" s="14">
        <v>41275</v>
      </c>
      <c r="G3551" s="14">
        <v>41639</v>
      </c>
      <c r="H3551" s="13" t="s">
        <v>651</v>
      </c>
      <c r="I3551" s="18">
        <v>810</v>
      </c>
      <c r="J3551" s="18">
        <v>810</v>
      </c>
      <c r="K3551" s="20" t="s">
        <v>5018</v>
      </c>
    </row>
    <row r="3552" spans="1:11" ht="14.25" customHeight="1" x14ac:dyDescent="0.25">
      <c r="A3552" s="13" t="s">
        <v>10880</v>
      </c>
      <c r="B3552" s="13" t="s">
        <v>38</v>
      </c>
      <c r="C3552" s="13" t="s">
        <v>14</v>
      </c>
      <c r="D3552" s="19">
        <v>12340</v>
      </c>
      <c r="E3552" s="13" t="s">
        <v>10881</v>
      </c>
      <c r="F3552" s="14">
        <v>41275</v>
      </c>
      <c r="G3552" s="14">
        <v>41639</v>
      </c>
      <c r="H3552" s="13" t="s">
        <v>651</v>
      </c>
      <c r="I3552" s="18">
        <v>530</v>
      </c>
      <c r="J3552" s="18">
        <v>530</v>
      </c>
      <c r="K3552" s="20" t="s">
        <v>5018</v>
      </c>
    </row>
    <row r="3553" spans="1:13" ht="14.25" customHeight="1" x14ac:dyDescent="0.25">
      <c r="A3553" s="13" t="s">
        <v>10882</v>
      </c>
      <c r="B3553" s="13" t="s">
        <v>38</v>
      </c>
      <c r="C3553" s="13" t="s">
        <v>14</v>
      </c>
      <c r="D3553" s="19">
        <v>12341</v>
      </c>
      <c r="E3553" s="13" t="s">
        <v>10883</v>
      </c>
      <c r="F3553" s="14">
        <v>41275</v>
      </c>
      <c r="G3553" s="14">
        <v>41639</v>
      </c>
      <c r="H3553" s="13" t="s">
        <v>651</v>
      </c>
      <c r="I3553" s="18">
        <v>745</v>
      </c>
      <c r="J3553" s="18">
        <v>745</v>
      </c>
      <c r="K3553" s="20" t="s">
        <v>5018</v>
      </c>
    </row>
    <row r="3554" spans="1:13" ht="14.25" customHeight="1" x14ac:dyDescent="0.25">
      <c r="A3554" s="13" t="s">
        <v>10884</v>
      </c>
      <c r="B3554" s="13" t="s">
        <v>38</v>
      </c>
      <c r="C3554" s="13" t="s">
        <v>14</v>
      </c>
      <c r="D3554" s="19">
        <v>12342</v>
      </c>
      <c r="E3554" s="13" t="s">
        <v>10885</v>
      </c>
      <c r="F3554" s="14">
        <v>41275</v>
      </c>
      <c r="G3554" s="14">
        <v>41639</v>
      </c>
      <c r="H3554" s="13" t="s">
        <v>651</v>
      </c>
      <c r="I3554" s="18">
        <v>635</v>
      </c>
      <c r="J3554" s="18">
        <v>635</v>
      </c>
      <c r="K3554" s="20" t="s">
        <v>5018</v>
      </c>
    </row>
    <row r="3555" spans="1:13" ht="14.25" customHeight="1" x14ac:dyDescent="0.25">
      <c r="A3555" s="13" t="s">
        <v>10886</v>
      </c>
      <c r="B3555" s="13" t="s">
        <v>38</v>
      </c>
      <c r="C3555" s="13" t="s">
        <v>14</v>
      </c>
      <c r="D3555" s="19">
        <v>12365</v>
      </c>
      <c r="E3555" s="13" t="s">
        <v>104</v>
      </c>
      <c r="F3555" s="14">
        <v>41275</v>
      </c>
      <c r="G3555" s="14">
        <v>41639</v>
      </c>
      <c r="H3555" s="13" t="s">
        <v>651</v>
      </c>
      <c r="I3555" s="18">
        <v>53744.7</v>
      </c>
      <c r="J3555" s="18">
        <v>53744.7</v>
      </c>
      <c r="K3555" s="20" t="s">
        <v>5018</v>
      </c>
    </row>
    <row r="3556" spans="1:13" s="4" customFormat="1" ht="14.25" customHeight="1" x14ac:dyDescent="0.25">
      <c r="D3556" s="35"/>
      <c r="E3556" s="26" t="s">
        <v>351</v>
      </c>
      <c r="F3556" s="28"/>
      <c r="G3556" s="28"/>
      <c r="H3556" s="26"/>
      <c r="I3556" s="27">
        <f>SUM(I3009:I3036)</f>
        <v>1674906.45</v>
      </c>
      <c r="J3556" s="27">
        <f>SUM(J3009:J3036)</f>
        <v>403702.93</v>
      </c>
      <c r="K3556" s="20" t="s">
        <v>5018</v>
      </c>
      <c r="L3556" s="119"/>
      <c r="M3556" s="3"/>
    </row>
    <row r="3557" spans="1:13" s="4" customFormat="1" ht="14.25" customHeight="1" x14ac:dyDescent="0.25">
      <c r="D3557" s="35"/>
      <c r="E3557" s="26" t="s">
        <v>786</v>
      </c>
      <c r="F3557" s="28"/>
      <c r="G3557" s="28"/>
      <c r="H3557" s="26"/>
      <c r="I3557" s="27">
        <f>SUM(I3037)</f>
        <v>264000</v>
      </c>
      <c r="J3557" s="27">
        <f>SUM(J3037)</f>
        <v>66000</v>
      </c>
      <c r="K3557" s="20" t="s">
        <v>5018</v>
      </c>
      <c r="L3557" s="119"/>
      <c r="M3557" s="3"/>
    </row>
    <row r="3558" spans="1:13" s="4" customFormat="1" ht="14.25" customHeight="1" x14ac:dyDescent="0.25">
      <c r="D3558" s="35"/>
      <c r="E3558" s="26" t="s">
        <v>352</v>
      </c>
      <c r="F3558" s="28"/>
      <c r="G3558" s="28"/>
      <c r="H3558" s="26"/>
      <c r="I3558" s="27">
        <f>SUM(I3038:I3555)</f>
        <v>4265951.1400000006</v>
      </c>
      <c r="J3558" s="27">
        <f>SUM(J3038:J3555)</f>
        <v>3323711.4699999997</v>
      </c>
      <c r="K3558" s="20" t="s">
        <v>5018</v>
      </c>
      <c r="L3558" s="119"/>
      <c r="M3558" s="3"/>
    </row>
    <row r="3559" spans="1:13" s="4" customFormat="1" ht="14.25" customHeight="1" x14ac:dyDescent="0.25">
      <c r="D3559" s="35"/>
      <c r="E3559" s="26" t="s">
        <v>5812</v>
      </c>
      <c r="F3559" s="28"/>
      <c r="G3559" s="28"/>
      <c r="H3559" s="26"/>
      <c r="I3559" s="27">
        <f>SUM(I3556:I3558)</f>
        <v>6204857.5900000008</v>
      </c>
      <c r="J3559" s="27">
        <f>SUM(J3556:J3558)</f>
        <v>3793414.4</v>
      </c>
      <c r="K3559" s="20" t="s">
        <v>5018</v>
      </c>
      <c r="L3559" s="119"/>
      <c r="M3559" s="3"/>
    </row>
    <row r="3560" spans="1:13" s="4" customFormat="1" ht="14.25" customHeight="1" x14ac:dyDescent="0.25">
      <c r="D3560" s="35"/>
      <c r="F3560" s="5"/>
      <c r="G3560" s="5"/>
      <c r="I3560" s="6"/>
      <c r="J3560" s="6"/>
      <c r="K3560" s="37"/>
      <c r="L3560" s="119"/>
      <c r="M3560" s="3"/>
    </row>
    <row r="3561" spans="1:13" ht="14.25" customHeight="1" x14ac:dyDescent="0.2">
      <c r="A3561" s="95" t="s">
        <v>11473</v>
      </c>
      <c r="B3561" s="4" t="s">
        <v>13</v>
      </c>
      <c r="C3561" s="4" t="s">
        <v>14</v>
      </c>
      <c r="D3561" s="105">
        <v>12941</v>
      </c>
      <c r="E3561" s="101" t="s">
        <v>11616</v>
      </c>
      <c r="F3561" s="96">
        <v>40544</v>
      </c>
      <c r="G3561" s="96">
        <v>41274</v>
      </c>
      <c r="H3561" s="4" t="s">
        <v>2032</v>
      </c>
      <c r="I3561" s="102">
        <v>100051.26</v>
      </c>
      <c r="J3561" s="102">
        <v>100051.26</v>
      </c>
      <c r="K3561" s="37" t="s">
        <v>5815</v>
      </c>
    </row>
    <row r="3562" spans="1:13" s="4" customFormat="1" ht="14.25" customHeight="1" x14ac:dyDescent="0.25">
      <c r="A3562" s="4" t="s">
        <v>5813</v>
      </c>
      <c r="B3562" s="4" t="s">
        <v>13</v>
      </c>
      <c r="C3562" s="4" t="s">
        <v>14</v>
      </c>
      <c r="D3562" s="35">
        <v>4432</v>
      </c>
      <c r="E3562" s="4" t="s">
        <v>5814</v>
      </c>
      <c r="F3562" s="5">
        <v>39234</v>
      </c>
      <c r="G3562" s="5">
        <v>40544</v>
      </c>
      <c r="H3562" s="4" t="s">
        <v>2032</v>
      </c>
      <c r="I3562" s="6">
        <v>805197.84</v>
      </c>
      <c r="J3562" s="6">
        <v>805197.84</v>
      </c>
      <c r="K3562" s="37" t="s">
        <v>5815</v>
      </c>
      <c r="L3562" s="119"/>
      <c r="M3562" s="3"/>
    </row>
    <row r="3563" spans="1:13" s="4" customFormat="1" ht="14.25" customHeight="1" x14ac:dyDescent="0.25">
      <c r="A3563" s="4" t="s">
        <v>5816</v>
      </c>
      <c r="B3563" s="4" t="s">
        <v>13</v>
      </c>
      <c r="C3563" s="4" t="s">
        <v>14</v>
      </c>
      <c r="D3563" s="35">
        <v>5080</v>
      </c>
      <c r="E3563" s="4" t="s">
        <v>5817</v>
      </c>
      <c r="F3563" s="5">
        <v>39203</v>
      </c>
      <c r="G3563" s="5">
        <v>39660</v>
      </c>
      <c r="H3563" s="4" t="s">
        <v>2039</v>
      </c>
      <c r="I3563" s="6">
        <v>44252.46</v>
      </c>
      <c r="J3563" s="6">
        <v>44252.46</v>
      </c>
      <c r="K3563" s="37" t="s">
        <v>5815</v>
      </c>
      <c r="L3563" s="119"/>
      <c r="M3563" s="3"/>
    </row>
    <row r="3564" spans="1:13" s="4" customFormat="1" ht="14.25" customHeight="1" x14ac:dyDescent="0.25">
      <c r="A3564" s="4" t="s">
        <v>5818</v>
      </c>
      <c r="B3564" s="4" t="s">
        <v>13</v>
      </c>
      <c r="C3564" s="4" t="s">
        <v>14</v>
      </c>
      <c r="D3564" s="35">
        <v>5082</v>
      </c>
      <c r="E3564" s="4" t="s">
        <v>5819</v>
      </c>
      <c r="F3564" s="5">
        <v>39265</v>
      </c>
      <c r="G3564" s="5">
        <v>39933</v>
      </c>
      <c r="H3564" s="4" t="s">
        <v>2039</v>
      </c>
      <c r="I3564" s="6">
        <v>69172</v>
      </c>
      <c r="J3564" s="6">
        <v>69172</v>
      </c>
      <c r="K3564" s="37" t="s">
        <v>5815</v>
      </c>
      <c r="L3564" s="119"/>
      <c r="M3564" s="3"/>
    </row>
    <row r="3565" spans="1:13" s="4" customFormat="1" ht="14.25" customHeight="1" x14ac:dyDescent="0.25">
      <c r="A3565" s="4" t="s">
        <v>5820</v>
      </c>
      <c r="B3565" s="4" t="s">
        <v>13</v>
      </c>
      <c r="C3565" s="4" t="s">
        <v>14</v>
      </c>
      <c r="D3565" s="35">
        <v>5083</v>
      </c>
      <c r="E3565" s="4" t="s">
        <v>5821</v>
      </c>
      <c r="F3565" s="5">
        <v>39448</v>
      </c>
      <c r="G3565" s="5">
        <v>39903</v>
      </c>
      <c r="H3565" s="4" t="s">
        <v>2039</v>
      </c>
      <c r="I3565" s="6">
        <v>78606.820000000007</v>
      </c>
      <c r="J3565" s="6">
        <v>78606.820000000007</v>
      </c>
      <c r="K3565" s="37" t="s">
        <v>5815</v>
      </c>
      <c r="L3565" s="119"/>
      <c r="M3565" s="3"/>
    </row>
    <row r="3566" spans="1:13" s="4" customFormat="1" ht="14.25" customHeight="1" x14ac:dyDescent="0.25">
      <c r="A3566" s="4" t="s">
        <v>5822</v>
      </c>
      <c r="B3566" s="4" t="s">
        <v>13</v>
      </c>
      <c r="C3566" s="4" t="s">
        <v>14</v>
      </c>
      <c r="D3566" s="35">
        <v>5085</v>
      </c>
      <c r="E3566" s="4" t="s">
        <v>5823</v>
      </c>
      <c r="F3566" s="5">
        <v>39661</v>
      </c>
      <c r="G3566" s="5">
        <v>40512</v>
      </c>
      <c r="H3566" s="4" t="s">
        <v>2039</v>
      </c>
      <c r="I3566" s="6">
        <v>68643.81</v>
      </c>
      <c r="J3566" s="6">
        <v>68643.81</v>
      </c>
      <c r="K3566" s="37" t="s">
        <v>5815</v>
      </c>
      <c r="L3566" s="119"/>
      <c r="M3566" s="3"/>
    </row>
    <row r="3567" spans="1:13" s="4" customFormat="1" ht="14.25" customHeight="1" x14ac:dyDescent="0.25">
      <c r="A3567" s="4" t="s">
        <v>5824</v>
      </c>
      <c r="B3567" s="4" t="s">
        <v>13</v>
      </c>
      <c r="C3567" s="4" t="s">
        <v>14</v>
      </c>
      <c r="D3567" s="35">
        <v>5087</v>
      </c>
      <c r="E3567" s="7" t="s">
        <v>5825</v>
      </c>
      <c r="F3567" s="5">
        <v>39448</v>
      </c>
      <c r="G3567" s="5">
        <v>39933</v>
      </c>
      <c r="H3567" s="4" t="s">
        <v>2039</v>
      </c>
      <c r="I3567" s="6">
        <v>70380.95</v>
      </c>
      <c r="J3567" s="6">
        <v>70380.95</v>
      </c>
      <c r="K3567" s="37" t="s">
        <v>5815</v>
      </c>
      <c r="L3567" s="119"/>
      <c r="M3567" s="3"/>
    </row>
    <row r="3568" spans="1:13" s="4" customFormat="1" ht="14.25" customHeight="1" x14ac:dyDescent="0.25">
      <c r="A3568" s="4" t="s">
        <v>5826</v>
      </c>
      <c r="B3568" s="4" t="s">
        <v>13</v>
      </c>
      <c r="C3568" s="4" t="s">
        <v>14</v>
      </c>
      <c r="D3568" s="35">
        <v>5092</v>
      </c>
      <c r="E3568" s="4" t="s">
        <v>5827</v>
      </c>
      <c r="F3568" s="5">
        <v>39356</v>
      </c>
      <c r="G3568" s="5">
        <v>39722</v>
      </c>
      <c r="H3568" s="4" t="s">
        <v>2039</v>
      </c>
      <c r="I3568" s="6">
        <v>68129.69</v>
      </c>
      <c r="J3568" s="6">
        <v>68129.69</v>
      </c>
      <c r="K3568" s="37" t="s">
        <v>5815</v>
      </c>
      <c r="L3568" s="119"/>
      <c r="M3568" s="3"/>
    </row>
    <row r="3569" spans="1:13" s="4" customFormat="1" ht="14.25" customHeight="1" x14ac:dyDescent="0.25">
      <c r="A3569" s="4" t="s">
        <v>5828</v>
      </c>
      <c r="B3569" s="4" t="s">
        <v>13</v>
      </c>
      <c r="C3569" s="4" t="s">
        <v>14</v>
      </c>
      <c r="D3569" s="35">
        <v>5094</v>
      </c>
      <c r="E3569" s="4" t="s">
        <v>5829</v>
      </c>
      <c r="F3569" s="5">
        <v>39356</v>
      </c>
      <c r="G3569" s="5">
        <v>39721</v>
      </c>
      <c r="H3569" s="4" t="s">
        <v>2039</v>
      </c>
      <c r="I3569" s="6">
        <v>75325.58</v>
      </c>
      <c r="J3569" s="6">
        <v>75325.58</v>
      </c>
      <c r="K3569" s="37" t="s">
        <v>5815</v>
      </c>
      <c r="L3569" s="119"/>
      <c r="M3569" s="3"/>
    </row>
    <row r="3570" spans="1:13" s="4" customFormat="1" ht="14.25" customHeight="1" x14ac:dyDescent="0.25">
      <c r="A3570" s="4" t="s">
        <v>5830</v>
      </c>
      <c r="B3570" s="4" t="s">
        <v>13</v>
      </c>
      <c r="C3570" s="4" t="s">
        <v>14</v>
      </c>
      <c r="D3570" s="35">
        <v>5095</v>
      </c>
      <c r="E3570" s="7" t="s">
        <v>5831</v>
      </c>
      <c r="F3570" s="5">
        <v>39448</v>
      </c>
      <c r="G3570" s="5">
        <v>39994</v>
      </c>
      <c r="H3570" s="4" t="s">
        <v>2039</v>
      </c>
      <c r="I3570" s="6">
        <v>68001.710000000006</v>
      </c>
      <c r="J3570" s="6">
        <v>68001.710000000006</v>
      </c>
      <c r="K3570" s="37" t="s">
        <v>5815</v>
      </c>
      <c r="L3570" s="119"/>
      <c r="M3570" s="3"/>
    </row>
    <row r="3571" spans="1:13" s="4" customFormat="1" ht="14.25" customHeight="1" x14ac:dyDescent="0.25">
      <c r="A3571" s="4" t="s">
        <v>5832</v>
      </c>
      <c r="B3571" s="4" t="s">
        <v>13</v>
      </c>
      <c r="C3571" s="4" t="s">
        <v>14</v>
      </c>
      <c r="D3571" s="35">
        <v>5096</v>
      </c>
      <c r="E3571" s="4" t="s">
        <v>5833</v>
      </c>
      <c r="F3571" s="5">
        <v>39417</v>
      </c>
      <c r="G3571" s="5">
        <v>39782</v>
      </c>
      <c r="H3571" s="4" t="s">
        <v>2039</v>
      </c>
      <c r="I3571" s="6">
        <v>88268.23</v>
      </c>
      <c r="J3571" s="6">
        <v>88268.23</v>
      </c>
      <c r="K3571" s="37" t="s">
        <v>5815</v>
      </c>
      <c r="L3571" s="119"/>
      <c r="M3571" s="3"/>
    </row>
    <row r="3572" spans="1:13" s="4" customFormat="1" ht="14.25" customHeight="1" x14ac:dyDescent="0.25">
      <c r="A3572" s="4" t="s">
        <v>5834</v>
      </c>
      <c r="B3572" s="4" t="s">
        <v>13</v>
      </c>
      <c r="C3572" s="4" t="s">
        <v>14</v>
      </c>
      <c r="D3572" s="35">
        <v>5099</v>
      </c>
      <c r="E3572" s="7" t="s">
        <v>5835</v>
      </c>
      <c r="F3572" s="5">
        <v>39814</v>
      </c>
      <c r="G3572" s="5">
        <v>40862</v>
      </c>
      <c r="H3572" s="4" t="s">
        <v>2039</v>
      </c>
      <c r="I3572" s="6">
        <v>74204.86</v>
      </c>
      <c r="J3572" s="6">
        <v>74204.86</v>
      </c>
      <c r="K3572" s="37" t="s">
        <v>5815</v>
      </c>
      <c r="L3572" s="119"/>
      <c r="M3572" s="3"/>
    </row>
    <row r="3573" spans="1:13" s="4" customFormat="1" ht="14.25" customHeight="1" x14ac:dyDescent="0.25">
      <c r="A3573" s="4" t="s">
        <v>5836</v>
      </c>
      <c r="B3573" s="4" t="s">
        <v>13</v>
      </c>
      <c r="C3573" s="4" t="s">
        <v>14</v>
      </c>
      <c r="D3573" s="35">
        <v>5101</v>
      </c>
      <c r="E3573" s="4" t="s">
        <v>5837</v>
      </c>
      <c r="F3573" s="5">
        <v>39814</v>
      </c>
      <c r="G3573" s="5">
        <v>40178</v>
      </c>
      <c r="H3573" s="4" t="s">
        <v>2039</v>
      </c>
      <c r="I3573" s="6">
        <v>83308.98</v>
      </c>
      <c r="J3573" s="6">
        <v>83308.98</v>
      </c>
      <c r="K3573" s="37" t="s">
        <v>5815</v>
      </c>
      <c r="L3573" s="119"/>
      <c r="M3573" s="3"/>
    </row>
    <row r="3574" spans="1:13" s="4" customFormat="1" ht="14.25" customHeight="1" x14ac:dyDescent="0.25">
      <c r="A3574" s="4" t="s">
        <v>5838</v>
      </c>
      <c r="B3574" s="4" t="s">
        <v>13</v>
      </c>
      <c r="C3574" s="4" t="s">
        <v>14</v>
      </c>
      <c r="D3574" s="35">
        <v>5104</v>
      </c>
      <c r="E3574" s="4" t="s">
        <v>5839</v>
      </c>
      <c r="F3574" s="5">
        <v>39265</v>
      </c>
      <c r="G3574" s="5">
        <v>39777</v>
      </c>
      <c r="H3574" s="4" t="s">
        <v>2039</v>
      </c>
      <c r="I3574" s="6">
        <v>51861.37</v>
      </c>
      <c r="J3574" s="6">
        <v>51861.37</v>
      </c>
      <c r="K3574" s="37" t="s">
        <v>5815</v>
      </c>
      <c r="L3574" s="119"/>
      <c r="M3574" s="3"/>
    </row>
    <row r="3575" spans="1:13" s="4" customFormat="1" ht="14.25" customHeight="1" x14ac:dyDescent="0.25">
      <c r="A3575" s="4" t="s">
        <v>5840</v>
      </c>
      <c r="B3575" s="4" t="s">
        <v>13</v>
      </c>
      <c r="C3575" s="4" t="s">
        <v>14</v>
      </c>
      <c r="D3575" s="35">
        <v>5106</v>
      </c>
      <c r="E3575" s="4" t="s">
        <v>5841</v>
      </c>
      <c r="F3575" s="5">
        <v>39326</v>
      </c>
      <c r="G3575" s="5">
        <v>40574</v>
      </c>
      <c r="H3575" s="4" t="s">
        <v>2039</v>
      </c>
      <c r="I3575" s="6">
        <v>127395.6</v>
      </c>
      <c r="J3575" s="6">
        <v>127395.6</v>
      </c>
      <c r="K3575" s="37" t="s">
        <v>5815</v>
      </c>
      <c r="L3575" s="119"/>
      <c r="M3575" s="3"/>
    </row>
    <row r="3576" spans="1:13" s="4" customFormat="1" ht="14.25" customHeight="1" x14ac:dyDescent="0.25">
      <c r="A3576" s="4" t="s">
        <v>5842</v>
      </c>
      <c r="B3576" s="4" t="s">
        <v>13</v>
      </c>
      <c r="C3576" s="4" t="s">
        <v>14</v>
      </c>
      <c r="D3576" s="35">
        <v>5109</v>
      </c>
      <c r="E3576" s="4" t="s">
        <v>5843</v>
      </c>
      <c r="F3576" s="5">
        <v>39479</v>
      </c>
      <c r="G3576" s="5">
        <v>39964</v>
      </c>
      <c r="H3576" s="4" t="s">
        <v>2039</v>
      </c>
      <c r="I3576" s="6">
        <v>91549.42</v>
      </c>
      <c r="J3576" s="6">
        <v>91549.42</v>
      </c>
      <c r="K3576" s="37" t="s">
        <v>5815</v>
      </c>
      <c r="L3576" s="119"/>
      <c r="M3576" s="3"/>
    </row>
    <row r="3577" spans="1:13" s="4" customFormat="1" ht="14.25" customHeight="1" x14ac:dyDescent="0.25">
      <c r="A3577" s="4" t="s">
        <v>5844</v>
      </c>
      <c r="B3577" s="4" t="s">
        <v>13</v>
      </c>
      <c r="C3577" s="4" t="s">
        <v>14</v>
      </c>
      <c r="D3577" s="35">
        <v>5111</v>
      </c>
      <c r="E3577" s="4" t="s">
        <v>5845</v>
      </c>
      <c r="F3577" s="5">
        <v>39783</v>
      </c>
      <c r="G3577" s="5">
        <v>39994</v>
      </c>
      <c r="H3577" s="4" t="s">
        <v>2039</v>
      </c>
      <c r="I3577" s="6">
        <v>94355.199999999997</v>
      </c>
      <c r="J3577" s="6">
        <v>94355.199999999997</v>
      </c>
      <c r="K3577" s="37" t="s">
        <v>5815</v>
      </c>
      <c r="L3577" s="119"/>
      <c r="M3577" s="3"/>
    </row>
    <row r="3578" spans="1:13" s="4" customFormat="1" ht="14.25" customHeight="1" x14ac:dyDescent="0.25">
      <c r="A3578" s="4" t="s">
        <v>5846</v>
      </c>
      <c r="B3578" s="4" t="s">
        <v>13</v>
      </c>
      <c r="C3578" s="4" t="s">
        <v>14</v>
      </c>
      <c r="D3578" s="35">
        <v>5115</v>
      </c>
      <c r="E3578" s="4" t="s">
        <v>5847</v>
      </c>
      <c r="F3578" s="5">
        <v>39706</v>
      </c>
      <c r="G3578" s="5">
        <v>40070</v>
      </c>
      <c r="H3578" s="4" t="s">
        <v>2039</v>
      </c>
      <c r="I3578" s="6">
        <v>3520.02</v>
      </c>
      <c r="J3578" s="6">
        <v>3520.02</v>
      </c>
      <c r="K3578" s="37" t="s">
        <v>5815</v>
      </c>
      <c r="L3578" s="119"/>
      <c r="M3578" s="3"/>
    </row>
    <row r="3579" spans="1:13" s="4" customFormat="1" ht="14.25" customHeight="1" x14ac:dyDescent="0.25">
      <c r="A3579" s="4" t="s">
        <v>5848</v>
      </c>
      <c r="B3579" s="4" t="s">
        <v>13</v>
      </c>
      <c r="C3579" s="4" t="s">
        <v>14</v>
      </c>
      <c r="D3579" s="35">
        <v>5216</v>
      </c>
      <c r="E3579" s="4" t="s">
        <v>5849</v>
      </c>
      <c r="F3579" s="5">
        <v>39722</v>
      </c>
      <c r="G3579" s="5">
        <v>40086</v>
      </c>
      <c r="H3579" s="4" t="s">
        <v>2039</v>
      </c>
      <c r="I3579" s="6">
        <v>55894.18</v>
      </c>
      <c r="J3579" s="6">
        <v>55894.18</v>
      </c>
      <c r="K3579" s="37" t="s">
        <v>5815</v>
      </c>
      <c r="L3579" s="119"/>
      <c r="M3579" s="3"/>
    </row>
    <row r="3580" spans="1:13" s="4" customFormat="1" ht="14.25" customHeight="1" x14ac:dyDescent="0.25">
      <c r="A3580" s="4" t="s">
        <v>5850</v>
      </c>
      <c r="B3580" s="4" t="s">
        <v>13</v>
      </c>
      <c r="C3580" s="4" t="s">
        <v>14</v>
      </c>
      <c r="D3580" s="35">
        <v>6146</v>
      </c>
      <c r="E3580" s="4" t="s">
        <v>5851</v>
      </c>
      <c r="F3580" s="5">
        <v>39419</v>
      </c>
      <c r="G3580" s="5">
        <v>39782</v>
      </c>
      <c r="H3580" s="4" t="s">
        <v>2039</v>
      </c>
      <c r="I3580" s="6">
        <v>66094.3</v>
      </c>
      <c r="J3580" s="6">
        <v>66094.3</v>
      </c>
      <c r="K3580" s="37" t="s">
        <v>5815</v>
      </c>
      <c r="L3580" s="119"/>
      <c r="M3580" s="3"/>
    </row>
    <row r="3581" spans="1:13" s="4" customFormat="1" ht="14.25" customHeight="1" x14ac:dyDescent="0.25">
      <c r="A3581" s="4" t="s">
        <v>5852</v>
      </c>
      <c r="B3581" s="4" t="s">
        <v>13</v>
      </c>
      <c r="C3581" s="4" t="s">
        <v>14</v>
      </c>
      <c r="D3581" s="35">
        <v>6148</v>
      </c>
      <c r="E3581" s="4" t="s">
        <v>5853</v>
      </c>
      <c r="F3581" s="5">
        <v>39814</v>
      </c>
      <c r="G3581" s="5">
        <v>40786</v>
      </c>
      <c r="H3581" s="4" t="s">
        <v>2039</v>
      </c>
      <c r="I3581" s="6">
        <v>269796.36</v>
      </c>
      <c r="J3581" s="6">
        <f>252603.92+17192.44</f>
        <v>269796.36</v>
      </c>
      <c r="K3581" s="37" t="s">
        <v>5815</v>
      </c>
      <c r="L3581" s="119"/>
      <c r="M3581" s="3"/>
    </row>
    <row r="3582" spans="1:13" s="4" customFormat="1" ht="14.25" customHeight="1" x14ac:dyDescent="0.25">
      <c r="A3582" s="4" t="s">
        <v>5854</v>
      </c>
      <c r="B3582" s="4" t="s">
        <v>13</v>
      </c>
      <c r="C3582" s="4" t="s">
        <v>14</v>
      </c>
      <c r="D3582" s="35">
        <v>6179</v>
      </c>
      <c r="E3582" s="4" t="s">
        <v>5855</v>
      </c>
      <c r="F3582" s="5">
        <v>39660</v>
      </c>
      <c r="G3582" s="5">
        <v>40497</v>
      </c>
      <c r="H3582" s="4" t="s">
        <v>2039</v>
      </c>
      <c r="I3582" s="6">
        <f>177084.45+84.96</f>
        <v>177169.41</v>
      </c>
      <c r="J3582" s="6">
        <f>177084.45+84.96</f>
        <v>177169.41</v>
      </c>
      <c r="K3582" s="37" t="s">
        <v>5815</v>
      </c>
      <c r="L3582" s="119"/>
      <c r="M3582" s="3"/>
    </row>
    <row r="3583" spans="1:13" s="4" customFormat="1" ht="14.25" customHeight="1" x14ac:dyDescent="0.25">
      <c r="A3583" s="4" t="s">
        <v>5856</v>
      </c>
      <c r="B3583" s="4" t="s">
        <v>13</v>
      </c>
      <c r="C3583" s="4" t="s">
        <v>14</v>
      </c>
      <c r="D3583" s="35">
        <v>6541</v>
      </c>
      <c r="E3583" s="4" t="s">
        <v>5857</v>
      </c>
      <c r="F3583" s="5">
        <v>40357</v>
      </c>
      <c r="G3583" s="5">
        <v>40862</v>
      </c>
      <c r="H3583" s="4" t="s">
        <v>2039</v>
      </c>
      <c r="I3583" s="6">
        <v>64083.55</v>
      </c>
      <c r="J3583" s="6">
        <f>559.39+63524.16</f>
        <v>64083.55</v>
      </c>
      <c r="K3583" s="37" t="s">
        <v>5815</v>
      </c>
      <c r="L3583" s="119"/>
      <c r="M3583" s="3"/>
    </row>
    <row r="3584" spans="1:13" s="4" customFormat="1" ht="14.25" customHeight="1" x14ac:dyDescent="0.25">
      <c r="A3584" s="4" t="s">
        <v>5858</v>
      </c>
      <c r="B3584" s="4" t="s">
        <v>13</v>
      </c>
      <c r="C3584" s="4" t="s">
        <v>14</v>
      </c>
      <c r="D3584" s="35">
        <v>8454</v>
      </c>
      <c r="E3584" s="4" t="s">
        <v>5858</v>
      </c>
      <c r="F3584" s="5">
        <v>40035</v>
      </c>
      <c r="G3584" s="5">
        <v>40497</v>
      </c>
      <c r="H3584" s="4" t="s">
        <v>2039</v>
      </c>
      <c r="I3584" s="6">
        <v>70340.63</v>
      </c>
      <c r="J3584" s="6">
        <v>70340.63</v>
      </c>
      <c r="K3584" s="37" t="s">
        <v>5815</v>
      </c>
      <c r="L3584" s="119"/>
      <c r="M3584" s="3"/>
    </row>
    <row r="3585" spans="1:13" s="4" customFormat="1" ht="14.25" customHeight="1" x14ac:dyDescent="0.25">
      <c r="A3585" s="4" t="s">
        <v>5859</v>
      </c>
      <c r="B3585" s="4" t="s">
        <v>13</v>
      </c>
      <c r="C3585" s="4" t="s">
        <v>14</v>
      </c>
      <c r="D3585" s="35">
        <v>8455</v>
      </c>
      <c r="E3585" s="4" t="s">
        <v>5860</v>
      </c>
      <c r="F3585" s="5">
        <v>39934</v>
      </c>
      <c r="G3585" s="5">
        <v>40299</v>
      </c>
      <c r="H3585" s="4" t="s">
        <v>2039</v>
      </c>
      <c r="I3585" s="6">
        <v>80717.83</v>
      </c>
      <c r="J3585" s="6">
        <v>80717.83</v>
      </c>
      <c r="K3585" s="37" t="s">
        <v>5815</v>
      </c>
      <c r="L3585" s="119"/>
      <c r="M3585" s="3"/>
    </row>
    <row r="3586" spans="1:13" s="4" customFormat="1" ht="14.25" customHeight="1" x14ac:dyDescent="0.25">
      <c r="A3586" s="4" t="s">
        <v>5861</v>
      </c>
      <c r="B3586" s="4" t="s">
        <v>13</v>
      </c>
      <c r="C3586" s="4" t="s">
        <v>14</v>
      </c>
      <c r="D3586" s="35">
        <v>8456</v>
      </c>
      <c r="E3586" s="4" t="s">
        <v>5862</v>
      </c>
      <c r="F3586" s="5">
        <v>39845</v>
      </c>
      <c r="G3586" s="5">
        <v>40940</v>
      </c>
      <c r="H3586" s="4" t="s">
        <v>2039</v>
      </c>
      <c r="I3586" s="6">
        <v>1357.26</v>
      </c>
      <c r="J3586" s="6">
        <v>1357.26</v>
      </c>
      <c r="K3586" s="37" t="s">
        <v>5815</v>
      </c>
      <c r="L3586" s="119"/>
      <c r="M3586" s="3"/>
    </row>
    <row r="3587" spans="1:13" s="4" customFormat="1" ht="14.25" customHeight="1" x14ac:dyDescent="0.25">
      <c r="A3587" s="4" t="s">
        <v>5863</v>
      </c>
      <c r="B3587" s="4" t="s">
        <v>13</v>
      </c>
      <c r="C3587" s="4" t="s">
        <v>14</v>
      </c>
      <c r="D3587" s="35">
        <v>8457</v>
      </c>
      <c r="E3587" s="4" t="s">
        <v>5864</v>
      </c>
      <c r="F3587" s="5">
        <v>39539</v>
      </c>
      <c r="G3587" s="5">
        <v>40512</v>
      </c>
      <c r="H3587" s="4" t="s">
        <v>2039</v>
      </c>
      <c r="I3587" s="6">
        <v>126865.51</v>
      </c>
      <c r="J3587" s="6">
        <v>126865.51</v>
      </c>
      <c r="K3587" s="37" t="s">
        <v>5815</v>
      </c>
      <c r="L3587" s="119"/>
      <c r="M3587" s="3"/>
    </row>
    <row r="3588" spans="1:13" s="4" customFormat="1" ht="14.25" customHeight="1" x14ac:dyDescent="0.25">
      <c r="A3588" s="4" t="s">
        <v>5865</v>
      </c>
      <c r="B3588" s="4" t="s">
        <v>13</v>
      </c>
      <c r="C3588" s="4" t="s">
        <v>14</v>
      </c>
      <c r="D3588" s="35">
        <v>8458</v>
      </c>
      <c r="E3588" s="4" t="s">
        <v>5866</v>
      </c>
      <c r="F3588" s="5">
        <v>39539</v>
      </c>
      <c r="G3588" s="5">
        <v>40501</v>
      </c>
      <c r="H3588" s="4" t="s">
        <v>2039</v>
      </c>
      <c r="I3588" s="6">
        <v>266528.65000000002</v>
      </c>
      <c r="J3588" s="6">
        <v>266528.65000000002</v>
      </c>
      <c r="K3588" s="37" t="s">
        <v>5815</v>
      </c>
      <c r="L3588" s="119"/>
      <c r="M3588" s="3"/>
    </row>
    <row r="3589" spans="1:13" s="4" customFormat="1" ht="14.25" customHeight="1" x14ac:dyDescent="0.25">
      <c r="A3589" s="4" t="s">
        <v>5867</v>
      </c>
      <c r="B3589" s="4" t="s">
        <v>13</v>
      </c>
      <c r="C3589" s="4" t="s">
        <v>14</v>
      </c>
      <c r="D3589" s="35">
        <v>8459</v>
      </c>
      <c r="E3589" s="7" t="s">
        <v>5868</v>
      </c>
      <c r="F3589" s="5">
        <v>39295</v>
      </c>
      <c r="G3589" s="5">
        <v>40329</v>
      </c>
      <c r="H3589" s="4" t="s">
        <v>2039</v>
      </c>
      <c r="I3589" s="6">
        <v>272772.27</v>
      </c>
      <c r="J3589" s="6">
        <v>272772.27</v>
      </c>
      <c r="K3589" s="37" t="s">
        <v>5815</v>
      </c>
      <c r="L3589" s="119"/>
      <c r="M3589" s="3"/>
    </row>
    <row r="3590" spans="1:13" s="4" customFormat="1" ht="14.25" customHeight="1" x14ac:dyDescent="0.25">
      <c r="A3590" s="4" t="s">
        <v>5869</v>
      </c>
      <c r="B3590" s="4" t="s">
        <v>13</v>
      </c>
      <c r="C3590" s="4" t="s">
        <v>14</v>
      </c>
      <c r="D3590" s="35">
        <v>8460</v>
      </c>
      <c r="E3590" s="4" t="s">
        <v>5870</v>
      </c>
      <c r="F3590" s="5">
        <v>39356</v>
      </c>
      <c r="G3590" s="5">
        <v>40359</v>
      </c>
      <c r="H3590" s="4" t="s">
        <v>2039</v>
      </c>
      <c r="I3590" s="6">
        <v>315153.74</v>
      </c>
      <c r="J3590" s="6">
        <v>315153.74</v>
      </c>
      <c r="K3590" s="37" t="s">
        <v>5815</v>
      </c>
      <c r="L3590" s="119"/>
      <c r="M3590" s="3"/>
    </row>
    <row r="3591" spans="1:13" s="4" customFormat="1" ht="14.25" customHeight="1" x14ac:dyDescent="0.25">
      <c r="A3591" s="4" t="s">
        <v>5871</v>
      </c>
      <c r="B3591" s="4" t="s">
        <v>13</v>
      </c>
      <c r="C3591" s="4" t="s">
        <v>14</v>
      </c>
      <c r="D3591" s="35">
        <v>8461</v>
      </c>
      <c r="E3591" s="4" t="s">
        <v>5872</v>
      </c>
      <c r="F3591" s="5">
        <v>39995</v>
      </c>
      <c r="G3591" s="5">
        <v>41060</v>
      </c>
      <c r="H3591" s="4" t="s">
        <v>2039</v>
      </c>
      <c r="I3591" s="6">
        <f>156930.79+771.57</f>
        <v>157702.36000000002</v>
      </c>
      <c r="J3591" s="6">
        <f>156930.79+771.57</f>
        <v>157702.36000000002</v>
      </c>
      <c r="K3591" s="37" t="s">
        <v>5815</v>
      </c>
      <c r="L3591" s="119"/>
      <c r="M3591" s="3"/>
    </row>
    <row r="3592" spans="1:13" s="4" customFormat="1" ht="14.25" customHeight="1" x14ac:dyDescent="0.25">
      <c r="A3592" s="4" t="s">
        <v>5873</v>
      </c>
      <c r="B3592" s="4" t="s">
        <v>13</v>
      </c>
      <c r="C3592" s="4" t="s">
        <v>14</v>
      </c>
      <c r="D3592" s="35">
        <v>11521</v>
      </c>
      <c r="E3592" s="7" t="s">
        <v>5874</v>
      </c>
      <c r="F3592" s="5">
        <v>39814</v>
      </c>
      <c r="G3592" s="5">
        <v>40847</v>
      </c>
      <c r="H3592" s="4" t="s">
        <v>2039</v>
      </c>
      <c r="I3592" s="6">
        <v>119982.48</v>
      </c>
      <c r="J3592" s="6">
        <v>119982.48</v>
      </c>
      <c r="K3592" s="37" t="s">
        <v>5815</v>
      </c>
      <c r="L3592" s="119"/>
      <c r="M3592" s="3"/>
    </row>
    <row r="3593" spans="1:13" s="4" customFormat="1" ht="14.25" customHeight="1" x14ac:dyDescent="0.25">
      <c r="A3593" s="4" t="s">
        <v>5875</v>
      </c>
      <c r="B3593" s="4" t="s">
        <v>13</v>
      </c>
      <c r="C3593" s="4" t="s">
        <v>14</v>
      </c>
      <c r="D3593" s="35">
        <v>11522</v>
      </c>
      <c r="E3593" s="4" t="s">
        <v>5876</v>
      </c>
      <c r="F3593" s="5">
        <v>40553</v>
      </c>
      <c r="G3593" s="5">
        <v>40968</v>
      </c>
      <c r="H3593" s="4" t="s">
        <v>2039</v>
      </c>
      <c r="I3593" s="6">
        <v>60468.79</v>
      </c>
      <c r="J3593" s="6">
        <v>60468.79</v>
      </c>
      <c r="K3593" s="37" t="s">
        <v>5815</v>
      </c>
      <c r="L3593" s="119"/>
      <c r="M3593" s="3"/>
    </row>
    <row r="3594" spans="1:13" s="4" customFormat="1" ht="14.25" customHeight="1" x14ac:dyDescent="0.25">
      <c r="A3594" s="4" t="s">
        <v>5877</v>
      </c>
      <c r="B3594" s="4" t="s">
        <v>13</v>
      </c>
      <c r="C3594" s="4" t="s">
        <v>14</v>
      </c>
      <c r="D3594" s="35">
        <v>11523</v>
      </c>
      <c r="E3594" s="4" t="s">
        <v>5878</v>
      </c>
      <c r="F3594" s="5">
        <v>39995</v>
      </c>
      <c r="G3594" s="5">
        <v>41228</v>
      </c>
      <c r="H3594" s="4" t="s">
        <v>2039</v>
      </c>
      <c r="I3594" s="6">
        <v>102624.44</v>
      </c>
      <c r="J3594" s="6">
        <v>102624.44</v>
      </c>
      <c r="K3594" s="37" t="s">
        <v>5815</v>
      </c>
      <c r="L3594" s="119"/>
      <c r="M3594" s="3"/>
    </row>
    <row r="3595" spans="1:13" s="4" customFormat="1" ht="14.25" customHeight="1" x14ac:dyDescent="0.25">
      <c r="A3595" s="4" t="s">
        <v>5861</v>
      </c>
      <c r="B3595" s="4" t="s">
        <v>13</v>
      </c>
      <c r="C3595" s="4" t="s">
        <v>14</v>
      </c>
      <c r="D3595" s="35">
        <v>11524</v>
      </c>
      <c r="E3595" s="4" t="s">
        <v>5879</v>
      </c>
      <c r="F3595" s="5">
        <v>39845</v>
      </c>
      <c r="G3595" s="5">
        <v>40939</v>
      </c>
      <c r="H3595" s="4" t="s">
        <v>2039</v>
      </c>
      <c r="I3595" s="6">
        <v>59551.17</v>
      </c>
      <c r="J3595" s="6">
        <v>59551.17</v>
      </c>
      <c r="K3595" s="37" t="s">
        <v>5815</v>
      </c>
      <c r="L3595" s="119"/>
      <c r="M3595" s="3"/>
    </row>
    <row r="3596" spans="1:13" s="32" customFormat="1" ht="14.25" customHeight="1" x14ac:dyDescent="0.25">
      <c r="A3596" s="13" t="s">
        <v>11471</v>
      </c>
      <c r="B3596" s="32" t="s">
        <v>13</v>
      </c>
      <c r="C3596" s="32" t="s">
        <v>14</v>
      </c>
      <c r="D3596" s="33">
        <v>12940</v>
      </c>
      <c r="E3596" s="13" t="s">
        <v>11472</v>
      </c>
      <c r="F3596" s="34">
        <v>40940</v>
      </c>
      <c r="G3596" s="34">
        <v>41456</v>
      </c>
      <c r="H3596" s="4" t="s">
        <v>2039</v>
      </c>
      <c r="I3596" s="94">
        <v>46371.25</v>
      </c>
      <c r="J3596" s="94">
        <v>46371.25</v>
      </c>
      <c r="K3596" s="38" t="s">
        <v>5815</v>
      </c>
      <c r="L3596" s="119"/>
    </row>
    <row r="3597" spans="1:13" ht="14.25" customHeight="1" x14ac:dyDescent="0.25">
      <c r="A3597" s="13" t="s">
        <v>10923</v>
      </c>
      <c r="B3597" s="32" t="s">
        <v>13</v>
      </c>
      <c r="C3597" s="13" t="s">
        <v>14</v>
      </c>
      <c r="D3597" s="19">
        <v>13040</v>
      </c>
      <c r="E3597" s="13" t="s">
        <v>10924</v>
      </c>
      <c r="F3597" s="14">
        <v>41155</v>
      </c>
      <c r="G3597" s="14">
        <v>41246</v>
      </c>
      <c r="H3597" s="4" t="s">
        <v>2039</v>
      </c>
      <c r="I3597" s="18">
        <v>12000</v>
      </c>
      <c r="J3597" s="18">
        <v>12000</v>
      </c>
      <c r="K3597" s="20" t="s">
        <v>5815</v>
      </c>
      <c r="L3597" s="119"/>
    </row>
    <row r="3598" spans="1:13" s="32" customFormat="1" ht="14.25" customHeight="1" x14ac:dyDescent="0.25">
      <c r="A3598" s="13" t="s">
        <v>11474</v>
      </c>
      <c r="B3598" s="32" t="s">
        <v>13</v>
      </c>
      <c r="C3598" s="32" t="s">
        <v>14</v>
      </c>
      <c r="D3598" s="33">
        <v>13041</v>
      </c>
      <c r="E3598" s="13" t="s">
        <v>11475</v>
      </c>
      <c r="F3598" s="34">
        <v>40909</v>
      </c>
      <c r="G3598" s="34">
        <v>41090</v>
      </c>
      <c r="H3598" s="4" t="s">
        <v>2039</v>
      </c>
      <c r="I3598" s="94">
        <v>14791.1</v>
      </c>
      <c r="J3598" s="94">
        <v>14791.1</v>
      </c>
      <c r="K3598" s="38" t="s">
        <v>5815</v>
      </c>
      <c r="L3598" s="119"/>
    </row>
    <row r="3599" spans="1:13" s="32" customFormat="1" ht="14.25" customHeight="1" x14ac:dyDescent="0.25">
      <c r="A3599" s="13" t="s">
        <v>11476</v>
      </c>
      <c r="B3599" s="32" t="s">
        <v>13</v>
      </c>
      <c r="C3599" s="32" t="s">
        <v>14</v>
      </c>
      <c r="D3599" s="33">
        <v>13042</v>
      </c>
      <c r="E3599" s="13" t="s">
        <v>11477</v>
      </c>
      <c r="F3599" s="34">
        <v>41030</v>
      </c>
      <c r="G3599" s="34">
        <v>41159</v>
      </c>
      <c r="H3599" s="4" t="s">
        <v>2039</v>
      </c>
      <c r="I3599" s="94">
        <v>3799.43</v>
      </c>
      <c r="J3599" s="94">
        <v>3799.43</v>
      </c>
      <c r="K3599" s="38" t="s">
        <v>5815</v>
      </c>
      <c r="L3599" s="119"/>
    </row>
    <row r="3600" spans="1:13" s="32" customFormat="1" ht="14.25" customHeight="1" x14ac:dyDescent="0.25">
      <c r="A3600" s="13" t="s">
        <v>11478</v>
      </c>
      <c r="B3600" s="32" t="s">
        <v>13</v>
      </c>
      <c r="C3600" s="32" t="s">
        <v>14</v>
      </c>
      <c r="D3600" s="33">
        <v>13043</v>
      </c>
      <c r="E3600" s="13" t="s">
        <v>11479</v>
      </c>
      <c r="F3600" s="34">
        <v>40969</v>
      </c>
      <c r="G3600" s="34">
        <v>41882</v>
      </c>
      <c r="H3600" s="4" t="s">
        <v>2039</v>
      </c>
      <c r="I3600" s="94">
        <v>47900.13</v>
      </c>
      <c r="J3600" s="94">
        <v>47900.13</v>
      </c>
      <c r="K3600" s="38" t="s">
        <v>5815</v>
      </c>
      <c r="L3600" s="119"/>
    </row>
    <row r="3601" spans="1:13" s="32" customFormat="1" ht="14.25" customHeight="1" x14ac:dyDescent="0.25">
      <c r="A3601" s="13" t="s">
        <v>11480</v>
      </c>
      <c r="B3601" s="32" t="s">
        <v>13</v>
      </c>
      <c r="C3601" s="32" t="s">
        <v>14</v>
      </c>
      <c r="D3601" s="33">
        <v>13044</v>
      </c>
      <c r="E3601" s="13" t="s">
        <v>11481</v>
      </c>
      <c r="F3601" s="34">
        <v>41141</v>
      </c>
      <c r="G3601" s="34">
        <v>41333</v>
      </c>
      <c r="H3601" s="4" t="s">
        <v>2039</v>
      </c>
      <c r="I3601" s="94">
        <v>697.8</v>
      </c>
      <c r="J3601" s="94">
        <v>697.8</v>
      </c>
      <c r="K3601" s="38" t="s">
        <v>5815</v>
      </c>
      <c r="L3601" s="119"/>
    </row>
    <row r="3602" spans="1:13" s="32" customFormat="1" ht="14.25" customHeight="1" x14ac:dyDescent="0.25">
      <c r="A3602" s="13" t="s">
        <v>11482</v>
      </c>
      <c r="B3602" s="32" t="s">
        <v>13</v>
      </c>
      <c r="C3602" s="32" t="s">
        <v>14</v>
      </c>
      <c r="D3602" s="33">
        <v>13045</v>
      </c>
      <c r="E3602" s="13" t="s">
        <v>11483</v>
      </c>
      <c r="F3602" s="34">
        <v>40940</v>
      </c>
      <c r="G3602" s="34">
        <v>42110</v>
      </c>
      <c r="H3602" s="4" t="s">
        <v>2039</v>
      </c>
      <c r="I3602" s="94">
        <v>0</v>
      </c>
      <c r="J3602" s="94">
        <v>0</v>
      </c>
      <c r="K3602" s="38" t="s">
        <v>5815</v>
      </c>
      <c r="L3602" s="119"/>
    </row>
    <row r="3603" spans="1:13" s="32" customFormat="1" ht="14.25" customHeight="1" x14ac:dyDescent="0.25">
      <c r="A3603" s="13" t="s">
        <v>11484</v>
      </c>
      <c r="B3603" s="32" t="s">
        <v>13</v>
      </c>
      <c r="C3603" s="32" t="s">
        <v>14</v>
      </c>
      <c r="D3603" s="33">
        <v>13046</v>
      </c>
      <c r="E3603" s="13" t="s">
        <v>11485</v>
      </c>
      <c r="F3603" s="34">
        <v>41091</v>
      </c>
      <c r="G3603" s="34">
        <v>42124</v>
      </c>
      <c r="H3603" s="4" t="s">
        <v>2039</v>
      </c>
      <c r="I3603" s="94">
        <v>9252.56</v>
      </c>
      <c r="J3603" s="94">
        <v>9252.56</v>
      </c>
      <c r="K3603" s="38" t="s">
        <v>5815</v>
      </c>
      <c r="L3603" s="119"/>
    </row>
    <row r="3604" spans="1:13" s="32" customFormat="1" ht="14.25" customHeight="1" x14ac:dyDescent="0.25">
      <c r="A3604" s="13" t="s">
        <v>11486</v>
      </c>
      <c r="B3604" s="32" t="s">
        <v>13</v>
      </c>
      <c r="C3604" s="32" t="s">
        <v>14</v>
      </c>
      <c r="D3604" s="33">
        <v>13047</v>
      </c>
      <c r="E3604" s="13" t="s">
        <v>11487</v>
      </c>
      <c r="F3604" s="34">
        <v>40909</v>
      </c>
      <c r="G3604" s="34">
        <v>41517</v>
      </c>
      <c r="H3604" s="4" t="s">
        <v>2039</v>
      </c>
      <c r="I3604" s="94">
        <v>62059.45</v>
      </c>
      <c r="J3604" s="94">
        <v>62059.45</v>
      </c>
      <c r="K3604" s="38" t="s">
        <v>5815</v>
      </c>
      <c r="L3604" s="119"/>
    </row>
    <row r="3605" spans="1:13" s="32" customFormat="1" ht="14.25" customHeight="1" x14ac:dyDescent="0.25">
      <c r="A3605" s="13" t="s">
        <v>11488</v>
      </c>
      <c r="B3605" s="32" t="s">
        <v>13</v>
      </c>
      <c r="C3605" s="32" t="s">
        <v>14</v>
      </c>
      <c r="D3605" s="33">
        <v>13048</v>
      </c>
      <c r="E3605" s="13" t="s">
        <v>11489</v>
      </c>
      <c r="F3605" s="34">
        <v>41155</v>
      </c>
      <c r="G3605" s="34">
        <v>41243</v>
      </c>
      <c r="H3605" s="4" t="s">
        <v>2039</v>
      </c>
      <c r="I3605" s="94">
        <v>2549.42</v>
      </c>
      <c r="J3605" s="94">
        <v>2549.42</v>
      </c>
      <c r="K3605" s="38" t="s">
        <v>5815</v>
      </c>
      <c r="L3605" s="119"/>
    </row>
    <row r="3606" spans="1:13" s="32" customFormat="1" ht="14.25" customHeight="1" x14ac:dyDescent="0.25">
      <c r="A3606" s="13" t="s">
        <v>11490</v>
      </c>
      <c r="B3606" s="32" t="s">
        <v>13</v>
      </c>
      <c r="C3606" s="32" t="s">
        <v>14</v>
      </c>
      <c r="D3606" s="33">
        <v>13049</v>
      </c>
      <c r="E3606" s="13" t="s">
        <v>11490</v>
      </c>
      <c r="F3606" s="34">
        <v>41061</v>
      </c>
      <c r="G3606" s="34">
        <v>41152</v>
      </c>
      <c r="H3606" s="4" t="s">
        <v>2039</v>
      </c>
      <c r="I3606" s="94">
        <v>11980.21</v>
      </c>
      <c r="J3606" s="94">
        <v>11980.21</v>
      </c>
      <c r="K3606" s="38" t="s">
        <v>5815</v>
      </c>
      <c r="L3606" s="119"/>
    </row>
    <row r="3607" spans="1:13" s="32" customFormat="1" ht="14.25" customHeight="1" x14ac:dyDescent="0.25">
      <c r="A3607" s="13" t="s">
        <v>11491</v>
      </c>
      <c r="B3607" s="32" t="s">
        <v>13</v>
      </c>
      <c r="C3607" s="32" t="s">
        <v>14</v>
      </c>
      <c r="D3607" s="33">
        <v>13050</v>
      </c>
      <c r="E3607" s="13" t="s">
        <v>11491</v>
      </c>
      <c r="F3607" s="34">
        <v>40911</v>
      </c>
      <c r="G3607" s="34">
        <v>41060</v>
      </c>
      <c r="H3607" s="4" t="s">
        <v>2039</v>
      </c>
      <c r="I3607" s="94">
        <v>14500</v>
      </c>
      <c r="J3607" s="94">
        <v>14500</v>
      </c>
      <c r="K3607" s="38" t="s">
        <v>5815</v>
      </c>
      <c r="L3607" s="119"/>
    </row>
    <row r="3608" spans="1:13" s="32" customFormat="1" ht="14.25" customHeight="1" x14ac:dyDescent="0.25">
      <c r="A3608" s="13" t="s">
        <v>5877</v>
      </c>
      <c r="B3608" s="32" t="s">
        <v>13</v>
      </c>
      <c r="C3608" s="32" t="s">
        <v>14</v>
      </c>
      <c r="D3608" s="33">
        <v>13191</v>
      </c>
      <c r="E3608" s="13" t="s">
        <v>11765</v>
      </c>
      <c r="F3608" s="34">
        <v>39995</v>
      </c>
      <c r="G3608" s="34">
        <v>41228</v>
      </c>
      <c r="H3608" s="4" t="s">
        <v>2039</v>
      </c>
      <c r="I3608" s="94">
        <v>-771.57</v>
      </c>
      <c r="J3608" s="94">
        <v>-771.57</v>
      </c>
      <c r="K3608" s="38" t="s">
        <v>5815</v>
      </c>
      <c r="L3608" s="119"/>
    </row>
    <row r="3609" spans="1:13" s="32" customFormat="1" ht="14.25" customHeight="1" x14ac:dyDescent="0.25">
      <c r="A3609" s="13" t="s">
        <v>11492</v>
      </c>
      <c r="B3609" s="32" t="s">
        <v>13</v>
      </c>
      <c r="C3609" s="32" t="s">
        <v>14</v>
      </c>
      <c r="D3609" s="33">
        <v>13192</v>
      </c>
      <c r="E3609" s="13" t="s">
        <v>11493</v>
      </c>
      <c r="F3609" s="34">
        <v>39660</v>
      </c>
      <c r="G3609" s="34">
        <v>40497</v>
      </c>
      <c r="H3609" s="4" t="s">
        <v>2039</v>
      </c>
      <c r="I3609" s="94">
        <v>-84.96</v>
      </c>
      <c r="J3609" s="94">
        <v>-84.96</v>
      </c>
      <c r="K3609" s="38" t="s">
        <v>5815</v>
      </c>
      <c r="L3609" s="119"/>
    </row>
    <row r="3610" spans="1:13" s="4" customFormat="1" ht="14.25" customHeight="1" x14ac:dyDescent="0.25">
      <c r="A3610" s="4" t="s">
        <v>5880</v>
      </c>
      <c r="B3610" s="4" t="s">
        <v>13</v>
      </c>
      <c r="C3610" s="4" t="s">
        <v>14</v>
      </c>
      <c r="D3610" s="35">
        <v>10204</v>
      </c>
      <c r="E3610" s="7" t="s">
        <v>5881</v>
      </c>
      <c r="F3610" s="5">
        <v>41106</v>
      </c>
      <c r="G3610" s="5">
        <v>41548</v>
      </c>
      <c r="H3610" s="4" t="s">
        <v>392</v>
      </c>
      <c r="I3610" s="6">
        <v>1166484.56</v>
      </c>
      <c r="J3610" s="6">
        <v>348991.35</v>
      </c>
      <c r="K3610" s="37" t="s">
        <v>5815</v>
      </c>
      <c r="L3610" s="119"/>
      <c r="M3610" s="3"/>
    </row>
    <row r="3611" spans="1:13" s="4" customFormat="1" ht="14.25" customHeight="1" x14ac:dyDescent="0.25">
      <c r="A3611" s="4" t="s">
        <v>5882</v>
      </c>
      <c r="B3611" s="4" t="s">
        <v>13</v>
      </c>
      <c r="C3611" s="4" t="s">
        <v>14</v>
      </c>
      <c r="D3611" s="35">
        <v>8032</v>
      </c>
      <c r="E3611" s="7" t="s">
        <v>5883</v>
      </c>
      <c r="F3611" s="5">
        <v>39782</v>
      </c>
      <c r="G3611" s="5">
        <v>41274</v>
      </c>
      <c r="H3611" s="4" t="s">
        <v>2195</v>
      </c>
      <c r="I3611" s="6">
        <v>6000000</v>
      </c>
      <c r="J3611" s="6">
        <v>6000000.0099999998</v>
      </c>
      <c r="K3611" s="37" t="s">
        <v>5815</v>
      </c>
      <c r="L3611" s="119"/>
      <c r="M3611" s="3"/>
    </row>
    <row r="3612" spans="1:13" s="4" customFormat="1" ht="14.25" customHeight="1" x14ac:dyDescent="0.25">
      <c r="A3612" s="4" t="s">
        <v>5884</v>
      </c>
      <c r="B3612" s="4" t="s">
        <v>190</v>
      </c>
      <c r="C3612" s="4" t="s">
        <v>14</v>
      </c>
      <c r="D3612" s="35">
        <v>11706</v>
      </c>
      <c r="E3612" s="4" t="s">
        <v>5885</v>
      </c>
      <c r="F3612" s="5">
        <v>40151</v>
      </c>
      <c r="G3612" s="5">
        <v>40724</v>
      </c>
      <c r="H3612" s="4" t="s">
        <v>5886</v>
      </c>
      <c r="I3612" s="6">
        <v>2669371</v>
      </c>
      <c r="J3612" s="6">
        <v>1067747</v>
      </c>
      <c r="K3612" s="37" t="s">
        <v>5815</v>
      </c>
      <c r="L3612" s="119"/>
      <c r="M3612" s="3"/>
    </row>
    <row r="3613" spans="1:13" s="4" customFormat="1" ht="14.25" customHeight="1" x14ac:dyDescent="0.25">
      <c r="A3613" s="4" t="s">
        <v>5887</v>
      </c>
      <c r="B3613" s="4" t="s">
        <v>59</v>
      </c>
      <c r="C3613" s="4" t="s">
        <v>14</v>
      </c>
      <c r="D3613" s="35">
        <v>622</v>
      </c>
      <c r="E3613" s="4" t="s">
        <v>5888</v>
      </c>
      <c r="F3613" s="5">
        <v>39196</v>
      </c>
      <c r="G3613" s="5">
        <v>39401</v>
      </c>
      <c r="H3613" s="4" t="s">
        <v>40</v>
      </c>
      <c r="I3613" s="6">
        <v>7500</v>
      </c>
      <c r="J3613" s="6">
        <v>7500</v>
      </c>
      <c r="K3613" s="37" t="s">
        <v>5815</v>
      </c>
      <c r="L3613" s="119"/>
      <c r="M3613" s="3"/>
    </row>
    <row r="3614" spans="1:13" s="4" customFormat="1" ht="14.25" customHeight="1" x14ac:dyDescent="0.25">
      <c r="A3614" s="4" t="s">
        <v>5889</v>
      </c>
      <c r="B3614" s="4" t="s">
        <v>50</v>
      </c>
      <c r="C3614" s="4" t="s">
        <v>14</v>
      </c>
      <c r="D3614" s="35">
        <v>624</v>
      </c>
      <c r="E3614" s="4" t="s">
        <v>5890</v>
      </c>
      <c r="F3614" s="5">
        <v>39140</v>
      </c>
      <c r="G3614" s="5">
        <v>39958</v>
      </c>
      <c r="H3614" s="4" t="s">
        <v>40</v>
      </c>
      <c r="I3614" s="6">
        <v>28655.5</v>
      </c>
      <c r="J3614" s="6">
        <v>14327.75</v>
      </c>
      <c r="K3614" s="37" t="s">
        <v>5815</v>
      </c>
      <c r="L3614" s="119"/>
      <c r="M3614" s="3"/>
    </row>
    <row r="3615" spans="1:13" s="4" customFormat="1" ht="14.25" customHeight="1" x14ac:dyDescent="0.25">
      <c r="A3615" s="4" t="s">
        <v>5891</v>
      </c>
      <c r="B3615" s="4" t="s">
        <v>50</v>
      </c>
      <c r="C3615" s="4" t="s">
        <v>14</v>
      </c>
      <c r="D3615" s="35">
        <v>627</v>
      </c>
      <c r="E3615" s="4" t="s">
        <v>5892</v>
      </c>
      <c r="F3615" s="5">
        <v>39335</v>
      </c>
      <c r="G3615" s="5">
        <v>39813</v>
      </c>
      <c r="H3615" s="4" t="s">
        <v>40</v>
      </c>
      <c r="I3615" s="6">
        <v>17811.68</v>
      </c>
      <c r="J3615" s="6">
        <v>8905.84</v>
      </c>
      <c r="K3615" s="37" t="s">
        <v>5815</v>
      </c>
      <c r="L3615" s="119"/>
      <c r="M3615" s="3"/>
    </row>
    <row r="3616" spans="1:13" s="4" customFormat="1" ht="14.25" customHeight="1" x14ac:dyDescent="0.25">
      <c r="A3616" s="4" t="s">
        <v>5893</v>
      </c>
      <c r="B3616" s="4" t="s">
        <v>50</v>
      </c>
      <c r="C3616" s="4" t="s">
        <v>14</v>
      </c>
      <c r="D3616" s="35">
        <v>629</v>
      </c>
      <c r="E3616" s="4" t="s">
        <v>5894</v>
      </c>
      <c r="F3616" s="5">
        <v>39367</v>
      </c>
      <c r="G3616" s="5">
        <v>39813</v>
      </c>
      <c r="H3616" s="4" t="s">
        <v>40</v>
      </c>
      <c r="I3616" s="6">
        <v>5000</v>
      </c>
      <c r="J3616" s="6">
        <v>2500</v>
      </c>
      <c r="K3616" s="37" t="s">
        <v>5815</v>
      </c>
      <c r="L3616" s="119"/>
      <c r="M3616" s="3"/>
    </row>
    <row r="3617" spans="1:13" s="4" customFormat="1" ht="14.25" customHeight="1" x14ac:dyDescent="0.25">
      <c r="A3617" s="4" t="s">
        <v>5895</v>
      </c>
      <c r="B3617" s="4" t="s">
        <v>50</v>
      </c>
      <c r="C3617" s="4" t="s">
        <v>14</v>
      </c>
      <c r="D3617" s="35">
        <v>630</v>
      </c>
      <c r="E3617" s="4" t="s">
        <v>5896</v>
      </c>
      <c r="F3617" s="5">
        <v>39407</v>
      </c>
      <c r="G3617" s="5">
        <v>39813</v>
      </c>
      <c r="H3617" s="4" t="s">
        <v>40</v>
      </c>
      <c r="I3617" s="6">
        <v>30000</v>
      </c>
      <c r="J3617" s="6">
        <v>15000</v>
      </c>
      <c r="K3617" s="37" t="s">
        <v>5815</v>
      </c>
      <c r="L3617" s="119"/>
      <c r="M3617" s="3"/>
    </row>
    <row r="3618" spans="1:13" s="4" customFormat="1" ht="14.25" customHeight="1" x14ac:dyDescent="0.25">
      <c r="A3618" s="4" t="s">
        <v>5899</v>
      </c>
      <c r="B3618" s="4" t="s">
        <v>50</v>
      </c>
      <c r="C3618" s="4" t="s">
        <v>14</v>
      </c>
      <c r="D3618" s="35">
        <v>634</v>
      </c>
      <c r="E3618" s="4" t="s">
        <v>5900</v>
      </c>
      <c r="F3618" s="5">
        <v>39435</v>
      </c>
      <c r="G3618" s="5">
        <v>39813</v>
      </c>
      <c r="H3618" s="4" t="s">
        <v>40</v>
      </c>
      <c r="I3618" s="6">
        <v>10000</v>
      </c>
      <c r="J3618" s="6">
        <v>5000</v>
      </c>
      <c r="K3618" s="37" t="s">
        <v>5815</v>
      </c>
      <c r="L3618" s="119"/>
      <c r="M3618" s="3"/>
    </row>
    <row r="3619" spans="1:13" s="4" customFormat="1" ht="14.25" customHeight="1" x14ac:dyDescent="0.25">
      <c r="A3619" s="4" t="s">
        <v>5907</v>
      </c>
      <c r="B3619" s="4" t="s">
        <v>50</v>
      </c>
      <c r="C3619" s="4" t="s">
        <v>14</v>
      </c>
      <c r="D3619" s="35">
        <v>642</v>
      </c>
      <c r="E3619" s="4" t="s">
        <v>5908</v>
      </c>
      <c r="F3619" s="5">
        <v>39519</v>
      </c>
      <c r="G3619" s="5">
        <v>39813</v>
      </c>
      <c r="H3619" s="4" t="s">
        <v>40</v>
      </c>
      <c r="I3619" s="6">
        <v>33970</v>
      </c>
      <c r="J3619" s="6">
        <v>16985</v>
      </c>
      <c r="K3619" s="37" t="s">
        <v>5815</v>
      </c>
      <c r="L3619" s="119"/>
      <c r="M3619" s="3"/>
    </row>
    <row r="3620" spans="1:13" s="4" customFormat="1" ht="14.25" customHeight="1" x14ac:dyDescent="0.25">
      <c r="A3620" s="4" t="s">
        <v>5909</v>
      </c>
      <c r="B3620" s="4" t="s">
        <v>50</v>
      </c>
      <c r="C3620" s="4" t="s">
        <v>14</v>
      </c>
      <c r="D3620" s="35">
        <v>643</v>
      </c>
      <c r="E3620" s="4" t="s">
        <v>5910</v>
      </c>
      <c r="F3620" s="5">
        <v>39519</v>
      </c>
      <c r="G3620" s="5">
        <v>39813</v>
      </c>
      <c r="H3620" s="4" t="s">
        <v>40</v>
      </c>
      <c r="I3620" s="6">
        <v>18000</v>
      </c>
      <c r="J3620" s="6">
        <v>9000</v>
      </c>
      <c r="K3620" s="37" t="s">
        <v>5815</v>
      </c>
      <c r="L3620" s="119"/>
      <c r="M3620" s="3"/>
    </row>
    <row r="3621" spans="1:13" s="4" customFormat="1" ht="14.25" customHeight="1" x14ac:dyDescent="0.25">
      <c r="A3621" s="4" t="s">
        <v>5915</v>
      </c>
      <c r="B3621" s="4" t="s">
        <v>50</v>
      </c>
      <c r="C3621" s="4" t="s">
        <v>14</v>
      </c>
      <c r="D3621" s="35">
        <v>646</v>
      </c>
      <c r="E3621" s="4" t="s">
        <v>5916</v>
      </c>
      <c r="F3621" s="5">
        <v>39654</v>
      </c>
      <c r="G3621" s="5">
        <v>39813</v>
      </c>
      <c r="H3621" s="4" t="s">
        <v>40</v>
      </c>
      <c r="I3621" s="6">
        <v>20000</v>
      </c>
      <c r="J3621" s="6">
        <v>10000</v>
      </c>
      <c r="K3621" s="37" t="s">
        <v>5815</v>
      </c>
      <c r="L3621" s="119"/>
      <c r="M3621" s="3"/>
    </row>
    <row r="3622" spans="1:13" s="4" customFormat="1" ht="14.25" customHeight="1" x14ac:dyDescent="0.25">
      <c r="A3622" s="4" t="s">
        <v>5917</v>
      </c>
      <c r="B3622" s="4" t="s">
        <v>50</v>
      </c>
      <c r="C3622" s="4" t="s">
        <v>14</v>
      </c>
      <c r="D3622" s="35">
        <v>647</v>
      </c>
      <c r="E3622" s="4" t="s">
        <v>5918</v>
      </c>
      <c r="F3622" s="5">
        <v>39797</v>
      </c>
      <c r="H3622" s="4" t="s">
        <v>40</v>
      </c>
      <c r="I3622" s="6">
        <v>30843</v>
      </c>
      <c r="J3622" s="6">
        <v>15421.5</v>
      </c>
      <c r="K3622" s="37" t="s">
        <v>5815</v>
      </c>
      <c r="L3622" s="119"/>
      <c r="M3622" s="3"/>
    </row>
    <row r="3623" spans="1:13" s="4" customFormat="1" ht="14.25" customHeight="1" x14ac:dyDescent="0.25">
      <c r="A3623" s="4" t="s">
        <v>5919</v>
      </c>
      <c r="B3623" s="4" t="s">
        <v>50</v>
      </c>
      <c r="C3623" s="4" t="s">
        <v>14</v>
      </c>
      <c r="D3623" s="35">
        <v>648</v>
      </c>
      <c r="E3623" s="4" t="s">
        <v>5920</v>
      </c>
      <c r="F3623" s="5">
        <v>39629</v>
      </c>
      <c r="G3623" s="5">
        <v>39813</v>
      </c>
      <c r="H3623" s="4" t="s">
        <v>40</v>
      </c>
      <c r="I3623" s="6">
        <v>25000</v>
      </c>
      <c r="J3623" s="6">
        <v>12500</v>
      </c>
      <c r="K3623" s="37" t="s">
        <v>5815</v>
      </c>
      <c r="L3623" s="119"/>
      <c r="M3623" s="3"/>
    </row>
    <row r="3624" spans="1:13" s="4" customFormat="1" ht="14.25" customHeight="1" x14ac:dyDescent="0.25">
      <c r="A3624" s="4" t="s">
        <v>5927</v>
      </c>
      <c r="B3624" s="4" t="s">
        <v>59</v>
      </c>
      <c r="C3624" s="4" t="s">
        <v>14</v>
      </c>
      <c r="D3624" s="35">
        <v>652</v>
      </c>
      <c r="E3624" s="4" t="s">
        <v>5928</v>
      </c>
      <c r="F3624" s="5">
        <v>39647</v>
      </c>
      <c r="G3624" s="5">
        <v>39892</v>
      </c>
      <c r="H3624" s="4" t="s">
        <v>40</v>
      </c>
      <c r="I3624" s="6">
        <v>7500</v>
      </c>
      <c r="J3624" s="6">
        <v>7500</v>
      </c>
      <c r="K3624" s="37" t="s">
        <v>5815</v>
      </c>
      <c r="L3624" s="119"/>
      <c r="M3624" s="3"/>
    </row>
    <row r="3625" spans="1:13" s="4" customFormat="1" ht="14.25" customHeight="1" x14ac:dyDescent="0.25">
      <c r="A3625" s="4" t="s">
        <v>5929</v>
      </c>
      <c r="B3625" s="4" t="s">
        <v>90</v>
      </c>
      <c r="C3625" s="4" t="s">
        <v>14</v>
      </c>
      <c r="D3625" s="35">
        <v>653</v>
      </c>
      <c r="E3625" s="4" t="s">
        <v>5930</v>
      </c>
      <c r="F3625" s="5">
        <v>39706</v>
      </c>
      <c r="G3625" s="5">
        <v>39813</v>
      </c>
      <c r="H3625" s="4" t="s">
        <v>40</v>
      </c>
      <c r="I3625" s="6">
        <v>10000</v>
      </c>
      <c r="J3625" s="6">
        <v>5000</v>
      </c>
      <c r="K3625" s="37" t="s">
        <v>5815</v>
      </c>
      <c r="L3625" s="119"/>
      <c r="M3625" s="3"/>
    </row>
    <row r="3626" spans="1:13" s="4" customFormat="1" ht="14.25" customHeight="1" x14ac:dyDescent="0.25">
      <c r="A3626" s="4" t="s">
        <v>5931</v>
      </c>
      <c r="B3626" s="4" t="s">
        <v>90</v>
      </c>
      <c r="C3626" s="4" t="s">
        <v>14</v>
      </c>
      <c r="D3626" s="35">
        <v>654</v>
      </c>
      <c r="E3626" s="4" t="s">
        <v>5932</v>
      </c>
      <c r="F3626" s="5">
        <v>39716</v>
      </c>
      <c r="G3626" s="5">
        <v>39813</v>
      </c>
      <c r="H3626" s="4" t="s">
        <v>40</v>
      </c>
      <c r="I3626" s="6">
        <v>2987.5</v>
      </c>
      <c r="J3626" s="6">
        <v>1493.75</v>
      </c>
      <c r="K3626" s="37" t="s">
        <v>5815</v>
      </c>
      <c r="L3626" s="119"/>
      <c r="M3626" s="3"/>
    </row>
    <row r="3627" spans="1:13" s="4" customFormat="1" ht="14.25" customHeight="1" x14ac:dyDescent="0.25">
      <c r="A3627" s="4" t="s">
        <v>5933</v>
      </c>
      <c r="B3627" s="4" t="s">
        <v>90</v>
      </c>
      <c r="C3627" s="4" t="s">
        <v>14</v>
      </c>
      <c r="D3627" s="35">
        <v>655</v>
      </c>
      <c r="E3627" s="4" t="s">
        <v>5934</v>
      </c>
      <c r="F3627" s="5">
        <v>39744</v>
      </c>
      <c r="G3627" s="5">
        <v>39813</v>
      </c>
      <c r="H3627" s="4" t="s">
        <v>40</v>
      </c>
      <c r="I3627" s="6">
        <v>10200</v>
      </c>
      <c r="J3627" s="6">
        <v>5100</v>
      </c>
      <c r="K3627" s="37" t="s">
        <v>5815</v>
      </c>
      <c r="L3627" s="119"/>
      <c r="M3627" s="3"/>
    </row>
    <row r="3628" spans="1:13" s="4" customFormat="1" ht="14.25" customHeight="1" x14ac:dyDescent="0.25">
      <c r="A3628" s="4" t="s">
        <v>5935</v>
      </c>
      <c r="B3628" s="4" t="s">
        <v>90</v>
      </c>
      <c r="C3628" s="4" t="s">
        <v>14</v>
      </c>
      <c r="D3628" s="35">
        <v>656</v>
      </c>
      <c r="E3628" s="4" t="s">
        <v>5936</v>
      </c>
      <c r="F3628" s="5">
        <v>39790</v>
      </c>
      <c r="G3628" s="5">
        <v>39813</v>
      </c>
      <c r="H3628" s="4" t="s">
        <v>40</v>
      </c>
      <c r="I3628" s="6">
        <v>10200</v>
      </c>
      <c r="J3628" s="6">
        <v>5100</v>
      </c>
      <c r="K3628" s="37" t="s">
        <v>5815</v>
      </c>
      <c r="L3628" s="119"/>
      <c r="M3628" s="3"/>
    </row>
    <row r="3629" spans="1:13" s="4" customFormat="1" ht="14.25" customHeight="1" x14ac:dyDescent="0.25">
      <c r="A3629" s="4" t="s">
        <v>5937</v>
      </c>
      <c r="B3629" s="4" t="s">
        <v>90</v>
      </c>
      <c r="C3629" s="4" t="s">
        <v>14</v>
      </c>
      <c r="D3629" s="35">
        <v>657</v>
      </c>
      <c r="E3629" s="4" t="s">
        <v>5938</v>
      </c>
      <c r="F3629" s="5">
        <v>39804</v>
      </c>
      <c r="G3629" s="5">
        <v>39813</v>
      </c>
      <c r="H3629" s="4" t="s">
        <v>40</v>
      </c>
      <c r="I3629" s="6">
        <v>10200</v>
      </c>
      <c r="J3629" s="6">
        <v>5100</v>
      </c>
      <c r="K3629" s="37" t="s">
        <v>5815</v>
      </c>
      <c r="L3629" s="119"/>
      <c r="M3629" s="3"/>
    </row>
    <row r="3630" spans="1:13" s="4" customFormat="1" ht="14.25" customHeight="1" x14ac:dyDescent="0.25">
      <c r="A3630" s="4" t="s">
        <v>5939</v>
      </c>
      <c r="B3630" s="4" t="s">
        <v>38</v>
      </c>
      <c r="C3630" s="4" t="s">
        <v>14</v>
      </c>
      <c r="D3630" s="35">
        <v>659</v>
      </c>
      <c r="E3630" s="4" t="s">
        <v>5940</v>
      </c>
      <c r="F3630" s="5">
        <v>39083</v>
      </c>
      <c r="H3630" s="4" t="s">
        <v>40</v>
      </c>
      <c r="I3630" s="6">
        <v>129550.64</v>
      </c>
      <c r="J3630" s="6">
        <f>105915.68+23634.96</f>
        <v>129550.63999999998</v>
      </c>
      <c r="K3630" s="37" t="s">
        <v>5815</v>
      </c>
      <c r="L3630" s="119"/>
      <c r="M3630" s="3"/>
    </row>
    <row r="3631" spans="1:13" s="4" customFormat="1" ht="14.25" customHeight="1" x14ac:dyDescent="0.25">
      <c r="A3631" s="4" t="s">
        <v>5941</v>
      </c>
      <c r="B3631" s="4" t="s">
        <v>38</v>
      </c>
      <c r="C3631" s="4" t="s">
        <v>14</v>
      </c>
      <c r="D3631" s="35">
        <v>660</v>
      </c>
      <c r="E3631" s="4" t="s">
        <v>5942</v>
      </c>
      <c r="F3631" s="5">
        <v>39083</v>
      </c>
      <c r="H3631" s="4" t="s">
        <v>40</v>
      </c>
      <c r="I3631" s="6">
        <f>68232.95+6699.34</f>
        <v>74932.289999999994</v>
      </c>
      <c r="J3631" s="6">
        <f>68232.95+6699.34</f>
        <v>74932.289999999994</v>
      </c>
      <c r="K3631" s="37" t="s">
        <v>5815</v>
      </c>
      <c r="L3631" s="119"/>
      <c r="M3631" s="3"/>
    </row>
    <row r="3632" spans="1:13" s="4" customFormat="1" ht="14.25" customHeight="1" x14ac:dyDescent="0.25">
      <c r="A3632" s="4" t="s">
        <v>5943</v>
      </c>
      <c r="B3632" s="4" t="s">
        <v>38</v>
      </c>
      <c r="C3632" s="4" t="s">
        <v>14</v>
      </c>
      <c r="D3632" s="35">
        <v>661</v>
      </c>
      <c r="E3632" s="4" t="s">
        <v>5944</v>
      </c>
      <c r="F3632" s="5">
        <v>39083</v>
      </c>
      <c r="H3632" s="4" t="s">
        <v>40</v>
      </c>
      <c r="I3632" s="6">
        <v>916.8</v>
      </c>
      <c r="J3632" s="6">
        <v>916.8</v>
      </c>
      <c r="K3632" s="37" t="s">
        <v>5815</v>
      </c>
      <c r="L3632" s="119"/>
      <c r="M3632" s="3"/>
    </row>
    <row r="3633" spans="1:13" s="4" customFormat="1" ht="14.25" customHeight="1" x14ac:dyDescent="0.25">
      <c r="A3633" s="4" t="s">
        <v>5945</v>
      </c>
      <c r="B3633" s="4" t="s">
        <v>38</v>
      </c>
      <c r="C3633" s="4" t="s">
        <v>14</v>
      </c>
      <c r="D3633" s="35">
        <v>662</v>
      </c>
      <c r="E3633" s="4" t="s">
        <v>5946</v>
      </c>
      <c r="F3633" s="5">
        <v>39083</v>
      </c>
      <c r="H3633" s="4" t="s">
        <v>40</v>
      </c>
      <c r="I3633" s="6">
        <f>20474.9+1020</f>
        <v>21494.9</v>
      </c>
      <c r="J3633" s="6">
        <f>20474.9+1020</f>
        <v>21494.9</v>
      </c>
      <c r="K3633" s="37" t="s">
        <v>5815</v>
      </c>
      <c r="L3633" s="119"/>
      <c r="M3633" s="3"/>
    </row>
    <row r="3634" spans="1:13" s="4" customFormat="1" ht="14.25" customHeight="1" x14ac:dyDescent="0.25">
      <c r="A3634" s="4" t="s">
        <v>5947</v>
      </c>
      <c r="B3634" s="4" t="s">
        <v>38</v>
      </c>
      <c r="C3634" s="4" t="s">
        <v>14</v>
      </c>
      <c r="D3634" s="35">
        <v>663</v>
      </c>
      <c r="E3634" s="4" t="s">
        <v>5948</v>
      </c>
      <c r="F3634" s="5">
        <v>39083</v>
      </c>
      <c r="G3634" s="5">
        <v>39813</v>
      </c>
      <c r="H3634" s="4" t="s">
        <v>40</v>
      </c>
      <c r="I3634" s="6">
        <v>2000</v>
      </c>
      <c r="J3634" s="6">
        <v>2000</v>
      </c>
      <c r="K3634" s="37" t="s">
        <v>5815</v>
      </c>
      <c r="L3634" s="119"/>
      <c r="M3634" s="3"/>
    </row>
    <row r="3635" spans="1:13" s="4" customFormat="1" ht="14.25" customHeight="1" x14ac:dyDescent="0.25">
      <c r="A3635" s="4" t="s">
        <v>5949</v>
      </c>
      <c r="B3635" s="4" t="s">
        <v>38</v>
      </c>
      <c r="C3635" s="4" t="s">
        <v>14</v>
      </c>
      <c r="D3635" s="35">
        <v>664</v>
      </c>
      <c r="E3635" s="4" t="s">
        <v>5950</v>
      </c>
      <c r="F3635" s="5">
        <v>39083</v>
      </c>
      <c r="H3635" s="4" t="s">
        <v>40</v>
      </c>
      <c r="I3635" s="6">
        <v>5500</v>
      </c>
      <c r="J3635" s="6">
        <v>5500</v>
      </c>
      <c r="K3635" s="37" t="s">
        <v>5815</v>
      </c>
      <c r="L3635" s="119"/>
      <c r="M3635" s="3"/>
    </row>
    <row r="3636" spans="1:13" s="4" customFormat="1" ht="14.25" customHeight="1" x14ac:dyDescent="0.25">
      <c r="A3636" s="4" t="s">
        <v>5951</v>
      </c>
      <c r="B3636" s="4" t="s">
        <v>38</v>
      </c>
      <c r="C3636" s="4" t="s">
        <v>14</v>
      </c>
      <c r="D3636" s="35">
        <v>665</v>
      </c>
      <c r="E3636" s="4" t="s">
        <v>5952</v>
      </c>
      <c r="F3636" s="5">
        <v>39083</v>
      </c>
      <c r="H3636" s="4" t="s">
        <v>40</v>
      </c>
      <c r="I3636" s="6">
        <v>54644.49</v>
      </c>
      <c r="J3636" s="6">
        <v>54644.49</v>
      </c>
      <c r="K3636" s="37" t="s">
        <v>5815</v>
      </c>
      <c r="L3636" s="119"/>
      <c r="M3636" s="3"/>
    </row>
    <row r="3637" spans="1:13" s="4" customFormat="1" ht="14.25" customHeight="1" x14ac:dyDescent="0.25">
      <c r="A3637" s="4" t="s">
        <v>5953</v>
      </c>
      <c r="B3637" s="4" t="s">
        <v>38</v>
      </c>
      <c r="C3637" s="4" t="s">
        <v>14</v>
      </c>
      <c r="D3637" s="35">
        <v>666</v>
      </c>
      <c r="E3637" s="4" t="s">
        <v>5954</v>
      </c>
      <c r="F3637" s="5">
        <v>39083</v>
      </c>
      <c r="H3637" s="4" t="s">
        <v>40</v>
      </c>
      <c r="I3637" s="6">
        <v>21466.17</v>
      </c>
      <c r="J3637" s="6">
        <v>21466.17</v>
      </c>
      <c r="K3637" s="37" t="s">
        <v>5815</v>
      </c>
      <c r="L3637" s="119"/>
      <c r="M3637" s="3"/>
    </row>
    <row r="3638" spans="1:13" s="4" customFormat="1" ht="14.25" customHeight="1" x14ac:dyDescent="0.25">
      <c r="A3638" s="4" t="s">
        <v>5955</v>
      </c>
      <c r="B3638" s="4" t="s">
        <v>38</v>
      </c>
      <c r="C3638" s="4" t="s">
        <v>14</v>
      </c>
      <c r="D3638" s="35">
        <v>667</v>
      </c>
      <c r="E3638" s="4" t="s">
        <v>5956</v>
      </c>
      <c r="F3638" s="5">
        <v>39083</v>
      </c>
      <c r="H3638" s="4" t="s">
        <v>40</v>
      </c>
      <c r="I3638" s="6">
        <v>52840.99</v>
      </c>
      <c r="J3638" s="6">
        <f>45969.59+6871.4</f>
        <v>52840.99</v>
      </c>
      <c r="K3638" s="37" t="s">
        <v>5815</v>
      </c>
      <c r="L3638" s="119"/>
      <c r="M3638" s="3"/>
    </row>
    <row r="3639" spans="1:13" s="4" customFormat="1" ht="14.25" customHeight="1" x14ac:dyDescent="0.25">
      <c r="A3639" s="4" t="s">
        <v>5957</v>
      </c>
      <c r="B3639" s="4" t="s">
        <v>38</v>
      </c>
      <c r="C3639" s="4" t="s">
        <v>14</v>
      </c>
      <c r="D3639" s="35">
        <v>668</v>
      </c>
      <c r="E3639" s="4" t="s">
        <v>5958</v>
      </c>
      <c r="F3639" s="5">
        <v>39083</v>
      </c>
      <c r="H3639" s="4" t="s">
        <v>40</v>
      </c>
      <c r="I3639" s="6">
        <v>3933.33</v>
      </c>
      <c r="J3639" s="6">
        <v>3933.33</v>
      </c>
      <c r="K3639" s="37" t="s">
        <v>5815</v>
      </c>
      <c r="L3639" s="119"/>
      <c r="M3639" s="3"/>
    </row>
    <row r="3640" spans="1:13" s="4" customFormat="1" ht="14.25" customHeight="1" x14ac:dyDescent="0.25">
      <c r="A3640" s="4" t="s">
        <v>5959</v>
      </c>
      <c r="B3640" s="4" t="s">
        <v>38</v>
      </c>
      <c r="C3640" s="4" t="s">
        <v>14</v>
      </c>
      <c r="D3640" s="35">
        <v>669</v>
      </c>
      <c r="E3640" s="4" t="s">
        <v>5960</v>
      </c>
      <c r="F3640" s="5">
        <v>39083</v>
      </c>
      <c r="H3640" s="4" t="s">
        <v>40</v>
      </c>
      <c r="I3640" s="6">
        <f>78567.69+3000</f>
        <v>81567.69</v>
      </c>
      <c r="J3640" s="6">
        <f>78567.69+3000</f>
        <v>81567.69</v>
      </c>
      <c r="K3640" s="37" t="s">
        <v>5815</v>
      </c>
      <c r="L3640" s="119"/>
      <c r="M3640" s="3"/>
    </row>
    <row r="3641" spans="1:13" s="4" customFormat="1" ht="14.25" customHeight="1" x14ac:dyDescent="0.25">
      <c r="A3641" s="4" t="s">
        <v>5961</v>
      </c>
      <c r="B3641" s="4" t="s">
        <v>38</v>
      </c>
      <c r="C3641" s="4" t="s">
        <v>14</v>
      </c>
      <c r="D3641" s="35">
        <v>670</v>
      </c>
      <c r="E3641" s="4" t="s">
        <v>5962</v>
      </c>
      <c r="F3641" s="5">
        <v>39083</v>
      </c>
      <c r="H3641" s="4" t="s">
        <v>40</v>
      </c>
      <c r="I3641" s="6">
        <v>34561.410000000003</v>
      </c>
      <c r="J3641" s="6">
        <f>30485.35+4076.06</f>
        <v>34561.409999999996</v>
      </c>
      <c r="K3641" s="37" t="s">
        <v>5815</v>
      </c>
      <c r="L3641" s="119"/>
      <c r="M3641" s="3"/>
    </row>
    <row r="3642" spans="1:13" s="4" customFormat="1" ht="14.25" customHeight="1" x14ac:dyDescent="0.25">
      <c r="A3642" s="4" t="s">
        <v>5963</v>
      </c>
      <c r="B3642" s="4" t="s">
        <v>38</v>
      </c>
      <c r="C3642" s="4" t="s">
        <v>14</v>
      </c>
      <c r="D3642" s="35">
        <v>671</v>
      </c>
      <c r="E3642" s="4" t="s">
        <v>5964</v>
      </c>
      <c r="F3642" s="5">
        <v>39083</v>
      </c>
      <c r="H3642" s="4" t="s">
        <v>40</v>
      </c>
      <c r="I3642" s="6">
        <f>85210.45+229.55</f>
        <v>85440</v>
      </c>
      <c r="J3642" s="6">
        <v>85440</v>
      </c>
      <c r="K3642" s="37" t="s">
        <v>5815</v>
      </c>
      <c r="L3642" s="119"/>
      <c r="M3642" s="3"/>
    </row>
    <row r="3643" spans="1:13" s="4" customFormat="1" ht="14.25" customHeight="1" x14ac:dyDescent="0.25">
      <c r="A3643" s="4" t="s">
        <v>5965</v>
      </c>
      <c r="B3643" s="4" t="s">
        <v>38</v>
      </c>
      <c r="C3643" s="4" t="s">
        <v>14</v>
      </c>
      <c r="D3643" s="35">
        <v>672</v>
      </c>
      <c r="E3643" s="4" t="s">
        <v>5966</v>
      </c>
      <c r="F3643" s="5">
        <v>39083</v>
      </c>
      <c r="H3643" s="4" t="s">
        <v>40</v>
      </c>
      <c r="I3643" s="6">
        <v>25716.95</v>
      </c>
      <c r="J3643" s="6">
        <v>25716.95</v>
      </c>
      <c r="K3643" s="37" t="s">
        <v>5815</v>
      </c>
      <c r="L3643" s="119"/>
      <c r="M3643" s="3"/>
    </row>
    <row r="3644" spans="1:13" s="4" customFormat="1" ht="14.25" customHeight="1" x14ac:dyDescent="0.25">
      <c r="A3644" s="4" t="s">
        <v>5967</v>
      </c>
      <c r="B3644" s="4" t="s">
        <v>38</v>
      </c>
      <c r="C3644" s="4" t="s">
        <v>14</v>
      </c>
      <c r="D3644" s="35">
        <v>673</v>
      </c>
      <c r="E3644" s="4" t="s">
        <v>5968</v>
      </c>
      <c r="F3644" s="5">
        <v>39083</v>
      </c>
      <c r="H3644" s="4" t="s">
        <v>40</v>
      </c>
      <c r="I3644" s="6">
        <v>5000</v>
      </c>
      <c r="J3644" s="6">
        <v>5000</v>
      </c>
      <c r="K3644" s="37" t="s">
        <v>5815</v>
      </c>
      <c r="L3644" s="119"/>
      <c r="M3644" s="3"/>
    </row>
    <row r="3645" spans="1:13" s="4" customFormat="1" ht="14.25" customHeight="1" x14ac:dyDescent="0.25">
      <c r="A3645" s="4" t="s">
        <v>5969</v>
      </c>
      <c r="B3645" s="4" t="s">
        <v>59</v>
      </c>
      <c r="C3645" s="4" t="s">
        <v>14</v>
      </c>
      <c r="D3645" s="35">
        <v>674</v>
      </c>
      <c r="E3645" s="4" t="s">
        <v>5970</v>
      </c>
      <c r="F3645" s="5">
        <v>39083</v>
      </c>
      <c r="G3645" s="5">
        <v>39813</v>
      </c>
      <c r="H3645" s="4" t="s">
        <v>40</v>
      </c>
      <c r="I3645" s="6">
        <v>7015</v>
      </c>
      <c r="J3645" s="6">
        <v>7015</v>
      </c>
      <c r="K3645" s="37" t="s">
        <v>5815</v>
      </c>
      <c r="L3645" s="119"/>
      <c r="M3645" s="3"/>
    </row>
    <row r="3646" spans="1:13" s="4" customFormat="1" ht="14.25" customHeight="1" x14ac:dyDescent="0.25">
      <c r="A3646" s="4" t="s">
        <v>5971</v>
      </c>
      <c r="B3646" s="4" t="s">
        <v>38</v>
      </c>
      <c r="C3646" s="4" t="s">
        <v>14</v>
      </c>
      <c r="D3646" s="35">
        <v>675</v>
      </c>
      <c r="E3646" s="4" t="s">
        <v>5972</v>
      </c>
      <c r="F3646" s="5">
        <v>39083</v>
      </c>
      <c r="H3646" s="4" t="s">
        <v>40</v>
      </c>
      <c r="I3646" s="6">
        <f>91425.53+17625.25</f>
        <v>109050.78</v>
      </c>
      <c r="J3646" s="6">
        <f>91425.53+17625.25</f>
        <v>109050.78</v>
      </c>
      <c r="K3646" s="37" t="s">
        <v>5815</v>
      </c>
      <c r="L3646" s="119"/>
      <c r="M3646" s="3"/>
    </row>
    <row r="3647" spans="1:13" s="4" customFormat="1" ht="14.25" customHeight="1" x14ac:dyDescent="0.25">
      <c r="A3647" s="4" t="s">
        <v>5973</v>
      </c>
      <c r="B3647" s="4" t="s">
        <v>38</v>
      </c>
      <c r="C3647" s="4" t="s">
        <v>14</v>
      </c>
      <c r="D3647" s="35">
        <v>676</v>
      </c>
      <c r="E3647" s="4" t="s">
        <v>5974</v>
      </c>
      <c r="F3647" s="5">
        <v>39083</v>
      </c>
      <c r="H3647" s="4" t="s">
        <v>40</v>
      </c>
      <c r="I3647" s="6">
        <v>84295.29</v>
      </c>
      <c r="J3647" s="6">
        <f>68776.85+15518.44</f>
        <v>84295.290000000008</v>
      </c>
      <c r="K3647" s="37" t="s">
        <v>5815</v>
      </c>
      <c r="L3647" s="119"/>
      <c r="M3647" s="3"/>
    </row>
    <row r="3648" spans="1:13" s="4" customFormat="1" ht="14.25" customHeight="1" x14ac:dyDescent="0.25">
      <c r="A3648" s="4" t="s">
        <v>5975</v>
      </c>
      <c r="B3648" s="4" t="s">
        <v>38</v>
      </c>
      <c r="C3648" s="4" t="s">
        <v>14</v>
      </c>
      <c r="D3648" s="35">
        <v>677</v>
      </c>
      <c r="E3648" s="4" t="s">
        <v>5976</v>
      </c>
      <c r="F3648" s="5">
        <v>39083</v>
      </c>
      <c r="H3648" s="4" t="s">
        <v>40</v>
      </c>
      <c r="I3648" s="6">
        <v>106367.71</v>
      </c>
      <c r="J3648" s="6">
        <f>99690.21+6677.5</f>
        <v>106367.71</v>
      </c>
      <c r="K3648" s="37" t="s">
        <v>5815</v>
      </c>
      <c r="L3648" s="119"/>
      <c r="M3648" s="3"/>
    </row>
    <row r="3649" spans="1:13" s="4" customFormat="1" ht="14.25" customHeight="1" x14ac:dyDescent="0.25">
      <c r="A3649" s="4" t="s">
        <v>5977</v>
      </c>
      <c r="B3649" s="4" t="s">
        <v>38</v>
      </c>
      <c r="C3649" s="4" t="s">
        <v>14</v>
      </c>
      <c r="D3649" s="35">
        <v>678</v>
      </c>
      <c r="E3649" s="7" t="s">
        <v>5978</v>
      </c>
      <c r="F3649" s="5">
        <v>39083</v>
      </c>
      <c r="H3649" s="4" t="s">
        <v>40</v>
      </c>
      <c r="I3649" s="6">
        <v>16531</v>
      </c>
      <c r="J3649" s="6">
        <v>16531</v>
      </c>
      <c r="K3649" s="37" t="s">
        <v>5815</v>
      </c>
      <c r="L3649" s="119"/>
      <c r="M3649" s="3"/>
    </row>
    <row r="3650" spans="1:13" s="4" customFormat="1" ht="14.25" customHeight="1" x14ac:dyDescent="0.25">
      <c r="A3650" s="4" t="s">
        <v>5979</v>
      </c>
      <c r="B3650" s="4" t="s">
        <v>38</v>
      </c>
      <c r="C3650" s="4" t="s">
        <v>14</v>
      </c>
      <c r="D3650" s="35">
        <v>679</v>
      </c>
      <c r="E3650" s="4" t="s">
        <v>5980</v>
      </c>
      <c r="F3650" s="5">
        <v>39083</v>
      </c>
      <c r="G3650" s="5">
        <v>39813</v>
      </c>
      <c r="H3650" s="4" t="s">
        <v>40</v>
      </c>
      <c r="I3650" s="6">
        <v>4000</v>
      </c>
      <c r="J3650" s="6">
        <v>4000</v>
      </c>
      <c r="K3650" s="37" t="s">
        <v>5815</v>
      </c>
      <c r="L3650" s="119"/>
      <c r="M3650" s="3"/>
    </row>
    <row r="3651" spans="1:13" s="4" customFormat="1" ht="14.25" customHeight="1" x14ac:dyDescent="0.25">
      <c r="A3651" s="4" t="s">
        <v>5981</v>
      </c>
      <c r="B3651" s="4" t="s">
        <v>38</v>
      </c>
      <c r="C3651" s="4" t="s">
        <v>14</v>
      </c>
      <c r="D3651" s="35">
        <v>680</v>
      </c>
      <c r="E3651" s="4" t="s">
        <v>5982</v>
      </c>
      <c r="F3651" s="5">
        <v>39083</v>
      </c>
      <c r="H3651" s="4" t="s">
        <v>40</v>
      </c>
      <c r="I3651" s="6">
        <v>10858.2</v>
      </c>
      <c r="J3651" s="6">
        <v>10858.2</v>
      </c>
      <c r="K3651" s="37" t="s">
        <v>5815</v>
      </c>
      <c r="L3651" s="119"/>
      <c r="M3651" s="3"/>
    </row>
    <row r="3652" spans="1:13" s="4" customFormat="1" ht="14.25" customHeight="1" x14ac:dyDescent="0.25">
      <c r="A3652" s="4" t="s">
        <v>5983</v>
      </c>
      <c r="B3652" s="4" t="s">
        <v>38</v>
      </c>
      <c r="C3652" s="4" t="s">
        <v>14</v>
      </c>
      <c r="D3652" s="35">
        <v>681</v>
      </c>
      <c r="E3652" s="4" t="s">
        <v>5984</v>
      </c>
      <c r="F3652" s="5">
        <v>39083</v>
      </c>
      <c r="H3652" s="4" t="s">
        <v>40</v>
      </c>
      <c r="I3652" s="6">
        <v>79984.820000000007</v>
      </c>
      <c r="J3652" s="6">
        <f>67662.53+12322.29</f>
        <v>79984.820000000007</v>
      </c>
      <c r="K3652" s="37" t="s">
        <v>5815</v>
      </c>
      <c r="L3652" s="119"/>
      <c r="M3652" s="3"/>
    </row>
    <row r="3653" spans="1:13" s="4" customFormat="1" ht="14.25" customHeight="1" x14ac:dyDescent="0.25">
      <c r="A3653" s="4" t="s">
        <v>5985</v>
      </c>
      <c r="B3653" s="4" t="s">
        <v>38</v>
      </c>
      <c r="C3653" s="4" t="s">
        <v>14</v>
      </c>
      <c r="D3653" s="35">
        <v>682</v>
      </c>
      <c r="E3653" s="4" t="s">
        <v>5986</v>
      </c>
      <c r="F3653" s="5">
        <v>39083</v>
      </c>
      <c r="H3653" s="4" t="s">
        <v>40</v>
      </c>
      <c r="I3653" s="6">
        <v>237611.05</v>
      </c>
      <c r="J3653" s="6">
        <f>190272.8+47338.25</f>
        <v>237611.05</v>
      </c>
      <c r="K3653" s="37" t="s">
        <v>5815</v>
      </c>
      <c r="L3653" s="119"/>
      <c r="M3653" s="3"/>
    </row>
    <row r="3654" spans="1:13" s="4" customFormat="1" ht="14.25" customHeight="1" x14ac:dyDescent="0.25">
      <c r="A3654" s="4" t="s">
        <v>5987</v>
      </c>
      <c r="B3654" s="4" t="s">
        <v>38</v>
      </c>
      <c r="C3654" s="4" t="s">
        <v>14</v>
      </c>
      <c r="D3654" s="35">
        <v>683</v>
      </c>
      <c r="E3654" s="4" t="s">
        <v>5988</v>
      </c>
      <c r="F3654" s="5">
        <v>39083</v>
      </c>
      <c r="G3654" s="5">
        <v>39813</v>
      </c>
      <c r="H3654" s="4" t="s">
        <v>40</v>
      </c>
      <c r="I3654" s="6">
        <v>5233.9399999999996</v>
      </c>
      <c r="J3654" s="6">
        <v>5233.9399999999996</v>
      </c>
      <c r="K3654" s="37" t="s">
        <v>5815</v>
      </c>
      <c r="L3654" s="119"/>
      <c r="M3654" s="3"/>
    </row>
    <row r="3655" spans="1:13" s="4" customFormat="1" ht="14.25" customHeight="1" x14ac:dyDescent="0.25">
      <c r="A3655" s="4" t="s">
        <v>5989</v>
      </c>
      <c r="B3655" s="4" t="s">
        <v>38</v>
      </c>
      <c r="C3655" s="4" t="s">
        <v>14</v>
      </c>
      <c r="D3655" s="35">
        <v>684</v>
      </c>
      <c r="E3655" s="4" t="s">
        <v>5990</v>
      </c>
      <c r="F3655" s="5">
        <v>39083</v>
      </c>
      <c r="H3655" s="4" t="s">
        <v>40</v>
      </c>
      <c r="I3655" s="6">
        <v>6997.43</v>
      </c>
      <c r="J3655" s="6">
        <v>6997.43</v>
      </c>
      <c r="K3655" s="37" t="s">
        <v>5815</v>
      </c>
      <c r="L3655" s="119"/>
      <c r="M3655" s="3"/>
    </row>
    <row r="3656" spans="1:13" s="4" customFormat="1" ht="14.25" customHeight="1" x14ac:dyDescent="0.25">
      <c r="A3656" s="4" t="s">
        <v>5991</v>
      </c>
      <c r="B3656" s="4" t="s">
        <v>50</v>
      </c>
      <c r="C3656" s="4" t="s">
        <v>14</v>
      </c>
      <c r="D3656" s="35">
        <v>685</v>
      </c>
      <c r="E3656" s="4" t="s">
        <v>5992</v>
      </c>
      <c r="F3656" s="5">
        <v>39083</v>
      </c>
      <c r="G3656" s="5">
        <v>39813</v>
      </c>
      <c r="H3656" s="4" t="s">
        <v>40</v>
      </c>
      <c r="I3656" s="6">
        <v>2700</v>
      </c>
      <c r="J3656" s="6">
        <v>2700</v>
      </c>
      <c r="K3656" s="37" t="s">
        <v>5815</v>
      </c>
      <c r="L3656" s="119"/>
      <c r="M3656" s="3"/>
    </row>
    <row r="3657" spans="1:13" s="4" customFormat="1" ht="14.25" customHeight="1" x14ac:dyDescent="0.25">
      <c r="A3657" s="4" t="s">
        <v>5993</v>
      </c>
      <c r="B3657" s="4" t="s">
        <v>38</v>
      </c>
      <c r="C3657" s="4" t="s">
        <v>14</v>
      </c>
      <c r="D3657" s="35">
        <v>687</v>
      </c>
      <c r="E3657" s="4" t="s">
        <v>5994</v>
      </c>
      <c r="F3657" s="5">
        <v>39083</v>
      </c>
      <c r="G3657" s="5">
        <v>39813</v>
      </c>
      <c r="H3657" s="4" t="s">
        <v>40</v>
      </c>
      <c r="I3657" s="6">
        <v>3207.65</v>
      </c>
      <c r="J3657" s="6">
        <v>3207.65</v>
      </c>
      <c r="K3657" s="37" t="s">
        <v>5815</v>
      </c>
      <c r="L3657" s="119"/>
      <c r="M3657" s="3"/>
    </row>
    <row r="3658" spans="1:13" s="4" customFormat="1" ht="14.25" customHeight="1" x14ac:dyDescent="0.25">
      <c r="A3658" s="4" t="s">
        <v>5995</v>
      </c>
      <c r="B3658" s="4" t="s">
        <v>38</v>
      </c>
      <c r="C3658" s="4" t="s">
        <v>14</v>
      </c>
      <c r="D3658" s="35">
        <v>688</v>
      </c>
      <c r="E3658" s="4" t="s">
        <v>5996</v>
      </c>
      <c r="F3658" s="5">
        <v>39083</v>
      </c>
      <c r="H3658" s="4" t="s">
        <v>40</v>
      </c>
      <c r="I3658" s="6">
        <v>1070</v>
      </c>
      <c r="J3658" s="6">
        <v>1070</v>
      </c>
      <c r="K3658" s="37" t="s">
        <v>5815</v>
      </c>
      <c r="L3658" s="119"/>
      <c r="M3658" s="3"/>
    </row>
    <row r="3659" spans="1:13" s="4" customFormat="1" ht="14.25" customHeight="1" x14ac:dyDescent="0.25">
      <c r="A3659" s="4" t="s">
        <v>5997</v>
      </c>
      <c r="B3659" s="4" t="s">
        <v>38</v>
      </c>
      <c r="C3659" s="4" t="s">
        <v>14</v>
      </c>
      <c r="D3659" s="35">
        <v>690</v>
      </c>
      <c r="E3659" s="7" t="s">
        <v>5998</v>
      </c>
      <c r="F3659" s="5">
        <v>39083</v>
      </c>
      <c r="H3659" s="4" t="s">
        <v>40</v>
      </c>
      <c r="I3659" s="6">
        <v>84065</v>
      </c>
      <c r="J3659" s="6">
        <v>84065</v>
      </c>
      <c r="K3659" s="37" t="s">
        <v>5815</v>
      </c>
      <c r="L3659" s="119"/>
      <c r="M3659" s="3"/>
    </row>
    <row r="3660" spans="1:13" s="4" customFormat="1" ht="14.25" customHeight="1" x14ac:dyDescent="0.25">
      <c r="A3660" s="4" t="s">
        <v>5999</v>
      </c>
      <c r="B3660" s="4" t="s">
        <v>38</v>
      </c>
      <c r="C3660" s="4" t="s">
        <v>14</v>
      </c>
      <c r="D3660" s="35">
        <v>691</v>
      </c>
      <c r="E3660" s="4" t="s">
        <v>6000</v>
      </c>
      <c r="F3660" s="5">
        <v>39083</v>
      </c>
      <c r="H3660" s="4" t="s">
        <v>40</v>
      </c>
      <c r="I3660" s="6">
        <v>97165.31</v>
      </c>
      <c r="J3660" s="6">
        <f>90889.53+6275.78</f>
        <v>97165.31</v>
      </c>
      <c r="K3660" s="37" t="s">
        <v>5815</v>
      </c>
      <c r="L3660" s="119"/>
      <c r="M3660" s="3"/>
    </row>
    <row r="3661" spans="1:13" s="4" customFormat="1" ht="14.25" customHeight="1" x14ac:dyDescent="0.25">
      <c r="A3661" s="4" t="s">
        <v>6001</v>
      </c>
      <c r="B3661" s="4" t="s">
        <v>38</v>
      </c>
      <c r="C3661" s="4" t="s">
        <v>14</v>
      </c>
      <c r="D3661" s="35">
        <v>693</v>
      </c>
      <c r="E3661" s="4" t="s">
        <v>6002</v>
      </c>
      <c r="F3661" s="5">
        <v>39083</v>
      </c>
      <c r="G3661" s="5">
        <v>39813</v>
      </c>
      <c r="H3661" s="4" t="s">
        <v>40</v>
      </c>
      <c r="I3661" s="6">
        <v>6194.38</v>
      </c>
      <c r="J3661" s="6">
        <v>6194.38</v>
      </c>
      <c r="K3661" s="37" t="s">
        <v>5815</v>
      </c>
      <c r="L3661" s="119"/>
      <c r="M3661" s="3"/>
    </row>
    <row r="3662" spans="1:13" s="4" customFormat="1" ht="14.25" customHeight="1" x14ac:dyDescent="0.25">
      <c r="A3662" s="4" t="s">
        <v>6003</v>
      </c>
      <c r="B3662" s="4" t="s">
        <v>38</v>
      </c>
      <c r="C3662" s="4" t="s">
        <v>14</v>
      </c>
      <c r="D3662" s="35">
        <v>694</v>
      </c>
      <c r="E3662" s="4" t="s">
        <v>6004</v>
      </c>
      <c r="F3662" s="5">
        <v>39083</v>
      </c>
      <c r="G3662" s="5">
        <v>39813</v>
      </c>
      <c r="H3662" s="4" t="s">
        <v>40</v>
      </c>
      <c r="I3662" s="6">
        <v>11794.05</v>
      </c>
      <c r="J3662" s="6">
        <v>11794.05</v>
      </c>
      <c r="K3662" s="37" t="s">
        <v>5815</v>
      </c>
      <c r="L3662" s="119"/>
      <c r="M3662" s="3"/>
    </row>
    <row r="3663" spans="1:13" s="4" customFormat="1" ht="14.25" customHeight="1" x14ac:dyDescent="0.25">
      <c r="A3663" s="4" t="s">
        <v>6005</v>
      </c>
      <c r="B3663" s="4" t="s">
        <v>38</v>
      </c>
      <c r="C3663" s="4" t="s">
        <v>14</v>
      </c>
      <c r="D3663" s="35">
        <v>695</v>
      </c>
      <c r="E3663" s="4" t="s">
        <v>6006</v>
      </c>
      <c r="F3663" s="5">
        <v>39083</v>
      </c>
      <c r="G3663" s="5">
        <v>39813</v>
      </c>
      <c r="H3663" s="4" t="s">
        <v>40</v>
      </c>
      <c r="I3663" s="6">
        <v>2517.2399999999998</v>
      </c>
      <c r="J3663" s="6">
        <v>2517.2399999999998</v>
      </c>
      <c r="K3663" s="37" t="s">
        <v>5815</v>
      </c>
      <c r="L3663" s="119"/>
      <c r="M3663" s="3"/>
    </row>
    <row r="3664" spans="1:13" s="4" customFormat="1" ht="14.25" customHeight="1" x14ac:dyDescent="0.25">
      <c r="A3664" s="4" t="s">
        <v>6007</v>
      </c>
      <c r="B3664" s="4" t="s">
        <v>38</v>
      </c>
      <c r="C3664" s="4" t="s">
        <v>14</v>
      </c>
      <c r="D3664" s="35">
        <v>697</v>
      </c>
      <c r="E3664" s="4" t="s">
        <v>6008</v>
      </c>
      <c r="F3664" s="5">
        <v>39083</v>
      </c>
      <c r="G3664" s="5">
        <v>39813</v>
      </c>
      <c r="H3664" s="4" t="s">
        <v>40</v>
      </c>
      <c r="I3664" s="6">
        <v>851.87</v>
      </c>
      <c r="J3664" s="6">
        <v>851.87</v>
      </c>
      <c r="K3664" s="37" t="s">
        <v>5815</v>
      </c>
      <c r="L3664" s="119"/>
      <c r="M3664" s="3"/>
    </row>
    <row r="3665" spans="1:13" s="4" customFormat="1" ht="14.25" customHeight="1" x14ac:dyDescent="0.25">
      <c r="A3665" s="4" t="s">
        <v>3739</v>
      </c>
      <c r="B3665" s="4" t="s">
        <v>38</v>
      </c>
      <c r="C3665" s="4" t="s">
        <v>14</v>
      </c>
      <c r="D3665" s="35">
        <v>801</v>
      </c>
      <c r="E3665" s="4" t="s">
        <v>6009</v>
      </c>
      <c r="F3665" s="5">
        <v>39083</v>
      </c>
      <c r="G3665" s="5">
        <v>40908</v>
      </c>
      <c r="H3665" s="4" t="s">
        <v>40</v>
      </c>
      <c r="I3665" s="6">
        <v>245184.16</v>
      </c>
      <c r="J3665" s="6">
        <v>245184.16</v>
      </c>
      <c r="K3665" s="37" t="s">
        <v>5815</v>
      </c>
      <c r="L3665" s="119"/>
      <c r="M3665" s="3"/>
    </row>
    <row r="3666" spans="1:13" s="4" customFormat="1" ht="14.25" customHeight="1" x14ac:dyDescent="0.25">
      <c r="A3666" s="4" t="s">
        <v>6010</v>
      </c>
      <c r="B3666" s="4" t="s">
        <v>50</v>
      </c>
      <c r="C3666" s="4" t="s">
        <v>14</v>
      </c>
      <c r="D3666" s="35">
        <v>5188</v>
      </c>
      <c r="E3666" s="4" t="s">
        <v>6011</v>
      </c>
      <c r="F3666" s="5">
        <v>39954</v>
      </c>
      <c r="G3666" s="5">
        <v>39954</v>
      </c>
      <c r="H3666" s="4" t="s">
        <v>40</v>
      </c>
      <c r="I3666" s="6">
        <v>5000</v>
      </c>
      <c r="J3666" s="6">
        <v>2500</v>
      </c>
      <c r="K3666" s="37" t="s">
        <v>5815</v>
      </c>
      <c r="L3666" s="119"/>
      <c r="M3666" s="3"/>
    </row>
    <row r="3667" spans="1:13" s="4" customFormat="1" ht="14.25" customHeight="1" x14ac:dyDescent="0.25">
      <c r="A3667" s="4" t="s">
        <v>6016</v>
      </c>
      <c r="B3667" s="4" t="s">
        <v>59</v>
      </c>
      <c r="C3667" s="4" t="s">
        <v>14</v>
      </c>
      <c r="D3667" s="35">
        <v>5210</v>
      </c>
      <c r="E3667" s="4" t="s">
        <v>6017</v>
      </c>
      <c r="F3667" s="5">
        <v>39853</v>
      </c>
      <c r="G3667" s="5">
        <v>39994</v>
      </c>
      <c r="H3667" s="4" t="s">
        <v>40</v>
      </c>
      <c r="I3667" s="6">
        <v>7500</v>
      </c>
      <c r="J3667" s="6">
        <v>7500</v>
      </c>
      <c r="K3667" s="37" t="s">
        <v>5815</v>
      </c>
      <c r="L3667" s="119"/>
      <c r="M3667" s="3"/>
    </row>
    <row r="3668" spans="1:13" s="4" customFormat="1" ht="14.25" customHeight="1" x14ac:dyDescent="0.25">
      <c r="A3668" s="4" t="s">
        <v>6018</v>
      </c>
      <c r="B3668" s="4" t="s">
        <v>59</v>
      </c>
      <c r="C3668" s="4" t="s">
        <v>14</v>
      </c>
      <c r="D3668" s="35">
        <v>5214</v>
      </c>
      <c r="E3668" s="4" t="s">
        <v>6019</v>
      </c>
      <c r="F3668" s="5">
        <v>39945</v>
      </c>
      <c r="G3668" s="5">
        <v>40163</v>
      </c>
      <c r="H3668" s="4" t="s">
        <v>40</v>
      </c>
      <c r="I3668" s="6">
        <v>7500</v>
      </c>
      <c r="J3668" s="6">
        <v>7500</v>
      </c>
      <c r="K3668" s="37" t="s">
        <v>5815</v>
      </c>
      <c r="L3668" s="119"/>
      <c r="M3668" s="3"/>
    </row>
    <row r="3669" spans="1:13" s="4" customFormat="1" ht="14.25" customHeight="1" x14ac:dyDescent="0.25">
      <c r="A3669" s="4" t="s">
        <v>6020</v>
      </c>
      <c r="B3669" s="4" t="s">
        <v>59</v>
      </c>
      <c r="C3669" s="4" t="s">
        <v>14</v>
      </c>
      <c r="D3669" s="35">
        <v>5218</v>
      </c>
      <c r="E3669" s="4" t="s">
        <v>6021</v>
      </c>
      <c r="F3669" s="5">
        <v>39940</v>
      </c>
      <c r="H3669" s="4" t="s">
        <v>40</v>
      </c>
      <c r="I3669" s="6">
        <v>7500</v>
      </c>
      <c r="J3669" s="6">
        <v>7500</v>
      </c>
      <c r="K3669" s="37" t="s">
        <v>5815</v>
      </c>
      <c r="L3669" s="119"/>
      <c r="M3669" s="3"/>
    </row>
    <row r="3670" spans="1:13" s="4" customFormat="1" ht="14.25" customHeight="1" x14ac:dyDescent="0.25">
      <c r="A3670" s="4" t="s">
        <v>6022</v>
      </c>
      <c r="B3670" s="4" t="s">
        <v>59</v>
      </c>
      <c r="C3670" s="4" t="s">
        <v>14</v>
      </c>
      <c r="D3670" s="35">
        <v>5219</v>
      </c>
      <c r="E3670" s="4" t="s">
        <v>6023</v>
      </c>
      <c r="F3670" s="5">
        <v>39955</v>
      </c>
      <c r="H3670" s="4" t="s">
        <v>40</v>
      </c>
      <c r="I3670" s="6">
        <v>7500</v>
      </c>
      <c r="J3670" s="6">
        <v>7500</v>
      </c>
      <c r="K3670" s="37" t="s">
        <v>5815</v>
      </c>
      <c r="L3670" s="119"/>
      <c r="M3670" s="3"/>
    </row>
    <row r="3671" spans="1:13" s="4" customFormat="1" ht="14.25" customHeight="1" x14ac:dyDescent="0.25">
      <c r="A3671" s="4" t="s">
        <v>6024</v>
      </c>
      <c r="B3671" s="4" t="s">
        <v>59</v>
      </c>
      <c r="C3671" s="4" t="s">
        <v>14</v>
      </c>
      <c r="D3671" s="35">
        <v>5221</v>
      </c>
      <c r="E3671" s="4" t="s">
        <v>6025</v>
      </c>
      <c r="F3671" s="5">
        <v>39954</v>
      </c>
      <c r="G3671" s="5">
        <v>40134</v>
      </c>
      <c r="H3671" s="4" t="s">
        <v>40</v>
      </c>
      <c r="I3671" s="6">
        <v>7500</v>
      </c>
      <c r="J3671" s="6">
        <v>7500</v>
      </c>
      <c r="K3671" s="37" t="s">
        <v>5815</v>
      </c>
      <c r="L3671" s="119"/>
      <c r="M3671" s="3"/>
    </row>
    <row r="3672" spans="1:13" s="4" customFormat="1" ht="14.25" customHeight="1" x14ac:dyDescent="0.25">
      <c r="A3672" s="4" t="s">
        <v>6028</v>
      </c>
      <c r="B3672" s="4" t="s">
        <v>59</v>
      </c>
      <c r="C3672" s="4" t="s">
        <v>14</v>
      </c>
      <c r="D3672" s="35">
        <v>5227</v>
      </c>
      <c r="E3672" s="4" t="s">
        <v>6029</v>
      </c>
      <c r="F3672" s="5">
        <v>39976</v>
      </c>
      <c r="H3672" s="4" t="s">
        <v>40</v>
      </c>
      <c r="I3672" s="6">
        <v>37500</v>
      </c>
      <c r="J3672" s="6">
        <v>37500</v>
      </c>
      <c r="K3672" s="37" t="s">
        <v>5815</v>
      </c>
      <c r="L3672" s="119"/>
      <c r="M3672" s="3"/>
    </row>
    <row r="3673" spans="1:13" s="4" customFormat="1" ht="14.25" customHeight="1" x14ac:dyDescent="0.25">
      <c r="A3673" s="4" t="s">
        <v>6030</v>
      </c>
      <c r="B3673" s="4" t="s">
        <v>90</v>
      </c>
      <c r="C3673" s="4" t="s">
        <v>14</v>
      </c>
      <c r="D3673" s="35">
        <v>5228</v>
      </c>
      <c r="E3673" s="4" t="s">
        <v>6031</v>
      </c>
      <c r="F3673" s="5">
        <v>39845</v>
      </c>
      <c r="G3673" s="5">
        <v>39853</v>
      </c>
      <c r="H3673" s="4" t="s">
        <v>40</v>
      </c>
      <c r="I3673" s="6">
        <v>6000</v>
      </c>
      <c r="J3673" s="6">
        <v>3000</v>
      </c>
      <c r="K3673" s="37" t="s">
        <v>5815</v>
      </c>
      <c r="L3673" s="119"/>
      <c r="M3673" s="3"/>
    </row>
    <row r="3674" spans="1:13" s="4" customFormat="1" ht="14.25" customHeight="1" x14ac:dyDescent="0.25">
      <c r="A3674" s="4" t="s">
        <v>6034</v>
      </c>
      <c r="B3674" s="4" t="s">
        <v>59</v>
      </c>
      <c r="C3674" s="4" t="s">
        <v>14</v>
      </c>
      <c r="D3674" s="35">
        <v>5301</v>
      </c>
      <c r="E3674" s="4" t="s">
        <v>6035</v>
      </c>
      <c r="F3674" s="5">
        <v>39994</v>
      </c>
      <c r="G3674" s="5">
        <v>40357</v>
      </c>
      <c r="H3674" s="4" t="s">
        <v>40</v>
      </c>
      <c r="I3674" s="6">
        <v>15000</v>
      </c>
      <c r="J3674" s="6">
        <v>15000</v>
      </c>
      <c r="K3674" s="37" t="s">
        <v>5815</v>
      </c>
      <c r="L3674" s="119"/>
      <c r="M3674" s="3"/>
    </row>
    <row r="3675" spans="1:13" s="4" customFormat="1" ht="14.25" customHeight="1" x14ac:dyDescent="0.25">
      <c r="A3675" s="4" t="s">
        <v>6036</v>
      </c>
      <c r="B3675" s="4" t="s">
        <v>59</v>
      </c>
      <c r="C3675" s="4" t="s">
        <v>14</v>
      </c>
      <c r="D3675" s="35">
        <v>5304</v>
      </c>
      <c r="E3675" s="4" t="s">
        <v>6037</v>
      </c>
      <c r="F3675" s="5">
        <v>40009</v>
      </c>
      <c r="G3675" s="5">
        <v>40135</v>
      </c>
      <c r="H3675" s="4" t="s">
        <v>40</v>
      </c>
      <c r="I3675" s="6">
        <v>7500</v>
      </c>
      <c r="J3675" s="6">
        <v>7500</v>
      </c>
      <c r="K3675" s="37" t="s">
        <v>5815</v>
      </c>
      <c r="L3675" s="119"/>
      <c r="M3675" s="3"/>
    </row>
    <row r="3676" spans="1:13" s="4" customFormat="1" ht="14.25" customHeight="1" x14ac:dyDescent="0.25">
      <c r="A3676" s="4" t="s">
        <v>6038</v>
      </c>
      <c r="B3676" s="4" t="s">
        <v>59</v>
      </c>
      <c r="C3676" s="4" t="s">
        <v>14</v>
      </c>
      <c r="D3676" s="35">
        <v>5305</v>
      </c>
      <c r="E3676" s="4" t="s">
        <v>6039</v>
      </c>
      <c r="F3676" s="5">
        <v>40017</v>
      </c>
      <c r="G3676" s="5">
        <v>40178</v>
      </c>
      <c r="H3676" s="4" t="s">
        <v>40</v>
      </c>
      <c r="I3676" s="6">
        <v>7500</v>
      </c>
      <c r="J3676" s="6">
        <v>7500</v>
      </c>
      <c r="K3676" s="37" t="s">
        <v>5815</v>
      </c>
      <c r="L3676" s="119"/>
      <c r="M3676" s="3"/>
    </row>
    <row r="3677" spans="1:13" s="4" customFormat="1" ht="14.25" customHeight="1" x14ac:dyDescent="0.25">
      <c r="A3677" s="4" t="s">
        <v>6046</v>
      </c>
      <c r="B3677" s="4" t="s">
        <v>59</v>
      </c>
      <c r="C3677" s="4" t="s">
        <v>14</v>
      </c>
      <c r="D3677" s="35">
        <v>5347</v>
      </c>
      <c r="E3677" s="4" t="s">
        <v>6047</v>
      </c>
      <c r="F3677" s="5">
        <v>40163</v>
      </c>
      <c r="G3677" s="5">
        <v>40529</v>
      </c>
      <c r="H3677" s="4" t="s">
        <v>40</v>
      </c>
      <c r="I3677" s="6">
        <v>30000</v>
      </c>
      <c r="J3677" s="6">
        <v>30000</v>
      </c>
      <c r="K3677" s="37" t="s">
        <v>5815</v>
      </c>
      <c r="L3677" s="119"/>
      <c r="M3677" s="3"/>
    </row>
    <row r="3678" spans="1:13" s="4" customFormat="1" ht="14.25" customHeight="1" x14ac:dyDescent="0.25">
      <c r="A3678" s="4" t="s">
        <v>6050</v>
      </c>
      <c r="B3678" s="4" t="s">
        <v>90</v>
      </c>
      <c r="C3678" s="4" t="s">
        <v>14</v>
      </c>
      <c r="D3678" s="35">
        <v>5350</v>
      </c>
      <c r="E3678" s="4" t="s">
        <v>6051</v>
      </c>
      <c r="F3678" s="5">
        <v>39823</v>
      </c>
      <c r="G3678" s="5">
        <v>40009</v>
      </c>
      <c r="H3678" s="4" t="s">
        <v>40</v>
      </c>
      <c r="I3678" s="6">
        <v>10000</v>
      </c>
      <c r="J3678" s="6">
        <v>5000</v>
      </c>
      <c r="K3678" s="37" t="s">
        <v>5815</v>
      </c>
      <c r="L3678" s="119"/>
      <c r="M3678" s="3"/>
    </row>
    <row r="3679" spans="1:13" s="4" customFormat="1" ht="14.25" customHeight="1" x14ac:dyDescent="0.25">
      <c r="A3679" s="4" t="s">
        <v>6052</v>
      </c>
      <c r="B3679" s="4" t="s">
        <v>90</v>
      </c>
      <c r="C3679" s="4" t="s">
        <v>14</v>
      </c>
      <c r="D3679" s="35">
        <v>5353</v>
      </c>
      <c r="E3679" s="4" t="s">
        <v>6053</v>
      </c>
      <c r="F3679" s="5">
        <v>40135</v>
      </c>
      <c r="G3679" s="5">
        <v>40248</v>
      </c>
      <c r="H3679" s="4" t="s">
        <v>40</v>
      </c>
      <c r="I3679" s="6">
        <v>10200</v>
      </c>
      <c r="J3679" s="6">
        <v>5100</v>
      </c>
      <c r="K3679" s="37" t="s">
        <v>5815</v>
      </c>
      <c r="L3679" s="119"/>
      <c r="M3679" s="3"/>
    </row>
    <row r="3680" spans="1:13" s="4" customFormat="1" ht="14.25" customHeight="1" x14ac:dyDescent="0.25">
      <c r="A3680" s="4" t="s">
        <v>6054</v>
      </c>
      <c r="B3680" s="4" t="s">
        <v>90</v>
      </c>
      <c r="C3680" s="4" t="s">
        <v>14</v>
      </c>
      <c r="D3680" s="35">
        <v>5388</v>
      </c>
      <c r="E3680" s="4" t="s">
        <v>6055</v>
      </c>
      <c r="F3680" s="5">
        <v>39823</v>
      </c>
      <c r="G3680" s="5">
        <v>39892</v>
      </c>
      <c r="H3680" s="4" t="s">
        <v>40</v>
      </c>
      <c r="I3680" s="6">
        <v>8800</v>
      </c>
      <c r="J3680" s="6">
        <v>4400</v>
      </c>
      <c r="K3680" s="37" t="s">
        <v>5815</v>
      </c>
      <c r="L3680" s="119"/>
      <c r="M3680" s="3"/>
    </row>
    <row r="3681" spans="1:13" s="4" customFormat="1" ht="14.25" customHeight="1" x14ac:dyDescent="0.25">
      <c r="A3681" s="4" t="s">
        <v>6056</v>
      </c>
      <c r="B3681" s="4" t="s">
        <v>90</v>
      </c>
      <c r="C3681" s="4" t="s">
        <v>14</v>
      </c>
      <c r="D3681" s="35">
        <v>5390</v>
      </c>
      <c r="E3681" s="4" t="s">
        <v>6057</v>
      </c>
      <c r="F3681" s="5">
        <v>39967</v>
      </c>
      <c r="G3681" s="5">
        <v>40178</v>
      </c>
      <c r="H3681" s="4" t="s">
        <v>40</v>
      </c>
      <c r="I3681" s="6">
        <v>10200</v>
      </c>
      <c r="J3681" s="6">
        <v>5100</v>
      </c>
      <c r="K3681" s="37" t="s">
        <v>5815</v>
      </c>
      <c r="L3681" s="119"/>
      <c r="M3681" s="3"/>
    </row>
    <row r="3682" spans="1:13" s="4" customFormat="1" ht="14.25" customHeight="1" x14ac:dyDescent="0.25">
      <c r="A3682" s="4" t="s">
        <v>6060</v>
      </c>
      <c r="B3682" s="4" t="s">
        <v>59</v>
      </c>
      <c r="C3682" s="4" t="s">
        <v>14</v>
      </c>
      <c r="D3682" s="35">
        <v>5392</v>
      </c>
      <c r="E3682" s="4" t="s">
        <v>6061</v>
      </c>
      <c r="F3682" s="5">
        <v>40163</v>
      </c>
      <c r="G3682" s="5">
        <v>40518</v>
      </c>
      <c r="H3682" s="4" t="s">
        <v>40</v>
      </c>
      <c r="I3682" s="6">
        <v>11250</v>
      </c>
      <c r="J3682" s="6">
        <v>11250</v>
      </c>
      <c r="K3682" s="37" t="s">
        <v>5815</v>
      </c>
      <c r="L3682" s="119"/>
      <c r="M3682" s="3"/>
    </row>
    <row r="3683" spans="1:13" s="4" customFormat="1" ht="14.25" customHeight="1" x14ac:dyDescent="0.25">
      <c r="A3683" s="4" t="s">
        <v>6062</v>
      </c>
      <c r="B3683" s="4" t="s">
        <v>59</v>
      </c>
      <c r="C3683" s="4" t="s">
        <v>14</v>
      </c>
      <c r="D3683" s="35">
        <v>5395</v>
      </c>
      <c r="E3683" s="4" t="s">
        <v>6063</v>
      </c>
      <c r="F3683" s="5">
        <v>40057</v>
      </c>
      <c r="H3683" s="4" t="s">
        <v>40</v>
      </c>
      <c r="I3683" s="6">
        <v>13125</v>
      </c>
      <c r="J3683" s="6">
        <v>13125</v>
      </c>
      <c r="K3683" s="37" t="s">
        <v>5815</v>
      </c>
      <c r="L3683" s="119"/>
      <c r="M3683" s="3"/>
    </row>
    <row r="3684" spans="1:13" s="4" customFormat="1" ht="14.25" customHeight="1" x14ac:dyDescent="0.25">
      <c r="A3684" s="4" t="s">
        <v>6064</v>
      </c>
      <c r="B3684" s="4" t="s">
        <v>38</v>
      </c>
      <c r="C3684" s="4" t="s">
        <v>14</v>
      </c>
      <c r="D3684" s="35">
        <v>5689</v>
      </c>
      <c r="E3684" s="4" t="s">
        <v>6065</v>
      </c>
      <c r="F3684" s="5">
        <v>39814</v>
      </c>
      <c r="G3684" s="5">
        <v>40178</v>
      </c>
      <c r="H3684" s="4" t="s">
        <v>40</v>
      </c>
      <c r="I3684" s="6">
        <v>34264.5</v>
      </c>
      <c r="J3684" s="6">
        <v>34264.5</v>
      </c>
      <c r="K3684" s="37" t="s">
        <v>5815</v>
      </c>
      <c r="L3684" s="119"/>
      <c r="M3684" s="3"/>
    </row>
    <row r="3685" spans="1:13" s="4" customFormat="1" ht="14.25" customHeight="1" x14ac:dyDescent="0.25">
      <c r="A3685" s="4" t="s">
        <v>6066</v>
      </c>
      <c r="B3685" s="4" t="s">
        <v>190</v>
      </c>
      <c r="C3685" s="4" t="s">
        <v>14</v>
      </c>
      <c r="D3685" s="35">
        <v>7754</v>
      </c>
      <c r="E3685" s="4" t="s">
        <v>6067</v>
      </c>
      <c r="F3685" s="5">
        <v>40259</v>
      </c>
      <c r="H3685" s="4" t="s">
        <v>40</v>
      </c>
      <c r="I3685" s="6">
        <v>24004</v>
      </c>
      <c r="J3685" s="6">
        <v>15752</v>
      </c>
      <c r="K3685" s="37" t="s">
        <v>5815</v>
      </c>
      <c r="L3685" s="119"/>
      <c r="M3685" s="3"/>
    </row>
    <row r="3686" spans="1:13" s="4" customFormat="1" ht="14.25" customHeight="1" x14ac:dyDescent="0.25">
      <c r="A3686" s="4" t="s">
        <v>6068</v>
      </c>
      <c r="B3686" s="4" t="s">
        <v>90</v>
      </c>
      <c r="C3686" s="4" t="s">
        <v>14</v>
      </c>
      <c r="D3686" s="35">
        <v>7767</v>
      </c>
      <c r="E3686" s="4" t="s">
        <v>6069</v>
      </c>
      <c r="F3686" s="5">
        <v>39867</v>
      </c>
      <c r="G3686" s="5">
        <v>40248</v>
      </c>
      <c r="H3686" s="4" t="s">
        <v>40</v>
      </c>
      <c r="I3686" s="6">
        <v>6000</v>
      </c>
      <c r="J3686" s="6">
        <v>3000</v>
      </c>
      <c r="K3686" s="37" t="s">
        <v>5815</v>
      </c>
      <c r="L3686" s="119"/>
      <c r="M3686" s="3"/>
    </row>
    <row r="3687" spans="1:13" s="4" customFormat="1" ht="14.25" customHeight="1" x14ac:dyDescent="0.25">
      <c r="A3687" s="4" t="s">
        <v>6070</v>
      </c>
      <c r="B3687" s="4" t="s">
        <v>90</v>
      </c>
      <c r="C3687" s="4" t="s">
        <v>14</v>
      </c>
      <c r="D3687" s="35">
        <v>7768</v>
      </c>
      <c r="E3687" s="4" t="s">
        <v>6071</v>
      </c>
      <c r="F3687" s="5">
        <v>39993</v>
      </c>
      <c r="G3687" s="5">
        <v>40283</v>
      </c>
      <c r="H3687" s="4" t="s">
        <v>40</v>
      </c>
      <c r="I3687" s="6">
        <v>10000</v>
      </c>
      <c r="J3687" s="6">
        <v>5000</v>
      </c>
      <c r="K3687" s="37" t="s">
        <v>5815</v>
      </c>
      <c r="L3687" s="119"/>
      <c r="M3687" s="3"/>
    </row>
    <row r="3688" spans="1:13" s="4" customFormat="1" ht="14.25" customHeight="1" x14ac:dyDescent="0.25">
      <c r="A3688" s="4" t="s">
        <v>6072</v>
      </c>
      <c r="B3688" s="4" t="s">
        <v>90</v>
      </c>
      <c r="C3688" s="4" t="s">
        <v>14</v>
      </c>
      <c r="D3688" s="35">
        <v>7782</v>
      </c>
      <c r="E3688" s="4" t="s">
        <v>6073</v>
      </c>
      <c r="F3688" s="5">
        <v>40134</v>
      </c>
      <c r="G3688" s="5">
        <v>40387</v>
      </c>
      <c r="H3688" s="4" t="s">
        <v>40</v>
      </c>
      <c r="I3688" s="6">
        <v>14999.67</v>
      </c>
      <c r="J3688" s="6">
        <v>3838</v>
      </c>
      <c r="K3688" s="37" t="s">
        <v>5815</v>
      </c>
      <c r="L3688" s="119"/>
      <c r="M3688" s="3"/>
    </row>
    <row r="3689" spans="1:13" s="4" customFormat="1" ht="14.25" customHeight="1" x14ac:dyDescent="0.25">
      <c r="A3689" s="4" t="s">
        <v>6074</v>
      </c>
      <c r="B3689" s="4" t="s">
        <v>90</v>
      </c>
      <c r="C3689" s="4" t="s">
        <v>14</v>
      </c>
      <c r="D3689" s="35">
        <v>7784</v>
      </c>
      <c r="E3689" s="4" t="s">
        <v>6075</v>
      </c>
      <c r="F3689" s="5">
        <v>40134</v>
      </c>
      <c r="G3689" s="5">
        <v>40521</v>
      </c>
      <c r="H3689" s="4" t="s">
        <v>40</v>
      </c>
      <c r="I3689" s="6">
        <v>9301.9599999999991</v>
      </c>
      <c r="J3689" s="6">
        <v>4650.9799999999996</v>
      </c>
      <c r="K3689" s="37" t="s">
        <v>5815</v>
      </c>
      <c r="L3689" s="119"/>
      <c r="M3689" s="3"/>
    </row>
    <row r="3690" spans="1:13" s="4" customFormat="1" ht="14.25" customHeight="1" x14ac:dyDescent="0.25">
      <c r="A3690" s="4" t="s">
        <v>6076</v>
      </c>
      <c r="B3690" s="4" t="s">
        <v>183</v>
      </c>
      <c r="C3690" s="4" t="s">
        <v>14</v>
      </c>
      <c r="D3690" s="35">
        <v>7796</v>
      </c>
      <c r="E3690" s="7" t="s">
        <v>6077</v>
      </c>
      <c r="F3690" s="5">
        <v>40217</v>
      </c>
      <c r="G3690" s="5">
        <v>40854</v>
      </c>
      <c r="H3690" s="4" t="s">
        <v>40</v>
      </c>
      <c r="I3690" s="6">
        <v>28489.63</v>
      </c>
      <c r="J3690" s="6">
        <v>22994.63</v>
      </c>
      <c r="K3690" s="37" t="s">
        <v>5815</v>
      </c>
      <c r="L3690" s="119"/>
      <c r="M3690" s="3"/>
    </row>
    <row r="3691" spans="1:13" s="4" customFormat="1" ht="14.25" customHeight="1" x14ac:dyDescent="0.25">
      <c r="A3691" s="4" t="s">
        <v>6078</v>
      </c>
      <c r="B3691" s="4" t="s">
        <v>183</v>
      </c>
      <c r="C3691" s="4" t="s">
        <v>14</v>
      </c>
      <c r="D3691" s="35">
        <v>7803</v>
      </c>
      <c r="E3691" s="4" t="s">
        <v>6079</v>
      </c>
      <c r="F3691" s="5">
        <v>40217</v>
      </c>
      <c r="G3691" s="5">
        <v>40563</v>
      </c>
      <c r="H3691" s="4" t="s">
        <v>40</v>
      </c>
      <c r="I3691" s="6">
        <v>21500</v>
      </c>
      <c r="J3691" s="6">
        <v>19500</v>
      </c>
      <c r="K3691" s="37" t="s">
        <v>5815</v>
      </c>
      <c r="L3691" s="119"/>
      <c r="M3691" s="3"/>
    </row>
    <row r="3692" spans="1:13" s="4" customFormat="1" ht="14.25" customHeight="1" x14ac:dyDescent="0.25">
      <c r="A3692" s="4" t="s">
        <v>6080</v>
      </c>
      <c r="B3692" s="4" t="s">
        <v>183</v>
      </c>
      <c r="C3692" s="4" t="s">
        <v>14</v>
      </c>
      <c r="D3692" s="35">
        <v>7804</v>
      </c>
      <c r="E3692" s="4" t="s">
        <v>6081</v>
      </c>
      <c r="F3692" s="5">
        <v>40217</v>
      </c>
      <c r="G3692" s="5">
        <v>40506</v>
      </c>
      <c r="H3692" s="4" t="s">
        <v>40</v>
      </c>
      <c r="I3692" s="6">
        <v>10624.36</v>
      </c>
      <c r="J3692" s="6">
        <v>10321.18</v>
      </c>
      <c r="K3692" s="37" t="s">
        <v>5815</v>
      </c>
      <c r="L3692" s="119"/>
      <c r="M3692" s="3"/>
    </row>
    <row r="3693" spans="1:13" s="4" customFormat="1" ht="14.25" customHeight="1" x14ac:dyDescent="0.25">
      <c r="A3693" s="4" t="s">
        <v>6082</v>
      </c>
      <c r="B3693" s="4" t="s">
        <v>190</v>
      </c>
      <c r="C3693" s="4" t="s">
        <v>14</v>
      </c>
      <c r="D3693" s="35">
        <v>7805</v>
      </c>
      <c r="E3693" s="4" t="s">
        <v>6083</v>
      </c>
      <c r="F3693" s="5">
        <v>40217</v>
      </c>
      <c r="H3693" s="4" t="s">
        <v>40</v>
      </c>
      <c r="I3693" s="6">
        <v>46254.07</v>
      </c>
      <c r="J3693" s="6">
        <v>30633.94</v>
      </c>
      <c r="K3693" s="37" t="s">
        <v>5815</v>
      </c>
      <c r="L3693" s="119"/>
      <c r="M3693" s="3"/>
    </row>
    <row r="3694" spans="1:13" s="4" customFormat="1" ht="14.25" customHeight="1" x14ac:dyDescent="0.25">
      <c r="A3694" s="4" t="s">
        <v>6084</v>
      </c>
      <c r="B3694" s="4" t="s">
        <v>183</v>
      </c>
      <c r="C3694" s="4" t="s">
        <v>14</v>
      </c>
      <c r="D3694" s="35">
        <v>7807</v>
      </c>
      <c r="E3694" s="4" t="s">
        <v>6085</v>
      </c>
      <c r="F3694" s="5">
        <v>40217</v>
      </c>
      <c r="G3694" s="5">
        <v>40660</v>
      </c>
      <c r="H3694" s="4" t="s">
        <v>40</v>
      </c>
      <c r="I3694" s="6">
        <v>22500</v>
      </c>
      <c r="J3694" s="6">
        <v>15000</v>
      </c>
      <c r="K3694" s="37" t="s">
        <v>5815</v>
      </c>
      <c r="L3694" s="119"/>
      <c r="M3694" s="3"/>
    </row>
    <row r="3695" spans="1:13" s="4" customFormat="1" ht="14.25" customHeight="1" x14ac:dyDescent="0.25">
      <c r="A3695" s="4" t="s">
        <v>6086</v>
      </c>
      <c r="B3695" s="4" t="s">
        <v>183</v>
      </c>
      <c r="C3695" s="4" t="s">
        <v>14</v>
      </c>
      <c r="D3695" s="35">
        <v>7809</v>
      </c>
      <c r="E3695" s="4" t="s">
        <v>6087</v>
      </c>
      <c r="F3695" s="5">
        <v>40259</v>
      </c>
      <c r="G3695" s="5">
        <v>40563</v>
      </c>
      <c r="H3695" s="4" t="s">
        <v>40</v>
      </c>
      <c r="I3695" s="6">
        <v>14000</v>
      </c>
      <c r="J3695" s="6">
        <v>14000</v>
      </c>
      <c r="K3695" s="37" t="s">
        <v>5815</v>
      </c>
      <c r="L3695" s="119"/>
      <c r="M3695" s="3"/>
    </row>
    <row r="3696" spans="1:13" s="4" customFormat="1" ht="14.25" customHeight="1" x14ac:dyDescent="0.25">
      <c r="A3696" s="4" t="s">
        <v>6090</v>
      </c>
      <c r="B3696" s="4" t="s">
        <v>183</v>
      </c>
      <c r="C3696" s="4" t="s">
        <v>14</v>
      </c>
      <c r="D3696" s="35">
        <v>7814</v>
      </c>
      <c r="E3696" s="4" t="s">
        <v>6091</v>
      </c>
      <c r="F3696" s="5">
        <v>40473</v>
      </c>
      <c r="G3696" s="5">
        <v>40821</v>
      </c>
      <c r="H3696" s="4" t="s">
        <v>40</v>
      </c>
      <c r="I3696" s="6">
        <v>23060.71</v>
      </c>
      <c r="J3696" s="6">
        <v>12230.15</v>
      </c>
      <c r="K3696" s="37" t="s">
        <v>5815</v>
      </c>
      <c r="L3696" s="119"/>
      <c r="M3696" s="3"/>
    </row>
    <row r="3697" spans="1:13" s="4" customFormat="1" ht="14.25" customHeight="1" x14ac:dyDescent="0.25">
      <c r="A3697" s="4" t="s">
        <v>6092</v>
      </c>
      <c r="B3697" s="4" t="s">
        <v>190</v>
      </c>
      <c r="C3697" s="4" t="s">
        <v>14</v>
      </c>
      <c r="D3697" s="35">
        <v>7815</v>
      </c>
      <c r="E3697" s="4" t="s">
        <v>6093</v>
      </c>
      <c r="F3697" s="5">
        <v>40217</v>
      </c>
      <c r="G3697" s="5">
        <v>40807</v>
      </c>
      <c r="H3697" s="4" t="s">
        <v>40</v>
      </c>
      <c r="I3697" s="6">
        <v>24255.24</v>
      </c>
      <c r="J3697" s="6">
        <v>14002.63</v>
      </c>
      <c r="K3697" s="37" t="s">
        <v>5815</v>
      </c>
      <c r="L3697" s="119"/>
      <c r="M3697" s="3"/>
    </row>
    <row r="3698" spans="1:13" s="4" customFormat="1" ht="14.25" customHeight="1" x14ac:dyDescent="0.25">
      <c r="A3698" s="4" t="s">
        <v>6094</v>
      </c>
      <c r="B3698" s="4" t="s">
        <v>190</v>
      </c>
      <c r="C3698" s="4" t="s">
        <v>14</v>
      </c>
      <c r="D3698" s="35">
        <v>7817</v>
      </c>
      <c r="E3698" s="4" t="s">
        <v>6095</v>
      </c>
      <c r="F3698" s="5">
        <v>40449</v>
      </c>
      <c r="H3698" s="4" t="s">
        <v>40</v>
      </c>
      <c r="I3698" s="6">
        <v>36133.72</v>
      </c>
      <c r="J3698" s="6">
        <v>29316</v>
      </c>
      <c r="K3698" s="37" t="s">
        <v>5815</v>
      </c>
      <c r="L3698" s="119"/>
      <c r="M3698" s="3"/>
    </row>
    <row r="3699" spans="1:13" s="4" customFormat="1" ht="14.25" customHeight="1" x14ac:dyDescent="0.25">
      <c r="A3699" s="4" t="s">
        <v>6096</v>
      </c>
      <c r="B3699" s="4" t="s">
        <v>38</v>
      </c>
      <c r="C3699" s="4" t="s">
        <v>14</v>
      </c>
      <c r="D3699" s="35">
        <v>7819</v>
      </c>
      <c r="E3699" s="4" t="s">
        <v>6097</v>
      </c>
      <c r="F3699" s="5">
        <v>40188</v>
      </c>
      <c r="G3699" s="5">
        <v>40267</v>
      </c>
      <c r="H3699" s="4" t="s">
        <v>40</v>
      </c>
      <c r="I3699" s="6">
        <v>5179</v>
      </c>
      <c r="J3699" s="6">
        <v>5179</v>
      </c>
      <c r="K3699" s="37" t="s">
        <v>5815</v>
      </c>
      <c r="L3699" s="119"/>
      <c r="M3699" s="3"/>
    </row>
    <row r="3700" spans="1:13" s="4" customFormat="1" ht="14.25" customHeight="1" x14ac:dyDescent="0.25">
      <c r="A3700" s="4" t="s">
        <v>6098</v>
      </c>
      <c r="B3700" s="4" t="s">
        <v>90</v>
      </c>
      <c r="C3700" s="4" t="s">
        <v>14</v>
      </c>
      <c r="D3700" s="35">
        <v>8670</v>
      </c>
      <c r="E3700" s="4" t="s">
        <v>6099</v>
      </c>
      <c r="F3700" s="5">
        <v>40294</v>
      </c>
      <c r="G3700" s="5">
        <v>40603</v>
      </c>
      <c r="H3700" s="4" t="s">
        <v>40</v>
      </c>
      <c r="I3700" s="6">
        <v>6656.68</v>
      </c>
      <c r="J3700" s="6">
        <v>1664.17</v>
      </c>
      <c r="K3700" s="37" t="s">
        <v>5815</v>
      </c>
      <c r="L3700" s="119"/>
      <c r="M3700" s="3"/>
    </row>
    <row r="3701" spans="1:13" s="4" customFormat="1" ht="14.25" customHeight="1" x14ac:dyDescent="0.25">
      <c r="A3701" s="4" t="s">
        <v>6100</v>
      </c>
      <c r="B3701" s="4" t="s">
        <v>183</v>
      </c>
      <c r="C3701" s="4" t="s">
        <v>14</v>
      </c>
      <c r="D3701" s="35">
        <v>8681</v>
      </c>
      <c r="E3701" s="4" t="s">
        <v>6101</v>
      </c>
      <c r="F3701" s="5">
        <v>40596</v>
      </c>
      <c r="G3701" s="5">
        <v>40808</v>
      </c>
      <c r="H3701" s="4" t="s">
        <v>40</v>
      </c>
      <c r="I3701" s="6">
        <v>15000</v>
      </c>
      <c r="J3701" s="6">
        <v>15000</v>
      </c>
      <c r="K3701" s="37" t="s">
        <v>5815</v>
      </c>
      <c r="L3701" s="119"/>
      <c r="M3701" s="3"/>
    </row>
    <row r="3702" spans="1:13" s="4" customFormat="1" ht="14.25" customHeight="1" x14ac:dyDescent="0.25">
      <c r="A3702" s="4" t="s">
        <v>6104</v>
      </c>
      <c r="B3702" s="4" t="s">
        <v>183</v>
      </c>
      <c r="C3702" s="4" t="s">
        <v>14</v>
      </c>
      <c r="D3702" s="35">
        <v>8686</v>
      </c>
      <c r="E3702" s="4" t="s">
        <v>6105</v>
      </c>
      <c r="F3702" s="5">
        <v>40623</v>
      </c>
      <c r="G3702" s="5">
        <v>40877</v>
      </c>
      <c r="H3702" s="4" t="s">
        <v>40</v>
      </c>
      <c r="I3702" s="6">
        <v>17500</v>
      </c>
      <c r="J3702" s="6">
        <v>12500</v>
      </c>
      <c r="K3702" s="37" t="s">
        <v>5815</v>
      </c>
      <c r="L3702" s="119"/>
      <c r="M3702" s="3"/>
    </row>
    <row r="3703" spans="1:13" s="4" customFormat="1" ht="14.25" customHeight="1" x14ac:dyDescent="0.25">
      <c r="A3703" s="4" t="s">
        <v>6106</v>
      </c>
      <c r="B3703" s="4" t="s">
        <v>190</v>
      </c>
      <c r="C3703" s="4" t="s">
        <v>14</v>
      </c>
      <c r="D3703" s="35">
        <v>8691</v>
      </c>
      <c r="E3703" s="4" t="s">
        <v>6107</v>
      </c>
      <c r="F3703" s="5">
        <v>40716</v>
      </c>
      <c r="G3703" s="5">
        <v>41088</v>
      </c>
      <c r="H3703" s="4" t="s">
        <v>40</v>
      </c>
      <c r="I3703" s="6">
        <v>19050</v>
      </c>
      <c r="J3703" s="6">
        <v>15150</v>
      </c>
      <c r="K3703" s="37" t="s">
        <v>5815</v>
      </c>
      <c r="L3703" s="119"/>
      <c r="M3703" s="3"/>
    </row>
    <row r="3704" spans="1:13" s="4" customFormat="1" ht="14.25" customHeight="1" x14ac:dyDescent="0.25">
      <c r="A3704" s="4" t="s">
        <v>6108</v>
      </c>
      <c r="B3704" s="4" t="s">
        <v>90</v>
      </c>
      <c r="C3704" s="4" t="s">
        <v>14</v>
      </c>
      <c r="D3704" s="35">
        <v>8714</v>
      </c>
      <c r="E3704" s="4" t="s">
        <v>6109</v>
      </c>
      <c r="F3704" s="5">
        <v>40808</v>
      </c>
      <c r="G3704" s="5">
        <v>40808</v>
      </c>
      <c r="H3704" s="4" t="s">
        <v>40</v>
      </c>
      <c r="I3704" s="6">
        <v>8289</v>
      </c>
      <c r="J3704" s="6">
        <v>4145</v>
      </c>
      <c r="K3704" s="37" t="s">
        <v>5815</v>
      </c>
      <c r="L3704" s="119"/>
      <c r="M3704" s="3"/>
    </row>
    <row r="3705" spans="1:13" s="4" customFormat="1" ht="14.25" customHeight="1" x14ac:dyDescent="0.25">
      <c r="A3705" s="4" t="s">
        <v>6110</v>
      </c>
      <c r="B3705" s="4" t="s">
        <v>183</v>
      </c>
      <c r="C3705" s="4" t="s">
        <v>14</v>
      </c>
      <c r="D3705" s="35">
        <v>8717</v>
      </c>
      <c r="E3705" s="4" t="s">
        <v>6111</v>
      </c>
      <c r="F3705" s="5">
        <v>40749</v>
      </c>
      <c r="G3705" s="5">
        <v>40954</v>
      </c>
      <c r="H3705" s="4" t="s">
        <v>40</v>
      </c>
      <c r="I3705" s="6">
        <v>7500</v>
      </c>
      <c r="J3705" s="6">
        <v>7500</v>
      </c>
      <c r="K3705" s="37" t="s">
        <v>5815</v>
      </c>
      <c r="L3705" s="119"/>
      <c r="M3705" s="3"/>
    </row>
    <row r="3706" spans="1:13" s="4" customFormat="1" ht="14.25" customHeight="1" x14ac:dyDescent="0.25">
      <c r="A3706" s="4" t="s">
        <v>6112</v>
      </c>
      <c r="B3706" s="4" t="s">
        <v>183</v>
      </c>
      <c r="C3706" s="4" t="s">
        <v>14</v>
      </c>
      <c r="D3706" s="35">
        <v>8734</v>
      </c>
      <c r="E3706" s="4" t="s">
        <v>6113</v>
      </c>
      <c r="F3706" s="5">
        <v>40749</v>
      </c>
      <c r="G3706" s="5">
        <v>41017</v>
      </c>
      <c r="H3706" s="4" t="s">
        <v>40</v>
      </c>
      <c r="I3706" s="6">
        <v>8000</v>
      </c>
      <c r="J3706" s="6">
        <v>8000</v>
      </c>
      <c r="K3706" s="37" t="s">
        <v>5815</v>
      </c>
      <c r="L3706" s="119"/>
      <c r="M3706" s="3"/>
    </row>
    <row r="3707" spans="1:13" s="4" customFormat="1" ht="14.25" customHeight="1" x14ac:dyDescent="0.25">
      <c r="A3707" s="4" t="s">
        <v>6114</v>
      </c>
      <c r="B3707" s="4" t="s">
        <v>183</v>
      </c>
      <c r="C3707" s="4" t="s">
        <v>14</v>
      </c>
      <c r="D3707" s="35">
        <v>8742</v>
      </c>
      <c r="E3707" s="7" t="s">
        <v>6115</v>
      </c>
      <c r="F3707" s="5">
        <v>40821</v>
      </c>
      <c r="H3707" s="4" t="s">
        <v>40</v>
      </c>
      <c r="I3707" s="6">
        <v>27071.08</v>
      </c>
      <c r="J3707" s="6">
        <v>23535.54</v>
      </c>
      <c r="K3707" s="37" t="s">
        <v>5815</v>
      </c>
      <c r="L3707" s="119"/>
      <c r="M3707" s="3"/>
    </row>
    <row r="3708" spans="1:13" s="4" customFormat="1" ht="14.25" customHeight="1" x14ac:dyDescent="0.25">
      <c r="A3708" s="4" t="s">
        <v>6116</v>
      </c>
      <c r="B3708" s="4" t="s">
        <v>183</v>
      </c>
      <c r="C3708" s="4" t="s">
        <v>14</v>
      </c>
      <c r="D3708" s="35">
        <v>8744</v>
      </c>
      <c r="E3708" s="7" t="s">
        <v>6117</v>
      </c>
      <c r="F3708" s="5">
        <v>40644</v>
      </c>
      <c r="G3708" s="5">
        <v>41088</v>
      </c>
      <c r="H3708" s="4" t="s">
        <v>40</v>
      </c>
      <c r="I3708" s="6">
        <v>20810.32</v>
      </c>
      <c r="J3708" s="6">
        <v>17905.16</v>
      </c>
      <c r="K3708" s="37" t="s">
        <v>5815</v>
      </c>
      <c r="L3708" s="119"/>
      <c r="M3708" s="3"/>
    </row>
    <row r="3709" spans="1:13" s="4" customFormat="1" ht="14.25" customHeight="1" x14ac:dyDescent="0.25">
      <c r="A3709" s="4" t="s">
        <v>6118</v>
      </c>
      <c r="B3709" s="4" t="s">
        <v>183</v>
      </c>
      <c r="C3709" s="4" t="s">
        <v>14</v>
      </c>
      <c r="D3709" s="35">
        <v>8751</v>
      </c>
      <c r="E3709" s="4" t="s">
        <v>6119</v>
      </c>
      <c r="F3709" s="5">
        <v>40854</v>
      </c>
      <c r="G3709" s="5">
        <v>41089</v>
      </c>
      <c r="H3709" s="4" t="s">
        <v>40</v>
      </c>
      <c r="I3709" s="6">
        <v>9625</v>
      </c>
      <c r="J3709" s="6">
        <v>7625</v>
      </c>
      <c r="K3709" s="37" t="s">
        <v>5815</v>
      </c>
      <c r="L3709" s="119"/>
      <c r="M3709" s="3"/>
    </row>
    <row r="3710" spans="1:13" s="4" customFormat="1" ht="14.25" customHeight="1" x14ac:dyDescent="0.25">
      <c r="A3710" s="4" t="s">
        <v>6122</v>
      </c>
      <c r="B3710" s="4" t="s">
        <v>183</v>
      </c>
      <c r="C3710" s="4" t="s">
        <v>14</v>
      </c>
      <c r="D3710" s="35">
        <v>8753</v>
      </c>
      <c r="E3710" s="4" t="s">
        <v>6123</v>
      </c>
      <c r="F3710" s="5">
        <v>40877</v>
      </c>
      <c r="G3710" s="5">
        <v>40889</v>
      </c>
      <c r="H3710" s="4" t="s">
        <v>40</v>
      </c>
      <c r="I3710" s="6">
        <v>530</v>
      </c>
      <c r="J3710" s="6">
        <v>265</v>
      </c>
      <c r="K3710" s="37" t="s">
        <v>5815</v>
      </c>
      <c r="L3710" s="119"/>
      <c r="M3710" s="3"/>
    </row>
    <row r="3711" spans="1:13" s="4" customFormat="1" ht="14.25" customHeight="1" x14ac:dyDescent="0.25">
      <c r="A3711" s="4" t="s">
        <v>6126</v>
      </c>
      <c r="B3711" s="4" t="s">
        <v>190</v>
      </c>
      <c r="C3711" s="4" t="s">
        <v>14</v>
      </c>
      <c r="D3711" s="35">
        <v>8758</v>
      </c>
      <c r="E3711" s="4" t="s">
        <v>6127</v>
      </c>
      <c r="F3711" s="5">
        <v>40738</v>
      </c>
      <c r="G3711" s="5">
        <v>40991</v>
      </c>
      <c r="H3711" s="4" t="s">
        <v>40</v>
      </c>
      <c r="I3711" s="6">
        <v>17646</v>
      </c>
      <c r="J3711" s="6">
        <v>14448</v>
      </c>
      <c r="K3711" s="37" t="s">
        <v>5815</v>
      </c>
      <c r="L3711" s="119"/>
      <c r="M3711" s="3"/>
    </row>
    <row r="3712" spans="1:13" s="4" customFormat="1" ht="14.25" customHeight="1" x14ac:dyDescent="0.25">
      <c r="A3712" s="4" t="s">
        <v>6128</v>
      </c>
      <c r="B3712" s="4" t="s">
        <v>190</v>
      </c>
      <c r="C3712" s="4" t="s">
        <v>14</v>
      </c>
      <c r="D3712" s="35">
        <v>8807</v>
      </c>
      <c r="E3712" s="4" t="s">
        <v>6129</v>
      </c>
      <c r="F3712" s="5">
        <v>40854</v>
      </c>
      <c r="G3712" s="5">
        <v>41088</v>
      </c>
      <c r="H3712" s="4" t="s">
        <v>40</v>
      </c>
      <c r="I3712" s="6">
        <v>82018</v>
      </c>
      <c r="J3712" s="6">
        <v>22111</v>
      </c>
      <c r="K3712" s="37" t="s">
        <v>5815</v>
      </c>
      <c r="L3712" s="119"/>
      <c r="M3712" s="3"/>
    </row>
    <row r="3713" spans="1:13" s="4" customFormat="1" ht="14.25" customHeight="1" x14ac:dyDescent="0.25">
      <c r="A3713" s="4" t="s">
        <v>6130</v>
      </c>
      <c r="B3713" s="4" t="s">
        <v>38</v>
      </c>
      <c r="C3713" s="4" t="s">
        <v>14</v>
      </c>
      <c r="D3713" s="35">
        <v>8859</v>
      </c>
      <c r="E3713" s="4" t="s">
        <v>6131</v>
      </c>
      <c r="F3713" s="5">
        <v>40575</v>
      </c>
      <c r="H3713" s="4" t="s">
        <v>40</v>
      </c>
      <c r="I3713" s="6">
        <v>3655.15</v>
      </c>
      <c r="J3713" s="6">
        <v>3655.15</v>
      </c>
      <c r="K3713" s="37" t="s">
        <v>5815</v>
      </c>
      <c r="L3713" s="119"/>
      <c r="M3713" s="3"/>
    </row>
    <row r="3714" spans="1:13" s="4" customFormat="1" ht="14.25" customHeight="1" x14ac:dyDescent="0.25">
      <c r="A3714" s="4" t="s">
        <v>6132</v>
      </c>
      <c r="B3714" s="4" t="s">
        <v>38</v>
      </c>
      <c r="C3714" s="4" t="s">
        <v>14</v>
      </c>
      <c r="D3714" s="35">
        <v>8860</v>
      </c>
      <c r="E3714" s="4" t="s">
        <v>6133</v>
      </c>
      <c r="F3714" s="5">
        <v>40787</v>
      </c>
      <c r="H3714" s="4" t="s">
        <v>40</v>
      </c>
      <c r="I3714" s="6">
        <v>12072.12</v>
      </c>
      <c r="J3714" s="6">
        <v>12072.12</v>
      </c>
      <c r="K3714" s="37" t="s">
        <v>5815</v>
      </c>
      <c r="L3714" s="119"/>
      <c r="M3714" s="3"/>
    </row>
    <row r="3715" spans="1:13" s="4" customFormat="1" ht="14.25" customHeight="1" x14ac:dyDescent="0.25">
      <c r="A3715" s="4" t="s">
        <v>6134</v>
      </c>
      <c r="B3715" s="4" t="s">
        <v>38</v>
      </c>
      <c r="C3715" s="4" t="s">
        <v>14</v>
      </c>
      <c r="D3715" s="35">
        <v>8895</v>
      </c>
      <c r="E3715" s="7" t="s">
        <v>6135</v>
      </c>
      <c r="F3715" s="5">
        <v>40877</v>
      </c>
      <c r="H3715" s="4" t="s">
        <v>40</v>
      </c>
      <c r="I3715" s="6">
        <v>10000</v>
      </c>
      <c r="J3715" s="6">
        <v>10000</v>
      </c>
      <c r="K3715" s="37" t="s">
        <v>5815</v>
      </c>
      <c r="L3715" s="119"/>
      <c r="M3715" s="3"/>
    </row>
    <row r="3716" spans="1:13" s="4" customFormat="1" ht="14.25" customHeight="1" x14ac:dyDescent="0.2">
      <c r="A3716" s="95" t="s">
        <v>11629</v>
      </c>
      <c r="D3716" s="35">
        <v>9200</v>
      </c>
      <c r="E3716" s="95" t="s">
        <v>11629</v>
      </c>
      <c r="F3716" s="96">
        <v>39814</v>
      </c>
      <c r="H3716" s="4" t="s">
        <v>40</v>
      </c>
      <c r="I3716" s="6">
        <v>-13.29</v>
      </c>
      <c r="J3716" s="6">
        <v>-13.29</v>
      </c>
      <c r="K3716" s="37" t="s">
        <v>5815</v>
      </c>
      <c r="L3716" s="119"/>
      <c r="M3716" s="3"/>
    </row>
    <row r="3717" spans="1:13" s="4" customFormat="1" ht="14.25" customHeight="1" x14ac:dyDescent="0.25">
      <c r="A3717" s="4" t="s">
        <v>6136</v>
      </c>
      <c r="B3717" s="4" t="s">
        <v>38</v>
      </c>
      <c r="C3717" s="4" t="s">
        <v>14</v>
      </c>
      <c r="D3717" s="35">
        <v>9206</v>
      </c>
      <c r="E3717" s="4" t="s">
        <v>6137</v>
      </c>
      <c r="F3717" s="5">
        <v>40544</v>
      </c>
      <c r="H3717" s="4" t="s">
        <v>40</v>
      </c>
      <c r="I3717" s="6">
        <v>12826</v>
      </c>
      <c r="J3717" s="6">
        <v>6413</v>
      </c>
      <c r="K3717" s="37" t="s">
        <v>5815</v>
      </c>
      <c r="L3717" s="119"/>
      <c r="M3717" s="3"/>
    </row>
    <row r="3718" spans="1:13" s="4" customFormat="1" ht="14.25" customHeight="1" x14ac:dyDescent="0.25">
      <c r="A3718" s="4" t="s">
        <v>5977</v>
      </c>
      <c r="B3718" s="4" t="s">
        <v>38</v>
      </c>
      <c r="C3718" s="4" t="s">
        <v>14</v>
      </c>
      <c r="D3718" s="35">
        <v>9207</v>
      </c>
      <c r="E3718" s="7" t="s">
        <v>5978</v>
      </c>
      <c r="F3718" s="5">
        <v>40544</v>
      </c>
      <c r="G3718" s="5">
        <v>40908</v>
      </c>
      <c r="H3718" s="4" t="s">
        <v>40</v>
      </c>
      <c r="I3718" s="6">
        <v>9525.76</v>
      </c>
      <c r="J3718" s="6">
        <v>4762.88</v>
      </c>
      <c r="K3718" s="37" t="s">
        <v>5815</v>
      </c>
      <c r="L3718" s="119"/>
      <c r="M3718" s="3"/>
    </row>
    <row r="3719" spans="1:13" s="4" customFormat="1" ht="14.25" customHeight="1" x14ac:dyDescent="0.25">
      <c r="A3719" s="4" t="s">
        <v>5981</v>
      </c>
      <c r="B3719" s="4" t="s">
        <v>38</v>
      </c>
      <c r="C3719" s="4" t="s">
        <v>14</v>
      </c>
      <c r="D3719" s="35">
        <v>9208</v>
      </c>
      <c r="E3719" s="4" t="s">
        <v>5982</v>
      </c>
      <c r="F3719" s="5">
        <v>40544</v>
      </c>
      <c r="G3719" s="5">
        <v>40908</v>
      </c>
      <c r="H3719" s="4" t="s">
        <v>40</v>
      </c>
      <c r="I3719" s="6">
        <f>2723.14+6060.4</f>
        <v>8783.5399999999991</v>
      </c>
      <c r="J3719" s="6">
        <f>1578.51+3030.2</f>
        <v>4608.71</v>
      </c>
      <c r="K3719" s="37" t="s">
        <v>5815</v>
      </c>
      <c r="L3719" s="119"/>
      <c r="M3719" s="3"/>
    </row>
    <row r="3720" spans="1:13" s="4" customFormat="1" ht="14.25" customHeight="1" x14ac:dyDescent="0.25">
      <c r="A3720" s="4" t="s">
        <v>6138</v>
      </c>
      <c r="B3720" s="4" t="s">
        <v>90</v>
      </c>
      <c r="C3720" s="4" t="s">
        <v>14</v>
      </c>
      <c r="D3720" s="35">
        <v>10584</v>
      </c>
      <c r="E3720" s="4" t="s">
        <v>6139</v>
      </c>
      <c r="F3720" s="5">
        <v>40812</v>
      </c>
      <c r="G3720" s="5">
        <v>41088</v>
      </c>
      <c r="H3720" s="4" t="s">
        <v>40</v>
      </c>
      <c r="I3720" s="6">
        <v>8111.9</v>
      </c>
      <c r="J3720" s="6">
        <v>4055.9</v>
      </c>
      <c r="K3720" s="37" t="s">
        <v>5815</v>
      </c>
      <c r="L3720" s="119"/>
      <c r="M3720" s="3"/>
    </row>
    <row r="3721" spans="1:13" s="4" customFormat="1" ht="14.25" customHeight="1" x14ac:dyDescent="0.25">
      <c r="A3721" s="4" t="s">
        <v>6140</v>
      </c>
      <c r="B3721" s="4" t="s">
        <v>90</v>
      </c>
      <c r="C3721" s="4" t="s">
        <v>14</v>
      </c>
      <c r="D3721" s="35">
        <v>10585</v>
      </c>
      <c r="E3721" s="4" t="s">
        <v>6141</v>
      </c>
      <c r="F3721" s="5">
        <v>40651</v>
      </c>
      <c r="G3721" s="5">
        <v>41088</v>
      </c>
      <c r="H3721" s="4" t="s">
        <v>40</v>
      </c>
      <c r="I3721" s="6">
        <v>7423.06</v>
      </c>
      <c r="J3721" s="6">
        <v>3711.53</v>
      </c>
      <c r="K3721" s="37" t="s">
        <v>5815</v>
      </c>
      <c r="L3721" s="119"/>
      <c r="M3721" s="3"/>
    </row>
    <row r="3722" spans="1:13" s="4" customFormat="1" ht="14.25" customHeight="1" x14ac:dyDescent="0.25">
      <c r="A3722" s="4" t="s">
        <v>6142</v>
      </c>
      <c r="B3722" s="4" t="s">
        <v>90</v>
      </c>
      <c r="C3722" s="4" t="s">
        <v>14</v>
      </c>
      <c r="D3722" s="35">
        <v>10586</v>
      </c>
      <c r="E3722" s="4" t="s">
        <v>6143</v>
      </c>
      <c r="F3722" s="5">
        <v>40984</v>
      </c>
      <c r="G3722" s="5">
        <v>41241</v>
      </c>
      <c r="H3722" s="4" t="s">
        <v>40</v>
      </c>
      <c r="I3722" s="6">
        <v>39843.980000000003</v>
      </c>
      <c r="J3722" s="6">
        <v>19922</v>
      </c>
      <c r="K3722" s="37" t="s">
        <v>5815</v>
      </c>
      <c r="L3722" s="119"/>
      <c r="M3722" s="3"/>
    </row>
    <row r="3723" spans="1:13" s="4" customFormat="1" ht="14.25" customHeight="1" x14ac:dyDescent="0.25">
      <c r="A3723" s="4" t="s">
        <v>6144</v>
      </c>
      <c r="B3723" s="4" t="s">
        <v>90</v>
      </c>
      <c r="C3723" s="4" t="s">
        <v>14</v>
      </c>
      <c r="D3723" s="35">
        <v>10587</v>
      </c>
      <c r="E3723" s="4" t="s">
        <v>6145</v>
      </c>
      <c r="F3723" s="5">
        <v>41060</v>
      </c>
      <c r="G3723" s="5">
        <v>41213</v>
      </c>
      <c r="H3723" s="4" t="s">
        <v>40</v>
      </c>
      <c r="I3723" s="6">
        <v>20000</v>
      </c>
      <c r="J3723" s="6">
        <v>10000</v>
      </c>
      <c r="K3723" s="37" t="s">
        <v>5815</v>
      </c>
      <c r="L3723" s="119"/>
      <c r="M3723" s="3"/>
    </row>
    <row r="3724" spans="1:13" s="4" customFormat="1" ht="15" customHeight="1" x14ac:dyDescent="0.25">
      <c r="A3724" s="4" t="s">
        <v>6146</v>
      </c>
      <c r="B3724" s="4" t="s">
        <v>183</v>
      </c>
      <c r="C3724" s="4" t="s">
        <v>14</v>
      </c>
      <c r="D3724" s="35">
        <v>10588</v>
      </c>
      <c r="E3724" s="4" t="s">
        <v>6147</v>
      </c>
      <c r="F3724" s="5">
        <v>41099</v>
      </c>
      <c r="H3724" s="4" t="s">
        <v>40</v>
      </c>
      <c r="I3724" s="6">
        <f>3750+15495.86+9.03</f>
        <v>19254.89</v>
      </c>
      <c r="J3724" s="6">
        <v>13372.93</v>
      </c>
      <c r="K3724" s="37" t="s">
        <v>5815</v>
      </c>
      <c r="L3724" s="119"/>
      <c r="M3724" s="3"/>
    </row>
    <row r="3725" spans="1:13" s="4" customFormat="1" ht="14.25" customHeight="1" x14ac:dyDescent="0.25">
      <c r="A3725" s="4" t="s">
        <v>6150</v>
      </c>
      <c r="B3725" s="4" t="s">
        <v>183</v>
      </c>
      <c r="C3725" s="4" t="s">
        <v>14</v>
      </c>
      <c r="D3725" s="35">
        <v>10591</v>
      </c>
      <c r="E3725" s="4" t="s">
        <v>6151</v>
      </c>
      <c r="F3725" s="5">
        <v>41202</v>
      </c>
      <c r="H3725" s="4" t="s">
        <v>40</v>
      </c>
      <c r="I3725" s="6">
        <f>3750+2439.02</f>
        <v>6189.02</v>
      </c>
      <c r="J3725" s="6">
        <f>3750+1219.51</f>
        <v>4969.51</v>
      </c>
      <c r="K3725" s="37" t="s">
        <v>5815</v>
      </c>
      <c r="L3725" s="119"/>
      <c r="M3725" s="3"/>
    </row>
    <row r="3726" spans="1:13" s="4" customFormat="1" ht="14.25" customHeight="1" x14ac:dyDescent="0.25">
      <c r="A3726" s="4" t="s">
        <v>6152</v>
      </c>
      <c r="B3726" s="4" t="s">
        <v>183</v>
      </c>
      <c r="C3726" s="4" t="s">
        <v>14</v>
      </c>
      <c r="D3726" s="35">
        <v>10594</v>
      </c>
      <c r="E3726" s="7" t="s">
        <v>6153</v>
      </c>
      <c r="F3726" s="5">
        <v>40984</v>
      </c>
      <c r="H3726" s="4" t="s">
        <v>40</v>
      </c>
      <c r="I3726" s="6">
        <v>3750</v>
      </c>
      <c r="J3726" s="6">
        <v>3750</v>
      </c>
      <c r="K3726" s="37" t="s">
        <v>5815</v>
      </c>
      <c r="L3726" s="119"/>
      <c r="M3726" s="3"/>
    </row>
    <row r="3727" spans="1:13" s="4" customFormat="1" ht="14.25" customHeight="1" x14ac:dyDescent="0.25">
      <c r="A3727" s="4" t="s">
        <v>6156</v>
      </c>
      <c r="B3727" s="4" t="s">
        <v>190</v>
      </c>
      <c r="C3727" s="4" t="s">
        <v>14</v>
      </c>
      <c r="D3727" s="35">
        <v>10605</v>
      </c>
      <c r="E3727" s="4" t="s">
        <v>6157</v>
      </c>
      <c r="F3727" s="5">
        <v>41099</v>
      </c>
      <c r="G3727" s="5">
        <v>41254</v>
      </c>
      <c r="H3727" s="4" t="s">
        <v>40</v>
      </c>
      <c r="I3727" s="6">
        <v>13215.1</v>
      </c>
      <c r="J3727" s="6">
        <v>8482.5499999999993</v>
      </c>
      <c r="K3727" s="37" t="s">
        <v>5815</v>
      </c>
      <c r="L3727" s="119"/>
      <c r="M3727" s="3"/>
    </row>
    <row r="3728" spans="1:13" s="4" customFormat="1" ht="14.25" customHeight="1" x14ac:dyDescent="0.25">
      <c r="A3728" s="4" t="s">
        <v>6158</v>
      </c>
      <c r="B3728" s="4" t="s">
        <v>190</v>
      </c>
      <c r="C3728" s="4" t="s">
        <v>14</v>
      </c>
      <c r="D3728" s="35">
        <v>10606</v>
      </c>
      <c r="E3728" s="4" t="s">
        <v>6159</v>
      </c>
      <c r="F3728" s="5">
        <v>41022</v>
      </c>
      <c r="H3728" s="4" t="s">
        <v>40</v>
      </c>
      <c r="I3728" s="6">
        <f>32150+3750</f>
        <v>35900</v>
      </c>
      <c r="J3728" s="6">
        <f>17950+3750</f>
        <v>21700</v>
      </c>
      <c r="K3728" s="37" t="s">
        <v>5815</v>
      </c>
      <c r="L3728" s="119"/>
      <c r="M3728" s="3"/>
    </row>
    <row r="3729" spans="1:13" s="4" customFormat="1" ht="14.25" customHeight="1" x14ac:dyDescent="0.25">
      <c r="A3729" s="4" t="s">
        <v>6160</v>
      </c>
      <c r="B3729" s="4" t="s">
        <v>190</v>
      </c>
      <c r="C3729" s="4" t="s">
        <v>14</v>
      </c>
      <c r="D3729" s="35">
        <v>10607</v>
      </c>
      <c r="E3729" s="4" t="s">
        <v>6161</v>
      </c>
      <c r="F3729" s="5">
        <v>41099</v>
      </c>
      <c r="G3729" s="5">
        <v>41254</v>
      </c>
      <c r="H3729" s="4" t="s">
        <v>40</v>
      </c>
      <c r="I3729" s="6">
        <v>3750</v>
      </c>
      <c r="J3729" s="6">
        <v>3750</v>
      </c>
      <c r="K3729" s="37" t="s">
        <v>5815</v>
      </c>
      <c r="L3729" s="119"/>
      <c r="M3729" s="3"/>
    </row>
    <row r="3730" spans="1:13" s="4" customFormat="1" ht="14.25" customHeight="1" x14ac:dyDescent="0.25">
      <c r="A3730" s="4" t="s">
        <v>6162</v>
      </c>
      <c r="B3730" s="4" t="s">
        <v>190</v>
      </c>
      <c r="C3730" s="4" t="s">
        <v>14</v>
      </c>
      <c r="D3730" s="35">
        <v>10608</v>
      </c>
      <c r="E3730" s="4" t="s">
        <v>6163</v>
      </c>
      <c r="F3730" s="5">
        <v>40938</v>
      </c>
      <c r="G3730" s="5">
        <v>41254</v>
      </c>
      <c r="H3730" s="4" t="s">
        <v>40</v>
      </c>
      <c r="I3730" s="6">
        <f>42907.66+7036.88</f>
        <v>49944.54</v>
      </c>
      <c r="J3730" s="6">
        <f>24783.6+3518.44</f>
        <v>28302.039999999997</v>
      </c>
      <c r="K3730" s="37" t="s">
        <v>5815</v>
      </c>
      <c r="L3730" s="119"/>
      <c r="M3730" s="3"/>
    </row>
    <row r="3731" spans="1:13" s="4" customFormat="1" ht="14.25" customHeight="1" x14ac:dyDescent="0.25">
      <c r="A3731" s="4" t="s">
        <v>6164</v>
      </c>
      <c r="B3731" s="4" t="s">
        <v>38</v>
      </c>
      <c r="C3731" s="4" t="s">
        <v>14</v>
      </c>
      <c r="D3731" s="35">
        <v>10613</v>
      </c>
      <c r="E3731" s="4" t="s">
        <v>6165</v>
      </c>
      <c r="F3731" s="5">
        <v>40910</v>
      </c>
      <c r="H3731" s="4" t="s">
        <v>40</v>
      </c>
      <c r="I3731" s="6">
        <f>2500+2000</f>
        <v>4500</v>
      </c>
      <c r="J3731" s="6">
        <f>2500+2000</f>
        <v>4500</v>
      </c>
      <c r="K3731" s="37" t="s">
        <v>5815</v>
      </c>
      <c r="L3731" s="119"/>
      <c r="M3731" s="3"/>
    </row>
    <row r="3732" spans="1:13" ht="14.25" customHeight="1" x14ac:dyDescent="0.25">
      <c r="A3732" s="13" t="s">
        <v>10891</v>
      </c>
      <c r="B3732" s="13" t="s">
        <v>10192</v>
      </c>
      <c r="C3732" s="13" t="s">
        <v>14</v>
      </c>
      <c r="D3732" s="19">
        <v>12751</v>
      </c>
      <c r="E3732" s="13" t="s">
        <v>10892</v>
      </c>
      <c r="F3732" s="14">
        <v>41502</v>
      </c>
      <c r="G3732" s="14">
        <v>41624</v>
      </c>
      <c r="H3732" s="13" t="s">
        <v>651</v>
      </c>
      <c r="I3732" s="18">
        <v>28486</v>
      </c>
      <c r="J3732" s="18">
        <v>16743</v>
      </c>
      <c r="K3732" s="20" t="s">
        <v>5815</v>
      </c>
    </row>
    <row r="3733" spans="1:13" ht="14.25" customHeight="1" x14ac:dyDescent="0.25">
      <c r="A3733" s="13" t="s">
        <v>10893</v>
      </c>
      <c r="B3733" s="13" t="s">
        <v>10195</v>
      </c>
      <c r="C3733" s="13" t="s">
        <v>14</v>
      </c>
      <c r="D3733" s="19">
        <v>12752</v>
      </c>
      <c r="E3733" s="13" t="s">
        <v>10894</v>
      </c>
      <c r="F3733" s="14">
        <v>41456</v>
      </c>
      <c r="H3733" s="13" t="s">
        <v>651</v>
      </c>
      <c r="I3733" s="18">
        <v>12256</v>
      </c>
      <c r="J3733" s="18">
        <v>6128</v>
      </c>
      <c r="K3733" s="20" t="s">
        <v>5815</v>
      </c>
    </row>
    <row r="3734" spans="1:13" ht="14.25" customHeight="1" x14ac:dyDescent="0.25">
      <c r="A3734" s="13" t="s">
        <v>10895</v>
      </c>
      <c r="B3734" s="13" t="s">
        <v>10195</v>
      </c>
      <c r="C3734" s="13" t="s">
        <v>14</v>
      </c>
      <c r="D3734" s="19">
        <v>12753</v>
      </c>
      <c r="E3734" s="13" t="s">
        <v>10896</v>
      </c>
      <c r="F3734" s="14">
        <v>41456</v>
      </c>
      <c r="H3734" s="13" t="s">
        <v>651</v>
      </c>
      <c r="I3734" s="18">
        <v>31220</v>
      </c>
      <c r="J3734" s="18">
        <v>18422.5</v>
      </c>
      <c r="K3734" s="20" t="s">
        <v>5815</v>
      </c>
    </row>
    <row r="3735" spans="1:13" ht="14.25" customHeight="1" x14ac:dyDescent="0.25">
      <c r="A3735" s="13" t="s">
        <v>10897</v>
      </c>
      <c r="B3735" s="13" t="s">
        <v>10195</v>
      </c>
      <c r="C3735" s="13" t="s">
        <v>14</v>
      </c>
      <c r="D3735" s="19">
        <v>12754</v>
      </c>
      <c r="E3735" s="13" t="s">
        <v>10898</v>
      </c>
      <c r="F3735" s="14">
        <v>41570</v>
      </c>
      <c r="H3735" s="13" t="s">
        <v>651</v>
      </c>
      <c r="I3735" s="18">
        <v>7548.6</v>
      </c>
      <c r="J3735" s="18">
        <v>5649.3</v>
      </c>
      <c r="K3735" s="20" t="s">
        <v>5815</v>
      </c>
    </row>
    <row r="3736" spans="1:13" ht="14.25" customHeight="1" x14ac:dyDescent="0.25">
      <c r="A3736" s="13" t="s">
        <v>10899</v>
      </c>
      <c r="B3736" s="13" t="s">
        <v>10192</v>
      </c>
      <c r="C3736" s="13" t="s">
        <v>14</v>
      </c>
      <c r="D3736" s="19">
        <v>12758</v>
      </c>
      <c r="E3736" s="13" t="s">
        <v>10900</v>
      </c>
      <c r="F3736" s="14">
        <v>41570</v>
      </c>
      <c r="H3736" s="13" t="s">
        <v>651</v>
      </c>
      <c r="I3736" s="18">
        <v>13750</v>
      </c>
      <c r="J3736" s="18">
        <v>8750</v>
      </c>
      <c r="K3736" s="20" t="s">
        <v>5815</v>
      </c>
    </row>
    <row r="3737" spans="1:13" ht="14.25" customHeight="1" x14ac:dyDescent="0.25">
      <c r="A3737" s="13" t="s">
        <v>10901</v>
      </c>
      <c r="B3737" s="13" t="s">
        <v>10192</v>
      </c>
      <c r="C3737" s="13" t="s">
        <v>14</v>
      </c>
      <c r="D3737" s="19">
        <v>12761</v>
      </c>
      <c r="E3737" s="13" t="s">
        <v>10902</v>
      </c>
      <c r="F3737" s="14">
        <v>41354</v>
      </c>
      <c r="G3737" s="14">
        <v>41639</v>
      </c>
      <c r="H3737" s="13" t="s">
        <v>651</v>
      </c>
      <c r="I3737" s="18">
        <v>6348.02</v>
      </c>
      <c r="J3737" s="18">
        <v>3174.01</v>
      </c>
      <c r="K3737" s="20" t="s">
        <v>5815</v>
      </c>
    </row>
    <row r="3738" spans="1:13" ht="14.25" customHeight="1" x14ac:dyDescent="0.25">
      <c r="A3738" s="13" t="s">
        <v>10903</v>
      </c>
      <c r="B3738" s="13" t="s">
        <v>10195</v>
      </c>
      <c r="C3738" s="13" t="s">
        <v>14</v>
      </c>
      <c r="D3738" s="19">
        <v>12764</v>
      </c>
      <c r="E3738" s="13" t="s">
        <v>10904</v>
      </c>
      <c r="F3738" s="14">
        <v>41543</v>
      </c>
      <c r="G3738" s="14">
        <v>41639</v>
      </c>
      <c r="H3738" s="13" t="s">
        <v>651</v>
      </c>
      <c r="I3738" s="18">
        <v>7248</v>
      </c>
      <c r="J3738" s="18">
        <v>3624</v>
      </c>
      <c r="K3738" s="20" t="s">
        <v>5815</v>
      </c>
    </row>
    <row r="3739" spans="1:13" ht="14.25" customHeight="1" x14ac:dyDescent="0.25">
      <c r="A3739" s="13" t="s">
        <v>10905</v>
      </c>
      <c r="B3739" s="13" t="s">
        <v>10192</v>
      </c>
      <c r="C3739" s="13" t="s">
        <v>14</v>
      </c>
      <c r="D3739" s="19">
        <v>12768</v>
      </c>
      <c r="E3739" s="13" t="s">
        <v>10906</v>
      </c>
      <c r="F3739" s="14">
        <v>41375</v>
      </c>
      <c r="H3739" s="13" t="s">
        <v>651</v>
      </c>
      <c r="I3739" s="18">
        <v>5349.36</v>
      </c>
      <c r="J3739" s="18">
        <v>4549.68</v>
      </c>
      <c r="K3739" s="20" t="s">
        <v>5815</v>
      </c>
    </row>
    <row r="3740" spans="1:13" ht="14.25" customHeight="1" x14ac:dyDescent="0.25">
      <c r="A3740" s="13" t="s">
        <v>10907</v>
      </c>
      <c r="B3740" s="13" t="s">
        <v>10192</v>
      </c>
      <c r="C3740" s="13" t="s">
        <v>14</v>
      </c>
      <c r="D3740" s="19">
        <v>12772</v>
      </c>
      <c r="E3740" s="13" t="s">
        <v>10908</v>
      </c>
      <c r="F3740" s="14">
        <v>41360</v>
      </c>
      <c r="H3740" s="13" t="s">
        <v>651</v>
      </c>
      <c r="I3740" s="18">
        <v>10266.42</v>
      </c>
      <c r="J3740" s="18">
        <v>5133.21</v>
      </c>
      <c r="K3740" s="20" t="s">
        <v>5815</v>
      </c>
    </row>
    <row r="3741" spans="1:13" ht="14.25" customHeight="1" x14ac:dyDescent="0.25">
      <c r="A3741" s="13" t="s">
        <v>10909</v>
      </c>
      <c r="B3741" s="13" t="s">
        <v>10195</v>
      </c>
      <c r="C3741" s="13" t="s">
        <v>14</v>
      </c>
      <c r="D3741" s="19">
        <v>12782</v>
      </c>
      <c r="E3741" s="13" t="s">
        <v>10910</v>
      </c>
      <c r="F3741" s="14">
        <v>41394</v>
      </c>
      <c r="G3741" s="14">
        <v>41639</v>
      </c>
      <c r="H3741" s="13" t="s">
        <v>651</v>
      </c>
      <c r="I3741" s="18">
        <v>14226.33</v>
      </c>
      <c r="J3741" s="18">
        <v>7111.47</v>
      </c>
      <c r="K3741" s="20" t="s">
        <v>5815</v>
      </c>
    </row>
    <row r="3742" spans="1:13" ht="14.25" customHeight="1" x14ac:dyDescent="0.25">
      <c r="A3742" s="13" t="s">
        <v>10911</v>
      </c>
      <c r="B3742" s="13" t="s">
        <v>10195</v>
      </c>
      <c r="C3742" s="13" t="s">
        <v>14</v>
      </c>
      <c r="D3742" s="19">
        <v>12783</v>
      </c>
      <c r="E3742" s="13" t="s">
        <v>10912</v>
      </c>
      <c r="F3742" s="14">
        <v>41600</v>
      </c>
      <c r="G3742" s="14">
        <v>41639</v>
      </c>
      <c r="H3742" s="13" t="s">
        <v>651</v>
      </c>
      <c r="I3742" s="18">
        <v>30000</v>
      </c>
      <c r="J3742" s="18">
        <v>15000</v>
      </c>
      <c r="K3742" s="20" t="s">
        <v>5815</v>
      </c>
    </row>
    <row r="3743" spans="1:13" ht="14.25" customHeight="1" x14ac:dyDescent="0.25">
      <c r="A3743" s="13" t="s">
        <v>10913</v>
      </c>
      <c r="B3743" s="13" t="s">
        <v>10192</v>
      </c>
      <c r="C3743" s="13" t="s">
        <v>14</v>
      </c>
      <c r="D3743" s="19">
        <v>12784</v>
      </c>
      <c r="E3743" s="13" t="s">
        <v>10914</v>
      </c>
      <c r="F3743" s="14">
        <v>41495</v>
      </c>
      <c r="H3743" s="13" t="s">
        <v>651</v>
      </c>
      <c r="I3743" s="18">
        <v>9264</v>
      </c>
      <c r="J3743" s="18">
        <v>8382</v>
      </c>
      <c r="K3743" s="20" t="s">
        <v>5815</v>
      </c>
    </row>
    <row r="3744" spans="1:13" ht="14.25" customHeight="1" x14ac:dyDescent="0.25">
      <c r="A3744" s="13" t="s">
        <v>10915</v>
      </c>
      <c r="B3744" s="13" t="s">
        <v>10195</v>
      </c>
      <c r="C3744" s="13" t="s">
        <v>14</v>
      </c>
      <c r="D3744" s="19">
        <v>12787</v>
      </c>
      <c r="E3744" s="13" t="s">
        <v>10916</v>
      </c>
      <c r="F3744" s="14">
        <v>41611</v>
      </c>
      <c r="H3744" s="13" t="s">
        <v>651</v>
      </c>
      <c r="I3744" s="18">
        <v>3750</v>
      </c>
      <c r="J3744" s="18">
        <v>3750</v>
      </c>
      <c r="K3744" s="20" t="s">
        <v>5815</v>
      </c>
    </row>
    <row r="3745" spans="1:60" ht="14.25" customHeight="1" x14ac:dyDescent="0.25">
      <c r="A3745" s="13" t="s">
        <v>10917</v>
      </c>
      <c r="B3745" s="13" t="s">
        <v>10192</v>
      </c>
      <c r="C3745" s="13" t="s">
        <v>14</v>
      </c>
      <c r="D3745" s="19">
        <v>12789</v>
      </c>
      <c r="E3745" s="13" t="s">
        <v>10918</v>
      </c>
      <c r="F3745" s="14">
        <v>41535</v>
      </c>
      <c r="G3745" s="14">
        <v>41639</v>
      </c>
      <c r="H3745" s="13" t="s">
        <v>651</v>
      </c>
      <c r="I3745" s="18">
        <v>15432</v>
      </c>
      <c r="J3745" s="18">
        <v>11466</v>
      </c>
      <c r="K3745" s="20" t="s">
        <v>5815</v>
      </c>
    </row>
    <row r="3746" spans="1:60" ht="14.25" customHeight="1" x14ac:dyDescent="0.25">
      <c r="A3746" s="13" t="s">
        <v>10919</v>
      </c>
      <c r="B3746" s="13" t="s">
        <v>10195</v>
      </c>
      <c r="C3746" s="13" t="s">
        <v>14</v>
      </c>
      <c r="D3746" s="19">
        <v>12791</v>
      </c>
      <c r="E3746" s="13" t="s">
        <v>10920</v>
      </c>
      <c r="F3746" s="14">
        <v>41589</v>
      </c>
      <c r="H3746" s="13" t="s">
        <v>651</v>
      </c>
      <c r="I3746" s="18">
        <v>20182</v>
      </c>
      <c r="J3746" s="18">
        <v>13841.76</v>
      </c>
      <c r="K3746" s="20" t="s">
        <v>5815</v>
      </c>
    </row>
    <row r="3747" spans="1:60" ht="14.25" customHeight="1" x14ac:dyDescent="0.25">
      <c r="A3747" s="13" t="s">
        <v>10921</v>
      </c>
      <c r="B3747" s="13" t="s">
        <v>10192</v>
      </c>
      <c r="C3747" s="13" t="s">
        <v>14</v>
      </c>
      <c r="D3747" s="19">
        <v>12792</v>
      </c>
      <c r="E3747" s="13" t="s">
        <v>10922</v>
      </c>
      <c r="F3747" s="14">
        <v>41354</v>
      </c>
      <c r="G3747" s="14">
        <v>41639</v>
      </c>
      <c r="H3747" s="13" t="s">
        <v>651</v>
      </c>
      <c r="I3747" s="18">
        <v>5773.36</v>
      </c>
      <c r="J3747" s="18">
        <v>4758.5200000000004</v>
      </c>
      <c r="K3747" s="20" t="s">
        <v>5815</v>
      </c>
    </row>
    <row r="3748" spans="1:60" s="4" customFormat="1" ht="14.25" customHeight="1" x14ac:dyDescent="0.25">
      <c r="A3748" s="9" t="s">
        <v>6166</v>
      </c>
      <c r="B3748" s="9" t="s">
        <v>13</v>
      </c>
      <c r="C3748" s="9" t="s">
        <v>5815</v>
      </c>
      <c r="D3748" s="90">
        <v>4340</v>
      </c>
      <c r="E3748" s="15" t="s">
        <v>2597</v>
      </c>
      <c r="F3748" s="11">
        <v>39083</v>
      </c>
      <c r="G3748" s="11">
        <v>42369</v>
      </c>
      <c r="H3748" s="9" t="s">
        <v>2593</v>
      </c>
      <c r="I3748" s="16">
        <v>1678222.98</v>
      </c>
      <c r="J3748" s="16">
        <v>1678222.98</v>
      </c>
      <c r="K3748" s="112" t="s">
        <v>5815</v>
      </c>
      <c r="L3748" s="121"/>
      <c r="M3748" s="12"/>
      <c r="N3748" s="9"/>
      <c r="O3748" s="9"/>
      <c r="P3748" s="9"/>
      <c r="Q3748" s="9"/>
      <c r="R3748" s="9"/>
      <c r="S3748" s="9"/>
      <c r="T3748" s="9"/>
      <c r="U3748" s="9"/>
      <c r="V3748" s="9"/>
      <c r="W3748" s="9"/>
      <c r="X3748" s="9"/>
      <c r="Y3748" s="9"/>
      <c r="Z3748" s="9"/>
      <c r="AA3748" s="9"/>
      <c r="AB3748" s="9"/>
      <c r="AC3748" s="9"/>
      <c r="AD3748" s="9"/>
      <c r="AE3748" s="9"/>
      <c r="AF3748" s="9"/>
      <c r="AG3748" s="9"/>
      <c r="AH3748" s="9"/>
      <c r="AI3748" s="9"/>
      <c r="AJ3748" s="9"/>
      <c r="AK3748" s="9"/>
      <c r="AL3748" s="9"/>
      <c r="AM3748" s="9"/>
      <c r="AN3748" s="9"/>
      <c r="AO3748" s="9"/>
      <c r="AP3748" s="9"/>
      <c r="AQ3748" s="9"/>
      <c r="AR3748" s="9"/>
      <c r="AS3748" s="9"/>
      <c r="AT3748" s="9"/>
      <c r="AU3748" s="9"/>
      <c r="AV3748" s="9"/>
      <c r="AW3748" s="9"/>
      <c r="AX3748" s="9"/>
      <c r="AY3748" s="9"/>
      <c r="AZ3748" s="9"/>
      <c r="BA3748" s="9"/>
      <c r="BB3748" s="9"/>
      <c r="BC3748" s="9"/>
      <c r="BD3748" s="9"/>
      <c r="BE3748" s="9"/>
      <c r="BF3748" s="9"/>
      <c r="BG3748" s="9"/>
      <c r="BH3748" s="9"/>
    </row>
    <row r="3749" spans="1:60" s="4" customFormat="1" ht="14.25" customHeight="1" x14ac:dyDescent="0.25">
      <c r="A3749" s="9" t="s">
        <v>6167</v>
      </c>
      <c r="B3749" s="9" t="s">
        <v>13</v>
      </c>
      <c r="C3749" s="9" t="s">
        <v>5815</v>
      </c>
      <c r="D3749" s="90">
        <v>4341</v>
      </c>
      <c r="E3749" s="15" t="s">
        <v>2621</v>
      </c>
      <c r="F3749" s="11">
        <v>39083</v>
      </c>
      <c r="G3749" s="11">
        <v>42369</v>
      </c>
      <c r="H3749" s="9" t="s">
        <v>2593</v>
      </c>
      <c r="I3749" s="16">
        <v>104278.41</v>
      </c>
      <c r="J3749" s="16">
        <v>104278.41</v>
      </c>
      <c r="K3749" s="112" t="s">
        <v>5815</v>
      </c>
      <c r="L3749" s="121"/>
      <c r="M3749" s="12"/>
      <c r="N3749" s="9"/>
      <c r="O3749" s="9"/>
      <c r="P3749" s="9"/>
      <c r="Q3749" s="9"/>
      <c r="R3749" s="9"/>
      <c r="S3749" s="9"/>
      <c r="T3749" s="9"/>
      <c r="U3749" s="9"/>
      <c r="V3749" s="9"/>
      <c r="W3749" s="9"/>
      <c r="X3749" s="9"/>
      <c r="Y3749" s="9"/>
      <c r="Z3749" s="9"/>
      <c r="AA3749" s="9"/>
      <c r="AB3749" s="9"/>
      <c r="AC3749" s="9"/>
      <c r="AD3749" s="9"/>
      <c r="AE3749" s="9"/>
      <c r="AF3749" s="9"/>
      <c r="AG3749" s="9"/>
      <c r="AH3749" s="9"/>
      <c r="AI3749" s="9"/>
      <c r="AJ3749" s="9"/>
      <c r="AK3749" s="9"/>
      <c r="AL3749" s="9"/>
      <c r="AM3749" s="9"/>
      <c r="AN3749" s="9"/>
      <c r="AO3749" s="9"/>
      <c r="AP3749" s="9"/>
      <c r="AQ3749" s="9"/>
      <c r="AR3749" s="9"/>
      <c r="AS3749" s="9"/>
      <c r="AT3749" s="9"/>
      <c r="AU3749" s="9"/>
      <c r="AV3749" s="9"/>
      <c r="AW3749" s="9"/>
      <c r="AX3749" s="9"/>
      <c r="AY3749" s="9"/>
      <c r="AZ3749" s="9"/>
      <c r="BA3749" s="9"/>
      <c r="BB3749" s="9"/>
      <c r="BC3749" s="9"/>
      <c r="BD3749" s="9"/>
      <c r="BE3749" s="9"/>
      <c r="BF3749" s="9"/>
      <c r="BG3749" s="9"/>
      <c r="BH3749" s="9"/>
    </row>
    <row r="3750" spans="1:60" s="4" customFormat="1" ht="14.25" customHeight="1" x14ac:dyDescent="0.25">
      <c r="A3750" s="9" t="s">
        <v>6168</v>
      </c>
      <c r="B3750" s="9" t="s">
        <v>13</v>
      </c>
      <c r="C3750" s="9" t="s">
        <v>5815</v>
      </c>
      <c r="D3750" s="90">
        <v>10243</v>
      </c>
      <c r="E3750" s="15" t="s">
        <v>6169</v>
      </c>
      <c r="F3750" s="11">
        <v>40533</v>
      </c>
      <c r="G3750" s="11">
        <v>42825</v>
      </c>
      <c r="H3750" s="9" t="s">
        <v>2593</v>
      </c>
      <c r="I3750" s="16">
        <v>7878430.7699999996</v>
      </c>
      <c r="J3750" s="16">
        <v>7878430.7699999996</v>
      </c>
      <c r="K3750" s="112" t="s">
        <v>5815</v>
      </c>
      <c r="L3750" s="121"/>
      <c r="M3750" s="12"/>
      <c r="N3750" s="9"/>
      <c r="O3750" s="9"/>
      <c r="P3750" s="9"/>
      <c r="Q3750" s="9"/>
      <c r="R3750" s="9"/>
      <c r="S3750" s="9"/>
      <c r="T3750" s="9"/>
      <c r="U3750" s="9"/>
      <c r="V3750" s="9"/>
      <c r="W3750" s="9"/>
      <c r="X3750" s="9"/>
      <c r="Y3750" s="9"/>
      <c r="Z3750" s="9"/>
      <c r="AA3750" s="9"/>
      <c r="AB3750" s="9"/>
      <c r="AC3750" s="9"/>
      <c r="AD3750" s="9"/>
      <c r="AE3750" s="9"/>
      <c r="AF3750" s="9"/>
      <c r="AG3750" s="9"/>
      <c r="AH3750" s="9"/>
      <c r="AI3750" s="9"/>
      <c r="AJ3750" s="9"/>
      <c r="AK3750" s="9"/>
      <c r="AL3750" s="9"/>
      <c r="AM3750" s="9"/>
      <c r="AN3750" s="9"/>
      <c r="AO3750" s="9"/>
      <c r="AP3750" s="9"/>
      <c r="AQ3750" s="9"/>
      <c r="AR3750" s="9"/>
      <c r="AS3750" s="9"/>
      <c r="AT3750" s="9"/>
      <c r="AU3750" s="9"/>
      <c r="AV3750" s="9"/>
      <c r="AW3750" s="9"/>
      <c r="AX3750" s="9"/>
      <c r="AY3750" s="9"/>
      <c r="AZ3750" s="9"/>
      <c r="BA3750" s="9"/>
      <c r="BB3750" s="9"/>
      <c r="BC3750" s="9"/>
      <c r="BD3750" s="9"/>
      <c r="BE3750" s="9"/>
      <c r="BF3750" s="9"/>
      <c r="BG3750" s="9"/>
      <c r="BH3750" s="9"/>
    </row>
    <row r="3751" spans="1:60" s="32" customFormat="1" ht="14.25" customHeight="1" x14ac:dyDescent="0.25">
      <c r="A3751" s="13" t="s">
        <v>11596</v>
      </c>
      <c r="B3751" s="32" t="s">
        <v>13</v>
      </c>
      <c r="C3751" s="32" t="s">
        <v>14</v>
      </c>
      <c r="D3751" s="33">
        <v>13028</v>
      </c>
      <c r="E3751" s="13" t="s">
        <v>11597</v>
      </c>
      <c r="F3751" s="34">
        <v>40544</v>
      </c>
      <c r="G3751" s="34">
        <v>42825</v>
      </c>
      <c r="H3751" s="9" t="s">
        <v>3587</v>
      </c>
      <c r="I3751" s="94">
        <f>328657.3+64863.53</f>
        <v>393520.82999999996</v>
      </c>
      <c r="J3751" s="94">
        <f>328657.3+64863.53</f>
        <v>393520.82999999996</v>
      </c>
      <c r="K3751" s="38" t="s">
        <v>5815</v>
      </c>
      <c r="L3751" s="122"/>
    </row>
    <row r="3752" spans="1:60" s="32" customFormat="1" ht="14.25" customHeight="1" x14ac:dyDescent="0.25">
      <c r="A3752" s="13" t="s">
        <v>11598</v>
      </c>
      <c r="B3752" s="32" t="s">
        <v>13</v>
      </c>
      <c r="C3752" s="32" t="s">
        <v>14</v>
      </c>
      <c r="D3752" s="33">
        <v>13029</v>
      </c>
      <c r="E3752" s="13" t="s">
        <v>11561</v>
      </c>
      <c r="F3752" s="34">
        <v>40544</v>
      </c>
      <c r="G3752" s="34">
        <v>42825</v>
      </c>
      <c r="H3752" s="9" t="s">
        <v>3587</v>
      </c>
      <c r="I3752" s="94">
        <f>338891.14+77397.85</f>
        <v>416288.99</v>
      </c>
      <c r="J3752" s="94">
        <f>338891.14+77397.85</f>
        <v>416288.99</v>
      </c>
      <c r="K3752" s="38" t="s">
        <v>5815</v>
      </c>
      <c r="L3752" s="122"/>
    </row>
    <row r="3753" spans="1:60" s="32" customFormat="1" ht="14.25" customHeight="1" x14ac:dyDescent="0.25">
      <c r="A3753" s="13" t="s">
        <v>11599</v>
      </c>
      <c r="B3753" s="32" t="s">
        <v>13</v>
      </c>
      <c r="C3753" s="32" t="s">
        <v>14</v>
      </c>
      <c r="D3753" s="33">
        <v>13030</v>
      </c>
      <c r="E3753" s="13" t="s">
        <v>11600</v>
      </c>
      <c r="F3753" s="34">
        <v>40544</v>
      </c>
      <c r="G3753" s="34">
        <v>42825</v>
      </c>
      <c r="H3753" s="9" t="s">
        <v>3587</v>
      </c>
      <c r="I3753" s="94">
        <f>212776.85+45568.62</f>
        <v>258345.47</v>
      </c>
      <c r="J3753" s="94">
        <f>212776.85+45568.62</f>
        <v>258345.47</v>
      </c>
      <c r="K3753" s="38" t="s">
        <v>5815</v>
      </c>
      <c r="L3753" s="122"/>
    </row>
    <row r="3754" spans="1:60" s="32" customFormat="1" ht="14.25" customHeight="1" x14ac:dyDescent="0.25">
      <c r="A3754" s="13" t="s">
        <v>11601</v>
      </c>
      <c r="B3754" s="32" t="s">
        <v>13</v>
      </c>
      <c r="C3754" s="32" t="s">
        <v>14</v>
      </c>
      <c r="D3754" s="33">
        <v>13031</v>
      </c>
      <c r="E3754" s="13" t="s">
        <v>11602</v>
      </c>
      <c r="F3754" s="34">
        <v>40544</v>
      </c>
      <c r="G3754" s="34">
        <v>42825</v>
      </c>
      <c r="H3754" s="9" t="s">
        <v>3587</v>
      </c>
      <c r="I3754" s="94">
        <v>159929.25</v>
      </c>
      <c r="J3754" s="94">
        <v>159929.25</v>
      </c>
      <c r="K3754" s="38" t="s">
        <v>5815</v>
      </c>
      <c r="L3754" s="122"/>
    </row>
    <row r="3755" spans="1:60" s="4" customFormat="1" ht="14.25" customHeight="1" x14ac:dyDescent="0.25">
      <c r="A3755" s="4" t="s">
        <v>6170</v>
      </c>
      <c r="B3755" s="4" t="s">
        <v>13</v>
      </c>
      <c r="C3755" s="4" t="s">
        <v>5815</v>
      </c>
      <c r="D3755" s="35">
        <v>3489</v>
      </c>
      <c r="E3755" s="7" t="s">
        <v>6171</v>
      </c>
      <c r="F3755" s="5">
        <v>39083</v>
      </c>
      <c r="G3755" s="5">
        <v>42369</v>
      </c>
      <c r="H3755" s="4" t="s">
        <v>2637</v>
      </c>
      <c r="I3755" s="17">
        <v>2006284.17</v>
      </c>
      <c r="J3755" s="17">
        <v>2006284.17</v>
      </c>
      <c r="K3755" s="37" t="s">
        <v>5815</v>
      </c>
      <c r="L3755" s="119"/>
      <c r="M3755" s="3"/>
    </row>
    <row r="3756" spans="1:60" s="4" customFormat="1" ht="14.25" customHeight="1" x14ac:dyDescent="0.25">
      <c r="A3756" s="4" t="s">
        <v>6172</v>
      </c>
      <c r="B3756" s="4" t="s">
        <v>13</v>
      </c>
      <c r="C3756" s="4" t="s">
        <v>5815</v>
      </c>
      <c r="D3756" s="35">
        <v>4209</v>
      </c>
      <c r="E3756" s="7" t="s">
        <v>6173</v>
      </c>
      <c r="F3756" s="5">
        <v>39083</v>
      </c>
      <c r="G3756" s="5">
        <v>42369</v>
      </c>
      <c r="H3756" s="4" t="s">
        <v>2637</v>
      </c>
      <c r="I3756" s="17">
        <v>287644.53999999998</v>
      </c>
      <c r="J3756" s="17">
        <v>287644.53999999998</v>
      </c>
      <c r="K3756" s="37" t="s">
        <v>5815</v>
      </c>
      <c r="L3756" s="119"/>
      <c r="M3756" s="3"/>
    </row>
    <row r="3757" spans="1:60" s="4" customFormat="1" ht="14.25" customHeight="1" x14ac:dyDescent="0.25">
      <c r="A3757" s="4" t="s">
        <v>6174</v>
      </c>
      <c r="B3757" s="4" t="s">
        <v>13</v>
      </c>
      <c r="C3757" s="4" t="s">
        <v>14</v>
      </c>
      <c r="D3757" s="35">
        <v>10165</v>
      </c>
      <c r="E3757" s="4" t="s">
        <v>6175</v>
      </c>
      <c r="F3757" s="5">
        <v>40969</v>
      </c>
      <c r="G3757" s="5">
        <v>43100</v>
      </c>
      <c r="H3757" s="4" t="s">
        <v>6176</v>
      </c>
      <c r="I3757" s="103">
        <v>5526378.29</v>
      </c>
      <c r="J3757" s="103">
        <v>5526378.29</v>
      </c>
      <c r="K3757" s="37" t="s">
        <v>5815</v>
      </c>
      <c r="L3757" s="119"/>
      <c r="M3757" s="3"/>
    </row>
    <row r="3758" spans="1:60" s="4" customFormat="1" ht="14.25" customHeight="1" x14ac:dyDescent="0.25">
      <c r="D3758" s="35"/>
      <c r="E3758" s="26" t="s">
        <v>2642</v>
      </c>
      <c r="F3758" s="28"/>
      <c r="G3758" s="28"/>
      <c r="H3758" s="26"/>
      <c r="I3758" s="27">
        <f>SUM(I3561:I3562)</f>
        <v>905249.1</v>
      </c>
      <c r="J3758" s="27">
        <f>SUM(J3561:J3562)</f>
        <v>905249.1</v>
      </c>
      <c r="K3758" s="37" t="s">
        <v>5815</v>
      </c>
      <c r="L3758" s="119"/>
      <c r="M3758" s="3"/>
    </row>
    <row r="3759" spans="1:60" s="4" customFormat="1" ht="14.25" customHeight="1" x14ac:dyDescent="0.25">
      <c r="D3759" s="35"/>
      <c r="E3759" s="26" t="s">
        <v>2643</v>
      </c>
      <c r="F3759" s="28"/>
      <c r="G3759" s="28"/>
      <c r="H3759" s="26"/>
      <c r="I3759" s="27">
        <f>SUM(I3563:I3609)-856.53</f>
        <v>3648267.92</v>
      </c>
      <c r="J3759" s="27">
        <f>SUM(J3563:J3609)-856.53</f>
        <v>3648267.92</v>
      </c>
      <c r="K3759" s="37" t="s">
        <v>5815</v>
      </c>
      <c r="L3759" s="119"/>
      <c r="M3759" s="3"/>
      <c r="N3759" s="3"/>
    </row>
    <row r="3760" spans="1:60" s="4" customFormat="1" ht="14.25" customHeight="1" x14ac:dyDescent="0.25">
      <c r="D3760" s="35"/>
      <c r="E3760" s="26" t="s">
        <v>786</v>
      </c>
      <c r="F3760" s="28"/>
      <c r="G3760" s="28"/>
      <c r="H3760" s="26"/>
      <c r="I3760" s="27">
        <f t="shared" ref="I3760:J3762" si="0">SUM(I3610)</f>
        <v>1166484.56</v>
      </c>
      <c r="J3760" s="27">
        <f t="shared" si="0"/>
        <v>348991.35</v>
      </c>
      <c r="K3760" s="37" t="s">
        <v>5815</v>
      </c>
      <c r="L3760" s="119"/>
      <c r="M3760" s="3"/>
    </row>
    <row r="3761" spans="1:14" s="4" customFormat="1" ht="14.25" customHeight="1" x14ac:dyDescent="0.25">
      <c r="D3761" s="35"/>
      <c r="E3761" s="26" t="s">
        <v>3608</v>
      </c>
      <c r="F3761" s="28"/>
      <c r="G3761" s="28"/>
      <c r="H3761" s="26"/>
      <c r="I3761" s="27">
        <f t="shared" si="0"/>
        <v>6000000</v>
      </c>
      <c r="J3761" s="27">
        <f t="shared" si="0"/>
        <v>6000000.0099999998</v>
      </c>
      <c r="K3761" s="37" t="s">
        <v>5815</v>
      </c>
      <c r="L3761" s="119"/>
      <c r="M3761" s="3"/>
    </row>
    <row r="3762" spans="1:14" s="4" customFormat="1" ht="14.25" customHeight="1" x14ac:dyDescent="0.25">
      <c r="D3762" s="35"/>
      <c r="E3762" s="26" t="s">
        <v>6177</v>
      </c>
      <c r="F3762" s="28"/>
      <c r="G3762" s="28"/>
      <c r="H3762" s="26"/>
      <c r="I3762" s="27">
        <f t="shared" si="0"/>
        <v>2669371</v>
      </c>
      <c r="J3762" s="27">
        <f t="shared" si="0"/>
        <v>1067747</v>
      </c>
      <c r="K3762" s="37" t="s">
        <v>5815</v>
      </c>
      <c r="L3762" s="119"/>
      <c r="M3762" s="3"/>
    </row>
    <row r="3763" spans="1:14" s="4" customFormat="1" ht="14.25" customHeight="1" x14ac:dyDescent="0.25">
      <c r="D3763" s="35"/>
      <c r="E3763" s="26" t="s">
        <v>352</v>
      </c>
      <c r="F3763" s="28"/>
      <c r="G3763" s="28"/>
      <c r="H3763" s="26"/>
      <c r="I3763" s="27">
        <f>SUM(I3613:I3747)</f>
        <v>3269798.0199999996</v>
      </c>
      <c r="J3763" s="27">
        <f>SUM(J3613:J3747)</f>
        <v>2747199.7399999988</v>
      </c>
      <c r="K3763" s="37" t="s">
        <v>5815</v>
      </c>
      <c r="L3763" s="119"/>
      <c r="M3763" s="3"/>
      <c r="N3763" s="3"/>
    </row>
    <row r="3764" spans="1:14" s="4" customFormat="1" ht="14.25" customHeight="1" x14ac:dyDescent="0.25">
      <c r="D3764" s="35"/>
      <c r="E3764" s="26" t="s">
        <v>2645</v>
      </c>
      <c r="F3764" s="28"/>
      <c r="G3764" s="28"/>
      <c r="H3764" s="26"/>
      <c r="I3764" s="31">
        <f>SUM(I3748:I3750)</f>
        <v>9660932.1600000001</v>
      </c>
      <c r="J3764" s="31">
        <f>SUM(J3748:J3750)</f>
        <v>9660932.1600000001</v>
      </c>
      <c r="K3764" s="37" t="s">
        <v>5815</v>
      </c>
      <c r="L3764" s="119"/>
      <c r="M3764" s="3"/>
    </row>
    <row r="3765" spans="1:14" s="4" customFormat="1" ht="14.25" customHeight="1" x14ac:dyDescent="0.25">
      <c r="D3765" s="35"/>
      <c r="E3765" s="26" t="s">
        <v>4031</v>
      </c>
      <c r="F3765" s="28"/>
      <c r="G3765" s="28"/>
      <c r="H3765" s="26"/>
      <c r="I3765" s="31">
        <f>SUM(I3751:I3754)</f>
        <v>1228084.54</v>
      </c>
      <c r="J3765" s="31">
        <f>SUM(J3751:J3754)</f>
        <v>1228084.54</v>
      </c>
      <c r="K3765" s="37" t="s">
        <v>5815</v>
      </c>
      <c r="L3765" s="119"/>
      <c r="M3765" s="3"/>
    </row>
    <row r="3766" spans="1:14" s="4" customFormat="1" ht="14.25" customHeight="1" x14ac:dyDescent="0.25">
      <c r="D3766" s="35"/>
      <c r="E3766" s="26" t="s">
        <v>2646</v>
      </c>
      <c r="F3766" s="28"/>
      <c r="G3766" s="28"/>
      <c r="H3766" s="26"/>
      <c r="I3766" s="27">
        <f>SUM(I3755:I3756)</f>
        <v>2293928.71</v>
      </c>
      <c r="J3766" s="27">
        <f>SUM(J3755:J3756)</f>
        <v>2293928.71</v>
      </c>
      <c r="K3766" s="37" t="s">
        <v>5815</v>
      </c>
      <c r="L3766" s="119"/>
      <c r="M3766" s="3"/>
    </row>
    <row r="3767" spans="1:14" s="4" customFormat="1" ht="14.25" customHeight="1" x14ac:dyDescent="0.25">
      <c r="D3767" s="35"/>
      <c r="E3767" s="26" t="s">
        <v>6178</v>
      </c>
      <c r="F3767" s="28"/>
      <c r="G3767" s="28"/>
      <c r="H3767" s="26"/>
      <c r="I3767" s="27">
        <f>SUM(I3757)</f>
        <v>5526378.29</v>
      </c>
      <c r="J3767" s="27">
        <f>SUM(J3757)</f>
        <v>5526378.29</v>
      </c>
      <c r="K3767" s="37" t="s">
        <v>5815</v>
      </c>
      <c r="L3767" s="119"/>
      <c r="M3767" s="3"/>
    </row>
    <row r="3768" spans="1:14" s="4" customFormat="1" ht="14.25" customHeight="1" x14ac:dyDescent="0.25">
      <c r="D3768" s="35"/>
      <c r="E3768" s="26" t="s">
        <v>6179</v>
      </c>
      <c r="F3768" s="28"/>
      <c r="G3768" s="28"/>
      <c r="H3768" s="26"/>
      <c r="I3768" s="27">
        <f>SUM(I3758:I3767)</f>
        <v>36368494.300000004</v>
      </c>
      <c r="J3768" s="27">
        <f>SUM(J3758:J3767)</f>
        <v>33426778.819999997</v>
      </c>
      <c r="K3768" s="37" t="s">
        <v>5815</v>
      </c>
      <c r="L3768" s="119"/>
      <c r="M3768" s="3"/>
    </row>
    <row r="3769" spans="1:14" s="4" customFormat="1" ht="14.25" customHeight="1" x14ac:dyDescent="0.25">
      <c r="D3769" s="35"/>
      <c r="F3769" s="5"/>
      <c r="G3769" s="5"/>
      <c r="I3769" s="6"/>
      <c r="J3769" s="6"/>
      <c r="K3769" s="37"/>
      <c r="L3769" s="119"/>
      <c r="M3769" s="3"/>
    </row>
    <row r="3770" spans="1:14" s="4" customFormat="1" ht="14.25" customHeight="1" x14ac:dyDescent="0.25">
      <c r="A3770" s="4" t="s">
        <v>6180</v>
      </c>
      <c r="B3770" s="4" t="s">
        <v>13</v>
      </c>
      <c r="C3770" s="4" t="s">
        <v>14</v>
      </c>
      <c r="D3770" s="35">
        <v>3893</v>
      </c>
      <c r="E3770" s="4" t="s">
        <v>6181</v>
      </c>
      <c r="F3770" s="5">
        <v>39961</v>
      </c>
      <c r="G3770" s="5">
        <v>40158</v>
      </c>
      <c r="H3770" s="4" t="s">
        <v>16</v>
      </c>
      <c r="I3770" s="6">
        <v>5660</v>
      </c>
      <c r="J3770" s="6">
        <v>1698</v>
      </c>
      <c r="K3770" s="37" t="s">
        <v>6182</v>
      </c>
      <c r="L3770" s="119"/>
      <c r="M3770" s="3"/>
    </row>
    <row r="3771" spans="1:14" s="4" customFormat="1" ht="14.25" customHeight="1" x14ac:dyDescent="0.25">
      <c r="A3771" s="4" t="s">
        <v>6183</v>
      </c>
      <c r="B3771" s="4" t="s">
        <v>13</v>
      </c>
      <c r="C3771" s="4" t="s">
        <v>14</v>
      </c>
      <c r="D3771" s="35">
        <v>3983</v>
      </c>
      <c r="E3771" s="4" t="s">
        <v>6184</v>
      </c>
      <c r="F3771" s="5">
        <v>40003</v>
      </c>
      <c r="G3771" s="5">
        <v>40162</v>
      </c>
      <c r="H3771" s="4" t="s">
        <v>16</v>
      </c>
      <c r="I3771" s="6">
        <v>4405.29</v>
      </c>
      <c r="J3771" s="6">
        <v>1012.8</v>
      </c>
      <c r="K3771" s="37" t="s">
        <v>6182</v>
      </c>
      <c r="L3771" s="119"/>
      <c r="M3771" s="3"/>
    </row>
    <row r="3772" spans="1:14" s="4" customFormat="1" ht="14.25" customHeight="1" x14ac:dyDescent="0.25">
      <c r="A3772" s="4" t="s">
        <v>6185</v>
      </c>
      <c r="B3772" s="4" t="s">
        <v>13</v>
      </c>
      <c r="C3772" s="4" t="s">
        <v>14</v>
      </c>
      <c r="D3772" s="35">
        <v>3984</v>
      </c>
      <c r="E3772" s="4" t="s">
        <v>6186</v>
      </c>
      <c r="F3772" s="5">
        <v>39671</v>
      </c>
      <c r="G3772" s="5">
        <v>39805</v>
      </c>
      <c r="H3772" s="4" t="s">
        <v>16</v>
      </c>
      <c r="I3772" s="6">
        <v>14894.6</v>
      </c>
      <c r="J3772" s="6">
        <v>4467.4799999999996</v>
      </c>
      <c r="K3772" s="37" t="s">
        <v>6182</v>
      </c>
      <c r="L3772" s="119"/>
      <c r="M3772" s="3"/>
    </row>
    <row r="3773" spans="1:14" s="4" customFormat="1" ht="14.25" customHeight="1" x14ac:dyDescent="0.25">
      <c r="A3773" s="4" t="s">
        <v>6187</v>
      </c>
      <c r="B3773" s="4" t="s">
        <v>13</v>
      </c>
      <c r="C3773" s="4" t="s">
        <v>14</v>
      </c>
      <c r="D3773" s="35">
        <v>3986</v>
      </c>
      <c r="E3773" s="4" t="s">
        <v>6188</v>
      </c>
      <c r="F3773" s="5">
        <v>39568</v>
      </c>
      <c r="G3773" s="5">
        <v>39871</v>
      </c>
      <c r="H3773" s="4" t="s">
        <v>16</v>
      </c>
      <c r="I3773" s="6">
        <v>6300</v>
      </c>
      <c r="J3773" s="6">
        <v>1890</v>
      </c>
      <c r="K3773" s="37" t="s">
        <v>6182</v>
      </c>
      <c r="L3773" s="119"/>
      <c r="M3773" s="3"/>
    </row>
    <row r="3774" spans="1:14" s="4" customFormat="1" ht="14.25" customHeight="1" x14ac:dyDescent="0.25">
      <c r="A3774" s="4" t="s">
        <v>6189</v>
      </c>
      <c r="B3774" s="4" t="s">
        <v>13</v>
      </c>
      <c r="C3774" s="4" t="s">
        <v>14</v>
      </c>
      <c r="D3774" s="35">
        <v>3987</v>
      </c>
      <c r="E3774" s="4" t="s">
        <v>6190</v>
      </c>
      <c r="F3774" s="5">
        <v>39415</v>
      </c>
      <c r="G3774" s="5">
        <v>39660</v>
      </c>
      <c r="H3774" s="4" t="s">
        <v>16</v>
      </c>
      <c r="I3774" s="6">
        <v>40000</v>
      </c>
      <c r="J3774" s="6">
        <v>12000</v>
      </c>
      <c r="K3774" s="37" t="s">
        <v>6182</v>
      </c>
      <c r="L3774" s="119"/>
      <c r="M3774" s="3"/>
    </row>
    <row r="3775" spans="1:14" s="4" customFormat="1" ht="14.25" customHeight="1" x14ac:dyDescent="0.25">
      <c r="A3775" s="4" t="s">
        <v>6191</v>
      </c>
      <c r="B3775" s="4" t="s">
        <v>13</v>
      </c>
      <c r="C3775" s="4" t="s">
        <v>14</v>
      </c>
      <c r="D3775" s="35">
        <v>3988</v>
      </c>
      <c r="E3775" s="4" t="s">
        <v>6192</v>
      </c>
      <c r="F3775" s="5">
        <v>39455</v>
      </c>
      <c r="G3775" s="5">
        <v>39538</v>
      </c>
      <c r="H3775" s="4" t="s">
        <v>16</v>
      </c>
      <c r="I3775" s="6">
        <v>32685</v>
      </c>
      <c r="J3775" s="6">
        <v>9805</v>
      </c>
      <c r="K3775" s="37" t="s">
        <v>6182</v>
      </c>
      <c r="L3775" s="119"/>
      <c r="M3775" s="3"/>
    </row>
    <row r="3776" spans="1:14" s="4" customFormat="1" ht="14.25" customHeight="1" x14ac:dyDescent="0.25">
      <c r="A3776" s="4" t="s">
        <v>6193</v>
      </c>
      <c r="B3776" s="4" t="s">
        <v>13</v>
      </c>
      <c r="C3776" s="4" t="s">
        <v>14</v>
      </c>
      <c r="D3776" s="35">
        <v>3998</v>
      </c>
      <c r="E3776" s="4" t="s">
        <v>6194</v>
      </c>
      <c r="F3776" s="5">
        <v>39352</v>
      </c>
      <c r="G3776" s="5">
        <v>39538</v>
      </c>
      <c r="H3776" s="4" t="s">
        <v>16</v>
      </c>
      <c r="I3776" s="6">
        <v>57302.73</v>
      </c>
      <c r="J3776" s="6">
        <v>17190.82</v>
      </c>
      <c r="K3776" s="37" t="s">
        <v>6182</v>
      </c>
      <c r="L3776" s="119"/>
      <c r="M3776" s="3"/>
    </row>
    <row r="3777" spans="1:13" s="4" customFormat="1" ht="14.25" customHeight="1" x14ac:dyDescent="0.25">
      <c r="A3777" s="4" t="s">
        <v>6195</v>
      </c>
      <c r="B3777" s="4" t="s">
        <v>13</v>
      </c>
      <c r="C3777" s="4" t="s">
        <v>14</v>
      </c>
      <c r="D3777" s="35">
        <v>3999</v>
      </c>
      <c r="E3777" s="7" t="s">
        <v>6196</v>
      </c>
      <c r="F3777" s="5">
        <v>39694</v>
      </c>
      <c r="G3777" s="5">
        <v>39752</v>
      </c>
      <c r="H3777" s="4" t="s">
        <v>16</v>
      </c>
      <c r="I3777" s="6">
        <v>12632</v>
      </c>
      <c r="J3777" s="6">
        <v>3790</v>
      </c>
      <c r="K3777" s="37" t="s">
        <v>6182</v>
      </c>
      <c r="L3777" s="119"/>
      <c r="M3777" s="3"/>
    </row>
    <row r="3778" spans="1:13" s="4" customFormat="1" ht="14.25" customHeight="1" x14ac:dyDescent="0.25">
      <c r="A3778" s="4" t="s">
        <v>6197</v>
      </c>
      <c r="B3778" s="4" t="s">
        <v>13</v>
      </c>
      <c r="C3778" s="4" t="s">
        <v>14</v>
      </c>
      <c r="D3778" s="35">
        <v>4000</v>
      </c>
      <c r="E3778" s="4" t="s">
        <v>6198</v>
      </c>
      <c r="F3778" s="5">
        <v>39972</v>
      </c>
      <c r="G3778" s="5">
        <v>40309</v>
      </c>
      <c r="H3778" s="4" t="s">
        <v>16</v>
      </c>
      <c r="I3778" s="6">
        <v>9124.35</v>
      </c>
      <c r="J3778" s="6">
        <v>2737.31</v>
      </c>
      <c r="K3778" s="37" t="s">
        <v>6182</v>
      </c>
      <c r="L3778" s="119"/>
      <c r="M3778" s="3"/>
    </row>
    <row r="3779" spans="1:13" s="4" customFormat="1" ht="14.25" customHeight="1" x14ac:dyDescent="0.25">
      <c r="A3779" s="4" t="s">
        <v>6199</v>
      </c>
      <c r="B3779" s="4" t="s">
        <v>13</v>
      </c>
      <c r="C3779" s="4" t="s">
        <v>14</v>
      </c>
      <c r="D3779" s="35">
        <v>4002</v>
      </c>
      <c r="E3779" s="4" t="s">
        <v>6200</v>
      </c>
      <c r="F3779" s="5">
        <v>39562</v>
      </c>
      <c r="G3779" s="5">
        <v>39871</v>
      </c>
      <c r="H3779" s="4" t="s">
        <v>16</v>
      </c>
      <c r="I3779" s="6">
        <v>18632.93</v>
      </c>
      <c r="J3779" s="6">
        <v>5160</v>
      </c>
      <c r="K3779" s="37" t="s">
        <v>6182</v>
      </c>
      <c r="L3779" s="119"/>
      <c r="M3779" s="3"/>
    </row>
    <row r="3780" spans="1:13" s="4" customFormat="1" ht="14.25" customHeight="1" x14ac:dyDescent="0.25">
      <c r="A3780" s="4" t="s">
        <v>6201</v>
      </c>
      <c r="B3780" s="4" t="s">
        <v>13</v>
      </c>
      <c r="C3780" s="4" t="s">
        <v>14</v>
      </c>
      <c r="D3780" s="35">
        <v>4003</v>
      </c>
      <c r="E3780" s="4" t="s">
        <v>6202</v>
      </c>
      <c r="F3780" s="5">
        <v>39206</v>
      </c>
      <c r="G3780" s="5">
        <v>39752</v>
      </c>
      <c r="H3780" s="4" t="s">
        <v>16</v>
      </c>
      <c r="I3780" s="6">
        <v>4500</v>
      </c>
      <c r="J3780" s="6">
        <v>1800</v>
      </c>
      <c r="K3780" s="37" t="s">
        <v>6182</v>
      </c>
      <c r="L3780" s="119"/>
      <c r="M3780" s="3"/>
    </row>
    <row r="3781" spans="1:13" s="4" customFormat="1" ht="14.25" customHeight="1" x14ac:dyDescent="0.25">
      <c r="A3781" s="4" t="s">
        <v>6203</v>
      </c>
      <c r="B3781" s="4" t="s">
        <v>13</v>
      </c>
      <c r="C3781" s="4" t="s">
        <v>14</v>
      </c>
      <c r="D3781" s="35">
        <v>4117</v>
      </c>
      <c r="E3781" s="7" t="s">
        <v>6204</v>
      </c>
      <c r="F3781" s="5">
        <v>39173</v>
      </c>
      <c r="G3781" s="5">
        <v>39293</v>
      </c>
      <c r="H3781" s="4" t="s">
        <v>16</v>
      </c>
      <c r="I3781" s="6">
        <v>305000</v>
      </c>
      <c r="J3781" s="6">
        <v>91500</v>
      </c>
      <c r="K3781" s="37" t="s">
        <v>6182</v>
      </c>
      <c r="L3781" s="119"/>
      <c r="M3781" s="3"/>
    </row>
    <row r="3782" spans="1:13" s="4" customFormat="1" ht="14.25" customHeight="1" x14ac:dyDescent="0.25">
      <c r="A3782" s="4" t="s">
        <v>6205</v>
      </c>
      <c r="B3782" s="4" t="s">
        <v>13</v>
      </c>
      <c r="C3782" s="4" t="s">
        <v>14</v>
      </c>
      <c r="D3782" s="35">
        <v>4119</v>
      </c>
      <c r="E3782" s="4" t="s">
        <v>6206</v>
      </c>
      <c r="F3782" s="5">
        <v>39661</v>
      </c>
      <c r="G3782" s="5">
        <v>39903</v>
      </c>
      <c r="H3782" s="4" t="s">
        <v>16</v>
      </c>
      <c r="I3782" s="6">
        <v>133277.63</v>
      </c>
      <c r="J3782" s="6">
        <v>30756.38</v>
      </c>
      <c r="K3782" s="37" t="s">
        <v>6182</v>
      </c>
      <c r="L3782" s="119"/>
      <c r="M3782" s="3"/>
    </row>
    <row r="3783" spans="1:13" s="4" customFormat="1" ht="14.25" customHeight="1" x14ac:dyDescent="0.25">
      <c r="A3783" s="4" t="s">
        <v>6207</v>
      </c>
      <c r="B3783" s="4" t="s">
        <v>13</v>
      </c>
      <c r="C3783" s="4" t="s">
        <v>14</v>
      </c>
      <c r="D3783" s="35">
        <v>10003</v>
      </c>
      <c r="E3783" s="4" t="s">
        <v>6208</v>
      </c>
      <c r="F3783" s="5">
        <v>40262</v>
      </c>
      <c r="G3783" s="5">
        <v>40508</v>
      </c>
      <c r="H3783" s="4" t="s">
        <v>16</v>
      </c>
      <c r="I3783" s="6">
        <v>12879.43</v>
      </c>
      <c r="J3783" s="6">
        <v>3840</v>
      </c>
      <c r="K3783" s="37" t="s">
        <v>6182</v>
      </c>
      <c r="L3783" s="119"/>
      <c r="M3783" s="3"/>
    </row>
    <row r="3784" spans="1:13" s="4" customFormat="1" ht="14.25" customHeight="1" x14ac:dyDescent="0.25">
      <c r="A3784" s="4" t="s">
        <v>6209</v>
      </c>
      <c r="B3784" s="4" t="s">
        <v>13</v>
      </c>
      <c r="C3784" s="4" t="s">
        <v>14</v>
      </c>
      <c r="D3784" s="35">
        <v>10063</v>
      </c>
      <c r="E3784" s="4" t="s">
        <v>6210</v>
      </c>
      <c r="F3784" s="5">
        <v>40448</v>
      </c>
      <c r="G3784" s="5">
        <v>40626</v>
      </c>
      <c r="H3784" s="4" t="s">
        <v>16</v>
      </c>
      <c r="I3784" s="6">
        <v>17538.82</v>
      </c>
      <c r="J3784" s="6">
        <v>4969.8</v>
      </c>
      <c r="K3784" s="37" t="s">
        <v>6182</v>
      </c>
      <c r="L3784" s="119"/>
      <c r="M3784" s="3"/>
    </row>
    <row r="3785" spans="1:13" s="4" customFormat="1" ht="14.25" customHeight="1" x14ac:dyDescent="0.25">
      <c r="A3785" s="4" t="s">
        <v>6211</v>
      </c>
      <c r="B3785" s="4" t="s">
        <v>13</v>
      </c>
      <c r="C3785" s="4" t="s">
        <v>14</v>
      </c>
      <c r="D3785" s="35">
        <v>10135</v>
      </c>
      <c r="E3785" s="4" t="s">
        <v>6212</v>
      </c>
      <c r="F3785" s="5">
        <v>40473</v>
      </c>
      <c r="G3785" s="5">
        <v>40533</v>
      </c>
      <c r="H3785" s="4" t="s">
        <v>16</v>
      </c>
      <c r="I3785" s="6">
        <v>85070</v>
      </c>
      <c r="J3785" s="6">
        <v>20160</v>
      </c>
      <c r="K3785" s="37" t="s">
        <v>6182</v>
      </c>
      <c r="L3785" s="119"/>
      <c r="M3785" s="3"/>
    </row>
    <row r="3786" spans="1:13" s="4" customFormat="1" ht="14.25" customHeight="1" x14ac:dyDescent="0.25">
      <c r="A3786" s="4" t="s">
        <v>6213</v>
      </c>
      <c r="B3786" s="4" t="s">
        <v>13</v>
      </c>
      <c r="C3786" s="4" t="s">
        <v>14</v>
      </c>
      <c r="D3786" s="35">
        <v>10170</v>
      </c>
      <c r="E3786" s="4" t="s">
        <v>6214</v>
      </c>
      <c r="F3786" s="5">
        <v>40346</v>
      </c>
      <c r="G3786" s="5">
        <v>40522</v>
      </c>
      <c r="H3786" s="4" t="s">
        <v>16</v>
      </c>
      <c r="I3786" s="6">
        <v>438850</v>
      </c>
      <c r="J3786" s="6">
        <v>105324</v>
      </c>
      <c r="K3786" s="37" t="s">
        <v>6182</v>
      </c>
      <c r="L3786" s="119"/>
      <c r="M3786" s="3"/>
    </row>
    <row r="3787" spans="1:13" s="4" customFormat="1" ht="14.25" customHeight="1" x14ac:dyDescent="0.25">
      <c r="A3787" s="4" t="s">
        <v>6215</v>
      </c>
      <c r="B3787" s="4" t="s">
        <v>13</v>
      </c>
      <c r="C3787" s="4" t="s">
        <v>14</v>
      </c>
      <c r="D3787" s="35">
        <v>9461</v>
      </c>
      <c r="E3787" s="4" t="s">
        <v>6216</v>
      </c>
      <c r="F3787" s="5">
        <v>39378</v>
      </c>
      <c r="G3787" s="5">
        <v>39430</v>
      </c>
      <c r="H3787" s="4" t="s">
        <v>389</v>
      </c>
      <c r="I3787" s="6">
        <v>142060</v>
      </c>
      <c r="J3787" s="6">
        <v>56624</v>
      </c>
      <c r="K3787" s="37" t="s">
        <v>6182</v>
      </c>
      <c r="L3787" s="119"/>
      <c r="M3787" s="3"/>
    </row>
    <row r="3788" spans="1:13" s="4" customFormat="1" ht="14.25" customHeight="1" x14ac:dyDescent="0.25">
      <c r="A3788" s="4" t="s">
        <v>6217</v>
      </c>
      <c r="B3788" s="4" t="s">
        <v>13</v>
      </c>
      <c r="C3788" s="4" t="s">
        <v>14</v>
      </c>
      <c r="D3788" s="35">
        <v>10006</v>
      </c>
      <c r="E3788" s="7" t="s">
        <v>6218</v>
      </c>
      <c r="F3788" s="5">
        <v>41116</v>
      </c>
      <c r="G3788" s="5">
        <v>41254</v>
      </c>
      <c r="H3788" s="4" t="s">
        <v>389</v>
      </c>
      <c r="I3788" s="6">
        <v>274161.31</v>
      </c>
      <c r="J3788" s="6">
        <v>95956.46</v>
      </c>
      <c r="K3788" s="37" t="s">
        <v>6182</v>
      </c>
      <c r="L3788" s="119"/>
      <c r="M3788" s="3"/>
    </row>
    <row r="3789" spans="1:13" s="4" customFormat="1" ht="14.25" customHeight="1" x14ac:dyDescent="0.25">
      <c r="A3789" s="4" t="s">
        <v>6219</v>
      </c>
      <c r="B3789" s="4" t="s">
        <v>50</v>
      </c>
      <c r="C3789" s="4" t="s">
        <v>14</v>
      </c>
      <c r="D3789" s="35">
        <v>1022</v>
      </c>
      <c r="E3789" s="4" t="s">
        <v>6220</v>
      </c>
      <c r="F3789" s="5">
        <v>39713</v>
      </c>
      <c r="H3789" s="4" t="s">
        <v>40</v>
      </c>
      <c r="I3789" s="6">
        <v>95000</v>
      </c>
      <c r="J3789" s="6">
        <v>47500</v>
      </c>
      <c r="K3789" s="37" t="s">
        <v>6182</v>
      </c>
      <c r="L3789" s="120"/>
      <c r="M3789" s="3"/>
    </row>
    <row r="3790" spans="1:13" s="4" customFormat="1" ht="14.25" customHeight="1" x14ac:dyDescent="0.25">
      <c r="A3790" s="4" t="s">
        <v>6221</v>
      </c>
      <c r="B3790" s="4" t="s">
        <v>50</v>
      </c>
      <c r="C3790" s="4" t="s">
        <v>14</v>
      </c>
      <c r="D3790" s="35">
        <v>1031</v>
      </c>
      <c r="E3790" s="4" t="s">
        <v>6222</v>
      </c>
      <c r="F3790" s="5">
        <v>39643</v>
      </c>
      <c r="H3790" s="4" t="s">
        <v>40</v>
      </c>
      <c r="I3790" s="6">
        <v>52365</v>
      </c>
      <c r="J3790" s="6">
        <v>26182</v>
      </c>
      <c r="K3790" s="37" t="s">
        <v>6182</v>
      </c>
      <c r="L3790" s="120"/>
      <c r="M3790" s="3"/>
    </row>
    <row r="3791" spans="1:13" s="4" customFormat="1" ht="14.25" customHeight="1" x14ac:dyDescent="0.25">
      <c r="A3791" s="4" t="s">
        <v>6223</v>
      </c>
      <c r="B3791" s="4" t="s">
        <v>50</v>
      </c>
      <c r="C3791" s="4" t="s">
        <v>14</v>
      </c>
      <c r="D3791" s="35">
        <v>1033</v>
      </c>
      <c r="E3791" s="4" t="s">
        <v>6224</v>
      </c>
      <c r="F3791" s="5">
        <v>39538</v>
      </c>
      <c r="G3791" s="5">
        <v>39804</v>
      </c>
      <c r="H3791" s="4" t="s">
        <v>40</v>
      </c>
      <c r="I3791" s="6">
        <v>34318</v>
      </c>
      <c r="J3791" s="6">
        <v>17159</v>
      </c>
      <c r="K3791" s="37" t="s">
        <v>6182</v>
      </c>
      <c r="L3791" s="120"/>
      <c r="M3791" s="3"/>
    </row>
    <row r="3792" spans="1:13" s="4" customFormat="1" ht="14.25" customHeight="1" x14ac:dyDescent="0.25">
      <c r="A3792" s="4" t="s">
        <v>6225</v>
      </c>
      <c r="B3792" s="4" t="s">
        <v>59</v>
      </c>
      <c r="C3792" s="4" t="s">
        <v>14</v>
      </c>
      <c r="D3792" s="35">
        <v>1035</v>
      </c>
      <c r="E3792" s="4" t="s">
        <v>6226</v>
      </c>
      <c r="F3792" s="5">
        <v>39475</v>
      </c>
      <c r="H3792" s="4" t="s">
        <v>40</v>
      </c>
      <c r="I3792" s="6">
        <v>6000</v>
      </c>
      <c r="J3792" s="6">
        <v>6000</v>
      </c>
      <c r="K3792" s="37" t="s">
        <v>6182</v>
      </c>
      <c r="L3792" s="120"/>
      <c r="M3792" s="3"/>
    </row>
    <row r="3793" spans="1:13" s="4" customFormat="1" ht="14.25" customHeight="1" x14ac:dyDescent="0.25">
      <c r="A3793" s="4" t="s">
        <v>6227</v>
      </c>
      <c r="B3793" s="4" t="s">
        <v>50</v>
      </c>
      <c r="C3793" s="4" t="s">
        <v>14</v>
      </c>
      <c r="D3793" s="35">
        <v>1036</v>
      </c>
      <c r="E3793" s="4" t="s">
        <v>6228</v>
      </c>
      <c r="F3793" s="5">
        <v>39783</v>
      </c>
      <c r="G3793" s="5">
        <v>39804</v>
      </c>
      <c r="H3793" s="4" t="s">
        <v>40</v>
      </c>
      <c r="I3793" s="6">
        <v>25450</v>
      </c>
      <c r="J3793" s="6">
        <v>12725</v>
      </c>
      <c r="K3793" s="37" t="s">
        <v>6182</v>
      </c>
      <c r="L3793" s="120"/>
      <c r="M3793" s="3"/>
    </row>
    <row r="3794" spans="1:13" s="4" customFormat="1" ht="14.25" customHeight="1" x14ac:dyDescent="0.25">
      <c r="A3794" s="4" t="s">
        <v>6229</v>
      </c>
      <c r="B3794" s="4" t="s">
        <v>50</v>
      </c>
      <c r="C3794" s="4" t="s">
        <v>14</v>
      </c>
      <c r="D3794" s="35">
        <v>1037</v>
      </c>
      <c r="E3794" s="4" t="s">
        <v>6230</v>
      </c>
      <c r="F3794" s="5">
        <v>39538</v>
      </c>
      <c r="G3794" s="5">
        <v>39673</v>
      </c>
      <c r="H3794" s="4" t="s">
        <v>40</v>
      </c>
      <c r="I3794" s="6">
        <v>15500</v>
      </c>
      <c r="J3794" s="6">
        <v>7750</v>
      </c>
      <c r="K3794" s="37" t="s">
        <v>6182</v>
      </c>
      <c r="L3794" s="120"/>
      <c r="M3794" s="3"/>
    </row>
    <row r="3795" spans="1:13" s="4" customFormat="1" ht="14.25" customHeight="1" x14ac:dyDescent="0.25">
      <c r="A3795" s="4" t="s">
        <v>6231</v>
      </c>
      <c r="B3795" s="4" t="s">
        <v>50</v>
      </c>
      <c r="C3795" s="4" t="s">
        <v>14</v>
      </c>
      <c r="D3795" s="35">
        <v>1038</v>
      </c>
      <c r="E3795" s="4" t="s">
        <v>6232</v>
      </c>
      <c r="F3795" s="5">
        <v>39643</v>
      </c>
      <c r="G3795" s="5">
        <v>39801</v>
      </c>
      <c r="H3795" s="4" t="s">
        <v>40</v>
      </c>
      <c r="I3795" s="6">
        <v>105000</v>
      </c>
      <c r="J3795" s="6">
        <v>52500</v>
      </c>
      <c r="K3795" s="37" t="s">
        <v>6182</v>
      </c>
      <c r="L3795" s="120"/>
      <c r="M3795" s="3"/>
    </row>
    <row r="3796" spans="1:13" s="4" customFormat="1" ht="14.25" customHeight="1" x14ac:dyDescent="0.25">
      <c r="A3796" s="4" t="s">
        <v>6233</v>
      </c>
      <c r="B3796" s="4" t="s">
        <v>59</v>
      </c>
      <c r="C3796" s="4" t="s">
        <v>14</v>
      </c>
      <c r="D3796" s="35">
        <v>1040</v>
      </c>
      <c r="E3796" s="4" t="s">
        <v>6234</v>
      </c>
      <c r="F3796" s="5">
        <v>39538</v>
      </c>
      <c r="G3796" s="5">
        <v>39651</v>
      </c>
      <c r="H3796" s="4" t="s">
        <v>40</v>
      </c>
      <c r="I3796" s="6">
        <v>6000</v>
      </c>
      <c r="J3796" s="6">
        <v>6000</v>
      </c>
      <c r="K3796" s="37" t="s">
        <v>6182</v>
      </c>
      <c r="L3796" s="120"/>
      <c r="M3796" s="3"/>
    </row>
    <row r="3797" spans="1:13" s="4" customFormat="1" ht="14.25" customHeight="1" x14ac:dyDescent="0.25">
      <c r="A3797" s="4" t="s">
        <v>6235</v>
      </c>
      <c r="B3797" s="4" t="s">
        <v>50</v>
      </c>
      <c r="C3797" s="4" t="s">
        <v>14</v>
      </c>
      <c r="D3797" s="35">
        <v>1041</v>
      </c>
      <c r="E3797" s="4" t="s">
        <v>6236</v>
      </c>
      <c r="F3797" s="5">
        <v>39100</v>
      </c>
      <c r="G3797" s="5">
        <v>39203</v>
      </c>
      <c r="H3797" s="4" t="s">
        <v>40</v>
      </c>
      <c r="I3797" s="6">
        <v>60000</v>
      </c>
      <c r="J3797" s="6">
        <v>30000</v>
      </c>
      <c r="K3797" s="37" t="s">
        <v>6182</v>
      </c>
      <c r="L3797" s="120"/>
      <c r="M3797" s="3"/>
    </row>
    <row r="3798" spans="1:13" s="4" customFormat="1" ht="14.25" customHeight="1" x14ac:dyDescent="0.25">
      <c r="A3798" s="4" t="s">
        <v>6237</v>
      </c>
      <c r="B3798" s="4" t="s">
        <v>50</v>
      </c>
      <c r="C3798" s="4" t="s">
        <v>14</v>
      </c>
      <c r="D3798" s="35">
        <v>1043</v>
      </c>
      <c r="E3798" s="4" t="s">
        <v>6238</v>
      </c>
      <c r="F3798" s="5">
        <v>39167</v>
      </c>
      <c r="G3798" s="5">
        <v>39358</v>
      </c>
      <c r="H3798" s="4" t="s">
        <v>40</v>
      </c>
      <c r="I3798" s="6">
        <v>60000</v>
      </c>
      <c r="J3798" s="6">
        <v>30000</v>
      </c>
      <c r="K3798" s="37" t="s">
        <v>6182</v>
      </c>
      <c r="L3798" s="120"/>
      <c r="M3798" s="3"/>
    </row>
    <row r="3799" spans="1:13" s="4" customFormat="1" ht="14.25" customHeight="1" x14ac:dyDescent="0.25">
      <c r="A3799" s="4" t="s">
        <v>6239</v>
      </c>
      <c r="B3799" s="4" t="s">
        <v>50</v>
      </c>
      <c r="C3799" s="4" t="s">
        <v>14</v>
      </c>
      <c r="D3799" s="35">
        <v>1044</v>
      </c>
      <c r="E3799" s="4" t="s">
        <v>6240</v>
      </c>
      <c r="F3799" s="5">
        <v>39100</v>
      </c>
      <c r="G3799" s="5">
        <v>39262</v>
      </c>
      <c r="H3799" s="4" t="s">
        <v>40</v>
      </c>
      <c r="I3799" s="6">
        <v>57500</v>
      </c>
      <c r="J3799" s="6">
        <v>28750</v>
      </c>
      <c r="K3799" s="37" t="s">
        <v>6182</v>
      </c>
      <c r="L3799" s="120"/>
      <c r="M3799" s="3"/>
    </row>
    <row r="3800" spans="1:13" s="4" customFormat="1" ht="14.25" customHeight="1" x14ac:dyDescent="0.25">
      <c r="A3800" s="4" t="s">
        <v>6241</v>
      </c>
      <c r="B3800" s="4" t="s">
        <v>59</v>
      </c>
      <c r="C3800" s="4" t="s">
        <v>14</v>
      </c>
      <c r="D3800" s="35">
        <v>1045</v>
      </c>
      <c r="E3800" s="4" t="s">
        <v>6242</v>
      </c>
      <c r="F3800" s="5">
        <v>39167</v>
      </c>
      <c r="G3800" s="5">
        <v>40059</v>
      </c>
      <c r="H3800" s="4" t="s">
        <v>40</v>
      </c>
      <c r="I3800" s="6">
        <v>21750</v>
      </c>
      <c r="J3800" s="6">
        <v>21750</v>
      </c>
      <c r="K3800" s="37" t="s">
        <v>6182</v>
      </c>
      <c r="L3800" s="120"/>
      <c r="M3800" s="3"/>
    </row>
    <row r="3801" spans="1:13" s="4" customFormat="1" ht="14.25" customHeight="1" x14ac:dyDescent="0.25">
      <c r="A3801" s="4" t="s">
        <v>6243</v>
      </c>
      <c r="B3801" s="4" t="s">
        <v>50</v>
      </c>
      <c r="C3801" s="4" t="s">
        <v>14</v>
      </c>
      <c r="D3801" s="35">
        <v>1047</v>
      </c>
      <c r="E3801" s="4" t="s">
        <v>6244</v>
      </c>
      <c r="F3801" s="5">
        <v>39230</v>
      </c>
      <c r="G3801" s="5">
        <v>39303</v>
      </c>
      <c r="H3801" s="4" t="s">
        <v>40</v>
      </c>
      <c r="I3801" s="6">
        <v>150000</v>
      </c>
      <c r="J3801" s="6">
        <v>75000</v>
      </c>
      <c r="K3801" s="37" t="s">
        <v>6182</v>
      </c>
      <c r="L3801" s="120"/>
      <c r="M3801" s="3"/>
    </row>
    <row r="3802" spans="1:13" s="4" customFormat="1" ht="14.25" customHeight="1" x14ac:dyDescent="0.25">
      <c r="A3802" s="4" t="s">
        <v>6247</v>
      </c>
      <c r="B3802" s="4" t="s">
        <v>59</v>
      </c>
      <c r="C3802" s="4" t="s">
        <v>14</v>
      </c>
      <c r="D3802" s="35">
        <v>1049</v>
      </c>
      <c r="E3802" s="4" t="s">
        <v>6248</v>
      </c>
      <c r="F3802" s="5">
        <v>39594</v>
      </c>
      <c r="G3802" s="5">
        <v>39673</v>
      </c>
      <c r="H3802" s="4" t="s">
        <v>40</v>
      </c>
      <c r="I3802" s="6">
        <v>6000</v>
      </c>
      <c r="J3802" s="6">
        <v>6000</v>
      </c>
      <c r="K3802" s="37" t="s">
        <v>6182</v>
      </c>
      <c r="L3802" s="120"/>
      <c r="M3802" s="3"/>
    </row>
    <row r="3803" spans="1:13" s="4" customFormat="1" ht="14.25" customHeight="1" x14ac:dyDescent="0.25">
      <c r="A3803" s="4" t="s">
        <v>6249</v>
      </c>
      <c r="B3803" s="4" t="s">
        <v>50</v>
      </c>
      <c r="C3803" s="4" t="s">
        <v>14</v>
      </c>
      <c r="D3803" s="35">
        <v>1050</v>
      </c>
      <c r="E3803" s="4" t="s">
        <v>6250</v>
      </c>
      <c r="F3803" s="5">
        <v>39643</v>
      </c>
      <c r="G3803" s="5">
        <v>39804</v>
      </c>
      <c r="H3803" s="4" t="s">
        <v>40</v>
      </c>
      <c r="I3803" s="6">
        <v>12283</v>
      </c>
      <c r="J3803" s="6">
        <v>6141</v>
      </c>
      <c r="K3803" s="37" t="s">
        <v>6182</v>
      </c>
      <c r="L3803" s="120"/>
      <c r="M3803" s="3"/>
    </row>
    <row r="3804" spans="1:13" s="4" customFormat="1" ht="14.25" customHeight="1" x14ac:dyDescent="0.25">
      <c r="A3804" s="4" t="s">
        <v>6251</v>
      </c>
      <c r="B3804" s="4" t="s">
        <v>38</v>
      </c>
      <c r="C3804" s="4" t="s">
        <v>14</v>
      </c>
      <c r="D3804" s="35">
        <v>1300</v>
      </c>
      <c r="E3804" s="4" t="s">
        <v>6252</v>
      </c>
      <c r="F3804" s="5">
        <v>39100</v>
      </c>
      <c r="H3804" s="4" t="s">
        <v>40</v>
      </c>
      <c r="I3804" s="6">
        <v>36565.99</v>
      </c>
      <c r="J3804" s="6">
        <v>36565.99</v>
      </c>
      <c r="K3804" s="37" t="s">
        <v>6182</v>
      </c>
      <c r="L3804" s="120"/>
      <c r="M3804" s="3"/>
    </row>
    <row r="3805" spans="1:13" s="4" customFormat="1" ht="14.25" customHeight="1" x14ac:dyDescent="0.25">
      <c r="A3805" s="4" t="s">
        <v>6253</v>
      </c>
      <c r="B3805" s="4" t="s">
        <v>38</v>
      </c>
      <c r="C3805" s="4" t="s">
        <v>14</v>
      </c>
      <c r="D3805" s="35">
        <v>1788</v>
      </c>
      <c r="E3805" s="4" t="s">
        <v>6254</v>
      </c>
      <c r="F3805" s="5">
        <v>39100</v>
      </c>
      <c r="G3805" s="5">
        <v>39434</v>
      </c>
      <c r="H3805" s="4" t="s">
        <v>40</v>
      </c>
      <c r="I3805" s="6">
        <v>10740.38</v>
      </c>
      <c r="J3805" s="6">
        <v>10740.38</v>
      </c>
      <c r="K3805" s="37" t="s">
        <v>6182</v>
      </c>
      <c r="L3805" s="120"/>
      <c r="M3805" s="3"/>
    </row>
    <row r="3806" spans="1:13" s="4" customFormat="1" ht="14.25" customHeight="1" x14ac:dyDescent="0.25">
      <c r="A3806" s="4" t="s">
        <v>6255</v>
      </c>
      <c r="B3806" s="4" t="s">
        <v>38</v>
      </c>
      <c r="C3806" s="4" t="s">
        <v>14</v>
      </c>
      <c r="D3806" s="35">
        <v>1789</v>
      </c>
      <c r="E3806" s="4" t="s">
        <v>6256</v>
      </c>
      <c r="F3806" s="5">
        <v>39100</v>
      </c>
      <c r="G3806" s="5">
        <v>39413</v>
      </c>
      <c r="H3806" s="4" t="s">
        <v>40</v>
      </c>
      <c r="I3806" s="6">
        <v>3902.47</v>
      </c>
      <c r="J3806" s="6">
        <v>3902.47</v>
      </c>
      <c r="K3806" s="37" t="s">
        <v>6182</v>
      </c>
      <c r="L3806" s="120"/>
      <c r="M3806" s="3"/>
    </row>
    <row r="3807" spans="1:13" s="4" customFormat="1" ht="14.25" customHeight="1" x14ac:dyDescent="0.25">
      <c r="A3807" s="4" t="s">
        <v>6257</v>
      </c>
      <c r="B3807" s="4" t="s">
        <v>38</v>
      </c>
      <c r="C3807" s="4" t="s">
        <v>14</v>
      </c>
      <c r="D3807" s="35">
        <v>1790</v>
      </c>
      <c r="E3807" s="4" t="s">
        <v>6258</v>
      </c>
      <c r="F3807" s="5">
        <v>39100</v>
      </c>
      <c r="G3807" s="5">
        <v>39643</v>
      </c>
      <c r="H3807" s="4" t="s">
        <v>40</v>
      </c>
      <c r="I3807" s="6">
        <v>11144.8</v>
      </c>
      <c r="J3807" s="6">
        <v>11144.8</v>
      </c>
      <c r="K3807" s="37" t="s">
        <v>6182</v>
      </c>
      <c r="L3807" s="120"/>
      <c r="M3807" s="3"/>
    </row>
    <row r="3808" spans="1:13" s="4" customFormat="1" ht="14.25" customHeight="1" x14ac:dyDescent="0.25">
      <c r="A3808" s="4" t="s">
        <v>6259</v>
      </c>
      <c r="B3808" s="4" t="s">
        <v>38</v>
      </c>
      <c r="C3808" s="4" t="s">
        <v>14</v>
      </c>
      <c r="D3808" s="35">
        <v>1792</v>
      </c>
      <c r="E3808" s="4" t="s">
        <v>6260</v>
      </c>
      <c r="F3808" s="5">
        <v>39100</v>
      </c>
      <c r="G3808" s="5">
        <v>39448</v>
      </c>
      <c r="H3808" s="4" t="s">
        <v>40</v>
      </c>
      <c r="I3808" s="6">
        <v>12550.7</v>
      </c>
      <c r="J3808" s="6">
        <v>12550.7</v>
      </c>
      <c r="K3808" s="37" t="s">
        <v>6182</v>
      </c>
      <c r="L3808" s="120"/>
      <c r="M3808" s="3"/>
    </row>
    <row r="3809" spans="1:13" s="4" customFormat="1" ht="14.25" customHeight="1" x14ac:dyDescent="0.25">
      <c r="A3809" s="4" t="s">
        <v>6261</v>
      </c>
      <c r="B3809" s="4" t="s">
        <v>38</v>
      </c>
      <c r="C3809" s="4" t="s">
        <v>14</v>
      </c>
      <c r="D3809" s="35">
        <v>1793</v>
      </c>
      <c r="E3809" s="4" t="s">
        <v>6262</v>
      </c>
      <c r="F3809" s="5">
        <v>39100</v>
      </c>
      <c r="G3809" s="5">
        <v>39541</v>
      </c>
      <c r="H3809" s="4" t="s">
        <v>40</v>
      </c>
      <c r="I3809" s="6">
        <v>26211.7</v>
      </c>
      <c r="J3809" s="6">
        <v>26211.7</v>
      </c>
      <c r="K3809" s="37" t="s">
        <v>6182</v>
      </c>
      <c r="L3809" s="120"/>
      <c r="M3809" s="3"/>
    </row>
    <row r="3810" spans="1:13" s="4" customFormat="1" ht="14.25" customHeight="1" x14ac:dyDescent="0.25">
      <c r="A3810" s="4" t="s">
        <v>6263</v>
      </c>
      <c r="B3810" s="4" t="s">
        <v>38</v>
      </c>
      <c r="C3810" s="4" t="s">
        <v>14</v>
      </c>
      <c r="D3810" s="35">
        <v>1795</v>
      </c>
      <c r="E3810" s="4" t="s">
        <v>6264</v>
      </c>
      <c r="F3810" s="5">
        <v>39100</v>
      </c>
      <c r="G3810" s="5">
        <v>39400</v>
      </c>
      <c r="H3810" s="4" t="s">
        <v>40</v>
      </c>
      <c r="I3810" s="6">
        <v>4758.66</v>
      </c>
      <c r="J3810" s="6">
        <v>4758.66</v>
      </c>
      <c r="K3810" s="37" t="s">
        <v>6182</v>
      </c>
      <c r="L3810" s="120"/>
      <c r="M3810" s="3"/>
    </row>
    <row r="3811" spans="1:13" s="4" customFormat="1" ht="14.25" customHeight="1" x14ac:dyDescent="0.25">
      <c r="A3811" s="4" t="s">
        <v>6265</v>
      </c>
      <c r="B3811" s="4" t="s">
        <v>38</v>
      </c>
      <c r="C3811" s="4" t="s">
        <v>14</v>
      </c>
      <c r="D3811" s="35">
        <v>1797</v>
      </c>
      <c r="E3811" s="4" t="s">
        <v>6266</v>
      </c>
      <c r="F3811" s="5">
        <v>39100</v>
      </c>
      <c r="G3811" s="5">
        <v>39205</v>
      </c>
      <c r="H3811" s="4" t="s">
        <v>40</v>
      </c>
      <c r="I3811" s="6">
        <v>1460</v>
      </c>
      <c r="J3811" s="6">
        <v>1460</v>
      </c>
      <c r="K3811" s="37" t="s">
        <v>6182</v>
      </c>
      <c r="L3811" s="120"/>
      <c r="M3811" s="3"/>
    </row>
    <row r="3812" spans="1:13" s="4" customFormat="1" ht="14.25" customHeight="1" x14ac:dyDescent="0.25">
      <c r="A3812" s="4" t="s">
        <v>6267</v>
      </c>
      <c r="B3812" s="4" t="s">
        <v>38</v>
      </c>
      <c r="C3812" s="4" t="s">
        <v>14</v>
      </c>
      <c r="D3812" s="35">
        <v>1803</v>
      </c>
      <c r="E3812" s="4" t="s">
        <v>6268</v>
      </c>
      <c r="F3812" s="5">
        <v>39100</v>
      </c>
      <c r="G3812" s="5">
        <v>39386</v>
      </c>
      <c r="H3812" s="4" t="s">
        <v>40</v>
      </c>
      <c r="I3812" s="6">
        <v>2144.36</v>
      </c>
      <c r="J3812" s="6">
        <v>2144.36</v>
      </c>
      <c r="K3812" s="37" t="s">
        <v>6182</v>
      </c>
      <c r="L3812" s="120"/>
      <c r="M3812" s="3"/>
    </row>
    <row r="3813" spans="1:13" s="4" customFormat="1" ht="14.25" customHeight="1" x14ac:dyDescent="0.25">
      <c r="A3813" s="4" t="s">
        <v>6269</v>
      </c>
      <c r="B3813" s="4" t="s">
        <v>38</v>
      </c>
      <c r="C3813" s="4" t="s">
        <v>14</v>
      </c>
      <c r="D3813" s="35">
        <v>1804</v>
      </c>
      <c r="E3813" s="4" t="s">
        <v>6270</v>
      </c>
      <c r="F3813" s="5">
        <v>39100</v>
      </c>
      <c r="G3813" s="5">
        <v>39423</v>
      </c>
      <c r="H3813" s="4" t="s">
        <v>40</v>
      </c>
      <c r="I3813" s="6">
        <v>13312.5</v>
      </c>
      <c r="J3813" s="6">
        <v>13312.5</v>
      </c>
      <c r="K3813" s="37" t="s">
        <v>6182</v>
      </c>
      <c r="L3813" s="120"/>
      <c r="M3813" s="3"/>
    </row>
    <row r="3814" spans="1:13" s="4" customFormat="1" ht="14.25" customHeight="1" x14ac:dyDescent="0.25">
      <c r="A3814" s="4" t="s">
        <v>6271</v>
      </c>
      <c r="B3814" s="4" t="s">
        <v>38</v>
      </c>
      <c r="C3814" s="4" t="s">
        <v>14</v>
      </c>
      <c r="D3814" s="35">
        <v>1806</v>
      </c>
      <c r="E3814" s="4" t="s">
        <v>6272</v>
      </c>
      <c r="F3814" s="5">
        <v>39100</v>
      </c>
      <c r="G3814" s="5">
        <v>39385</v>
      </c>
      <c r="H3814" s="4" t="s">
        <v>40</v>
      </c>
      <c r="I3814" s="6">
        <v>3565</v>
      </c>
      <c r="J3814" s="6">
        <v>3565</v>
      </c>
      <c r="K3814" s="37" t="s">
        <v>6182</v>
      </c>
      <c r="L3814" s="120"/>
      <c r="M3814" s="3"/>
    </row>
    <row r="3815" spans="1:13" s="4" customFormat="1" ht="14.25" customHeight="1" x14ac:dyDescent="0.25">
      <c r="A3815" s="4" t="s">
        <v>6273</v>
      </c>
      <c r="B3815" s="4" t="s">
        <v>38</v>
      </c>
      <c r="C3815" s="4" t="s">
        <v>14</v>
      </c>
      <c r="D3815" s="35">
        <v>1808</v>
      </c>
      <c r="E3815" s="4" t="s">
        <v>6272</v>
      </c>
      <c r="F3815" s="5">
        <v>39100</v>
      </c>
      <c r="G3815" s="5">
        <v>39203</v>
      </c>
      <c r="H3815" s="4" t="s">
        <v>40</v>
      </c>
      <c r="I3815" s="6">
        <v>3150</v>
      </c>
      <c r="J3815" s="6">
        <v>3150</v>
      </c>
      <c r="K3815" s="37" t="s">
        <v>6182</v>
      </c>
      <c r="L3815" s="120"/>
      <c r="M3815" s="3"/>
    </row>
    <row r="3816" spans="1:13" s="4" customFormat="1" ht="14.25" customHeight="1" x14ac:dyDescent="0.25">
      <c r="A3816" s="4" t="s">
        <v>6274</v>
      </c>
      <c r="B3816" s="4" t="s">
        <v>38</v>
      </c>
      <c r="C3816" s="4" t="s">
        <v>14</v>
      </c>
      <c r="D3816" s="35">
        <v>1809</v>
      </c>
      <c r="E3816" s="4" t="s">
        <v>6272</v>
      </c>
      <c r="F3816" s="5">
        <v>39100</v>
      </c>
      <c r="G3816" s="5">
        <v>39230</v>
      </c>
      <c r="H3816" s="4" t="s">
        <v>40</v>
      </c>
      <c r="I3816" s="6">
        <v>3543.19</v>
      </c>
      <c r="J3816" s="6">
        <v>3543.19</v>
      </c>
      <c r="K3816" s="37" t="s">
        <v>6182</v>
      </c>
      <c r="L3816" s="120"/>
      <c r="M3816" s="3"/>
    </row>
    <row r="3817" spans="1:13" s="4" customFormat="1" ht="14.25" customHeight="1" x14ac:dyDescent="0.25">
      <c r="A3817" s="4" t="s">
        <v>6275</v>
      </c>
      <c r="B3817" s="4" t="s">
        <v>38</v>
      </c>
      <c r="C3817" s="4" t="s">
        <v>14</v>
      </c>
      <c r="D3817" s="35">
        <v>1811</v>
      </c>
      <c r="E3817" s="4" t="s">
        <v>6276</v>
      </c>
      <c r="F3817" s="5">
        <v>39100</v>
      </c>
      <c r="G3817" s="5">
        <v>39303</v>
      </c>
      <c r="H3817" s="4" t="s">
        <v>40</v>
      </c>
      <c r="I3817" s="6">
        <v>2797.75</v>
      </c>
      <c r="J3817" s="6">
        <v>2797.75</v>
      </c>
      <c r="K3817" s="37" t="s">
        <v>6182</v>
      </c>
      <c r="L3817" s="120"/>
      <c r="M3817" s="3"/>
    </row>
    <row r="3818" spans="1:13" s="4" customFormat="1" ht="14.25" customHeight="1" x14ac:dyDescent="0.25">
      <c r="A3818" s="4" t="s">
        <v>6277</v>
      </c>
      <c r="B3818" s="4" t="s">
        <v>38</v>
      </c>
      <c r="C3818" s="4" t="s">
        <v>14</v>
      </c>
      <c r="D3818" s="35">
        <v>1813</v>
      </c>
      <c r="E3818" s="4" t="s">
        <v>6272</v>
      </c>
      <c r="F3818" s="5">
        <v>39100</v>
      </c>
      <c r="G3818" s="5">
        <v>39448</v>
      </c>
      <c r="H3818" s="4" t="s">
        <v>40</v>
      </c>
      <c r="I3818" s="6">
        <v>2637.5</v>
      </c>
      <c r="J3818" s="6">
        <v>2637.5</v>
      </c>
      <c r="K3818" s="37" t="s">
        <v>6182</v>
      </c>
      <c r="L3818" s="120"/>
      <c r="M3818" s="3"/>
    </row>
    <row r="3819" spans="1:13" s="4" customFormat="1" ht="14.25" customHeight="1" x14ac:dyDescent="0.25">
      <c r="A3819" s="4" t="s">
        <v>6278</v>
      </c>
      <c r="B3819" s="4" t="s">
        <v>38</v>
      </c>
      <c r="C3819" s="4" t="s">
        <v>14</v>
      </c>
      <c r="D3819" s="35">
        <v>1814</v>
      </c>
      <c r="E3819" s="4" t="s">
        <v>6272</v>
      </c>
      <c r="F3819" s="5">
        <v>39100</v>
      </c>
      <c r="G3819" s="5">
        <v>39386</v>
      </c>
      <c r="H3819" s="4" t="s">
        <v>40</v>
      </c>
      <c r="I3819" s="6">
        <v>2830</v>
      </c>
      <c r="J3819" s="6">
        <v>2830</v>
      </c>
      <c r="K3819" s="37" t="s">
        <v>6182</v>
      </c>
      <c r="L3819" s="120"/>
      <c r="M3819" s="3"/>
    </row>
    <row r="3820" spans="1:13" s="4" customFormat="1" ht="14.25" customHeight="1" x14ac:dyDescent="0.25">
      <c r="A3820" s="4" t="s">
        <v>6279</v>
      </c>
      <c r="B3820" s="4" t="s">
        <v>38</v>
      </c>
      <c r="C3820" s="4" t="s">
        <v>14</v>
      </c>
      <c r="D3820" s="35">
        <v>1816</v>
      </c>
      <c r="E3820" s="4" t="s">
        <v>6276</v>
      </c>
      <c r="F3820" s="5">
        <v>39100</v>
      </c>
      <c r="G3820" s="5">
        <v>39423</v>
      </c>
      <c r="H3820" s="4" t="s">
        <v>40</v>
      </c>
      <c r="I3820" s="6">
        <v>3425.05</v>
      </c>
      <c r="J3820" s="6">
        <v>3425.05</v>
      </c>
      <c r="K3820" s="37" t="s">
        <v>6182</v>
      </c>
      <c r="L3820" s="120"/>
      <c r="M3820" s="3"/>
    </row>
    <row r="3821" spans="1:13" s="4" customFormat="1" ht="14.25" customHeight="1" x14ac:dyDescent="0.25">
      <c r="A3821" s="4" t="s">
        <v>6280</v>
      </c>
      <c r="B3821" s="4" t="s">
        <v>38</v>
      </c>
      <c r="C3821" s="4" t="s">
        <v>14</v>
      </c>
      <c r="D3821" s="35">
        <v>1817</v>
      </c>
      <c r="E3821" s="4" t="s">
        <v>6281</v>
      </c>
      <c r="F3821" s="5">
        <v>39100</v>
      </c>
      <c r="G3821" s="5">
        <v>39315</v>
      </c>
      <c r="H3821" s="4" t="s">
        <v>40</v>
      </c>
      <c r="I3821" s="6">
        <v>1935.95</v>
      </c>
      <c r="J3821" s="6">
        <v>1935.95</v>
      </c>
      <c r="K3821" s="37" t="s">
        <v>6182</v>
      </c>
      <c r="L3821" s="120"/>
      <c r="M3821" s="3"/>
    </row>
    <row r="3822" spans="1:13" s="4" customFormat="1" ht="14.25" customHeight="1" x14ac:dyDescent="0.25">
      <c r="A3822" s="4" t="s">
        <v>6282</v>
      </c>
      <c r="B3822" s="4" t="s">
        <v>38</v>
      </c>
      <c r="C3822" s="4" t="s">
        <v>14</v>
      </c>
      <c r="D3822" s="35">
        <v>1818</v>
      </c>
      <c r="E3822" s="4" t="s">
        <v>6283</v>
      </c>
      <c r="F3822" s="5">
        <v>39100</v>
      </c>
      <c r="G3822" s="5">
        <v>39177</v>
      </c>
      <c r="H3822" s="4" t="s">
        <v>40</v>
      </c>
      <c r="I3822" s="6">
        <v>2111.1</v>
      </c>
      <c r="J3822" s="6">
        <v>2111.1</v>
      </c>
      <c r="K3822" s="37" t="s">
        <v>6182</v>
      </c>
      <c r="L3822" s="120"/>
      <c r="M3822" s="3"/>
    </row>
    <row r="3823" spans="1:13" s="4" customFormat="1" ht="14.25" customHeight="1" x14ac:dyDescent="0.25">
      <c r="A3823" s="4" t="s">
        <v>5489</v>
      </c>
      <c r="B3823" s="4" t="s">
        <v>38</v>
      </c>
      <c r="C3823" s="4" t="s">
        <v>14</v>
      </c>
      <c r="D3823" s="35">
        <v>1819</v>
      </c>
      <c r="E3823" s="4" t="s">
        <v>6284</v>
      </c>
      <c r="F3823" s="5">
        <v>39100</v>
      </c>
      <c r="G3823" s="5">
        <v>39177</v>
      </c>
      <c r="H3823" s="4" t="s">
        <v>40</v>
      </c>
      <c r="I3823" s="6">
        <v>575</v>
      </c>
      <c r="J3823" s="6">
        <v>575</v>
      </c>
      <c r="K3823" s="37" t="s">
        <v>6182</v>
      </c>
      <c r="L3823" s="120"/>
      <c r="M3823" s="3"/>
    </row>
    <row r="3824" spans="1:13" s="4" customFormat="1" ht="14.25" customHeight="1" x14ac:dyDescent="0.25">
      <c r="A3824" s="4" t="s">
        <v>6285</v>
      </c>
      <c r="B3824" s="4" t="s">
        <v>38</v>
      </c>
      <c r="C3824" s="4" t="s">
        <v>14</v>
      </c>
      <c r="D3824" s="35">
        <v>1823</v>
      </c>
      <c r="E3824" s="4" t="s">
        <v>6286</v>
      </c>
      <c r="F3824" s="5">
        <v>39100</v>
      </c>
      <c r="G3824" s="5">
        <v>39665</v>
      </c>
      <c r="H3824" s="4" t="s">
        <v>40</v>
      </c>
      <c r="I3824" s="6">
        <v>20239.79</v>
      </c>
      <c r="J3824" s="6">
        <v>20239.79</v>
      </c>
      <c r="K3824" s="37" t="s">
        <v>6182</v>
      </c>
      <c r="L3824" s="120"/>
      <c r="M3824" s="3"/>
    </row>
    <row r="3825" spans="1:13" s="4" customFormat="1" ht="14.25" customHeight="1" x14ac:dyDescent="0.25">
      <c r="A3825" s="4" t="s">
        <v>6287</v>
      </c>
      <c r="B3825" s="4" t="s">
        <v>38</v>
      </c>
      <c r="C3825" s="4" t="s">
        <v>14</v>
      </c>
      <c r="D3825" s="35">
        <v>1825</v>
      </c>
      <c r="E3825" s="4" t="s">
        <v>6288</v>
      </c>
      <c r="F3825" s="5">
        <v>39100</v>
      </c>
      <c r="G3825" s="5">
        <v>39448</v>
      </c>
      <c r="H3825" s="4" t="s">
        <v>40</v>
      </c>
      <c r="I3825" s="6">
        <v>28766.69</v>
      </c>
      <c r="J3825" s="6">
        <v>28766.69</v>
      </c>
      <c r="K3825" s="37" t="s">
        <v>6182</v>
      </c>
      <c r="L3825" s="120"/>
      <c r="M3825" s="3"/>
    </row>
    <row r="3826" spans="1:13" s="4" customFormat="1" ht="14.25" customHeight="1" x14ac:dyDescent="0.25">
      <c r="A3826" s="4" t="s">
        <v>6289</v>
      </c>
      <c r="B3826" s="4" t="s">
        <v>38</v>
      </c>
      <c r="C3826" s="4" t="s">
        <v>14</v>
      </c>
      <c r="D3826" s="35">
        <v>1830</v>
      </c>
      <c r="E3826" s="4" t="s">
        <v>6290</v>
      </c>
      <c r="F3826" s="5">
        <v>39100</v>
      </c>
      <c r="G3826" s="5">
        <v>39448</v>
      </c>
      <c r="H3826" s="4" t="s">
        <v>40</v>
      </c>
      <c r="I3826" s="6">
        <v>4727.6000000000004</v>
      </c>
      <c r="J3826" s="6">
        <v>4727.6000000000004</v>
      </c>
      <c r="K3826" s="37" t="s">
        <v>6182</v>
      </c>
      <c r="L3826" s="120"/>
      <c r="M3826" s="3"/>
    </row>
    <row r="3827" spans="1:13" s="4" customFormat="1" ht="14.25" customHeight="1" x14ac:dyDescent="0.25">
      <c r="A3827" s="4" t="s">
        <v>6291</v>
      </c>
      <c r="B3827" s="4" t="s">
        <v>38</v>
      </c>
      <c r="C3827" s="4" t="s">
        <v>14</v>
      </c>
      <c r="D3827" s="35">
        <v>1833</v>
      </c>
      <c r="E3827" s="4" t="s">
        <v>6292</v>
      </c>
      <c r="F3827" s="5">
        <v>39100</v>
      </c>
      <c r="G3827" s="5">
        <v>39205</v>
      </c>
      <c r="H3827" s="4" t="s">
        <v>40</v>
      </c>
      <c r="I3827" s="6">
        <v>967.3</v>
      </c>
      <c r="J3827" s="6">
        <v>967.3</v>
      </c>
      <c r="K3827" s="37" t="s">
        <v>6182</v>
      </c>
      <c r="L3827" s="120"/>
      <c r="M3827" s="3"/>
    </row>
    <row r="3828" spans="1:13" s="4" customFormat="1" ht="14.25" customHeight="1" x14ac:dyDescent="0.25">
      <c r="A3828" s="4" t="s">
        <v>6293</v>
      </c>
      <c r="B3828" s="4" t="s">
        <v>38</v>
      </c>
      <c r="C3828" s="4" t="s">
        <v>14</v>
      </c>
      <c r="D3828" s="35">
        <v>1836</v>
      </c>
      <c r="E3828" s="4" t="s">
        <v>6294</v>
      </c>
      <c r="F3828" s="5">
        <v>39100</v>
      </c>
      <c r="G3828" s="5">
        <v>39359</v>
      </c>
      <c r="H3828" s="4" t="s">
        <v>40</v>
      </c>
      <c r="I3828" s="6">
        <v>21250</v>
      </c>
      <c r="J3828" s="6">
        <v>21250</v>
      </c>
      <c r="K3828" s="37" t="s">
        <v>6182</v>
      </c>
      <c r="L3828" s="120"/>
      <c r="M3828" s="3"/>
    </row>
    <row r="3829" spans="1:13" s="4" customFormat="1" ht="14.25" customHeight="1" x14ac:dyDescent="0.25">
      <c r="A3829" s="4" t="s">
        <v>6295</v>
      </c>
      <c r="B3829" s="4" t="s">
        <v>38</v>
      </c>
      <c r="C3829" s="4" t="s">
        <v>14</v>
      </c>
      <c r="D3829" s="35">
        <v>1838</v>
      </c>
      <c r="E3829" s="4" t="s">
        <v>6296</v>
      </c>
      <c r="F3829" s="5">
        <v>39100</v>
      </c>
      <c r="G3829" s="5">
        <v>39177</v>
      </c>
      <c r="H3829" s="4" t="s">
        <v>40</v>
      </c>
      <c r="I3829" s="6">
        <v>3212.23</v>
      </c>
      <c r="J3829" s="6">
        <v>3212.23</v>
      </c>
      <c r="K3829" s="37" t="s">
        <v>6182</v>
      </c>
      <c r="L3829" s="120"/>
      <c r="M3829" s="3"/>
    </row>
    <row r="3830" spans="1:13" s="4" customFormat="1" ht="14.25" customHeight="1" x14ac:dyDescent="0.25">
      <c r="A3830" s="4" t="s">
        <v>6297</v>
      </c>
      <c r="B3830" s="4" t="s">
        <v>38</v>
      </c>
      <c r="C3830" s="4" t="s">
        <v>14</v>
      </c>
      <c r="D3830" s="35">
        <v>1840</v>
      </c>
      <c r="E3830" s="4" t="s">
        <v>6298</v>
      </c>
      <c r="F3830" s="5">
        <v>39100</v>
      </c>
      <c r="G3830" s="5">
        <v>39448</v>
      </c>
      <c r="H3830" s="4" t="s">
        <v>40</v>
      </c>
      <c r="I3830" s="6">
        <v>6196.91</v>
      </c>
      <c r="J3830" s="6">
        <v>6196.91</v>
      </c>
      <c r="K3830" s="37" t="s">
        <v>6182</v>
      </c>
      <c r="L3830" s="120"/>
      <c r="M3830" s="3"/>
    </row>
    <row r="3831" spans="1:13" ht="14.25" customHeight="1" x14ac:dyDescent="0.25">
      <c r="A3831" s="13" t="s">
        <v>10925</v>
      </c>
      <c r="B3831" s="13" t="s">
        <v>13</v>
      </c>
      <c r="C3831" s="13" t="s">
        <v>14</v>
      </c>
      <c r="D3831" s="19">
        <v>1971</v>
      </c>
      <c r="E3831" s="13" t="s">
        <v>10926</v>
      </c>
      <c r="F3831" s="14">
        <v>39083</v>
      </c>
      <c r="H3831" s="13" t="s">
        <v>651</v>
      </c>
      <c r="I3831" s="18">
        <f>-1236.86-2.38-31.22-3.68</f>
        <v>-1274.1400000000001</v>
      </c>
      <c r="J3831" s="18">
        <v>-1274.1400000000001</v>
      </c>
      <c r="K3831" s="20" t="s">
        <v>6182</v>
      </c>
    </row>
    <row r="3832" spans="1:13" s="4" customFormat="1" ht="14.25" customHeight="1" x14ac:dyDescent="0.25">
      <c r="A3832" s="4" t="s">
        <v>6251</v>
      </c>
      <c r="B3832" s="4" t="s">
        <v>38</v>
      </c>
      <c r="C3832" s="4" t="s">
        <v>14</v>
      </c>
      <c r="D3832" s="35">
        <v>1979</v>
      </c>
      <c r="E3832" s="4" t="s">
        <v>6252</v>
      </c>
      <c r="F3832" s="5">
        <v>39475</v>
      </c>
      <c r="G3832" s="5">
        <v>40178</v>
      </c>
      <c r="H3832" s="4" t="s">
        <v>40</v>
      </c>
      <c r="I3832" s="6">
        <v>27783.1</v>
      </c>
      <c r="J3832" s="6">
        <v>27783.1</v>
      </c>
      <c r="K3832" s="37" t="s">
        <v>6182</v>
      </c>
      <c r="L3832" s="120"/>
      <c r="M3832" s="3"/>
    </row>
    <row r="3833" spans="1:13" s="4" customFormat="1" ht="14.25" customHeight="1" x14ac:dyDescent="0.25">
      <c r="A3833" s="4" t="s">
        <v>6299</v>
      </c>
      <c r="B3833" s="4" t="s">
        <v>38</v>
      </c>
      <c r="C3833" s="4" t="s">
        <v>14</v>
      </c>
      <c r="D3833" s="35">
        <v>1980</v>
      </c>
      <c r="E3833" s="4" t="s">
        <v>6300</v>
      </c>
      <c r="F3833" s="5">
        <v>39475</v>
      </c>
      <c r="G3833" s="5">
        <v>39609</v>
      </c>
      <c r="H3833" s="4" t="s">
        <v>40</v>
      </c>
      <c r="I3833" s="6">
        <v>1325.19</v>
      </c>
      <c r="J3833" s="6">
        <v>1325.19</v>
      </c>
      <c r="K3833" s="37" t="s">
        <v>6182</v>
      </c>
      <c r="L3833" s="120"/>
      <c r="M3833" s="3"/>
    </row>
    <row r="3834" spans="1:13" s="4" customFormat="1" ht="14.25" customHeight="1" x14ac:dyDescent="0.25">
      <c r="A3834" s="4" t="s">
        <v>6253</v>
      </c>
      <c r="B3834" s="4" t="s">
        <v>38</v>
      </c>
      <c r="C3834" s="4" t="s">
        <v>14</v>
      </c>
      <c r="D3834" s="35">
        <v>1981</v>
      </c>
      <c r="E3834" s="4" t="s">
        <v>6301</v>
      </c>
      <c r="F3834" s="5">
        <v>39475</v>
      </c>
      <c r="G3834" s="5">
        <v>39583</v>
      </c>
      <c r="H3834" s="4" t="s">
        <v>40</v>
      </c>
      <c r="I3834" s="6">
        <v>15266.83</v>
      </c>
      <c r="J3834" s="6">
        <v>15266.83</v>
      </c>
      <c r="K3834" s="37" t="s">
        <v>6182</v>
      </c>
      <c r="L3834" s="120"/>
      <c r="M3834" s="3"/>
    </row>
    <row r="3835" spans="1:13" s="4" customFormat="1" ht="14.25" customHeight="1" x14ac:dyDescent="0.25">
      <c r="A3835" s="4" t="s">
        <v>6255</v>
      </c>
      <c r="B3835" s="4" t="s">
        <v>38</v>
      </c>
      <c r="C3835" s="4" t="s">
        <v>14</v>
      </c>
      <c r="D3835" s="35">
        <v>1983</v>
      </c>
      <c r="E3835" s="4" t="s">
        <v>6302</v>
      </c>
      <c r="F3835" s="5">
        <v>39475</v>
      </c>
      <c r="G3835" s="5">
        <v>39643</v>
      </c>
      <c r="H3835" s="4" t="s">
        <v>40</v>
      </c>
      <c r="I3835" s="6">
        <v>1126.8</v>
      </c>
      <c r="J3835" s="6">
        <v>1126.8</v>
      </c>
      <c r="K3835" s="37" t="s">
        <v>6182</v>
      </c>
      <c r="L3835" s="120"/>
      <c r="M3835" s="3"/>
    </row>
    <row r="3836" spans="1:13" s="4" customFormat="1" ht="14.25" customHeight="1" x14ac:dyDescent="0.25">
      <c r="A3836" s="4" t="s">
        <v>6303</v>
      </c>
      <c r="B3836" s="4" t="s">
        <v>38</v>
      </c>
      <c r="C3836" s="4" t="s">
        <v>14</v>
      </c>
      <c r="D3836" s="35">
        <v>1984</v>
      </c>
      <c r="E3836" s="4" t="s">
        <v>6304</v>
      </c>
      <c r="F3836" s="5">
        <v>39475</v>
      </c>
      <c r="G3836" s="5">
        <v>39541</v>
      </c>
      <c r="H3836" s="4" t="s">
        <v>40</v>
      </c>
      <c r="I3836" s="6">
        <v>137</v>
      </c>
      <c r="J3836" s="6">
        <v>137</v>
      </c>
      <c r="K3836" s="37" t="s">
        <v>6182</v>
      </c>
      <c r="L3836" s="120"/>
      <c r="M3836" s="3"/>
    </row>
    <row r="3837" spans="1:13" s="4" customFormat="1" ht="14.25" customHeight="1" x14ac:dyDescent="0.25">
      <c r="A3837" s="4" t="s">
        <v>6305</v>
      </c>
      <c r="B3837" s="4" t="s">
        <v>38</v>
      </c>
      <c r="C3837" s="4" t="s">
        <v>14</v>
      </c>
      <c r="D3837" s="35">
        <v>1989</v>
      </c>
      <c r="E3837" s="4" t="s">
        <v>6306</v>
      </c>
      <c r="F3837" s="5">
        <v>39475</v>
      </c>
      <c r="G3837" s="5">
        <v>39722</v>
      </c>
      <c r="H3837" s="4" t="s">
        <v>40</v>
      </c>
      <c r="I3837" s="6">
        <v>6619.58</v>
      </c>
      <c r="J3837" s="6">
        <v>6619.58</v>
      </c>
      <c r="K3837" s="37" t="s">
        <v>6182</v>
      </c>
      <c r="L3837" s="120"/>
      <c r="M3837" s="3"/>
    </row>
    <row r="3838" spans="1:13" s="4" customFormat="1" ht="14.25" customHeight="1" x14ac:dyDescent="0.25">
      <c r="A3838" s="4" t="s">
        <v>6307</v>
      </c>
      <c r="B3838" s="4" t="s">
        <v>38</v>
      </c>
      <c r="C3838" s="4" t="s">
        <v>14</v>
      </c>
      <c r="D3838" s="35">
        <v>1990</v>
      </c>
      <c r="E3838" s="4" t="s">
        <v>6308</v>
      </c>
      <c r="F3838" s="5">
        <v>39475</v>
      </c>
      <c r="G3838" s="5">
        <v>40178</v>
      </c>
      <c r="H3838" s="4" t="s">
        <v>40</v>
      </c>
      <c r="I3838" s="6">
        <v>24819.99</v>
      </c>
      <c r="J3838" s="6">
        <v>24819.99</v>
      </c>
      <c r="K3838" s="37" t="s">
        <v>6182</v>
      </c>
      <c r="L3838" s="120"/>
      <c r="M3838" s="3"/>
    </row>
    <row r="3839" spans="1:13" s="4" customFormat="1" ht="14.25" customHeight="1" x14ac:dyDescent="0.25">
      <c r="A3839" s="4" t="s">
        <v>6309</v>
      </c>
      <c r="B3839" s="4" t="s">
        <v>38</v>
      </c>
      <c r="C3839" s="4" t="s">
        <v>14</v>
      </c>
      <c r="D3839" s="35">
        <v>1993</v>
      </c>
      <c r="E3839" s="4" t="s">
        <v>6310</v>
      </c>
      <c r="F3839" s="5">
        <v>39475</v>
      </c>
      <c r="G3839" s="5">
        <v>40178</v>
      </c>
      <c r="H3839" s="4" t="s">
        <v>40</v>
      </c>
      <c r="I3839" s="6">
        <v>22547.42</v>
      </c>
      <c r="J3839" s="6">
        <v>22547.42</v>
      </c>
      <c r="K3839" s="37" t="s">
        <v>6182</v>
      </c>
      <c r="L3839" s="120"/>
      <c r="M3839" s="3"/>
    </row>
    <row r="3840" spans="1:13" s="4" customFormat="1" ht="14.25" customHeight="1" x14ac:dyDescent="0.25">
      <c r="A3840" s="4" t="s">
        <v>6311</v>
      </c>
      <c r="B3840" s="4" t="s">
        <v>38</v>
      </c>
      <c r="C3840" s="4" t="s">
        <v>14</v>
      </c>
      <c r="D3840" s="35">
        <v>1994</v>
      </c>
      <c r="E3840" s="4" t="s">
        <v>6312</v>
      </c>
      <c r="F3840" s="5">
        <v>39475</v>
      </c>
      <c r="G3840" s="5">
        <v>39577</v>
      </c>
      <c r="H3840" s="4" t="s">
        <v>40</v>
      </c>
      <c r="I3840" s="6">
        <v>1674.99</v>
      </c>
      <c r="J3840" s="6">
        <v>1674.99</v>
      </c>
      <c r="K3840" s="37" t="s">
        <v>6182</v>
      </c>
      <c r="L3840" s="120"/>
      <c r="M3840" s="3"/>
    </row>
    <row r="3841" spans="1:13" s="4" customFormat="1" ht="14.25" customHeight="1" x14ac:dyDescent="0.25">
      <c r="A3841" s="4" t="s">
        <v>6265</v>
      </c>
      <c r="B3841" s="4" t="s">
        <v>38</v>
      </c>
      <c r="C3841" s="4" t="s">
        <v>14</v>
      </c>
      <c r="D3841" s="35">
        <v>1996</v>
      </c>
      <c r="E3841" s="4" t="s">
        <v>6313</v>
      </c>
      <c r="F3841" s="5">
        <v>39475</v>
      </c>
      <c r="G3841" s="5">
        <v>39583</v>
      </c>
      <c r="H3841" s="4" t="s">
        <v>40</v>
      </c>
      <c r="I3841" s="6">
        <v>1541.5</v>
      </c>
      <c r="J3841" s="6">
        <v>1541.5</v>
      </c>
      <c r="K3841" s="37" t="s">
        <v>6182</v>
      </c>
      <c r="L3841" s="120"/>
      <c r="M3841" s="3"/>
    </row>
    <row r="3842" spans="1:13" s="4" customFormat="1" ht="14.25" customHeight="1" x14ac:dyDescent="0.25">
      <c r="A3842" s="4" t="s">
        <v>6314</v>
      </c>
      <c r="B3842" s="4" t="s">
        <v>38</v>
      </c>
      <c r="C3842" s="4" t="s">
        <v>14</v>
      </c>
      <c r="D3842" s="35">
        <v>1997</v>
      </c>
      <c r="E3842" s="4" t="s">
        <v>6315</v>
      </c>
      <c r="F3842" s="5">
        <v>39475</v>
      </c>
      <c r="G3842" s="5">
        <v>39783</v>
      </c>
      <c r="H3842" s="4" t="s">
        <v>40</v>
      </c>
      <c r="I3842" s="6">
        <v>6150</v>
      </c>
      <c r="J3842" s="6">
        <v>6150</v>
      </c>
      <c r="K3842" s="37" t="s">
        <v>6182</v>
      </c>
      <c r="L3842" s="120"/>
      <c r="M3842" s="3"/>
    </row>
    <row r="3843" spans="1:13" s="4" customFormat="1" ht="14.25" customHeight="1" x14ac:dyDescent="0.25">
      <c r="A3843" s="4" t="s">
        <v>6271</v>
      </c>
      <c r="B3843" s="4" t="s">
        <v>38</v>
      </c>
      <c r="C3843" s="4" t="s">
        <v>14</v>
      </c>
      <c r="D3843" s="35">
        <v>1999</v>
      </c>
      <c r="E3843" s="4" t="s">
        <v>6316</v>
      </c>
      <c r="F3843" s="5">
        <v>39475</v>
      </c>
      <c r="G3843" s="5">
        <v>39554</v>
      </c>
      <c r="H3843" s="4" t="s">
        <v>40</v>
      </c>
      <c r="I3843" s="6">
        <v>2786.05</v>
      </c>
      <c r="J3843" s="6">
        <v>2786.05</v>
      </c>
      <c r="K3843" s="37" t="s">
        <v>6182</v>
      </c>
      <c r="L3843" s="120"/>
      <c r="M3843" s="3"/>
    </row>
    <row r="3844" spans="1:13" s="4" customFormat="1" ht="14.25" customHeight="1" x14ac:dyDescent="0.25">
      <c r="A3844" s="4" t="s">
        <v>6273</v>
      </c>
      <c r="B3844" s="4" t="s">
        <v>38</v>
      </c>
      <c r="C3844" s="4" t="s">
        <v>14</v>
      </c>
      <c r="D3844" s="35">
        <v>2000</v>
      </c>
      <c r="E3844" s="4" t="s">
        <v>6317</v>
      </c>
      <c r="F3844" s="5">
        <v>39475</v>
      </c>
      <c r="G3844" s="5">
        <v>39609</v>
      </c>
      <c r="H3844" s="4" t="s">
        <v>40</v>
      </c>
      <c r="I3844" s="6">
        <v>3125</v>
      </c>
      <c r="J3844" s="6">
        <v>3125</v>
      </c>
      <c r="K3844" s="37" t="s">
        <v>6182</v>
      </c>
      <c r="L3844" s="120"/>
      <c r="M3844" s="3"/>
    </row>
    <row r="3845" spans="1:13" s="4" customFormat="1" ht="14.25" customHeight="1" x14ac:dyDescent="0.25">
      <c r="A3845" s="4" t="s">
        <v>6274</v>
      </c>
      <c r="B3845" s="4" t="s">
        <v>38</v>
      </c>
      <c r="C3845" s="4" t="s">
        <v>14</v>
      </c>
      <c r="D3845" s="35">
        <v>2001</v>
      </c>
      <c r="E3845" s="4" t="s">
        <v>6317</v>
      </c>
      <c r="F3845" s="5">
        <v>39475</v>
      </c>
      <c r="G3845" s="5">
        <v>39583</v>
      </c>
      <c r="H3845" s="4" t="s">
        <v>40</v>
      </c>
      <c r="I3845" s="6">
        <v>3050</v>
      </c>
      <c r="J3845" s="6">
        <v>3050</v>
      </c>
      <c r="K3845" s="37" t="s">
        <v>6182</v>
      </c>
      <c r="L3845" s="120"/>
      <c r="M3845" s="3"/>
    </row>
    <row r="3846" spans="1:13" s="4" customFormat="1" ht="14.25" customHeight="1" x14ac:dyDescent="0.25">
      <c r="A3846" s="4" t="s">
        <v>6275</v>
      </c>
      <c r="B3846" s="4" t="s">
        <v>38</v>
      </c>
      <c r="C3846" s="4" t="s">
        <v>14</v>
      </c>
      <c r="D3846" s="35">
        <v>2002</v>
      </c>
      <c r="E3846" s="4" t="s">
        <v>6318</v>
      </c>
      <c r="F3846" s="5">
        <v>39475</v>
      </c>
      <c r="G3846" s="5">
        <v>39577</v>
      </c>
      <c r="H3846" s="4" t="s">
        <v>40</v>
      </c>
      <c r="I3846" s="6">
        <v>2945</v>
      </c>
      <c r="J3846" s="6">
        <v>2945</v>
      </c>
      <c r="K3846" s="37" t="s">
        <v>6182</v>
      </c>
      <c r="L3846" s="120"/>
      <c r="M3846" s="3"/>
    </row>
    <row r="3847" spans="1:13" s="4" customFormat="1" ht="14.25" customHeight="1" x14ac:dyDescent="0.25">
      <c r="A3847" s="4" t="s">
        <v>6277</v>
      </c>
      <c r="B3847" s="4" t="s">
        <v>38</v>
      </c>
      <c r="C3847" s="4" t="s">
        <v>14</v>
      </c>
      <c r="D3847" s="35">
        <v>2003</v>
      </c>
      <c r="E3847" s="4" t="s">
        <v>6319</v>
      </c>
      <c r="F3847" s="5">
        <v>39475</v>
      </c>
      <c r="G3847" s="5">
        <v>39643</v>
      </c>
      <c r="H3847" s="4" t="s">
        <v>40</v>
      </c>
      <c r="I3847" s="6">
        <v>5733.21</v>
      </c>
      <c r="J3847" s="6">
        <v>5733.21</v>
      </c>
      <c r="K3847" s="37" t="s">
        <v>6182</v>
      </c>
      <c r="L3847" s="120"/>
      <c r="M3847" s="3"/>
    </row>
    <row r="3848" spans="1:13" s="4" customFormat="1" ht="14.25" customHeight="1" x14ac:dyDescent="0.25">
      <c r="A3848" s="4" t="s">
        <v>6278</v>
      </c>
      <c r="B3848" s="4" t="s">
        <v>38</v>
      </c>
      <c r="C3848" s="4" t="s">
        <v>14</v>
      </c>
      <c r="D3848" s="35">
        <v>2004</v>
      </c>
      <c r="E3848" s="4" t="s">
        <v>6317</v>
      </c>
      <c r="F3848" s="5">
        <v>39475</v>
      </c>
      <c r="G3848" s="5">
        <v>39609</v>
      </c>
      <c r="H3848" s="4" t="s">
        <v>40</v>
      </c>
      <c r="I3848" s="6">
        <v>2612.5</v>
      </c>
      <c r="J3848" s="6">
        <v>2612.5</v>
      </c>
      <c r="K3848" s="37" t="s">
        <v>6182</v>
      </c>
      <c r="L3848" s="120"/>
      <c r="M3848" s="3"/>
    </row>
    <row r="3849" spans="1:13" s="4" customFormat="1" ht="14.25" customHeight="1" x14ac:dyDescent="0.25">
      <c r="A3849" s="4" t="s">
        <v>6320</v>
      </c>
      <c r="B3849" s="4" t="s">
        <v>38</v>
      </c>
      <c r="C3849" s="4" t="s">
        <v>14</v>
      </c>
      <c r="D3849" s="35">
        <v>2005</v>
      </c>
      <c r="E3849" s="4" t="s">
        <v>6321</v>
      </c>
      <c r="F3849" s="5">
        <v>39475</v>
      </c>
      <c r="G3849" s="5">
        <v>39643</v>
      </c>
      <c r="H3849" s="4" t="s">
        <v>40</v>
      </c>
      <c r="I3849" s="6">
        <v>19993.75</v>
      </c>
      <c r="J3849" s="6">
        <v>19993.75</v>
      </c>
      <c r="K3849" s="37" t="s">
        <v>6182</v>
      </c>
      <c r="L3849" s="120"/>
      <c r="M3849" s="3"/>
    </row>
    <row r="3850" spans="1:13" s="4" customFormat="1" ht="14.25" customHeight="1" x14ac:dyDescent="0.25">
      <c r="A3850" s="4" t="s">
        <v>6322</v>
      </c>
      <c r="B3850" s="4" t="s">
        <v>38</v>
      </c>
      <c r="C3850" s="4" t="s">
        <v>14</v>
      </c>
      <c r="D3850" s="35">
        <v>2006</v>
      </c>
      <c r="E3850" s="4" t="s">
        <v>6323</v>
      </c>
      <c r="F3850" s="5">
        <v>39475</v>
      </c>
      <c r="G3850" s="5">
        <v>39743</v>
      </c>
      <c r="H3850" s="4" t="s">
        <v>40</v>
      </c>
      <c r="I3850" s="6">
        <v>2425.96</v>
      </c>
      <c r="J3850" s="6">
        <v>2425.96</v>
      </c>
      <c r="K3850" s="37" t="s">
        <v>6182</v>
      </c>
      <c r="L3850" s="120"/>
      <c r="M3850" s="3"/>
    </row>
    <row r="3851" spans="1:13" s="4" customFormat="1" ht="14.25" customHeight="1" x14ac:dyDescent="0.25">
      <c r="A3851" s="4" t="s">
        <v>6285</v>
      </c>
      <c r="B3851" s="4" t="s">
        <v>38</v>
      </c>
      <c r="C3851" s="4" t="s">
        <v>14</v>
      </c>
      <c r="D3851" s="35">
        <v>2007</v>
      </c>
      <c r="E3851" s="4" t="s">
        <v>6324</v>
      </c>
      <c r="F3851" s="5">
        <v>39475</v>
      </c>
      <c r="G3851" s="5">
        <v>39743</v>
      </c>
      <c r="H3851" s="4" t="s">
        <v>40</v>
      </c>
      <c r="I3851" s="6">
        <v>26704.6</v>
      </c>
      <c r="J3851" s="6">
        <v>26704.6</v>
      </c>
      <c r="K3851" s="37" t="s">
        <v>6182</v>
      </c>
      <c r="L3851" s="120"/>
      <c r="M3851" s="3"/>
    </row>
    <row r="3852" spans="1:13" s="4" customFormat="1" ht="14.25" customHeight="1" x14ac:dyDescent="0.25">
      <c r="A3852" s="4" t="s">
        <v>6325</v>
      </c>
      <c r="B3852" s="4" t="s">
        <v>38</v>
      </c>
      <c r="C3852" s="4" t="s">
        <v>14</v>
      </c>
      <c r="D3852" s="35">
        <v>2009</v>
      </c>
      <c r="E3852" s="4" t="s">
        <v>6326</v>
      </c>
      <c r="F3852" s="5">
        <v>39475</v>
      </c>
      <c r="G3852" s="5">
        <v>39743</v>
      </c>
      <c r="H3852" s="4" t="s">
        <v>40</v>
      </c>
      <c r="I3852" s="6">
        <v>4475</v>
      </c>
      <c r="J3852" s="6">
        <v>4475</v>
      </c>
      <c r="K3852" s="37" t="s">
        <v>6182</v>
      </c>
      <c r="L3852" s="120"/>
      <c r="M3852" s="3"/>
    </row>
    <row r="3853" spans="1:13" s="4" customFormat="1" ht="14.25" customHeight="1" x14ac:dyDescent="0.25">
      <c r="A3853" s="4" t="s">
        <v>6287</v>
      </c>
      <c r="B3853" s="4" t="s">
        <v>38</v>
      </c>
      <c r="C3853" s="4" t="s">
        <v>14</v>
      </c>
      <c r="D3853" s="35">
        <v>2010</v>
      </c>
      <c r="E3853" s="4" t="s">
        <v>6327</v>
      </c>
      <c r="F3853" s="5">
        <v>39475</v>
      </c>
      <c r="G3853" s="5">
        <v>39783</v>
      </c>
      <c r="H3853" s="4" t="s">
        <v>40</v>
      </c>
      <c r="I3853" s="6">
        <v>20793.18</v>
      </c>
      <c r="J3853" s="6">
        <v>20793.18</v>
      </c>
      <c r="K3853" s="37" t="s">
        <v>6182</v>
      </c>
      <c r="L3853" s="120"/>
      <c r="M3853" s="3"/>
    </row>
    <row r="3854" spans="1:13" s="4" customFormat="1" ht="14.25" customHeight="1" x14ac:dyDescent="0.25">
      <c r="A3854" s="4" t="s">
        <v>6295</v>
      </c>
      <c r="B3854" s="4" t="s">
        <v>38</v>
      </c>
      <c r="C3854" s="4" t="s">
        <v>14</v>
      </c>
      <c r="D3854" s="35">
        <v>2011</v>
      </c>
      <c r="E3854" s="4" t="s">
        <v>6328</v>
      </c>
      <c r="F3854" s="5">
        <v>39475</v>
      </c>
      <c r="G3854" s="5">
        <v>39687</v>
      </c>
      <c r="H3854" s="4" t="s">
        <v>40</v>
      </c>
      <c r="I3854" s="6">
        <v>5047.37</v>
      </c>
      <c r="J3854" s="6">
        <v>5047.37</v>
      </c>
      <c r="K3854" s="37" t="s">
        <v>6182</v>
      </c>
      <c r="L3854" s="120"/>
      <c r="M3854" s="3"/>
    </row>
    <row r="3855" spans="1:13" s="4" customFormat="1" ht="14.25" customHeight="1" x14ac:dyDescent="0.25">
      <c r="A3855" s="4" t="s">
        <v>6329</v>
      </c>
      <c r="B3855" s="4" t="s">
        <v>38</v>
      </c>
      <c r="C3855" s="4" t="s">
        <v>14</v>
      </c>
      <c r="D3855" s="35">
        <v>2012</v>
      </c>
      <c r="E3855" s="4" t="s">
        <v>6330</v>
      </c>
      <c r="F3855" s="5">
        <v>39475</v>
      </c>
      <c r="G3855" s="5">
        <v>39609</v>
      </c>
      <c r="H3855" s="4" t="s">
        <v>40</v>
      </c>
      <c r="I3855" s="6">
        <v>1913.99</v>
      </c>
      <c r="J3855" s="6">
        <v>1913.99</v>
      </c>
      <c r="K3855" s="37" t="s">
        <v>6182</v>
      </c>
      <c r="L3855" s="120"/>
      <c r="M3855" s="3"/>
    </row>
    <row r="3856" spans="1:13" s="4" customFormat="1" ht="14.25" customHeight="1" x14ac:dyDescent="0.25">
      <c r="A3856" s="4" t="s">
        <v>6293</v>
      </c>
      <c r="B3856" s="4" t="s">
        <v>38</v>
      </c>
      <c r="C3856" s="4" t="s">
        <v>14</v>
      </c>
      <c r="D3856" s="35">
        <v>2013</v>
      </c>
      <c r="E3856" s="4" t="s">
        <v>6331</v>
      </c>
      <c r="F3856" s="5">
        <v>39472</v>
      </c>
      <c r="G3856" s="5">
        <v>39472</v>
      </c>
      <c r="H3856" s="4" t="s">
        <v>40</v>
      </c>
      <c r="I3856" s="6">
        <v>20000</v>
      </c>
      <c r="J3856" s="6">
        <v>20000</v>
      </c>
      <c r="K3856" s="37" t="s">
        <v>6182</v>
      </c>
      <c r="L3856" s="120"/>
      <c r="M3856" s="3"/>
    </row>
    <row r="3857" spans="1:13" s="4" customFormat="1" ht="14.25" customHeight="1" x14ac:dyDescent="0.25">
      <c r="A3857" s="4" t="s">
        <v>6332</v>
      </c>
      <c r="B3857" s="4" t="s">
        <v>38</v>
      </c>
      <c r="C3857" s="4" t="s">
        <v>14</v>
      </c>
      <c r="D3857" s="35">
        <v>2014</v>
      </c>
      <c r="E3857" s="4" t="s">
        <v>6333</v>
      </c>
      <c r="F3857" s="5">
        <v>39475</v>
      </c>
      <c r="G3857" s="5">
        <v>39609</v>
      </c>
      <c r="H3857" s="4" t="s">
        <v>40</v>
      </c>
      <c r="I3857" s="6">
        <v>4100</v>
      </c>
      <c r="J3857" s="6">
        <v>4100</v>
      </c>
      <c r="K3857" s="37" t="s">
        <v>6182</v>
      </c>
      <c r="L3857" s="120"/>
      <c r="M3857" s="3"/>
    </row>
    <row r="3858" spans="1:13" s="4" customFormat="1" ht="14.25" customHeight="1" x14ac:dyDescent="0.25">
      <c r="A3858" s="4" t="s">
        <v>6297</v>
      </c>
      <c r="B3858" s="4" t="s">
        <v>38</v>
      </c>
      <c r="C3858" s="4" t="s">
        <v>14</v>
      </c>
      <c r="D3858" s="35">
        <v>2015</v>
      </c>
      <c r="E3858" s="4" t="s">
        <v>6334</v>
      </c>
      <c r="F3858" s="5">
        <v>39475</v>
      </c>
      <c r="G3858" s="5">
        <v>39783</v>
      </c>
      <c r="H3858" s="4" t="s">
        <v>40</v>
      </c>
      <c r="I3858" s="6">
        <v>4162.42</v>
      </c>
      <c r="J3858" s="6">
        <v>4162.42</v>
      </c>
      <c r="K3858" s="37" t="s">
        <v>6182</v>
      </c>
      <c r="L3858" s="120"/>
      <c r="M3858" s="3"/>
    </row>
    <row r="3859" spans="1:13" s="4" customFormat="1" ht="14.25" customHeight="1" x14ac:dyDescent="0.25">
      <c r="A3859" s="4" t="s">
        <v>6335</v>
      </c>
      <c r="B3859" s="4" t="s">
        <v>38</v>
      </c>
      <c r="C3859" s="4" t="s">
        <v>14</v>
      </c>
      <c r="D3859" s="35">
        <v>2016</v>
      </c>
      <c r="E3859" s="4" t="s">
        <v>6336</v>
      </c>
      <c r="F3859" s="5">
        <v>39475</v>
      </c>
      <c r="G3859" s="5">
        <v>39609</v>
      </c>
      <c r="H3859" s="4" t="s">
        <v>40</v>
      </c>
      <c r="I3859" s="6">
        <v>710.42</v>
      </c>
      <c r="J3859" s="6">
        <v>710.58</v>
      </c>
      <c r="K3859" s="37" t="s">
        <v>6182</v>
      </c>
      <c r="L3859" s="120"/>
      <c r="M3859" s="3"/>
    </row>
    <row r="3860" spans="1:13" s="4" customFormat="1" ht="14.25" customHeight="1" x14ac:dyDescent="0.25">
      <c r="A3860" s="4" t="s">
        <v>6001</v>
      </c>
      <c r="B3860" s="4" t="s">
        <v>38</v>
      </c>
      <c r="C3860" s="4" t="s">
        <v>14</v>
      </c>
      <c r="D3860" s="35">
        <v>2017</v>
      </c>
      <c r="E3860" s="4" t="s">
        <v>6337</v>
      </c>
      <c r="F3860" s="5">
        <v>39475</v>
      </c>
      <c r="G3860" s="5">
        <v>39801</v>
      </c>
      <c r="H3860" s="4" t="s">
        <v>40</v>
      </c>
      <c r="I3860" s="6">
        <v>15190.97</v>
      </c>
      <c r="J3860" s="6">
        <v>15190.97</v>
      </c>
      <c r="K3860" s="37" t="s">
        <v>6182</v>
      </c>
      <c r="L3860" s="120"/>
      <c r="M3860" s="3"/>
    </row>
    <row r="3861" spans="1:13" s="4" customFormat="1" ht="14.25" customHeight="1" x14ac:dyDescent="0.25">
      <c r="A3861" s="4" t="s">
        <v>6338</v>
      </c>
      <c r="B3861" s="4" t="s">
        <v>38</v>
      </c>
      <c r="C3861" s="4" t="s">
        <v>14</v>
      </c>
      <c r="D3861" s="35">
        <v>2018</v>
      </c>
      <c r="E3861" s="4" t="s">
        <v>6339</v>
      </c>
      <c r="F3861" s="5">
        <v>39475</v>
      </c>
      <c r="G3861" s="5">
        <v>39793</v>
      </c>
      <c r="H3861" s="4" t="s">
        <v>40</v>
      </c>
      <c r="I3861" s="6">
        <v>3505.65</v>
      </c>
      <c r="J3861" s="6">
        <v>3505.65</v>
      </c>
      <c r="K3861" s="37" t="s">
        <v>6182</v>
      </c>
      <c r="L3861" s="120"/>
      <c r="M3861" s="3"/>
    </row>
    <row r="3862" spans="1:13" s="4" customFormat="1" ht="14.25" customHeight="1" x14ac:dyDescent="0.25">
      <c r="A3862" s="4" t="s">
        <v>6340</v>
      </c>
      <c r="B3862" s="4" t="s">
        <v>38</v>
      </c>
      <c r="C3862" s="4" t="s">
        <v>14</v>
      </c>
      <c r="D3862" s="35">
        <v>2019</v>
      </c>
      <c r="E3862" s="4" t="s">
        <v>6341</v>
      </c>
      <c r="F3862" s="5">
        <v>39475</v>
      </c>
      <c r="G3862" s="5">
        <v>40178</v>
      </c>
      <c r="H3862" s="4" t="s">
        <v>40</v>
      </c>
      <c r="I3862" s="6">
        <v>15648</v>
      </c>
      <c r="J3862" s="6">
        <v>15648</v>
      </c>
      <c r="K3862" s="37" t="s">
        <v>6182</v>
      </c>
      <c r="L3862" s="120"/>
      <c r="M3862" s="3"/>
    </row>
    <row r="3863" spans="1:13" s="4" customFormat="1" ht="14.25" customHeight="1" x14ac:dyDescent="0.25">
      <c r="A3863" s="4" t="s">
        <v>6279</v>
      </c>
      <c r="B3863" s="4" t="s">
        <v>38</v>
      </c>
      <c r="C3863" s="4" t="s">
        <v>14</v>
      </c>
      <c r="D3863" s="35">
        <v>2020</v>
      </c>
      <c r="E3863" s="4" t="s">
        <v>6272</v>
      </c>
      <c r="F3863" s="5">
        <v>39475</v>
      </c>
      <c r="G3863" s="5">
        <v>39743</v>
      </c>
      <c r="H3863" s="4" t="s">
        <v>40</v>
      </c>
      <c r="I3863" s="6">
        <v>2135.13</v>
      </c>
      <c r="J3863" s="6">
        <v>2135.13</v>
      </c>
      <c r="K3863" s="37" t="s">
        <v>6182</v>
      </c>
      <c r="L3863" s="120"/>
      <c r="M3863" s="3"/>
    </row>
    <row r="3864" spans="1:13" s="4" customFormat="1" ht="14.25" customHeight="1" x14ac:dyDescent="0.25">
      <c r="A3864" s="4" t="s">
        <v>6342</v>
      </c>
      <c r="B3864" s="4" t="s">
        <v>38</v>
      </c>
      <c r="C3864" s="4" t="s">
        <v>14</v>
      </c>
      <c r="D3864" s="35">
        <v>2021</v>
      </c>
      <c r="E3864" s="4" t="s">
        <v>6317</v>
      </c>
      <c r="F3864" s="5">
        <v>39475</v>
      </c>
      <c r="G3864" s="5">
        <v>39783</v>
      </c>
      <c r="H3864" s="4" t="s">
        <v>40</v>
      </c>
      <c r="I3864" s="6">
        <v>4992.5</v>
      </c>
      <c r="J3864" s="6">
        <v>4992.5</v>
      </c>
      <c r="K3864" s="37" t="s">
        <v>6182</v>
      </c>
      <c r="L3864" s="120"/>
      <c r="M3864" s="3"/>
    </row>
    <row r="3865" spans="1:13" s="4" customFormat="1" ht="14.25" customHeight="1" x14ac:dyDescent="0.25">
      <c r="A3865" s="4" t="s">
        <v>6343</v>
      </c>
      <c r="B3865" s="4" t="s">
        <v>38</v>
      </c>
      <c r="C3865" s="4" t="s">
        <v>14</v>
      </c>
      <c r="D3865" s="35">
        <v>2022</v>
      </c>
      <c r="E3865" s="4" t="s">
        <v>6272</v>
      </c>
      <c r="F3865" s="5">
        <v>39475</v>
      </c>
      <c r="G3865" s="5">
        <v>39783</v>
      </c>
      <c r="H3865" s="4" t="s">
        <v>40</v>
      </c>
      <c r="I3865" s="6">
        <v>1252</v>
      </c>
      <c r="J3865" s="6">
        <v>1252</v>
      </c>
      <c r="K3865" s="37" t="s">
        <v>6182</v>
      </c>
      <c r="L3865" s="120"/>
      <c r="M3865" s="3"/>
    </row>
    <row r="3866" spans="1:13" s="4" customFormat="1" ht="14.25" customHeight="1" x14ac:dyDescent="0.25">
      <c r="A3866" s="4" t="s">
        <v>6344</v>
      </c>
      <c r="B3866" s="4" t="s">
        <v>38</v>
      </c>
      <c r="C3866" s="4" t="s">
        <v>14</v>
      </c>
      <c r="D3866" s="35">
        <v>2023</v>
      </c>
      <c r="E3866" s="4" t="s">
        <v>6317</v>
      </c>
      <c r="F3866" s="5">
        <v>39475</v>
      </c>
      <c r="G3866" s="5">
        <v>39743</v>
      </c>
      <c r="H3866" s="4" t="s">
        <v>40</v>
      </c>
      <c r="I3866" s="6">
        <v>60</v>
      </c>
      <c r="J3866" s="6">
        <v>60</v>
      </c>
      <c r="K3866" s="37" t="s">
        <v>6182</v>
      </c>
      <c r="L3866" s="120"/>
      <c r="M3866" s="3"/>
    </row>
    <row r="3867" spans="1:13" s="4" customFormat="1" ht="14.25" customHeight="1" x14ac:dyDescent="0.25">
      <c r="A3867" s="4" t="s">
        <v>6345</v>
      </c>
      <c r="B3867" s="4" t="s">
        <v>38</v>
      </c>
      <c r="C3867" s="4" t="s">
        <v>14</v>
      </c>
      <c r="D3867" s="35">
        <v>2024</v>
      </c>
      <c r="E3867" s="4" t="s">
        <v>6346</v>
      </c>
      <c r="F3867" s="5">
        <v>39475</v>
      </c>
      <c r="G3867" s="5">
        <v>40178</v>
      </c>
      <c r="H3867" s="4" t="s">
        <v>40</v>
      </c>
      <c r="I3867" s="6">
        <v>0</v>
      </c>
      <c r="J3867" s="6">
        <v>0</v>
      </c>
      <c r="K3867" s="37" t="s">
        <v>6182</v>
      </c>
      <c r="L3867" s="120"/>
      <c r="M3867" s="3"/>
    </row>
    <row r="3868" spans="1:13" s="4" customFormat="1" ht="14.25" customHeight="1" x14ac:dyDescent="0.25">
      <c r="A3868" s="4" t="s">
        <v>6347</v>
      </c>
      <c r="B3868" s="4" t="s">
        <v>38</v>
      </c>
      <c r="C3868" s="4" t="s">
        <v>14</v>
      </c>
      <c r="D3868" s="35">
        <v>2025</v>
      </c>
      <c r="E3868" s="4" t="s">
        <v>6348</v>
      </c>
      <c r="F3868" s="5">
        <v>39475</v>
      </c>
      <c r="G3868" s="5">
        <v>39783</v>
      </c>
      <c r="H3868" s="4" t="s">
        <v>40</v>
      </c>
      <c r="I3868" s="6">
        <v>123.83</v>
      </c>
      <c r="J3868" s="6">
        <v>123.83</v>
      </c>
      <c r="K3868" s="37" t="s">
        <v>6182</v>
      </c>
      <c r="L3868" s="120"/>
      <c r="M3868" s="3"/>
    </row>
    <row r="3869" spans="1:13" s="4" customFormat="1" ht="14.25" customHeight="1" x14ac:dyDescent="0.25">
      <c r="A3869" s="4" t="s">
        <v>6349</v>
      </c>
      <c r="B3869" s="4" t="s">
        <v>38</v>
      </c>
      <c r="C3869" s="4" t="s">
        <v>14</v>
      </c>
      <c r="D3869" s="35">
        <v>2026</v>
      </c>
      <c r="E3869" s="4" t="s">
        <v>6350</v>
      </c>
      <c r="F3869" s="5">
        <v>39475</v>
      </c>
      <c r="G3869" s="5">
        <v>39783</v>
      </c>
      <c r="H3869" s="4" t="s">
        <v>40</v>
      </c>
      <c r="I3869" s="6">
        <v>329.51</v>
      </c>
      <c r="J3869" s="6">
        <v>329.51</v>
      </c>
      <c r="K3869" s="37" t="s">
        <v>6182</v>
      </c>
      <c r="L3869" s="120"/>
      <c r="M3869" s="3"/>
    </row>
    <row r="3870" spans="1:13" s="4" customFormat="1" ht="14.25" customHeight="1" x14ac:dyDescent="0.25">
      <c r="A3870" s="4" t="s">
        <v>6351</v>
      </c>
      <c r="B3870" s="4" t="s">
        <v>38</v>
      </c>
      <c r="C3870" s="4" t="s">
        <v>14</v>
      </c>
      <c r="D3870" s="35">
        <v>2027</v>
      </c>
      <c r="E3870" s="4" t="s">
        <v>6352</v>
      </c>
      <c r="F3870" s="5">
        <v>39475</v>
      </c>
      <c r="G3870" s="5">
        <v>39783</v>
      </c>
      <c r="H3870" s="4" t="s">
        <v>40</v>
      </c>
      <c r="I3870" s="6">
        <v>827.11</v>
      </c>
      <c r="J3870" s="6">
        <v>827.11</v>
      </c>
      <c r="K3870" s="37" t="s">
        <v>6182</v>
      </c>
      <c r="L3870" s="120"/>
      <c r="M3870" s="3"/>
    </row>
    <row r="3871" spans="1:13" s="4" customFormat="1" ht="14.25" customHeight="1" x14ac:dyDescent="0.25">
      <c r="A3871" s="4" t="s">
        <v>6353</v>
      </c>
      <c r="B3871" s="4" t="s">
        <v>38</v>
      </c>
      <c r="C3871" s="4" t="s">
        <v>14</v>
      </c>
      <c r="D3871" s="35">
        <v>2030</v>
      </c>
      <c r="E3871" s="4" t="s">
        <v>6354</v>
      </c>
      <c r="F3871" s="5">
        <v>39475</v>
      </c>
      <c r="G3871" s="5">
        <v>39784</v>
      </c>
      <c r="H3871" s="4" t="s">
        <v>40</v>
      </c>
      <c r="I3871" s="6">
        <v>663.92</v>
      </c>
      <c r="J3871" s="6">
        <v>663.92</v>
      </c>
      <c r="K3871" s="37" t="s">
        <v>6182</v>
      </c>
      <c r="L3871" s="120"/>
      <c r="M3871" s="3"/>
    </row>
    <row r="3872" spans="1:13" s="4" customFormat="1" ht="14.25" customHeight="1" x14ac:dyDescent="0.25">
      <c r="A3872" s="4" t="s">
        <v>6355</v>
      </c>
      <c r="B3872" s="4" t="s">
        <v>38</v>
      </c>
      <c r="C3872" s="4" t="s">
        <v>14</v>
      </c>
      <c r="D3872" s="35">
        <v>2031</v>
      </c>
      <c r="E3872" s="4" t="s">
        <v>6356</v>
      </c>
      <c r="F3872" s="5">
        <v>39475</v>
      </c>
      <c r="G3872" s="5">
        <v>39798</v>
      </c>
      <c r="H3872" s="4" t="s">
        <v>40</v>
      </c>
      <c r="I3872" s="6">
        <v>0</v>
      </c>
      <c r="J3872" s="6">
        <v>0</v>
      </c>
      <c r="K3872" s="37" t="s">
        <v>6182</v>
      </c>
      <c r="L3872" s="120"/>
      <c r="M3872" s="3"/>
    </row>
    <row r="3873" spans="1:13" s="4" customFormat="1" ht="14.25" customHeight="1" x14ac:dyDescent="0.25">
      <c r="A3873" s="4" t="s">
        <v>6357</v>
      </c>
      <c r="B3873" s="4" t="s">
        <v>38</v>
      </c>
      <c r="C3873" s="4" t="s">
        <v>14</v>
      </c>
      <c r="D3873" s="35">
        <v>2033</v>
      </c>
      <c r="E3873" s="4" t="s">
        <v>6358</v>
      </c>
      <c r="F3873" s="5">
        <v>39475</v>
      </c>
      <c r="G3873" s="5">
        <v>39784</v>
      </c>
      <c r="H3873" s="4" t="s">
        <v>40</v>
      </c>
      <c r="I3873" s="6">
        <v>341.19</v>
      </c>
      <c r="J3873" s="6">
        <v>341.19</v>
      </c>
      <c r="K3873" s="37" t="s">
        <v>6182</v>
      </c>
      <c r="L3873" s="120"/>
      <c r="M3873" s="3"/>
    </row>
    <row r="3874" spans="1:13" s="4" customFormat="1" ht="14.25" customHeight="1" x14ac:dyDescent="0.25">
      <c r="A3874" s="4" t="s">
        <v>6359</v>
      </c>
      <c r="B3874" s="4" t="s">
        <v>50</v>
      </c>
      <c r="C3874" s="4" t="s">
        <v>14</v>
      </c>
      <c r="D3874" s="35">
        <v>2728</v>
      </c>
      <c r="E3874" s="4" t="s">
        <v>6360</v>
      </c>
      <c r="F3874" s="5">
        <v>39783</v>
      </c>
      <c r="G3874" s="5">
        <v>39801</v>
      </c>
      <c r="H3874" s="4" t="s">
        <v>40</v>
      </c>
      <c r="I3874" s="6">
        <v>25150</v>
      </c>
      <c r="J3874" s="6">
        <v>12575</v>
      </c>
      <c r="K3874" s="37" t="s">
        <v>6182</v>
      </c>
      <c r="L3874" s="120"/>
      <c r="M3874" s="3"/>
    </row>
    <row r="3875" spans="1:13" s="4" customFormat="1" ht="14.25" customHeight="1" x14ac:dyDescent="0.25">
      <c r="A3875" s="4" t="s">
        <v>3739</v>
      </c>
      <c r="B3875" s="4" t="s">
        <v>38</v>
      </c>
      <c r="C3875" s="4" t="s">
        <v>14</v>
      </c>
      <c r="D3875" s="35">
        <v>2820</v>
      </c>
      <c r="E3875" s="4" t="s">
        <v>6361</v>
      </c>
      <c r="F3875" s="5">
        <v>39083</v>
      </c>
      <c r="G3875" s="5">
        <v>40178</v>
      </c>
      <c r="H3875" s="4" t="s">
        <v>40</v>
      </c>
      <c r="I3875" s="6">
        <v>150450.62</v>
      </c>
      <c r="J3875" s="6">
        <v>150450.62</v>
      </c>
      <c r="K3875" s="37" t="s">
        <v>6182</v>
      </c>
      <c r="L3875" s="120"/>
      <c r="M3875" s="3"/>
    </row>
    <row r="3876" spans="1:13" s="4" customFormat="1" ht="14.25" customHeight="1" x14ac:dyDescent="0.25">
      <c r="A3876" s="4" t="s">
        <v>6362</v>
      </c>
      <c r="B3876" s="4" t="s">
        <v>50</v>
      </c>
      <c r="C3876" s="4" t="s">
        <v>14</v>
      </c>
      <c r="D3876" s="35">
        <v>5739</v>
      </c>
      <c r="E3876" s="4" t="s">
        <v>6363</v>
      </c>
      <c r="F3876" s="5">
        <v>40084</v>
      </c>
      <c r="H3876" s="4" t="s">
        <v>40</v>
      </c>
      <c r="I3876" s="6">
        <v>31400</v>
      </c>
      <c r="J3876" s="6">
        <v>15000</v>
      </c>
      <c r="K3876" s="37" t="s">
        <v>6182</v>
      </c>
      <c r="L3876" s="120"/>
      <c r="M3876" s="3"/>
    </row>
    <row r="3877" spans="1:13" s="4" customFormat="1" ht="14.25" customHeight="1" x14ac:dyDescent="0.25">
      <c r="A3877" s="4" t="s">
        <v>6364</v>
      </c>
      <c r="B3877" s="4" t="s">
        <v>190</v>
      </c>
      <c r="C3877" s="4" t="s">
        <v>14</v>
      </c>
      <c r="D3877" s="35">
        <v>5741</v>
      </c>
      <c r="E3877" s="4" t="s">
        <v>6365</v>
      </c>
      <c r="F3877" s="5">
        <v>40147</v>
      </c>
      <c r="H3877" s="4" t="s">
        <v>40</v>
      </c>
      <c r="I3877" s="6">
        <v>95000</v>
      </c>
      <c r="J3877" s="6">
        <v>55000</v>
      </c>
      <c r="K3877" s="37" t="s">
        <v>6182</v>
      </c>
      <c r="L3877" s="120"/>
      <c r="M3877" s="3"/>
    </row>
    <row r="3878" spans="1:13" s="4" customFormat="1" ht="14.25" customHeight="1" x14ac:dyDescent="0.25">
      <c r="A3878" s="4" t="s">
        <v>6366</v>
      </c>
      <c r="B3878" s="4" t="s">
        <v>50</v>
      </c>
      <c r="C3878" s="4" t="s">
        <v>14</v>
      </c>
      <c r="D3878" s="35">
        <v>5746</v>
      </c>
      <c r="E3878" s="4" t="s">
        <v>6367</v>
      </c>
      <c r="F3878" s="5">
        <v>39713</v>
      </c>
      <c r="H3878" s="4" t="s">
        <v>40</v>
      </c>
      <c r="I3878" s="6">
        <v>150000</v>
      </c>
      <c r="J3878" s="6">
        <v>75000</v>
      </c>
      <c r="K3878" s="37" t="s">
        <v>6182</v>
      </c>
      <c r="L3878" s="120"/>
      <c r="M3878" s="3"/>
    </row>
    <row r="3879" spans="1:13" s="4" customFormat="1" ht="14.25" customHeight="1" x14ac:dyDescent="0.25">
      <c r="A3879" s="4" t="s">
        <v>6368</v>
      </c>
      <c r="B3879" s="4" t="s">
        <v>59</v>
      </c>
      <c r="C3879" s="4" t="s">
        <v>14</v>
      </c>
      <c r="D3879" s="35">
        <v>5747</v>
      </c>
      <c r="E3879" s="4" t="s">
        <v>6369</v>
      </c>
      <c r="F3879" s="5">
        <v>39966</v>
      </c>
      <c r="H3879" s="4" t="s">
        <v>40</v>
      </c>
      <c r="I3879" s="6">
        <v>3750</v>
      </c>
      <c r="J3879" s="6">
        <v>3750</v>
      </c>
      <c r="K3879" s="37" t="s">
        <v>6182</v>
      </c>
      <c r="L3879" s="120"/>
      <c r="M3879" s="3"/>
    </row>
    <row r="3880" spans="1:13" s="4" customFormat="1" ht="14.25" customHeight="1" x14ac:dyDescent="0.25">
      <c r="A3880" s="4" t="s">
        <v>6370</v>
      </c>
      <c r="B3880" s="4" t="s">
        <v>50</v>
      </c>
      <c r="C3880" s="4" t="s">
        <v>14</v>
      </c>
      <c r="D3880" s="35">
        <v>5919</v>
      </c>
      <c r="E3880" s="4" t="s">
        <v>6371</v>
      </c>
      <c r="F3880" s="5">
        <v>39783</v>
      </c>
      <c r="G3880" s="5">
        <v>39930</v>
      </c>
      <c r="H3880" s="4" t="s">
        <v>40</v>
      </c>
      <c r="I3880" s="6">
        <v>6829.58</v>
      </c>
      <c r="J3880" s="6">
        <v>3400</v>
      </c>
      <c r="K3880" s="37" t="s">
        <v>6182</v>
      </c>
      <c r="L3880" s="120"/>
      <c r="M3880" s="3"/>
    </row>
    <row r="3881" spans="1:13" s="4" customFormat="1" ht="14.25" customHeight="1" x14ac:dyDescent="0.25">
      <c r="A3881" s="4" t="s">
        <v>6372</v>
      </c>
      <c r="B3881" s="4" t="s">
        <v>50</v>
      </c>
      <c r="C3881" s="4" t="s">
        <v>14</v>
      </c>
      <c r="D3881" s="35">
        <v>5920</v>
      </c>
      <c r="E3881" s="4" t="s">
        <v>6373</v>
      </c>
      <c r="F3881" s="5">
        <v>39895</v>
      </c>
      <c r="H3881" s="4" t="s">
        <v>40</v>
      </c>
      <c r="I3881" s="6">
        <v>59804</v>
      </c>
      <c r="J3881" s="6">
        <v>29902</v>
      </c>
      <c r="K3881" s="37" t="s">
        <v>6182</v>
      </c>
      <c r="L3881" s="120"/>
      <c r="M3881" s="3"/>
    </row>
    <row r="3882" spans="1:13" s="4" customFormat="1" ht="14.25" customHeight="1" x14ac:dyDescent="0.25">
      <c r="A3882" s="4" t="s">
        <v>6376</v>
      </c>
      <c r="B3882" s="4" t="s">
        <v>59</v>
      </c>
      <c r="C3882" s="4" t="s">
        <v>14</v>
      </c>
      <c r="D3882" s="35">
        <v>5922</v>
      </c>
      <c r="E3882" s="4" t="s">
        <v>6377</v>
      </c>
      <c r="F3882" s="5">
        <v>39839</v>
      </c>
      <c r="H3882" s="4" t="s">
        <v>40</v>
      </c>
      <c r="I3882" s="6">
        <v>3000</v>
      </c>
      <c r="J3882" s="6">
        <v>3000</v>
      </c>
      <c r="K3882" s="37" t="s">
        <v>6182</v>
      </c>
      <c r="L3882" s="120"/>
      <c r="M3882" s="3"/>
    </row>
    <row r="3883" spans="1:13" s="4" customFormat="1" ht="14.25" customHeight="1" x14ac:dyDescent="0.25">
      <c r="A3883" s="4" t="s">
        <v>6378</v>
      </c>
      <c r="B3883" s="4" t="s">
        <v>50</v>
      </c>
      <c r="C3883" s="4" t="s">
        <v>14</v>
      </c>
      <c r="D3883" s="35">
        <v>5923</v>
      </c>
      <c r="E3883" s="4" t="s">
        <v>6379</v>
      </c>
      <c r="F3883" s="5">
        <v>39958</v>
      </c>
      <c r="H3883" s="4" t="s">
        <v>40</v>
      </c>
      <c r="I3883" s="6">
        <v>29515</v>
      </c>
      <c r="J3883" s="6">
        <v>14757</v>
      </c>
      <c r="K3883" s="37" t="s">
        <v>6182</v>
      </c>
      <c r="L3883" s="120"/>
      <c r="M3883" s="3"/>
    </row>
    <row r="3884" spans="1:13" s="4" customFormat="1" ht="14.25" customHeight="1" x14ac:dyDescent="0.25">
      <c r="A3884" s="4" t="s">
        <v>6380</v>
      </c>
      <c r="B3884" s="4" t="s">
        <v>59</v>
      </c>
      <c r="C3884" s="4" t="s">
        <v>14</v>
      </c>
      <c r="D3884" s="35">
        <v>5924</v>
      </c>
      <c r="E3884" s="4" t="s">
        <v>6381</v>
      </c>
      <c r="F3884" s="5">
        <v>40014</v>
      </c>
      <c r="H3884" s="4" t="s">
        <v>40</v>
      </c>
      <c r="I3884" s="6">
        <v>3250</v>
      </c>
      <c r="J3884" s="6">
        <v>3250</v>
      </c>
      <c r="K3884" s="37" t="s">
        <v>6182</v>
      </c>
      <c r="L3884" s="120"/>
      <c r="M3884" s="3"/>
    </row>
    <row r="3885" spans="1:13" s="4" customFormat="1" ht="14.25" customHeight="1" x14ac:dyDescent="0.25">
      <c r="A3885" s="4" t="s">
        <v>6382</v>
      </c>
      <c r="B3885" s="4" t="s">
        <v>59</v>
      </c>
      <c r="C3885" s="4" t="s">
        <v>14</v>
      </c>
      <c r="D3885" s="35">
        <v>5931</v>
      </c>
      <c r="E3885" s="4" t="s">
        <v>6383</v>
      </c>
      <c r="F3885" s="5">
        <v>39958</v>
      </c>
      <c r="H3885" s="4" t="s">
        <v>40</v>
      </c>
      <c r="I3885" s="6">
        <v>3750</v>
      </c>
      <c r="J3885" s="6">
        <v>3750</v>
      </c>
      <c r="K3885" s="37" t="s">
        <v>6182</v>
      </c>
      <c r="L3885" s="120"/>
      <c r="M3885" s="3"/>
    </row>
    <row r="3886" spans="1:13" s="4" customFormat="1" ht="14.25" customHeight="1" x14ac:dyDescent="0.25">
      <c r="A3886" s="4" t="s">
        <v>6384</v>
      </c>
      <c r="B3886" s="4" t="s">
        <v>50</v>
      </c>
      <c r="C3886" s="4" t="s">
        <v>14</v>
      </c>
      <c r="D3886" s="35">
        <v>5932</v>
      </c>
      <c r="E3886" s="4" t="s">
        <v>6385</v>
      </c>
      <c r="F3886" s="5">
        <v>39713</v>
      </c>
      <c r="H3886" s="4" t="s">
        <v>40</v>
      </c>
      <c r="I3886" s="6">
        <v>17950</v>
      </c>
      <c r="J3886" s="6">
        <v>8980</v>
      </c>
      <c r="K3886" s="37" t="s">
        <v>6182</v>
      </c>
      <c r="L3886" s="120"/>
      <c r="M3886" s="3"/>
    </row>
    <row r="3887" spans="1:13" s="4" customFormat="1" ht="14.25" customHeight="1" x14ac:dyDescent="0.25">
      <c r="A3887" s="4" t="s">
        <v>6386</v>
      </c>
      <c r="B3887" s="4" t="s">
        <v>50</v>
      </c>
      <c r="C3887" s="4" t="s">
        <v>14</v>
      </c>
      <c r="D3887" s="35">
        <v>5933</v>
      </c>
      <c r="E3887" s="4" t="s">
        <v>6387</v>
      </c>
      <c r="F3887" s="5">
        <v>39783</v>
      </c>
      <c r="G3887" s="5">
        <v>39813</v>
      </c>
      <c r="H3887" s="4" t="s">
        <v>40</v>
      </c>
      <c r="I3887" s="6">
        <v>24578</v>
      </c>
      <c r="J3887" s="6">
        <v>12289</v>
      </c>
      <c r="K3887" s="37" t="s">
        <v>6182</v>
      </c>
      <c r="L3887" s="120"/>
      <c r="M3887" s="3"/>
    </row>
    <row r="3888" spans="1:13" s="4" customFormat="1" ht="14.25" customHeight="1" x14ac:dyDescent="0.25">
      <c r="A3888" s="4" t="s">
        <v>6388</v>
      </c>
      <c r="B3888" s="4" t="s">
        <v>38</v>
      </c>
      <c r="C3888" s="4" t="s">
        <v>14</v>
      </c>
      <c r="D3888" s="35">
        <v>5937</v>
      </c>
      <c r="E3888" s="4" t="s">
        <v>6389</v>
      </c>
      <c r="F3888" s="5">
        <v>39839</v>
      </c>
      <c r="G3888" s="5">
        <v>39958</v>
      </c>
      <c r="H3888" s="4" t="s">
        <v>40</v>
      </c>
      <c r="I3888" s="6">
        <v>778.75</v>
      </c>
      <c r="J3888" s="6">
        <v>778.75</v>
      </c>
      <c r="K3888" s="37" t="s">
        <v>6182</v>
      </c>
      <c r="L3888" s="120"/>
      <c r="M3888" s="3"/>
    </row>
    <row r="3889" spans="1:13" s="4" customFormat="1" ht="14.25" customHeight="1" x14ac:dyDescent="0.25">
      <c r="A3889" s="4" t="s">
        <v>6390</v>
      </c>
      <c r="B3889" s="4" t="s">
        <v>38</v>
      </c>
      <c r="C3889" s="4" t="s">
        <v>14</v>
      </c>
      <c r="D3889" s="35">
        <v>5938</v>
      </c>
      <c r="E3889" s="4" t="s">
        <v>6391</v>
      </c>
      <c r="F3889" s="5">
        <v>39839</v>
      </c>
      <c r="G3889" s="5">
        <v>39930</v>
      </c>
      <c r="H3889" s="4" t="s">
        <v>40</v>
      </c>
      <c r="I3889" s="6">
        <v>905.11</v>
      </c>
      <c r="J3889" s="6">
        <v>905.15</v>
      </c>
      <c r="K3889" s="37" t="s">
        <v>6182</v>
      </c>
      <c r="L3889" s="120"/>
      <c r="M3889" s="3"/>
    </row>
    <row r="3890" spans="1:13" s="4" customFormat="1" ht="14.25" customHeight="1" x14ac:dyDescent="0.25">
      <c r="A3890" s="4" t="s">
        <v>6392</v>
      </c>
      <c r="B3890" s="4" t="s">
        <v>38</v>
      </c>
      <c r="C3890" s="4" t="s">
        <v>14</v>
      </c>
      <c r="D3890" s="35">
        <v>5941</v>
      </c>
      <c r="E3890" s="4" t="s">
        <v>6393</v>
      </c>
      <c r="F3890" s="5">
        <v>39839</v>
      </c>
      <c r="G3890" s="5">
        <v>40225</v>
      </c>
      <c r="H3890" s="4" t="s">
        <v>40</v>
      </c>
      <c r="I3890" s="6">
        <v>11776.48</v>
      </c>
      <c r="J3890" s="6">
        <v>11776.48</v>
      </c>
      <c r="K3890" s="37" t="s">
        <v>6182</v>
      </c>
      <c r="L3890" s="120"/>
      <c r="M3890" s="3"/>
    </row>
    <row r="3891" spans="1:13" s="4" customFormat="1" ht="14.25" customHeight="1" x14ac:dyDescent="0.25">
      <c r="A3891" s="4" t="s">
        <v>6394</v>
      </c>
      <c r="B3891" s="4" t="s">
        <v>38</v>
      </c>
      <c r="C3891" s="4" t="s">
        <v>14</v>
      </c>
      <c r="D3891" s="35">
        <v>5943</v>
      </c>
      <c r="E3891" s="4" t="s">
        <v>6395</v>
      </c>
      <c r="F3891" s="5">
        <v>39839</v>
      </c>
      <c r="G3891" s="5">
        <v>39958</v>
      </c>
      <c r="H3891" s="4" t="s">
        <v>40</v>
      </c>
      <c r="I3891" s="6">
        <v>1884</v>
      </c>
      <c r="J3891" s="6">
        <v>1884</v>
      </c>
      <c r="K3891" s="37" t="s">
        <v>6182</v>
      </c>
      <c r="L3891" s="120"/>
      <c r="M3891" s="3"/>
    </row>
    <row r="3892" spans="1:13" s="4" customFormat="1" ht="14.25" customHeight="1" x14ac:dyDescent="0.25">
      <c r="A3892" s="4" t="s">
        <v>6396</v>
      </c>
      <c r="B3892" s="4" t="s">
        <v>38</v>
      </c>
      <c r="C3892" s="4" t="s">
        <v>14</v>
      </c>
      <c r="D3892" s="35">
        <v>5945</v>
      </c>
      <c r="E3892" s="4" t="s">
        <v>6397</v>
      </c>
      <c r="F3892" s="5">
        <v>39839</v>
      </c>
      <c r="G3892" s="5">
        <v>40353</v>
      </c>
      <c r="H3892" s="4" t="s">
        <v>40</v>
      </c>
      <c r="I3892" s="6">
        <v>74268.94</v>
      </c>
      <c r="J3892" s="6">
        <v>74268.94</v>
      </c>
      <c r="K3892" s="37" t="s">
        <v>6182</v>
      </c>
      <c r="L3892" s="120"/>
      <c r="M3892" s="3"/>
    </row>
    <row r="3893" spans="1:13" s="4" customFormat="1" ht="14.25" customHeight="1" x14ac:dyDescent="0.25">
      <c r="A3893" s="4" t="s">
        <v>6398</v>
      </c>
      <c r="B3893" s="4" t="s">
        <v>38</v>
      </c>
      <c r="C3893" s="4" t="s">
        <v>14</v>
      </c>
      <c r="D3893" s="35">
        <v>5946</v>
      </c>
      <c r="E3893" s="4" t="s">
        <v>6399</v>
      </c>
      <c r="F3893" s="5">
        <v>39839</v>
      </c>
      <c r="G3893" s="5">
        <v>40179</v>
      </c>
      <c r="H3893" s="4" t="s">
        <v>40</v>
      </c>
      <c r="I3893" s="6">
        <v>5536.43</v>
      </c>
      <c r="J3893" s="6">
        <v>5536.43</v>
      </c>
      <c r="K3893" s="37" t="s">
        <v>6182</v>
      </c>
      <c r="L3893" s="120"/>
      <c r="M3893" s="3"/>
    </row>
    <row r="3894" spans="1:13" s="4" customFormat="1" ht="14.25" customHeight="1" x14ac:dyDescent="0.25">
      <c r="A3894" s="4" t="s">
        <v>6400</v>
      </c>
      <c r="B3894" s="4" t="s">
        <v>38</v>
      </c>
      <c r="C3894" s="4" t="s">
        <v>14</v>
      </c>
      <c r="D3894" s="35">
        <v>5947</v>
      </c>
      <c r="E3894" s="4" t="s">
        <v>6401</v>
      </c>
      <c r="F3894" s="5">
        <v>39839</v>
      </c>
      <c r="G3894" s="5">
        <v>39930</v>
      </c>
      <c r="H3894" s="4" t="s">
        <v>40</v>
      </c>
      <c r="I3894" s="6">
        <v>499.12</v>
      </c>
      <c r="J3894" s="6">
        <v>499.12</v>
      </c>
      <c r="K3894" s="37" t="s">
        <v>6182</v>
      </c>
      <c r="L3894" s="120"/>
      <c r="M3894" s="3"/>
    </row>
    <row r="3895" spans="1:13" s="4" customFormat="1" ht="14.25" customHeight="1" x14ac:dyDescent="0.25">
      <c r="A3895" s="4" t="s">
        <v>6402</v>
      </c>
      <c r="B3895" s="4" t="s">
        <v>38</v>
      </c>
      <c r="C3895" s="4" t="s">
        <v>14</v>
      </c>
      <c r="D3895" s="35">
        <v>5948</v>
      </c>
      <c r="E3895" s="4" t="s">
        <v>6403</v>
      </c>
      <c r="F3895" s="5">
        <v>39839</v>
      </c>
      <c r="G3895" s="5">
        <v>39930</v>
      </c>
      <c r="H3895" s="4" t="s">
        <v>40</v>
      </c>
      <c r="I3895" s="6">
        <v>702.7</v>
      </c>
      <c r="J3895" s="6">
        <v>702.7</v>
      </c>
      <c r="K3895" s="37" t="s">
        <v>6182</v>
      </c>
      <c r="L3895" s="120"/>
      <c r="M3895" s="3"/>
    </row>
    <row r="3896" spans="1:13" s="4" customFormat="1" ht="14.25" customHeight="1" x14ac:dyDescent="0.25">
      <c r="A3896" s="4" t="s">
        <v>6404</v>
      </c>
      <c r="B3896" s="4" t="s">
        <v>38</v>
      </c>
      <c r="C3896" s="4" t="s">
        <v>14</v>
      </c>
      <c r="D3896" s="35">
        <v>5949</v>
      </c>
      <c r="E3896" s="4" t="s">
        <v>6405</v>
      </c>
      <c r="F3896" s="5">
        <v>39839</v>
      </c>
      <c r="G3896" s="5">
        <v>40155</v>
      </c>
      <c r="H3896" s="4" t="s">
        <v>40</v>
      </c>
      <c r="I3896" s="6">
        <v>1800</v>
      </c>
      <c r="J3896" s="6">
        <v>1800</v>
      </c>
      <c r="K3896" s="37" t="s">
        <v>6182</v>
      </c>
      <c r="L3896" s="120"/>
      <c r="M3896" s="3"/>
    </row>
    <row r="3897" spans="1:13" s="4" customFormat="1" ht="14.25" customHeight="1" x14ac:dyDescent="0.25">
      <c r="A3897" s="4" t="s">
        <v>6406</v>
      </c>
      <c r="B3897" s="4" t="s">
        <v>38</v>
      </c>
      <c r="C3897" s="4" t="s">
        <v>14</v>
      </c>
      <c r="D3897" s="35">
        <v>5950</v>
      </c>
      <c r="E3897" s="4" t="s">
        <v>6407</v>
      </c>
      <c r="F3897" s="5">
        <v>39839</v>
      </c>
      <c r="G3897" s="5">
        <v>39996</v>
      </c>
      <c r="H3897" s="4" t="s">
        <v>40</v>
      </c>
      <c r="I3897" s="6">
        <v>1105.76</v>
      </c>
      <c r="J3897" s="6">
        <v>1105.76</v>
      </c>
      <c r="K3897" s="37" t="s">
        <v>6182</v>
      </c>
      <c r="L3897" s="120"/>
      <c r="M3897" s="3"/>
    </row>
    <row r="3898" spans="1:13" s="4" customFormat="1" ht="14.25" customHeight="1" x14ac:dyDescent="0.25">
      <c r="A3898" s="4" t="s">
        <v>6408</v>
      </c>
      <c r="B3898" s="4" t="s">
        <v>38</v>
      </c>
      <c r="C3898" s="4" t="s">
        <v>14</v>
      </c>
      <c r="D3898" s="35">
        <v>5952</v>
      </c>
      <c r="E3898" s="4" t="s">
        <v>6409</v>
      </c>
      <c r="F3898" s="5">
        <v>39839</v>
      </c>
      <c r="G3898" s="5">
        <v>39958</v>
      </c>
      <c r="H3898" s="4" t="s">
        <v>40</v>
      </c>
      <c r="I3898" s="6">
        <v>572.52</v>
      </c>
      <c r="J3898" s="6">
        <v>572.52</v>
      </c>
      <c r="K3898" s="37" t="s">
        <v>6182</v>
      </c>
      <c r="L3898" s="120"/>
      <c r="M3898" s="3"/>
    </row>
    <row r="3899" spans="1:13" s="4" customFormat="1" ht="14.25" customHeight="1" x14ac:dyDescent="0.25">
      <c r="A3899" s="4" t="s">
        <v>6410</v>
      </c>
      <c r="B3899" s="4" t="s">
        <v>38</v>
      </c>
      <c r="C3899" s="4" t="s">
        <v>14</v>
      </c>
      <c r="D3899" s="35">
        <v>5954</v>
      </c>
      <c r="E3899" s="4" t="s">
        <v>6411</v>
      </c>
      <c r="F3899" s="5">
        <v>39839</v>
      </c>
      <c r="G3899" s="5">
        <v>40179</v>
      </c>
      <c r="H3899" s="4" t="s">
        <v>40</v>
      </c>
      <c r="I3899" s="6">
        <v>1188.74</v>
      </c>
      <c r="J3899" s="6">
        <v>1188.74</v>
      </c>
      <c r="K3899" s="37" t="s">
        <v>6182</v>
      </c>
      <c r="L3899" s="120"/>
      <c r="M3899" s="3"/>
    </row>
    <row r="3900" spans="1:13" s="4" customFormat="1" ht="14.25" customHeight="1" x14ac:dyDescent="0.25">
      <c r="A3900" s="4" t="s">
        <v>6412</v>
      </c>
      <c r="B3900" s="4" t="s">
        <v>38</v>
      </c>
      <c r="C3900" s="4" t="s">
        <v>14</v>
      </c>
      <c r="D3900" s="35">
        <v>5955</v>
      </c>
      <c r="E3900" s="4" t="s">
        <v>6413</v>
      </c>
      <c r="F3900" s="5">
        <v>39839</v>
      </c>
      <c r="G3900" s="5">
        <v>40015</v>
      </c>
      <c r="H3900" s="4" t="s">
        <v>40</v>
      </c>
      <c r="I3900" s="6">
        <v>3579.75</v>
      </c>
      <c r="J3900" s="6">
        <v>3579.75</v>
      </c>
      <c r="K3900" s="37" t="s">
        <v>6182</v>
      </c>
      <c r="L3900" s="120"/>
      <c r="M3900" s="3"/>
    </row>
    <row r="3901" spans="1:13" s="4" customFormat="1" ht="14.25" customHeight="1" x14ac:dyDescent="0.25">
      <c r="A3901" s="4" t="s">
        <v>6414</v>
      </c>
      <c r="B3901" s="4" t="s">
        <v>38</v>
      </c>
      <c r="C3901" s="4" t="s">
        <v>14</v>
      </c>
      <c r="D3901" s="35">
        <v>5962</v>
      </c>
      <c r="E3901" s="4" t="s">
        <v>6415</v>
      </c>
      <c r="F3901" s="5">
        <v>39839</v>
      </c>
      <c r="G3901" s="5">
        <v>39967</v>
      </c>
      <c r="H3901" s="4" t="s">
        <v>40</v>
      </c>
      <c r="I3901" s="6">
        <v>1150</v>
      </c>
      <c r="J3901" s="6">
        <v>1150</v>
      </c>
      <c r="K3901" s="37" t="s">
        <v>6182</v>
      </c>
      <c r="L3901" s="120"/>
      <c r="M3901" s="3"/>
    </row>
    <row r="3902" spans="1:13" s="4" customFormat="1" ht="14.25" customHeight="1" x14ac:dyDescent="0.25">
      <c r="A3902" s="4" t="s">
        <v>6416</v>
      </c>
      <c r="B3902" s="4" t="s">
        <v>38</v>
      </c>
      <c r="C3902" s="4" t="s">
        <v>14</v>
      </c>
      <c r="D3902" s="35">
        <v>5963</v>
      </c>
      <c r="E3902" s="4" t="s">
        <v>6417</v>
      </c>
      <c r="F3902" s="5">
        <v>39839</v>
      </c>
      <c r="G3902" s="5">
        <v>40091</v>
      </c>
      <c r="H3902" s="4" t="s">
        <v>40</v>
      </c>
      <c r="I3902" s="6">
        <v>5784.04</v>
      </c>
      <c r="J3902" s="6">
        <v>5784.04</v>
      </c>
      <c r="K3902" s="37" t="s">
        <v>6182</v>
      </c>
      <c r="L3902" s="120"/>
      <c r="M3902" s="3"/>
    </row>
    <row r="3903" spans="1:13" s="4" customFormat="1" ht="14.25" customHeight="1" x14ac:dyDescent="0.25">
      <c r="A3903" s="4" t="s">
        <v>6418</v>
      </c>
      <c r="B3903" s="4" t="s">
        <v>38</v>
      </c>
      <c r="C3903" s="4" t="s">
        <v>14</v>
      </c>
      <c r="D3903" s="35">
        <v>5964</v>
      </c>
      <c r="E3903" s="4" t="s">
        <v>6419</v>
      </c>
      <c r="F3903" s="5">
        <v>39839</v>
      </c>
      <c r="G3903" s="5">
        <v>40066</v>
      </c>
      <c r="H3903" s="4" t="s">
        <v>40</v>
      </c>
      <c r="I3903" s="6">
        <v>1305.75</v>
      </c>
      <c r="J3903" s="6">
        <v>1305.75</v>
      </c>
      <c r="K3903" s="37" t="s">
        <v>6182</v>
      </c>
      <c r="L3903" s="120"/>
      <c r="M3903" s="3"/>
    </row>
    <row r="3904" spans="1:13" s="4" customFormat="1" ht="14.25" customHeight="1" x14ac:dyDescent="0.25">
      <c r="A3904" s="4" t="s">
        <v>6420</v>
      </c>
      <c r="B3904" s="4" t="s">
        <v>38</v>
      </c>
      <c r="C3904" s="4" t="s">
        <v>14</v>
      </c>
      <c r="D3904" s="35">
        <v>5965</v>
      </c>
      <c r="E3904" s="4" t="s">
        <v>6421</v>
      </c>
      <c r="F3904" s="5">
        <v>39839</v>
      </c>
      <c r="G3904" s="5">
        <v>40137</v>
      </c>
      <c r="H3904" s="4" t="s">
        <v>40</v>
      </c>
      <c r="I3904" s="6">
        <v>7086.1</v>
      </c>
      <c r="J3904" s="6">
        <v>7086.1</v>
      </c>
      <c r="K3904" s="37" t="s">
        <v>6182</v>
      </c>
      <c r="L3904" s="120"/>
      <c r="M3904" s="3"/>
    </row>
    <row r="3905" spans="1:13" s="4" customFormat="1" ht="14.25" customHeight="1" x14ac:dyDescent="0.25">
      <c r="A3905" s="4" t="s">
        <v>6422</v>
      </c>
      <c r="B3905" s="4" t="s">
        <v>38</v>
      </c>
      <c r="C3905" s="4" t="s">
        <v>14</v>
      </c>
      <c r="D3905" s="35">
        <v>5966</v>
      </c>
      <c r="E3905" s="4" t="s">
        <v>6423</v>
      </c>
      <c r="F3905" s="5">
        <v>39839</v>
      </c>
      <c r="G3905" s="5">
        <v>39930</v>
      </c>
      <c r="H3905" s="4" t="s">
        <v>40</v>
      </c>
      <c r="I3905" s="6">
        <v>408.16</v>
      </c>
      <c r="J3905" s="6">
        <v>408.16</v>
      </c>
      <c r="K3905" s="37" t="s">
        <v>6182</v>
      </c>
      <c r="L3905" s="120"/>
      <c r="M3905" s="3"/>
    </row>
    <row r="3906" spans="1:13" s="4" customFormat="1" ht="14.25" customHeight="1" x14ac:dyDescent="0.25">
      <c r="A3906" s="4" t="s">
        <v>6424</v>
      </c>
      <c r="B3906" s="4" t="s">
        <v>38</v>
      </c>
      <c r="C3906" s="4" t="s">
        <v>14</v>
      </c>
      <c r="D3906" s="35">
        <v>5967</v>
      </c>
      <c r="E3906" s="4" t="s">
        <v>6425</v>
      </c>
      <c r="F3906" s="5">
        <v>39839</v>
      </c>
      <c r="G3906" s="5">
        <v>40137</v>
      </c>
      <c r="H3906" s="4" t="s">
        <v>40</v>
      </c>
      <c r="I3906" s="6">
        <v>1711.25</v>
      </c>
      <c r="J3906" s="6">
        <v>1711.25</v>
      </c>
      <c r="K3906" s="37" t="s">
        <v>6182</v>
      </c>
      <c r="L3906" s="120"/>
      <c r="M3906" s="3"/>
    </row>
    <row r="3907" spans="1:13" s="4" customFormat="1" ht="14.25" customHeight="1" x14ac:dyDescent="0.25">
      <c r="A3907" s="4" t="s">
        <v>6426</v>
      </c>
      <c r="B3907" s="4" t="s">
        <v>38</v>
      </c>
      <c r="C3907" s="4" t="s">
        <v>14</v>
      </c>
      <c r="D3907" s="35">
        <v>5968</v>
      </c>
      <c r="E3907" s="4" t="s">
        <v>6427</v>
      </c>
      <c r="F3907" s="5">
        <v>39839</v>
      </c>
      <c r="G3907" s="5">
        <v>40225</v>
      </c>
      <c r="H3907" s="4" t="s">
        <v>40</v>
      </c>
      <c r="I3907" s="6">
        <v>6280</v>
      </c>
      <c r="J3907" s="6">
        <v>6280</v>
      </c>
      <c r="K3907" s="37" t="s">
        <v>6182</v>
      </c>
      <c r="L3907" s="120"/>
      <c r="M3907" s="3"/>
    </row>
    <row r="3908" spans="1:13" s="4" customFormat="1" ht="14.25" customHeight="1" x14ac:dyDescent="0.25">
      <c r="A3908" s="4" t="s">
        <v>6428</v>
      </c>
      <c r="B3908" s="4" t="s">
        <v>38</v>
      </c>
      <c r="C3908" s="4" t="s">
        <v>14</v>
      </c>
      <c r="D3908" s="35">
        <v>6030</v>
      </c>
      <c r="E3908" s="4" t="s">
        <v>6429</v>
      </c>
      <c r="F3908" s="5">
        <v>39839</v>
      </c>
      <c r="G3908" s="5">
        <v>40225</v>
      </c>
      <c r="H3908" s="4" t="s">
        <v>40</v>
      </c>
      <c r="I3908" s="6">
        <v>32343.69</v>
      </c>
      <c r="J3908" s="6">
        <v>32343.69</v>
      </c>
      <c r="K3908" s="37" t="s">
        <v>6182</v>
      </c>
      <c r="L3908" s="120"/>
      <c r="M3908" s="3"/>
    </row>
    <row r="3909" spans="1:13" s="4" customFormat="1" ht="14.25" customHeight="1" x14ac:dyDescent="0.25">
      <c r="A3909" s="4" t="s">
        <v>6430</v>
      </c>
      <c r="B3909" s="4" t="s">
        <v>38</v>
      </c>
      <c r="C3909" s="4" t="s">
        <v>14</v>
      </c>
      <c r="D3909" s="35">
        <v>6032</v>
      </c>
      <c r="E3909" s="4" t="s">
        <v>6310</v>
      </c>
      <c r="F3909" s="5">
        <v>39839</v>
      </c>
      <c r="G3909" s="5">
        <v>40155</v>
      </c>
      <c r="H3909" s="4" t="s">
        <v>40</v>
      </c>
      <c r="I3909" s="6">
        <v>19085.12</v>
      </c>
      <c r="J3909" s="6">
        <v>19085.12</v>
      </c>
      <c r="K3909" s="37" t="s">
        <v>6182</v>
      </c>
      <c r="L3909" s="120"/>
      <c r="M3909" s="3"/>
    </row>
    <row r="3910" spans="1:13" s="4" customFormat="1" ht="14.25" customHeight="1" x14ac:dyDescent="0.25">
      <c r="A3910" s="4" t="s">
        <v>6431</v>
      </c>
      <c r="B3910" s="4" t="s">
        <v>38</v>
      </c>
      <c r="C3910" s="4" t="s">
        <v>14</v>
      </c>
      <c r="D3910" s="35">
        <v>6034</v>
      </c>
      <c r="E3910" s="4" t="s">
        <v>6432</v>
      </c>
      <c r="F3910" s="5">
        <v>39839</v>
      </c>
      <c r="G3910" s="5">
        <v>39967</v>
      </c>
      <c r="H3910" s="4" t="s">
        <v>40</v>
      </c>
      <c r="I3910" s="6">
        <v>1226.27</v>
      </c>
      <c r="J3910" s="6">
        <v>1226.27</v>
      </c>
      <c r="K3910" s="37" t="s">
        <v>6182</v>
      </c>
      <c r="L3910" s="120"/>
      <c r="M3910" s="3"/>
    </row>
    <row r="3911" spans="1:13" s="4" customFormat="1" ht="14.25" customHeight="1" x14ac:dyDescent="0.25">
      <c r="A3911" s="4" t="s">
        <v>6433</v>
      </c>
      <c r="B3911" s="4" t="s">
        <v>38</v>
      </c>
      <c r="C3911" s="4" t="s">
        <v>14</v>
      </c>
      <c r="D3911" s="35">
        <v>6037</v>
      </c>
      <c r="E3911" s="4" t="s">
        <v>6434</v>
      </c>
      <c r="F3911" s="5">
        <v>39839</v>
      </c>
      <c r="G3911" s="5">
        <v>40179</v>
      </c>
      <c r="H3911" s="4" t="s">
        <v>40</v>
      </c>
      <c r="I3911" s="6">
        <v>2210</v>
      </c>
      <c r="J3911" s="6">
        <v>2210</v>
      </c>
      <c r="K3911" s="37" t="s">
        <v>6182</v>
      </c>
      <c r="L3911" s="120"/>
      <c r="M3911" s="3"/>
    </row>
    <row r="3912" spans="1:13" s="4" customFormat="1" ht="14.25" customHeight="1" x14ac:dyDescent="0.25">
      <c r="A3912" s="4" t="s">
        <v>6435</v>
      </c>
      <c r="B3912" s="4" t="s">
        <v>38</v>
      </c>
      <c r="C3912" s="4" t="s">
        <v>14</v>
      </c>
      <c r="D3912" s="35">
        <v>6038</v>
      </c>
      <c r="E3912" s="4" t="s">
        <v>6436</v>
      </c>
      <c r="F3912" s="5">
        <v>39839</v>
      </c>
      <c r="G3912" s="5">
        <v>39996</v>
      </c>
      <c r="H3912" s="4" t="s">
        <v>40</v>
      </c>
      <c r="I3912" s="6">
        <v>1783</v>
      </c>
      <c r="J3912" s="6">
        <v>1783</v>
      </c>
      <c r="K3912" s="37" t="s">
        <v>6182</v>
      </c>
      <c r="L3912" s="120"/>
      <c r="M3912" s="3"/>
    </row>
    <row r="3913" spans="1:13" s="4" customFormat="1" ht="14.25" customHeight="1" x14ac:dyDescent="0.25">
      <c r="A3913" s="4" t="s">
        <v>6437</v>
      </c>
      <c r="B3913" s="4" t="s">
        <v>38</v>
      </c>
      <c r="C3913" s="4" t="s">
        <v>14</v>
      </c>
      <c r="D3913" s="35">
        <v>6061</v>
      </c>
      <c r="E3913" s="4" t="s">
        <v>6438</v>
      </c>
      <c r="F3913" s="5">
        <v>39839</v>
      </c>
      <c r="G3913" s="5">
        <v>40155</v>
      </c>
      <c r="H3913" s="4" t="s">
        <v>40</v>
      </c>
      <c r="I3913" s="6">
        <v>2485.34</v>
      </c>
      <c r="J3913" s="6">
        <v>2485.34</v>
      </c>
      <c r="K3913" s="37" t="s">
        <v>6182</v>
      </c>
      <c r="L3913" s="120"/>
      <c r="M3913" s="3"/>
    </row>
    <row r="3914" spans="1:13" s="4" customFormat="1" ht="14.25" customHeight="1" x14ac:dyDescent="0.25">
      <c r="A3914" s="4" t="s">
        <v>6439</v>
      </c>
      <c r="B3914" s="4" t="s">
        <v>38</v>
      </c>
      <c r="C3914" s="4" t="s">
        <v>14</v>
      </c>
      <c r="D3914" s="35">
        <v>6062</v>
      </c>
      <c r="E3914" s="4" t="s">
        <v>6440</v>
      </c>
      <c r="F3914" s="5">
        <v>39839</v>
      </c>
      <c r="G3914" s="5">
        <v>40162</v>
      </c>
      <c r="H3914" s="4" t="s">
        <v>40</v>
      </c>
      <c r="I3914" s="6">
        <v>5033.7700000000004</v>
      </c>
      <c r="J3914" s="6">
        <v>5033.7700000000004</v>
      </c>
      <c r="K3914" s="37" t="s">
        <v>6182</v>
      </c>
      <c r="L3914" s="120"/>
      <c r="M3914" s="3"/>
    </row>
    <row r="3915" spans="1:13" s="4" customFormat="1" ht="14.25" customHeight="1" x14ac:dyDescent="0.25">
      <c r="A3915" s="4" t="s">
        <v>6441</v>
      </c>
      <c r="B3915" s="4" t="s">
        <v>38</v>
      </c>
      <c r="C3915" s="4" t="s">
        <v>14</v>
      </c>
      <c r="D3915" s="35">
        <v>6063</v>
      </c>
      <c r="E3915" s="4" t="s">
        <v>6442</v>
      </c>
      <c r="F3915" s="5">
        <v>39839</v>
      </c>
      <c r="G3915" s="5">
        <v>39861</v>
      </c>
      <c r="H3915" s="4" t="s">
        <v>40</v>
      </c>
      <c r="I3915" s="6">
        <v>1041</v>
      </c>
      <c r="J3915" s="6">
        <v>1041</v>
      </c>
      <c r="K3915" s="37" t="s">
        <v>6182</v>
      </c>
      <c r="L3915" s="120"/>
      <c r="M3915" s="3"/>
    </row>
    <row r="3916" spans="1:13" s="4" customFormat="1" ht="14.25" customHeight="1" x14ac:dyDescent="0.25">
      <c r="A3916" s="4" t="s">
        <v>6443</v>
      </c>
      <c r="B3916" s="4" t="s">
        <v>38</v>
      </c>
      <c r="C3916" s="4" t="s">
        <v>14</v>
      </c>
      <c r="D3916" s="35">
        <v>6064</v>
      </c>
      <c r="E3916" s="4" t="s">
        <v>6444</v>
      </c>
      <c r="F3916" s="5">
        <v>39839</v>
      </c>
      <c r="G3916" s="5">
        <v>40137</v>
      </c>
      <c r="H3916" s="4" t="s">
        <v>40</v>
      </c>
      <c r="I3916" s="6">
        <v>18407.59</v>
      </c>
      <c r="J3916" s="6">
        <v>18407.59</v>
      </c>
      <c r="K3916" s="37" t="s">
        <v>6182</v>
      </c>
      <c r="L3916" s="120"/>
      <c r="M3916" s="3"/>
    </row>
    <row r="3917" spans="1:13" s="4" customFormat="1" ht="14.25" customHeight="1" x14ac:dyDescent="0.25">
      <c r="A3917" s="4" t="s">
        <v>6445</v>
      </c>
      <c r="B3917" s="4" t="s">
        <v>38</v>
      </c>
      <c r="C3917" s="4" t="s">
        <v>14</v>
      </c>
      <c r="D3917" s="35">
        <v>6066</v>
      </c>
      <c r="E3917" s="4" t="s">
        <v>6446</v>
      </c>
      <c r="F3917" s="5">
        <v>39839</v>
      </c>
      <c r="G3917" s="5">
        <v>39895</v>
      </c>
      <c r="H3917" s="4" t="s">
        <v>40</v>
      </c>
      <c r="I3917" s="6">
        <v>1772.38</v>
      </c>
      <c r="J3917" s="6">
        <v>1772.38</v>
      </c>
      <c r="K3917" s="37" t="s">
        <v>6182</v>
      </c>
      <c r="L3917" s="120"/>
      <c r="M3917" s="3"/>
    </row>
    <row r="3918" spans="1:13" s="4" customFormat="1" ht="14.25" customHeight="1" x14ac:dyDescent="0.25">
      <c r="A3918" s="4" t="s">
        <v>6447</v>
      </c>
      <c r="B3918" s="4" t="s">
        <v>38</v>
      </c>
      <c r="C3918" s="4" t="s">
        <v>14</v>
      </c>
      <c r="D3918" s="35">
        <v>6067</v>
      </c>
      <c r="E3918" s="4" t="s">
        <v>6448</v>
      </c>
      <c r="F3918" s="5">
        <v>39839</v>
      </c>
      <c r="G3918" s="5">
        <v>40179</v>
      </c>
      <c r="H3918" s="4" t="s">
        <v>40</v>
      </c>
      <c r="I3918" s="6">
        <v>13586.46</v>
      </c>
      <c r="J3918" s="6">
        <v>13586.46</v>
      </c>
      <c r="K3918" s="37" t="s">
        <v>6182</v>
      </c>
      <c r="L3918" s="120"/>
      <c r="M3918" s="3"/>
    </row>
    <row r="3919" spans="1:13" s="4" customFormat="1" ht="14.25" customHeight="1" x14ac:dyDescent="0.25">
      <c r="A3919" s="4" t="s">
        <v>6449</v>
      </c>
      <c r="B3919" s="4" t="s">
        <v>38</v>
      </c>
      <c r="C3919" s="4" t="s">
        <v>14</v>
      </c>
      <c r="D3919" s="35">
        <v>6068</v>
      </c>
      <c r="E3919" s="4" t="s">
        <v>6450</v>
      </c>
      <c r="F3919" s="5">
        <v>39839</v>
      </c>
      <c r="G3919" s="5">
        <v>39967</v>
      </c>
      <c r="H3919" s="4" t="s">
        <v>40</v>
      </c>
      <c r="I3919" s="6">
        <v>3605</v>
      </c>
      <c r="J3919" s="6">
        <v>3605</v>
      </c>
      <c r="K3919" s="37" t="s">
        <v>6182</v>
      </c>
      <c r="L3919" s="120"/>
      <c r="M3919" s="3"/>
    </row>
    <row r="3920" spans="1:13" s="4" customFormat="1" ht="14.25" customHeight="1" x14ac:dyDescent="0.25">
      <c r="A3920" s="4" t="s">
        <v>6451</v>
      </c>
      <c r="B3920" s="4" t="s">
        <v>38</v>
      </c>
      <c r="C3920" s="4" t="s">
        <v>14</v>
      </c>
      <c r="D3920" s="35">
        <v>6069</v>
      </c>
      <c r="E3920" s="4" t="s">
        <v>6452</v>
      </c>
      <c r="F3920" s="5">
        <v>39839</v>
      </c>
      <c r="G3920" s="5">
        <v>39958</v>
      </c>
      <c r="H3920" s="4" t="s">
        <v>40</v>
      </c>
      <c r="I3920" s="6">
        <v>1678.75</v>
      </c>
      <c r="J3920" s="6">
        <v>1678.75</v>
      </c>
      <c r="K3920" s="37" t="s">
        <v>6182</v>
      </c>
      <c r="L3920" s="120"/>
      <c r="M3920" s="3"/>
    </row>
    <row r="3921" spans="1:13" s="4" customFormat="1" ht="14.25" customHeight="1" x14ac:dyDescent="0.25">
      <c r="A3921" s="4" t="s">
        <v>6453</v>
      </c>
      <c r="B3921" s="4" t="s">
        <v>38</v>
      </c>
      <c r="C3921" s="4" t="s">
        <v>14</v>
      </c>
      <c r="D3921" s="35">
        <v>6071</v>
      </c>
      <c r="E3921" s="4" t="s">
        <v>6454</v>
      </c>
      <c r="F3921" s="5">
        <v>39839</v>
      </c>
      <c r="G3921" s="5">
        <v>40091</v>
      </c>
      <c r="H3921" s="4" t="s">
        <v>40</v>
      </c>
      <c r="I3921" s="6">
        <v>3750</v>
      </c>
      <c r="J3921" s="6">
        <v>3750</v>
      </c>
      <c r="K3921" s="37" t="s">
        <v>6182</v>
      </c>
      <c r="L3921" s="120"/>
      <c r="M3921" s="3"/>
    </row>
    <row r="3922" spans="1:13" s="4" customFormat="1" ht="14.25" customHeight="1" x14ac:dyDescent="0.25">
      <c r="A3922" s="4" t="s">
        <v>6455</v>
      </c>
      <c r="B3922" s="4" t="s">
        <v>38</v>
      </c>
      <c r="C3922" s="4" t="s">
        <v>14</v>
      </c>
      <c r="D3922" s="35">
        <v>6072</v>
      </c>
      <c r="E3922" s="4" t="s">
        <v>6456</v>
      </c>
      <c r="F3922" s="5">
        <v>39839</v>
      </c>
      <c r="G3922" s="5">
        <v>40107</v>
      </c>
      <c r="H3922" s="4" t="s">
        <v>40</v>
      </c>
      <c r="I3922" s="6">
        <v>20000</v>
      </c>
      <c r="J3922" s="6">
        <v>20000</v>
      </c>
      <c r="K3922" s="37" t="s">
        <v>6182</v>
      </c>
      <c r="L3922" s="120"/>
      <c r="M3922" s="3"/>
    </row>
    <row r="3923" spans="1:13" s="4" customFormat="1" ht="14.25" customHeight="1" x14ac:dyDescent="0.25">
      <c r="A3923" s="4" t="s">
        <v>6457</v>
      </c>
      <c r="B3923" s="4" t="s">
        <v>38</v>
      </c>
      <c r="C3923" s="4" t="s">
        <v>14</v>
      </c>
      <c r="D3923" s="35">
        <v>6073</v>
      </c>
      <c r="E3923" s="4" t="s">
        <v>6458</v>
      </c>
      <c r="F3923" s="5">
        <v>39839</v>
      </c>
      <c r="G3923" s="5">
        <v>40179</v>
      </c>
      <c r="H3923" s="4" t="s">
        <v>40</v>
      </c>
      <c r="I3923" s="6">
        <v>864.55</v>
      </c>
      <c r="J3923" s="6">
        <v>864.55</v>
      </c>
      <c r="K3923" s="37" t="s">
        <v>6182</v>
      </c>
      <c r="L3923" s="120"/>
      <c r="M3923" s="3"/>
    </row>
    <row r="3924" spans="1:13" s="4" customFormat="1" ht="14.25" customHeight="1" x14ac:dyDescent="0.25">
      <c r="A3924" s="4" t="s">
        <v>6459</v>
      </c>
      <c r="B3924" s="4" t="s">
        <v>38</v>
      </c>
      <c r="C3924" s="4" t="s">
        <v>14</v>
      </c>
      <c r="D3924" s="35">
        <v>6074</v>
      </c>
      <c r="E3924" s="4" t="s">
        <v>6460</v>
      </c>
      <c r="F3924" s="5">
        <v>39839</v>
      </c>
      <c r="G3924" s="5">
        <v>40179</v>
      </c>
      <c r="H3924" s="4" t="s">
        <v>40</v>
      </c>
      <c r="I3924" s="6">
        <v>657.24</v>
      </c>
      <c r="J3924" s="6">
        <v>657.24</v>
      </c>
      <c r="K3924" s="37" t="s">
        <v>6182</v>
      </c>
      <c r="L3924" s="120"/>
      <c r="M3924" s="3"/>
    </row>
    <row r="3925" spans="1:13" s="4" customFormat="1" ht="14.25" customHeight="1" x14ac:dyDescent="0.25">
      <c r="A3925" s="4" t="s">
        <v>6461</v>
      </c>
      <c r="B3925" s="4" t="s">
        <v>38</v>
      </c>
      <c r="C3925" s="4" t="s">
        <v>14</v>
      </c>
      <c r="D3925" s="35">
        <v>6075</v>
      </c>
      <c r="E3925" s="4" t="s">
        <v>6462</v>
      </c>
      <c r="F3925" s="5">
        <v>39839</v>
      </c>
      <c r="G3925" s="5">
        <v>40179</v>
      </c>
      <c r="H3925" s="4" t="s">
        <v>40</v>
      </c>
      <c r="I3925" s="6">
        <v>2522.66</v>
      </c>
      <c r="J3925" s="6">
        <v>2522.66</v>
      </c>
      <c r="K3925" s="37" t="s">
        <v>6182</v>
      </c>
      <c r="L3925" s="120"/>
      <c r="M3925" s="3"/>
    </row>
    <row r="3926" spans="1:13" s="4" customFormat="1" ht="14.25" customHeight="1" x14ac:dyDescent="0.25">
      <c r="A3926" s="4" t="s">
        <v>6463</v>
      </c>
      <c r="B3926" s="4" t="s">
        <v>38</v>
      </c>
      <c r="C3926" s="4" t="s">
        <v>14</v>
      </c>
      <c r="D3926" s="35">
        <v>6076</v>
      </c>
      <c r="E3926" s="4" t="s">
        <v>6464</v>
      </c>
      <c r="F3926" s="5">
        <v>39839</v>
      </c>
      <c r="G3926" s="5">
        <v>40140</v>
      </c>
      <c r="H3926" s="4" t="s">
        <v>40</v>
      </c>
      <c r="I3926" s="6">
        <v>2428.96</v>
      </c>
      <c r="J3926" s="6">
        <v>2428.96</v>
      </c>
      <c r="K3926" s="37" t="s">
        <v>6182</v>
      </c>
      <c r="L3926" s="120"/>
      <c r="M3926" s="3"/>
    </row>
    <row r="3927" spans="1:13" s="4" customFormat="1" ht="14.25" customHeight="1" x14ac:dyDescent="0.25">
      <c r="A3927" s="4" t="s">
        <v>6465</v>
      </c>
      <c r="B3927" s="4" t="s">
        <v>38</v>
      </c>
      <c r="C3927" s="4" t="s">
        <v>14</v>
      </c>
      <c r="D3927" s="35">
        <v>6077</v>
      </c>
      <c r="E3927" s="4" t="s">
        <v>6466</v>
      </c>
      <c r="F3927" s="5">
        <v>39839</v>
      </c>
      <c r="G3927" s="5">
        <v>40107</v>
      </c>
      <c r="H3927" s="4" t="s">
        <v>40</v>
      </c>
      <c r="I3927" s="6">
        <v>1422</v>
      </c>
      <c r="J3927" s="6">
        <v>1422</v>
      </c>
      <c r="K3927" s="37" t="s">
        <v>6182</v>
      </c>
      <c r="L3927" s="120"/>
      <c r="M3927" s="3"/>
    </row>
    <row r="3928" spans="1:13" s="4" customFormat="1" ht="14.25" customHeight="1" x14ac:dyDescent="0.25">
      <c r="A3928" s="4" t="s">
        <v>6467</v>
      </c>
      <c r="B3928" s="4" t="s">
        <v>38</v>
      </c>
      <c r="C3928" s="4" t="s">
        <v>14</v>
      </c>
      <c r="D3928" s="35">
        <v>6078</v>
      </c>
      <c r="E3928" s="4" t="s">
        <v>6468</v>
      </c>
      <c r="F3928" s="5">
        <v>39839</v>
      </c>
      <c r="G3928" s="5">
        <v>40225</v>
      </c>
      <c r="H3928" s="4" t="s">
        <v>40</v>
      </c>
      <c r="I3928" s="6">
        <v>5354.13</v>
      </c>
      <c r="J3928" s="6">
        <v>5354.13</v>
      </c>
      <c r="K3928" s="37" t="s">
        <v>6182</v>
      </c>
      <c r="L3928" s="120"/>
      <c r="M3928" s="3"/>
    </row>
    <row r="3929" spans="1:13" s="4" customFormat="1" ht="14.25" customHeight="1" x14ac:dyDescent="0.25">
      <c r="A3929" s="4" t="s">
        <v>6469</v>
      </c>
      <c r="B3929" s="4" t="s">
        <v>38</v>
      </c>
      <c r="C3929" s="4" t="s">
        <v>14</v>
      </c>
      <c r="D3929" s="35">
        <v>6079</v>
      </c>
      <c r="E3929" s="4" t="s">
        <v>6470</v>
      </c>
      <c r="F3929" s="5">
        <v>39839</v>
      </c>
      <c r="G3929" s="5">
        <v>40137</v>
      </c>
      <c r="H3929" s="4" t="s">
        <v>40</v>
      </c>
      <c r="I3929" s="6">
        <v>2310.62</v>
      </c>
      <c r="J3929" s="6">
        <v>2310.62</v>
      </c>
      <c r="K3929" s="37" t="s">
        <v>6182</v>
      </c>
      <c r="L3929" s="120"/>
      <c r="M3929" s="3"/>
    </row>
    <row r="3930" spans="1:13" s="4" customFormat="1" ht="14.25" customHeight="1" x14ac:dyDescent="0.25">
      <c r="A3930" s="4" t="s">
        <v>6471</v>
      </c>
      <c r="B3930" s="4" t="s">
        <v>38</v>
      </c>
      <c r="C3930" s="4" t="s">
        <v>14</v>
      </c>
      <c r="D3930" s="35">
        <v>6080</v>
      </c>
      <c r="E3930" s="4" t="s">
        <v>6472</v>
      </c>
      <c r="F3930" s="5">
        <v>39839</v>
      </c>
      <c r="G3930" s="5">
        <v>40225</v>
      </c>
      <c r="H3930" s="4" t="s">
        <v>40</v>
      </c>
      <c r="I3930" s="6">
        <v>53825.88</v>
      </c>
      <c r="J3930" s="6">
        <v>53825.88</v>
      </c>
      <c r="K3930" s="37" t="s">
        <v>6182</v>
      </c>
      <c r="L3930" s="120"/>
      <c r="M3930" s="3"/>
    </row>
    <row r="3931" spans="1:13" s="4" customFormat="1" ht="14.25" customHeight="1" x14ac:dyDescent="0.25">
      <c r="A3931" s="4" t="s">
        <v>6473</v>
      </c>
      <c r="B3931" s="4" t="s">
        <v>38</v>
      </c>
      <c r="C3931" s="4" t="s">
        <v>14</v>
      </c>
      <c r="D3931" s="35">
        <v>6097</v>
      </c>
      <c r="E3931" s="4" t="s">
        <v>6474</v>
      </c>
      <c r="F3931" s="5">
        <v>39839</v>
      </c>
      <c r="G3931" s="5">
        <v>40394</v>
      </c>
      <c r="H3931" s="4" t="s">
        <v>40</v>
      </c>
      <c r="I3931" s="6">
        <v>38946.730000000003</v>
      </c>
      <c r="J3931" s="6">
        <v>38946.730000000003</v>
      </c>
      <c r="K3931" s="37" t="s">
        <v>6182</v>
      </c>
      <c r="L3931" s="120"/>
      <c r="M3931" s="3"/>
    </row>
    <row r="3932" spans="1:13" s="4" customFormat="1" ht="14.25" customHeight="1" x14ac:dyDescent="0.25">
      <c r="A3932" s="4" t="s">
        <v>6475</v>
      </c>
      <c r="B3932" s="4" t="s">
        <v>183</v>
      </c>
      <c r="C3932" s="4" t="s">
        <v>14</v>
      </c>
      <c r="D3932" s="35">
        <v>7730</v>
      </c>
      <c r="E3932" s="4" t="s">
        <v>6476</v>
      </c>
      <c r="F3932" s="5">
        <v>40519</v>
      </c>
      <c r="H3932" s="4" t="s">
        <v>40</v>
      </c>
      <c r="I3932" s="6">
        <v>20500</v>
      </c>
      <c r="J3932" s="6">
        <v>20500</v>
      </c>
      <c r="K3932" s="37" t="s">
        <v>6182</v>
      </c>
      <c r="L3932" s="120"/>
      <c r="M3932" s="3"/>
    </row>
    <row r="3933" spans="1:13" s="4" customFormat="1" ht="14.25" customHeight="1" x14ac:dyDescent="0.25">
      <c r="A3933" s="4" t="s">
        <v>6477</v>
      </c>
      <c r="B3933" s="4" t="s">
        <v>183</v>
      </c>
      <c r="C3933" s="4" t="s">
        <v>14</v>
      </c>
      <c r="D3933" s="35">
        <v>7733</v>
      </c>
      <c r="E3933" s="4" t="s">
        <v>6478</v>
      </c>
      <c r="F3933" s="5">
        <v>40303</v>
      </c>
      <c r="H3933" s="4" t="s">
        <v>40</v>
      </c>
      <c r="I3933" s="6">
        <v>3000</v>
      </c>
      <c r="J3933" s="6">
        <v>3000</v>
      </c>
      <c r="K3933" s="37" t="s">
        <v>6182</v>
      </c>
      <c r="L3933" s="120"/>
      <c r="M3933" s="3"/>
    </row>
    <row r="3934" spans="1:13" s="4" customFormat="1" ht="14.25" customHeight="1" x14ac:dyDescent="0.25">
      <c r="A3934" s="4" t="s">
        <v>6479</v>
      </c>
      <c r="B3934" s="4" t="s">
        <v>190</v>
      </c>
      <c r="C3934" s="4" t="s">
        <v>14</v>
      </c>
      <c r="D3934" s="35">
        <v>7734</v>
      </c>
      <c r="E3934" s="4" t="s">
        <v>6480</v>
      </c>
      <c r="F3934" s="5">
        <v>40518</v>
      </c>
      <c r="H3934" s="4" t="s">
        <v>40</v>
      </c>
      <c r="I3934" s="6">
        <v>64560</v>
      </c>
      <c r="J3934" s="6">
        <v>32280</v>
      </c>
      <c r="K3934" s="37" t="s">
        <v>6182</v>
      </c>
      <c r="L3934" s="120"/>
      <c r="M3934" s="3"/>
    </row>
    <row r="3935" spans="1:13" s="4" customFormat="1" ht="14.25" customHeight="1" x14ac:dyDescent="0.25">
      <c r="A3935" s="4" t="s">
        <v>6481</v>
      </c>
      <c r="B3935" s="4" t="s">
        <v>50</v>
      </c>
      <c r="C3935" s="4" t="s">
        <v>14</v>
      </c>
      <c r="D3935" s="35">
        <v>7737</v>
      </c>
      <c r="E3935" s="4" t="s">
        <v>6482</v>
      </c>
      <c r="F3935" s="5">
        <v>40319</v>
      </c>
      <c r="H3935" s="4" t="s">
        <v>40</v>
      </c>
      <c r="I3935" s="6">
        <v>79000</v>
      </c>
      <c r="J3935" s="6">
        <v>39500</v>
      </c>
      <c r="K3935" s="37" t="s">
        <v>6182</v>
      </c>
      <c r="L3935" s="120"/>
      <c r="M3935" s="3"/>
    </row>
    <row r="3936" spans="1:13" s="4" customFormat="1" ht="14.25" customHeight="1" x14ac:dyDescent="0.25">
      <c r="A3936" s="4" t="s">
        <v>6483</v>
      </c>
      <c r="B3936" s="4" t="s">
        <v>50</v>
      </c>
      <c r="C3936" s="4" t="s">
        <v>14</v>
      </c>
      <c r="D3936" s="35">
        <v>7738</v>
      </c>
      <c r="E3936" s="4" t="s">
        <v>6484</v>
      </c>
      <c r="F3936" s="5">
        <v>40394</v>
      </c>
      <c r="H3936" s="4" t="s">
        <v>40</v>
      </c>
      <c r="I3936" s="6">
        <v>47690</v>
      </c>
      <c r="J3936" s="6">
        <v>21600</v>
      </c>
      <c r="K3936" s="37" t="s">
        <v>6182</v>
      </c>
      <c r="L3936" s="120"/>
      <c r="M3936" s="3"/>
    </row>
    <row r="3937" spans="1:13" s="4" customFormat="1" ht="14.25" customHeight="1" x14ac:dyDescent="0.25">
      <c r="A3937" s="4" t="s">
        <v>6485</v>
      </c>
      <c r="B3937" s="4" t="s">
        <v>190</v>
      </c>
      <c r="C3937" s="4" t="s">
        <v>14</v>
      </c>
      <c r="D3937" s="35">
        <v>7739</v>
      </c>
      <c r="E3937" s="4" t="s">
        <v>6486</v>
      </c>
      <c r="F3937" s="5">
        <v>40200</v>
      </c>
      <c r="H3937" s="4" t="s">
        <v>40</v>
      </c>
      <c r="I3937" s="6">
        <v>62500</v>
      </c>
      <c r="J3937" s="6">
        <v>25000</v>
      </c>
      <c r="K3937" s="37" t="s">
        <v>6182</v>
      </c>
      <c r="L3937" s="120"/>
      <c r="M3937" s="3"/>
    </row>
    <row r="3938" spans="1:13" s="4" customFormat="1" ht="14.25" customHeight="1" x14ac:dyDescent="0.25">
      <c r="A3938" s="4" t="s">
        <v>6489</v>
      </c>
      <c r="B3938" s="4" t="s">
        <v>183</v>
      </c>
      <c r="C3938" s="4" t="s">
        <v>14</v>
      </c>
      <c r="D3938" s="35">
        <v>7741</v>
      </c>
      <c r="E3938" s="4" t="s">
        <v>6490</v>
      </c>
      <c r="F3938" s="5">
        <v>40519</v>
      </c>
      <c r="H3938" s="4" t="s">
        <v>40</v>
      </c>
      <c r="I3938" s="6">
        <v>88570</v>
      </c>
      <c r="J3938" s="6">
        <v>26550</v>
      </c>
      <c r="K3938" s="37" t="s">
        <v>6182</v>
      </c>
      <c r="L3938" s="120"/>
      <c r="M3938" s="3"/>
    </row>
    <row r="3939" spans="1:13" s="4" customFormat="1" ht="14.25" customHeight="1" x14ac:dyDescent="0.25">
      <c r="A3939" s="4" t="s">
        <v>6491</v>
      </c>
      <c r="B3939" s="4" t="s">
        <v>183</v>
      </c>
      <c r="C3939" s="4" t="s">
        <v>14</v>
      </c>
      <c r="D3939" s="35">
        <v>7742</v>
      </c>
      <c r="E3939" s="4" t="s">
        <v>6492</v>
      </c>
      <c r="F3939" s="5">
        <v>40507</v>
      </c>
      <c r="H3939" s="4" t="s">
        <v>40</v>
      </c>
      <c r="I3939" s="6">
        <v>4000</v>
      </c>
      <c r="J3939" s="6">
        <v>4000</v>
      </c>
      <c r="K3939" s="37" t="s">
        <v>6182</v>
      </c>
      <c r="L3939" s="120"/>
      <c r="M3939" s="3"/>
    </row>
    <row r="3940" spans="1:13" s="4" customFormat="1" ht="14.25" customHeight="1" x14ac:dyDescent="0.25">
      <c r="A3940" s="4" t="s">
        <v>6493</v>
      </c>
      <c r="B3940" s="4" t="s">
        <v>59</v>
      </c>
      <c r="C3940" s="4" t="s">
        <v>14</v>
      </c>
      <c r="D3940" s="35">
        <v>7743</v>
      </c>
      <c r="E3940" s="4" t="s">
        <v>6494</v>
      </c>
      <c r="F3940" s="5">
        <v>40245</v>
      </c>
      <c r="H3940" s="4" t="s">
        <v>40</v>
      </c>
      <c r="I3940" s="6">
        <v>3750</v>
      </c>
      <c r="J3940" s="6">
        <v>3750</v>
      </c>
      <c r="K3940" s="37" t="s">
        <v>6182</v>
      </c>
      <c r="L3940" s="120"/>
      <c r="M3940" s="3"/>
    </row>
    <row r="3941" spans="1:13" s="4" customFormat="1" ht="14.25" customHeight="1" x14ac:dyDescent="0.25">
      <c r="A3941" s="4" t="s">
        <v>6497</v>
      </c>
      <c r="B3941" s="4" t="s">
        <v>183</v>
      </c>
      <c r="C3941" s="4" t="s">
        <v>14</v>
      </c>
      <c r="D3941" s="35">
        <v>7745</v>
      </c>
      <c r="E3941" s="4" t="s">
        <v>6498</v>
      </c>
      <c r="F3941" s="5">
        <v>40266</v>
      </c>
      <c r="H3941" s="4" t="s">
        <v>40</v>
      </c>
      <c r="I3941" s="6">
        <v>7500</v>
      </c>
      <c r="J3941" s="6">
        <v>7500</v>
      </c>
      <c r="K3941" s="37" t="s">
        <v>6182</v>
      </c>
      <c r="L3941" s="120"/>
      <c r="M3941" s="3"/>
    </row>
    <row r="3942" spans="1:13" s="4" customFormat="1" ht="14.25" customHeight="1" x14ac:dyDescent="0.25">
      <c r="A3942" s="4" t="s">
        <v>6499</v>
      </c>
      <c r="B3942" s="4" t="s">
        <v>183</v>
      </c>
      <c r="C3942" s="4" t="s">
        <v>14</v>
      </c>
      <c r="D3942" s="35">
        <v>7746</v>
      </c>
      <c r="E3942" s="4" t="s">
        <v>6500</v>
      </c>
      <c r="F3942" s="5">
        <v>40394</v>
      </c>
      <c r="H3942" s="4" t="s">
        <v>40</v>
      </c>
      <c r="I3942" s="6">
        <v>9431</v>
      </c>
      <c r="J3942" s="6">
        <v>9431</v>
      </c>
      <c r="K3942" s="37" t="s">
        <v>6182</v>
      </c>
      <c r="L3942" s="120"/>
      <c r="M3942" s="3"/>
    </row>
    <row r="3943" spans="1:13" s="4" customFormat="1" ht="14.25" customHeight="1" x14ac:dyDescent="0.25">
      <c r="A3943" s="4" t="s">
        <v>6501</v>
      </c>
      <c r="B3943" s="4" t="s">
        <v>183</v>
      </c>
      <c r="C3943" s="4" t="s">
        <v>14</v>
      </c>
      <c r="D3943" s="35">
        <v>7747</v>
      </c>
      <c r="E3943" s="7" t="s">
        <v>6502</v>
      </c>
      <c r="F3943" s="5">
        <v>40266</v>
      </c>
      <c r="H3943" s="4" t="s">
        <v>40</v>
      </c>
      <c r="I3943" s="6">
        <v>6000</v>
      </c>
      <c r="J3943" s="6">
        <v>6000</v>
      </c>
      <c r="K3943" s="37" t="s">
        <v>6182</v>
      </c>
      <c r="L3943" s="120"/>
      <c r="M3943" s="3"/>
    </row>
    <row r="3944" spans="1:13" s="4" customFormat="1" ht="14.25" customHeight="1" x14ac:dyDescent="0.25">
      <c r="A3944" s="4" t="s">
        <v>6503</v>
      </c>
      <c r="B3944" s="4" t="s">
        <v>50</v>
      </c>
      <c r="C3944" s="4" t="s">
        <v>14</v>
      </c>
      <c r="D3944" s="35">
        <v>7748</v>
      </c>
      <c r="E3944" s="4" t="s">
        <v>6504</v>
      </c>
      <c r="F3944" s="5">
        <v>40317</v>
      </c>
      <c r="H3944" s="4" t="s">
        <v>40</v>
      </c>
      <c r="I3944" s="6">
        <v>7900</v>
      </c>
      <c r="J3944" s="6">
        <v>3900</v>
      </c>
      <c r="K3944" s="37" t="s">
        <v>6182</v>
      </c>
      <c r="L3944" s="120"/>
      <c r="M3944" s="3"/>
    </row>
    <row r="3945" spans="1:13" s="4" customFormat="1" ht="14.25" customHeight="1" x14ac:dyDescent="0.25">
      <c r="A3945" s="4" t="s">
        <v>6505</v>
      </c>
      <c r="B3945" s="4" t="s">
        <v>183</v>
      </c>
      <c r="C3945" s="4" t="s">
        <v>14</v>
      </c>
      <c r="D3945" s="35">
        <v>7749</v>
      </c>
      <c r="E3945" s="7" t="s">
        <v>6506</v>
      </c>
      <c r="F3945" s="5">
        <v>40529</v>
      </c>
      <c r="H3945" s="4" t="s">
        <v>40</v>
      </c>
      <c r="I3945" s="6">
        <v>137500</v>
      </c>
      <c r="J3945" s="6">
        <v>72500</v>
      </c>
      <c r="K3945" s="37" t="s">
        <v>6182</v>
      </c>
      <c r="L3945" s="120"/>
      <c r="M3945" s="3"/>
    </row>
    <row r="3946" spans="1:13" s="4" customFormat="1" ht="14.25" customHeight="1" x14ac:dyDescent="0.25">
      <c r="A3946" s="4" t="s">
        <v>6507</v>
      </c>
      <c r="B3946" s="4" t="s">
        <v>59</v>
      </c>
      <c r="C3946" s="4" t="s">
        <v>14</v>
      </c>
      <c r="D3946" s="35">
        <v>7750</v>
      </c>
      <c r="E3946" s="4" t="s">
        <v>6508</v>
      </c>
      <c r="F3946" s="5">
        <v>40225</v>
      </c>
      <c r="H3946" s="4" t="s">
        <v>40</v>
      </c>
      <c r="I3946" s="6">
        <v>3250</v>
      </c>
      <c r="J3946" s="6">
        <v>3250</v>
      </c>
      <c r="K3946" s="37" t="s">
        <v>6182</v>
      </c>
      <c r="L3946" s="120"/>
      <c r="M3946" s="3"/>
    </row>
    <row r="3947" spans="1:13" s="4" customFormat="1" ht="14.25" customHeight="1" x14ac:dyDescent="0.25">
      <c r="A3947" s="4" t="s">
        <v>6509</v>
      </c>
      <c r="B3947" s="4" t="s">
        <v>59</v>
      </c>
      <c r="C3947" s="4" t="s">
        <v>14</v>
      </c>
      <c r="D3947" s="35">
        <v>7751</v>
      </c>
      <c r="E3947" s="4" t="s">
        <v>6510</v>
      </c>
      <c r="F3947" s="5">
        <v>40318</v>
      </c>
      <c r="H3947" s="4" t="s">
        <v>40</v>
      </c>
      <c r="I3947" s="6">
        <v>3750</v>
      </c>
      <c r="J3947" s="6">
        <v>3750</v>
      </c>
      <c r="K3947" s="37" t="s">
        <v>6182</v>
      </c>
      <c r="L3947" s="120"/>
      <c r="M3947" s="3"/>
    </row>
    <row r="3948" spans="1:13" s="4" customFormat="1" ht="14.25" customHeight="1" x14ac:dyDescent="0.25">
      <c r="A3948" s="4" t="s">
        <v>6511</v>
      </c>
      <c r="B3948" s="4" t="s">
        <v>183</v>
      </c>
      <c r="C3948" s="4" t="s">
        <v>14</v>
      </c>
      <c r="D3948" s="35">
        <v>7752</v>
      </c>
      <c r="E3948" s="4" t="s">
        <v>6512</v>
      </c>
      <c r="F3948" s="5">
        <v>40303</v>
      </c>
      <c r="H3948" s="4" t="s">
        <v>40</v>
      </c>
      <c r="I3948" s="6">
        <v>16000</v>
      </c>
      <c r="J3948" s="6">
        <v>16000</v>
      </c>
      <c r="K3948" s="37" t="s">
        <v>6182</v>
      </c>
      <c r="L3948" s="120"/>
      <c r="M3948" s="3"/>
    </row>
    <row r="3949" spans="1:13" s="4" customFormat="1" ht="14.25" customHeight="1" x14ac:dyDescent="0.25">
      <c r="A3949" s="4" t="s">
        <v>6513</v>
      </c>
      <c r="B3949" s="4" t="s">
        <v>59</v>
      </c>
      <c r="C3949" s="4" t="s">
        <v>14</v>
      </c>
      <c r="D3949" s="35">
        <v>7753</v>
      </c>
      <c r="E3949" s="4" t="s">
        <v>6514</v>
      </c>
      <c r="F3949" s="5">
        <v>40200</v>
      </c>
      <c r="H3949" s="4" t="s">
        <v>40</v>
      </c>
      <c r="I3949" s="6">
        <v>3000</v>
      </c>
      <c r="J3949" s="6">
        <v>3000</v>
      </c>
      <c r="K3949" s="37" t="s">
        <v>6182</v>
      </c>
      <c r="L3949" s="120"/>
      <c r="M3949" s="3"/>
    </row>
    <row r="3950" spans="1:13" s="4" customFormat="1" ht="14.25" customHeight="1" x14ac:dyDescent="0.25">
      <c r="A3950" s="4" t="s">
        <v>6515</v>
      </c>
      <c r="B3950" s="4" t="s">
        <v>38</v>
      </c>
      <c r="C3950" s="4" t="s">
        <v>14</v>
      </c>
      <c r="D3950" s="35">
        <v>7755</v>
      </c>
      <c r="E3950" s="4" t="s">
        <v>6516</v>
      </c>
      <c r="F3950" s="5">
        <v>40249</v>
      </c>
      <c r="G3950" s="5">
        <v>40525</v>
      </c>
      <c r="H3950" s="4" t="s">
        <v>40</v>
      </c>
      <c r="I3950" s="6">
        <v>14460.42</v>
      </c>
      <c r="J3950" s="6">
        <v>14460.42</v>
      </c>
      <c r="K3950" s="37" t="s">
        <v>6182</v>
      </c>
      <c r="L3950" s="120"/>
      <c r="M3950" s="3"/>
    </row>
    <row r="3951" spans="1:13" s="4" customFormat="1" ht="14.25" customHeight="1" x14ac:dyDescent="0.25">
      <c r="A3951" s="4" t="s">
        <v>6517</v>
      </c>
      <c r="B3951" s="4" t="s">
        <v>38</v>
      </c>
      <c r="C3951" s="4" t="s">
        <v>14</v>
      </c>
      <c r="D3951" s="35">
        <v>7769</v>
      </c>
      <c r="E3951" s="4" t="s">
        <v>6518</v>
      </c>
      <c r="F3951" s="5">
        <v>40533</v>
      </c>
      <c r="G3951" s="5">
        <v>40533</v>
      </c>
      <c r="H3951" s="4" t="s">
        <v>40</v>
      </c>
      <c r="I3951" s="6">
        <v>2691.04</v>
      </c>
      <c r="J3951" s="6">
        <v>2691.04</v>
      </c>
      <c r="K3951" s="37" t="s">
        <v>6182</v>
      </c>
      <c r="L3951" s="120"/>
      <c r="M3951" s="3"/>
    </row>
    <row r="3952" spans="1:13" s="4" customFormat="1" ht="14.25" customHeight="1" x14ac:dyDescent="0.25">
      <c r="A3952" s="4" t="s">
        <v>6519</v>
      </c>
      <c r="B3952" s="4" t="s">
        <v>38</v>
      </c>
      <c r="C3952" s="4" t="s">
        <v>14</v>
      </c>
      <c r="D3952" s="35">
        <v>7770</v>
      </c>
      <c r="E3952" s="4" t="s">
        <v>6444</v>
      </c>
      <c r="F3952" s="5">
        <v>40218</v>
      </c>
      <c r="G3952" s="5">
        <v>40515</v>
      </c>
      <c r="H3952" s="4" t="s">
        <v>40</v>
      </c>
      <c r="I3952" s="6">
        <v>3571.64</v>
      </c>
      <c r="J3952" s="6">
        <v>3571.64</v>
      </c>
      <c r="K3952" s="37" t="s">
        <v>6182</v>
      </c>
      <c r="L3952" s="120"/>
      <c r="M3952" s="3"/>
    </row>
    <row r="3953" spans="1:13" s="4" customFormat="1" ht="14.25" customHeight="1" x14ac:dyDescent="0.25">
      <c r="A3953" s="4" t="s">
        <v>6520</v>
      </c>
      <c r="B3953" s="4" t="s">
        <v>38</v>
      </c>
      <c r="C3953" s="4" t="s">
        <v>14</v>
      </c>
      <c r="D3953" s="35">
        <v>7771</v>
      </c>
      <c r="E3953" s="4" t="s">
        <v>6521</v>
      </c>
      <c r="F3953" s="5">
        <v>40204</v>
      </c>
      <c r="G3953" s="5">
        <v>40325</v>
      </c>
      <c r="H3953" s="4" t="s">
        <v>40</v>
      </c>
      <c r="I3953" s="6">
        <v>2429.5700000000002</v>
      </c>
      <c r="J3953" s="6">
        <v>2429.5700000000002</v>
      </c>
      <c r="K3953" s="37" t="s">
        <v>6182</v>
      </c>
      <c r="L3953" s="120"/>
      <c r="M3953" s="3"/>
    </row>
    <row r="3954" spans="1:13" s="4" customFormat="1" ht="14.25" customHeight="1" x14ac:dyDescent="0.25">
      <c r="A3954" s="4" t="s">
        <v>6404</v>
      </c>
      <c r="B3954" s="4" t="s">
        <v>38</v>
      </c>
      <c r="C3954" s="4" t="s">
        <v>14</v>
      </c>
      <c r="D3954" s="35">
        <v>7772</v>
      </c>
      <c r="E3954" s="4" t="s">
        <v>6522</v>
      </c>
      <c r="F3954" s="5">
        <v>40297</v>
      </c>
      <c r="G3954" s="5">
        <v>40442</v>
      </c>
      <c r="H3954" s="4" t="s">
        <v>40</v>
      </c>
      <c r="I3954" s="6">
        <v>353.24</v>
      </c>
      <c r="J3954" s="6">
        <v>353.24</v>
      </c>
      <c r="K3954" s="37" t="s">
        <v>6182</v>
      </c>
      <c r="L3954" s="120"/>
      <c r="M3954" s="3"/>
    </row>
    <row r="3955" spans="1:13" s="4" customFormat="1" ht="14.25" customHeight="1" x14ac:dyDescent="0.25">
      <c r="A3955" s="4" t="s">
        <v>6523</v>
      </c>
      <c r="B3955" s="4" t="s">
        <v>38</v>
      </c>
      <c r="C3955" s="4" t="s">
        <v>14</v>
      </c>
      <c r="D3955" s="35">
        <v>7773</v>
      </c>
      <c r="E3955" s="4" t="s">
        <v>6524</v>
      </c>
      <c r="F3955" s="5">
        <v>40406</v>
      </c>
      <c r="G3955" s="5">
        <v>40406</v>
      </c>
      <c r="H3955" s="4" t="s">
        <v>40</v>
      </c>
      <c r="I3955" s="6">
        <v>1436</v>
      </c>
      <c r="J3955" s="6">
        <v>1436</v>
      </c>
      <c r="K3955" s="37" t="s">
        <v>6182</v>
      </c>
      <c r="L3955" s="120"/>
      <c r="M3955" s="3"/>
    </row>
    <row r="3956" spans="1:13" s="4" customFormat="1" ht="14.25" customHeight="1" x14ac:dyDescent="0.25">
      <c r="A3956" s="4" t="s">
        <v>6525</v>
      </c>
      <c r="B3956" s="4" t="s">
        <v>38</v>
      </c>
      <c r="C3956" s="4" t="s">
        <v>14</v>
      </c>
      <c r="D3956" s="35">
        <v>7774</v>
      </c>
      <c r="E3956" s="4" t="s">
        <v>6526</v>
      </c>
      <c r="F3956" s="5">
        <v>40318</v>
      </c>
      <c r="G3956" s="5">
        <v>40525</v>
      </c>
      <c r="H3956" s="4" t="s">
        <v>40</v>
      </c>
      <c r="I3956" s="6">
        <v>6907.1</v>
      </c>
      <c r="J3956" s="6">
        <v>6907.1</v>
      </c>
      <c r="K3956" s="37" t="s">
        <v>6182</v>
      </c>
      <c r="L3956" s="120"/>
      <c r="M3956" s="3"/>
    </row>
    <row r="3957" spans="1:13" s="4" customFormat="1" ht="14.25" customHeight="1" x14ac:dyDescent="0.25">
      <c r="A3957" s="4" t="s">
        <v>6527</v>
      </c>
      <c r="B3957" s="4" t="s">
        <v>38</v>
      </c>
      <c r="C3957" s="4" t="s">
        <v>14</v>
      </c>
      <c r="D3957" s="35">
        <v>7776</v>
      </c>
      <c r="E3957" s="4" t="s">
        <v>6528</v>
      </c>
      <c r="F3957" s="5">
        <v>40241</v>
      </c>
      <c r="G3957" s="5">
        <v>40361</v>
      </c>
      <c r="H3957" s="4" t="s">
        <v>40</v>
      </c>
      <c r="I3957" s="6">
        <v>38617.629999999997</v>
      </c>
      <c r="J3957" s="6">
        <v>38617.629999999997</v>
      </c>
      <c r="K3957" s="37" t="s">
        <v>6182</v>
      </c>
      <c r="L3957" s="120"/>
      <c r="M3957" s="3"/>
    </row>
    <row r="3958" spans="1:13" s="4" customFormat="1" ht="14.25" customHeight="1" x14ac:dyDescent="0.25">
      <c r="A3958" s="4" t="s">
        <v>3250</v>
      </c>
      <c r="B3958" s="4" t="s">
        <v>38</v>
      </c>
      <c r="C3958" s="4" t="s">
        <v>14</v>
      </c>
      <c r="D3958" s="35">
        <v>7778</v>
      </c>
      <c r="E3958" s="7" t="s">
        <v>6529</v>
      </c>
      <c r="F3958" s="5">
        <v>40507</v>
      </c>
      <c r="G3958" s="5">
        <v>41274</v>
      </c>
      <c r="H3958" s="4" t="s">
        <v>40</v>
      </c>
      <c r="I3958" s="6">
        <v>25000</v>
      </c>
      <c r="J3958" s="6">
        <v>25000</v>
      </c>
      <c r="K3958" s="37" t="s">
        <v>6182</v>
      </c>
      <c r="L3958" s="120"/>
      <c r="M3958" s="3"/>
    </row>
    <row r="3959" spans="1:13" s="4" customFormat="1" ht="14.25" customHeight="1" x14ac:dyDescent="0.25">
      <c r="A3959" s="4" t="s">
        <v>6530</v>
      </c>
      <c r="B3959" s="4" t="s">
        <v>38</v>
      </c>
      <c r="C3959" s="4" t="s">
        <v>14</v>
      </c>
      <c r="D3959" s="35">
        <v>7779</v>
      </c>
      <c r="E3959" s="4" t="s">
        <v>6531</v>
      </c>
      <c r="F3959" s="5">
        <v>40533</v>
      </c>
      <c r="G3959" s="5">
        <v>40533</v>
      </c>
      <c r="H3959" s="4" t="s">
        <v>40</v>
      </c>
      <c r="I3959" s="6">
        <v>5200</v>
      </c>
      <c r="J3959" s="6">
        <v>5200</v>
      </c>
      <c r="K3959" s="37" t="s">
        <v>6182</v>
      </c>
      <c r="L3959" s="120"/>
      <c r="M3959" s="3"/>
    </row>
    <row r="3960" spans="1:13" s="4" customFormat="1" ht="14.25" customHeight="1" x14ac:dyDescent="0.25">
      <c r="A3960" s="4" t="s">
        <v>6532</v>
      </c>
      <c r="B3960" s="4" t="s">
        <v>38</v>
      </c>
      <c r="C3960" s="4" t="s">
        <v>14</v>
      </c>
      <c r="D3960" s="35">
        <v>7787</v>
      </c>
      <c r="E3960" s="4" t="s">
        <v>6533</v>
      </c>
      <c r="F3960" s="5">
        <v>40225</v>
      </c>
      <c r="G3960" s="5">
        <v>40483</v>
      </c>
      <c r="H3960" s="4" t="s">
        <v>40</v>
      </c>
      <c r="I3960" s="6">
        <v>23770</v>
      </c>
      <c r="J3960" s="6">
        <v>23770</v>
      </c>
      <c r="K3960" s="37" t="s">
        <v>6182</v>
      </c>
      <c r="L3960" s="120"/>
      <c r="M3960" s="3"/>
    </row>
    <row r="3961" spans="1:13" s="4" customFormat="1" ht="14.25" customHeight="1" x14ac:dyDescent="0.25">
      <c r="A3961" s="4" t="s">
        <v>6473</v>
      </c>
      <c r="B3961" s="4" t="s">
        <v>38</v>
      </c>
      <c r="C3961" s="4" t="s">
        <v>14</v>
      </c>
      <c r="D3961" s="35">
        <v>7788</v>
      </c>
      <c r="E3961" s="4" t="s">
        <v>6534</v>
      </c>
      <c r="F3961" s="5">
        <v>40245</v>
      </c>
      <c r="G3961" s="5">
        <v>40395</v>
      </c>
      <c r="H3961" s="4" t="s">
        <v>40</v>
      </c>
      <c r="I3961" s="6">
        <v>26517.5</v>
      </c>
      <c r="J3961" s="6">
        <v>26517.5</v>
      </c>
      <c r="K3961" s="37" t="s">
        <v>6182</v>
      </c>
      <c r="L3961" s="120"/>
      <c r="M3961" s="3"/>
    </row>
    <row r="3962" spans="1:13" s="4" customFormat="1" ht="14.25" customHeight="1" x14ac:dyDescent="0.25">
      <c r="A3962" s="4" t="s">
        <v>6535</v>
      </c>
      <c r="B3962" s="4" t="s">
        <v>38</v>
      </c>
      <c r="C3962" s="4" t="s">
        <v>14</v>
      </c>
      <c r="D3962" s="35">
        <v>7789</v>
      </c>
      <c r="E3962" s="4" t="s">
        <v>6536</v>
      </c>
      <c r="F3962" s="5">
        <v>40297</v>
      </c>
      <c r="G3962" s="5">
        <v>40371</v>
      </c>
      <c r="H3962" s="4" t="s">
        <v>40</v>
      </c>
      <c r="I3962" s="6">
        <v>9389.5</v>
      </c>
      <c r="J3962" s="6">
        <v>9389.5</v>
      </c>
      <c r="K3962" s="37" t="s">
        <v>6182</v>
      </c>
      <c r="L3962" s="120"/>
      <c r="M3962" s="3"/>
    </row>
    <row r="3963" spans="1:13" s="4" customFormat="1" ht="14.25" customHeight="1" x14ac:dyDescent="0.25">
      <c r="A3963" s="4" t="s">
        <v>6537</v>
      </c>
      <c r="B3963" s="4" t="s">
        <v>38</v>
      </c>
      <c r="C3963" s="4" t="s">
        <v>14</v>
      </c>
      <c r="D3963" s="35">
        <v>7790</v>
      </c>
      <c r="E3963" s="4" t="s">
        <v>6538</v>
      </c>
      <c r="F3963" s="5">
        <v>40225</v>
      </c>
      <c r="G3963" s="5">
        <v>40309</v>
      </c>
      <c r="H3963" s="4" t="s">
        <v>40</v>
      </c>
      <c r="I3963" s="6">
        <v>3185.5</v>
      </c>
      <c r="J3963" s="6">
        <v>3185.5</v>
      </c>
      <c r="K3963" s="37" t="s">
        <v>6182</v>
      </c>
      <c r="L3963" s="120"/>
      <c r="M3963" s="3"/>
    </row>
    <row r="3964" spans="1:13" s="4" customFormat="1" ht="14.25" customHeight="1" x14ac:dyDescent="0.25">
      <c r="A3964" s="4" t="s">
        <v>6539</v>
      </c>
      <c r="B3964" s="4" t="s">
        <v>38</v>
      </c>
      <c r="C3964" s="4" t="s">
        <v>14</v>
      </c>
      <c r="D3964" s="35">
        <v>7791</v>
      </c>
      <c r="E3964" s="4" t="s">
        <v>6540</v>
      </c>
      <c r="F3964" s="5">
        <v>40268</v>
      </c>
      <c r="G3964" s="5">
        <v>40268</v>
      </c>
      <c r="H3964" s="4" t="s">
        <v>40</v>
      </c>
      <c r="I3964" s="6">
        <v>2345</v>
      </c>
      <c r="J3964" s="6">
        <v>2345</v>
      </c>
      <c r="K3964" s="37" t="s">
        <v>6182</v>
      </c>
      <c r="L3964" s="120"/>
      <c r="M3964" s="3"/>
    </row>
    <row r="3965" spans="1:13" s="4" customFormat="1" ht="14.25" customHeight="1" x14ac:dyDescent="0.25">
      <c r="A3965" s="4" t="s">
        <v>6541</v>
      </c>
      <c r="B3965" s="4" t="s">
        <v>38</v>
      </c>
      <c r="C3965" s="4" t="s">
        <v>14</v>
      </c>
      <c r="D3965" s="35">
        <v>7792</v>
      </c>
      <c r="E3965" s="4" t="s">
        <v>6542</v>
      </c>
      <c r="F3965" s="5">
        <v>40297</v>
      </c>
      <c r="G3965" s="5">
        <v>40330</v>
      </c>
      <c r="H3965" s="4" t="s">
        <v>40</v>
      </c>
      <c r="I3965" s="6">
        <v>2926.98</v>
      </c>
      <c r="J3965" s="6">
        <v>2926.98</v>
      </c>
      <c r="K3965" s="37" t="s">
        <v>6182</v>
      </c>
      <c r="L3965" s="120"/>
      <c r="M3965" s="3"/>
    </row>
    <row r="3966" spans="1:13" s="4" customFormat="1" ht="14.25" customHeight="1" x14ac:dyDescent="0.25">
      <c r="A3966" s="4" t="s">
        <v>6543</v>
      </c>
      <c r="B3966" s="4" t="s">
        <v>38</v>
      </c>
      <c r="C3966" s="4" t="s">
        <v>14</v>
      </c>
      <c r="D3966" s="35">
        <v>7793</v>
      </c>
      <c r="E3966" s="4" t="s">
        <v>6544</v>
      </c>
      <c r="F3966" s="5">
        <v>40245</v>
      </c>
      <c r="G3966" s="5">
        <v>40245</v>
      </c>
      <c r="H3966" s="4" t="s">
        <v>40</v>
      </c>
      <c r="I3966" s="6">
        <v>827.6</v>
      </c>
      <c r="J3966" s="6">
        <v>827.6</v>
      </c>
      <c r="K3966" s="37" t="s">
        <v>6182</v>
      </c>
      <c r="L3966" s="120"/>
      <c r="M3966" s="3"/>
    </row>
    <row r="3967" spans="1:13" s="4" customFormat="1" ht="14.25" customHeight="1" x14ac:dyDescent="0.25">
      <c r="A3967" s="4" t="s">
        <v>6545</v>
      </c>
      <c r="B3967" s="4" t="s">
        <v>38</v>
      </c>
      <c r="C3967" s="4" t="s">
        <v>14</v>
      </c>
      <c r="D3967" s="35">
        <v>7794</v>
      </c>
      <c r="E3967" s="4" t="s">
        <v>6546</v>
      </c>
      <c r="F3967" s="5">
        <v>40268</v>
      </c>
      <c r="G3967" s="5">
        <v>40297</v>
      </c>
      <c r="H3967" s="4" t="s">
        <v>40</v>
      </c>
      <c r="I3967" s="6">
        <v>810</v>
      </c>
      <c r="J3967" s="6">
        <v>810</v>
      </c>
      <c r="K3967" s="37" t="s">
        <v>6182</v>
      </c>
      <c r="L3967" s="120"/>
      <c r="M3967" s="3"/>
    </row>
    <row r="3968" spans="1:13" s="4" customFormat="1" ht="14.25" customHeight="1" x14ac:dyDescent="0.25">
      <c r="A3968" s="4" t="s">
        <v>6547</v>
      </c>
      <c r="B3968" s="4" t="s">
        <v>38</v>
      </c>
      <c r="C3968" s="4" t="s">
        <v>14</v>
      </c>
      <c r="D3968" s="35">
        <v>7795</v>
      </c>
      <c r="E3968" s="4" t="s">
        <v>6548</v>
      </c>
      <c r="F3968" s="5">
        <v>40245</v>
      </c>
      <c r="G3968" s="5">
        <v>40268</v>
      </c>
      <c r="H3968" s="4" t="s">
        <v>40</v>
      </c>
      <c r="I3968" s="6">
        <v>549</v>
      </c>
      <c r="J3968" s="6">
        <v>549</v>
      </c>
      <c r="K3968" s="37" t="s">
        <v>6182</v>
      </c>
      <c r="L3968" s="120"/>
      <c r="M3968" s="3"/>
    </row>
    <row r="3969" spans="1:13" s="4" customFormat="1" ht="14.25" customHeight="1" x14ac:dyDescent="0.25">
      <c r="A3969" s="4" t="s">
        <v>6549</v>
      </c>
      <c r="B3969" s="4" t="s">
        <v>38</v>
      </c>
      <c r="C3969" s="4" t="s">
        <v>14</v>
      </c>
      <c r="D3969" s="35">
        <v>7797</v>
      </c>
      <c r="E3969" s="4" t="s">
        <v>6550</v>
      </c>
      <c r="F3969" s="5">
        <v>40268</v>
      </c>
      <c r="G3969" s="5">
        <v>40297</v>
      </c>
      <c r="H3969" s="4" t="s">
        <v>40</v>
      </c>
      <c r="I3969" s="6">
        <v>606.25</v>
      </c>
      <c r="J3969" s="6">
        <v>606.25</v>
      </c>
      <c r="K3969" s="37" t="s">
        <v>6182</v>
      </c>
      <c r="L3969" s="120"/>
      <c r="M3969" s="3"/>
    </row>
    <row r="3970" spans="1:13" s="4" customFormat="1" ht="14.25" customHeight="1" x14ac:dyDescent="0.25">
      <c r="A3970" s="4" t="s">
        <v>6551</v>
      </c>
      <c r="B3970" s="4" t="s">
        <v>38</v>
      </c>
      <c r="C3970" s="4" t="s">
        <v>14</v>
      </c>
      <c r="D3970" s="35">
        <v>7798</v>
      </c>
      <c r="E3970" s="4" t="s">
        <v>6552</v>
      </c>
      <c r="F3970" s="5">
        <v>40297</v>
      </c>
      <c r="G3970" s="5">
        <v>40297</v>
      </c>
      <c r="H3970" s="4" t="s">
        <v>40</v>
      </c>
      <c r="I3970" s="6">
        <v>1430.7</v>
      </c>
      <c r="J3970" s="6">
        <v>1430.7</v>
      </c>
      <c r="K3970" s="37" t="s">
        <v>6182</v>
      </c>
      <c r="L3970" s="120"/>
      <c r="M3970" s="3"/>
    </row>
    <row r="3971" spans="1:13" s="4" customFormat="1" ht="14.25" customHeight="1" x14ac:dyDescent="0.25">
      <c r="A3971" s="4" t="s">
        <v>6553</v>
      </c>
      <c r="B3971" s="4" t="s">
        <v>38</v>
      </c>
      <c r="C3971" s="4" t="s">
        <v>14</v>
      </c>
      <c r="D3971" s="35">
        <v>7799</v>
      </c>
      <c r="E3971" s="4" t="s">
        <v>6554</v>
      </c>
      <c r="F3971" s="5">
        <v>40245</v>
      </c>
      <c r="G3971" s="5">
        <v>40297</v>
      </c>
      <c r="H3971" s="4" t="s">
        <v>40</v>
      </c>
      <c r="I3971" s="6">
        <v>4907.99</v>
      </c>
      <c r="J3971" s="6">
        <v>4907.99</v>
      </c>
      <c r="K3971" s="37" t="s">
        <v>6182</v>
      </c>
      <c r="L3971" s="120"/>
      <c r="M3971" s="3"/>
    </row>
    <row r="3972" spans="1:13" s="4" customFormat="1" ht="14.25" customHeight="1" x14ac:dyDescent="0.25">
      <c r="A3972" s="4" t="s">
        <v>6420</v>
      </c>
      <c r="B3972" s="4" t="s">
        <v>38</v>
      </c>
      <c r="C3972" s="4" t="s">
        <v>14</v>
      </c>
      <c r="D3972" s="35">
        <v>7800</v>
      </c>
      <c r="E3972" s="4" t="s">
        <v>6421</v>
      </c>
      <c r="F3972" s="5">
        <v>40245</v>
      </c>
      <c r="G3972" s="5">
        <v>40500</v>
      </c>
      <c r="H3972" s="4" t="s">
        <v>40</v>
      </c>
      <c r="I3972" s="6">
        <v>6231.7</v>
      </c>
      <c r="J3972" s="6">
        <v>6231.7</v>
      </c>
      <c r="K3972" s="37" t="s">
        <v>6182</v>
      </c>
      <c r="L3972" s="120"/>
      <c r="M3972" s="3"/>
    </row>
    <row r="3973" spans="1:13" s="4" customFormat="1" ht="14.25" customHeight="1" x14ac:dyDescent="0.25">
      <c r="A3973" s="4" t="s">
        <v>6555</v>
      </c>
      <c r="B3973" s="4" t="s">
        <v>38</v>
      </c>
      <c r="C3973" s="4" t="s">
        <v>14</v>
      </c>
      <c r="D3973" s="35">
        <v>7802</v>
      </c>
      <c r="E3973" s="4" t="s">
        <v>6556</v>
      </c>
      <c r="F3973" s="5">
        <v>40297</v>
      </c>
      <c r="G3973" s="5">
        <v>40330</v>
      </c>
      <c r="H3973" s="4" t="s">
        <v>40</v>
      </c>
      <c r="I3973" s="6">
        <v>3305.65</v>
      </c>
      <c r="J3973" s="6">
        <v>3305.65</v>
      </c>
      <c r="K3973" s="37" t="s">
        <v>6182</v>
      </c>
      <c r="L3973" s="120"/>
      <c r="M3973" s="3"/>
    </row>
    <row r="3974" spans="1:13" s="4" customFormat="1" ht="14.25" customHeight="1" x14ac:dyDescent="0.25">
      <c r="A3974" s="4" t="s">
        <v>6557</v>
      </c>
      <c r="B3974" s="4" t="s">
        <v>38</v>
      </c>
      <c r="C3974" s="4" t="s">
        <v>14</v>
      </c>
      <c r="D3974" s="35">
        <v>7812</v>
      </c>
      <c r="E3974" s="4" t="s">
        <v>6558</v>
      </c>
      <c r="F3974" s="5">
        <v>40297</v>
      </c>
      <c r="G3974" s="5">
        <v>40309</v>
      </c>
      <c r="H3974" s="4" t="s">
        <v>40</v>
      </c>
      <c r="I3974" s="6">
        <v>1864.03</v>
      </c>
      <c r="J3974" s="6">
        <v>1864.03</v>
      </c>
      <c r="K3974" s="37" t="s">
        <v>6182</v>
      </c>
      <c r="L3974" s="120"/>
      <c r="M3974" s="3"/>
    </row>
    <row r="3975" spans="1:13" s="4" customFormat="1" ht="14.25" customHeight="1" x14ac:dyDescent="0.25">
      <c r="A3975" s="4" t="s">
        <v>6559</v>
      </c>
      <c r="B3975" s="4" t="s">
        <v>38</v>
      </c>
      <c r="C3975" s="4" t="s">
        <v>14</v>
      </c>
      <c r="D3975" s="35">
        <v>7813</v>
      </c>
      <c r="E3975" s="4" t="s">
        <v>6560</v>
      </c>
      <c r="F3975" s="5">
        <v>40225</v>
      </c>
      <c r="G3975" s="5">
        <v>40485</v>
      </c>
      <c r="H3975" s="4" t="s">
        <v>40</v>
      </c>
      <c r="I3975" s="6">
        <v>1845</v>
      </c>
      <c r="J3975" s="6">
        <v>1845</v>
      </c>
      <c r="K3975" s="37" t="s">
        <v>6182</v>
      </c>
      <c r="L3975" s="120"/>
      <c r="M3975" s="3"/>
    </row>
    <row r="3976" spans="1:13" s="4" customFormat="1" ht="14.25" customHeight="1" x14ac:dyDescent="0.25">
      <c r="A3976" s="4" t="s">
        <v>6561</v>
      </c>
      <c r="B3976" s="4" t="s">
        <v>38</v>
      </c>
      <c r="C3976" s="4" t="s">
        <v>14</v>
      </c>
      <c r="D3976" s="35">
        <v>7816</v>
      </c>
      <c r="E3976" s="4" t="s">
        <v>6562</v>
      </c>
      <c r="F3976" s="5">
        <v>40297</v>
      </c>
      <c r="G3976" s="5">
        <v>40297</v>
      </c>
      <c r="H3976" s="4" t="s">
        <v>40</v>
      </c>
      <c r="I3976" s="6">
        <v>2844.37</v>
      </c>
      <c r="J3976" s="6">
        <v>2844.37</v>
      </c>
      <c r="K3976" s="37" t="s">
        <v>6182</v>
      </c>
      <c r="L3976" s="120"/>
      <c r="M3976" s="3"/>
    </row>
    <row r="3977" spans="1:13" s="4" customFormat="1" ht="14.25" customHeight="1" x14ac:dyDescent="0.25">
      <c r="A3977" s="4" t="s">
        <v>6563</v>
      </c>
      <c r="B3977" s="4" t="s">
        <v>38</v>
      </c>
      <c r="C3977" s="4" t="s">
        <v>14</v>
      </c>
      <c r="D3977" s="35">
        <v>7818</v>
      </c>
      <c r="E3977" s="4" t="s">
        <v>6564</v>
      </c>
      <c r="F3977" s="5">
        <v>40179</v>
      </c>
      <c r="G3977" s="5">
        <v>40543</v>
      </c>
      <c r="H3977" s="4" t="s">
        <v>40</v>
      </c>
      <c r="I3977" s="6">
        <v>55861.73</v>
      </c>
      <c r="J3977" s="6">
        <v>55861.73</v>
      </c>
      <c r="K3977" s="37" t="s">
        <v>6182</v>
      </c>
      <c r="L3977" s="120"/>
      <c r="M3977" s="3"/>
    </row>
    <row r="3978" spans="1:13" s="4" customFormat="1" ht="14.25" customHeight="1" x14ac:dyDescent="0.25">
      <c r="A3978" s="4" t="s">
        <v>6565</v>
      </c>
      <c r="B3978" s="4" t="s">
        <v>183</v>
      </c>
      <c r="C3978" s="4" t="s">
        <v>14</v>
      </c>
      <c r="D3978" s="35">
        <v>8967</v>
      </c>
      <c r="E3978" s="4" t="s">
        <v>6566</v>
      </c>
      <c r="F3978" s="5">
        <v>40483</v>
      </c>
      <c r="H3978" s="4" t="s">
        <v>40</v>
      </c>
      <c r="I3978" s="6">
        <v>28500</v>
      </c>
      <c r="J3978" s="6">
        <v>28500</v>
      </c>
      <c r="K3978" s="37" t="s">
        <v>6182</v>
      </c>
      <c r="L3978" s="120"/>
      <c r="M3978" s="3"/>
    </row>
    <row r="3979" spans="1:13" s="4" customFormat="1" ht="14.25" customHeight="1" x14ac:dyDescent="0.25">
      <c r="A3979" s="4" t="s">
        <v>6567</v>
      </c>
      <c r="B3979" s="4" t="s">
        <v>190</v>
      </c>
      <c r="C3979" s="4" t="s">
        <v>14</v>
      </c>
      <c r="D3979" s="35">
        <v>8969</v>
      </c>
      <c r="E3979" s="4" t="s">
        <v>6568</v>
      </c>
      <c r="F3979" s="5">
        <v>40631</v>
      </c>
      <c r="H3979" s="4" t="s">
        <v>40</v>
      </c>
      <c r="I3979" s="6">
        <v>15000</v>
      </c>
      <c r="J3979" s="6">
        <v>15000</v>
      </c>
      <c r="K3979" s="37" t="s">
        <v>6182</v>
      </c>
      <c r="L3979" s="120"/>
      <c r="M3979" s="3"/>
    </row>
    <row r="3980" spans="1:13" s="4" customFormat="1" ht="14.25" customHeight="1" x14ac:dyDescent="0.25">
      <c r="A3980" s="4" t="s">
        <v>6569</v>
      </c>
      <c r="B3980" s="4" t="s">
        <v>183</v>
      </c>
      <c r="C3980" s="4" t="s">
        <v>14</v>
      </c>
      <c r="D3980" s="35">
        <v>8970</v>
      </c>
      <c r="E3980" s="4" t="s">
        <v>6570</v>
      </c>
      <c r="F3980" s="5">
        <v>40686</v>
      </c>
      <c r="H3980" s="4" t="s">
        <v>40</v>
      </c>
      <c r="I3980" s="6">
        <v>15000</v>
      </c>
      <c r="J3980" s="6">
        <v>7500</v>
      </c>
      <c r="K3980" s="37" t="s">
        <v>6182</v>
      </c>
      <c r="L3980" s="120"/>
      <c r="M3980" s="3"/>
    </row>
    <row r="3981" spans="1:13" s="4" customFormat="1" ht="14.25" customHeight="1" x14ac:dyDescent="0.25">
      <c r="A3981" s="4" t="s">
        <v>6571</v>
      </c>
      <c r="B3981" s="4" t="s">
        <v>190</v>
      </c>
      <c r="C3981" s="4" t="s">
        <v>14</v>
      </c>
      <c r="D3981" s="35">
        <v>8986</v>
      </c>
      <c r="E3981" s="4" t="s">
        <v>6572</v>
      </c>
      <c r="F3981" s="5">
        <v>40630</v>
      </c>
      <c r="H3981" s="4" t="s">
        <v>40</v>
      </c>
      <c r="I3981" s="6">
        <v>37000</v>
      </c>
      <c r="J3981" s="6">
        <v>21000</v>
      </c>
      <c r="K3981" s="37" t="s">
        <v>6182</v>
      </c>
      <c r="L3981" s="120"/>
      <c r="M3981" s="3"/>
    </row>
    <row r="3982" spans="1:13" s="4" customFormat="1" ht="14.25" customHeight="1" x14ac:dyDescent="0.25">
      <c r="A3982" s="4" t="s">
        <v>6573</v>
      </c>
      <c r="B3982" s="4" t="s">
        <v>190</v>
      </c>
      <c r="C3982" s="4" t="s">
        <v>14</v>
      </c>
      <c r="D3982" s="35">
        <v>8989</v>
      </c>
      <c r="E3982" s="4" t="s">
        <v>6574</v>
      </c>
      <c r="F3982" s="5">
        <v>40259</v>
      </c>
      <c r="G3982" s="5">
        <v>41639</v>
      </c>
      <c r="H3982" s="4" t="s">
        <v>40</v>
      </c>
      <c r="I3982" s="6">
        <v>6750</v>
      </c>
      <c r="J3982" s="6">
        <f>3000+3750</f>
        <v>6750</v>
      </c>
      <c r="K3982" s="37" t="s">
        <v>6182</v>
      </c>
      <c r="L3982" s="120"/>
      <c r="M3982" s="3"/>
    </row>
    <row r="3983" spans="1:13" s="4" customFormat="1" ht="14.25" customHeight="1" x14ac:dyDescent="0.25">
      <c r="A3983" s="4" t="s">
        <v>6575</v>
      </c>
      <c r="B3983" s="4" t="s">
        <v>190</v>
      </c>
      <c r="C3983" s="4" t="s">
        <v>14</v>
      </c>
      <c r="D3983" s="35">
        <v>8990</v>
      </c>
      <c r="E3983" s="4" t="s">
        <v>6576</v>
      </c>
      <c r="F3983" s="5">
        <v>40840</v>
      </c>
      <c r="H3983" s="4" t="s">
        <v>40</v>
      </c>
      <c r="I3983" s="6">
        <v>36042</v>
      </c>
      <c r="J3983" s="6">
        <v>18021</v>
      </c>
      <c r="K3983" s="37" t="s">
        <v>6182</v>
      </c>
      <c r="L3983" s="120"/>
      <c r="M3983" s="3"/>
    </row>
    <row r="3984" spans="1:13" s="4" customFormat="1" ht="14.25" customHeight="1" x14ac:dyDescent="0.25">
      <c r="A3984" s="4" t="s">
        <v>6577</v>
      </c>
      <c r="B3984" s="4" t="s">
        <v>183</v>
      </c>
      <c r="C3984" s="4" t="s">
        <v>14</v>
      </c>
      <c r="D3984" s="35">
        <v>8991</v>
      </c>
      <c r="E3984" s="4" t="s">
        <v>6578</v>
      </c>
      <c r="F3984" s="5">
        <v>40749</v>
      </c>
      <c r="H3984" s="4" t="s">
        <v>40</v>
      </c>
      <c r="I3984" s="6">
        <v>5625</v>
      </c>
      <c r="J3984" s="6">
        <v>5625</v>
      </c>
      <c r="K3984" s="37" t="s">
        <v>6182</v>
      </c>
      <c r="L3984" s="120"/>
      <c r="M3984" s="3"/>
    </row>
    <row r="3985" spans="1:13" s="4" customFormat="1" ht="14.25" customHeight="1" x14ac:dyDescent="0.25">
      <c r="A3985" s="4" t="s">
        <v>6579</v>
      </c>
      <c r="B3985" s="4" t="s">
        <v>183</v>
      </c>
      <c r="C3985" s="4" t="s">
        <v>14</v>
      </c>
      <c r="D3985" s="35">
        <v>8992</v>
      </c>
      <c r="E3985" s="4" t="s">
        <v>6580</v>
      </c>
      <c r="F3985" s="5">
        <v>40774</v>
      </c>
      <c r="H3985" s="4" t="s">
        <v>40</v>
      </c>
      <c r="I3985" s="6">
        <v>15000</v>
      </c>
      <c r="J3985" s="6">
        <f>7500+7500</f>
        <v>15000</v>
      </c>
      <c r="K3985" s="37" t="s">
        <v>6182</v>
      </c>
      <c r="L3985" s="120"/>
      <c r="M3985" s="3"/>
    </row>
    <row r="3986" spans="1:13" s="4" customFormat="1" ht="14.25" customHeight="1" x14ac:dyDescent="0.25">
      <c r="A3986" s="4" t="s">
        <v>6581</v>
      </c>
      <c r="B3986" s="4" t="s">
        <v>190</v>
      </c>
      <c r="C3986" s="4" t="s">
        <v>14</v>
      </c>
      <c r="D3986" s="35">
        <v>8994</v>
      </c>
      <c r="E3986" s="4" t="s">
        <v>6582</v>
      </c>
      <c r="F3986" s="5">
        <v>40478</v>
      </c>
      <c r="H3986" s="4" t="s">
        <v>40</v>
      </c>
      <c r="I3986" s="6">
        <v>75504</v>
      </c>
      <c r="J3986" s="6">
        <f>30400+14852</f>
        <v>45252</v>
      </c>
      <c r="K3986" s="37" t="s">
        <v>6182</v>
      </c>
      <c r="L3986" s="120"/>
      <c r="M3986" s="3"/>
    </row>
    <row r="3987" spans="1:13" s="4" customFormat="1" ht="14.25" customHeight="1" x14ac:dyDescent="0.25">
      <c r="A3987" s="4" t="s">
        <v>6583</v>
      </c>
      <c r="B3987" s="4" t="s">
        <v>183</v>
      </c>
      <c r="C3987" s="4" t="s">
        <v>14</v>
      </c>
      <c r="D3987" s="35">
        <v>8995</v>
      </c>
      <c r="E3987" s="4" t="s">
        <v>6584</v>
      </c>
      <c r="F3987" s="5">
        <v>40812</v>
      </c>
      <c r="H3987" s="4" t="s">
        <v>40</v>
      </c>
      <c r="I3987" s="6">
        <v>18750</v>
      </c>
      <c r="J3987" s="6">
        <v>18750</v>
      </c>
      <c r="K3987" s="37" t="s">
        <v>6182</v>
      </c>
      <c r="L3987" s="120"/>
      <c r="M3987" s="3"/>
    </row>
    <row r="3988" spans="1:13" s="4" customFormat="1" ht="14.25" customHeight="1" x14ac:dyDescent="0.25">
      <c r="A3988" s="4" t="s">
        <v>6585</v>
      </c>
      <c r="B3988" s="4" t="s">
        <v>183</v>
      </c>
      <c r="C3988" s="4" t="s">
        <v>14</v>
      </c>
      <c r="D3988" s="35">
        <v>8997</v>
      </c>
      <c r="E3988" s="4" t="s">
        <v>6586</v>
      </c>
      <c r="F3988" s="5">
        <v>40630</v>
      </c>
      <c r="H3988" s="4" t="s">
        <v>40</v>
      </c>
      <c r="I3988" s="6">
        <v>6000</v>
      </c>
      <c r="J3988" s="6">
        <v>6000</v>
      </c>
      <c r="K3988" s="37" t="s">
        <v>6182</v>
      </c>
      <c r="L3988" s="120"/>
      <c r="M3988" s="3"/>
    </row>
    <row r="3989" spans="1:13" s="4" customFormat="1" ht="14.25" customHeight="1" x14ac:dyDescent="0.25">
      <c r="A3989" s="4" t="s">
        <v>6505</v>
      </c>
      <c r="B3989" s="4" t="s">
        <v>183</v>
      </c>
      <c r="C3989" s="4" t="s">
        <v>14</v>
      </c>
      <c r="D3989" s="35">
        <v>8999</v>
      </c>
      <c r="E3989" s="4" t="s">
        <v>6587</v>
      </c>
      <c r="F3989" s="5">
        <v>40483</v>
      </c>
      <c r="H3989" s="4" t="s">
        <v>40</v>
      </c>
      <c r="I3989" s="6">
        <v>7500</v>
      </c>
      <c r="J3989" s="6">
        <v>7500</v>
      </c>
      <c r="K3989" s="37" t="s">
        <v>6182</v>
      </c>
      <c r="L3989" s="120"/>
      <c r="M3989" s="3"/>
    </row>
    <row r="3990" spans="1:13" s="4" customFormat="1" ht="14.25" customHeight="1" x14ac:dyDescent="0.25">
      <c r="A3990" s="4" t="s">
        <v>6588</v>
      </c>
      <c r="B3990" s="4" t="s">
        <v>190</v>
      </c>
      <c r="C3990" s="4" t="s">
        <v>14</v>
      </c>
      <c r="D3990" s="35">
        <v>9000</v>
      </c>
      <c r="E3990" s="7" t="s">
        <v>6589</v>
      </c>
      <c r="F3990" s="5">
        <v>40840</v>
      </c>
      <c r="H3990" s="4" t="s">
        <v>40</v>
      </c>
      <c r="I3990" s="6">
        <v>27706</v>
      </c>
      <c r="J3990" s="6">
        <v>17603</v>
      </c>
      <c r="K3990" s="37" t="s">
        <v>6182</v>
      </c>
      <c r="L3990" s="120"/>
      <c r="M3990" s="3"/>
    </row>
    <row r="3991" spans="1:13" s="4" customFormat="1" ht="14.25" customHeight="1" x14ac:dyDescent="0.25">
      <c r="A3991" s="4" t="s">
        <v>6590</v>
      </c>
      <c r="B3991" s="4" t="s">
        <v>90</v>
      </c>
      <c r="C3991" s="4" t="s">
        <v>14</v>
      </c>
      <c r="D3991" s="35">
        <v>9002</v>
      </c>
      <c r="E3991" s="4" t="s">
        <v>6591</v>
      </c>
      <c r="F3991" s="5">
        <v>40686</v>
      </c>
      <c r="H3991" s="4" t="s">
        <v>40</v>
      </c>
      <c r="I3991" s="6">
        <v>3937.72</v>
      </c>
      <c r="J3991" s="6">
        <v>1968.86</v>
      </c>
      <c r="K3991" s="37" t="s">
        <v>6182</v>
      </c>
      <c r="L3991" s="120"/>
      <c r="M3991" s="3"/>
    </row>
    <row r="3992" spans="1:13" s="4" customFormat="1" ht="14.25" customHeight="1" x14ac:dyDescent="0.25">
      <c r="A3992" s="4" t="s">
        <v>6592</v>
      </c>
      <c r="B3992" s="4" t="s">
        <v>90</v>
      </c>
      <c r="C3992" s="4" t="s">
        <v>14</v>
      </c>
      <c r="D3992" s="35">
        <v>9003</v>
      </c>
      <c r="E3992" s="4" t="s">
        <v>6593</v>
      </c>
      <c r="F3992" s="5">
        <v>40322</v>
      </c>
      <c r="H3992" s="4" t="s">
        <v>40</v>
      </c>
      <c r="I3992" s="6">
        <v>6018.86</v>
      </c>
      <c r="J3992" s="6">
        <v>3009.43</v>
      </c>
      <c r="K3992" s="37" t="s">
        <v>6182</v>
      </c>
      <c r="L3992" s="120"/>
      <c r="M3992" s="3"/>
    </row>
    <row r="3993" spans="1:13" s="4" customFormat="1" ht="14.25" customHeight="1" x14ac:dyDescent="0.25">
      <c r="A3993" s="4" t="s">
        <v>6594</v>
      </c>
      <c r="B3993" s="4" t="s">
        <v>190</v>
      </c>
      <c r="C3993" s="4" t="s">
        <v>14</v>
      </c>
      <c r="D3993" s="35">
        <v>9004</v>
      </c>
      <c r="E3993" s="4" t="s">
        <v>6595</v>
      </c>
      <c r="F3993" s="5">
        <v>40686</v>
      </c>
      <c r="H3993" s="4" t="s">
        <v>40</v>
      </c>
      <c r="I3993" s="6">
        <f>10180-1800</f>
        <v>8380</v>
      </c>
      <c r="J3993" s="6">
        <v>7565</v>
      </c>
      <c r="K3993" s="37" t="s">
        <v>6182</v>
      </c>
      <c r="L3993" s="120"/>
      <c r="M3993" s="3"/>
    </row>
    <row r="3994" spans="1:13" s="4" customFormat="1" ht="14.25" customHeight="1" x14ac:dyDescent="0.25">
      <c r="A3994" s="4" t="s">
        <v>6596</v>
      </c>
      <c r="B3994" s="4" t="s">
        <v>90</v>
      </c>
      <c r="C3994" s="4" t="s">
        <v>14</v>
      </c>
      <c r="D3994" s="35">
        <v>9005</v>
      </c>
      <c r="E3994" s="4" t="s">
        <v>6597</v>
      </c>
      <c r="F3994" s="5">
        <v>40686</v>
      </c>
      <c r="H3994" s="4" t="s">
        <v>40</v>
      </c>
      <c r="I3994" s="6">
        <v>9704</v>
      </c>
      <c r="J3994" s="6">
        <v>4852</v>
      </c>
      <c r="K3994" s="37" t="s">
        <v>6182</v>
      </c>
      <c r="L3994" s="120"/>
      <c r="M3994" s="3"/>
    </row>
    <row r="3995" spans="1:13" s="4" customFormat="1" ht="14.25" customHeight="1" x14ac:dyDescent="0.25">
      <c r="A3995" s="4" t="s">
        <v>6598</v>
      </c>
      <c r="B3995" s="4" t="s">
        <v>183</v>
      </c>
      <c r="C3995" s="4" t="s">
        <v>14</v>
      </c>
      <c r="D3995" s="35">
        <v>9006</v>
      </c>
      <c r="E3995" s="4" t="s">
        <v>6599</v>
      </c>
      <c r="F3995" s="5">
        <v>40840</v>
      </c>
      <c r="H3995" s="4" t="s">
        <v>40</v>
      </c>
      <c r="I3995" s="6">
        <v>9592</v>
      </c>
      <c r="J3995" s="6">
        <v>6296</v>
      </c>
      <c r="K3995" s="37" t="s">
        <v>6182</v>
      </c>
      <c r="L3995" s="120"/>
      <c r="M3995" s="3"/>
    </row>
    <row r="3996" spans="1:13" s="4" customFormat="1" ht="14.25" customHeight="1" x14ac:dyDescent="0.25">
      <c r="A3996" s="4" t="s">
        <v>6600</v>
      </c>
      <c r="B3996" s="4" t="s">
        <v>183</v>
      </c>
      <c r="C3996" s="4" t="s">
        <v>14</v>
      </c>
      <c r="D3996" s="35">
        <v>9007</v>
      </c>
      <c r="E3996" s="4" t="s">
        <v>6601</v>
      </c>
      <c r="F3996" s="5">
        <v>40567</v>
      </c>
      <c r="H3996" s="4" t="s">
        <v>40</v>
      </c>
      <c r="I3996" s="6">
        <v>6000</v>
      </c>
      <c r="J3996" s="6">
        <v>6000</v>
      </c>
      <c r="K3996" s="37" t="s">
        <v>6182</v>
      </c>
      <c r="L3996" s="120"/>
      <c r="M3996" s="3"/>
    </row>
    <row r="3997" spans="1:13" s="4" customFormat="1" ht="14.25" customHeight="1" x14ac:dyDescent="0.25">
      <c r="A3997" s="4" t="s">
        <v>6602</v>
      </c>
      <c r="B3997" s="4" t="s">
        <v>183</v>
      </c>
      <c r="C3997" s="4" t="s">
        <v>14</v>
      </c>
      <c r="D3997" s="35">
        <v>9008</v>
      </c>
      <c r="E3997" s="4" t="s">
        <v>6603</v>
      </c>
      <c r="F3997" s="5">
        <v>40567</v>
      </c>
      <c r="H3997" s="4" t="s">
        <v>40</v>
      </c>
      <c r="I3997" s="6">
        <v>12000</v>
      </c>
      <c r="J3997" s="6">
        <v>12000</v>
      </c>
      <c r="K3997" s="37" t="s">
        <v>6182</v>
      </c>
      <c r="L3997" s="120"/>
      <c r="M3997" s="3"/>
    </row>
    <row r="3998" spans="1:13" s="4" customFormat="1" ht="14.25" customHeight="1" x14ac:dyDescent="0.25">
      <c r="A3998" s="4" t="s">
        <v>6499</v>
      </c>
      <c r="B3998" s="4" t="s">
        <v>183</v>
      </c>
      <c r="C3998" s="4" t="s">
        <v>14</v>
      </c>
      <c r="D3998" s="35">
        <v>9009</v>
      </c>
      <c r="E3998" s="4" t="s">
        <v>6604</v>
      </c>
      <c r="F3998" s="5">
        <v>40322</v>
      </c>
      <c r="H3998" s="4" t="s">
        <v>40</v>
      </c>
      <c r="I3998" s="6">
        <v>9431</v>
      </c>
      <c r="J3998" s="6">
        <v>6000</v>
      </c>
      <c r="K3998" s="37" t="s">
        <v>6182</v>
      </c>
      <c r="L3998" s="120"/>
      <c r="M3998" s="3"/>
    </row>
    <row r="3999" spans="1:13" s="4" customFormat="1" ht="14.25" customHeight="1" x14ac:dyDescent="0.25">
      <c r="A3999" s="4" t="s">
        <v>6605</v>
      </c>
      <c r="B3999" s="4" t="s">
        <v>190</v>
      </c>
      <c r="C3999" s="4" t="s">
        <v>14</v>
      </c>
      <c r="D3999" s="35">
        <v>9010</v>
      </c>
      <c r="E3999" s="4" t="s">
        <v>6606</v>
      </c>
      <c r="F3999" s="5">
        <v>40749</v>
      </c>
      <c r="H3999" s="4" t="s">
        <v>40</v>
      </c>
      <c r="I3999" s="6">
        <v>3750</v>
      </c>
      <c r="J3999" s="6">
        <v>3750</v>
      </c>
      <c r="K3999" s="37" t="s">
        <v>6182</v>
      </c>
      <c r="L3999" s="120"/>
      <c r="M3999" s="3"/>
    </row>
    <row r="4000" spans="1:13" s="4" customFormat="1" ht="14.25" customHeight="1" x14ac:dyDescent="0.25">
      <c r="A4000" s="4" t="s">
        <v>6607</v>
      </c>
      <c r="B4000" s="4" t="s">
        <v>38</v>
      </c>
      <c r="C4000" s="4" t="s">
        <v>14</v>
      </c>
      <c r="D4000" s="35">
        <v>9085</v>
      </c>
      <c r="E4000" s="4" t="s">
        <v>6528</v>
      </c>
      <c r="F4000" s="5">
        <v>40598</v>
      </c>
      <c r="G4000" s="5">
        <v>40689</v>
      </c>
      <c r="H4000" s="4" t="s">
        <v>40</v>
      </c>
      <c r="I4000" s="6">
        <v>39792.15</v>
      </c>
      <c r="J4000" s="6">
        <v>39792.15</v>
      </c>
      <c r="K4000" s="37" t="s">
        <v>6182</v>
      </c>
      <c r="L4000" s="120"/>
      <c r="M4000" s="3"/>
    </row>
    <row r="4001" spans="1:13" s="4" customFormat="1" ht="14.25" customHeight="1" x14ac:dyDescent="0.25">
      <c r="A4001" s="4" t="s">
        <v>6608</v>
      </c>
      <c r="B4001" s="4" t="s">
        <v>38</v>
      </c>
      <c r="C4001" s="4" t="s">
        <v>14</v>
      </c>
      <c r="D4001" s="35">
        <v>9087</v>
      </c>
      <c r="E4001" s="4" t="s">
        <v>6609</v>
      </c>
      <c r="F4001" s="5">
        <v>40568</v>
      </c>
      <c r="G4001" s="5">
        <v>40596</v>
      </c>
      <c r="H4001" s="4" t="s">
        <v>40</v>
      </c>
      <c r="I4001" s="6">
        <v>4656</v>
      </c>
      <c r="J4001" s="6">
        <v>4656</v>
      </c>
      <c r="K4001" s="37" t="s">
        <v>6182</v>
      </c>
      <c r="L4001" s="120"/>
      <c r="M4001" s="3"/>
    </row>
    <row r="4002" spans="1:13" s="4" customFormat="1" ht="14.25" customHeight="1" x14ac:dyDescent="0.25">
      <c r="A4002" s="4" t="s">
        <v>6610</v>
      </c>
      <c r="B4002" s="4" t="s">
        <v>38</v>
      </c>
      <c r="C4002" s="4" t="s">
        <v>14</v>
      </c>
      <c r="D4002" s="35">
        <v>9088</v>
      </c>
      <c r="E4002" s="4" t="s">
        <v>6609</v>
      </c>
      <c r="F4002" s="5">
        <v>40584</v>
      </c>
      <c r="G4002" s="5">
        <v>40612</v>
      </c>
      <c r="H4002" s="4" t="s">
        <v>40</v>
      </c>
      <c r="I4002" s="6">
        <v>2495</v>
      </c>
      <c r="J4002" s="6">
        <v>2495</v>
      </c>
      <c r="K4002" s="37" t="s">
        <v>6182</v>
      </c>
      <c r="L4002" s="120"/>
      <c r="M4002" s="3"/>
    </row>
    <row r="4003" spans="1:13" s="4" customFormat="1" ht="14.25" customHeight="1" x14ac:dyDescent="0.25">
      <c r="A4003" s="4" t="s">
        <v>6611</v>
      </c>
      <c r="B4003" s="4" t="s">
        <v>38</v>
      </c>
      <c r="C4003" s="4" t="s">
        <v>14</v>
      </c>
      <c r="D4003" s="35">
        <v>9090</v>
      </c>
      <c r="E4003" s="4" t="s">
        <v>6609</v>
      </c>
      <c r="F4003" s="5">
        <v>40624</v>
      </c>
      <c r="G4003" s="5">
        <v>40652</v>
      </c>
      <c r="H4003" s="4" t="s">
        <v>40</v>
      </c>
      <c r="I4003" s="6">
        <v>2150</v>
      </c>
      <c r="J4003" s="6">
        <v>2150</v>
      </c>
      <c r="K4003" s="37" t="s">
        <v>6182</v>
      </c>
      <c r="L4003" s="120"/>
      <c r="M4003" s="3"/>
    </row>
    <row r="4004" spans="1:13" s="4" customFormat="1" ht="14.25" customHeight="1" x14ac:dyDescent="0.25">
      <c r="A4004" s="4" t="s">
        <v>6612</v>
      </c>
      <c r="B4004" s="4" t="s">
        <v>38</v>
      </c>
      <c r="C4004" s="4" t="s">
        <v>14</v>
      </c>
      <c r="D4004" s="35">
        <v>9091</v>
      </c>
      <c r="E4004" s="4" t="s">
        <v>6609</v>
      </c>
      <c r="F4004" s="5">
        <v>40646</v>
      </c>
      <c r="G4004" s="5">
        <v>40674</v>
      </c>
      <c r="H4004" s="4" t="s">
        <v>40</v>
      </c>
      <c r="I4004" s="6">
        <v>2500</v>
      </c>
      <c r="J4004" s="6">
        <v>2500</v>
      </c>
      <c r="K4004" s="37" t="s">
        <v>6182</v>
      </c>
      <c r="L4004" s="120"/>
      <c r="M4004" s="3"/>
    </row>
    <row r="4005" spans="1:13" s="4" customFormat="1" ht="14.25" customHeight="1" x14ac:dyDescent="0.25">
      <c r="A4005" s="4" t="s">
        <v>6613</v>
      </c>
      <c r="B4005" s="4" t="s">
        <v>38</v>
      </c>
      <c r="C4005" s="4" t="s">
        <v>14</v>
      </c>
      <c r="D4005" s="35">
        <v>9093</v>
      </c>
      <c r="E4005" s="4" t="s">
        <v>6609</v>
      </c>
      <c r="F4005" s="5">
        <v>40812</v>
      </c>
      <c r="G4005" s="5">
        <v>40848</v>
      </c>
      <c r="H4005" s="4" t="s">
        <v>40</v>
      </c>
      <c r="I4005" s="6">
        <v>3637.5</v>
      </c>
      <c r="J4005" s="6">
        <v>3637.5</v>
      </c>
      <c r="K4005" s="37" t="s">
        <v>6182</v>
      </c>
      <c r="L4005" s="120"/>
      <c r="M4005" s="3"/>
    </row>
    <row r="4006" spans="1:13" s="4" customFormat="1" ht="14.25" customHeight="1" x14ac:dyDescent="0.25">
      <c r="A4006" s="4" t="s">
        <v>6614</v>
      </c>
      <c r="B4006" s="4" t="s">
        <v>38</v>
      </c>
      <c r="C4006" s="4" t="s">
        <v>14</v>
      </c>
      <c r="D4006" s="35">
        <v>9096</v>
      </c>
      <c r="E4006" s="4" t="s">
        <v>6609</v>
      </c>
      <c r="F4006" s="5">
        <v>40826</v>
      </c>
      <c r="G4006" s="5">
        <v>40861</v>
      </c>
      <c r="H4006" s="4" t="s">
        <v>40</v>
      </c>
      <c r="I4006" s="6">
        <v>3184.09</v>
      </c>
      <c r="J4006" s="6">
        <v>3184.09</v>
      </c>
      <c r="K4006" s="37" t="s">
        <v>6182</v>
      </c>
      <c r="L4006" s="120"/>
      <c r="M4006" s="3"/>
    </row>
    <row r="4007" spans="1:13" s="4" customFormat="1" ht="14.25" customHeight="1" x14ac:dyDescent="0.25">
      <c r="A4007" s="4" t="s">
        <v>6615</v>
      </c>
      <c r="B4007" s="4" t="s">
        <v>38</v>
      </c>
      <c r="C4007" s="4" t="s">
        <v>14</v>
      </c>
      <c r="D4007" s="35">
        <v>9098</v>
      </c>
      <c r="E4007" s="4" t="s">
        <v>6616</v>
      </c>
      <c r="F4007" s="5">
        <v>40604</v>
      </c>
      <c r="G4007" s="5">
        <v>40604</v>
      </c>
      <c r="H4007" s="4" t="s">
        <v>40</v>
      </c>
      <c r="I4007" s="6">
        <v>1004.7</v>
      </c>
      <c r="J4007" s="6">
        <v>1004.7</v>
      </c>
      <c r="K4007" s="37" t="s">
        <v>6182</v>
      </c>
      <c r="L4007" s="120"/>
      <c r="M4007" s="3"/>
    </row>
    <row r="4008" spans="1:13" s="4" customFormat="1" ht="14.25" customHeight="1" x14ac:dyDescent="0.25">
      <c r="A4008" s="4" t="s">
        <v>6617</v>
      </c>
      <c r="B4008" s="4" t="s">
        <v>38</v>
      </c>
      <c r="C4008" s="4" t="s">
        <v>14</v>
      </c>
      <c r="D4008" s="35">
        <v>9099</v>
      </c>
      <c r="E4008" s="4" t="s">
        <v>6618</v>
      </c>
      <c r="F4008" s="5">
        <v>40589</v>
      </c>
      <c r="G4008" s="5">
        <v>40589</v>
      </c>
      <c r="H4008" s="4" t="s">
        <v>40</v>
      </c>
      <c r="I4008" s="6">
        <v>744.5</v>
      </c>
      <c r="J4008" s="6">
        <v>744.5</v>
      </c>
      <c r="K4008" s="37" t="s">
        <v>6182</v>
      </c>
      <c r="L4008" s="120"/>
      <c r="M4008" s="3"/>
    </row>
    <row r="4009" spans="1:13" s="4" customFormat="1" ht="14.25" customHeight="1" x14ac:dyDescent="0.25">
      <c r="A4009" s="4" t="s">
        <v>6619</v>
      </c>
      <c r="B4009" s="4" t="s">
        <v>38</v>
      </c>
      <c r="C4009" s="4" t="s">
        <v>14</v>
      </c>
      <c r="D4009" s="35">
        <v>9102</v>
      </c>
      <c r="E4009" s="4" t="s">
        <v>6620</v>
      </c>
      <c r="F4009" s="5">
        <v>40597</v>
      </c>
      <c r="G4009" s="5">
        <v>40597</v>
      </c>
      <c r="H4009" s="4" t="s">
        <v>40</v>
      </c>
      <c r="I4009" s="6">
        <v>1796.02</v>
      </c>
      <c r="J4009" s="6">
        <v>1796.02</v>
      </c>
      <c r="K4009" s="37" t="s">
        <v>6182</v>
      </c>
      <c r="L4009" s="120"/>
      <c r="M4009" s="3"/>
    </row>
    <row r="4010" spans="1:13" s="4" customFormat="1" ht="14.25" customHeight="1" x14ac:dyDescent="0.25">
      <c r="A4010" s="4" t="s">
        <v>6621</v>
      </c>
      <c r="B4010" s="4" t="s">
        <v>38</v>
      </c>
      <c r="C4010" s="4" t="s">
        <v>14</v>
      </c>
      <c r="D4010" s="35">
        <v>9103</v>
      </c>
      <c r="E4010" s="4" t="s">
        <v>6622</v>
      </c>
      <c r="F4010" s="5">
        <v>40631</v>
      </c>
      <c r="G4010" s="5">
        <v>40631</v>
      </c>
      <c r="H4010" s="4" t="s">
        <v>40</v>
      </c>
      <c r="I4010" s="6">
        <v>1205.7</v>
      </c>
      <c r="J4010" s="6">
        <v>1205.7</v>
      </c>
      <c r="K4010" s="37" t="s">
        <v>6182</v>
      </c>
      <c r="L4010" s="120"/>
      <c r="M4010" s="3"/>
    </row>
    <row r="4011" spans="1:13" s="4" customFormat="1" ht="14.25" customHeight="1" x14ac:dyDescent="0.25">
      <c r="A4011" s="4" t="s">
        <v>6623</v>
      </c>
      <c r="B4011" s="4" t="s">
        <v>38</v>
      </c>
      <c r="C4011" s="4" t="s">
        <v>14</v>
      </c>
      <c r="D4011" s="35">
        <v>9105</v>
      </c>
      <c r="E4011" s="4" t="s">
        <v>6624</v>
      </c>
      <c r="F4011" s="5">
        <v>40645</v>
      </c>
      <c r="G4011" s="5">
        <v>40645</v>
      </c>
      <c r="H4011" s="4" t="s">
        <v>40</v>
      </c>
      <c r="I4011" s="6">
        <v>799.4</v>
      </c>
      <c r="J4011" s="6">
        <v>799.4</v>
      </c>
      <c r="K4011" s="37" t="s">
        <v>6182</v>
      </c>
      <c r="L4011" s="120"/>
      <c r="M4011" s="3"/>
    </row>
    <row r="4012" spans="1:13" s="4" customFormat="1" ht="14.25" customHeight="1" x14ac:dyDescent="0.25">
      <c r="A4012" s="4" t="s">
        <v>6625</v>
      </c>
      <c r="B4012" s="4" t="s">
        <v>38</v>
      </c>
      <c r="C4012" s="4" t="s">
        <v>14</v>
      </c>
      <c r="D4012" s="35">
        <v>9107</v>
      </c>
      <c r="E4012" s="4" t="s">
        <v>6626</v>
      </c>
      <c r="F4012" s="5">
        <v>40625</v>
      </c>
      <c r="G4012" s="5">
        <v>40625</v>
      </c>
      <c r="H4012" s="4" t="s">
        <v>40</v>
      </c>
      <c r="I4012" s="6">
        <v>417.5</v>
      </c>
      <c r="J4012" s="6">
        <v>417.5</v>
      </c>
      <c r="K4012" s="37" t="s">
        <v>6182</v>
      </c>
      <c r="L4012" s="120"/>
      <c r="M4012" s="3"/>
    </row>
    <row r="4013" spans="1:13" s="4" customFormat="1" ht="14.25" customHeight="1" x14ac:dyDescent="0.25">
      <c r="A4013" s="4" t="s">
        <v>6627</v>
      </c>
      <c r="B4013" s="4" t="s">
        <v>38</v>
      </c>
      <c r="C4013" s="4" t="s">
        <v>14</v>
      </c>
      <c r="D4013" s="35">
        <v>9108</v>
      </c>
      <c r="E4013" s="4" t="s">
        <v>6628</v>
      </c>
      <c r="F4013" s="5">
        <v>40680</v>
      </c>
      <c r="G4013" s="5">
        <v>40680</v>
      </c>
      <c r="H4013" s="4" t="s">
        <v>40</v>
      </c>
      <c r="I4013" s="6">
        <v>478.9</v>
      </c>
      <c r="J4013" s="6">
        <v>478.9</v>
      </c>
      <c r="K4013" s="37" t="s">
        <v>6182</v>
      </c>
      <c r="L4013" s="120"/>
      <c r="M4013" s="3"/>
    </row>
    <row r="4014" spans="1:13" s="4" customFormat="1" ht="14.25" customHeight="1" x14ac:dyDescent="0.25">
      <c r="A4014" s="4" t="s">
        <v>6629</v>
      </c>
      <c r="B4014" s="4" t="s">
        <v>38</v>
      </c>
      <c r="C4014" s="4" t="s">
        <v>14</v>
      </c>
      <c r="D4014" s="35">
        <v>9110</v>
      </c>
      <c r="E4014" s="4" t="s">
        <v>6630</v>
      </c>
      <c r="F4014" s="5">
        <v>40653</v>
      </c>
      <c r="G4014" s="5">
        <v>40653</v>
      </c>
      <c r="H4014" s="4" t="s">
        <v>40</v>
      </c>
      <c r="I4014" s="6">
        <v>527.6</v>
      </c>
      <c r="J4014" s="6">
        <v>527.6</v>
      </c>
      <c r="K4014" s="37" t="s">
        <v>6182</v>
      </c>
      <c r="L4014" s="120"/>
      <c r="M4014" s="3"/>
    </row>
    <row r="4015" spans="1:13" s="4" customFormat="1" ht="14.25" customHeight="1" x14ac:dyDescent="0.25">
      <c r="A4015" s="4" t="s">
        <v>6631</v>
      </c>
      <c r="B4015" s="4" t="s">
        <v>38</v>
      </c>
      <c r="C4015" s="4" t="s">
        <v>14</v>
      </c>
      <c r="D4015" s="35">
        <v>9112</v>
      </c>
      <c r="E4015" s="4" t="s">
        <v>6632</v>
      </c>
      <c r="F4015" s="5">
        <v>40638</v>
      </c>
      <c r="G4015" s="5">
        <v>40638</v>
      </c>
      <c r="H4015" s="4" t="s">
        <v>40</v>
      </c>
      <c r="I4015" s="6">
        <v>781</v>
      </c>
      <c r="J4015" s="6">
        <v>781</v>
      </c>
      <c r="K4015" s="37" t="s">
        <v>6182</v>
      </c>
      <c r="L4015" s="120"/>
      <c r="M4015" s="3"/>
    </row>
    <row r="4016" spans="1:13" s="4" customFormat="1" ht="14.25" customHeight="1" x14ac:dyDescent="0.25">
      <c r="A4016" s="4" t="s">
        <v>6412</v>
      </c>
      <c r="B4016" s="4" t="s">
        <v>38</v>
      </c>
      <c r="C4016" s="4" t="s">
        <v>14</v>
      </c>
      <c r="D4016" s="35">
        <v>9114</v>
      </c>
      <c r="E4016" s="4" t="s">
        <v>6633</v>
      </c>
      <c r="F4016" s="5">
        <v>40688</v>
      </c>
      <c r="G4016" s="5">
        <v>40688</v>
      </c>
      <c r="H4016" s="4" t="s">
        <v>40</v>
      </c>
      <c r="I4016" s="6">
        <v>605.70000000000005</v>
      </c>
      <c r="J4016" s="6">
        <v>605.70000000000005</v>
      </c>
      <c r="K4016" s="37" t="s">
        <v>6182</v>
      </c>
      <c r="L4016" s="120"/>
      <c r="M4016" s="3"/>
    </row>
    <row r="4017" spans="1:13" s="4" customFormat="1" ht="14.25" customHeight="1" x14ac:dyDescent="0.25">
      <c r="A4017" s="4" t="s">
        <v>6634</v>
      </c>
      <c r="B4017" s="4" t="s">
        <v>38</v>
      </c>
      <c r="C4017" s="4" t="s">
        <v>14</v>
      </c>
      <c r="D4017" s="35">
        <v>9115</v>
      </c>
      <c r="E4017" s="4" t="s">
        <v>6635</v>
      </c>
      <c r="F4017" s="5">
        <v>40674</v>
      </c>
      <c r="G4017" s="5">
        <v>40674</v>
      </c>
      <c r="H4017" s="4" t="s">
        <v>40</v>
      </c>
      <c r="I4017" s="6">
        <v>650</v>
      </c>
      <c r="J4017" s="6">
        <v>650</v>
      </c>
      <c r="K4017" s="37" t="s">
        <v>6182</v>
      </c>
      <c r="L4017" s="120"/>
      <c r="M4017" s="3"/>
    </row>
    <row r="4018" spans="1:13" s="4" customFormat="1" ht="14.25" customHeight="1" x14ac:dyDescent="0.25">
      <c r="A4018" s="4" t="s">
        <v>6636</v>
      </c>
      <c r="B4018" s="4" t="s">
        <v>38</v>
      </c>
      <c r="C4018" s="4" t="s">
        <v>14</v>
      </c>
      <c r="D4018" s="35">
        <v>9118</v>
      </c>
      <c r="E4018" s="4" t="s">
        <v>6637</v>
      </c>
      <c r="F4018" s="5">
        <v>40575</v>
      </c>
      <c r="G4018" s="5">
        <v>40908</v>
      </c>
      <c r="H4018" s="4" t="s">
        <v>40</v>
      </c>
      <c r="I4018" s="6">
        <v>8352.34</v>
      </c>
      <c r="J4018" s="6">
        <v>8352.34</v>
      </c>
      <c r="K4018" s="37" t="s">
        <v>6182</v>
      </c>
      <c r="L4018" s="120"/>
      <c r="M4018" s="3"/>
    </row>
    <row r="4019" spans="1:13" s="4" customFormat="1" ht="14.25" customHeight="1" x14ac:dyDescent="0.25">
      <c r="A4019" s="4" t="s">
        <v>6638</v>
      </c>
      <c r="B4019" s="4" t="s">
        <v>38</v>
      </c>
      <c r="C4019" s="4" t="s">
        <v>14</v>
      </c>
      <c r="D4019" s="35">
        <v>9119</v>
      </c>
      <c r="E4019" s="4" t="s">
        <v>6639</v>
      </c>
      <c r="F4019" s="5">
        <v>40568</v>
      </c>
      <c r="G4019" s="5">
        <v>41274</v>
      </c>
      <c r="H4019" s="4" t="s">
        <v>40</v>
      </c>
      <c r="I4019" s="6">
        <v>6008.23</v>
      </c>
      <c r="J4019" s="6">
        <v>6008.23</v>
      </c>
      <c r="K4019" s="37" t="s">
        <v>6182</v>
      </c>
      <c r="L4019" s="120"/>
      <c r="M4019" s="3"/>
    </row>
    <row r="4020" spans="1:13" s="4" customFormat="1" ht="14.25" customHeight="1" x14ac:dyDescent="0.25">
      <c r="A4020" s="4" t="s">
        <v>6640</v>
      </c>
      <c r="B4020" s="4" t="s">
        <v>38</v>
      </c>
      <c r="C4020" s="4" t="s">
        <v>14</v>
      </c>
      <c r="D4020" s="35">
        <v>9122</v>
      </c>
      <c r="E4020" s="4" t="s">
        <v>6641</v>
      </c>
      <c r="F4020" s="5">
        <v>40856</v>
      </c>
      <c r="G4020" s="5">
        <v>40856</v>
      </c>
      <c r="H4020" s="4" t="s">
        <v>40</v>
      </c>
      <c r="I4020" s="6">
        <v>1484.4</v>
      </c>
      <c r="J4020" s="6">
        <v>1484.4</v>
      </c>
      <c r="K4020" s="37" t="s">
        <v>6182</v>
      </c>
      <c r="L4020" s="120"/>
      <c r="M4020" s="3"/>
    </row>
    <row r="4021" spans="1:13" s="4" customFormat="1" ht="14.25" customHeight="1" x14ac:dyDescent="0.25">
      <c r="A4021" s="4" t="s">
        <v>6642</v>
      </c>
      <c r="B4021" s="4" t="s">
        <v>38</v>
      </c>
      <c r="C4021" s="4" t="s">
        <v>14</v>
      </c>
      <c r="D4021" s="35">
        <v>9124</v>
      </c>
      <c r="E4021" s="4" t="s">
        <v>6643</v>
      </c>
      <c r="F4021" s="5">
        <v>40575</v>
      </c>
      <c r="G4021" s="5">
        <v>40908</v>
      </c>
      <c r="H4021" s="4" t="s">
        <v>40</v>
      </c>
      <c r="I4021" s="6">
        <v>25094.34</v>
      </c>
      <c r="J4021" s="6">
        <v>25094.34</v>
      </c>
      <c r="K4021" s="37" t="s">
        <v>6182</v>
      </c>
      <c r="L4021" s="120"/>
      <c r="M4021" s="3"/>
    </row>
    <row r="4022" spans="1:13" s="4" customFormat="1" ht="14.25" customHeight="1" x14ac:dyDescent="0.25">
      <c r="A4022" s="4" t="s">
        <v>6644</v>
      </c>
      <c r="B4022" s="4" t="s">
        <v>38</v>
      </c>
      <c r="C4022" s="4" t="s">
        <v>14</v>
      </c>
      <c r="D4022" s="35">
        <v>9125</v>
      </c>
      <c r="E4022" s="4" t="s">
        <v>6310</v>
      </c>
      <c r="F4022" s="5">
        <v>40568</v>
      </c>
      <c r="G4022" s="5">
        <v>40908</v>
      </c>
      <c r="H4022" s="4" t="s">
        <v>40</v>
      </c>
      <c r="I4022" s="6">
        <v>23520.2</v>
      </c>
      <c r="J4022" s="6">
        <v>23520.2</v>
      </c>
      <c r="K4022" s="37" t="s">
        <v>6182</v>
      </c>
      <c r="L4022" s="120"/>
      <c r="M4022" s="3"/>
    </row>
    <row r="4023" spans="1:13" s="4" customFormat="1" ht="14.25" customHeight="1" x14ac:dyDescent="0.25">
      <c r="A4023" s="4" t="s">
        <v>6519</v>
      </c>
      <c r="B4023" s="4" t="s">
        <v>38</v>
      </c>
      <c r="C4023" s="4" t="s">
        <v>14</v>
      </c>
      <c r="D4023" s="35">
        <v>9129</v>
      </c>
      <c r="E4023" s="4" t="s">
        <v>6645</v>
      </c>
      <c r="F4023" s="5">
        <v>40575</v>
      </c>
      <c r="G4023" s="5">
        <v>40908</v>
      </c>
      <c r="H4023" s="4" t="s">
        <v>40</v>
      </c>
      <c r="I4023" s="6">
        <v>11187.54</v>
      </c>
      <c r="J4023" s="6">
        <v>11187.54</v>
      </c>
      <c r="K4023" s="37" t="s">
        <v>6182</v>
      </c>
      <c r="L4023" s="120"/>
      <c r="M4023" s="3"/>
    </row>
    <row r="4024" spans="1:13" s="4" customFormat="1" ht="14.25" customHeight="1" x14ac:dyDescent="0.25">
      <c r="A4024" s="4" t="s">
        <v>6646</v>
      </c>
      <c r="B4024" s="4" t="s">
        <v>38</v>
      </c>
      <c r="C4024" s="4" t="s">
        <v>14</v>
      </c>
      <c r="D4024" s="35">
        <v>9131</v>
      </c>
      <c r="E4024" s="4" t="s">
        <v>6526</v>
      </c>
      <c r="F4024" s="5">
        <v>40819</v>
      </c>
      <c r="G4024" s="5">
        <v>40823</v>
      </c>
      <c r="H4024" s="4" t="s">
        <v>40</v>
      </c>
      <c r="I4024" s="6">
        <v>5214.1499999999996</v>
      </c>
      <c r="J4024" s="6">
        <v>5214.1499999999996</v>
      </c>
      <c r="K4024" s="37" t="s">
        <v>6182</v>
      </c>
      <c r="L4024" s="120"/>
      <c r="M4024" s="3"/>
    </row>
    <row r="4025" spans="1:13" s="4" customFormat="1" ht="14.25" customHeight="1" x14ac:dyDescent="0.25">
      <c r="A4025" s="4" t="s">
        <v>6523</v>
      </c>
      <c r="B4025" s="4" t="s">
        <v>38</v>
      </c>
      <c r="C4025" s="4" t="s">
        <v>14</v>
      </c>
      <c r="D4025" s="35">
        <v>9132</v>
      </c>
      <c r="E4025" s="4" t="s">
        <v>6647</v>
      </c>
      <c r="F4025" s="5">
        <v>40813</v>
      </c>
      <c r="G4025" s="5">
        <v>40815</v>
      </c>
      <c r="H4025" s="4" t="s">
        <v>40</v>
      </c>
      <c r="I4025" s="6">
        <v>1292.28</v>
      </c>
      <c r="J4025" s="6">
        <v>1292.28</v>
      </c>
      <c r="K4025" s="37" t="s">
        <v>6182</v>
      </c>
      <c r="L4025" s="120"/>
      <c r="M4025" s="3"/>
    </row>
    <row r="4026" spans="1:13" s="4" customFormat="1" ht="14.25" customHeight="1" x14ac:dyDescent="0.25">
      <c r="A4026" s="4" t="s">
        <v>6648</v>
      </c>
      <c r="B4026" s="4" t="s">
        <v>38</v>
      </c>
      <c r="C4026" s="4" t="s">
        <v>14</v>
      </c>
      <c r="D4026" s="35">
        <v>9134</v>
      </c>
      <c r="E4026" s="4" t="s">
        <v>6649</v>
      </c>
      <c r="F4026" s="5">
        <v>40567</v>
      </c>
      <c r="G4026" s="5">
        <v>40569</v>
      </c>
      <c r="H4026" s="4" t="s">
        <v>40</v>
      </c>
      <c r="I4026" s="6">
        <v>915.52</v>
      </c>
      <c r="J4026" s="6">
        <v>915.52</v>
      </c>
      <c r="K4026" s="37" t="s">
        <v>6182</v>
      </c>
      <c r="L4026" s="120"/>
      <c r="M4026" s="3"/>
    </row>
    <row r="4027" spans="1:13" s="4" customFormat="1" ht="14.25" customHeight="1" x14ac:dyDescent="0.25">
      <c r="A4027" s="4" t="s">
        <v>6650</v>
      </c>
      <c r="B4027" s="4" t="s">
        <v>38</v>
      </c>
      <c r="C4027" s="4" t="s">
        <v>14</v>
      </c>
      <c r="D4027" s="35">
        <v>9136</v>
      </c>
      <c r="E4027" s="4" t="s">
        <v>6651</v>
      </c>
      <c r="F4027" s="5">
        <v>40842</v>
      </c>
      <c r="G4027" s="5">
        <v>40870</v>
      </c>
      <c r="H4027" s="4" t="s">
        <v>40</v>
      </c>
      <c r="I4027" s="6">
        <v>2500</v>
      </c>
      <c r="J4027" s="6">
        <v>2500</v>
      </c>
      <c r="K4027" s="37" t="s">
        <v>6182</v>
      </c>
      <c r="L4027" s="120"/>
      <c r="M4027" s="3"/>
    </row>
    <row r="4028" spans="1:13" s="4" customFormat="1" ht="14.25" customHeight="1" x14ac:dyDescent="0.25">
      <c r="A4028" s="4" t="s">
        <v>6652</v>
      </c>
      <c r="B4028" s="4" t="s">
        <v>38</v>
      </c>
      <c r="C4028" s="4" t="s">
        <v>14</v>
      </c>
      <c r="D4028" s="35">
        <v>9138</v>
      </c>
      <c r="E4028" s="4" t="s">
        <v>6534</v>
      </c>
      <c r="F4028" s="5">
        <v>40568</v>
      </c>
      <c r="G4028" s="5">
        <v>41610</v>
      </c>
      <c r="H4028" s="4" t="s">
        <v>40</v>
      </c>
      <c r="I4028" s="6">
        <v>68851.5</v>
      </c>
      <c r="J4028" s="6">
        <f>33498.75+927</f>
        <v>34425.75</v>
      </c>
      <c r="K4028" s="37" t="s">
        <v>6182</v>
      </c>
      <c r="L4028" s="120"/>
      <c r="M4028" s="3"/>
    </row>
    <row r="4029" spans="1:13" s="4" customFormat="1" ht="14.25" customHeight="1" x14ac:dyDescent="0.25">
      <c r="A4029" s="4" t="s">
        <v>6653</v>
      </c>
      <c r="B4029" s="4" t="s">
        <v>38</v>
      </c>
      <c r="C4029" s="4" t="s">
        <v>14</v>
      </c>
      <c r="D4029" s="35">
        <v>10936</v>
      </c>
      <c r="E4029" s="4" t="s">
        <v>6654</v>
      </c>
      <c r="F4029" s="5">
        <v>40953</v>
      </c>
      <c r="G4029" s="5">
        <v>40981</v>
      </c>
      <c r="H4029" s="4" t="s">
        <v>40</v>
      </c>
      <c r="I4029" s="6">
        <v>2832.18</v>
      </c>
      <c r="J4029" s="6">
        <v>2832.18</v>
      </c>
      <c r="K4029" s="37" t="s">
        <v>6182</v>
      </c>
      <c r="L4029" s="120"/>
      <c r="M4029" s="3"/>
    </row>
    <row r="4030" spans="1:13" s="4" customFormat="1" ht="14.25" customHeight="1" x14ac:dyDescent="0.25">
      <c r="A4030" s="4" t="s">
        <v>6655</v>
      </c>
      <c r="B4030" s="4" t="s">
        <v>38</v>
      </c>
      <c r="C4030" s="4" t="s">
        <v>14</v>
      </c>
      <c r="D4030" s="35">
        <v>10937</v>
      </c>
      <c r="E4030" s="4" t="s">
        <v>6656</v>
      </c>
      <c r="F4030" s="5">
        <v>40974</v>
      </c>
      <c r="G4030" s="5">
        <v>41002</v>
      </c>
      <c r="H4030" s="4" t="s">
        <v>40</v>
      </c>
      <c r="I4030" s="6">
        <v>3297.61</v>
      </c>
      <c r="J4030" s="6">
        <v>3297.61</v>
      </c>
      <c r="K4030" s="37" t="s">
        <v>6182</v>
      </c>
      <c r="L4030" s="120"/>
      <c r="M4030" s="3"/>
    </row>
    <row r="4031" spans="1:13" s="4" customFormat="1" ht="14.25" customHeight="1" x14ac:dyDescent="0.25">
      <c r="A4031" s="4" t="s">
        <v>6657</v>
      </c>
      <c r="B4031" s="4" t="s">
        <v>38</v>
      </c>
      <c r="C4031" s="4" t="s">
        <v>14</v>
      </c>
      <c r="D4031" s="35">
        <v>10938</v>
      </c>
      <c r="E4031" s="4" t="s">
        <v>6658</v>
      </c>
      <c r="F4031" s="5">
        <v>41016</v>
      </c>
      <c r="G4031" s="5">
        <v>41044</v>
      </c>
      <c r="H4031" s="4" t="s">
        <v>40</v>
      </c>
      <c r="I4031" s="6">
        <v>5017.66</v>
      </c>
      <c r="J4031" s="6">
        <v>5017.66</v>
      </c>
      <c r="K4031" s="37" t="s">
        <v>6182</v>
      </c>
      <c r="L4031" s="120"/>
      <c r="M4031" s="3"/>
    </row>
    <row r="4032" spans="1:13" s="4" customFormat="1" ht="14.25" customHeight="1" x14ac:dyDescent="0.25">
      <c r="A4032" s="4" t="s">
        <v>6659</v>
      </c>
      <c r="B4032" s="4" t="s">
        <v>38</v>
      </c>
      <c r="C4032" s="4" t="s">
        <v>14</v>
      </c>
      <c r="D4032" s="35">
        <v>10939</v>
      </c>
      <c r="E4032" s="4" t="s">
        <v>6660</v>
      </c>
      <c r="F4032" s="5">
        <v>41170</v>
      </c>
      <c r="G4032" s="5">
        <v>41205</v>
      </c>
      <c r="H4032" s="4" t="s">
        <v>40</v>
      </c>
      <c r="I4032" s="6">
        <v>3035</v>
      </c>
      <c r="J4032" s="6">
        <v>3035</v>
      </c>
      <c r="K4032" s="37" t="s">
        <v>6182</v>
      </c>
      <c r="L4032" s="120"/>
      <c r="M4032" s="3"/>
    </row>
    <row r="4033" spans="1:13" s="4" customFormat="1" ht="14.25" customHeight="1" x14ac:dyDescent="0.25">
      <c r="A4033" s="4" t="s">
        <v>6638</v>
      </c>
      <c r="B4033" s="4" t="s">
        <v>38</v>
      </c>
      <c r="C4033" s="4" t="s">
        <v>14</v>
      </c>
      <c r="D4033" s="35">
        <v>10940</v>
      </c>
      <c r="E4033" s="4" t="s">
        <v>6661</v>
      </c>
      <c r="F4033" s="5">
        <v>40966</v>
      </c>
      <c r="G4033" s="5">
        <v>40973</v>
      </c>
      <c r="H4033" s="4" t="s">
        <v>40</v>
      </c>
      <c r="I4033" s="6">
        <v>3307.15</v>
      </c>
      <c r="J4033" s="6">
        <v>3307.15</v>
      </c>
      <c r="K4033" s="37" t="s">
        <v>6182</v>
      </c>
      <c r="L4033" s="120"/>
      <c r="M4033" s="3"/>
    </row>
    <row r="4034" spans="1:13" s="4" customFormat="1" ht="14.25" customHeight="1" x14ac:dyDescent="0.25">
      <c r="A4034" s="4" t="s">
        <v>6636</v>
      </c>
      <c r="B4034" s="4" t="s">
        <v>38</v>
      </c>
      <c r="C4034" s="4" t="s">
        <v>14</v>
      </c>
      <c r="D4034" s="35">
        <v>10941</v>
      </c>
      <c r="E4034" s="4" t="s">
        <v>6637</v>
      </c>
      <c r="F4034" s="5">
        <v>40988</v>
      </c>
      <c r="G4034" s="5">
        <v>41276</v>
      </c>
      <c r="H4034" s="4" t="s">
        <v>40</v>
      </c>
      <c r="I4034" s="6">
        <v>7594.25</v>
      </c>
      <c r="J4034" s="6">
        <v>7594.25</v>
      </c>
      <c r="K4034" s="37" t="s">
        <v>6182</v>
      </c>
      <c r="L4034" s="120"/>
      <c r="M4034" s="3"/>
    </row>
    <row r="4035" spans="1:13" s="4" customFormat="1" ht="14.25" customHeight="1" x14ac:dyDescent="0.25">
      <c r="A4035" s="4" t="s">
        <v>6662</v>
      </c>
      <c r="B4035" s="4" t="s">
        <v>38</v>
      </c>
      <c r="C4035" s="4" t="s">
        <v>14</v>
      </c>
      <c r="D4035" s="35">
        <v>10942</v>
      </c>
      <c r="E4035" s="4" t="s">
        <v>6632</v>
      </c>
      <c r="F4035" s="5">
        <v>40990</v>
      </c>
      <c r="G4035" s="5">
        <v>40990</v>
      </c>
      <c r="H4035" s="4" t="s">
        <v>40</v>
      </c>
      <c r="I4035" s="6">
        <v>823.06</v>
      </c>
      <c r="J4035" s="6">
        <v>823.06</v>
      </c>
      <c r="K4035" s="37" t="s">
        <v>6182</v>
      </c>
      <c r="L4035" s="120"/>
      <c r="M4035" s="3"/>
    </row>
    <row r="4036" spans="1:13" s="4" customFormat="1" ht="14.25" customHeight="1" x14ac:dyDescent="0.25">
      <c r="A4036" s="4" t="s">
        <v>6663</v>
      </c>
      <c r="B4036" s="4" t="s">
        <v>38</v>
      </c>
      <c r="C4036" s="4" t="s">
        <v>14</v>
      </c>
      <c r="D4036" s="35">
        <v>10943</v>
      </c>
      <c r="E4036" s="4" t="s">
        <v>6664</v>
      </c>
      <c r="F4036" s="5">
        <v>40996</v>
      </c>
      <c r="G4036" s="5">
        <v>40996</v>
      </c>
      <c r="H4036" s="4" t="s">
        <v>40</v>
      </c>
      <c r="I4036" s="6">
        <v>304</v>
      </c>
      <c r="J4036" s="6">
        <v>304</v>
      </c>
      <c r="K4036" s="37" t="s">
        <v>6182</v>
      </c>
      <c r="L4036" s="120"/>
      <c r="M4036" s="3"/>
    </row>
    <row r="4037" spans="1:13" s="4" customFormat="1" ht="14.25" customHeight="1" x14ac:dyDescent="0.25">
      <c r="A4037" s="4" t="s">
        <v>6625</v>
      </c>
      <c r="B4037" s="4" t="s">
        <v>38</v>
      </c>
      <c r="C4037" s="4" t="s">
        <v>14</v>
      </c>
      <c r="D4037" s="35">
        <v>10944</v>
      </c>
      <c r="E4037" s="4" t="s">
        <v>6665</v>
      </c>
      <c r="F4037" s="5">
        <v>40997</v>
      </c>
      <c r="G4037" s="5">
        <v>40997</v>
      </c>
      <c r="H4037" s="4" t="s">
        <v>40</v>
      </c>
      <c r="I4037" s="6">
        <v>569</v>
      </c>
      <c r="J4037" s="6">
        <v>569</v>
      </c>
      <c r="K4037" s="37" t="s">
        <v>6182</v>
      </c>
      <c r="L4037" s="120"/>
      <c r="M4037" s="3"/>
    </row>
    <row r="4038" spans="1:13" s="4" customFormat="1" ht="14.25" customHeight="1" x14ac:dyDescent="0.25">
      <c r="A4038" s="4" t="s">
        <v>6666</v>
      </c>
      <c r="B4038" s="4" t="s">
        <v>38</v>
      </c>
      <c r="C4038" s="4" t="s">
        <v>14</v>
      </c>
      <c r="D4038" s="35">
        <v>10945</v>
      </c>
      <c r="E4038" s="4" t="s">
        <v>6667</v>
      </c>
      <c r="F4038" s="5">
        <v>41017</v>
      </c>
      <c r="G4038" s="5">
        <v>41017</v>
      </c>
      <c r="H4038" s="4" t="s">
        <v>40</v>
      </c>
      <c r="I4038" s="6">
        <v>495</v>
      </c>
      <c r="J4038" s="6">
        <v>495</v>
      </c>
      <c r="K4038" s="37" t="s">
        <v>6182</v>
      </c>
      <c r="L4038" s="120"/>
      <c r="M4038" s="3"/>
    </row>
    <row r="4039" spans="1:13" s="4" customFormat="1" ht="14.25" customHeight="1" x14ac:dyDescent="0.25">
      <c r="A4039" s="4" t="s">
        <v>6668</v>
      </c>
      <c r="B4039" s="4" t="s">
        <v>38</v>
      </c>
      <c r="C4039" s="4" t="s">
        <v>14</v>
      </c>
      <c r="D4039" s="35">
        <v>10946</v>
      </c>
      <c r="E4039" s="4" t="s">
        <v>6669</v>
      </c>
      <c r="F4039" s="5">
        <v>41044</v>
      </c>
      <c r="G4039" s="5">
        <v>41044</v>
      </c>
      <c r="H4039" s="4" t="s">
        <v>40</v>
      </c>
      <c r="I4039" s="6">
        <v>276.5</v>
      </c>
      <c r="J4039" s="6">
        <v>276.5</v>
      </c>
      <c r="K4039" s="37" t="s">
        <v>6182</v>
      </c>
      <c r="L4039" s="120"/>
      <c r="M4039" s="3"/>
    </row>
    <row r="4040" spans="1:13" s="4" customFormat="1" ht="14.25" customHeight="1" x14ac:dyDescent="0.25">
      <c r="A4040" s="4" t="s">
        <v>3299</v>
      </c>
      <c r="B4040" s="4" t="s">
        <v>38</v>
      </c>
      <c r="C4040" s="4" t="s">
        <v>14</v>
      </c>
      <c r="D4040" s="35">
        <v>10947</v>
      </c>
      <c r="E4040" s="4" t="s">
        <v>6670</v>
      </c>
      <c r="F4040" s="5">
        <v>40968</v>
      </c>
      <c r="G4040" s="5">
        <v>40968</v>
      </c>
      <c r="H4040" s="4" t="s">
        <v>40</v>
      </c>
      <c r="I4040" s="6">
        <v>1125.4000000000001</v>
      </c>
      <c r="J4040" s="6">
        <v>1128.4000000000001</v>
      </c>
      <c r="K4040" s="37" t="s">
        <v>6182</v>
      </c>
      <c r="L4040" s="120"/>
      <c r="M4040" s="3"/>
    </row>
    <row r="4041" spans="1:13" s="4" customFormat="1" ht="14.25" customHeight="1" x14ac:dyDescent="0.25">
      <c r="A4041" s="4" t="s">
        <v>6671</v>
      </c>
      <c r="B4041" s="4" t="s">
        <v>38</v>
      </c>
      <c r="C4041" s="4" t="s">
        <v>14</v>
      </c>
      <c r="D4041" s="35">
        <v>10948</v>
      </c>
      <c r="E4041" s="4" t="s">
        <v>6672</v>
      </c>
      <c r="F4041" s="5">
        <v>41044</v>
      </c>
      <c r="G4041" s="5">
        <v>41044</v>
      </c>
      <c r="H4041" s="4" t="s">
        <v>40</v>
      </c>
      <c r="I4041" s="6">
        <v>595</v>
      </c>
      <c r="J4041" s="6">
        <v>565</v>
      </c>
      <c r="K4041" s="37" t="s">
        <v>6182</v>
      </c>
      <c r="L4041" s="120"/>
      <c r="M4041" s="3"/>
    </row>
    <row r="4042" spans="1:13" s="4" customFormat="1" ht="14.25" customHeight="1" x14ac:dyDescent="0.25">
      <c r="A4042" s="4" t="s">
        <v>6412</v>
      </c>
      <c r="B4042" s="4" t="s">
        <v>38</v>
      </c>
      <c r="C4042" s="4" t="s">
        <v>14</v>
      </c>
      <c r="D4042" s="35">
        <v>10949</v>
      </c>
      <c r="E4042" s="4" t="s">
        <v>6673</v>
      </c>
      <c r="F4042" s="5">
        <v>40982</v>
      </c>
      <c r="G4042" s="5">
        <v>40982</v>
      </c>
      <c r="H4042" s="4" t="s">
        <v>40</v>
      </c>
      <c r="I4042" s="6">
        <v>1062</v>
      </c>
      <c r="J4042" s="6">
        <v>1062.9000000000001</v>
      </c>
      <c r="K4042" s="37" t="s">
        <v>6182</v>
      </c>
      <c r="L4042" s="120"/>
      <c r="M4042" s="3"/>
    </row>
    <row r="4043" spans="1:13" s="4" customFormat="1" ht="14.25" customHeight="1" x14ac:dyDescent="0.25">
      <c r="A4043" s="4" t="s">
        <v>6640</v>
      </c>
      <c r="B4043" s="4" t="s">
        <v>38</v>
      </c>
      <c r="C4043" s="4" t="s">
        <v>14</v>
      </c>
      <c r="D4043" s="35">
        <v>10950</v>
      </c>
      <c r="E4043" s="4" t="s">
        <v>6641</v>
      </c>
      <c r="F4043" s="5">
        <v>41024</v>
      </c>
      <c r="G4043" s="5">
        <v>41024</v>
      </c>
      <c r="H4043" s="4" t="s">
        <v>40</v>
      </c>
      <c r="I4043" s="6">
        <v>917</v>
      </c>
      <c r="J4043" s="6">
        <v>917</v>
      </c>
      <c r="K4043" s="37" t="s">
        <v>6182</v>
      </c>
      <c r="L4043" s="120"/>
      <c r="M4043" s="3"/>
    </row>
    <row r="4044" spans="1:13" s="4" customFormat="1" ht="14.25" customHeight="1" x14ac:dyDescent="0.25">
      <c r="A4044" s="4" t="s">
        <v>6674</v>
      </c>
      <c r="B4044" s="4" t="s">
        <v>38</v>
      </c>
      <c r="C4044" s="4" t="s">
        <v>14</v>
      </c>
      <c r="D4044" s="35">
        <v>10951</v>
      </c>
      <c r="E4044" s="4" t="s">
        <v>6675</v>
      </c>
      <c r="F4044" s="5">
        <v>41043</v>
      </c>
      <c r="G4044" s="5">
        <v>41046</v>
      </c>
      <c r="H4044" s="4" t="s">
        <v>40</v>
      </c>
      <c r="I4044" s="6">
        <v>1150</v>
      </c>
      <c r="J4044" s="6">
        <v>1150</v>
      </c>
      <c r="K4044" s="37" t="s">
        <v>6182</v>
      </c>
      <c r="L4044" s="120"/>
      <c r="M4044" s="3"/>
    </row>
    <row r="4045" spans="1:13" s="4" customFormat="1" ht="14.25" customHeight="1" x14ac:dyDescent="0.25">
      <c r="A4045" s="4" t="s">
        <v>6676</v>
      </c>
      <c r="B4045" s="4" t="s">
        <v>38</v>
      </c>
      <c r="C4045" s="4" t="s">
        <v>14</v>
      </c>
      <c r="D4045" s="35">
        <v>10953</v>
      </c>
      <c r="E4045" s="4" t="s">
        <v>6677</v>
      </c>
      <c r="F4045" s="5">
        <v>41031</v>
      </c>
      <c r="G4045" s="5">
        <v>41242</v>
      </c>
      <c r="H4045" s="4" t="s">
        <v>40</v>
      </c>
      <c r="I4045" s="6">
        <v>5377</v>
      </c>
      <c r="J4045" s="6">
        <v>5377</v>
      </c>
      <c r="K4045" s="37" t="s">
        <v>6182</v>
      </c>
      <c r="L4045" s="120"/>
      <c r="M4045" s="3"/>
    </row>
    <row r="4046" spans="1:13" s="4" customFormat="1" ht="14.25" customHeight="1" x14ac:dyDescent="0.25">
      <c r="A4046" s="4" t="s">
        <v>6678</v>
      </c>
      <c r="B4046" s="4" t="s">
        <v>38</v>
      </c>
      <c r="C4046" s="4" t="s">
        <v>14</v>
      </c>
      <c r="D4046" s="35">
        <v>10955</v>
      </c>
      <c r="E4046" s="4" t="s">
        <v>6654</v>
      </c>
      <c r="F4046" s="5">
        <v>41218</v>
      </c>
      <c r="G4046" s="5">
        <v>41239</v>
      </c>
      <c r="H4046" s="4" t="s">
        <v>40</v>
      </c>
      <c r="I4046" s="6">
        <v>3085.75</v>
      </c>
      <c r="J4046" s="6">
        <v>3085.75</v>
      </c>
      <c r="K4046" s="37" t="s">
        <v>6182</v>
      </c>
      <c r="L4046" s="120"/>
      <c r="M4046" s="3"/>
    </row>
    <row r="4047" spans="1:13" s="4" customFormat="1" ht="14.25" customHeight="1" x14ac:dyDescent="0.25">
      <c r="A4047" s="4" t="s">
        <v>6642</v>
      </c>
      <c r="B4047" s="4" t="s">
        <v>38</v>
      </c>
      <c r="C4047" s="4" t="s">
        <v>14</v>
      </c>
      <c r="D4047" s="35">
        <v>10956</v>
      </c>
      <c r="E4047" s="4" t="s">
        <v>6679</v>
      </c>
      <c r="F4047" s="5">
        <v>40940</v>
      </c>
      <c r="G4047" s="5">
        <v>41274</v>
      </c>
      <c r="H4047" s="4" t="s">
        <v>40</v>
      </c>
      <c r="I4047" s="6">
        <v>22479.29</v>
      </c>
      <c r="J4047" s="6">
        <f>18134.88+4344.41</f>
        <v>22479.29</v>
      </c>
      <c r="K4047" s="37" t="s">
        <v>6182</v>
      </c>
      <c r="L4047" s="120"/>
      <c r="M4047" s="3"/>
    </row>
    <row r="4048" spans="1:13" s="4" customFormat="1" ht="14.25" customHeight="1" x14ac:dyDescent="0.25">
      <c r="A4048" s="4" t="s">
        <v>6680</v>
      </c>
      <c r="B4048" s="4" t="s">
        <v>38</v>
      </c>
      <c r="C4048" s="4" t="s">
        <v>14</v>
      </c>
      <c r="D4048" s="35">
        <v>10957</v>
      </c>
      <c r="E4048" s="4" t="s">
        <v>6681</v>
      </c>
      <c r="F4048" s="5">
        <v>41153</v>
      </c>
      <c r="G4048" s="5">
        <v>41243</v>
      </c>
      <c r="H4048" s="4" t="s">
        <v>40</v>
      </c>
      <c r="I4048" s="6">
        <v>3670.9</v>
      </c>
      <c r="J4048" s="6">
        <v>3670.9</v>
      </c>
      <c r="K4048" s="37" t="s">
        <v>6182</v>
      </c>
      <c r="L4048" s="120"/>
      <c r="M4048" s="3"/>
    </row>
    <row r="4049" spans="1:13" s="4" customFormat="1" ht="14.25" customHeight="1" x14ac:dyDescent="0.25">
      <c r="A4049" s="4" t="s">
        <v>6650</v>
      </c>
      <c r="B4049" s="4" t="s">
        <v>38</v>
      </c>
      <c r="C4049" s="4" t="s">
        <v>14</v>
      </c>
      <c r="D4049" s="35">
        <v>10958</v>
      </c>
      <c r="E4049" s="4" t="s">
        <v>6651</v>
      </c>
      <c r="F4049" s="5">
        <v>41150</v>
      </c>
      <c r="G4049" s="5">
        <v>41150</v>
      </c>
      <c r="H4049" s="4" t="s">
        <v>40</v>
      </c>
      <c r="I4049" s="6">
        <v>2500</v>
      </c>
      <c r="J4049" s="6">
        <v>2500</v>
      </c>
      <c r="K4049" s="37" t="s">
        <v>6182</v>
      </c>
      <c r="L4049" s="120"/>
      <c r="M4049" s="3"/>
    </row>
    <row r="4050" spans="1:13" s="4" customFormat="1" ht="14.25" customHeight="1" x14ac:dyDescent="0.25">
      <c r="A4050" s="4" t="s">
        <v>6682</v>
      </c>
      <c r="B4050" s="4" t="s">
        <v>38</v>
      </c>
      <c r="C4050" s="4" t="s">
        <v>14</v>
      </c>
      <c r="D4050" s="35">
        <v>10959</v>
      </c>
      <c r="E4050" s="4" t="s">
        <v>6310</v>
      </c>
      <c r="F4050" s="5">
        <v>40940</v>
      </c>
      <c r="G4050" s="5">
        <v>41274</v>
      </c>
      <c r="H4050" s="4" t="s">
        <v>40</v>
      </c>
      <c r="I4050" s="6">
        <v>22446.080000000002</v>
      </c>
      <c r="J4050" s="6">
        <v>22446.080000000002</v>
      </c>
      <c r="K4050" s="37" t="s">
        <v>6182</v>
      </c>
      <c r="L4050" s="120"/>
      <c r="M4050" s="3"/>
    </row>
    <row r="4051" spans="1:13" s="4" customFormat="1" ht="14.25" customHeight="1" x14ac:dyDescent="0.25">
      <c r="A4051" s="4" t="s">
        <v>6523</v>
      </c>
      <c r="B4051" s="4" t="s">
        <v>38</v>
      </c>
      <c r="C4051" s="4" t="s">
        <v>14</v>
      </c>
      <c r="D4051" s="35">
        <v>10960</v>
      </c>
      <c r="E4051" s="4" t="s">
        <v>6647</v>
      </c>
      <c r="F4051" s="5">
        <v>41177</v>
      </c>
      <c r="G4051" s="5">
        <v>41179</v>
      </c>
      <c r="H4051" s="4" t="s">
        <v>40</v>
      </c>
      <c r="I4051" s="6">
        <v>1894.81</v>
      </c>
      <c r="J4051" s="6">
        <v>1894.81</v>
      </c>
      <c r="K4051" s="37" t="s">
        <v>6182</v>
      </c>
      <c r="L4051" s="120"/>
      <c r="M4051" s="3"/>
    </row>
    <row r="4052" spans="1:13" s="4" customFormat="1" ht="14.25" customHeight="1" x14ac:dyDescent="0.25">
      <c r="A4052" s="4" t="s">
        <v>6652</v>
      </c>
      <c r="B4052" s="4" t="s">
        <v>38</v>
      </c>
      <c r="C4052" s="4" t="s">
        <v>14</v>
      </c>
      <c r="D4052" s="35">
        <v>10961</v>
      </c>
      <c r="E4052" s="4" t="s">
        <v>6534</v>
      </c>
      <c r="F4052" s="5">
        <v>40940</v>
      </c>
      <c r="G4052" s="5">
        <v>41274</v>
      </c>
      <c r="H4052" s="4" t="s">
        <v>40</v>
      </c>
      <c r="I4052" s="6">
        <v>79171.86</v>
      </c>
      <c r="J4052" s="6">
        <f>34555.43+5030.5</f>
        <v>39585.93</v>
      </c>
      <c r="K4052" s="37" t="s">
        <v>6182</v>
      </c>
      <c r="L4052" s="120"/>
      <c r="M4052" s="3"/>
    </row>
    <row r="4053" spans="1:13" s="4" customFormat="1" ht="14.25" customHeight="1" x14ac:dyDescent="0.25">
      <c r="A4053" s="4" t="s">
        <v>6683</v>
      </c>
      <c r="B4053" s="4" t="s">
        <v>38</v>
      </c>
      <c r="C4053" s="4" t="s">
        <v>14</v>
      </c>
      <c r="D4053" s="35">
        <v>10962</v>
      </c>
      <c r="E4053" s="4" t="s">
        <v>6684</v>
      </c>
      <c r="F4053" s="5">
        <v>41054</v>
      </c>
      <c r="G4053" s="5">
        <v>41054</v>
      </c>
      <c r="H4053" s="4" t="s">
        <v>40</v>
      </c>
      <c r="I4053" s="6">
        <v>520</v>
      </c>
      <c r="J4053" s="6">
        <v>520</v>
      </c>
      <c r="K4053" s="37" t="s">
        <v>6182</v>
      </c>
      <c r="L4053" s="120"/>
      <c r="M4053" s="3"/>
    </row>
    <row r="4054" spans="1:13" s="4" customFormat="1" ht="14.25" customHeight="1" x14ac:dyDescent="0.25">
      <c r="A4054" s="4" t="s">
        <v>6685</v>
      </c>
      <c r="B4054" s="4" t="s">
        <v>38</v>
      </c>
      <c r="C4054" s="4" t="s">
        <v>14</v>
      </c>
      <c r="D4054" s="35">
        <v>10963</v>
      </c>
      <c r="E4054" s="4" t="s">
        <v>6686</v>
      </c>
      <c r="F4054" s="5">
        <v>40909</v>
      </c>
      <c r="G4054" s="5">
        <v>41274</v>
      </c>
      <c r="H4054" s="4" t="s">
        <v>40</v>
      </c>
      <c r="I4054" s="6">
        <v>43871.73</v>
      </c>
      <c r="J4054" s="6">
        <v>43871.73</v>
      </c>
      <c r="K4054" s="37" t="s">
        <v>6182</v>
      </c>
      <c r="L4054" s="120"/>
      <c r="M4054" s="3"/>
    </row>
    <row r="4055" spans="1:13" s="4" customFormat="1" ht="14.25" customHeight="1" x14ac:dyDescent="0.25">
      <c r="A4055" s="4" t="s">
        <v>6687</v>
      </c>
      <c r="B4055" s="4" t="s">
        <v>59</v>
      </c>
      <c r="C4055" s="4" t="s">
        <v>14</v>
      </c>
      <c r="D4055" s="35">
        <v>11091</v>
      </c>
      <c r="E4055" s="4" t="s">
        <v>6688</v>
      </c>
      <c r="F4055" s="5">
        <v>41058</v>
      </c>
      <c r="G4055" s="5">
        <v>41274</v>
      </c>
      <c r="H4055" s="4" t="s">
        <v>40</v>
      </c>
      <c r="I4055" s="6">
        <v>8000</v>
      </c>
      <c r="J4055" s="6">
        <f>4000+4000</f>
        <v>8000</v>
      </c>
      <c r="K4055" s="37" t="s">
        <v>6182</v>
      </c>
      <c r="L4055" s="120"/>
      <c r="M4055" s="3"/>
    </row>
    <row r="4056" spans="1:13" s="4" customFormat="1" ht="14.25" customHeight="1" x14ac:dyDescent="0.25">
      <c r="A4056" s="4" t="s">
        <v>6689</v>
      </c>
      <c r="B4056" s="4" t="s">
        <v>183</v>
      </c>
      <c r="C4056" s="4" t="s">
        <v>14</v>
      </c>
      <c r="D4056" s="35">
        <v>11092</v>
      </c>
      <c r="E4056" s="4" t="s">
        <v>6690</v>
      </c>
      <c r="F4056" s="5">
        <v>40940</v>
      </c>
      <c r="G4056" s="5">
        <v>41222</v>
      </c>
      <c r="H4056" s="4" t="s">
        <v>40</v>
      </c>
      <c r="I4056" s="6">
        <v>63722</v>
      </c>
      <c r="J4056" s="6">
        <v>63722</v>
      </c>
      <c r="K4056" s="37" t="s">
        <v>6182</v>
      </c>
      <c r="L4056" s="120"/>
      <c r="M4056" s="3"/>
    </row>
    <row r="4057" spans="1:13" s="4" customFormat="1" ht="14.25" customHeight="1" x14ac:dyDescent="0.25">
      <c r="A4057" s="4" t="s">
        <v>6479</v>
      </c>
      <c r="B4057" s="4" t="s">
        <v>190</v>
      </c>
      <c r="C4057" s="4" t="s">
        <v>14</v>
      </c>
      <c r="D4057" s="35">
        <v>11093</v>
      </c>
      <c r="E4057" s="4" t="s">
        <v>6363</v>
      </c>
      <c r="F4057" s="5">
        <v>40941</v>
      </c>
      <c r="G4057" s="5">
        <v>41051</v>
      </c>
      <c r="H4057" s="4" t="s">
        <v>40</v>
      </c>
      <c r="I4057" s="6">
        <v>67300</v>
      </c>
      <c r="J4057" s="6">
        <v>33650</v>
      </c>
      <c r="K4057" s="37" t="s">
        <v>6182</v>
      </c>
      <c r="L4057" s="120"/>
      <c r="M4057" s="3"/>
    </row>
    <row r="4058" spans="1:13" s="4" customFormat="1" ht="14.25" customHeight="1" x14ac:dyDescent="0.25">
      <c r="A4058" s="4" t="s">
        <v>6693</v>
      </c>
      <c r="B4058" s="4" t="s">
        <v>190</v>
      </c>
      <c r="C4058" s="4" t="s">
        <v>14</v>
      </c>
      <c r="D4058" s="35">
        <v>11095</v>
      </c>
      <c r="E4058" s="4" t="s">
        <v>6606</v>
      </c>
      <c r="F4058" s="5">
        <v>40750</v>
      </c>
      <c r="G4058" s="5">
        <v>41114</v>
      </c>
      <c r="H4058" s="4" t="s">
        <v>40</v>
      </c>
      <c r="I4058" s="6">
        <v>18750</v>
      </c>
      <c r="J4058" s="6">
        <v>18750</v>
      </c>
      <c r="K4058" s="37" t="s">
        <v>6182</v>
      </c>
      <c r="L4058" s="120"/>
      <c r="M4058" s="3"/>
    </row>
    <row r="4059" spans="1:13" s="4" customFormat="1" ht="14.25" customHeight="1" x14ac:dyDescent="0.25">
      <c r="A4059" s="4" t="s">
        <v>6694</v>
      </c>
      <c r="B4059" s="4" t="s">
        <v>190</v>
      </c>
      <c r="C4059" s="4" t="s">
        <v>14</v>
      </c>
      <c r="D4059" s="35">
        <v>11096</v>
      </c>
      <c r="E4059" s="4" t="s">
        <v>6695</v>
      </c>
      <c r="F4059" s="5">
        <v>40688</v>
      </c>
      <c r="G4059" s="5">
        <v>41148</v>
      </c>
      <c r="H4059" s="4" t="s">
        <v>40</v>
      </c>
      <c r="I4059" s="6">
        <v>6750</v>
      </c>
      <c r="J4059" s="6">
        <v>6750</v>
      </c>
      <c r="K4059" s="37" t="s">
        <v>6182</v>
      </c>
      <c r="L4059" s="120"/>
      <c r="M4059" s="3"/>
    </row>
    <row r="4060" spans="1:13" s="4" customFormat="1" ht="14.25" customHeight="1" x14ac:dyDescent="0.25">
      <c r="A4060" s="4" t="s">
        <v>6696</v>
      </c>
      <c r="B4060" s="4" t="s">
        <v>183</v>
      </c>
      <c r="C4060" s="4" t="s">
        <v>14</v>
      </c>
      <c r="D4060" s="35">
        <v>11097</v>
      </c>
      <c r="E4060" s="4" t="s">
        <v>6697</v>
      </c>
      <c r="F4060" s="5">
        <v>40995</v>
      </c>
      <c r="G4060" s="5">
        <v>41639</v>
      </c>
      <c r="H4060" s="4" t="s">
        <v>40</v>
      </c>
      <c r="I4060" s="6">
        <v>106898.1</v>
      </c>
      <c r="J4060" s="6">
        <f>38449.05+30000</f>
        <v>68449.05</v>
      </c>
      <c r="K4060" s="37" t="s">
        <v>6182</v>
      </c>
      <c r="L4060" s="120"/>
      <c r="M4060" s="3"/>
    </row>
    <row r="4061" spans="1:13" s="4" customFormat="1" ht="14.25" customHeight="1" x14ac:dyDescent="0.25">
      <c r="A4061" s="4" t="s">
        <v>6698</v>
      </c>
      <c r="B4061" s="4" t="s">
        <v>183</v>
      </c>
      <c r="C4061" s="4" t="s">
        <v>14</v>
      </c>
      <c r="D4061" s="35">
        <v>11098</v>
      </c>
      <c r="E4061" s="4" t="s">
        <v>6699</v>
      </c>
      <c r="F4061" s="5">
        <v>40774</v>
      </c>
      <c r="H4061" s="4" t="s">
        <v>40</v>
      </c>
      <c r="I4061" s="6">
        <v>15000</v>
      </c>
      <c r="J4061" s="6">
        <v>15000</v>
      </c>
      <c r="K4061" s="37" t="s">
        <v>6182</v>
      </c>
      <c r="L4061" s="120"/>
      <c r="M4061" s="3"/>
    </row>
    <row r="4062" spans="1:13" s="4" customFormat="1" ht="14.25" customHeight="1" x14ac:dyDescent="0.25">
      <c r="A4062" s="4" t="s">
        <v>6583</v>
      </c>
      <c r="B4062" s="4" t="s">
        <v>183</v>
      </c>
      <c r="C4062" s="4" t="s">
        <v>14</v>
      </c>
      <c r="D4062" s="35">
        <v>11099</v>
      </c>
      <c r="E4062" s="4" t="s">
        <v>6584</v>
      </c>
      <c r="F4062" s="5">
        <v>40812</v>
      </c>
      <c r="H4062" s="4" t="s">
        <v>40</v>
      </c>
      <c r="I4062" s="6">
        <v>18750</v>
      </c>
      <c r="J4062" s="6">
        <v>18750</v>
      </c>
      <c r="K4062" s="37" t="s">
        <v>6182</v>
      </c>
      <c r="L4062" s="120"/>
      <c r="M4062" s="3"/>
    </row>
    <row r="4063" spans="1:13" s="4" customFormat="1" ht="14.25" customHeight="1" x14ac:dyDescent="0.25">
      <c r="A4063" s="4" t="s">
        <v>6598</v>
      </c>
      <c r="B4063" s="4" t="s">
        <v>183</v>
      </c>
      <c r="C4063" s="4" t="s">
        <v>14</v>
      </c>
      <c r="D4063" s="35">
        <v>11100</v>
      </c>
      <c r="E4063" s="4" t="s">
        <v>6599</v>
      </c>
      <c r="F4063" s="5">
        <v>40840</v>
      </c>
      <c r="G4063" s="5">
        <v>41075</v>
      </c>
      <c r="H4063" s="4" t="s">
        <v>40</v>
      </c>
      <c r="I4063" s="6">
        <v>5000</v>
      </c>
      <c r="J4063" s="6">
        <v>4000</v>
      </c>
      <c r="K4063" s="37" t="s">
        <v>6182</v>
      </c>
      <c r="L4063" s="120"/>
      <c r="M4063" s="3"/>
    </row>
    <row r="4064" spans="1:13" s="4" customFormat="1" ht="14.25" customHeight="1" x14ac:dyDescent="0.25">
      <c r="A4064" s="4" t="s">
        <v>6700</v>
      </c>
      <c r="B4064" s="4" t="s">
        <v>183</v>
      </c>
      <c r="C4064" s="4" t="s">
        <v>14</v>
      </c>
      <c r="D4064" s="35">
        <v>11101</v>
      </c>
      <c r="E4064" s="4" t="s">
        <v>6701</v>
      </c>
      <c r="F4064" s="5">
        <v>40995</v>
      </c>
      <c r="G4064" s="5">
        <v>41107</v>
      </c>
      <c r="H4064" s="4" t="s">
        <v>40</v>
      </c>
      <c r="I4064" s="6">
        <v>11728</v>
      </c>
      <c r="J4064" s="6">
        <v>7864</v>
      </c>
      <c r="K4064" s="37" t="s">
        <v>6182</v>
      </c>
      <c r="L4064" s="120"/>
      <c r="M4064" s="3"/>
    </row>
    <row r="4065" spans="1:13" s="4" customFormat="1" ht="14.25" customHeight="1" x14ac:dyDescent="0.25">
      <c r="A4065" s="4" t="s">
        <v>6702</v>
      </c>
      <c r="B4065" s="4" t="s">
        <v>183</v>
      </c>
      <c r="C4065" s="4" t="s">
        <v>14</v>
      </c>
      <c r="D4065" s="35">
        <v>11102</v>
      </c>
      <c r="E4065" s="4" t="s">
        <v>6703</v>
      </c>
      <c r="F4065" s="5">
        <v>41114</v>
      </c>
      <c r="H4065" s="4" t="s">
        <v>40</v>
      </c>
      <c r="I4065" s="6">
        <v>22152</v>
      </c>
      <c r="J4065" s="6">
        <f>4000+15076</f>
        <v>19076</v>
      </c>
      <c r="K4065" s="37" t="s">
        <v>6182</v>
      </c>
      <c r="L4065" s="120"/>
      <c r="M4065" s="3"/>
    </row>
    <row r="4066" spans="1:13" s="4" customFormat="1" ht="14.25" customHeight="1" x14ac:dyDescent="0.25">
      <c r="A4066" s="4" t="s">
        <v>6704</v>
      </c>
      <c r="B4066" s="4" t="s">
        <v>190</v>
      </c>
      <c r="C4066" s="4" t="s">
        <v>14</v>
      </c>
      <c r="D4066" s="35">
        <v>11103</v>
      </c>
      <c r="E4066" s="4" t="s">
        <v>6705</v>
      </c>
      <c r="F4066" s="5">
        <v>40819</v>
      </c>
      <c r="G4066" s="5">
        <v>40940</v>
      </c>
      <c r="H4066" s="4" t="s">
        <v>40</v>
      </c>
      <c r="I4066" s="6">
        <v>5974</v>
      </c>
      <c r="J4066" s="6">
        <v>2987</v>
      </c>
      <c r="K4066" s="37" t="s">
        <v>6182</v>
      </c>
      <c r="L4066" s="120"/>
      <c r="M4066" s="3"/>
    </row>
    <row r="4067" spans="1:13" s="4" customFormat="1" ht="14.25" customHeight="1" x14ac:dyDescent="0.25">
      <c r="A4067" s="4" t="s">
        <v>6706</v>
      </c>
      <c r="B4067" s="4" t="s">
        <v>190</v>
      </c>
      <c r="C4067" s="4" t="s">
        <v>14</v>
      </c>
      <c r="D4067" s="35">
        <v>11104</v>
      </c>
      <c r="E4067" s="4" t="s">
        <v>6707</v>
      </c>
      <c r="F4067" s="5">
        <v>40708</v>
      </c>
      <c r="H4067" s="4" t="s">
        <v>40</v>
      </c>
      <c r="I4067" s="6">
        <v>15000</v>
      </c>
      <c r="J4067" s="6">
        <v>15000</v>
      </c>
      <c r="K4067" s="37" t="s">
        <v>6182</v>
      </c>
      <c r="L4067" s="120"/>
      <c r="M4067" s="3"/>
    </row>
    <row r="4068" spans="1:13" s="4" customFormat="1" ht="14.25" customHeight="1" x14ac:dyDescent="0.25">
      <c r="A4068" s="4" t="s">
        <v>6708</v>
      </c>
      <c r="B4068" s="4" t="s">
        <v>190</v>
      </c>
      <c r="C4068" s="4" t="s">
        <v>14</v>
      </c>
      <c r="D4068" s="35">
        <v>11105</v>
      </c>
      <c r="E4068" s="4" t="s">
        <v>6709</v>
      </c>
      <c r="F4068" s="5">
        <v>40841</v>
      </c>
      <c r="G4068" s="5">
        <v>41057</v>
      </c>
      <c r="H4068" s="4" t="s">
        <v>40</v>
      </c>
      <c r="I4068" s="6">
        <v>89446</v>
      </c>
      <c r="J4068" s="6">
        <v>44723</v>
      </c>
      <c r="K4068" s="37" t="s">
        <v>6182</v>
      </c>
      <c r="L4068" s="120"/>
      <c r="M4068" s="3"/>
    </row>
    <row r="4069" spans="1:13" s="4" customFormat="1" ht="14.25" customHeight="1" x14ac:dyDescent="0.25">
      <c r="A4069" s="4" t="s">
        <v>6710</v>
      </c>
      <c r="B4069" s="4" t="s">
        <v>190</v>
      </c>
      <c r="C4069" s="4" t="s">
        <v>14</v>
      </c>
      <c r="D4069" s="35">
        <v>11106</v>
      </c>
      <c r="E4069" s="4" t="s">
        <v>6711</v>
      </c>
      <c r="F4069" s="5">
        <v>40568</v>
      </c>
      <c r="G4069" s="5">
        <v>40914</v>
      </c>
      <c r="H4069" s="4" t="s">
        <v>40</v>
      </c>
      <c r="I4069" s="6">
        <v>13000</v>
      </c>
      <c r="J4069" s="6">
        <v>6500</v>
      </c>
      <c r="K4069" s="37" t="s">
        <v>6182</v>
      </c>
      <c r="L4069" s="120"/>
    </row>
    <row r="4070" spans="1:13" s="4" customFormat="1" ht="14.25" customHeight="1" x14ac:dyDescent="0.25">
      <c r="A4070" s="4" t="s">
        <v>6712</v>
      </c>
      <c r="B4070" s="4" t="s">
        <v>38</v>
      </c>
      <c r="C4070" s="4" t="s">
        <v>14</v>
      </c>
      <c r="D4070" s="35">
        <v>11114</v>
      </c>
      <c r="E4070" s="4" t="s">
        <v>6713</v>
      </c>
      <c r="F4070" s="5">
        <v>41045</v>
      </c>
      <c r="G4070" s="5">
        <v>41087</v>
      </c>
      <c r="H4070" s="4" t="s">
        <v>40</v>
      </c>
      <c r="I4070" s="6">
        <v>20289.88</v>
      </c>
      <c r="J4070" s="6">
        <v>20289.88</v>
      </c>
      <c r="K4070" s="37" t="s">
        <v>6182</v>
      </c>
      <c r="L4070" s="120"/>
      <c r="M4070" s="3"/>
    </row>
    <row r="4071" spans="1:13" s="4" customFormat="1" ht="14.25" customHeight="1" x14ac:dyDescent="0.25">
      <c r="A4071" s="4" t="s">
        <v>6714</v>
      </c>
      <c r="B4071" s="4" t="s">
        <v>38</v>
      </c>
      <c r="C4071" s="4" t="s">
        <v>14</v>
      </c>
      <c r="D4071" s="35">
        <v>11115</v>
      </c>
      <c r="E4071" s="4" t="s">
        <v>6715</v>
      </c>
      <c r="F4071" s="5">
        <v>41024</v>
      </c>
      <c r="G4071" s="5">
        <v>41184</v>
      </c>
      <c r="H4071" s="4" t="s">
        <v>40</v>
      </c>
      <c r="I4071" s="6">
        <v>1451.79</v>
      </c>
      <c r="J4071" s="6">
        <v>1451.79</v>
      </c>
      <c r="K4071" s="37" t="s">
        <v>6182</v>
      </c>
      <c r="L4071" s="120"/>
      <c r="M4071" s="3"/>
    </row>
    <row r="4072" spans="1:13" s="4" customFormat="1" ht="14.25" customHeight="1" x14ac:dyDescent="0.25">
      <c r="A4072" s="4" t="s">
        <v>6716</v>
      </c>
      <c r="B4072" s="4" t="s">
        <v>190</v>
      </c>
      <c r="C4072" s="4" t="s">
        <v>14</v>
      </c>
      <c r="D4072" s="35">
        <v>11223</v>
      </c>
      <c r="E4072" s="4" t="s">
        <v>6568</v>
      </c>
      <c r="G4072" s="5">
        <v>41051</v>
      </c>
      <c r="H4072" s="4" t="s">
        <v>40</v>
      </c>
      <c r="I4072" s="6">
        <v>15000</v>
      </c>
      <c r="J4072" s="6">
        <v>15000</v>
      </c>
      <c r="K4072" s="37" t="s">
        <v>6182</v>
      </c>
      <c r="L4072" s="120"/>
      <c r="M4072" s="3"/>
    </row>
    <row r="4073" spans="1:13" ht="14.25" customHeight="1" x14ac:dyDescent="0.25">
      <c r="A4073" s="13" t="s">
        <v>10927</v>
      </c>
      <c r="B4073" s="13" t="s">
        <v>10195</v>
      </c>
      <c r="C4073" s="13" t="s">
        <v>14</v>
      </c>
      <c r="D4073" s="19">
        <v>12601</v>
      </c>
      <c r="E4073" s="13" t="s">
        <v>10928</v>
      </c>
      <c r="F4073" s="14">
        <v>41253</v>
      </c>
      <c r="G4073" s="14">
        <v>41639</v>
      </c>
      <c r="H4073" s="13" t="s">
        <v>651</v>
      </c>
      <c r="I4073" s="18">
        <v>13500</v>
      </c>
      <c r="J4073" s="18">
        <v>10500</v>
      </c>
      <c r="K4073" s="20" t="s">
        <v>6182</v>
      </c>
    </row>
    <row r="4074" spans="1:13" ht="14.25" customHeight="1" x14ac:dyDescent="0.25">
      <c r="A4074" s="13" t="s">
        <v>10929</v>
      </c>
      <c r="B4074" s="13" t="s">
        <v>10930</v>
      </c>
      <c r="C4074" s="13" t="s">
        <v>14</v>
      </c>
      <c r="D4074" s="19">
        <v>12603</v>
      </c>
      <c r="E4074" s="13" t="s">
        <v>10931</v>
      </c>
      <c r="F4074" s="14">
        <v>41302</v>
      </c>
      <c r="H4074" s="13" t="s">
        <v>651</v>
      </c>
      <c r="I4074" s="18">
        <v>10000</v>
      </c>
      <c r="J4074" s="18">
        <v>10000</v>
      </c>
      <c r="K4074" s="20" t="s">
        <v>6182</v>
      </c>
    </row>
    <row r="4075" spans="1:13" ht="14.25" customHeight="1" x14ac:dyDescent="0.25">
      <c r="A4075" s="13" t="s">
        <v>10932</v>
      </c>
      <c r="B4075" s="13" t="s">
        <v>10192</v>
      </c>
      <c r="C4075" s="13" t="s">
        <v>14</v>
      </c>
      <c r="D4075" s="19">
        <v>12605</v>
      </c>
      <c r="E4075" s="13" t="s">
        <v>10933</v>
      </c>
      <c r="F4075" s="14">
        <v>41253</v>
      </c>
      <c r="H4075" s="13" t="s">
        <v>651</v>
      </c>
      <c r="I4075" s="18">
        <v>13500</v>
      </c>
      <c r="J4075" s="18">
        <v>10500</v>
      </c>
      <c r="K4075" s="20" t="s">
        <v>6182</v>
      </c>
    </row>
    <row r="4076" spans="1:13" ht="14.25" customHeight="1" x14ac:dyDescent="0.25">
      <c r="A4076" s="13" t="s">
        <v>10938</v>
      </c>
      <c r="B4076" s="13" t="s">
        <v>10192</v>
      </c>
      <c r="C4076" s="13" t="s">
        <v>14</v>
      </c>
      <c r="D4076" s="19">
        <v>12621</v>
      </c>
      <c r="E4076" s="13" t="s">
        <v>10939</v>
      </c>
      <c r="F4076" s="14">
        <v>41253</v>
      </c>
      <c r="H4076" s="13" t="s">
        <v>651</v>
      </c>
      <c r="I4076" s="18">
        <v>38751</v>
      </c>
      <c r="J4076" s="18">
        <v>19375.5</v>
      </c>
      <c r="K4076" s="20" t="s">
        <v>6182</v>
      </c>
    </row>
    <row r="4077" spans="1:13" ht="14.25" customHeight="1" x14ac:dyDescent="0.25">
      <c r="A4077" s="13" t="s">
        <v>10940</v>
      </c>
      <c r="B4077" s="13" t="s">
        <v>10195</v>
      </c>
      <c r="C4077" s="13" t="s">
        <v>14</v>
      </c>
      <c r="D4077" s="19">
        <v>12622</v>
      </c>
      <c r="E4077" s="13" t="s">
        <v>10941</v>
      </c>
      <c r="F4077" s="14">
        <v>41302</v>
      </c>
      <c r="H4077" s="13" t="s">
        <v>651</v>
      </c>
      <c r="I4077" s="18">
        <v>85000</v>
      </c>
      <c r="J4077" s="18">
        <v>42500</v>
      </c>
      <c r="K4077" s="20" t="s">
        <v>6182</v>
      </c>
    </row>
    <row r="4078" spans="1:13" ht="14.25" customHeight="1" x14ac:dyDescent="0.25">
      <c r="A4078" s="13" t="s">
        <v>10942</v>
      </c>
      <c r="B4078" s="13" t="s">
        <v>10192</v>
      </c>
      <c r="C4078" s="13" t="s">
        <v>14</v>
      </c>
      <c r="D4078" s="19">
        <v>12624</v>
      </c>
      <c r="E4078" s="13" t="s">
        <v>10943</v>
      </c>
      <c r="F4078" s="14">
        <v>41572</v>
      </c>
      <c r="H4078" s="13" t="s">
        <v>651</v>
      </c>
      <c r="I4078" s="18">
        <v>3750</v>
      </c>
      <c r="J4078" s="18">
        <v>3750</v>
      </c>
      <c r="K4078" s="20" t="s">
        <v>6182</v>
      </c>
    </row>
    <row r="4079" spans="1:13" ht="14.25" customHeight="1" x14ac:dyDescent="0.25">
      <c r="A4079" s="13" t="s">
        <v>10944</v>
      </c>
      <c r="B4079" s="13" t="s">
        <v>10192</v>
      </c>
      <c r="C4079" s="13" t="s">
        <v>14</v>
      </c>
      <c r="D4079" s="19">
        <v>12627</v>
      </c>
      <c r="E4079" s="13" t="s">
        <v>10945</v>
      </c>
      <c r="F4079" s="14">
        <v>41610</v>
      </c>
      <c r="H4079" s="13" t="s">
        <v>651</v>
      </c>
      <c r="I4079" s="18">
        <v>12000</v>
      </c>
      <c r="J4079" s="18">
        <v>12000</v>
      </c>
      <c r="K4079" s="20" t="s">
        <v>6182</v>
      </c>
    </row>
    <row r="4080" spans="1:13" ht="14.25" customHeight="1" x14ac:dyDescent="0.25">
      <c r="A4080" s="13" t="s">
        <v>10946</v>
      </c>
      <c r="B4080" s="13" t="s">
        <v>10192</v>
      </c>
      <c r="C4080" s="13" t="s">
        <v>14</v>
      </c>
      <c r="D4080" s="19">
        <v>12630</v>
      </c>
      <c r="E4080" s="13" t="s">
        <v>10947</v>
      </c>
      <c r="F4080" s="14">
        <v>41572</v>
      </c>
      <c r="H4080" s="13" t="s">
        <v>651</v>
      </c>
      <c r="I4080" s="18">
        <v>25742</v>
      </c>
      <c r="J4080" s="18">
        <v>14746</v>
      </c>
      <c r="K4080" s="20" t="s">
        <v>6182</v>
      </c>
    </row>
    <row r="4081" spans="1:11" ht="14.25" customHeight="1" x14ac:dyDescent="0.25">
      <c r="A4081" s="13" t="s">
        <v>10948</v>
      </c>
      <c r="B4081" s="13" t="s">
        <v>10195</v>
      </c>
      <c r="C4081" s="13" t="s">
        <v>14</v>
      </c>
      <c r="D4081" s="19">
        <v>12631</v>
      </c>
      <c r="E4081" s="13" t="s">
        <v>10949</v>
      </c>
      <c r="F4081" s="14">
        <v>41418</v>
      </c>
      <c r="H4081" s="13" t="s">
        <v>651</v>
      </c>
      <c r="I4081" s="18">
        <v>7000</v>
      </c>
      <c r="J4081" s="18">
        <v>7000</v>
      </c>
      <c r="K4081" s="20" t="s">
        <v>6182</v>
      </c>
    </row>
    <row r="4082" spans="1:11" ht="14.25" customHeight="1" x14ac:dyDescent="0.25">
      <c r="A4082" s="13" t="s">
        <v>10887</v>
      </c>
      <c r="B4082" s="13" t="s">
        <v>10192</v>
      </c>
      <c r="C4082" s="13" t="s">
        <v>14</v>
      </c>
      <c r="D4082" s="19">
        <v>12632</v>
      </c>
      <c r="E4082" s="13" t="s">
        <v>10888</v>
      </c>
      <c r="F4082" s="14">
        <v>41533</v>
      </c>
      <c r="H4082" s="13" t="s">
        <v>651</v>
      </c>
      <c r="I4082" s="18">
        <v>7500</v>
      </c>
      <c r="J4082" s="18">
        <v>7500</v>
      </c>
      <c r="K4082" s="20" t="s">
        <v>6182</v>
      </c>
    </row>
    <row r="4083" spans="1:11" ht="14.25" customHeight="1" x14ac:dyDescent="0.25">
      <c r="A4083" s="13" t="s">
        <v>10950</v>
      </c>
      <c r="B4083" s="13" t="s">
        <v>10192</v>
      </c>
      <c r="C4083" s="13" t="s">
        <v>14</v>
      </c>
      <c r="D4083" s="19">
        <v>12633</v>
      </c>
      <c r="E4083" s="13" t="s">
        <v>10951</v>
      </c>
      <c r="F4083" s="14">
        <v>41418</v>
      </c>
      <c r="G4083" s="14">
        <v>41589</v>
      </c>
      <c r="H4083" s="13" t="s">
        <v>651</v>
      </c>
      <c r="I4083" s="18">
        <v>98000</v>
      </c>
      <c r="J4083" s="18">
        <v>53000</v>
      </c>
      <c r="K4083" s="20" t="s">
        <v>6182</v>
      </c>
    </row>
    <row r="4084" spans="1:11" ht="14.25" customHeight="1" x14ac:dyDescent="0.25">
      <c r="A4084" s="13" t="s">
        <v>10889</v>
      </c>
      <c r="B4084" s="13" t="s">
        <v>13</v>
      </c>
      <c r="C4084" s="13" t="s">
        <v>14</v>
      </c>
      <c r="D4084" s="19">
        <v>12634</v>
      </c>
      <c r="E4084" s="13" t="s">
        <v>10890</v>
      </c>
      <c r="F4084" s="14">
        <v>41572</v>
      </c>
      <c r="G4084" s="14">
        <v>41624</v>
      </c>
      <c r="H4084" s="13" t="s">
        <v>651</v>
      </c>
      <c r="I4084" s="18">
        <v>40000</v>
      </c>
      <c r="J4084" s="18">
        <v>20000</v>
      </c>
      <c r="K4084" s="20" t="s">
        <v>6182</v>
      </c>
    </row>
    <row r="4085" spans="1:11" ht="14.25" customHeight="1" x14ac:dyDescent="0.25">
      <c r="A4085" s="13" t="s">
        <v>10952</v>
      </c>
      <c r="B4085" s="13" t="s">
        <v>13</v>
      </c>
      <c r="C4085" s="13" t="s">
        <v>14</v>
      </c>
      <c r="D4085" s="19">
        <v>12635</v>
      </c>
      <c r="E4085" s="13" t="s">
        <v>10953</v>
      </c>
      <c r="F4085" s="14">
        <v>41569</v>
      </c>
      <c r="H4085" s="13" t="s">
        <v>651</v>
      </c>
      <c r="I4085" s="18">
        <v>10208</v>
      </c>
      <c r="J4085" s="18">
        <v>5104</v>
      </c>
      <c r="K4085" s="20" t="s">
        <v>6182</v>
      </c>
    </row>
    <row r="4086" spans="1:11" ht="14.25" customHeight="1" x14ac:dyDescent="0.25">
      <c r="A4086" s="13" t="s">
        <v>10954</v>
      </c>
      <c r="B4086" s="13" t="s">
        <v>13</v>
      </c>
      <c r="C4086" s="13" t="s">
        <v>14</v>
      </c>
      <c r="D4086" s="19">
        <v>12636</v>
      </c>
      <c r="E4086" s="13" t="s">
        <v>10955</v>
      </c>
      <c r="F4086" s="14">
        <v>41533</v>
      </c>
      <c r="H4086" s="13" t="s">
        <v>651</v>
      </c>
      <c r="I4086" s="18">
        <v>3750</v>
      </c>
      <c r="J4086" s="18">
        <v>3750</v>
      </c>
      <c r="K4086" s="20" t="s">
        <v>6182</v>
      </c>
    </row>
    <row r="4087" spans="1:11" ht="14.25" customHeight="1" x14ac:dyDescent="0.25">
      <c r="A4087" s="13" t="s">
        <v>10956</v>
      </c>
      <c r="B4087" s="13" t="s">
        <v>10192</v>
      </c>
      <c r="C4087" s="13" t="s">
        <v>14</v>
      </c>
      <c r="D4087" s="19">
        <v>12637</v>
      </c>
      <c r="E4087" s="13" t="s">
        <v>10957</v>
      </c>
      <c r="F4087" s="14">
        <v>41572</v>
      </c>
      <c r="H4087" s="13" t="s">
        <v>651</v>
      </c>
      <c r="I4087" s="18">
        <v>33608</v>
      </c>
      <c r="J4087" s="18">
        <v>16804</v>
      </c>
      <c r="K4087" s="20" t="s">
        <v>6182</v>
      </c>
    </row>
    <row r="4088" spans="1:11" ht="14.25" customHeight="1" x14ac:dyDescent="0.25">
      <c r="A4088" s="13" t="s">
        <v>10958</v>
      </c>
      <c r="B4088" s="13" t="s">
        <v>10192</v>
      </c>
      <c r="C4088" s="13" t="s">
        <v>14</v>
      </c>
      <c r="D4088" s="19">
        <v>12638</v>
      </c>
      <c r="E4088" s="13" t="s">
        <v>10959</v>
      </c>
      <c r="F4088" s="14">
        <v>41449</v>
      </c>
      <c r="H4088" s="13" t="s">
        <v>651</v>
      </c>
      <c r="I4088" s="18">
        <v>4000</v>
      </c>
      <c r="J4088" s="18">
        <v>4000</v>
      </c>
      <c r="K4088" s="20" t="s">
        <v>6182</v>
      </c>
    </row>
    <row r="4089" spans="1:11" ht="14.25" customHeight="1" x14ac:dyDescent="0.25">
      <c r="A4089" s="13" t="s">
        <v>10960</v>
      </c>
      <c r="B4089" s="13" t="s">
        <v>10192</v>
      </c>
      <c r="C4089" s="13" t="s">
        <v>14</v>
      </c>
      <c r="D4089" s="19">
        <v>12639</v>
      </c>
      <c r="E4089" s="13" t="s">
        <v>10961</v>
      </c>
      <c r="F4089" s="14">
        <v>41253</v>
      </c>
      <c r="H4089" s="13" t="s">
        <v>651</v>
      </c>
      <c r="I4089" s="18">
        <v>7500</v>
      </c>
      <c r="J4089" s="18">
        <v>7500</v>
      </c>
      <c r="K4089" s="20" t="s">
        <v>6182</v>
      </c>
    </row>
    <row r="4090" spans="1:11" ht="14.25" customHeight="1" x14ac:dyDescent="0.25">
      <c r="A4090" s="13" t="s">
        <v>10962</v>
      </c>
      <c r="B4090" s="13" t="s">
        <v>10220</v>
      </c>
      <c r="C4090" s="13" t="s">
        <v>14</v>
      </c>
      <c r="D4090" s="19">
        <v>12640</v>
      </c>
      <c r="E4090" s="13" t="s">
        <v>10963</v>
      </c>
      <c r="F4090" s="14">
        <v>41355</v>
      </c>
      <c r="H4090" s="13" t="s">
        <v>651</v>
      </c>
      <c r="I4090" s="18">
        <v>7499</v>
      </c>
      <c r="J4090" s="18">
        <v>3749.5</v>
      </c>
      <c r="K4090" s="20" t="s">
        <v>6182</v>
      </c>
    </row>
    <row r="4091" spans="1:11" ht="14.25" customHeight="1" x14ac:dyDescent="0.25">
      <c r="A4091" s="13" t="s">
        <v>10964</v>
      </c>
      <c r="B4091" s="13" t="s">
        <v>13</v>
      </c>
      <c r="C4091" s="13" t="s">
        <v>14</v>
      </c>
      <c r="D4091" s="19">
        <v>12641</v>
      </c>
      <c r="E4091" s="13" t="s">
        <v>10965</v>
      </c>
      <c r="F4091" s="14">
        <v>41533</v>
      </c>
      <c r="H4091" s="13" t="s">
        <v>651</v>
      </c>
      <c r="I4091" s="18">
        <v>109298.72</v>
      </c>
      <c r="J4091" s="18">
        <v>54649.36</v>
      </c>
      <c r="K4091" s="20" t="s">
        <v>6182</v>
      </c>
    </row>
    <row r="4092" spans="1:11" ht="14.25" customHeight="1" x14ac:dyDescent="0.25">
      <c r="A4092" s="13" t="s">
        <v>7214</v>
      </c>
      <c r="B4092" s="13" t="s">
        <v>38</v>
      </c>
      <c r="C4092" s="13" t="s">
        <v>14</v>
      </c>
      <c r="D4092" s="19">
        <v>12687</v>
      </c>
      <c r="E4092" s="13" t="s">
        <v>10968</v>
      </c>
      <c r="F4092" s="14">
        <v>40938</v>
      </c>
      <c r="G4092" s="14">
        <v>41290</v>
      </c>
      <c r="H4092" s="13" t="s">
        <v>651</v>
      </c>
      <c r="I4092" s="18">
        <v>26789.200000000001</v>
      </c>
      <c r="J4092" s="18">
        <v>26789.200000000001</v>
      </c>
      <c r="K4092" s="20" t="s">
        <v>6182</v>
      </c>
    </row>
    <row r="4093" spans="1:11" ht="14.25" customHeight="1" x14ac:dyDescent="0.25">
      <c r="A4093" s="13" t="s">
        <v>10969</v>
      </c>
      <c r="B4093" s="13" t="s">
        <v>38</v>
      </c>
      <c r="C4093" s="13" t="s">
        <v>14</v>
      </c>
      <c r="D4093" s="19">
        <v>12688</v>
      </c>
      <c r="E4093" s="13" t="s">
        <v>10970</v>
      </c>
      <c r="F4093" s="14">
        <v>41302</v>
      </c>
      <c r="G4093" s="14">
        <v>41494</v>
      </c>
      <c r="H4093" s="13" t="s">
        <v>651</v>
      </c>
      <c r="I4093" s="18">
        <v>2252.5</v>
      </c>
      <c r="J4093" s="18">
        <v>2252.5</v>
      </c>
      <c r="K4093" s="20" t="s">
        <v>6182</v>
      </c>
    </row>
    <row r="4094" spans="1:11" ht="14.25" customHeight="1" x14ac:dyDescent="0.25">
      <c r="A4094" s="13" t="s">
        <v>10971</v>
      </c>
      <c r="B4094" s="13" t="s">
        <v>38</v>
      </c>
      <c r="C4094" s="13" t="s">
        <v>14</v>
      </c>
      <c r="D4094" s="19">
        <v>12689</v>
      </c>
      <c r="E4094" s="13" t="s">
        <v>10972</v>
      </c>
      <c r="F4094" s="14">
        <v>41302</v>
      </c>
      <c r="G4094" s="14">
        <v>41374</v>
      </c>
      <c r="H4094" s="13" t="s">
        <v>651</v>
      </c>
      <c r="I4094" s="18">
        <v>1565</v>
      </c>
      <c r="J4094" s="18">
        <v>1565</v>
      </c>
      <c r="K4094" s="20" t="s">
        <v>6182</v>
      </c>
    </row>
    <row r="4095" spans="1:11" ht="14.25" customHeight="1" x14ac:dyDescent="0.25">
      <c r="A4095" s="13" t="s">
        <v>10973</v>
      </c>
      <c r="B4095" s="13" t="s">
        <v>38</v>
      </c>
      <c r="C4095" s="13" t="s">
        <v>14</v>
      </c>
      <c r="D4095" s="19">
        <v>12691</v>
      </c>
      <c r="E4095" s="13" t="s">
        <v>10972</v>
      </c>
      <c r="F4095" s="14">
        <v>41302</v>
      </c>
      <c r="G4095" s="14">
        <v>41618</v>
      </c>
      <c r="H4095" s="13" t="s">
        <v>651</v>
      </c>
      <c r="I4095" s="18">
        <v>2762.5</v>
      </c>
      <c r="J4095" s="18">
        <v>2762.5</v>
      </c>
      <c r="K4095" s="20" t="s">
        <v>6182</v>
      </c>
    </row>
    <row r="4096" spans="1:11" ht="14.25" customHeight="1" x14ac:dyDescent="0.25">
      <c r="A4096" s="13" t="s">
        <v>10974</v>
      </c>
      <c r="B4096" s="13" t="s">
        <v>38</v>
      </c>
      <c r="C4096" s="13" t="s">
        <v>14</v>
      </c>
      <c r="D4096" s="19">
        <v>12692</v>
      </c>
      <c r="E4096" s="13" t="s">
        <v>6639</v>
      </c>
      <c r="F4096" s="14">
        <v>41302</v>
      </c>
      <c r="G4096" s="14">
        <v>41537</v>
      </c>
      <c r="H4096" s="13" t="s">
        <v>651</v>
      </c>
      <c r="I4096" s="18">
        <v>2177.5</v>
      </c>
      <c r="J4096" s="18">
        <v>2177.5</v>
      </c>
      <c r="K4096" s="20" t="s">
        <v>6182</v>
      </c>
    </row>
    <row r="4097" spans="1:11" ht="14.25" customHeight="1" x14ac:dyDescent="0.25">
      <c r="A4097" s="13" t="s">
        <v>6287</v>
      </c>
      <c r="B4097" s="13" t="s">
        <v>38</v>
      </c>
      <c r="C4097" s="13" t="s">
        <v>14</v>
      </c>
      <c r="D4097" s="19">
        <v>12693</v>
      </c>
      <c r="E4097" s="13" t="s">
        <v>10975</v>
      </c>
      <c r="F4097" s="14">
        <v>41302</v>
      </c>
      <c r="G4097" s="14">
        <v>41549</v>
      </c>
      <c r="H4097" s="13" t="s">
        <v>651</v>
      </c>
      <c r="I4097" s="18">
        <v>11641.91</v>
      </c>
      <c r="J4097" s="18">
        <v>11641.91</v>
      </c>
      <c r="K4097" s="20" t="s">
        <v>6182</v>
      </c>
    </row>
    <row r="4098" spans="1:11" ht="14.25" customHeight="1" x14ac:dyDescent="0.25">
      <c r="A4098" s="13" t="s">
        <v>10976</v>
      </c>
      <c r="B4098" s="13" t="s">
        <v>38</v>
      </c>
      <c r="C4098" s="13" t="s">
        <v>14</v>
      </c>
      <c r="D4098" s="19">
        <v>12694</v>
      </c>
      <c r="E4098" s="13" t="s">
        <v>10977</v>
      </c>
      <c r="F4098" s="14">
        <v>41302</v>
      </c>
      <c r="G4098" s="14">
        <v>41618</v>
      </c>
      <c r="H4098" s="13" t="s">
        <v>651</v>
      </c>
      <c r="I4098" s="18">
        <v>6840</v>
      </c>
      <c r="J4098" s="18">
        <v>6840</v>
      </c>
      <c r="K4098" s="20" t="s">
        <v>6182</v>
      </c>
    </row>
    <row r="4099" spans="1:11" ht="14.25" customHeight="1" x14ac:dyDescent="0.25">
      <c r="A4099" s="13" t="s">
        <v>6357</v>
      </c>
      <c r="B4099" s="13" t="s">
        <v>38</v>
      </c>
      <c r="C4099" s="13" t="s">
        <v>14</v>
      </c>
      <c r="D4099" s="19">
        <v>12695</v>
      </c>
      <c r="E4099" s="13" t="s">
        <v>10978</v>
      </c>
      <c r="F4099" s="14">
        <v>41302</v>
      </c>
      <c r="G4099" s="14">
        <v>41421</v>
      </c>
      <c r="H4099" s="13" t="s">
        <v>651</v>
      </c>
      <c r="I4099" s="18">
        <v>740</v>
      </c>
      <c r="J4099" s="18">
        <v>740</v>
      </c>
      <c r="K4099" s="20" t="s">
        <v>6182</v>
      </c>
    </row>
    <row r="4100" spans="1:11" ht="14.25" customHeight="1" x14ac:dyDescent="0.25">
      <c r="A4100" s="13" t="s">
        <v>10979</v>
      </c>
      <c r="B4100" s="13" t="s">
        <v>38</v>
      </c>
      <c r="C4100" s="13" t="s">
        <v>14</v>
      </c>
      <c r="D4100" s="19">
        <v>12696</v>
      </c>
      <c r="E4100" s="13" t="s">
        <v>10980</v>
      </c>
      <c r="F4100" s="14">
        <v>41302</v>
      </c>
      <c r="G4100" s="14">
        <v>41418</v>
      </c>
      <c r="H4100" s="13" t="s">
        <v>651</v>
      </c>
      <c r="I4100" s="18">
        <v>3042.2</v>
      </c>
      <c r="J4100" s="18">
        <v>3042.2</v>
      </c>
      <c r="K4100" s="20" t="s">
        <v>6182</v>
      </c>
    </row>
    <row r="4101" spans="1:11" ht="14.25" customHeight="1" x14ac:dyDescent="0.25">
      <c r="A4101" s="13" t="s">
        <v>10981</v>
      </c>
      <c r="B4101" s="13" t="s">
        <v>38</v>
      </c>
      <c r="C4101" s="13" t="s">
        <v>14</v>
      </c>
      <c r="D4101" s="19">
        <v>12697</v>
      </c>
      <c r="E4101" s="13" t="s">
        <v>10982</v>
      </c>
      <c r="F4101" s="14">
        <v>41302</v>
      </c>
      <c r="G4101" s="14">
        <v>41563</v>
      </c>
      <c r="H4101" s="13" t="s">
        <v>651</v>
      </c>
      <c r="I4101" s="18">
        <v>977.5</v>
      </c>
      <c r="J4101" s="18">
        <v>977.5</v>
      </c>
      <c r="K4101" s="20" t="s">
        <v>6182</v>
      </c>
    </row>
    <row r="4102" spans="1:11" ht="14.25" customHeight="1" x14ac:dyDescent="0.25">
      <c r="A4102" s="13" t="s">
        <v>10983</v>
      </c>
      <c r="B4102" s="13" t="s">
        <v>38</v>
      </c>
      <c r="C4102" s="13" t="s">
        <v>14</v>
      </c>
      <c r="D4102" s="19">
        <v>12698</v>
      </c>
      <c r="E4102" s="13" t="s">
        <v>10984</v>
      </c>
      <c r="F4102" s="14">
        <v>41302</v>
      </c>
      <c r="G4102" s="14">
        <v>41438</v>
      </c>
      <c r="H4102" s="13" t="s">
        <v>651</v>
      </c>
      <c r="I4102" s="18">
        <v>775</v>
      </c>
      <c r="J4102" s="18">
        <v>775</v>
      </c>
      <c r="K4102" s="20" t="s">
        <v>6182</v>
      </c>
    </row>
    <row r="4103" spans="1:11" ht="14.25" customHeight="1" x14ac:dyDescent="0.25">
      <c r="A4103" s="13" t="s">
        <v>10985</v>
      </c>
      <c r="B4103" s="13" t="s">
        <v>38</v>
      </c>
      <c r="C4103" s="13" t="s">
        <v>14</v>
      </c>
      <c r="D4103" s="19">
        <v>12699</v>
      </c>
      <c r="E4103" s="13" t="s">
        <v>10986</v>
      </c>
      <c r="F4103" s="14">
        <v>41302</v>
      </c>
      <c r="G4103" s="14">
        <v>41387</v>
      </c>
      <c r="H4103" s="13" t="s">
        <v>651</v>
      </c>
      <c r="I4103" s="18">
        <v>756.3</v>
      </c>
      <c r="J4103" s="18">
        <v>756.3</v>
      </c>
      <c r="K4103" s="20" t="s">
        <v>6182</v>
      </c>
    </row>
    <row r="4104" spans="1:11" ht="14.25" customHeight="1" x14ac:dyDescent="0.25">
      <c r="A4104" s="13" t="s">
        <v>10987</v>
      </c>
      <c r="B4104" s="13" t="s">
        <v>38</v>
      </c>
      <c r="C4104" s="13" t="s">
        <v>14</v>
      </c>
      <c r="D4104" s="19">
        <v>12700</v>
      </c>
      <c r="E4104" s="13" t="s">
        <v>10988</v>
      </c>
      <c r="F4104" s="14">
        <v>41302</v>
      </c>
      <c r="G4104" s="14">
        <v>41407</v>
      </c>
      <c r="H4104" s="13" t="s">
        <v>651</v>
      </c>
      <c r="I4104" s="18">
        <v>242</v>
      </c>
      <c r="J4104" s="18">
        <v>242</v>
      </c>
      <c r="K4104" s="20" t="s">
        <v>6182</v>
      </c>
    </row>
    <row r="4105" spans="1:11" ht="14.25" customHeight="1" x14ac:dyDescent="0.25">
      <c r="A4105" s="13" t="s">
        <v>10989</v>
      </c>
      <c r="B4105" s="13" t="s">
        <v>38</v>
      </c>
      <c r="C4105" s="13" t="s">
        <v>14</v>
      </c>
      <c r="D4105" s="19">
        <v>12701</v>
      </c>
      <c r="E4105" s="13" t="s">
        <v>10990</v>
      </c>
      <c r="F4105" s="14">
        <v>41302</v>
      </c>
      <c r="G4105" s="14">
        <v>41418</v>
      </c>
      <c r="H4105" s="13" t="s">
        <v>651</v>
      </c>
      <c r="I4105" s="18">
        <v>515</v>
      </c>
      <c r="J4105" s="18">
        <v>515</v>
      </c>
      <c r="K4105" s="20" t="s">
        <v>6182</v>
      </c>
    </row>
    <row r="4106" spans="1:11" ht="14.25" customHeight="1" x14ac:dyDescent="0.25">
      <c r="A4106" s="13" t="s">
        <v>10991</v>
      </c>
      <c r="B4106" s="13" t="s">
        <v>38</v>
      </c>
      <c r="C4106" s="13" t="s">
        <v>14</v>
      </c>
      <c r="D4106" s="19">
        <v>12702</v>
      </c>
      <c r="E4106" s="13" t="s">
        <v>10992</v>
      </c>
      <c r="F4106" s="14">
        <v>41302</v>
      </c>
      <c r="G4106" s="14">
        <v>41418</v>
      </c>
      <c r="H4106" s="13" t="s">
        <v>651</v>
      </c>
      <c r="I4106" s="18">
        <v>288</v>
      </c>
      <c r="J4106" s="18">
        <v>288</v>
      </c>
      <c r="K4106" s="20" t="s">
        <v>6182</v>
      </c>
    </row>
    <row r="4107" spans="1:11" ht="14.25" customHeight="1" x14ac:dyDescent="0.25">
      <c r="A4107" s="13" t="s">
        <v>10993</v>
      </c>
      <c r="B4107" s="13" t="s">
        <v>38</v>
      </c>
      <c r="C4107" s="13" t="s">
        <v>14</v>
      </c>
      <c r="D4107" s="19">
        <v>12703</v>
      </c>
      <c r="E4107" s="13" t="s">
        <v>10994</v>
      </c>
      <c r="F4107" s="14">
        <v>41302</v>
      </c>
      <c r="G4107" s="14">
        <v>41386</v>
      </c>
      <c r="H4107" s="13" t="s">
        <v>651</v>
      </c>
      <c r="I4107" s="18">
        <v>1598.4</v>
      </c>
      <c r="J4107" s="18">
        <v>1598.4</v>
      </c>
      <c r="K4107" s="20" t="s">
        <v>6182</v>
      </c>
    </row>
    <row r="4108" spans="1:11" ht="14.25" customHeight="1" x14ac:dyDescent="0.25">
      <c r="A4108" s="13" t="s">
        <v>10995</v>
      </c>
      <c r="B4108" s="13" t="s">
        <v>38</v>
      </c>
      <c r="C4108" s="13" t="s">
        <v>14</v>
      </c>
      <c r="D4108" s="19">
        <v>12705</v>
      </c>
      <c r="E4108" s="13" t="s">
        <v>10996</v>
      </c>
      <c r="F4108" s="14">
        <v>41302</v>
      </c>
      <c r="G4108" s="14">
        <v>41386</v>
      </c>
      <c r="H4108" s="13" t="s">
        <v>651</v>
      </c>
      <c r="I4108" s="18">
        <v>862.5</v>
      </c>
      <c r="J4108" s="18">
        <v>862.5</v>
      </c>
      <c r="K4108" s="20" t="s">
        <v>6182</v>
      </c>
    </row>
    <row r="4109" spans="1:11" ht="14.25" customHeight="1" x14ac:dyDescent="0.25">
      <c r="A4109" s="13" t="s">
        <v>10997</v>
      </c>
      <c r="B4109" s="13" t="s">
        <v>38</v>
      </c>
      <c r="C4109" s="13" t="s">
        <v>14</v>
      </c>
      <c r="D4109" s="19">
        <v>12706</v>
      </c>
      <c r="E4109" s="13" t="s">
        <v>10998</v>
      </c>
      <c r="F4109" s="14">
        <v>41302</v>
      </c>
      <c r="G4109" s="14">
        <v>41494</v>
      </c>
      <c r="H4109" s="13" t="s">
        <v>651</v>
      </c>
      <c r="I4109" s="18">
        <v>750</v>
      </c>
      <c r="J4109" s="18">
        <v>750</v>
      </c>
      <c r="K4109" s="20" t="s">
        <v>6182</v>
      </c>
    </row>
    <row r="4110" spans="1:11" ht="14.25" customHeight="1" x14ac:dyDescent="0.25">
      <c r="A4110" s="13" t="s">
        <v>10999</v>
      </c>
      <c r="B4110" s="13" t="s">
        <v>38</v>
      </c>
      <c r="C4110" s="13" t="s">
        <v>14</v>
      </c>
      <c r="D4110" s="19">
        <v>12707</v>
      </c>
      <c r="E4110" s="13" t="s">
        <v>11000</v>
      </c>
      <c r="F4110" s="14">
        <v>41302</v>
      </c>
      <c r="G4110" s="14">
        <v>41610</v>
      </c>
      <c r="H4110" s="13" t="s">
        <v>651</v>
      </c>
      <c r="I4110" s="18">
        <v>300</v>
      </c>
      <c r="J4110" s="18">
        <v>300</v>
      </c>
      <c r="K4110" s="20" t="s">
        <v>6182</v>
      </c>
    </row>
    <row r="4111" spans="1:11" ht="14.25" customHeight="1" x14ac:dyDescent="0.25">
      <c r="A4111" s="13" t="s">
        <v>11001</v>
      </c>
      <c r="B4111" s="13" t="s">
        <v>38</v>
      </c>
      <c r="C4111" s="13" t="s">
        <v>14</v>
      </c>
      <c r="D4111" s="19">
        <v>12708</v>
      </c>
      <c r="E4111" s="13" t="s">
        <v>11002</v>
      </c>
      <c r="F4111" s="14">
        <v>41302</v>
      </c>
      <c r="G4111" s="14">
        <v>41589</v>
      </c>
      <c r="H4111" s="13" t="s">
        <v>651</v>
      </c>
      <c r="I4111" s="18">
        <v>917.6</v>
      </c>
      <c r="J4111" s="18">
        <v>917.6</v>
      </c>
      <c r="K4111" s="20" t="s">
        <v>6182</v>
      </c>
    </row>
    <row r="4112" spans="1:11" ht="14.25" customHeight="1" x14ac:dyDescent="0.25">
      <c r="A4112" s="13" t="s">
        <v>2285</v>
      </c>
      <c r="B4112" s="13" t="s">
        <v>38</v>
      </c>
      <c r="C4112" s="13" t="s">
        <v>14</v>
      </c>
      <c r="D4112" s="19">
        <v>12710</v>
      </c>
      <c r="E4112" s="13" t="s">
        <v>11003</v>
      </c>
      <c r="F4112" s="14">
        <v>41302</v>
      </c>
      <c r="G4112" s="14">
        <v>41618</v>
      </c>
      <c r="H4112" s="13" t="s">
        <v>651</v>
      </c>
      <c r="I4112" s="18">
        <v>12190.18</v>
      </c>
      <c r="J4112" s="18">
        <v>12190.18</v>
      </c>
      <c r="K4112" s="20" t="s">
        <v>6182</v>
      </c>
    </row>
    <row r="4113" spans="1:13" ht="14.25" customHeight="1" x14ac:dyDescent="0.25">
      <c r="A4113" s="13" t="s">
        <v>6285</v>
      </c>
      <c r="B4113" s="13" t="s">
        <v>38</v>
      </c>
      <c r="C4113" s="13" t="s">
        <v>14</v>
      </c>
      <c r="D4113" s="19">
        <v>12713</v>
      </c>
      <c r="E4113" s="13" t="s">
        <v>11004</v>
      </c>
      <c r="F4113" s="14">
        <v>41302</v>
      </c>
      <c r="G4113" s="14">
        <v>41618</v>
      </c>
      <c r="H4113" s="13" t="s">
        <v>651</v>
      </c>
      <c r="I4113" s="18">
        <v>51563.78</v>
      </c>
      <c r="J4113" s="18">
        <v>25781.89</v>
      </c>
      <c r="K4113" s="20" t="s">
        <v>6182</v>
      </c>
    </row>
    <row r="4114" spans="1:13" ht="14.25" customHeight="1" x14ac:dyDescent="0.25">
      <c r="A4114" s="13" t="s">
        <v>6309</v>
      </c>
      <c r="B4114" s="13" t="s">
        <v>38</v>
      </c>
      <c r="C4114" s="13" t="s">
        <v>14</v>
      </c>
      <c r="D4114" s="19">
        <v>12715</v>
      </c>
      <c r="E4114" s="13" t="s">
        <v>6310</v>
      </c>
      <c r="F4114" s="14">
        <v>41302</v>
      </c>
      <c r="G4114" s="14">
        <v>41618</v>
      </c>
      <c r="H4114" s="13" t="s">
        <v>651</v>
      </c>
      <c r="I4114" s="18">
        <v>23243.15</v>
      </c>
      <c r="J4114" s="18">
        <v>23243.15</v>
      </c>
      <c r="K4114" s="20" t="s">
        <v>6182</v>
      </c>
    </row>
    <row r="4115" spans="1:13" ht="14.25" customHeight="1" x14ac:dyDescent="0.25">
      <c r="A4115" s="13" t="s">
        <v>11005</v>
      </c>
      <c r="B4115" s="13" t="s">
        <v>38</v>
      </c>
      <c r="C4115" s="13" t="s">
        <v>14</v>
      </c>
      <c r="D4115" s="19">
        <v>12716</v>
      </c>
      <c r="E4115" s="13" t="s">
        <v>11006</v>
      </c>
      <c r="F4115" s="14">
        <v>41302</v>
      </c>
      <c r="G4115" s="14">
        <v>41591</v>
      </c>
      <c r="H4115" s="13" t="s">
        <v>651</v>
      </c>
      <c r="I4115" s="18">
        <v>900</v>
      </c>
      <c r="J4115" s="18">
        <v>900</v>
      </c>
      <c r="K4115" s="20" t="s">
        <v>6182</v>
      </c>
    </row>
    <row r="4116" spans="1:13" ht="14.25" customHeight="1" x14ac:dyDescent="0.25">
      <c r="A4116" s="13" t="s">
        <v>7537</v>
      </c>
      <c r="B4116" s="13" t="s">
        <v>38</v>
      </c>
      <c r="C4116" s="13" t="s">
        <v>14</v>
      </c>
      <c r="D4116" s="19">
        <v>12717</v>
      </c>
      <c r="E4116" s="13" t="s">
        <v>11007</v>
      </c>
      <c r="F4116" s="14">
        <v>40928</v>
      </c>
      <c r="G4116" s="14">
        <v>41290</v>
      </c>
      <c r="H4116" s="13" t="s">
        <v>651</v>
      </c>
      <c r="I4116" s="18">
        <v>2000</v>
      </c>
      <c r="J4116" s="18">
        <v>2000</v>
      </c>
      <c r="K4116" s="20" t="s">
        <v>6182</v>
      </c>
    </row>
    <row r="4117" spans="1:13" ht="14.25" customHeight="1" x14ac:dyDescent="0.25">
      <c r="A4117" s="13" t="s">
        <v>9675</v>
      </c>
      <c r="B4117" s="13" t="s">
        <v>38</v>
      </c>
      <c r="C4117" s="13" t="s">
        <v>14</v>
      </c>
      <c r="D4117" s="19">
        <v>12718</v>
      </c>
      <c r="E4117" s="13" t="s">
        <v>11008</v>
      </c>
      <c r="F4117" s="14">
        <v>40928</v>
      </c>
      <c r="G4117" s="14">
        <v>41589</v>
      </c>
      <c r="H4117" s="13" t="s">
        <v>651</v>
      </c>
      <c r="I4117" s="18">
        <v>500</v>
      </c>
      <c r="J4117" s="18">
        <v>500</v>
      </c>
      <c r="K4117" s="20" t="s">
        <v>6182</v>
      </c>
    </row>
    <row r="4118" spans="1:13" ht="14.25" customHeight="1" x14ac:dyDescent="0.25">
      <c r="A4118" s="13" t="s">
        <v>11009</v>
      </c>
      <c r="B4118" s="13" t="s">
        <v>38</v>
      </c>
      <c r="C4118" s="13" t="s">
        <v>14</v>
      </c>
      <c r="D4118" s="19">
        <v>12719</v>
      </c>
      <c r="E4118" s="13" t="s">
        <v>11010</v>
      </c>
      <c r="F4118" s="14">
        <v>40928</v>
      </c>
      <c r="G4118" s="14">
        <v>41290</v>
      </c>
      <c r="H4118" s="13" t="s">
        <v>651</v>
      </c>
      <c r="I4118" s="18">
        <v>376.38</v>
      </c>
      <c r="J4118" s="18">
        <v>376.38</v>
      </c>
      <c r="K4118" s="20" t="s">
        <v>6182</v>
      </c>
    </row>
    <row r="4119" spans="1:13" ht="14.25" customHeight="1" x14ac:dyDescent="0.25">
      <c r="A4119" s="13" t="s">
        <v>7537</v>
      </c>
      <c r="B4119" s="13" t="s">
        <v>38</v>
      </c>
      <c r="C4119" s="13" t="s">
        <v>14</v>
      </c>
      <c r="D4119" s="19">
        <v>12720</v>
      </c>
      <c r="E4119" s="13" t="s">
        <v>11011</v>
      </c>
      <c r="F4119" s="14">
        <v>41302</v>
      </c>
      <c r="G4119" s="14">
        <v>41563</v>
      </c>
      <c r="H4119" s="13" t="s">
        <v>651</v>
      </c>
      <c r="I4119" s="18">
        <v>16034.75</v>
      </c>
      <c r="J4119" s="18">
        <v>16034.75</v>
      </c>
      <c r="K4119" s="20" t="s">
        <v>6182</v>
      </c>
    </row>
    <row r="4120" spans="1:13" ht="14.25" customHeight="1" x14ac:dyDescent="0.25">
      <c r="A4120" s="13" t="s">
        <v>11009</v>
      </c>
      <c r="B4120" s="13" t="s">
        <v>38</v>
      </c>
      <c r="C4120" s="13" t="s">
        <v>14</v>
      </c>
      <c r="D4120" s="19">
        <v>12721</v>
      </c>
      <c r="E4120" s="13" t="s">
        <v>11012</v>
      </c>
      <c r="F4120" s="14">
        <v>41302</v>
      </c>
      <c r="G4120" s="14">
        <v>41541</v>
      </c>
      <c r="H4120" s="13" t="s">
        <v>651</v>
      </c>
      <c r="I4120" s="18">
        <v>1367.76</v>
      </c>
      <c r="J4120" s="18">
        <v>1367.76</v>
      </c>
      <c r="K4120" s="20" t="s">
        <v>6182</v>
      </c>
    </row>
    <row r="4121" spans="1:13" ht="14.25" customHeight="1" x14ac:dyDescent="0.25">
      <c r="A4121" s="13" t="s">
        <v>11013</v>
      </c>
      <c r="B4121" s="13" t="s">
        <v>38</v>
      </c>
      <c r="C4121" s="13" t="s">
        <v>14</v>
      </c>
      <c r="D4121" s="19">
        <v>12722</v>
      </c>
      <c r="E4121" s="13" t="s">
        <v>11014</v>
      </c>
      <c r="F4121" s="14">
        <v>41294</v>
      </c>
      <c r="G4121" s="14">
        <v>41541</v>
      </c>
      <c r="H4121" s="13" t="s">
        <v>651</v>
      </c>
      <c r="I4121" s="18">
        <v>841.32</v>
      </c>
      <c r="J4121" s="18">
        <v>841.32</v>
      </c>
      <c r="K4121" s="20" t="s">
        <v>6182</v>
      </c>
    </row>
    <row r="4122" spans="1:13" ht="14.25" customHeight="1" x14ac:dyDescent="0.25">
      <c r="A4122" s="13" t="s">
        <v>6297</v>
      </c>
      <c r="B4122" s="13" t="s">
        <v>38</v>
      </c>
      <c r="C4122" s="13" t="s">
        <v>14</v>
      </c>
      <c r="D4122" s="19">
        <v>12723</v>
      </c>
      <c r="E4122" s="13" t="s">
        <v>11015</v>
      </c>
      <c r="F4122" s="14">
        <v>41294</v>
      </c>
      <c r="G4122" s="14">
        <v>41599</v>
      </c>
      <c r="H4122" s="13" t="s">
        <v>651</v>
      </c>
      <c r="I4122" s="18">
        <v>2256.2199999999998</v>
      </c>
      <c r="J4122" s="18">
        <v>2256.2199999999998</v>
      </c>
      <c r="K4122" s="20" t="s">
        <v>6182</v>
      </c>
    </row>
    <row r="4123" spans="1:13" ht="14.25" customHeight="1" x14ac:dyDescent="0.25">
      <c r="A4123" s="13" t="s">
        <v>11016</v>
      </c>
      <c r="B4123" s="13" t="s">
        <v>38</v>
      </c>
      <c r="C4123" s="13" t="s">
        <v>14</v>
      </c>
      <c r="D4123" s="19">
        <v>12724</v>
      </c>
      <c r="E4123" s="13" t="s">
        <v>11017</v>
      </c>
      <c r="F4123" s="14">
        <v>41294</v>
      </c>
      <c r="G4123" s="14">
        <v>41589</v>
      </c>
      <c r="H4123" s="13" t="s">
        <v>651</v>
      </c>
      <c r="I4123" s="18">
        <v>2500</v>
      </c>
      <c r="J4123" s="18">
        <v>2500</v>
      </c>
      <c r="K4123" s="20" t="s">
        <v>6182</v>
      </c>
    </row>
    <row r="4124" spans="1:13" ht="14.25" customHeight="1" x14ac:dyDescent="0.25">
      <c r="A4124" s="13" t="s">
        <v>7214</v>
      </c>
      <c r="B4124" s="13" t="s">
        <v>38</v>
      </c>
      <c r="C4124" s="13" t="s">
        <v>14</v>
      </c>
      <c r="D4124" s="19">
        <v>12725</v>
      </c>
      <c r="E4124" s="13" t="s">
        <v>11018</v>
      </c>
      <c r="F4124" s="14">
        <v>41302</v>
      </c>
      <c r="G4124" s="14">
        <v>41610</v>
      </c>
      <c r="H4124" s="13" t="s">
        <v>651</v>
      </c>
      <c r="I4124" s="18">
        <f>21838.25+14.1</f>
        <v>21852.35</v>
      </c>
      <c r="J4124" s="18">
        <v>21838.25</v>
      </c>
      <c r="K4124" s="20" t="s">
        <v>6182</v>
      </c>
    </row>
    <row r="4125" spans="1:13" ht="14.25" customHeight="1" x14ac:dyDescent="0.25">
      <c r="A4125" s="13" t="s">
        <v>11019</v>
      </c>
      <c r="B4125" s="13" t="s">
        <v>38</v>
      </c>
      <c r="C4125" s="13" t="s">
        <v>14</v>
      </c>
      <c r="D4125" s="19">
        <v>12726</v>
      </c>
      <c r="E4125" s="13" t="s">
        <v>11020</v>
      </c>
      <c r="F4125" s="14">
        <v>41302</v>
      </c>
      <c r="G4125" s="14">
        <v>41618</v>
      </c>
      <c r="H4125" s="13" t="s">
        <v>651</v>
      </c>
      <c r="I4125" s="18">
        <v>1896.53</v>
      </c>
      <c r="J4125" s="18">
        <v>1896.53</v>
      </c>
      <c r="K4125" s="20" t="s">
        <v>6182</v>
      </c>
    </row>
    <row r="4126" spans="1:13" s="4" customFormat="1" ht="14.25" customHeight="1" x14ac:dyDescent="0.25">
      <c r="D4126" s="35"/>
      <c r="E4126" s="26" t="s">
        <v>351</v>
      </c>
      <c r="F4126" s="26"/>
      <c r="G4126" s="28"/>
      <c r="H4126" s="26"/>
      <c r="I4126" s="27">
        <f>SUM(I3770:I3786)</f>
        <v>1198752.78</v>
      </c>
      <c r="J4126" s="27">
        <f>SUM(J3770:J3786)</f>
        <v>318101.58999999997</v>
      </c>
      <c r="K4126" s="20" t="s">
        <v>6182</v>
      </c>
      <c r="L4126" s="119"/>
      <c r="M4126" s="3"/>
    </row>
    <row r="4127" spans="1:13" s="4" customFormat="1" ht="14.25" customHeight="1" x14ac:dyDescent="0.25">
      <c r="D4127" s="35"/>
      <c r="E4127" s="26" t="s">
        <v>786</v>
      </c>
      <c r="F4127" s="26"/>
      <c r="G4127" s="28"/>
      <c r="H4127" s="26"/>
      <c r="I4127" s="27">
        <f>SUM(I3787:I3788)</f>
        <v>416221.31</v>
      </c>
      <c r="J4127" s="27">
        <f>SUM(J3787:J3788)</f>
        <v>152580.46000000002</v>
      </c>
      <c r="K4127" s="20" t="s">
        <v>6182</v>
      </c>
      <c r="L4127" s="119"/>
      <c r="M4127" s="3"/>
    </row>
    <row r="4128" spans="1:13" s="4" customFormat="1" ht="14.25" customHeight="1" x14ac:dyDescent="0.25">
      <c r="D4128" s="35"/>
      <c r="E4128" s="26" t="s">
        <v>352</v>
      </c>
      <c r="F4128" s="26"/>
      <c r="G4128" s="28"/>
      <c r="H4128" s="26"/>
      <c r="I4128" s="27">
        <f>SUM(I3789:I4125)</f>
        <v>5052722.3100000005</v>
      </c>
      <c r="J4128" s="27">
        <f>SUM(J3789:J4125)</f>
        <v>3681790.4599999995</v>
      </c>
      <c r="K4128" s="20" t="s">
        <v>6182</v>
      </c>
      <c r="L4128" s="119"/>
      <c r="M4128" s="3"/>
    </row>
    <row r="4129" spans="1:13" s="4" customFormat="1" ht="14.25" customHeight="1" x14ac:dyDescent="0.25">
      <c r="D4129" s="35"/>
      <c r="E4129" s="26" t="s">
        <v>6717</v>
      </c>
      <c r="F4129" s="26"/>
      <c r="G4129" s="28"/>
      <c r="H4129" s="26"/>
      <c r="I4129" s="27">
        <f>SUM(I4126:I4128)</f>
        <v>6667696.4000000004</v>
      </c>
      <c r="J4129" s="27">
        <f>SUM(J4126:J4128)</f>
        <v>4152472.5099999993</v>
      </c>
      <c r="K4129" s="20" t="s">
        <v>6182</v>
      </c>
      <c r="L4129" s="119"/>
      <c r="M4129" s="3"/>
    </row>
    <row r="4130" spans="1:13" s="4" customFormat="1" ht="14.25" customHeight="1" x14ac:dyDescent="0.25">
      <c r="D4130" s="35"/>
      <c r="G4130" s="5"/>
      <c r="I4130" s="6"/>
      <c r="J4130" s="6"/>
      <c r="K4130" s="37"/>
      <c r="L4130" s="119"/>
      <c r="M4130" s="3"/>
    </row>
    <row r="4131" spans="1:13" s="4" customFormat="1" ht="14.25" customHeight="1" x14ac:dyDescent="0.25">
      <c r="A4131" s="4" t="s">
        <v>6718</v>
      </c>
      <c r="B4131" s="4" t="s">
        <v>13</v>
      </c>
      <c r="C4131" s="4" t="s">
        <v>14</v>
      </c>
      <c r="D4131" s="35">
        <v>3935</v>
      </c>
      <c r="E4131" s="4" t="s">
        <v>6719</v>
      </c>
      <c r="F4131" s="5">
        <v>39616</v>
      </c>
      <c r="G4131" s="5">
        <v>39903</v>
      </c>
      <c r="H4131" s="4" t="s">
        <v>16</v>
      </c>
      <c r="I4131" s="6">
        <v>98384.87</v>
      </c>
      <c r="J4131" s="6">
        <v>22500</v>
      </c>
      <c r="K4131" s="37" t="s">
        <v>6720</v>
      </c>
      <c r="L4131" s="119"/>
      <c r="M4131" s="3"/>
    </row>
    <row r="4132" spans="1:13" s="4" customFormat="1" ht="14.25" customHeight="1" x14ac:dyDescent="0.25">
      <c r="A4132" s="4" t="s">
        <v>6721</v>
      </c>
      <c r="B4132" s="4" t="s">
        <v>13</v>
      </c>
      <c r="C4132" s="4" t="s">
        <v>14</v>
      </c>
      <c r="D4132" s="35">
        <v>3939</v>
      </c>
      <c r="E4132" s="4" t="s">
        <v>6722</v>
      </c>
      <c r="F4132" s="5">
        <v>39821</v>
      </c>
      <c r="G4132" s="5">
        <v>39994</v>
      </c>
      <c r="H4132" s="4" t="s">
        <v>16</v>
      </c>
      <c r="I4132" s="6">
        <v>4665</v>
      </c>
      <c r="J4132" s="6">
        <v>846</v>
      </c>
      <c r="K4132" s="37" t="s">
        <v>6720</v>
      </c>
      <c r="L4132" s="119"/>
      <c r="M4132" s="3"/>
    </row>
    <row r="4133" spans="1:13" s="4" customFormat="1" ht="14.25" customHeight="1" x14ac:dyDescent="0.25">
      <c r="A4133" s="4" t="s">
        <v>6723</v>
      </c>
      <c r="B4133" s="4" t="s">
        <v>13</v>
      </c>
      <c r="C4133" s="4" t="s">
        <v>14</v>
      </c>
      <c r="D4133" s="35">
        <v>3940</v>
      </c>
      <c r="E4133" s="4" t="s">
        <v>6724</v>
      </c>
      <c r="F4133" s="5">
        <v>39415</v>
      </c>
      <c r="G4133" s="5">
        <v>39752</v>
      </c>
      <c r="H4133" s="4" t="s">
        <v>16</v>
      </c>
      <c r="I4133" s="6">
        <v>10750</v>
      </c>
      <c r="J4133" s="6">
        <v>4300</v>
      </c>
      <c r="K4133" s="37" t="s">
        <v>6720</v>
      </c>
      <c r="L4133" s="119"/>
      <c r="M4133" s="3"/>
    </row>
    <row r="4134" spans="1:13" s="4" customFormat="1" ht="14.25" customHeight="1" x14ac:dyDescent="0.25">
      <c r="A4134" s="4" t="s">
        <v>6725</v>
      </c>
      <c r="B4134" s="4" t="s">
        <v>13</v>
      </c>
      <c r="C4134" s="4" t="s">
        <v>14</v>
      </c>
      <c r="D4134" s="35">
        <v>3942</v>
      </c>
      <c r="E4134" s="4" t="s">
        <v>6726</v>
      </c>
      <c r="F4134" s="5">
        <v>39156</v>
      </c>
      <c r="G4134" s="5">
        <v>39187</v>
      </c>
      <c r="H4134" s="4" t="s">
        <v>16</v>
      </c>
      <c r="I4134" s="6">
        <v>23268.92</v>
      </c>
      <c r="J4134" s="6">
        <v>6980.68</v>
      </c>
      <c r="K4134" s="37" t="s">
        <v>6720</v>
      </c>
      <c r="L4134" s="119"/>
      <c r="M4134" s="3"/>
    </row>
    <row r="4135" spans="1:13" s="4" customFormat="1" ht="14.25" customHeight="1" x14ac:dyDescent="0.25">
      <c r="A4135" s="4" t="s">
        <v>6727</v>
      </c>
      <c r="B4135" s="4" t="s">
        <v>13</v>
      </c>
      <c r="C4135" s="4" t="s">
        <v>14</v>
      </c>
      <c r="D4135" s="35">
        <v>3978</v>
      </c>
      <c r="E4135" s="4" t="s">
        <v>6728</v>
      </c>
      <c r="F4135" s="5">
        <v>39792</v>
      </c>
      <c r="G4135" s="5">
        <v>39990</v>
      </c>
      <c r="H4135" s="4" t="s">
        <v>16</v>
      </c>
      <c r="I4135" s="6">
        <v>8634.2999999999993</v>
      </c>
      <c r="J4135" s="6">
        <v>2590.2800000000002</v>
      </c>
      <c r="K4135" s="37" t="s">
        <v>6720</v>
      </c>
      <c r="L4135" s="119"/>
      <c r="M4135" s="3"/>
    </row>
    <row r="4136" spans="1:13" s="4" customFormat="1" ht="14.25" customHeight="1" x14ac:dyDescent="0.25">
      <c r="A4136" s="4" t="s">
        <v>6729</v>
      </c>
      <c r="B4136" s="4" t="s">
        <v>13</v>
      </c>
      <c r="C4136" s="4" t="s">
        <v>14</v>
      </c>
      <c r="D4136" s="35">
        <v>3979</v>
      </c>
      <c r="E4136" s="4" t="s">
        <v>6730</v>
      </c>
      <c r="F4136" s="5">
        <v>39596</v>
      </c>
      <c r="G4136" s="5">
        <v>39660</v>
      </c>
      <c r="H4136" s="4" t="s">
        <v>16</v>
      </c>
      <c r="I4136" s="6">
        <v>5643.86</v>
      </c>
      <c r="J4136" s="6">
        <v>1693.17</v>
      </c>
      <c r="K4136" s="37" t="s">
        <v>6720</v>
      </c>
      <c r="L4136" s="119"/>
      <c r="M4136" s="3"/>
    </row>
    <row r="4137" spans="1:13" s="4" customFormat="1" ht="14.25" customHeight="1" x14ac:dyDescent="0.25">
      <c r="A4137" s="4" t="s">
        <v>6731</v>
      </c>
      <c r="B4137" s="4" t="s">
        <v>13</v>
      </c>
      <c r="C4137" s="4" t="s">
        <v>14</v>
      </c>
      <c r="D4137" s="35">
        <v>3981</v>
      </c>
      <c r="E4137" s="4" t="s">
        <v>6732</v>
      </c>
      <c r="F4137" s="5">
        <v>39128</v>
      </c>
      <c r="G4137" s="5">
        <v>39476</v>
      </c>
      <c r="H4137" s="4" t="s">
        <v>16</v>
      </c>
      <c r="I4137" s="6">
        <v>46183.92</v>
      </c>
      <c r="J4137" s="6">
        <v>13855.18</v>
      </c>
      <c r="K4137" s="37" t="s">
        <v>6720</v>
      </c>
      <c r="L4137" s="119"/>
      <c r="M4137" s="3"/>
    </row>
    <row r="4138" spans="1:13" s="4" customFormat="1" ht="14.25" customHeight="1" x14ac:dyDescent="0.25">
      <c r="A4138" s="4" t="s">
        <v>6733</v>
      </c>
      <c r="B4138" s="4" t="s">
        <v>13</v>
      </c>
      <c r="C4138" s="4" t="s">
        <v>14</v>
      </c>
      <c r="D4138" s="35">
        <v>4225</v>
      </c>
      <c r="E4138" s="4" t="s">
        <v>6734</v>
      </c>
      <c r="F4138" s="5">
        <v>39370</v>
      </c>
      <c r="G4138" s="5">
        <v>40330</v>
      </c>
      <c r="H4138" s="4" t="s">
        <v>16</v>
      </c>
      <c r="I4138" s="6">
        <v>69147</v>
      </c>
      <c r="J4138" s="6">
        <v>20744.099999999999</v>
      </c>
      <c r="K4138" s="37" t="s">
        <v>6720</v>
      </c>
      <c r="L4138" s="119"/>
      <c r="M4138" s="3"/>
    </row>
    <row r="4139" spans="1:13" s="4" customFormat="1" ht="14.25" customHeight="1" x14ac:dyDescent="0.25">
      <c r="A4139" s="4" t="s">
        <v>6735</v>
      </c>
      <c r="B4139" s="4" t="s">
        <v>13</v>
      </c>
      <c r="C4139" s="4" t="s">
        <v>14</v>
      </c>
      <c r="D4139" s="35">
        <v>9876</v>
      </c>
      <c r="E4139" s="4" t="s">
        <v>6736</v>
      </c>
      <c r="F4139" s="5">
        <v>40289</v>
      </c>
      <c r="G4139" s="5">
        <v>40533</v>
      </c>
      <c r="H4139" s="4" t="s">
        <v>16</v>
      </c>
      <c r="I4139" s="6">
        <v>21080.04</v>
      </c>
      <c r="J4139" s="6">
        <v>5611</v>
      </c>
      <c r="K4139" s="37" t="s">
        <v>6720</v>
      </c>
      <c r="L4139" s="119"/>
      <c r="M4139" s="3"/>
    </row>
    <row r="4140" spans="1:13" s="4" customFormat="1" ht="14.25" customHeight="1" x14ac:dyDescent="0.25">
      <c r="A4140" s="4" t="s">
        <v>6737</v>
      </c>
      <c r="B4140" s="4" t="s">
        <v>13</v>
      </c>
      <c r="C4140" s="4" t="s">
        <v>14</v>
      </c>
      <c r="D4140" s="35">
        <v>9941</v>
      </c>
      <c r="E4140" s="4" t="s">
        <v>6738</v>
      </c>
      <c r="F4140" s="5">
        <v>40197</v>
      </c>
      <c r="G4140" s="5">
        <v>40332</v>
      </c>
      <c r="H4140" s="4" t="s">
        <v>16</v>
      </c>
      <c r="I4140" s="6">
        <v>25250</v>
      </c>
      <c r="J4140" s="6">
        <v>7346</v>
      </c>
      <c r="K4140" s="37" t="s">
        <v>6720</v>
      </c>
      <c r="L4140" s="119"/>
      <c r="M4140" s="3"/>
    </row>
    <row r="4141" spans="1:13" s="4" customFormat="1" ht="14.25" customHeight="1" x14ac:dyDescent="0.25">
      <c r="A4141" s="4" t="s">
        <v>6739</v>
      </c>
      <c r="B4141" s="4" t="s">
        <v>13</v>
      </c>
      <c r="C4141" s="4" t="s">
        <v>14</v>
      </c>
      <c r="D4141" s="35">
        <v>10041</v>
      </c>
      <c r="E4141" s="4" t="s">
        <v>6740</v>
      </c>
      <c r="F4141" s="5">
        <v>40017</v>
      </c>
      <c r="G4141" s="5">
        <v>40253</v>
      </c>
      <c r="H4141" s="4" t="s">
        <v>16</v>
      </c>
      <c r="I4141" s="6">
        <v>9800</v>
      </c>
      <c r="J4141" s="6">
        <v>3920</v>
      </c>
      <c r="K4141" s="37" t="s">
        <v>6720</v>
      </c>
      <c r="L4141" s="119"/>
      <c r="M4141" s="3"/>
    </row>
    <row r="4142" spans="1:13" s="4" customFormat="1" ht="14.25" customHeight="1" x14ac:dyDescent="0.25">
      <c r="A4142" s="4" t="s">
        <v>6741</v>
      </c>
      <c r="B4142" s="4" t="s">
        <v>13</v>
      </c>
      <c r="C4142" s="4" t="s">
        <v>14</v>
      </c>
      <c r="D4142" s="35">
        <v>9866</v>
      </c>
      <c r="E4142" s="4" t="s">
        <v>6742</v>
      </c>
      <c r="F4142" s="5">
        <v>41103</v>
      </c>
      <c r="G4142" s="5">
        <v>41267</v>
      </c>
      <c r="H4142" s="4" t="s">
        <v>392</v>
      </c>
      <c r="I4142" s="6">
        <v>287254.67</v>
      </c>
      <c r="J4142" s="6">
        <v>57451</v>
      </c>
      <c r="K4142" s="37" t="s">
        <v>6720</v>
      </c>
      <c r="L4142" s="119"/>
      <c r="M4142" s="3"/>
    </row>
    <row r="4143" spans="1:13" s="4" customFormat="1" ht="14.25" customHeight="1" x14ac:dyDescent="0.25">
      <c r="A4143" s="4" t="s">
        <v>6743</v>
      </c>
      <c r="B4143" s="4" t="s">
        <v>13</v>
      </c>
      <c r="C4143" s="4" t="s">
        <v>14</v>
      </c>
      <c r="D4143" s="35">
        <v>10072</v>
      </c>
      <c r="E4143" s="4" t="s">
        <v>6744</v>
      </c>
      <c r="F4143" s="5">
        <v>41129</v>
      </c>
      <c r="G4143" s="5">
        <v>41340</v>
      </c>
      <c r="H4143" s="4" t="s">
        <v>392</v>
      </c>
      <c r="I4143" s="6">
        <v>436971.25</v>
      </c>
      <c r="J4143" s="6">
        <v>122351.95</v>
      </c>
      <c r="K4143" s="37" t="s">
        <v>6720</v>
      </c>
      <c r="L4143" s="119"/>
      <c r="M4143" s="3"/>
    </row>
    <row r="4144" spans="1:13" s="4" customFormat="1" ht="14.25" customHeight="1" x14ac:dyDescent="0.25">
      <c r="A4144" s="4" t="s">
        <v>6745</v>
      </c>
      <c r="B4144" s="4" t="s">
        <v>13</v>
      </c>
      <c r="C4144" s="4" t="s">
        <v>14</v>
      </c>
      <c r="D4144" s="35">
        <v>10173</v>
      </c>
      <c r="E4144" s="4" t="s">
        <v>6746</v>
      </c>
      <c r="F4144" s="5">
        <v>41136</v>
      </c>
      <c r="G4144" s="5">
        <v>41254</v>
      </c>
      <c r="H4144" s="4" t="s">
        <v>392</v>
      </c>
      <c r="I4144" s="6">
        <v>59302.62</v>
      </c>
      <c r="J4144" s="6">
        <v>20755.919999999998</v>
      </c>
      <c r="K4144" s="37" t="s">
        <v>6720</v>
      </c>
      <c r="L4144" s="119"/>
      <c r="M4144" s="3"/>
    </row>
    <row r="4145" spans="1:13" s="4" customFormat="1" ht="14.25" customHeight="1" x14ac:dyDescent="0.25">
      <c r="A4145" s="4" t="s">
        <v>6747</v>
      </c>
      <c r="B4145" s="4" t="s">
        <v>13</v>
      </c>
      <c r="C4145" s="4" t="s">
        <v>14</v>
      </c>
      <c r="D4145" s="35">
        <v>10189</v>
      </c>
      <c r="E4145" s="4" t="s">
        <v>6748</v>
      </c>
      <c r="F4145" s="5">
        <v>41106</v>
      </c>
      <c r="G4145" s="5">
        <v>41256</v>
      </c>
      <c r="H4145" s="4" t="s">
        <v>392</v>
      </c>
      <c r="I4145" s="6">
        <v>201505</v>
      </c>
      <c r="J4145" s="6">
        <v>70526.75</v>
      </c>
      <c r="K4145" s="37" t="s">
        <v>6720</v>
      </c>
      <c r="L4145" s="119"/>
      <c r="M4145" s="3"/>
    </row>
    <row r="4146" spans="1:13" s="4" customFormat="1" ht="14.25" customHeight="1" x14ac:dyDescent="0.25">
      <c r="A4146" s="4" t="s">
        <v>6749</v>
      </c>
      <c r="B4146" s="4" t="s">
        <v>13</v>
      </c>
      <c r="C4146" s="4" t="s">
        <v>14</v>
      </c>
      <c r="D4146" s="35">
        <v>10190</v>
      </c>
      <c r="E4146" s="4" t="s">
        <v>6750</v>
      </c>
      <c r="F4146" s="5">
        <v>40785</v>
      </c>
      <c r="G4146" s="5">
        <v>40886</v>
      </c>
      <c r="H4146" s="4" t="s">
        <v>392</v>
      </c>
      <c r="I4146" s="6">
        <v>126949.54</v>
      </c>
      <c r="J4146" s="6">
        <v>44432.34</v>
      </c>
      <c r="K4146" s="37" t="s">
        <v>6720</v>
      </c>
      <c r="L4146" s="119"/>
      <c r="M4146" s="3"/>
    </row>
    <row r="4147" spans="1:13" s="4" customFormat="1" ht="14.25" customHeight="1" x14ac:dyDescent="0.25">
      <c r="A4147" s="4" t="s">
        <v>6751</v>
      </c>
      <c r="B4147" s="4" t="s">
        <v>38</v>
      </c>
      <c r="C4147" s="4" t="s">
        <v>14</v>
      </c>
      <c r="D4147" s="35">
        <v>3159</v>
      </c>
      <c r="E4147" s="4" t="s">
        <v>6752</v>
      </c>
      <c r="F4147" s="5">
        <v>39083</v>
      </c>
      <c r="H4147" s="4" t="s">
        <v>40</v>
      </c>
      <c r="I4147" s="6">
        <v>965</v>
      </c>
      <c r="J4147" s="6">
        <v>965</v>
      </c>
      <c r="K4147" s="37" t="s">
        <v>6720</v>
      </c>
      <c r="L4147" s="119"/>
      <c r="M4147" s="3"/>
    </row>
    <row r="4148" spans="1:13" s="4" customFormat="1" ht="14.25" customHeight="1" x14ac:dyDescent="0.25">
      <c r="A4148" s="4" t="s">
        <v>6753</v>
      </c>
      <c r="B4148" s="4" t="s">
        <v>50</v>
      </c>
      <c r="C4148" s="4" t="s">
        <v>14</v>
      </c>
      <c r="D4148" s="35">
        <v>3164</v>
      </c>
      <c r="E4148" s="4" t="s">
        <v>6754</v>
      </c>
      <c r="F4148" s="5">
        <v>39434</v>
      </c>
      <c r="G4148" s="5">
        <v>39814</v>
      </c>
      <c r="H4148" s="4" t="s">
        <v>40</v>
      </c>
      <c r="I4148" s="6">
        <v>60000</v>
      </c>
      <c r="J4148" s="6">
        <v>30000</v>
      </c>
      <c r="K4148" s="37" t="s">
        <v>6720</v>
      </c>
      <c r="L4148" s="119"/>
      <c r="M4148" s="3"/>
    </row>
    <row r="4149" spans="1:13" s="4" customFormat="1" ht="14.25" customHeight="1" x14ac:dyDescent="0.25">
      <c r="A4149" s="4" t="s">
        <v>6755</v>
      </c>
      <c r="B4149" s="4" t="s">
        <v>50</v>
      </c>
      <c r="C4149" s="4" t="s">
        <v>14</v>
      </c>
      <c r="D4149" s="35">
        <v>3165</v>
      </c>
      <c r="E4149" s="4" t="s">
        <v>6756</v>
      </c>
      <c r="F4149" s="5">
        <v>39377</v>
      </c>
      <c r="G4149" s="5">
        <v>39402</v>
      </c>
      <c r="H4149" s="4" t="s">
        <v>40</v>
      </c>
      <c r="I4149" s="6">
        <v>34520</v>
      </c>
      <c r="J4149" s="6">
        <v>17260</v>
      </c>
      <c r="K4149" s="37" t="s">
        <v>6720</v>
      </c>
      <c r="L4149" s="119"/>
      <c r="M4149" s="3"/>
    </row>
    <row r="4150" spans="1:13" s="4" customFormat="1" ht="14.25" customHeight="1" x14ac:dyDescent="0.25">
      <c r="A4150" s="4" t="s">
        <v>6757</v>
      </c>
      <c r="B4150" s="4" t="s">
        <v>38</v>
      </c>
      <c r="C4150" s="4" t="s">
        <v>14</v>
      </c>
      <c r="D4150" s="35">
        <v>3168</v>
      </c>
      <c r="E4150" s="4" t="s">
        <v>6758</v>
      </c>
      <c r="F4150" s="5">
        <v>39083</v>
      </c>
      <c r="G4150" s="5">
        <v>40178</v>
      </c>
      <c r="H4150" s="4" t="s">
        <v>40</v>
      </c>
      <c r="I4150" s="6">
        <v>400</v>
      </c>
      <c r="J4150" s="6">
        <v>400</v>
      </c>
      <c r="K4150" s="37" t="s">
        <v>6720</v>
      </c>
      <c r="L4150" s="119"/>
      <c r="M4150" s="3"/>
    </row>
    <row r="4151" spans="1:13" s="4" customFormat="1" ht="14.25" customHeight="1" x14ac:dyDescent="0.25">
      <c r="A4151" s="4" t="s">
        <v>6759</v>
      </c>
      <c r="B4151" s="4" t="s">
        <v>50</v>
      </c>
      <c r="C4151" s="4" t="s">
        <v>14</v>
      </c>
      <c r="D4151" s="35">
        <v>3171</v>
      </c>
      <c r="E4151" s="4" t="s">
        <v>6760</v>
      </c>
      <c r="F4151" s="5">
        <v>39414</v>
      </c>
      <c r="G4151" s="5">
        <v>39433</v>
      </c>
      <c r="H4151" s="4" t="s">
        <v>40</v>
      </c>
      <c r="I4151" s="6">
        <v>29600</v>
      </c>
      <c r="J4151" s="6">
        <v>14800</v>
      </c>
      <c r="K4151" s="37" t="s">
        <v>6720</v>
      </c>
      <c r="L4151" s="119"/>
      <c r="M4151" s="3"/>
    </row>
    <row r="4152" spans="1:13" s="4" customFormat="1" ht="14.25" customHeight="1" x14ac:dyDescent="0.25">
      <c r="A4152" s="4" t="s">
        <v>6761</v>
      </c>
      <c r="B4152" s="4" t="s">
        <v>50</v>
      </c>
      <c r="C4152" s="4" t="s">
        <v>14</v>
      </c>
      <c r="D4152" s="35">
        <v>3173</v>
      </c>
      <c r="E4152" s="4" t="s">
        <v>6762</v>
      </c>
      <c r="F4152" s="5">
        <v>39510</v>
      </c>
      <c r="G4152" s="5">
        <v>39793</v>
      </c>
      <c r="H4152" s="4" t="s">
        <v>40</v>
      </c>
      <c r="I4152" s="6">
        <v>26496</v>
      </c>
      <c r="J4152" s="6">
        <v>13248</v>
      </c>
      <c r="K4152" s="37" t="s">
        <v>6720</v>
      </c>
      <c r="L4152" s="119"/>
      <c r="M4152" s="3"/>
    </row>
    <row r="4153" spans="1:13" s="4" customFormat="1" ht="14.25" customHeight="1" x14ac:dyDescent="0.25">
      <c r="A4153" s="4" t="s">
        <v>6763</v>
      </c>
      <c r="B4153" s="4" t="s">
        <v>38</v>
      </c>
      <c r="C4153" s="4" t="s">
        <v>14</v>
      </c>
      <c r="D4153" s="35">
        <v>3175</v>
      </c>
      <c r="E4153" s="4" t="s">
        <v>6764</v>
      </c>
      <c r="F4153" s="5">
        <v>39083</v>
      </c>
      <c r="H4153" s="4" t="s">
        <v>40</v>
      </c>
      <c r="I4153" s="6">
        <v>1888.52</v>
      </c>
      <c r="J4153" s="6">
        <v>1888.52</v>
      </c>
      <c r="K4153" s="37" t="s">
        <v>6720</v>
      </c>
      <c r="L4153" s="119"/>
      <c r="M4153" s="3"/>
    </row>
    <row r="4154" spans="1:13" s="4" customFormat="1" ht="14.25" customHeight="1" x14ac:dyDescent="0.25">
      <c r="A4154" s="4" t="s">
        <v>6765</v>
      </c>
      <c r="B4154" s="4" t="s">
        <v>59</v>
      </c>
      <c r="C4154" s="4" t="s">
        <v>14</v>
      </c>
      <c r="D4154" s="35">
        <v>3176</v>
      </c>
      <c r="E4154" s="4" t="s">
        <v>6766</v>
      </c>
      <c r="F4154" s="5">
        <v>39154</v>
      </c>
      <c r="G4154" s="5">
        <v>39383</v>
      </c>
      <c r="H4154" s="4" t="s">
        <v>40</v>
      </c>
      <c r="I4154" s="6">
        <v>1000</v>
      </c>
      <c r="J4154" s="6">
        <v>1000</v>
      </c>
      <c r="K4154" s="37" t="s">
        <v>6720</v>
      </c>
      <c r="L4154" s="119"/>
      <c r="M4154" s="3"/>
    </row>
    <row r="4155" spans="1:13" s="4" customFormat="1" ht="14.25" customHeight="1" x14ac:dyDescent="0.25">
      <c r="A4155" s="4" t="s">
        <v>6767</v>
      </c>
      <c r="B4155" s="4" t="s">
        <v>38</v>
      </c>
      <c r="C4155" s="4" t="s">
        <v>14</v>
      </c>
      <c r="D4155" s="35">
        <v>3177</v>
      </c>
      <c r="E4155" s="4" t="s">
        <v>6768</v>
      </c>
      <c r="F4155" s="5">
        <v>39083</v>
      </c>
      <c r="H4155" s="4" t="s">
        <v>40</v>
      </c>
      <c r="I4155" s="6">
        <v>1593.65</v>
      </c>
      <c r="J4155" s="6">
        <v>1593.65</v>
      </c>
      <c r="K4155" s="37" t="s">
        <v>6720</v>
      </c>
      <c r="L4155" s="119"/>
      <c r="M4155" s="3"/>
    </row>
    <row r="4156" spans="1:13" s="4" customFormat="1" ht="14.25" customHeight="1" x14ac:dyDescent="0.25">
      <c r="A4156" s="4" t="s">
        <v>6769</v>
      </c>
      <c r="B4156" s="4" t="s">
        <v>50</v>
      </c>
      <c r="C4156" s="4" t="s">
        <v>14</v>
      </c>
      <c r="D4156" s="35">
        <v>3179</v>
      </c>
      <c r="E4156" s="4" t="s">
        <v>6770</v>
      </c>
      <c r="F4156" s="5">
        <v>39496</v>
      </c>
      <c r="G4156" s="5">
        <v>39590</v>
      </c>
      <c r="H4156" s="4" t="s">
        <v>40</v>
      </c>
      <c r="I4156" s="6">
        <v>8396</v>
      </c>
      <c r="J4156" s="6">
        <v>4198</v>
      </c>
      <c r="K4156" s="37" t="s">
        <v>6720</v>
      </c>
      <c r="L4156" s="119"/>
      <c r="M4156" s="3"/>
    </row>
    <row r="4157" spans="1:13" s="4" customFormat="1" ht="14.25" customHeight="1" x14ac:dyDescent="0.25">
      <c r="A4157" s="4" t="s">
        <v>6771</v>
      </c>
      <c r="B4157" s="4" t="s">
        <v>38</v>
      </c>
      <c r="C4157" s="4" t="s">
        <v>14</v>
      </c>
      <c r="D4157" s="35">
        <v>3182</v>
      </c>
      <c r="E4157" s="4" t="s">
        <v>6772</v>
      </c>
      <c r="F4157" s="5">
        <v>39083</v>
      </c>
      <c r="G4157" s="5">
        <v>39447</v>
      </c>
      <c r="H4157" s="4" t="s">
        <v>40</v>
      </c>
      <c r="I4157" s="6">
        <v>800</v>
      </c>
      <c r="J4157" s="6">
        <v>800</v>
      </c>
      <c r="K4157" s="37" t="s">
        <v>6720</v>
      </c>
      <c r="L4157" s="119"/>
      <c r="M4157" s="3"/>
    </row>
    <row r="4158" spans="1:13" s="4" customFormat="1" ht="14.25" customHeight="1" x14ac:dyDescent="0.25">
      <c r="A4158" s="4" t="s">
        <v>6773</v>
      </c>
      <c r="B4158" s="4" t="s">
        <v>59</v>
      </c>
      <c r="C4158" s="4" t="s">
        <v>14</v>
      </c>
      <c r="D4158" s="35">
        <v>3184</v>
      </c>
      <c r="E4158" s="4" t="s">
        <v>6774</v>
      </c>
      <c r="F4158" s="5">
        <v>39434</v>
      </c>
      <c r="G4158" s="5">
        <v>39623</v>
      </c>
      <c r="H4158" s="4" t="s">
        <v>40</v>
      </c>
      <c r="I4158" s="6">
        <v>12000</v>
      </c>
      <c r="J4158" s="6">
        <v>12000</v>
      </c>
      <c r="K4158" s="37" t="s">
        <v>6720</v>
      </c>
      <c r="L4158" s="119"/>
      <c r="M4158" s="3"/>
    </row>
    <row r="4159" spans="1:13" s="4" customFormat="1" ht="14.25" customHeight="1" x14ac:dyDescent="0.25">
      <c r="A4159" s="4" t="s">
        <v>6777</v>
      </c>
      <c r="B4159" s="4" t="s">
        <v>59</v>
      </c>
      <c r="C4159" s="4" t="s">
        <v>14</v>
      </c>
      <c r="D4159" s="35">
        <v>3192</v>
      </c>
      <c r="E4159" s="4" t="s">
        <v>6778</v>
      </c>
      <c r="F4159" s="5">
        <v>39435</v>
      </c>
      <c r="G4159" s="5">
        <v>39814</v>
      </c>
      <c r="H4159" s="4" t="s">
        <v>40</v>
      </c>
      <c r="I4159" s="6">
        <v>19250</v>
      </c>
      <c r="J4159" s="6">
        <v>19250</v>
      </c>
      <c r="K4159" s="37" t="s">
        <v>6720</v>
      </c>
      <c r="L4159" s="119"/>
      <c r="M4159" s="3"/>
    </row>
    <row r="4160" spans="1:13" s="4" customFormat="1" ht="14.25" customHeight="1" x14ac:dyDescent="0.25">
      <c r="A4160" s="4" t="s">
        <v>6779</v>
      </c>
      <c r="B4160" s="4" t="s">
        <v>38</v>
      </c>
      <c r="C4160" s="4" t="s">
        <v>14</v>
      </c>
      <c r="D4160" s="35">
        <v>3193</v>
      </c>
      <c r="E4160" s="4" t="s">
        <v>6780</v>
      </c>
      <c r="F4160" s="5">
        <v>39083</v>
      </c>
      <c r="G4160" s="5">
        <v>39447</v>
      </c>
      <c r="H4160" s="4" t="s">
        <v>40</v>
      </c>
      <c r="I4160" s="6">
        <v>2390</v>
      </c>
      <c r="J4160" s="6">
        <f>650+1740</f>
        <v>2390</v>
      </c>
      <c r="K4160" s="37" t="s">
        <v>6720</v>
      </c>
      <c r="L4160" s="119"/>
      <c r="M4160" s="3"/>
    </row>
    <row r="4161" spans="1:13" s="4" customFormat="1" ht="14.25" customHeight="1" x14ac:dyDescent="0.25">
      <c r="A4161" s="4" t="s">
        <v>6781</v>
      </c>
      <c r="B4161" s="4" t="s">
        <v>90</v>
      </c>
      <c r="C4161" s="4" t="s">
        <v>14</v>
      </c>
      <c r="D4161" s="35">
        <v>3194</v>
      </c>
      <c r="E4161" s="4" t="s">
        <v>6782</v>
      </c>
      <c r="F4161" s="5">
        <v>39151</v>
      </c>
      <c r="G4161" s="5">
        <v>39216</v>
      </c>
      <c r="H4161" s="4" t="s">
        <v>40</v>
      </c>
      <c r="I4161" s="6">
        <v>458</v>
      </c>
      <c r="J4161" s="6">
        <v>229</v>
      </c>
      <c r="K4161" s="37" t="s">
        <v>6720</v>
      </c>
      <c r="L4161" s="119"/>
      <c r="M4161" s="3"/>
    </row>
    <row r="4162" spans="1:13" s="4" customFormat="1" ht="14.25" customHeight="1" x14ac:dyDescent="0.25">
      <c r="A4162" s="4" t="s">
        <v>6783</v>
      </c>
      <c r="B4162" s="4" t="s">
        <v>90</v>
      </c>
      <c r="C4162" s="4" t="s">
        <v>14</v>
      </c>
      <c r="D4162" s="35">
        <v>3195</v>
      </c>
      <c r="E4162" s="4" t="s">
        <v>6784</v>
      </c>
      <c r="F4162" s="5">
        <v>39248</v>
      </c>
      <c r="G4162" s="5">
        <v>39378</v>
      </c>
      <c r="H4162" s="4" t="s">
        <v>40</v>
      </c>
      <c r="I4162" s="6">
        <v>3759.06</v>
      </c>
      <c r="J4162" s="6">
        <v>1879.53</v>
      </c>
      <c r="K4162" s="37" t="s">
        <v>6720</v>
      </c>
      <c r="L4162" s="119"/>
      <c r="M4162" s="3"/>
    </row>
    <row r="4163" spans="1:13" s="4" customFormat="1" ht="14.25" customHeight="1" x14ac:dyDescent="0.25">
      <c r="A4163" s="4" t="s">
        <v>6785</v>
      </c>
      <c r="B4163" s="4" t="s">
        <v>50</v>
      </c>
      <c r="C4163" s="4" t="s">
        <v>14</v>
      </c>
      <c r="D4163" s="35">
        <v>3196</v>
      </c>
      <c r="E4163" s="4" t="s">
        <v>6786</v>
      </c>
      <c r="F4163" s="5">
        <v>39582</v>
      </c>
      <c r="G4163" s="5">
        <v>39603</v>
      </c>
      <c r="H4163" s="4" t="s">
        <v>40</v>
      </c>
      <c r="I4163" s="6">
        <v>34265.4</v>
      </c>
      <c r="J4163" s="6">
        <v>17132.7</v>
      </c>
      <c r="K4163" s="37" t="s">
        <v>6720</v>
      </c>
      <c r="L4163" s="119"/>
      <c r="M4163" s="3"/>
    </row>
    <row r="4164" spans="1:13" s="4" customFormat="1" ht="14.25" customHeight="1" x14ac:dyDescent="0.25">
      <c r="A4164" s="4" t="s">
        <v>6787</v>
      </c>
      <c r="B4164" s="4" t="s">
        <v>50</v>
      </c>
      <c r="C4164" s="4" t="s">
        <v>14</v>
      </c>
      <c r="D4164" s="35">
        <v>3197</v>
      </c>
      <c r="E4164" s="4" t="s">
        <v>6788</v>
      </c>
      <c r="F4164" s="5">
        <v>39493</v>
      </c>
      <c r="G4164" s="5">
        <v>39709</v>
      </c>
      <c r="H4164" s="4" t="s">
        <v>40</v>
      </c>
      <c r="I4164" s="6">
        <v>1158</v>
      </c>
      <c r="J4164" s="6">
        <v>579</v>
      </c>
      <c r="K4164" s="37" t="s">
        <v>6720</v>
      </c>
      <c r="L4164" s="119"/>
      <c r="M4164" s="3"/>
    </row>
    <row r="4165" spans="1:13" s="4" customFormat="1" ht="14.25" customHeight="1" x14ac:dyDescent="0.25">
      <c r="A4165" s="4" t="s">
        <v>6789</v>
      </c>
      <c r="B4165" s="4" t="s">
        <v>50</v>
      </c>
      <c r="C4165" s="4" t="s">
        <v>14</v>
      </c>
      <c r="D4165" s="35">
        <v>3198</v>
      </c>
      <c r="E4165" s="4" t="s">
        <v>6790</v>
      </c>
      <c r="F4165" s="5">
        <v>39595</v>
      </c>
      <c r="G4165" s="5">
        <v>39979</v>
      </c>
      <c r="H4165" s="4" t="s">
        <v>40</v>
      </c>
      <c r="I4165" s="6">
        <v>127000</v>
      </c>
      <c r="J4165" s="6">
        <v>63500</v>
      </c>
      <c r="K4165" s="37" t="s">
        <v>6720</v>
      </c>
      <c r="L4165" s="119"/>
      <c r="M4165" s="3"/>
    </row>
    <row r="4166" spans="1:13" s="4" customFormat="1" ht="14.25" customHeight="1" x14ac:dyDescent="0.25">
      <c r="A4166" s="4" t="s">
        <v>6791</v>
      </c>
      <c r="B4166" s="4" t="s">
        <v>50</v>
      </c>
      <c r="C4166" s="4" t="s">
        <v>14</v>
      </c>
      <c r="D4166" s="35">
        <v>3199</v>
      </c>
      <c r="E4166" s="4" t="s">
        <v>6792</v>
      </c>
      <c r="F4166" s="5">
        <v>39787</v>
      </c>
      <c r="G4166" s="5">
        <v>39805</v>
      </c>
      <c r="H4166" s="4" t="s">
        <v>40</v>
      </c>
      <c r="I4166" s="6">
        <v>58568</v>
      </c>
      <c r="J4166" s="6">
        <v>29284</v>
      </c>
      <c r="K4166" s="37" t="s">
        <v>6720</v>
      </c>
      <c r="L4166" s="119"/>
      <c r="M4166" s="3"/>
    </row>
    <row r="4167" spans="1:13" s="4" customFormat="1" ht="14.25" customHeight="1" x14ac:dyDescent="0.25">
      <c r="A4167" s="4" t="s">
        <v>6793</v>
      </c>
      <c r="B4167" s="4" t="s">
        <v>50</v>
      </c>
      <c r="C4167" s="4" t="s">
        <v>14</v>
      </c>
      <c r="D4167" s="35">
        <v>3200</v>
      </c>
      <c r="E4167" s="4" t="s">
        <v>6794</v>
      </c>
      <c r="F4167" s="5">
        <v>39293</v>
      </c>
      <c r="G4167" s="5">
        <v>39805</v>
      </c>
      <c r="H4167" s="4" t="s">
        <v>40</v>
      </c>
      <c r="I4167" s="6">
        <v>56200</v>
      </c>
      <c r="J4167" s="6">
        <v>28100</v>
      </c>
      <c r="K4167" s="37" t="s">
        <v>6720</v>
      </c>
      <c r="L4167" s="119"/>
      <c r="M4167" s="3"/>
    </row>
    <row r="4168" spans="1:13" s="4" customFormat="1" ht="14.25" customHeight="1" x14ac:dyDescent="0.25">
      <c r="A4168" s="4" t="s">
        <v>6795</v>
      </c>
      <c r="B4168" s="4" t="s">
        <v>59</v>
      </c>
      <c r="C4168" s="4" t="s">
        <v>14</v>
      </c>
      <c r="D4168" s="35">
        <v>3201</v>
      </c>
      <c r="E4168" s="4" t="s">
        <v>6796</v>
      </c>
      <c r="F4168" s="5">
        <v>39505</v>
      </c>
      <c r="G4168" s="5">
        <v>39755</v>
      </c>
      <c r="H4168" s="4" t="s">
        <v>40</v>
      </c>
      <c r="I4168" s="6">
        <v>7500</v>
      </c>
      <c r="J4168" s="6">
        <v>7500</v>
      </c>
      <c r="K4168" s="37" t="s">
        <v>6720</v>
      </c>
      <c r="L4168" s="119"/>
      <c r="M4168" s="3"/>
    </row>
    <row r="4169" spans="1:13" s="4" customFormat="1" ht="14.25" customHeight="1" x14ac:dyDescent="0.25">
      <c r="A4169" s="4" t="s">
        <v>6797</v>
      </c>
      <c r="B4169" s="4" t="s">
        <v>90</v>
      </c>
      <c r="C4169" s="4" t="s">
        <v>14</v>
      </c>
      <c r="D4169" s="35">
        <v>3202</v>
      </c>
      <c r="E4169" s="4" t="s">
        <v>6798</v>
      </c>
      <c r="F4169" s="5">
        <v>39611</v>
      </c>
      <c r="G4169" s="5">
        <v>39616</v>
      </c>
      <c r="H4169" s="4" t="s">
        <v>40</v>
      </c>
      <c r="I4169" s="6">
        <v>2136</v>
      </c>
      <c r="J4169" s="6">
        <v>1068</v>
      </c>
      <c r="K4169" s="37" t="s">
        <v>6720</v>
      </c>
      <c r="L4169" s="119"/>
      <c r="M4169" s="3"/>
    </row>
    <row r="4170" spans="1:13" s="4" customFormat="1" ht="14.25" customHeight="1" x14ac:dyDescent="0.25">
      <c r="A4170" s="4" t="s">
        <v>6799</v>
      </c>
      <c r="B4170" s="4" t="s">
        <v>59</v>
      </c>
      <c r="C4170" s="4" t="s">
        <v>14</v>
      </c>
      <c r="D4170" s="35">
        <v>3203</v>
      </c>
      <c r="E4170" s="4" t="s">
        <v>6800</v>
      </c>
      <c r="F4170" s="5">
        <v>39616</v>
      </c>
      <c r="G4170" s="5">
        <v>39933</v>
      </c>
      <c r="H4170" s="4" t="s">
        <v>40</v>
      </c>
      <c r="I4170" s="6">
        <v>7500</v>
      </c>
      <c r="J4170" s="6">
        <v>7500</v>
      </c>
      <c r="K4170" s="37" t="s">
        <v>6720</v>
      </c>
      <c r="L4170" s="119"/>
      <c r="M4170" s="3"/>
    </row>
    <row r="4171" spans="1:13" s="4" customFormat="1" ht="14.25" customHeight="1" x14ac:dyDescent="0.25">
      <c r="A4171" s="4" t="s">
        <v>6801</v>
      </c>
      <c r="B4171" s="4" t="s">
        <v>59</v>
      </c>
      <c r="C4171" s="4" t="s">
        <v>14</v>
      </c>
      <c r="D4171" s="35">
        <v>3204</v>
      </c>
      <c r="E4171" s="4" t="s">
        <v>6802</v>
      </c>
      <c r="F4171" s="5">
        <v>39600</v>
      </c>
      <c r="G4171" s="5">
        <v>39930</v>
      </c>
      <c r="H4171" s="4" t="s">
        <v>40</v>
      </c>
      <c r="I4171" s="6">
        <v>8000</v>
      </c>
      <c r="J4171" s="6">
        <v>8000</v>
      </c>
      <c r="K4171" s="37" t="s">
        <v>6720</v>
      </c>
      <c r="L4171" s="119"/>
      <c r="M4171" s="3"/>
    </row>
    <row r="4172" spans="1:13" s="4" customFormat="1" ht="14.25" customHeight="1" x14ac:dyDescent="0.25">
      <c r="A4172" s="4" t="s">
        <v>6803</v>
      </c>
      <c r="B4172" s="4" t="s">
        <v>59</v>
      </c>
      <c r="C4172" s="4" t="s">
        <v>14</v>
      </c>
      <c r="D4172" s="35">
        <v>3205</v>
      </c>
      <c r="E4172" s="4" t="s">
        <v>6804</v>
      </c>
      <c r="F4172" s="5">
        <v>39692</v>
      </c>
      <c r="G4172" s="5">
        <v>39972</v>
      </c>
      <c r="H4172" s="4" t="s">
        <v>40</v>
      </c>
      <c r="I4172" s="6">
        <v>7500</v>
      </c>
      <c r="J4172" s="6">
        <v>7500</v>
      </c>
      <c r="K4172" s="37" t="s">
        <v>6720</v>
      </c>
      <c r="L4172" s="119"/>
      <c r="M4172" s="3"/>
    </row>
    <row r="4173" spans="1:13" s="4" customFormat="1" ht="14.25" customHeight="1" x14ac:dyDescent="0.25">
      <c r="A4173" s="4" t="s">
        <v>6805</v>
      </c>
      <c r="B4173" s="4" t="s">
        <v>38</v>
      </c>
      <c r="C4173" s="4" t="s">
        <v>14</v>
      </c>
      <c r="D4173" s="35">
        <v>3222</v>
      </c>
      <c r="E4173" s="4" t="s">
        <v>6806</v>
      </c>
      <c r="F4173" s="5">
        <v>39083</v>
      </c>
      <c r="H4173" s="4" t="s">
        <v>40</v>
      </c>
      <c r="I4173" s="6">
        <f>98979.26+124029.45+42147.47+34468.5+64525</f>
        <v>364149.68</v>
      </c>
      <c r="J4173" s="6">
        <f>329681.18+34468.5</f>
        <v>364149.68</v>
      </c>
      <c r="K4173" s="37" t="s">
        <v>6720</v>
      </c>
      <c r="L4173" s="119"/>
      <c r="M4173" s="3"/>
    </row>
    <row r="4174" spans="1:13" s="4" customFormat="1" ht="14.25" customHeight="1" x14ac:dyDescent="0.25">
      <c r="A4174" s="4" t="s">
        <v>6807</v>
      </c>
      <c r="B4174" s="4" t="s">
        <v>59</v>
      </c>
      <c r="C4174" s="4" t="s">
        <v>14</v>
      </c>
      <c r="D4174" s="35">
        <v>3225</v>
      </c>
      <c r="E4174" s="4" t="s">
        <v>6808</v>
      </c>
      <c r="F4174" s="5">
        <v>39346</v>
      </c>
      <c r="G4174" s="5">
        <v>39814</v>
      </c>
      <c r="H4174" s="4" t="s">
        <v>40</v>
      </c>
      <c r="I4174" s="6">
        <v>36000</v>
      </c>
      <c r="J4174" s="6">
        <v>36000</v>
      </c>
      <c r="K4174" s="37" t="s">
        <v>6720</v>
      </c>
      <c r="L4174" s="119"/>
      <c r="M4174" s="3"/>
    </row>
    <row r="4175" spans="1:13" s="4" customFormat="1" ht="14.25" customHeight="1" x14ac:dyDescent="0.25">
      <c r="A4175" s="4" t="s">
        <v>6809</v>
      </c>
      <c r="B4175" s="4" t="s">
        <v>50</v>
      </c>
      <c r="C4175" s="4" t="s">
        <v>14</v>
      </c>
      <c r="D4175" s="35">
        <v>3267</v>
      </c>
      <c r="E4175" s="4" t="s">
        <v>6810</v>
      </c>
      <c r="F4175" s="5">
        <v>39426</v>
      </c>
      <c r="G4175" s="5">
        <v>39797</v>
      </c>
      <c r="H4175" s="4" t="s">
        <v>40</v>
      </c>
      <c r="I4175" s="6">
        <v>41428</v>
      </c>
      <c r="J4175" s="6">
        <v>20714</v>
      </c>
      <c r="K4175" s="37" t="s">
        <v>6720</v>
      </c>
      <c r="L4175" s="119"/>
      <c r="M4175" s="3"/>
    </row>
    <row r="4176" spans="1:13" s="4" customFormat="1" ht="14.25" customHeight="1" x14ac:dyDescent="0.25">
      <c r="A4176" s="4" t="s">
        <v>6811</v>
      </c>
      <c r="B4176" s="4" t="s">
        <v>90</v>
      </c>
      <c r="C4176" s="4" t="s">
        <v>14</v>
      </c>
      <c r="D4176" s="35">
        <v>3268</v>
      </c>
      <c r="E4176" s="4" t="s">
        <v>6812</v>
      </c>
      <c r="F4176" s="5">
        <v>39567</v>
      </c>
      <c r="G4176" s="5">
        <v>39587</v>
      </c>
      <c r="H4176" s="4" t="s">
        <v>40</v>
      </c>
      <c r="I4176" s="6">
        <v>10200</v>
      </c>
      <c r="J4176" s="6">
        <v>5100</v>
      </c>
      <c r="K4176" s="37" t="s">
        <v>6720</v>
      </c>
      <c r="L4176" s="119"/>
      <c r="M4176" s="3"/>
    </row>
    <row r="4177" spans="1:13" s="4" customFormat="1" ht="14.25" customHeight="1" x14ac:dyDescent="0.25">
      <c r="A4177" s="4" t="s">
        <v>6813</v>
      </c>
      <c r="B4177" s="4" t="s">
        <v>38</v>
      </c>
      <c r="C4177" s="4" t="s">
        <v>14</v>
      </c>
      <c r="D4177" s="35">
        <v>3279</v>
      </c>
      <c r="E4177" s="4" t="s">
        <v>6814</v>
      </c>
      <c r="F4177" s="5">
        <v>39083</v>
      </c>
      <c r="H4177" s="4" t="s">
        <v>40</v>
      </c>
      <c r="I4177" s="6">
        <v>2817.35</v>
      </c>
      <c r="J4177" s="6">
        <v>2817.35</v>
      </c>
      <c r="K4177" s="37" t="s">
        <v>6720</v>
      </c>
      <c r="L4177" s="119"/>
      <c r="M4177" s="3"/>
    </row>
    <row r="4178" spans="1:13" s="4" customFormat="1" ht="14.25" customHeight="1" x14ac:dyDescent="0.25">
      <c r="A4178" s="4" t="s">
        <v>6815</v>
      </c>
      <c r="B4178" s="4" t="s">
        <v>38</v>
      </c>
      <c r="C4178" s="4" t="s">
        <v>14</v>
      </c>
      <c r="D4178" s="35">
        <v>3280</v>
      </c>
      <c r="E4178" s="4" t="s">
        <v>6816</v>
      </c>
      <c r="F4178" s="5">
        <v>39083</v>
      </c>
      <c r="H4178" s="4" t="s">
        <v>40</v>
      </c>
      <c r="I4178" s="6">
        <f>34898.38+34627.13+11955.15+8831.46+25536.54</f>
        <v>115848.66</v>
      </c>
      <c r="J4178" s="6">
        <f>81221.53+34627.13</f>
        <v>115848.66</v>
      </c>
      <c r="K4178" s="37" t="s">
        <v>6720</v>
      </c>
      <c r="L4178" s="119"/>
      <c r="M4178" s="3"/>
    </row>
    <row r="4179" spans="1:13" s="4" customFormat="1" ht="14.25" customHeight="1" x14ac:dyDescent="0.25">
      <c r="A4179" s="4" t="s">
        <v>6817</v>
      </c>
      <c r="B4179" s="4" t="s">
        <v>38</v>
      </c>
      <c r="C4179" s="4" t="s">
        <v>14</v>
      </c>
      <c r="D4179" s="35">
        <v>3281</v>
      </c>
      <c r="E4179" s="7" t="s">
        <v>6818</v>
      </c>
      <c r="F4179" s="5">
        <v>39083</v>
      </c>
      <c r="H4179" s="4" t="s">
        <v>40</v>
      </c>
      <c r="I4179" s="6">
        <f>180585.21+9401</f>
        <v>189986.21</v>
      </c>
      <c r="J4179" s="6">
        <f>180585.21+9401</f>
        <v>189986.21</v>
      </c>
      <c r="K4179" s="37" t="s">
        <v>6720</v>
      </c>
      <c r="L4179" s="119"/>
      <c r="M4179" s="3"/>
    </row>
    <row r="4180" spans="1:13" s="4" customFormat="1" ht="14.25" customHeight="1" x14ac:dyDescent="0.25">
      <c r="A4180" s="4" t="s">
        <v>6819</v>
      </c>
      <c r="B4180" s="4" t="s">
        <v>38</v>
      </c>
      <c r="C4180" s="4" t="s">
        <v>14</v>
      </c>
      <c r="D4180" s="35">
        <v>3283</v>
      </c>
      <c r="E4180" s="4" t="s">
        <v>6820</v>
      </c>
      <c r="F4180" s="5">
        <v>39083</v>
      </c>
      <c r="G4180" s="5">
        <v>39813</v>
      </c>
      <c r="H4180" s="4" t="s">
        <v>40</v>
      </c>
      <c r="I4180" s="6">
        <v>22875.59</v>
      </c>
      <c r="J4180" s="6">
        <v>22875.59</v>
      </c>
      <c r="K4180" s="37" t="s">
        <v>6720</v>
      </c>
      <c r="L4180" s="119"/>
      <c r="M4180" s="3"/>
    </row>
    <row r="4181" spans="1:13" s="4" customFormat="1" ht="14.25" customHeight="1" x14ac:dyDescent="0.25">
      <c r="A4181" s="4" t="s">
        <v>6821</v>
      </c>
      <c r="B4181" s="4" t="s">
        <v>38</v>
      </c>
      <c r="C4181" s="4" t="s">
        <v>14</v>
      </c>
      <c r="D4181" s="35">
        <v>3284</v>
      </c>
      <c r="E4181" s="4" t="s">
        <v>6822</v>
      </c>
      <c r="F4181" s="5">
        <v>39083</v>
      </c>
      <c r="G4181" s="5">
        <v>39813</v>
      </c>
      <c r="H4181" s="4" t="s">
        <v>40</v>
      </c>
      <c r="I4181" s="6">
        <v>11900.15</v>
      </c>
      <c r="J4181" s="6">
        <v>11900.15</v>
      </c>
      <c r="K4181" s="37" t="s">
        <v>6720</v>
      </c>
      <c r="L4181" s="119"/>
      <c r="M4181" s="3"/>
    </row>
    <row r="4182" spans="1:13" s="4" customFormat="1" ht="14.25" customHeight="1" x14ac:dyDescent="0.25">
      <c r="A4182" s="4" t="s">
        <v>6823</v>
      </c>
      <c r="B4182" s="4" t="s">
        <v>38</v>
      </c>
      <c r="C4182" s="4" t="s">
        <v>14</v>
      </c>
      <c r="D4182" s="35">
        <v>3286</v>
      </c>
      <c r="E4182" s="4" t="s">
        <v>6824</v>
      </c>
      <c r="F4182" s="5">
        <v>39083</v>
      </c>
      <c r="H4182" s="4" t="s">
        <v>40</v>
      </c>
      <c r="I4182" s="6">
        <v>5773.65</v>
      </c>
      <c r="J4182" s="6">
        <v>5773.65</v>
      </c>
      <c r="K4182" s="37" t="s">
        <v>6720</v>
      </c>
      <c r="L4182" s="119"/>
      <c r="M4182" s="3"/>
    </row>
    <row r="4183" spans="1:13" s="4" customFormat="1" ht="14.25" customHeight="1" x14ac:dyDescent="0.25">
      <c r="A4183" s="4" t="s">
        <v>6825</v>
      </c>
      <c r="B4183" s="4" t="s">
        <v>38</v>
      </c>
      <c r="C4183" s="4" t="s">
        <v>14</v>
      </c>
      <c r="D4183" s="35">
        <v>3287</v>
      </c>
      <c r="E4183" s="4" t="s">
        <v>6826</v>
      </c>
      <c r="F4183" s="5">
        <v>39814</v>
      </c>
      <c r="H4183" s="4" t="s">
        <v>40</v>
      </c>
      <c r="I4183" s="6">
        <v>15330</v>
      </c>
      <c r="J4183" s="6">
        <v>15330</v>
      </c>
      <c r="K4183" s="37" t="s">
        <v>6720</v>
      </c>
      <c r="L4183" s="119"/>
      <c r="M4183" s="3"/>
    </row>
    <row r="4184" spans="1:13" s="4" customFormat="1" ht="14.25" customHeight="1" x14ac:dyDescent="0.25">
      <c r="A4184" s="4" t="s">
        <v>6827</v>
      </c>
      <c r="B4184" s="4" t="s">
        <v>38</v>
      </c>
      <c r="C4184" s="4" t="s">
        <v>14</v>
      </c>
      <c r="D4184" s="35">
        <v>3289</v>
      </c>
      <c r="E4184" s="4" t="s">
        <v>6828</v>
      </c>
      <c r="F4184" s="5">
        <v>39083</v>
      </c>
      <c r="H4184" s="4" t="s">
        <v>40</v>
      </c>
      <c r="I4184" s="6">
        <v>160824.85999999999</v>
      </c>
      <c r="J4184" s="6">
        <f>153217.09+7607.77</f>
        <v>160824.85999999999</v>
      </c>
      <c r="K4184" s="37" t="s">
        <v>6720</v>
      </c>
      <c r="L4184" s="119"/>
      <c r="M4184" s="3"/>
    </row>
    <row r="4185" spans="1:13" s="4" customFormat="1" ht="14.25" customHeight="1" x14ac:dyDescent="0.25">
      <c r="A4185" s="4" t="s">
        <v>6829</v>
      </c>
      <c r="B4185" s="4" t="s">
        <v>38</v>
      </c>
      <c r="C4185" s="4" t="s">
        <v>14</v>
      </c>
      <c r="D4185" s="35">
        <v>3290</v>
      </c>
      <c r="E4185" s="4" t="s">
        <v>6830</v>
      </c>
      <c r="F4185" s="5">
        <v>39083</v>
      </c>
      <c r="H4185" s="4" t="s">
        <v>40</v>
      </c>
      <c r="I4185" s="6">
        <v>224537.54</v>
      </c>
      <c r="J4185" s="8">
        <f>197142.2+27395.34</f>
        <v>224537.54</v>
      </c>
      <c r="K4185" s="37" t="s">
        <v>6720</v>
      </c>
      <c r="L4185" s="119"/>
      <c r="M4185" s="3"/>
    </row>
    <row r="4186" spans="1:13" s="4" customFormat="1" ht="14.25" customHeight="1" x14ac:dyDescent="0.25">
      <c r="A4186" s="4" t="s">
        <v>6831</v>
      </c>
      <c r="B4186" s="4" t="s">
        <v>38</v>
      </c>
      <c r="C4186" s="4" t="s">
        <v>14</v>
      </c>
      <c r="D4186" s="35">
        <v>3294</v>
      </c>
      <c r="E4186" s="4" t="s">
        <v>6832</v>
      </c>
      <c r="F4186" s="5">
        <v>39083</v>
      </c>
      <c r="G4186" s="5">
        <v>40908</v>
      </c>
      <c r="H4186" s="4" t="s">
        <v>40</v>
      </c>
      <c r="I4186" s="6">
        <v>3890</v>
      </c>
      <c r="J4186" s="6">
        <v>3890</v>
      </c>
      <c r="K4186" s="37" t="s">
        <v>6720</v>
      </c>
      <c r="L4186" s="119"/>
      <c r="M4186" s="3"/>
    </row>
    <row r="4187" spans="1:13" s="4" customFormat="1" ht="14.25" customHeight="1" x14ac:dyDescent="0.25">
      <c r="A4187" s="4" t="s">
        <v>6833</v>
      </c>
      <c r="B4187" s="4" t="s">
        <v>38</v>
      </c>
      <c r="C4187" s="4" t="s">
        <v>14</v>
      </c>
      <c r="D4187" s="35">
        <v>3299</v>
      </c>
      <c r="E4187" s="4" t="s">
        <v>6834</v>
      </c>
      <c r="F4187" s="5">
        <v>39083</v>
      </c>
      <c r="H4187" s="4" t="s">
        <v>40</v>
      </c>
      <c r="I4187" s="6">
        <v>53774.99</v>
      </c>
      <c r="J4187" s="6">
        <f>35703.57+9035.71</f>
        <v>44739.28</v>
      </c>
      <c r="K4187" s="37" t="s">
        <v>6720</v>
      </c>
      <c r="L4187" s="119"/>
      <c r="M4187" s="3"/>
    </row>
    <row r="4188" spans="1:13" s="4" customFormat="1" ht="14.25" customHeight="1" x14ac:dyDescent="0.25">
      <c r="A4188" s="4" t="s">
        <v>6835</v>
      </c>
      <c r="B4188" s="4" t="s">
        <v>38</v>
      </c>
      <c r="C4188" s="4" t="s">
        <v>14</v>
      </c>
      <c r="D4188" s="35">
        <v>3300</v>
      </c>
      <c r="E4188" s="4" t="s">
        <v>6836</v>
      </c>
      <c r="F4188" s="5">
        <v>39083</v>
      </c>
      <c r="G4188" s="5">
        <v>39447</v>
      </c>
      <c r="H4188" s="4" t="s">
        <v>40</v>
      </c>
      <c r="I4188" s="6">
        <v>11000</v>
      </c>
      <c r="J4188" s="6">
        <v>11000</v>
      </c>
      <c r="K4188" s="37" t="s">
        <v>6720</v>
      </c>
      <c r="L4188" s="119"/>
      <c r="M4188" s="3"/>
    </row>
    <row r="4189" spans="1:13" s="4" customFormat="1" ht="14.25" customHeight="1" x14ac:dyDescent="0.25">
      <c r="A4189" s="4" t="s">
        <v>6837</v>
      </c>
      <c r="B4189" s="4" t="s">
        <v>38</v>
      </c>
      <c r="C4189" s="4" t="s">
        <v>14</v>
      </c>
      <c r="D4189" s="35">
        <v>3301</v>
      </c>
      <c r="E4189" s="4" t="s">
        <v>6838</v>
      </c>
      <c r="F4189" s="5">
        <v>39083</v>
      </c>
      <c r="H4189" s="4" t="s">
        <v>40</v>
      </c>
      <c r="I4189" s="6">
        <v>32111.17</v>
      </c>
      <c r="J4189" s="6">
        <v>32111.17</v>
      </c>
      <c r="K4189" s="37" t="s">
        <v>6720</v>
      </c>
      <c r="L4189" s="119"/>
      <c r="M4189" s="3"/>
    </row>
    <row r="4190" spans="1:13" s="4" customFormat="1" ht="14.25" customHeight="1" x14ac:dyDescent="0.25">
      <c r="A4190" s="4" t="s">
        <v>6839</v>
      </c>
      <c r="B4190" s="4" t="s">
        <v>38</v>
      </c>
      <c r="C4190" s="4" t="s">
        <v>14</v>
      </c>
      <c r="D4190" s="35">
        <v>3302</v>
      </c>
      <c r="E4190" s="4" t="s">
        <v>6840</v>
      </c>
      <c r="F4190" s="5">
        <v>39083</v>
      </c>
      <c r="H4190" s="4" t="s">
        <v>40</v>
      </c>
      <c r="I4190" s="6">
        <f>20930.17+8039.99+13411.49</f>
        <v>42381.649999999994</v>
      </c>
      <c r="J4190" s="6">
        <v>42381.66</v>
      </c>
      <c r="K4190" s="37" t="s">
        <v>6720</v>
      </c>
      <c r="L4190" s="119"/>
      <c r="M4190" s="3"/>
    </row>
    <row r="4191" spans="1:13" s="4" customFormat="1" ht="14.25" customHeight="1" x14ac:dyDescent="0.25">
      <c r="A4191" s="4" t="s">
        <v>6841</v>
      </c>
      <c r="B4191" s="4" t="s">
        <v>38</v>
      </c>
      <c r="C4191" s="4" t="s">
        <v>14</v>
      </c>
      <c r="D4191" s="35">
        <v>3303</v>
      </c>
      <c r="E4191" s="4" t="s">
        <v>6842</v>
      </c>
      <c r="F4191" s="5">
        <v>39083</v>
      </c>
      <c r="H4191" s="4" t="s">
        <v>40</v>
      </c>
      <c r="I4191" s="6">
        <v>55604.53</v>
      </c>
      <c r="J4191" s="6">
        <v>55604.53</v>
      </c>
      <c r="K4191" s="37" t="s">
        <v>6720</v>
      </c>
      <c r="L4191" s="119"/>
      <c r="M4191" s="3"/>
    </row>
    <row r="4192" spans="1:13" s="4" customFormat="1" ht="14.25" customHeight="1" x14ac:dyDescent="0.25">
      <c r="A4192" s="4" t="s">
        <v>6843</v>
      </c>
      <c r="B4192" s="4" t="s">
        <v>38</v>
      </c>
      <c r="C4192" s="4" t="s">
        <v>14</v>
      </c>
      <c r="D4192" s="35">
        <v>3304</v>
      </c>
      <c r="E4192" s="4" t="s">
        <v>6844</v>
      </c>
      <c r="F4192" s="5">
        <v>39083</v>
      </c>
      <c r="H4192" s="4" t="s">
        <v>40</v>
      </c>
      <c r="I4192" s="6">
        <v>4914.1499999999996</v>
      </c>
      <c r="J4192" s="6">
        <v>4914.1499999999996</v>
      </c>
      <c r="K4192" s="37" t="s">
        <v>6720</v>
      </c>
      <c r="L4192" s="119"/>
      <c r="M4192" s="3"/>
    </row>
    <row r="4193" spans="1:13" s="4" customFormat="1" ht="14.25" customHeight="1" x14ac:dyDescent="0.25">
      <c r="A4193" s="4" t="s">
        <v>6845</v>
      </c>
      <c r="B4193" s="4" t="s">
        <v>38</v>
      </c>
      <c r="C4193" s="4" t="s">
        <v>14</v>
      </c>
      <c r="D4193" s="35">
        <v>3305</v>
      </c>
      <c r="E4193" s="4" t="s">
        <v>6846</v>
      </c>
      <c r="F4193" s="5">
        <v>39083</v>
      </c>
      <c r="H4193" s="4" t="s">
        <v>40</v>
      </c>
      <c r="I4193" s="6">
        <v>9362</v>
      </c>
      <c r="J4193" s="6">
        <f>8217+1145</f>
        <v>9362</v>
      </c>
      <c r="K4193" s="37" t="s">
        <v>6720</v>
      </c>
      <c r="L4193" s="119"/>
      <c r="M4193" s="3"/>
    </row>
    <row r="4194" spans="1:13" s="4" customFormat="1" ht="14.25" customHeight="1" x14ac:dyDescent="0.25">
      <c r="A4194" s="4" t="s">
        <v>6847</v>
      </c>
      <c r="B4194" s="4" t="s">
        <v>38</v>
      </c>
      <c r="C4194" s="4" t="s">
        <v>14</v>
      </c>
      <c r="D4194" s="35">
        <v>3306</v>
      </c>
      <c r="E4194" s="4" t="s">
        <v>6848</v>
      </c>
      <c r="F4194" s="5">
        <v>39083</v>
      </c>
      <c r="H4194" s="4" t="s">
        <v>40</v>
      </c>
      <c r="I4194" s="6">
        <v>430</v>
      </c>
      <c r="J4194" s="6">
        <v>430</v>
      </c>
      <c r="K4194" s="37" t="s">
        <v>6720</v>
      </c>
      <c r="L4194" s="119"/>
      <c r="M4194" s="3"/>
    </row>
    <row r="4195" spans="1:13" s="4" customFormat="1" ht="14.25" customHeight="1" x14ac:dyDescent="0.25">
      <c r="A4195" s="4" t="s">
        <v>6849</v>
      </c>
      <c r="B4195" s="4" t="s">
        <v>38</v>
      </c>
      <c r="C4195" s="4" t="s">
        <v>14</v>
      </c>
      <c r="D4195" s="35">
        <v>3307</v>
      </c>
      <c r="E4195" s="4" t="s">
        <v>6850</v>
      </c>
      <c r="F4195" s="5">
        <v>39083</v>
      </c>
      <c r="H4195" s="4" t="s">
        <v>40</v>
      </c>
      <c r="I4195" s="6">
        <v>3062.5</v>
      </c>
      <c r="J4195" s="6">
        <v>3062.5</v>
      </c>
      <c r="K4195" s="37" t="s">
        <v>6720</v>
      </c>
      <c r="L4195" s="119"/>
      <c r="M4195" s="3"/>
    </row>
    <row r="4196" spans="1:13" s="4" customFormat="1" ht="14.25" customHeight="1" x14ac:dyDescent="0.25">
      <c r="A4196" s="4" t="s">
        <v>6851</v>
      </c>
      <c r="B4196" s="4" t="s">
        <v>13</v>
      </c>
      <c r="C4196" s="4" t="s">
        <v>14</v>
      </c>
      <c r="D4196" s="35">
        <v>3308</v>
      </c>
      <c r="E4196" s="4" t="s">
        <v>6852</v>
      </c>
      <c r="F4196" s="5">
        <v>39448</v>
      </c>
      <c r="G4196" s="5">
        <v>39813</v>
      </c>
      <c r="H4196" s="4" t="s">
        <v>40</v>
      </c>
      <c r="I4196" s="6">
        <v>2415.5</v>
      </c>
      <c r="J4196" s="6">
        <v>2415.5</v>
      </c>
      <c r="K4196" s="37" t="s">
        <v>6720</v>
      </c>
      <c r="L4196" s="119"/>
      <c r="M4196" s="3"/>
    </row>
    <row r="4197" spans="1:13" s="4" customFormat="1" ht="14.25" customHeight="1" x14ac:dyDescent="0.25">
      <c r="A4197" s="4" t="s">
        <v>6853</v>
      </c>
      <c r="B4197" s="4" t="s">
        <v>38</v>
      </c>
      <c r="C4197" s="4" t="s">
        <v>14</v>
      </c>
      <c r="D4197" s="35">
        <v>3309</v>
      </c>
      <c r="E4197" s="4" t="s">
        <v>6854</v>
      </c>
      <c r="F4197" s="5">
        <v>39448</v>
      </c>
      <c r="H4197" s="4" t="s">
        <v>40</v>
      </c>
      <c r="I4197" s="6">
        <v>1440</v>
      </c>
      <c r="J4197" s="6">
        <v>1440</v>
      </c>
      <c r="K4197" s="37" t="s">
        <v>6720</v>
      </c>
      <c r="L4197" s="119"/>
      <c r="M4197" s="3"/>
    </row>
    <row r="4198" spans="1:13" s="4" customFormat="1" ht="14.25" customHeight="1" x14ac:dyDescent="0.25">
      <c r="A4198" s="4" t="s">
        <v>6855</v>
      </c>
      <c r="B4198" s="4" t="s">
        <v>38</v>
      </c>
      <c r="C4198" s="4" t="s">
        <v>14</v>
      </c>
      <c r="D4198" s="35">
        <v>3310</v>
      </c>
      <c r="E4198" s="4" t="s">
        <v>6856</v>
      </c>
      <c r="F4198" s="5">
        <v>39448</v>
      </c>
      <c r="H4198" s="4" t="s">
        <v>40</v>
      </c>
      <c r="I4198" s="6">
        <v>2288</v>
      </c>
      <c r="J4198" s="6">
        <v>2288</v>
      </c>
      <c r="K4198" s="37" t="s">
        <v>6720</v>
      </c>
      <c r="L4198" s="119"/>
      <c r="M4198" s="3"/>
    </row>
    <row r="4199" spans="1:13" s="4" customFormat="1" ht="14.25" customHeight="1" x14ac:dyDescent="0.25">
      <c r="A4199" s="4" t="s">
        <v>6857</v>
      </c>
      <c r="B4199" s="4" t="s">
        <v>13</v>
      </c>
      <c r="C4199" s="4" t="s">
        <v>14</v>
      </c>
      <c r="D4199" s="35">
        <v>3311</v>
      </c>
      <c r="E4199" s="4" t="s">
        <v>6858</v>
      </c>
      <c r="F4199" s="5">
        <v>39448</v>
      </c>
      <c r="G4199" s="5">
        <v>39813</v>
      </c>
      <c r="H4199" s="4" t="s">
        <v>40</v>
      </c>
      <c r="I4199" s="6">
        <v>515</v>
      </c>
      <c r="J4199" s="6">
        <v>515</v>
      </c>
      <c r="K4199" s="37" t="s">
        <v>6720</v>
      </c>
      <c r="L4199" s="119"/>
      <c r="M4199" s="3"/>
    </row>
    <row r="4200" spans="1:13" s="4" customFormat="1" ht="14.25" customHeight="1" x14ac:dyDescent="0.25">
      <c r="A4200" s="4" t="s">
        <v>2372</v>
      </c>
      <c r="B4200" s="4" t="s">
        <v>38</v>
      </c>
      <c r="C4200" s="4" t="s">
        <v>14</v>
      </c>
      <c r="D4200" s="35">
        <v>3312</v>
      </c>
      <c r="E4200" s="4" t="s">
        <v>6859</v>
      </c>
      <c r="F4200" s="5">
        <v>39448</v>
      </c>
      <c r="G4200" s="5">
        <v>39813</v>
      </c>
      <c r="H4200" s="4" t="s">
        <v>40</v>
      </c>
      <c r="I4200" s="6">
        <v>2510</v>
      </c>
      <c r="J4200" s="6">
        <v>2510</v>
      </c>
      <c r="K4200" s="37" t="s">
        <v>6720</v>
      </c>
      <c r="L4200" s="119"/>
      <c r="M4200" s="3"/>
    </row>
    <row r="4201" spans="1:13" s="4" customFormat="1" ht="14.25" customHeight="1" x14ac:dyDescent="0.25">
      <c r="A4201" s="4" t="s">
        <v>6860</v>
      </c>
      <c r="B4201" s="4" t="s">
        <v>38</v>
      </c>
      <c r="C4201" s="4" t="s">
        <v>14</v>
      </c>
      <c r="D4201" s="35">
        <v>3313</v>
      </c>
      <c r="E4201" s="4" t="s">
        <v>6861</v>
      </c>
      <c r="F4201" s="5">
        <v>39448</v>
      </c>
      <c r="G4201" s="5">
        <v>39813</v>
      </c>
      <c r="H4201" s="4" t="s">
        <v>40</v>
      </c>
      <c r="I4201" s="6">
        <v>4900</v>
      </c>
      <c r="J4201" s="6">
        <v>4900</v>
      </c>
      <c r="K4201" s="37" t="s">
        <v>6720</v>
      </c>
      <c r="L4201" s="119"/>
      <c r="M4201" s="3"/>
    </row>
    <row r="4202" spans="1:13" s="4" customFormat="1" ht="14.25" customHeight="1" x14ac:dyDescent="0.25">
      <c r="A4202" s="4" t="s">
        <v>6862</v>
      </c>
      <c r="B4202" s="4" t="s">
        <v>38</v>
      </c>
      <c r="C4202" s="4" t="s">
        <v>14</v>
      </c>
      <c r="D4202" s="35">
        <v>3318</v>
      </c>
      <c r="E4202" s="4" t="s">
        <v>6863</v>
      </c>
      <c r="F4202" s="5">
        <v>39083</v>
      </c>
      <c r="H4202" s="4" t="s">
        <v>40</v>
      </c>
      <c r="I4202" s="6">
        <v>119041.78</v>
      </c>
      <c r="J4202" s="6">
        <v>119041.78</v>
      </c>
      <c r="K4202" s="37" t="s">
        <v>6720</v>
      </c>
      <c r="L4202" s="119"/>
      <c r="M4202" s="3"/>
    </row>
    <row r="4203" spans="1:13" s="4" customFormat="1" ht="14.25" customHeight="1" x14ac:dyDescent="0.25">
      <c r="A4203" s="4" t="s">
        <v>6864</v>
      </c>
      <c r="B4203" s="4" t="s">
        <v>38</v>
      </c>
      <c r="C4203" s="4" t="s">
        <v>14</v>
      </c>
      <c r="D4203" s="35">
        <v>3333</v>
      </c>
      <c r="E4203" s="4" t="s">
        <v>6865</v>
      </c>
      <c r="F4203" s="5">
        <v>39084</v>
      </c>
      <c r="H4203" s="4" t="s">
        <v>40</v>
      </c>
      <c r="I4203" s="6">
        <v>291850.77</v>
      </c>
      <c r="J4203" s="6">
        <v>291850.77</v>
      </c>
      <c r="K4203" s="37" t="s">
        <v>6720</v>
      </c>
      <c r="L4203" s="119"/>
      <c r="M4203" s="3"/>
    </row>
    <row r="4204" spans="1:13" s="4" customFormat="1" ht="14.25" customHeight="1" x14ac:dyDescent="0.25">
      <c r="A4204" s="4" t="s">
        <v>6866</v>
      </c>
      <c r="B4204" s="4" t="s">
        <v>38</v>
      </c>
      <c r="C4204" s="4" t="s">
        <v>14</v>
      </c>
      <c r="D4204" s="35">
        <v>5781</v>
      </c>
      <c r="E4204" s="4" t="s">
        <v>6867</v>
      </c>
      <c r="F4204" s="5">
        <v>39814</v>
      </c>
      <c r="H4204" s="4" t="s">
        <v>40</v>
      </c>
      <c r="I4204" s="6">
        <v>618</v>
      </c>
      <c r="J4204" s="6">
        <v>618</v>
      </c>
      <c r="K4204" s="37" t="s">
        <v>6720</v>
      </c>
      <c r="L4204" s="119"/>
      <c r="M4204" s="3"/>
    </row>
    <row r="4205" spans="1:13" s="4" customFormat="1" ht="14.25" customHeight="1" x14ac:dyDescent="0.25">
      <c r="A4205" s="4" t="s">
        <v>6868</v>
      </c>
      <c r="B4205" s="4" t="s">
        <v>38</v>
      </c>
      <c r="C4205" s="4" t="s">
        <v>14</v>
      </c>
      <c r="D4205" s="35">
        <v>5784</v>
      </c>
      <c r="E4205" s="4" t="s">
        <v>6869</v>
      </c>
      <c r="F4205" s="5">
        <v>39814</v>
      </c>
      <c r="H4205" s="4" t="s">
        <v>40</v>
      </c>
      <c r="I4205" s="6">
        <v>2324</v>
      </c>
      <c r="J4205" s="6">
        <f>1764+560</f>
        <v>2324</v>
      </c>
      <c r="K4205" s="37" t="s">
        <v>6720</v>
      </c>
      <c r="L4205" s="119"/>
      <c r="M4205" s="3"/>
    </row>
    <row r="4206" spans="1:13" s="4" customFormat="1" ht="14.25" customHeight="1" x14ac:dyDescent="0.25">
      <c r="A4206" s="4" t="s">
        <v>6870</v>
      </c>
      <c r="B4206" s="4" t="s">
        <v>38</v>
      </c>
      <c r="C4206" s="4" t="s">
        <v>14</v>
      </c>
      <c r="D4206" s="35">
        <v>5790</v>
      </c>
      <c r="E4206" s="4" t="s">
        <v>6871</v>
      </c>
      <c r="F4206" s="5">
        <v>39814</v>
      </c>
      <c r="H4206" s="4" t="s">
        <v>40</v>
      </c>
      <c r="I4206" s="6">
        <v>1086</v>
      </c>
      <c r="J4206" s="6">
        <f>846+240</f>
        <v>1086</v>
      </c>
      <c r="K4206" s="37" t="s">
        <v>6720</v>
      </c>
      <c r="L4206" s="119"/>
      <c r="M4206" s="3"/>
    </row>
    <row r="4207" spans="1:13" s="4" customFormat="1" ht="14.25" customHeight="1" x14ac:dyDescent="0.25">
      <c r="A4207" s="4" t="s">
        <v>6872</v>
      </c>
      <c r="B4207" s="4" t="s">
        <v>38</v>
      </c>
      <c r="C4207" s="4" t="s">
        <v>14</v>
      </c>
      <c r="D4207" s="35">
        <v>5792</v>
      </c>
      <c r="E4207" s="4" t="s">
        <v>6873</v>
      </c>
      <c r="F4207" s="5">
        <v>39814</v>
      </c>
      <c r="H4207" s="4" t="s">
        <v>40</v>
      </c>
      <c r="I4207" s="6">
        <v>2989</v>
      </c>
      <c r="J4207" s="6">
        <f>2339+650</f>
        <v>2989</v>
      </c>
      <c r="K4207" s="37" t="s">
        <v>6720</v>
      </c>
      <c r="L4207" s="119"/>
      <c r="M4207" s="3"/>
    </row>
    <row r="4208" spans="1:13" s="4" customFormat="1" ht="14.25" customHeight="1" x14ac:dyDescent="0.25">
      <c r="A4208" s="4" t="s">
        <v>6874</v>
      </c>
      <c r="B4208" s="4" t="s">
        <v>38</v>
      </c>
      <c r="C4208" s="4" t="s">
        <v>14</v>
      </c>
      <c r="D4208" s="35">
        <v>5793</v>
      </c>
      <c r="E4208" s="4" t="s">
        <v>6875</v>
      </c>
      <c r="F4208" s="5">
        <v>39814</v>
      </c>
      <c r="H4208" s="4" t="s">
        <v>40</v>
      </c>
      <c r="I4208" s="6">
        <v>746</v>
      </c>
      <c r="J4208" s="6">
        <v>746</v>
      </c>
      <c r="K4208" s="37" t="s">
        <v>6720</v>
      </c>
      <c r="L4208" s="119"/>
      <c r="M4208" s="3"/>
    </row>
    <row r="4209" spans="1:13" s="4" customFormat="1" ht="14.25" customHeight="1" x14ac:dyDescent="0.25">
      <c r="A4209" s="4" t="s">
        <v>6876</v>
      </c>
      <c r="B4209" s="4" t="s">
        <v>38</v>
      </c>
      <c r="C4209" s="4" t="s">
        <v>14</v>
      </c>
      <c r="D4209" s="35">
        <v>5830</v>
      </c>
      <c r="E4209" s="4" t="s">
        <v>6877</v>
      </c>
      <c r="F4209" s="5">
        <v>39814</v>
      </c>
      <c r="H4209" s="4" t="s">
        <v>40</v>
      </c>
      <c r="I4209" s="6">
        <v>420</v>
      </c>
      <c r="J4209" s="6">
        <v>420</v>
      </c>
      <c r="K4209" s="37" t="s">
        <v>6720</v>
      </c>
      <c r="L4209" s="119"/>
      <c r="M4209" s="3"/>
    </row>
    <row r="4210" spans="1:13" s="4" customFormat="1" ht="14.25" customHeight="1" x14ac:dyDescent="0.25">
      <c r="A4210" s="4" t="s">
        <v>6878</v>
      </c>
      <c r="B4210" s="4" t="s">
        <v>38</v>
      </c>
      <c r="C4210" s="4" t="s">
        <v>14</v>
      </c>
      <c r="D4210" s="35">
        <v>5831</v>
      </c>
      <c r="E4210" s="4" t="s">
        <v>6879</v>
      </c>
      <c r="F4210" s="5">
        <v>39814</v>
      </c>
      <c r="H4210" s="4" t="s">
        <v>40</v>
      </c>
      <c r="I4210" s="6">
        <v>1533</v>
      </c>
      <c r="J4210" s="6">
        <v>1533</v>
      </c>
      <c r="K4210" s="37" t="s">
        <v>6720</v>
      </c>
      <c r="L4210" s="119"/>
      <c r="M4210" s="3"/>
    </row>
    <row r="4211" spans="1:13" s="4" customFormat="1" ht="14.25" customHeight="1" x14ac:dyDescent="0.25">
      <c r="A4211" s="4" t="s">
        <v>6880</v>
      </c>
      <c r="B4211" s="4" t="s">
        <v>38</v>
      </c>
      <c r="C4211" s="4" t="s">
        <v>14</v>
      </c>
      <c r="D4211" s="35">
        <v>5832</v>
      </c>
      <c r="E4211" s="4" t="s">
        <v>6881</v>
      </c>
      <c r="F4211" s="5">
        <v>39814</v>
      </c>
      <c r="H4211" s="4" t="s">
        <v>40</v>
      </c>
      <c r="I4211" s="6">
        <v>520</v>
      </c>
      <c r="J4211" s="6">
        <v>520</v>
      </c>
      <c r="K4211" s="37" t="s">
        <v>6720</v>
      </c>
      <c r="L4211" s="119"/>
      <c r="M4211" s="3"/>
    </row>
    <row r="4212" spans="1:13" s="4" customFormat="1" ht="14.25" customHeight="1" x14ac:dyDescent="0.25">
      <c r="A4212" s="4" t="s">
        <v>6882</v>
      </c>
      <c r="B4212" s="4" t="s">
        <v>38</v>
      </c>
      <c r="C4212" s="4" t="s">
        <v>14</v>
      </c>
      <c r="D4212" s="35">
        <v>5833</v>
      </c>
      <c r="E4212" s="4" t="s">
        <v>6883</v>
      </c>
      <c r="F4212" s="5">
        <v>39814</v>
      </c>
      <c r="H4212" s="4" t="s">
        <v>40</v>
      </c>
      <c r="I4212" s="6">
        <v>9200</v>
      </c>
      <c r="J4212" s="6">
        <v>9200</v>
      </c>
      <c r="K4212" s="37" t="s">
        <v>6720</v>
      </c>
      <c r="L4212" s="119"/>
      <c r="M4212" s="3"/>
    </row>
    <row r="4213" spans="1:13" s="4" customFormat="1" ht="14.25" customHeight="1" x14ac:dyDescent="0.25">
      <c r="A4213" s="4" t="s">
        <v>6884</v>
      </c>
      <c r="B4213" s="4" t="s">
        <v>38</v>
      </c>
      <c r="C4213" s="4" t="s">
        <v>14</v>
      </c>
      <c r="D4213" s="35">
        <v>5834</v>
      </c>
      <c r="E4213" s="4" t="s">
        <v>6885</v>
      </c>
      <c r="F4213" s="5">
        <v>39814</v>
      </c>
      <c r="H4213" s="4" t="s">
        <v>40</v>
      </c>
      <c r="I4213" s="6">
        <v>1500</v>
      </c>
      <c r="J4213" s="6">
        <v>1500</v>
      </c>
      <c r="K4213" s="37" t="s">
        <v>6720</v>
      </c>
      <c r="L4213" s="119"/>
      <c r="M4213" s="3"/>
    </row>
    <row r="4214" spans="1:13" s="4" customFormat="1" ht="14.25" customHeight="1" x14ac:dyDescent="0.25">
      <c r="A4214" s="4" t="s">
        <v>6886</v>
      </c>
      <c r="B4214" s="4" t="s">
        <v>38</v>
      </c>
      <c r="C4214" s="4" t="s">
        <v>14</v>
      </c>
      <c r="D4214" s="35">
        <v>5835</v>
      </c>
      <c r="E4214" s="4" t="s">
        <v>6887</v>
      </c>
      <c r="F4214" s="5">
        <v>39814</v>
      </c>
      <c r="H4214" s="4" t="s">
        <v>40</v>
      </c>
      <c r="I4214" s="6">
        <v>5995.2</v>
      </c>
      <c r="J4214" s="6">
        <v>5995.2</v>
      </c>
      <c r="K4214" s="37" t="s">
        <v>6720</v>
      </c>
      <c r="L4214" s="119"/>
      <c r="M4214" s="3"/>
    </row>
    <row r="4215" spans="1:13" s="4" customFormat="1" ht="14.25" customHeight="1" x14ac:dyDescent="0.25">
      <c r="A4215" s="4" t="s">
        <v>6888</v>
      </c>
      <c r="B4215" s="4" t="s">
        <v>38</v>
      </c>
      <c r="C4215" s="4" t="s">
        <v>14</v>
      </c>
      <c r="D4215" s="35">
        <v>5836</v>
      </c>
      <c r="E4215" s="4" t="s">
        <v>6889</v>
      </c>
      <c r="F4215" s="5">
        <v>39814</v>
      </c>
      <c r="H4215" s="4" t="s">
        <v>40</v>
      </c>
      <c r="I4215" s="6">
        <v>15700.41</v>
      </c>
      <c r="J4215" s="6">
        <v>15700.41</v>
      </c>
      <c r="K4215" s="37" t="s">
        <v>6720</v>
      </c>
      <c r="L4215" s="119"/>
      <c r="M4215" s="3"/>
    </row>
    <row r="4216" spans="1:13" s="4" customFormat="1" ht="14.25" customHeight="1" x14ac:dyDescent="0.25">
      <c r="A4216" s="4" t="s">
        <v>6890</v>
      </c>
      <c r="B4216" s="4" t="s">
        <v>38</v>
      </c>
      <c r="C4216" s="4" t="s">
        <v>14</v>
      </c>
      <c r="D4216" s="35">
        <v>5837</v>
      </c>
      <c r="E4216" s="4" t="s">
        <v>6891</v>
      </c>
      <c r="F4216" s="5">
        <v>39814</v>
      </c>
      <c r="H4216" s="4" t="s">
        <v>40</v>
      </c>
      <c r="I4216" s="6">
        <v>350</v>
      </c>
      <c r="J4216" s="6">
        <v>350</v>
      </c>
      <c r="K4216" s="37" t="s">
        <v>6720</v>
      </c>
      <c r="L4216" s="119"/>
      <c r="M4216" s="3"/>
    </row>
    <row r="4217" spans="1:13" s="4" customFormat="1" ht="14.25" customHeight="1" x14ac:dyDescent="0.25">
      <c r="A4217" s="4" t="s">
        <v>6892</v>
      </c>
      <c r="B4217" s="4" t="s">
        <v>38</v>
      </c>
      <c r="C4217" s="4" t="s">
        <v>14</v>
      </c>
      <c r="D4217" s="35">
        <v>5838</v>
      </c>
      <c r="E4217" s="4" t="s">
        <v>6893</v>
      </c>
      <c r="F4217" s="5">
        <v>39814</v>
      </c>
      <c r="H4217" s="4" t="s">
        <v>40</v>
      </c>
      <c r="I4217" s="6">
        <v>15442.23</v>
      </c>
      <c r="J4217" s="6">
        <f>11672.95+3769.28</f>
        <v>15442.230000000001</v>
      </c>
      <c r="K4217" s="37" t="s">
        <v>6720</v>
      </c>
      <c r="L4217" s="119"/>
      <c r="M4217" s="3"/>
    </row>
    <row r="4218" spans="1:13" s="4" customFormat="1" ht="14.25" customHeight="1" x14ac:dyDescent="0.25">
      <c r="A4218" s="4" t="s">
        <v>6894</v>
      </c>
      <c r="B4218" s="4" t="s">
        <v>38</v>
      </c>
      <c r="C4218" s="4" t="s">
        <v>14</v>
      </c>
      <c r="D4218" s="35">
        <v>5839</v>
      </c>
      <c r="E4218" s="4" t="s">
        <v>6895</v>
      </c>
      <c r="F4218" s="5">
        <v>39814</v>
      </c>
      <c r="H4218" s="4" t="s">
        <v>40</v>
      </c>
      <c r="I4218" s="6">
        <v>14260</v>
      </c>
      <c r="J4218" s="6">
        <v>14260</v>
      </c>
      <c r="K4218" s="37" t="s">
        <v>6720</v>
      </c>
      <c r="L4218" s="119"/>
      <c r="M4218" s="3"/>
    </row>
    <row r="4219" spans="1:13" s="4" customFormat="1" ht="14.25" customHeight="1" x14ac:dyDescent="0.25">
      <c r="A4219" s="4" t="s">
        <v>6896</v>
      </c>
      <c r="B4219" s="4" t="s">
        <v>38</v>
      </c>
      <c r="C4219" s="4" t="s">
        <v>14</v>
      </c>
      <c r="D4219" s="35">
        <v>5841</v>
      </c>
      <c r="E4219" s="4" t="s">
        <v>6897</v>
      </c>
      <c r="F4219" s="5">
        <v>39814</v>
      </c>
      <c r="H4219" s="4" t="s">
        <v>40</v>
      </c>
      <c r="I4219" s="6">
        <v>4291</v>
      </c>
      <c r="J4219" s="6">
        <v>4291</v>
      </c>
      <c r="K4219" s="37" t="s">
        <v>6720</v>
      </c>
      <c r="L4219" s="119"/>
      <c r="M4219" s="3"/>
    </row>
    <row r="4220" spans="1:13" s="4" customFormat="1" ht="14.25" customHeight="1" x14ac:dyDescent="0.25">
      <c r="A4220" s="4" t="s">
        <v>6898</v>
      </c>
      <c r="B4220" s="4" t="s">
        <v>38</v>
      </c>
      <c r="C4220" s="4" t="s">
        <v>14</v>
      </c>
      <c r="D4220" s="35">
        <v>5842</v>
      </c>
      <c r="E4220" s="4" t="s">
        <v>6899</v>
      </c>
      <c r="F4220" s="5">
        <v>39814</v>
      </c>
      <c r="H4220" s="4" t="s">
        <v>40</v>
      </c>
      <c r="I4220" s="6">
        <v>1260</v>
      </c>
      <c r="J4220" s="6">
        <v>1260</v>
      </c>
      <c r="K4220" s="37" t="s">
        <v>6720</v>
      </c>
      <c r="L4220" s="119"/>
      <c r="M4220" s="3"/>
    </row>
    <row r="4221" spans="1:13" s="4" customFormat="1" ht="14.25" customHeight="1" x14ac:dyDescent="0.25">
      <c r="A4221" s="4" t="s">
        <v>6900</v>
      </c>
      <c r="B4221" s="4" t="s">
        <v>38</v>
      </c>
      <c r="C4221" s="4" t="s">
        <v>14</v>
      </c>
      <c r="D4221" s="35">
        <v>5843</v>
      </c>
      <c r="E4221" s="4" t="s">
        <v>6901</v>
      </c>
      <c r="F4221" s="5">
        <v>39814</v>
      </c>
      <c r="H4221" s="4" t="s">
        <v>40</v>
      </c>
      <c r="I4221" s="6">
        <v>639</v>
      </c>
      <c r="J4221" s="6">
        <v>639</v>
      </c>
      <c r="K4221" s="37" t="s">
        <v>6720</v>
      </c>
      <c r="L4221" s="119"/>
      <c r="M4221" s="3"/>
    </row>
    <row r="4222" spans="1:13" s="4" customFormat="1" ht="14.25" customHeight="1" x14ac:dyDescent="0.25">
      <c r="A4222" s="4" t="s">
        <v>6902</v>
      </c>
      <c r="B4222" s="4" t="s">
        <v>38</v>
      </c>
      <c r="C4222" s="4" t="s">
        <v>14</v>
      </c>
      <c r="D4222" s="35">
        <v>5844</v>
      </c>
      <c r="E4222" s="4" t="s">
        <v>6903</v>
      </c>
      <c r="F4222" s="5">
        <v>39814</v>
      </c>
      <c r="H4222" s="4" t="s">
        <v>40</v>
      </c>
      <c r="I4222" s="6">
        <v>452</v>
      </c>
      <c r="J4222" s="6">
        <v>452</v>
      </c>
      <c r="K4222" s="37" t="s">
        <v>6720</v>
      </c>
      <c r="L4222" s="119"/>
      <c r="M4222" s="3"/>
    </row>
    <row r="4223" spans="1:13" s="4" customFormat="1" ht="14.25" customHeight="1" x14ac:dyDescent="0.25">
      <c r="A4223" s="4" t="s">
        <v>6904</v>
      </c>
      <c r="B4223" s="4" t="s">
        <v>38</v>
      </c>
      <c r="C4223" s="4" t="s">
        <v>14</v>
      </c>
      <c r="D4223" s="35">
        <v>5845</v>
      </c>
      <c r="E4223" s="4" t="s">
        <v>6905</v>
      </c>
      <c r="F4223" s="5">
        <v>39814</v>
      </c>
      <c r="H4223" s="4" t="s">
        <v>40</v>
      </c>
      <c r="I4223" s="6">
        <v>651.87</v>
      </c>
      <c r="J4223" s="6">
        <v>651.87</v>
      </c>
      <c r="K4223" s="37" t="s">
        <v>6720</v>
      </c>
      <c r="L4223" s="119"/>
      <c r="M4223" s="3"/>
    </row>
    <row r="4224" spans="1:13" s="4" customFormat="1" ht="14.25" customHeight="1" x14ac:dyDescent="0.25">
      <c r="A4224" s="4" t="s">
        <v>6906</v>
      </c>
      <c r="B4224" s="4" t="s">
        <v>50</v>
      </c>
      <c r="C4224" s="4" t="s">
        <v>14</v>
      </c>
      <c r="D4224" s="35">
        <v>5847</v>
      </c>
      <c r="E4224" s="4" t="s">
        <v>6907</v>
      </c>
      <c r="F4224" s="5">
        <v>40011</v>
      </c>
      <c r="G4224" s="5">
        <v>40049</v>
      </c>
      <c r="H4224" s="4" t="s">
        <v>40</v>
      </c>
      <c r="I4224" s="6">
        <v>11800</v>
      </c>
      <c r="J4224" s="6">
        <v>5900</v>
      </c>
      <c r="K4224" s="37" t="s">
        <v>6720</v>
      </c>
      <c r="L4224" s="119"/>
      <c r="M4224" s="3"/>
    </row>
    <row r="4225" spans="1:13" s="4" customFormat="1" ht="14.25" customHeight="1" x14ac:dyDescent="0.25">
      <c r="A4225" s="4" t="s">
        <v>6908</v>
      </c>
      <c r="B4225" s="4" t="s">
        <v>50</v>
      </c>
      <c r="C4225" s="4" t="s">
        <v>14</v>
      </c>
      <c r="D4225" s="35">
        <v>5850</v>
      </c>
      <c r="E4225" s="4" t="s">
        <v>6909</v>
      </c>
      <c r="F4225" s="5">
        <v>39784</v>
      </c>
      <c r="G4225" s="5">
        <v>39967</v>
      </c>
      <c r="H4225" s="4" t="s">
        <v>40</v>
      </c>
      <c r="I4225" s="6">
        <v>45000</v>
      </c>
      <c r="J4225" s="6">
        <v>22500</v>
      </c>
      <c r="K4225" s="37" t="s">
        <v>6720</v>
      </c>
      <c r="L4225" s="119"/>
      <c r="M4225" s="3"/>
    </row>
    <row r="4226" spans="1:13" s="4" customFormat="1" ht="14.25" customHeight="1" x14ac:dyDescent="0.25">
      <c r="A4226" s="4" t="s">
        <v>6910</v>
      </c>
      <c r="B4226" s="4" t="s">
        <v>50</v>
      </c>
      <c r="C4226" s="4" t="s">
        <v>14</v>
      </c>
      <c r="D4226" s="35">
        <v>5852</v>
      </c>
      <c r="E4226" s="4" t="s">
        <v>6911</v>
      </c>
      <c r="F4226" s="5">
        <v>39945</v>
      </c>
      <c r="G4226" s="5">
        <v>39973</v>
      </c>
      <c r="H4226" s="4" t="s">
        <v>40</v>
      </c>
      <c r="I4226" s="6">
        <v>5380</v>
      </c>
      <c r="J4226" s="6">
        <v>2690</v>
      </c>
      <c r="K4226" s="37" t="s">
        <v>6720</v>
      </c>
      <c r="L4226" s="119"/>
      <c r="M4226" s="3"/>
    </row>
    <row r="4227" spans="1:13" s="4" customFormat="1" ht="14.25" customHeight="1" x14ac:dyDescent="0.25">
      <c r="A4227" s="4" t="s">
        <v>6912</v>
      </c>
      <c r="B4227" s="4" t="s">
        <v>50</v>
      </c>
      <c r="C4227" s="4" t="s">
        <v>14</v>
      </c>
      <c r="D4227" s="35">
        <v>5853</v>
      </c>
      <c r="E4227" s="4" t="s">
        <v>6913</v>
      </c>
      <c r="F4227" s="5">
        <v>40039</v>
      </c>
      <c r="G4227" s="5">
        <v>40049</v>
      </c>
      <c r="H4227" s="4" t="s">
        <v>40</v>
      </c>
      <c r="I4227" s="6">
        <v>60000</v>
      </c>
      <c r="J4227" s="6">
        <v>30000</v>
      </c>
      <c r="K4227" s="37" t="s">
        <v>6720</v>
      </c>
      <c r="L4227" s="119"/>
      <c r="M4227" s="3"/>
    </row>
    <row r="4228" spans="1:13" s="4" customFormat="1" ht="14.25" customHeight="1" x14ac:dyDescent="0.25">
      <c r="A4228" s="4" t="s">
        <v>6914</v>
      </c>
      <c r="B4228" s="4" t="s">
        <v>50</v>
      </c>
      <c r="C4228" s="4" t="s">
        <v>14</v>
      </c>
      <c r="D4228" s="35">
        <v>5854</v>
      </c>
      <c r="E4228" s="4" t="s">
        <v>6915</v>
      </c>
      <c r="F4228" s="5">
        <v>40036</v>
      </c>
      <c r="G4228" s="5">
        <v>40077</v>
      </c>
      <c r="H4228" s="4" t="s">
        <v>40</v>
      </c>
      <c r="I4228" s="6">
        <v>30000</v>
      </c>
      <c r="J4228" s="6">
        <v>15000</v>
      </c>
      <c r="K4228" s="37" t="s">
        <v>6720</v>
      </c>
      <c r="L4228" s="119"/>
      <c r="M4228" s="3"/>
    </row>
    <row r="4229" spans="1:13" s="4" customFormat="1" ht="14.25" customHeight="1" x14ac:dyDescent="0.25">
      <c r="A4229" s="4" t="s">
        <v>6916</v>
      </c>
      <c r="B4229" s="4" t="s">
        <v>38</v>
      </c>
      <c r="C4229" s="4" t="s">
        <v>14</v>
      </c>
      <c r="D4229" s="35">
        <v>5855</v>
      </c>
      <c r="E4229" s="4" t="s">
        <v>6917</v>
      </c>
      <c r="F4229" s="5">
        <v>39814</v>
      </c>
      <c r="H4229" s="4" t="s">
        <v>40</v>
      </c>
      <c r="I4229" s="6">
        <v>5988.5</v>
      </c>
      <c r="J4229" s="6">
        <v>5988.5</v>
      </c>
      <c r="K4229" s="37" t="s">
        <v>6720</v>
      </c>
      <c r="L4229" s="119"/>
      <c r="M4229" s="3"/>
    </row>
    <row r="4230" spans="1:13" s="4" customFormat="1" ht="14.25" customHeight="1" x14ac:dyDescent="0.25">
      <c r="A4230" s="4" t="s">
        <v>6918</v>
      </c>
      <c r="B4230" s="4" t="s">
        <v>59</v>
      </c>
      <c r="C4230" s="4" t="s">
        <v>14</v>
      </c>
      <c r="D4230" s="35">
        <v>5907</v>
      </c>
      <c r="E4230" s="4" t="s">
        <v>6919</v>
      </c>
      <c r="F4230" s="5">
        <v>40135</v>
      </c>
      <c r="G4230" s="5">
        <v>40152</v>
      </c>
      <c r="H4230" s="4" t="s">
        <v>40</v>
      </c>
      <c r="I4230" s="6">
        <v>2000</v>
      </c>
      <c r="J4230" s="6">
        <v>2000</v>
      </c>
      <c r="K4230" s="37" t="s">
        <v>6720</v>
      </c>
      <c r="L4230" s="119"/>
      <c r="M4230" s="3"/>
    </row>
    <row r="4231" spans="1:13" s="4" customFormat="1" ht="14.25" customHeight="1" x14ac:dyDescent="0.25">
      <c r="A4231" s="4" t="s">
        <v>6920</v>
      </c>
      <c r="B4231" s="4" t="s">
        <v>38</v>
      </c>
      <c r="C4231" s="4" t="s">
        <v>14</v>
      </c>
      <c r="D4231" s="35">
        <v>5909</v>
      </c>
      <c r="E4231" s="4" t="s">
        <v>6921</v>
      </c>
      <c r="F4231" s="5">
        <v>39989</v>
      </c>
      <c r="G4231" s="5">
        <v>40057</v>
      </c>
      <c r="H4231" s="4" t="s">
        <v>40</v>
      </c>
      <c r="I4231" s="6">
        <v>7500</v>
      </c>
      <c r="J4231" s="6">
        <v>3750</v>
      </c>
      <c r="K4231" s="37" t="s">
        <v>6720</v>
      </c>
      <c r="L4231" s="119"/>
      <c r="M4231" s="3"/>
    </row>
    <row r="4232" spans="1:13" s="4" customFormat="1" ht="14.25" customHeight="1" x14ac:dyDescent="0.25">
      <c r="A4232" s="4" t="s">
        <v>6922</v>
      </c>
      <c r="B4232" s="4" t="s">
        <v>38</v>
      </c>
      <c r="C4232" s="4" t="s">
        <v>14</v>
      </c>
      <c r="D4232" s="35">
        <v>5910</v>
      </c>
      <c r="E4232" s="4" t="s">
        <v>6923</v>
      </c>
      <c r="F4232" s="5">
        <v>40063</v>
      </c>
      <c r="G4232" s="5">
        <v>40543</v>
      </c>
      <c r="H4232" s="4" t="s">
        <v>40</v>
      </c>
      <c r="I4232" s="6">
        <v>5000</v>
      </c>
      <c r="J4232" s="6">
        <v>5000</v>
      </c>
      <c r="K4232" s="37" t="s">
        <v>6720</v>
      </c>
      <c r="L4232" s="119"/>
      <c r="M4232" s="3"/>
    </row>
    <row r="4233" spans="1:13" s="4" customFormat="1" ht="14.25" customHeight="1" x14ac:dyDescent="0.25">
      <c r="A4233" s="4" t="s">
        <v>6924</v>
      </c>
      <c r="B4233" s="4" t="s">
        <v>59</v>
      </c>
      <c r="C4233" s="4" t="s">
        <v>14</v>
      </c>
      <c r="D4233" s="35">
        <v>5911</v>
      </c>
      <c r="E4233" s="4" t="s">
        <v>6925</v>
      </c>
      <c r="F4233" s="5">
        <v>40003</v>
      </c>
      <c r="G4233" s="5">
        <v>40049</v>
      </c>
      <c r="H4233" s="4" t="s">
        <v>40</v>
      </c>
      <c r="I4233" s="6">
        <v>10000</v>
      </c>
      <c r="J4233" s="6">
        <v>10000</v>
      </c>
      <c r="K4233" s="37" t="s">
        <v>6720</v>
      </c>
      <c r="L4233" s="119"/>
      <c r="M4233" s="3"/>
    </row>
    <row r="4234" spans="1:13" s="4" customFormat="1" ht="14.25" customHeight="1" x14ac:dyDescent="0.25">
      <c r="A4234" s="4" t="s">
        <v>6926</v>
      </c>
      <c r="B4234" s="4" t="s">
        <v>50</v>
      </c>
      <c r="C4234" s="4" t="s">
        <v>14</v>
      </c>
      <c r="D4234" s="35">
        <v>5912</v>
      </c>
      <c r="E4234" s="4" t="s">
        <v>6927</v>
      </c>
      <c r="F4234" s="5">
        <v>39794</v>
      </c>
      <c r="G4234" s="5">
        <v>40077</v>
      </c>
      <c r="H4234" s="4" t="s">
        <v>40</v>
      </c>
      <c r="I4234" s="6">
        <v>26214</v>
      </c>
      <c r="J4234" s="6">
        <v>13107</v>
      </c>
      <c r="K4234" s="37" t="s">
        <v>6720</v>
      </c>
      <c r="L4234" s="119"/>
      <c r="M4234" s="3"/>
    </row>
    <row r="4235" spans="1:13" s="4" customFormat="1" ht="14.25" customHeight="1" x14ac:dyDescent="0.25">
      <c r="A4235" s="4" t="s">
        <v>6928</v>
      </c>
      <c r="B4235" s="4" t="s">
        <v>59</v>
      </c>
      <c r="C4235" s="4" t="s">
        <v>14</v>
      </c>
      <c r="D4235" s="35">
        <v>5917</v>
      </c>
      <c r="E4235" s="4" t="s">
        <v>6929</v>
      </c>
      <c r="F4235" s="5">
        <v>40140</v>
      </c>
      <c r="G4235" s="5">
        <v>40543</v>
      </c>
      <c r="H4235" s="4" t="s">
        <v>40</v>
      </c>
      <c r="I4235" s="6">
        <v>37500</v>
      </c>
      <c r="J4235" s="6">
        <v>37500</v>
      </c>
      <c r="K4235" s="37" t="s">
        <v>6720</v>
      </c>
      <c r="L4235" s="119"/>
      <c r="M4235" s="3"/>
    </row>
    <row r="4236" spans="1:13" s="4" customFormat="1" ht="14.25" customHeight="1" x14ac:dyDescent="0.25">
      <c r="A4236" s="4" t="s">
        <v>6930</v>
      </c>
      <c r="B4236" s="4" t="s">
        <v>59</v>
      </c>
      <c r="C4236" s="4" t="s">
        <v>14</v>
      </c>
      <c r="D4236" s="35">
        <v>5918</v>
      </c>
      <c r="E4236" s="4" t="s">
        <v>6931</v>
      </c>
      <c r="F4236" s="5">
        <v>39979</v>
      </c>
      <c r="G4236" s="5">
        <v>40168</v>
      </c>
      <c r="H4236" s="4" t="s">
        <v>40</v>
      </c>
      <c r="I4236" s="6">
        <v>9000</v>
      </c>
      <c r="J4236" s="6">
        <v>9000</v>
      </c>
      <c r="K4236" s="37" t="s">
        <v>6720</v>
      </c>
      <c r="L4236" s="119"/>
      <c r="M4236" s="3"/>
    </row>
    <row r="4237" spans="1:13" s="4" customFormat="1" ht="14.25" customHeight="1" x14ac:dyDescent="0.25">
      <c r="A4237" s="4" t="s">
        <v>6932</v>
      </c>
      <c r="B4237" s="4" t="s">
        <v>90</v>
      </c>
      <c r="C4237" s="4" t="s">
        <v>14</v>
      </c>
      <c r="D4237" s="35">
        <v>5934</v>
      </c>
      <c r="E4237" s="4" t="s">
        <v>6933</v>
      </c>
      <c r="F4237" s="5">
        <v>40102</v>
      </c>
      <c r="G4237" s="5">
        <v>40125</v>
      </c>
      <c r="H4237" s="4" t="s">
        <v>40</v>
      </c>
      <c r="I4237" s="6">
        <v>10200</v>
      </c>
      <c r="J4237" s="6">
        <v>5100</v>
      </c>
      <c r="K4237" s="37" t="s">
        <v>6720</v>
      </c>
      <c r="L4237" s="119"/>
      <c r="M4237" s="3"/>
    </row>
    <row r="4238" spans="1:13" s="4" customFormat="1" ht="14.25" customHeight="1" x14ac:dyDescent="0.25">
      <c r="A4238" s="4" t="s">
        <v>6934</v>
      </c>
      <c r="B4238" s="4" t="s">
        <v>90</v>
      </c>
      <c r="C4238" s="4" t="s">
        <v>14</v>
      </c>
      <c r="D4238" s="35">
        <v>5935</v>
      </c>
      <c r="E4238" s="4" t="s">
        <v>6935</v>
      </c>
      <c r="F4238" s="5">
        <v>40129</v>
      </c>
      <c r="G4238" s="5">
        <v>40133</v>
      </c>
      <c r="H4238" s="4" t="s">
        <v>40</v>
      </c>
      <c r="I4238" s="6">
        <v>10200</v>
      </c>
      <c r="J4238" s="6">
        <v>5100</v>
      </c>
      <c r="K4238" s="37" t="s">
        <v>6720</v>
      </c>
      <c r="L4238" s="119"/>
      <c r="M4238" s="3"/>
    </row>
    <row r="4239" spans="1:13" s="4" customFormat="1" ht="14.25" customHeight="1" x14ac:dyDescent="0.25">
      <c r="A4239" s="4" t="s">
        <v>6936</v>
      </c>
      <c r="B4239" s="4" t="s">
        <v>59</v>
      </c>
      <c r="C4239" s="4" t="s">
        <v>14</v>
      </c>
      <c r="D4239" s="35">
        <v>5936</v>
      </c>
      <c r="E4239" s="4" t="s">
        <v>6937</v>
      </c>
      <c r="F4239" s="5">
        <v>39982</v>
      </c>
      <c r="G4239" s="5">
        <v>39995</v>
      </c>
      <c r="H4239" s="4" t="s">
        <v>40</v>
      </c>
      <c r="I4239" s="6">
        <v>5000</v>
      </c>
      <c r="J4239" s="6">
        <v>5000</v>
      </c>
      <c r="K4239" s="37" t="s">
        <v>6720</v>
      </c>
      <c r="L4239" s="119"/>
      <c r="M4239" s="3"/>
    </row>
    <row r="4240" spans="1:13" s="4" customFormat="1" ht="14.25" customHeight="1" x14ac:dyDescent="0.25">
      <c r="A4240" s="4" t="s">
        <v>6938</v>
      </c>
      <c r="B4240" s="4" t="s">
        <v>90</v>
      </c>
      <c r="C4240" s="4" t="s">
        <v>14</v>
      </c>
      <c r="D4240" s="35">
        <v>5939</v>
      </c>
      <c r="E4240" s="4" t="s">
        <v>6939</v>
      </c>
      <c r="F4240" s="5">
        <v>40057</v>
      </c>
      <c r="G4240" s="5">
        <v>40908</v>
      </c>
      <c r="H4240" s="4" t="s">
        <v>40</v>
      </c>
      <c r="I4240" s="6">
        <v>4958</v>
      </c>
      <c r="J4240" s="6">
        <v>2479</v>
      </c>
      <c r="K4240" s="37" t="s">
        <v>6720</v>
      </c>
      <c r="L4240" s="119"/>
      <c r="M4240" s="3"/>
    </row>
    <row r="4241" spans="1:13" s="4" customFormat="1" ht="14.25" customHeight="1" x14ac:dyDescent="0.25">
      <c r="A4241" s="4" t="s">
        <v>6940</v>
      </c>
      <c r="B4241" s="4" t="s">
        <v>90</v>
      </c>
      <c r="C4241" s="4" t="s">
        <v>14</v>
      </c>
      <c r="D4241" s="35">
        <v>5940</v>
      </c>
      <c r="E4241" s="4" t="s">
        <v>6941</v>
      </c>
      <c r="F4241" s="5">
        <v>40031</v>
      </c>
      <c r="G4241" s="5">
        <v>40098</v>
      </c>
      <c r="H4241" s="4" t="s">
        <v>40</v>
      </c>
      <c r="I4241" s="6">
        <v>1750</v>
      </c>
      <c r="J4241" s="6">
        <v>875</v>
      </c>
      <c r="K4241" s="37" t="s">
        <v>6720</v>
      </c>
      <c r="L4241" s="119"/>
      <c r="M4241" s="3"/>
    </row>
    <row r="4242" spans="1:13" s="4" customFormat="1" ht="14.25" customHeight="1" x14ac:dyDescent="0.25">
      <c r="A4242" s="4" t="s">
        <v>6942</v>
      </c>
      <c r="B4242" s="4" t="s">
        <v>90</v>
      </c>
      <c r="C4242" s="4" t="s">
        <v>14</v>
      </c>
      <c r="D4242" s="35">
        <v>5942</v>
      </c>
      <c r="E4242" s="4" t="s">
        <v>6943</v>
      </c>
      <c r="F4242" s="5">
        <v>40084</v>
      </c>
      <c r="G4242" s="5">
        <v>40098</v>
      </c>
      <c r="H4242" s="4" t="s">
        <v>40</v>
      </c>
      <c r="I4242" s="6">
        <v>10200</v>
      </c>
      <c r="J4242" s="6">
        <v>5100</v>
      </c>
      <c r="K4242" s="37" t="s">
        <v>6720</v>
      </c>
      <c r="L4242" s="119"/>
      <c r="M4242" s="3"/>
    </row>
    <row r="4243" spans="1:13" s="4" customFormat="1" ht="14.25" customHeight="1" x14ac:dyDescent="0.25">
      <c r="A4243" s="4" t="s">
        <v>6942</v>
      </c>
      <c r="B4243" s="4" t="s">
        <v>90</v>
      </c>
      <c r="C4243" s="4" t="s">
        <v>14</v>
      </c>
      <c r="D4243" s="35">
        <v>5944</v>
      </c>
      <c r="E4243" s="4" t="s">
        <v>6944</v>
      </c>
      <c r="F4243" s="5">
        <v>40057</v>
      </c>
      <c r="G4243" s="5">
        <v>40071</v>
      </c>
      <c r="H4243" s="4" t="s">
        <v>40</v>
      </c>
      <c r="I4243" s="6">
        <v>9930</v>
      </c>
      <c r="J4243" s="6">
        <v>4965</v>
      </c>
      <c r="K4243" s="37" t="s">
        <v>6720</v>
      </c>
      <c r="L4243" s="119"/>
      <c r="M4243" s="3"/>
    </row>
    <row r="4244" spans="1:13" s="4" customFormat="1" ht="14.25" customHeight="1" x14ac:dyDescent="0.25">
      <c r="A4244" s="4" t="s">
        <v>6945</v>
      </c>
      <c r="B4244" s="4" t="s">
        <v>59</v>
      </c>
      <c r="C4244" s="4" t="s">
        <v>14</v>
      </c>
      <c r="D4244" s="35">
        <v>5953</v>
      </c>
      <c r="E4244" s="4" t="s">
        <v>6946</v>
      </c>
      <c r="F4244" s="5">
        <v>40038</v>
      </c>
      <c r="G4244" s="5">
        <v>40077</v>
      </c>
      <c r="H4244" s="4" t="s">
        <v>40</v>
      </c>
      <c r="I4244" s="6">
        <v>1000</v>
      </c>
      <c r="J4244" s="6">
        <v>1000</v>
      </c>
      <c r="K4244" s="37" t="s">
        <v>6720</v>
      </c>
      <c r="L4244" s="119"/>
      <c r="M4244" s="3"/>
    </row>
    <row r="4245" spans="1:13" s="4" customFormat="1" ht="14.25" customHeight="1" x14ac:dyDescent="0.25">
      <c r="A4245" s="4" t="s">
        <v>6947</v>
      </c>
      <c r="B4245" s="4" t="s">
        <v>59</v>
      </c>
      <c r="C4245" s="4" t="s">
        <v>14</v>
      </c>
      <c r="D4245" s="35">
        <v>5956</v>
      </c>
      <c r="E4245" s="4" t="s">
        <v>6948</v>
      </c>
      <c r="F4245" s="5">
        <v>39996</v>
      </c>
      <c r="G4245" s="5">
        <v>40003</v>
      </c>
      <c r="H4245" s="4" t="s">
        <v>40</v>
      </c>
      <c r="I4245" s="6">
        <v>10000</v>
      </c>
      <c r="J4245" s="6">
        <v>10000</v>
      </c>
      <c r="K4245" s="37" t="s">
        <v>6720</v>
      </c>
      <c r="L4245" s="119"/>
      <c r="M4245" s="3"/>
    </row>
    <row r="4246" spans="1:13" s="4" customFormat="1" ht="14.25" customHeight="1" x14ac:dyDescent="0.25">
      <c r="A4246" s="4" t="s">
        <v>6949</v>
      </c>
      <c r="B4246" s="4" t="s">
        <v>59</v>
      </c>
      <c r="C4246" s="4" t="s">
        <v>14</v>
      </c>
      <c r="D4246" s="35">
        <v>7110</v>
      </c>
      <c r="E4246" s="4" t="s">
        <v>6950</v>
      </c>
      <c r="F4246" s="5">
        <v>40179</v>
      </c>
      <c r="G4246" s="5">
        <v>40543</v>
      </c>
      <c r="H4246" s="4" t="s">
        <v>40</v>
      </c>
      <c r="I4246" s="6">
        <v>5000</v>
      </c>
      <c r="J4246" s="6">
        <v>5000</v>
      </c>
      <c r="K4246" s="37" t="s">
        <v>6720</v>
      </c>
      <c r="L4246" s="119"/>
      <c r="M4246" s="3"/>
    </row>
    <row r="4247" spans="1:13" s="4" customFormat="1" ht="14.25" customHeight="1" x14ac:dyDescent="0.25">
      <c r="A4247" s="4" t="s">
        <v>6926</v>
      </c>
      <c r="B4247" s="4" t="s">
        <v>50</v>
      </c>
      <c r="C4247" s="4" t="s">
        <v>14</v>
      </c>
      <c r="D4247" s="35">
        <v>7114</v>
      </c>
      <c r="E4247" s="4" t="s">
        <v>6927</v>
      </c>
      <c r="F4247" s="5">
        <v>39924</v>
      </c>
      <c r="G4247" s="5">
        <v>40289</v>
      </c>
      <c r="H4247" s="4" t="s">
        <v>40</v>
      </c>
      <c r="I4247" s="6">
        <v>2000</v>
      </c>
      <c r="J4247" s="6">
        <v>1000</v>
      </c>
      <c r="K4247" s="37" t="s">
        <v>6720</v>
      </c>
      <c r="L4247" s="119"/>
      <c r="M4247" s="3"/>
    </row>
    <row r="4248" spans="1:13" s="4" customFormat="1" ht="14.25" customHeight="1" x14ac:dyDescent="0.25">
      <c r="A4248" s="4" t="s">
        <v>6951</v>
      </c>
      <c r="B4248" s="4" t="s">
        <v>190</v>
      </c>
      <c r="C4248" s="4" t="s">
        <v>14</v>
      </c>
      <c r="D4248" s="35">
        <v>7115</v>
      </c>
      <c r="E4248" s="7" t="s">
        <v>6952</v>
      </c>
      <c r="F4248" s="5">
        <v>40179</v>
      </c>
      <c r="G4248" s="5">
        <v>40543</v>
      </c>
      <c r="H4248" s="4" t="s">
        <v>40</v>
      </c>
      <c r="I4248" s="6">
        <v>160000</v>
      </c>
      <c r="J4248" s="6">
        <v>80000</v>
      </c>
      <c r="K4248" s="37" t="s">
        <v>6720</v>
      </c>
      <c r="L4248" s="119"/>
      <c r="M4248" s="3"/>
    </row>
    <row r="4249" spans="1:13" s="4" customFormat="1" ht="14.25" customHeight="1" x14ac:dyDescent="0.25">
      <c r="A4249" s="4" t="s">
        <v>6953</v>
      </c>
      <c r="B4249" s="4" t="s">
        <v>190</v>
      </c>
      <c r="C4249" s="4" t="s">
        <v>14</v>
      </c>
      <c r="D4249" s="35">
        <v>7116</v>
      </c>
      <c r="E4249" s="7" t="s">
        <v>6954</v>
      </c>
      <c r="F4249" s="5">
        <v>40179</v>
      </c>
      <c r="H4249" s="4" t="s">
        <v>40</v>
      </c>
      <c r="I4249" s="6">
        <v>16000</v>
      </c>
      <c r="J4249" s="6">
        <f>11000+5000</f>
        <v>16000</v>
      </c>
      <c r="K4249" s="37" t="s">
        <v>6720</v>
      </c>
      <c r="L4249" s="119"/>
      <c r="M4249" s="3"/>
    </row>
    <row r="4250" spans="1:13" s="4" customFormat="1" ht="14.25" customHeight="1" x14ac:dyDescent="0.25">
      <c r="A4250" s="4" t="s">
        <v>6955</v>
      </c>
      <c r="B4250" s="4" t="s">
        <v>59</v>
      </c>
      <c r="C4250" s="4" t="s">
        <v>14</v>
      </c>
      <c r="D4250" s="35">
        <v>7117</v>
      </c>
      <c r="E4250" s="4" t="s">
        <v>6956</v>
      </c>
      <c r="F4250" s="5">
        <v>40107</v>
      </c>
      <c r="G4250" s="5">
        <v>40472</v>
      </c>
      <c r="H4250" s="4" t="s">
        <v>40</v>
      </c>
      <c r="I4250" s="6">
        <v>2000</v>
      </c>
      <c r="J4250" s="6">
        <v>2000</v>
      </c>
      <c r="K4250" s="37" t="s">
        <v>6720</v>
      </c>
      <c r="L4250" s="119"/>
      <c r="M4250" s="3"/>
    </row>
    <row r="4251" spans="1:13" s="4" customFormat="1" ht="14.25" customHeight="1" x14ac:dyDescent="0.25">
      <c r="A4251" s="4" t="s">
        <v>6957</v>
      </c>
      <c r="B4251" s="4" t="s">
        <v>183</v>
      </c>
      <c r="C4251" s="4" t="s">
        <v>14</v>
      </c>
      <c r="D4251" s="35">
        <v>7118</v>
      </c>
      <c r="E4251" s="4" t="s">
        <v>6958</v>
      </c>
      <c r="F4251" s="5">
        <v>40448</v>
      </c>
      <c r="H4251" s="4" t="s">
        <v>40</v>
      </c>
      <c r="I4251" s="6">
        <v>6250</v>
      </c>
      <c r="J4251" s="6">
        <v>6250</v>
      </c>
      <c r="K4251" s="37" t="s">
        <v>6720</v>
      </c>
      <c r="L4251" s="119"/>
      <c r="M4251" s="3"/>
    </row>
    <row r="4252" spans="1:13" s="4" customFormat="1" ht="14.25" customHeight="1" x14ac:dyDescent="0.25">
      <c r="A4252" s="4" t="s">
        <v>6959</v>
      </c>
      <c r="B4252" s="4" t="s">
        <v>90</v>
      </c>
      <c r="C4252" s="4" t="s">
        <v>14</v>
      </c>
      <c r="D4252" s="35">
        <v>7119</v>
      </c>
      <c r="E4252" s="4" t="s">
        <v>6960</v>
      </c>
      <c r="F4252" s="5">
        <v>40107</v>
      </c>
      <c r="G4252" s="5">
        <v>40472</v>
      </c>
      <c r="H4252" s="4" t="s">
        <v>40</v>
      </c>
      <c r="I4252" s="6">
        <v>4564</v>
      </c>
      <c r="J4252" s="6">
        <v>2282</v>
      </c>
      <c r="K4252" s="37" t="s">
        <v>6720</v>
      </c>
      <c r="L4252" s="119"/>
      <c r="M4252" s="3"/>
    </row>
    <row r="4253" spans="1:13" s="4" customFormat="1" ht="14.25" customHeight="1" x14ac:dyDescent="0.25">
      <c r="A4253" s="4" t="s">
        <v>6961</v>
      </c>
      <c r="B4253" s="4" t="s">
        <v>59</v>
      </c>
      <c r="C4253" s="4" t="s">
        <v>14</v>
      </c>
      <c r="D4253" s="35">
        <v>7120</v>
      </c>
      <c r="E4253" s="7" t="s">
        <v>6962</v>
      </c>
      <c r="F4253" s="5">
        <v>39867</v>
      </c>
      <c r="H4253" s="4" t="s">
        <v>40</v>
      </c>
      <c r="I4253" s="6">
        <v>11250</v>
      </c>
      <c r="J4253" s="6">
        <v>11250</v>
      </c>
      <c r="K4253" s="37" t="s">
        <v>6720</v>
      </c>
      <c r="L4253" s="119"/>
      <c r="M4253" s="3"/>
    </row>
    <row r="4254" spans="1:13" s="4" customFormat="1" ht="14.25" customHeight="1" x14ac:dyDescent="0.25">
      <c r="A4254" s="4" t="s">
        <v>6963</v>
      </c>
      <c r="B4254" s="4" t="s">
        <v>190</v>
      </c>
      <c r="C4254" s="4" t="s">
        <v>14</v>
      </c>
      <c r="D4254" s="35">
        <v>7121</v>
      </c>
      <c r="E4254" s="4" t="s">
        <v>6964</v>
      </c>
      <c r="F4254" s="5">
        <v>40448</v>
      </c>
      <c r="G4254" s="5">
        <v>40908</v>
      </c>
      <c r="H4254" s="4" t="s">
        <v>40</v>
      </c>
      <c r="I4254" s="6">
        <v>3750</v>
      </c>
      <c r="J4254" s="6">
        <v>3750</v>
      </c>
      <c r="K4254" s="37" t="s">
        <v>6720</v>
      </c>
      <c r="L4254" s="119"/>
      <c r="M4254" s="3"/>
    </row>
    <row r="4255" spans="1:13" s="4" customFormat="1" ht="14.25" customHeight="1" x14ac:dyDescent="0.25">
      <c r="A4255" s="4" t="s">
        <v>6965</v>
      </c>
      <c r="B4255" s="4" t="s">
        <v>90</v>
      </c>
      <c r="C4255" s="4" t="s">
        <v>14</v>
      </c>
      <c r="D4255" s="35">
        <v>7122</v>
      </c>
      <c r="E4255" s="4" t="s">
        <v>6966</v>
      </c>
      <c r="F4255" s="5">
        <v>40161</v>
      </c>
      <c r="H4255" s="4" t="s">
        <v>40</v>
      </c>
      <c r="I4255" s="6">
        <v>1310</v>
      </c>
      <c r="J4255" s="6">
        <v>655</v>
      </c>
      <c r="K4255" s="37" t="s">
        <v>6720</v>
      </c>
      <c r="L4255" s="119"/>
      <c r="M4255" s="3"/>
    </row>
    <row r="4256" spans="1:13" s="4" customFormat="1" ht="14.25" customHeight="1" x14ac:dyDescent="0.25">
      <c r="A4256" s="4" t="s">
        <v>6967</v>
      </c>
      <c r="B4256" s="4" t="s">
        <v>183</v>
      </c>
      <c r="C4256" s="4" t="s">
        <v>14</v>
      </c>
      <c r="D4256" s="35">
        <v>7123</v>
      </c>
      <c r="E4256" s="4" t="s">
        <v>6968</v>
      </c>
      <c r="F4256" s="5">
        <v>40448</v>
      </c>
      <c r="G4256" s="5">
        <v>40908</v>
      </c>
      <c r="H4256" s="4" t="s">
        <v>40</v>
      </c>
      <c r="I4256" s="6">
        <v>6000</v>
      </c>
      <c r="J4256" s="6">
        <v>6000</v>
      </c>
      <c r="K4256" s="37" t="s">
        <v>6720</v>
      </c>
      <c r="L4256" s="119"/>
      <c r="M4256" s="3"/>
    </row>
    <row r="4257" spans="1:13" s="4" customFormat="1" ht="14.25" customHeight="1" x14ac:dyDescent="0.25">
      <c r="A4257" s="4" t="s">
        <v>6969</v>
      </c>
      <c r="B4257" s="4" t="s">
        <v>90</v>
      </c>
      <c r="C4257" s="4" t="s">
        <v>14</v>
      </c>
      <c r="D4257" s="35">
        <v>7124</v>
      </c>
      <c r="E4257" s="4" t="s">
        <v>6970</v>
      </c>
      <c r="F4257" s="5">
        <v>40357</v>
      </c>
      <c r="G4257" s="5">
        <v>40908</v>
      </c>
      <c r="H4257" s="4" t="s">
        <v>40</v>
      </c>
      <c r="I4257" s="6">
        <v>3470</v>
      </c>
      <c r="J4257" s="6">
        <v>1735</v>
      </c>
      <c r="K4257" s="37" t="s">
        <v>6720</v>
      </c>
      <c r="L4257" s="119"/>
      <c r="M4257" s="3"/>
    </row>
    <row r="4258" spans="1:13" s="4" customFormat="1" ht="14.25" customHeight="1" x14ac:dyDescent="0.25">
      <c r="A4258" s="4" t="s">
        <v>6971</v>
      </c>
      <c r="B4258" s="4" t="s">
        <v>59</v>
      </c>
      <c r="C4258" s="4" t="s">
        <v>14</v>
      </c>
      <c r="D4258" s="35">
        <v>7125</v>
      </c>
      <c r="E4258" s="4" t="s">
        <v>6972</v>
      </c>
      <c r="F4258" s="5">
        <v>40161</v>
      </c>
      <c r="G4258" s="5">
        <v>40526</v>
      </c>
      <c r="H4258" s="4" t="s">
        <v>40</v>
      </c>
      <c r="I4258" s="6">
        <v>5000</v>
      </c>
      <c r="J4258" s="6">
        <v>5000</v>
      </c>
      <c r="K4258" s="37" t="s">
        <v>6720</v>
      </c>
      <c r="L4258" s="119"/>
      <c r="M4258" s="3"/>
    </row>
    <row r="4259" spans="1:13" s="4" customFormat="1" ht="14.25" customHeight="1" x14ac:dyDescent="0.25">
      <c r="A4259" s="4" t="s">
        <v>6973</v>
      </c>
      <c r="B4259" s="4" t="s">
        <v>59</v>
      </c>
      <c r="C4259" s="4" t="s">
        <v>14</v>
      </c>
      <c r="D4259" s="35">
        <v>7126</v>
      </c>
      <c r="E4259" s="4" t="s">
        <v>6974</v>
      </c>
      <c r="F4259" s="5">
        <v>39728</v>
      </c>
      <c r="G4259" s="5">
        <v>40093</v>
      </c>
      <c r="H4259" s="4" t="s">
        <v>40</v>
      </c>
      <c r="I4259" s="6">
        <v>1750</v>
      </c>
      <c r="J4259" s="6">
        <v>1750</v>
      </c>
      <c r="K4259" s="37" t="s">
        <v>6720</v>
      </c>
      <c r="L4259" s="119"/>
      <c r="M4259" s="3"/>
    </row>
    <row r="4260" spans="1:13" s="4" customFormat="1" ht="14.25" customHeight="1" x14ac:dyDescent="0.25">
      <c r="A4260" s="4" t="s">
        <v>6975</v>
      </c>
      <c r="B4260" s="4" t="s">
        <v>190</v>
      </c>
      <c r="C4260" s="4" t="s">
        <v>14</v>
      </c>
      <c r="D4260" s="35">
        <v>7127</v>
      </c>
      <c r="E4260" s="4" t="s">
        <v>6976</v>
      </c>
      <c r="F4260" s="5">
        <v>40231</v>
      </c>
      <c r="G4260" s="5">
        <v>40543</v>
      </c>
      <c r="H4260" s="4" t="s">
        <v>40</v>
      </c>
      <c r="I4260" s="6">
        <v>36000</v>
      </c>
      <c r="J4260" s="6">
        <v>36000</v>
      </c>
      <c r="K4260" s="37" t="s">
        <v>6720</v>
      </c>
      <c r="L4260" s="119"/>
      <c r="M4260" s="3"/>
    </row>
    <row r="4261" spans="1:13" s="4" customFormat="1" ht="14.25" customHeight="1" x14ac:dyDescent="0.25">
      <c r="A4261" s="4" t="s">
        <v>6977</v>
      </c>
      <c r="B4261" s="4" t="s">
        <v>50</v>
      </c>
      <c r="C4261" s="4" t="s">
        <v>14</v>
      </c>
      <c r="D4261" s="35">
        <v>7129</v>
      </c>
      <c r="E4261" s="4" t="s">
        <v>6978</v>
      </c>
      <c r="F4261" s="5">
        <v>40050</v>
      </c>
      <c r="G4261" s="5">
        <v>40543</v>
      </c>
      <c r="H4261" s="4" t="s">
        <v>40</v>
      </c>
      <c r="I4261" s="6">
        <v>3492</v>
      </c>
      <c r="J4261" s="6">
        <v>1746</v>
      </c>
      <c r="K4261" s="37" t="s">
        <v>6720</v>
      </c>
      <c r="L4261" s="119"/>
      <c r="M4261" s="3"/>
    </row>
    <row r="4262" spans="1:13" s="4" customFormat="1" ht="14.25" customHeight="1" x14ac:dyDescent="0.25">
      <c r="A4262" s="4" t="s">
        <v>6979</v>
      </c>
      <c r="B4262" s="4" t="s">
        <v>190</v>
      </c>
      <c r="C4262" s="4" t="s">
        <v>14</v>
      </c>
      <c r="D4262" s="35">
        <v>7130</v>
      </c>
      <c r="E4262" s="4" t="s">
        <v>6980</v>
      </c>
      <c r="F4262" s="5">
        <v>40357</v>
      </c>
      <c r="H4262" s="4" t="s">
        <v>40</v>
      </c>
      <c r="I4262" s="6">
        <v>36000</v>
      </c>
      <c r="J4262" s="6">
        <v>18000</v>
      </c>
      <c r="K4262" s="37" t="s">
        <v>6720</v>
      </c>
      <c r="L4262" s="119"/>
      <c r="M4262" s="3"/>
    </row>
    <row r="4263" spans="1:13" s="4" customFormat="1" ht="14.25" customHeight="1" x14ac:dyDescent="0.25">
      <c r="A4263" s="4" t="s">
        <v>6981</v>
      </c>
      <c r="B4263" s="4" t="s">
        <v>90</v>
      </c>
      <c r="C4263" s="4" t="s">
        <v>14</v>
      </c>
      <c r="D4263" s="35">
        <v>7131</v>
      </c>
      <c r="E4263" s="4" t="s">
        <v>6982</v>
      </c>
      <c r="F4263" s="5">
        <v>40231</v>
      </c>
      <c r="G4263" s="5">
        <v>40908</v>
      </c>
      <c r="H4263" s="4" t="s">
        <v>40</v>
      </c>
      <c r="I4263" s="6">
        <v>6313</v>
      </c>
      <c r="J4263" s="6">
        <v>3000</v>
      </c>
      <c r="K4263" s="37" t="s">
        <v>6720</v>
      </c>
      <c r="L4263" s="119"/>
      <c r="M4263" s="3"/>
    </row>
    <row r="4264" spans="1:13" s="4" customFormat="1" ht="14.25" customHeight="1" x14ac:dyDescent="0.25">
      <c r="A4264" s="4" t="s">
        <v>6983</v>
      </c>
      <c r="B4264" s="4" t="s">
        <v>59</v>
      </c>
      <c r="C4264" s="4" t="s">
        <v>14</v>
      </c>
      <c r="D4264" s="35">
        <v>7132</v>
      </c>
      <c r="E4264" s="4" t="s">
        <v>6984</v>
      </c>
      <c r="F4264" s="5">
        <v>40161</v>
      </c>
      <c r="H4264" s="4" t="s">
        <v>40</v>
      </c>
      <c r="I4264" s="6">
        <v>12000</v>
      </c>
      <c r="J4264" s="6">
        <v>12000</v>
      </c>
      <c r="K4264" s="37" t="s">
        <v>6720</v>
      </c>
      <c r="L4264" s="119"/>
      <c r="M4264" s="3"/>
    </row>
    <row r="4265" spans="1:13" s="4" customFormat="1" ht="14.25" customHeight="1" x14ac:dyDescent="0.25">
      <c r="A4265" s="4" t="s">
        <v>6989</v>
      </c>
      <c r="B4265" s="4" t="s">
        <v>183</v>
      </c>
      <c r="C4265" s="4" t="s">
        <v>14</v>
      </c>
      <c r="D4265" s="35">
        <v>7135</v>
      </c>
      <c r="E4265" s="4" t="s">
        <v>6990</v>
      </c>
      <c r="F4265" s="5">
        <v>40448</v>
      </c>
      <c r="H4265" s="4" t="s">
        <v>40</v>
      </c>
      <c r="I4265" s="6">
        <v>24000</v>
      </c>
      <c r="J4265" s="6">
        <v>12000</v>
      </c>
      <c r="K4265" s="37" t="s">
        <v>6720</v>
      </c>
      <c r="L4265" s="119"/>
      <c r="M4265" s="3"/>
    </row>
    <row r="4266" spans="1:13" s="4" customFormat="1" ht="14.25" customHeight="1" x14ac:dyDescent="0.25">
      <c r="A4266" s="4" t="s">
        <v>6991</v>
      </c>
      <c r="B4266" s="4" t="s">
        <v>190</v>
      </c>
      <c r="C4266" s="4" t="s">
        <v>14</v>
      </c>
      <c r="D4266" s="35">
        <v>7136</v>
      </c>
      <c r="E4266" s="4" t="s">
        <v>6992</v>
      </c>
      <c r="F4266" s="5">
        <v>40504</v>
      </c>
      <c r="H4266" s="4" t="s">
        <v>40</v>
      </c>
      <c r="I4266" s="6">
        <v>13820</v>
      </c>
      <c r="J4266" s="6">
        <v>8410</v>
      </c>
      <c r="K4266" s="37" t="s">
        <v>6720</v>
      </c>
      <c r="L4266" s="119"/>
      <c r="M4266" s="3"/>
    </row>
    <row r="4267" spans="1:13" s="4" customFormat="1" ht="14.25" customHeight="1" x14ac:dyDescent="0.25">
      <c r="A4267" s="4" t="s">
        <v>6993</v>
      </c>
      <c r="B4267" s="4" t="s">
        <v>38</v>
      </c>
      <c r="C4267" s="4" t="s">
        <v>14</v>
      </c>
      <c r="D4267" s="35">
        <v>7473</v>
      </c>
      <c r="E4267" s="4" t="s">
        <v>6994</v>
      </c>
      <c r="F4267" s="5">
        <v>40179</v>
      </c>
      <c r="G4267" s="5">
        <v>40543</v>
      </c>
      <c r="H4267" s="4" t="s">
        <v>40</v>
      </c>
      <c r="I4267" s="6">
        <v>1534</v>
      </c>
      <c r="J4267" s="6">
        <v>1534</v>
      </c>
      <c r="K4267" s="37" t="s">
        <v>6720</v>
      </c>
      <c r="L4267" s="119"/>
      <c r="M4267" s="3"/>
    </row>
    <row r="4268" spans="1:13" s="4" customFormat="1" ht="14.25" customHeight="1" x14ac:dyDescent="0.25">
      <c r="A4268" s="4" t="s">
        <v>6995</v>
      </c>
      <c r="B4268" s="4" t="s">
        <v>38</v>
      </c>
      <c r="C4268" s="4" t="s">
        <v>14</v>
      </c>
      <c r="D4268" s="35">
        <v>7474</v>
      </c>
      <c r="E4268" s="4" t="s">
        <v>6996</v>
      </c>
      <c r="F4268" s="5">
        <v>40179</v>
      </c>
      <c r="G4268" s="5">
        <v>40543</v>
      </c>
      <c r="H4268" s="4" t="s">
        <v>40</v>
      </c>
      <c r="I4268" s="6">
        <v>1600</v>
      </c>
      <c r="J4268" s="6">
        <v>1600</v>
      </c>
      <c r="K4268" s="37" t="s">
        <v>6720</v>
      </c>
      <c r="L4268" s="119"/>
      <c r="M4268" s="3"/>
    </row>
    <row r="4269" spans="1:13" s="4" customFormat="1" ht="14.25" customHeight="1" x14ac:dyDescent="0.25">
      <c r="A4269" s="4" t="s">
        <v>6997</v>
      </c>
      <c r="B4269" s="4" t="s">
        <v>38</v>
      </c>
      <c r="C4269" s="4" t="s">
        <v>14</v>
      </c>
      <c r="D4269" s="35">
        <v>7475</v>
      </c>
      <c r="E4269" s="4" t="s">
        <v>6998</v>
      </c>
      <c r="F4269" s="5">
        <v>40179</v>
      </c>
      <c r="G4269" s="5">
        <v>40543</v>
      </c>
      <c r="H4269" s="4" t="s">
        <v>40</v>
      </c>
      <c r="I4269" s="6">
        <v>715</v>
      </c>
      <c r="J4269" s="6">
        <v>715</v>
      </c>
      <c r="K4269" s="37" t="s">
        <v>6720</v>
      </c>
      <c r="L4269" s="119"/>
      <c r="M4269" s="3"/>
    </row>
    <row r="4270" spans="1:13" s="4" customFormat="1" ht="14.25" customHeight="1" x14ac:dyDescent="0.25">
      <c r="A4270" s="4" t="s">
        <v>6999</v>
      </c>
      <c r="B4270" s="4" t="s">
        <v>38</v>
      </c>
      <c r="C4270" s="4" t="s">
        <v>14</v>
      </c>
      <c r="D4270" s="35">
        <v>7476</v>
      </c>
      <c r="E4270" s="4" t="s">
        <v>7000</v>
      </c>
      <c r="F4270" s="5">
        <v>40179</v>
      </c>
      <c r="G4270" s="5">
        <v>40543</v>
      </c>
      <c r="H4270" s="4" t="s">
        <v>40</v>
      </c>
      <c r="I4270" s="6">
        <v>340</v>
      </c>
      <c r="J4270" s="6">
        <v>340</v>
      </c>
      <c r="K4270" s="37" t="s">
        <v>6720</v>
      </c>
      <c r="L4270" s="119"/>
      <c r="M4270" s="3"/>
    </row>
    <row r="4271" spans="1:13" s="4" customFormat="1" ht="14.25" customHeight="1" x14ac:dyDescent="0.25">
      <c r="A4271" s="4" t="s">
        <v>7001</v>
      </c>
      <c r="B4271" s="4" t="s">
        <v>183</v>
      </c>
      <c r="C4271" s="4" t="s">
        <v>14</v>
      </c>
      <c r="D4271" s="35">
        <v>8916</v>
      </c>
      <c r="E4271" s="4" t="s">
        <v>7002</v>
      </c>
      <c r="F4271" s="5">
        <v>40504</v>
      </c>
      <c r="H4271" s="4" t="s">
        <v>40</v>
      </c>
      <c r="I4271" s="6">
        <v>10000</v>
      </c>
      <c r="J4271" s="6">
        <v>10000</v>
      </c>
      <c r="K4271" s="37" t="s">
        <v>6720</v>
      </c>
      <c r="L4271" s="119"/>
      <c r="M4271" s="3"/>
    </row>
    <row r="4272" spans="1:13" s="4" customFormat="1" ht="14.25" customHeight="1" x14ac:dyDescent="0.25">
      <c r="A4272" s="4" t="s">
        <v>7003</v>
      </c>
      <c r="B4272" s="4" t="s">
        <v>183</v>
      </c>
      <c r="C4272" s="4" t="s">
        <v>14</v>
      </c>
      <c r="D4272" s="35">
        <v>8917</v>
      </c>
      <c r="E4272" s="4" t="s">
        <v>7004</v>
      </c>
      <c r="F4272" s="5">
        <v>40601</v>
      </c>
      <c r="H4272" s="4" t="s">
        <v>40</v>
      </c>
      <c r="I4272" s="6">
        <v>30000</v>
      </c>
      <c r="J4272" s="6">
        <v>30000</v>
      </c>
      <c r="K4272" s="37" t="s">
        <v>6720</v>
      </c>
      <c r="L4272" s="119"/>
      <c r="M4272" s="3"/>
    </row>
    <row r="4273" spans="1:13" s="4" customFormat="1" ht="14.25" customHeight="1" x14ac:dyDescent="0.25">
      <c r="A4273" s="4" t="s">
        <v>7005</v>
      </c>
      <c r="B4273" s="4" t="s">
        <v>90</v>
      </c>
      <c r="C4273" s="4" t="s">
        <v>14</v>
      </c>
      <c r="D4273" s="35">
        <v>8918</v>
      </c>
      <c r="E4273" s="4" t="s">
        <v>7006</v>
      </c>
      <c r="F4273" s="5">
        <v>40231</v>
      </c>
      <c r="H4273" s="4" t="s">
        <v>40</v>
      </c>
      <c r="I4273" s="6">
        <v>5660</v>
      </c>
      <c r="J4273" s="6">
        <v>2830</v>
      </c>
      <c r="K4273" s="37" t="s">
        <v>6720</v>
      </c>
      <c r="L4273" s="119"/>
      <c r="M4273" s="3"/>
    </row>
    <row r="4274" spans="1:13" s="4" customFormat="1" ht="14.25" customHeight="1" x14ac:dyDescent="0.25">
      <c r="A4274" s="4" t="s">
        <v>7007</v>
      </c>
      <c r="B4274" s="4" t="s">
        <v>190</v>
      </c>
      <c r="C4274" s="4" t="s">
        <v>14</v>
      </c>
      <c r="D4274" s="35">
        <v>8919</v>
      </c>
      <c r="E4274" s="4" t="s">
        <v>7008</v>
      </c>
      <c r="F4274" s="5">
        <v>40630</v>
      </c>
      <c r="G4274" s="5">
        <v>40908</v>
      </c>
      <c r="H4274" s="4" t="s">
        <v>40</v>
      </c>
      <c r="I4274" s="6">
        <v>96500</v>
      </c>
      <c r="J4274" s="6">
        <v>48250</v>
      </c>
      <c r="K4274" s="37" t="s">
        <v>6720</v>
      </c>
      <c r="L4274" s="119"/>
      <c r="M4274" s="3"/>
    </row>
    <row r="4275" spans="1:13" s="4" customFormat="1" ht="14.25" customHeight="1" x14ac:dyDescent="0.25">
      <c r="A4275" s="4" t="s">
        <v>7009</v>
      </c>
      <c r="B4275" s="4" t="s">
        <v>190</v>
      </c>
      <c r="C4275" s="4" t="s">
        <v>14</v>
      </c>
      <c r="D4275" s="35">
        <v>8928</v>
      </c>
      <c r="E4275" s="4" t="s">
        <v>7010</v>
      </c>
      <c r="F4275" s="5">
        <v>40448</v>
      </c>
      <c r="H4275" s="4" t="s">
        <v>40</v>
      </c>
      <c r="I4275" s="6">
        <v>5000</v>
      </c>
      <c r="J4275" s="6">
        <v>5000</v>
      </c>
      <c r="K4275" s="37" t="s">
        <v>6720</v>
      </c>
      <c r="L4275" s="119"/>
      <c r="M4275" s="3"/>
    </row>
    <row r="4276" spans="1:13" s="4" customFormat="1" ht="14.25" customHeight="1" x14ac:dyDescent="0.25">
      <c r="A4276" s="4" t="s">
        <v>7011</v>
      </c>
      <c r="B4276" s="4" t="s">
        <v>183</v>
      </c>
      <c r="C4276" s="4" t="s">
        <v>14</v>
      </c>
      <c r="D4276" s="35">
        <v>8929</v>
      </c>
      <c r="E4276" s="4" t="s">
        <v>7012</v>
      </c>
      <c r="F4276" s="5">
        <v>40525</v>
      </c>
      <c r="H4276" s="4" t="s">
        <v>40</v>
      </c>
      <c r="I4276" s="6">
        <v>15000</v>
      </c>
      <c r="J4276" s="6">
        <v>15000</v>
      </c>
      <c r="K4276" s="37" t="s">
        <v>6720</v>
      </c>
      <c r="L4276" s="119"/>
      <c r="M4276" s="3"/>
    </row>
    <row r="4277" spans="1:13" s="4" customFormat="1" ht="14.25" customHeight="1" x14ac:dyDescent="0.25">
      <c r="A4277" s="4" t="s">
        <v>7013</v>
      </c>
      <c r="B4277" s="4" t="s">
        <v>183</v>
      </c>
      <c r="C4277" s="4" t="s">
        <v>14</v>
      </c>
      <c r="D4277" s="35">
        <v>8932</v>
      </c>
      <c r="E4277" s="4" t="s">
        <v>7014</v>
      </c>
      <c r="F4277" s="5">
        <v>40821</v>
      </c>
      <c r="H4277" s="4" t="s">
        <v>40</v>
      </c>
      <c r="I4277" s="6">
        <v>90000</v>
      </c>
      <c r="J4277" s="6">
        <v>50000</v>
      </c>
      <c r="K4277" s="37" t="s">
        <v>6720</v>
      </c>
      <c r="L4277" s="119"/>
      <c r="M4277" s="3"/>
    </row>
    <row r="4278" spans="1:13" s="4" customFormat="1" ht="14.25" customHeight="1" x14ac:dyDescent="0.25">
      <c r="A4278" s="4" t="s">
        <v>7015</v>
      </c>
      <c r="B4278" s="4" t="s">
        <v>183</v>
      </c>
      <c r="C4278" s="4" t="s">
        <v>14</v>
      </c>
      <c r="D4278" s="35">
        <v>8936</v>
      </c>
      <c r="E4278" s="4" t="s">
        <v>7016</v>
      </c>
      <c r="F4278" s="5">
        <v>40602</v>
      </c>
      <c r="H4278" s="4" t="s">
        <v>40</v>
      </c>
      <c r="I4278" s="6">
        <v>12586</v>
      </c>
      <c r="J4278" s="6">
        <v>8168</v>
      </c>
      <c r="K4278" s="37" t="s">
        <v>6720</v>
      </c>
      <c r="L4278" s="119"/>
      <c r="M4278" s="3"/>
    </row>
    <row r="4279" spans="1:13" s="4" customFormat="1" ht="14.25" customHeight="1" x14ac:dyDescent="0.25">
      <c r="A4279" s="4" t="s">
        <v>7017</v>
      </c>
      <c r="B4279" s="4" t="s">
        <v>183</v>
      </c>
      <c r="C4279" s="4" t="s">
        <v>14</v>
      </c>
      <c r="D4279" s="35">
        <v>8939</v>
      </c>
      <c r="E4279" s="4" t="s">
        <v>7018</v>
      </c>
      <c r="F4279" s="5">
        <v>40821</v>
      </c>
      <c r="H4279" s="4" t="s">
        <v>40</v>
      </c>
      <c r="I4279" s="6">
        <v>10000</v>
      </c>
      <c r="J4279" s="6">
        <v>10000</v>
      </c>
      <c r="K4279" s="37" t="s">
        <v>6720</v>
      </c>
      <c r="L4279" s="119"/>
      <c r="M4279" s="3"/>
    </row>
    <row r="4280" spans="1:13" s="4" customFormat="1" ht="14.25" customHeight="1" x14ac:dyDescent="0.25">
      <c r="A4280" s="4" t="s">
        <v>6967</v>
      </c>
      <c r="B4280" s="4" t="s">
        <v>183</v>
      </c>
      <c r="C4280" s="4" t="s">
        <v>14</v>
      </c>
      <c r="D4280" s="35">
        <v>8941</v>
      </c>
      <c r="E4280" s="4" t="s">
        <v>7019</v>
      </c>
      <c r="F4280" s="5">
        <v>40602</v>
      </c>
      <c r="H4280" s="4" t="s">
        <v>40</v>
      </c>
      <c r="I4280" s="6">
        <v>4000</v>
      </c>
      <c r="J4280" s="6">
        <v>4000</v>
      </c>
      <c r="K4280" s="37" t="s">
        <v>6720</v>
      </c>
      <c r="L4280" s="119"/>
      <c r="M4280" s="3"/>
    </row>
    <row r="4281" spans="1:13" s="4" customFormat="1" ht="14.25" customHeight="1" x14ac:dyDescent="0.25">
      <c r="A4281" s="4" t="s">
        <v>7020</v>
      </c>
      <c r="B4281" s="4" t="s">
        <v>183</v>
      </c>
      <c r="C4281" s="4" t="s">
        <v>14</v>
      </c>
      <c r="D4281" s="35">
        <v>8942</v>
      </c>
      <c r="E4281" s="4" t="s">
        <v>7021</v>
      </c>
      <c r="F4281" s="5">
        <v>40601</v>
      </c>
      <c r="H4281" s="4" t="s">
        <v>40</v>
      </c>
      <c r="I4281" s="6">
        <v>10112</v>
      </c>
      <c r="J4281" s="6">
        <v>5056</v>
      </c>
      <c r="K4281" s="37" t="s">
        <v>6720</v>
      </c>
      <c r="L4281" s="119"/>
      <c r="M4281" s="3"/>
    </row>
    <row r="4282" spans="1:13" s="4" customFormat="1" ht="14.25" customHeight="1" x14ac:dyDescent="0.25">
      <c r="A4282" s="4" t="s">
        <v>7022</v>
      </c>
      <c r="B4282" s="4" t="s">
        <v>90</v>
      </c>
      <c r="C4282" s="4" t="s">
        <v>14</v>
      </c>
      <c r="D4282" s="35">
        <v>8943</v>
      </c>
      <c r="E4282" s="4" t="s">
        <v>7023</v>
      </c>
      <c r="F4282" s="5">
        <v>40357</v>
      </c>
      <c r="H4282" s="4" t="s">
        <v>40</v>
      </c>
      <c r="I4282" s="6">
        <v>14000</v>
      </c>
      <c r="J4282" s="6">
        <v>7000</v>
      </c>
      <c r="K4282" s="37" t="s">
        <v>6720</v>
      </c>
      <c r="L4282" s="119"/>
      <c r="M4282" s="3"/>
    </row>
    <row r="4283" spans="1:13" s="4" customFormat="1" ht="14.25" customHeight="1" x14ac:dyDescent="0.25">
      <c r="A4283" s="4" t="s">
        <v>7024</v>
      </c>
      <c r="B4283" s="4" t="s">
        <v>90</v>
      </c>
      <c r="C4283" s="4" t="s">
        <v>14</v>
      </c>
      <c r="D4283" s="35">
        <v>8944</v>
      </c>
      <c r="E4283" s="4" t="s">
        <v>7025</v>
      </c>
      <c r="F4283" s="5">
        <v>40595</v>
      </c>
      <c r="H4283" s="4" t="s">
        <v>40</v>
      </c>
      <c r="I4283" s="6">
        <v>1144.83</v>
      </c>
      <c r="J4283" s="6">
        <v>332</v>
      </c>
      <c r="K4283" s="37" t="s">
        <v>6720</v>
      </c>
      <c r="L4283" s="119"/>
      <c r="M4283" s="3"/>
    </row>
    <row r="4284" spans="1:13" s="4" customFormat="1" ht="14.25" customHeight="1" x14ac:dyDescent="0.25">
      <c r="A4284" s="4" t="s">
        <v>7026</v>
      </c>
      <c r="B4284" s="4" t="s">
        <v>183</v>
      </c>
      <c r="C4284" s="4" t="s">
        <v>14</v>
      </c>
      <c r="D4284" s="35">
        <v>8945</v>
      </c>
      <c r="E4284" s="4" t="s">
        <v>7027</v>
      </c>
      <c r="F4284" s="5">
        <v>40449</v>
      </c>
      <c r="H4284" s="4" t="s">
        <v>40</v>
      </c>
      <c r="I4284" s="6">
        <v>7500</v>
      </c>
      <c r="J4284" s="6">
        <v>7500</v>
      </c>
      <c r="K4284" s="37" t="s">
        <v>6720</v>
      </c>
      <c r="L4284" s="119"/>
      <c r="M4284" s="3"/>
    </row>
    <row r="4285" spans="1:13" s="4" customFormat="1" ht="14.25" customHeight="1" x14ac:dyDescent="0.25">
      <c r="A4285" s="4" t="s">
        <v>7028</v>
      </c>
      <c r="B4285" s="4" t="s">
        <v>90</v>
      </c>
      <c r="C4285" s="4" t="s">
        <v>14</v>
      </c>
      <c r="D4285" s="35">
        <v>8946</v>
      </c>
      <c r="E4285" s="4" t="s">
        <v>7029</v>
      </c>
      <c r="F4285" s="5">
        <v>40601</v>
      </c>
      <c r="H4285" s="4" t="s">
        <v>40</v>
      </c>
      <c r="I4285" s="6">
        <v>12833.99</v>
      </c>
      <c r="J4285" s="6">
        <v>6417</v>
      </c>
      <c r="K4285" s="37" t="s">
        <v>6720</v>
      </c>
      <c r="L4285" s="119"/>
      <c r="M4285" s="3"/>
    </row>
    <row r="4286" spans="1:13" s="4" customFormat="1" ht="14.25" customHeight="1" x14ac:dyDescent="0.25">
      <c r="A4286" s="4" t="s">
        <v>7030</v>
      </c>
      <c r="B4286" s="4" t="s">
        <v>190</v>
      </c>
      <c r="C4286" s="4" t="s">
        <v>14</v>
      </c>
      <c r="D4286" s="35">
        <v>8949</v>
      </c>
      <c r="E4286" s="4" t="s">
        <v>7031</v>
      </c>
      <c r="F4286" s="5">
        <v>40527</v>
      </c>
      <c r="H4286" s="4" t="s">
        <v>40</v>
      </c>
      <c r="I4286" s="6">
        <v>50000</v>
      </c>
      <c r="J4286" s="6">
        <v>50000</v>
      </c>
      <c r="K4286" s="37" t="s">
        <v>6720</v>
      </c>
      <c r="L4286" s="119"/>
      <c r="M4286" s="3"/>
    </row>
    <row r="4287" spans="1:13" s="4" customFormat="1" ht="14.25" customHeight="1" x14ac:dyDescent="0.25">
      <c r="A4287" s="4" t="s">
        <v>7032</v>
      </c>
      <c r="B4287" s="4" t="s">
        <v>183</v>
      </c>
      <c r="C4287" s="4" t="s">
        <v>14</v>
      </c>
      <c r="D4287" s="35">
        <v>8952</v>
      </c>
      <c r="E4287" s="4" t="s">
        <v>7033</v>
      </c>
      <c r="F4287" s="5">
        <v>40525</v>
      </c>
      <c r="H4287" s="4" t="s">
        <v>40</v>
      </c>
      <c r="I4287" s="6">
        <v>20427.77</v>
      </c>
      <c r="J4287" s="6">
        <v>5924</v>
      </c>
      <c r="K4287" s="37" t="s">
        <v>6720</v>
      </c>
      <c r="L4287" s="119"/>
      <c r="M4287" s="3"/>
    </row>
    <row r="4288" spans="1:13" s="4" customFormat="1" ht="14.25" customHeight="1" x14ac:dyDescent="0.25">
      <c r="A4288" s="4" t="s">
        <v>7034</v>
      </c>
      <c r="B4288" s="4" t="s">
        <v>183</v>
      </c>
      <c r="C4288" s="4" t="s">
        <v>14</v>
      </c>
      <c r="D4288" s="35">
        <v>8954</v>
      </c>
      <c r="E4288" s="4" t="s">
        <v>7035</v>
      </c>
      <c r="F4288" s="5">
        <v>40602</v>
      </c>
      <c r="H4288" s="4" t="s">
        <v>40</v>
      </c>
      <c r="I4288" s="6">
        <v>15426</v>
      </c>
      <c r="J4288" s="6">
        <v>7713</v>
      </c>
      <c r="K4288" s="37" t="s">
        <v>6720</v>
      </c>
      <c r="L4288" s="119"/>
      <c r="M4288" s="3"/>
    </row>
    <row r="4289" spans="1:13" s="4" customFormat="1" ht="14.25" customHeight="1" x14ac:dyDescent="0.25">
      <c r="A4289" s="4" t="s">
        <v>7036</v>
      </c>
      <c r="B4289" s="4" t="s">
        <v>183</v>
      </c>
      <c r="C4289" s="4" t="s">
        <v>14</v>
      </c>
      <c r="D4289" s="35">
        <v>8955</v>
      </c>
      <c r="E4289" s="4" t="s">
        <v>7037</v>
      </c>
      <c r="F4289" s="5">
        <v>40602</v>
      </c>
      <c r="H4289" s="4" t="s">
        <v>40</v>
      </c>
      <c r="I4289" s="6">
        <v>7000</v>
      </c>
      <c r="J4289" s="6">
        <v>7000</v>
      </c>
      <c r="K4289" s="37" t="s">
        <v>6720</v>
      </c>
      <c r="L4289" s="119"/>
      <c r="M4289" s="3"/>
    </row>
    <row r="4290" spans="1:13" s="4" customFormat="1" ht="14.25" customHeight="1" x14ac:dyDescent="0.25">
      <c r="A4290" s="4" t="s">
        <v>7038</v>
      </c>
      <c r="B4290" s="4" t="s">
        <v>183</v>
      </c>
      <c r="C4290" s="4" t="s">
        <v>14</v>
      </c>
      <c r="D4290" s="35">
        <v>8956</v>
      </c>
      <c r="E4290" s="4" t="s">
        <v>7039</v>
      </c>
      <c r="F4290" s="5">
        <v>40721</v>
      </c>
      <c r="H4290" s="4" t="s">
        <v>40</v>
      </c>
      <c r="I4290" s="6">
        <v>36000</v>
      </c>
      <c r="J4290" s="6">
        <v>36000</v>
      </c>
      <c r="K4290" s="37" t="s">
        <v>6720</v>
      </c>
      <c r="L4290" s="119"/>
      <c r="M4290" s="3"/>
    </row>
    <row r="4291" spans="1:13" s="4" customFormat="1" ht="14.25" customHeight="1" x14ac:dyDescent="0.25">
      <c r="A4291" s="4" t="s">
        <v>7040</v>
      </c>
      <c r="B4291" s="4" t="s">
        <v>183</v>
      </c>
      <c r="C4291" s="4" t="s">
        <v>14</v>
      </c>
      <c r="D4291" s="35">
        <v>8957</v>
      </c>
      <c r="E4291" s="4" t="s">
        <v>7041</v>
      </c>
      <c r="F4291" s="5">
        <v>40885</v>
      </c>
      <c r="H4291" s="4" t="s">
        <v>40</v>
      </c>
      <c r="I4291" s="6">
        <v>10000</v>
      </c>
      <c r="J4291" s="6">
        <v>10000</v>
      </c>
      <c r="K4291" s="37" t="s">
        <v>6720</v>
      </c>
      <c r="L4291" s="119"/>
      <c r="M4291" s="3"/>
    </row>
    <row r="4292" spans="1:13" s="4" customFormat="1" ht="14.25" customHeight="1" x14ac:dyDescent="0.25">
      <c r="A4292" s="4" t="s">
        <v>7042</v>
      </c>
      <c r="B4292" s="4" t="s">
        <v>183</v>
      </c>
      <c r="C4292" s="4" t="s">
        <v>14</v>
      </c>
      <c r="D4292" s="35">
        <v>8958</v>
      </c>
      <c r="E4292" s="4" t="s">
        <v>7043</v>
      </c>
      <c r="F4292" s="5">
        <v>40885</v>
      </c>
      <c r="H4292" s="4" t="s">
        <v>40</v>
      </c>
      <c r="I4292" s="6">
        <v>32004</v>
      </c>
      <c r="J4292" s="6">
        <f>4188+13064</f>
        <v>17252</v>
      </c>
      <c r="K4292" s="37" t="s">
        <v>6720</v>
      </c>
      <c r="L4292" s="119"/>
      <c r="M4292" s="3"/>
    </row>
    <row r="4293" spans="1:13" s="4" customFormat="1" ht="14.25" customHeight="1" x14ac:dyDescent="0.25">
      <c r="A4293" s="4" t="s">
        <v>7044</v>
      </c>
      <c r="B4293" s="4" t="s">
        <v>90</v>
      </c>
      <c r="C4293" s="4" t="s">
        <v>14</v>
      </c>
      <c r="D4293" s="35">
        <v>8959</v>
      </c>
      <c r="E4293" s="4" t="s">
        <v>7045</v>
      </c>
      <c r="F4293" s="5">
        <v>40721</v>
      </c>
      <c r="H4293" s="4" t="s">
        <v>40</v>
      </c>
      <c r="I4293" s="6">
        <v>3184</v>
      </c>
      <c r="J4293" s="6">
        <v>1592</v>
      </c>
      <c r="K4293" s="37" t="s">
        <v>6720</v>
      </c>
      <c r="L4293" s="119"/>
      <c r="M4293" s="3"/>
    </row>
    <row r="4294" spans="1:13" s="4" customFormat="1" ht="14.25" customHeight="1" x14ac:dyDescent="0.25">
      <c r="A4294" s="4" t="s">
        <v>7046</v>
      </c>
      <c r="B4294" s="4" t="s">
        <v>183</v>
      </c>
      <c r="C4294" s="4" t="s">
        <v>14</v>
      </c>
      <c r="D4294" s="35">
        <v>8961</v>
      </c>
      <c r="E4294" s="4" t="s">
        <v>7047</v>
      </c>
      <c r="F4294" s="5">
        <v>40841</v>
      </c>
      <c r="H4294" s="4" t="s">
        <v>40</v>
      </c>
      <c r="I4294" s="6">
        <v>25000</v>
      </c>
      <c r="J4294" s="6">
        <v>25000</v>
      </c>
      <c r="K4294" s="37" t="s">
        <v>6720</v>
      </c>
      <c r="L4294" s="119"/>
      <c r="M4294" s="3"/>
    </row>
    <row r="4295" spans="1:13" s="4" customFormat="1" ht="14.25" customHeight="1" x14ac:dyDescent="0.25">
      <c r="A4295" s="4" t="s">
        <v>7048</v>
      </c>
      <c r="B4295" s="4" t="s">
        <v>183</v>
      </c>
      <c r="C4295" s="4" t="s">
        <v>14</v>
      </c>
      <c r="D4295" s="35">
        <v>8962</v>
      </c>
      <c r="E4295" s="4" t="s">
        <v>7049</v>
      </c>
      <c r="F4295" s="5">
        <v>40504</v>
      </c>
      <c r="H4295" s="4" t="s">
        <v>40</v>
      </c>
      <c r="I4295" s="6">
        <v>7500</v>
      </c>
      <c r="J4295" s="6">
        <v>7500</v>
      </c>
      <c r="K4295" s="37" t="s">
        <v>6720</v>
      </c>
      <c r="L4295" s="119"/>
      <c r="M4295" s="3"/>
    </row>
    <row r="4296" spans="1:13" s="4" customFormat="1" ht="14.25" customHeight="1" x14ac:dyDescent="0.25">
      <c r="A4296" s="4" t="s">
        <v>7052</v>
      </c>
      <c r="B4296" s="4" t="s">
        <v>183</v>
      </c>
      <c r="C4296" s="4" t="s">
        <v>14</v>
      </c>
      <c r="D4296" s="35">
        <v>8964</v>
      </c>
      <c r="E4296" s="4" t="s">
        <v>7053</v>
      </c>
      <c r="F4296" s="5">
        <v>40504</v>
      </c>
      <c r="H4296" s="4" t="s">
        <v>40</v>
      </c>
      <c r="I4296" s="6">
        <f>10000-1250</f>
        <v>8750</v>
      </c>
      <c r="J4296" s="6">
        <f>10000-1250</f>
        <v>8750</v>
      </c>
      <c r="K4296" s="37" t="s">
        <v>6720</v>
      </c>
      <c r="L4296" s="119"/>
      <c r="M4296" s="3"/>
    </row>
    <row r="4297" spans="1:13" s="4" customFormat="1" ht="14.25" customHeight="1" x14ac:dyDescent="0.25">
      <c r="A4297" s="4" t="s">
        <v>7054</v>
      </c>
      <c r="B4297" s="4" t="s">
        <v>38</v>
      </c>
      <c r="C4297" s="4" t="s">
        <v>14</v>
      </c>
      <c r="D4297" s="35">
        <v>8988</v>
      </c>
      <c r="E4297" s="4" t="s">
        <v>7055</v>
      </c>
      <c r="F4297" s="5">
        <v>40544</v>
      </c>
      <c r="H4297" s="4" t="s">
        <v>40</v>
      </c>
      <c r="I4297" s="6">
        <v>1432.45</v>
      </c>
      <c r="J4297" s="6">
        <v>1432.45</v>
      </c>
      <c r="K4297" s="37" t="s">
        <v>6720</v>
      </c>
      <c r="L4297" s="119"/>
      <c r="M4297" s="3"/>
    </row>
    <row r="4298" spans="1:13" s="4" customFormat="1" ht="14.25" customHeight="1" x14ac:dyDescent="0.25">
      <c r="A4298" s="4" t="s">
        <v>7056</v>
      </c>
      <c r="B4298" s="4" t="s">
        <v>38</v>
      </c>
      <c r="C4298" s="4" t="s">
        <v>14</v>
      </c>
      <c r="D4298" s="35">
        <v>8993</v>
      </c>
      <c r="E4298" s="4" t="s">
        <v>7057</v>
      </c>
      <c r="F4298" s="5">
        <v>40544</v>
      </c>
      <c r="H4298" s="4" t="s">
        <v>40</v>
      </c>
      <c r="I4298" s="6">
        <v>300</v>
      </c>
      <c r="J4298" s="6">
        <v>300</v>
      </c>
      <c r="K4298" s="37" t="s">
        <v>6720</v>
      </c>
      <c r="L4298" s="119"/>
      <c r="M4298" s="3"/>
    </row>
    <row r="4299" spans="1:13" s="4" customFormat="1" ht="14.25" customHeight="1" x14ac:dyDescent="0.25">
      <c r="A4299" s="4" t="s">
        <v>7058</v>
      </c>
      <c r="B4299" s="4" t="s">
        <v>38</v>
      </c>
      <c r="C4299" s="4" t="s">
        <v>14</v>
      </c>
      <c r="D4299" s="35">
        <v>8996</v>
      </c>
      <c r="E4299" s="4" t="s">
        <v>7059</v>
      </c>
      <c r="F4299" s="5">
        <v>40544</v>
      </c>
      <c r="H4299" s="4" t="s">
        <v>40</v>
      </c>
      <c r="I4299" s="6">
        <v>1463.8</v>
      </c>
      <c r="J4299" s="6">
        <v>1463.8</v>
      </c>
      <c r="K4299" s="37" t="s">
        <v>6720</v>
      </c>
      <c r="L4299" s="119"/>
      <c r="M4299" s="3"/>
    </row>
    <row r="4300" spans="1:13" s="4" customFormat="1" ht="14.25" customHeight="1" x14ac:dyDescent="0.25">
      <c r="A4300" s="4" t="s">
        <v>7060</v>
      </c>
      <c r="B4300" s="4" t="s">
        <v>38</v>
      </c>
      <c r="C4300" s="4" t="s">
        <v>14</v>
      </c>
      <c r="D4300" s="35">
        <v>8998</v>
      </c>
      <c r="E4300" s="4" t="s">
        <v>7061</v>
      </c>
      <c r="F4300" s="5">
        <v>40544</v>
      </c>
      <c r="H4300" s="4" t="s">
        <v>40</v>
      </c>
      <c r="I4300" s="6">
        <v>88850</v>
      </c>
      <c r="J4300" s="6">
        <f>53750+35100</f>
        <v>88850</v>
      </c>
      <c r="K4300" s="37" t="s">
        <v>6720</v>
      </c>
      <c r="L4300" s="119"/>
      <c r="M4300" s="3"/>
    </row>
    <row r="4301" spans="1:13" s="4" customFormat="1" ht="14.25" customHeight="1" x14ac:dyDescent="0.25">
      <c r="A4301" s="4" t="s">
        <v>7062</v>
      </c>
      <c r="B4301" s="4" t="s">
        <v>38</v>
      </c>
      <c r="C4301" s="4" t="s">
        <v>14</v>
      </c>
      <c r="D4301" s="35">
        <v>9001</v>
      </c>
      <c r="E4301" s="4" t="s">
        <v>7063</v>
      </c>
      <c r="F4301" s="5">
        <v>40544</v>
      </c>
      <c r="H4301" s="4" t="s">
        <v>40</v>
      </c>
      <c r="I4301" s="6">
        <v>398</v>
      </c>
      <c r="J4301" s="6">
        <v>398</v>
      </c>
      <c r="K4301" s="37" t="s">
        <v>6720</v>
      </c>
      <c r="L4301" s="119"/>
      <c r="M4301" s="3"/>
    </row>
    <row r="4302" spans="1:13" s="4" customFormat="1" ht="14.25" customHeight="1" x14ac:dyDescent="0.25">
      <c r="A4302" s="4" t="s">
        <v>7064</v>
      </c>
      <c r="B4302" s="4" t="s">
        <v>90</v>
      </c>
      <c r="C4302" s="4" t="s">
        <v>14</v>
      </c>
      <c r="D4302" s="35">
        <v>9068</v>
      </c>
      <c r="E4302" s="4" t="s">
        <v>7065</v>
      </c>
      <c r="F4302" s="5">
        <v>40448</v>
      </c>
      <c r="H4302" s="4" t="s">
        <v>40</v>
      </c>
      <c r="I4302" s="6">
        <v>10000</v>
      </c>
      <c r="J4302" s="6">
        <v>5000</v>
      </c>
      <c r="K4302" s="37" t="s">
        <v>6720</v>
      </c>
      <c r="L4302" s="119"/>
      <c r="M4302" s="3"/>
    </row>
    <row r="4303" spans="1:13" s="4" customFormat="1" ht="14.25" customHeight="1" x14ac:dyDescent="0.25">
      <c r="A4303" s="4" t="s">
        <v>7066</v>
      </c>
      <c r="B4303" s="4" t="s">
        <v>38</v>
      </c>
      <c r="C4303" s="4" t="s">
        <v>14</v>
      </c>
      <c r="D4303" s="35">
        <v>9180</v>
      </c>
      <c r="E4303" s="4" t="s">
        <v>7067</v>
      </c>
      <c r="F4303" s="5">
        <v>40544</v>
      </c>
      <c r="H4303" s="4" t="s">
        <v>40</v>
      </c>
      <c r="I4303" s="6">
        <f>13600+29912.64+26672.62</f>
        <v>70185.259999999995</v>
      </c>
      <c r="J4303" s="6">
        <f>20136.31+14956.32</f>
        <v>35092.630000000005</v>
      </c>
      <c r="K4303" s="37" t="s">
        <v>6720</v>
      </c>
      <c r="L4303" s="119"/>
      <c r="M4303" s="3"/>
    </row>
    <row r="4304" spans="1:13" s="4" customFormat="1" ht="14.25" customHeight="1" x14ac:dyDescent="0.25">
      <c r="A4304" s="4" t="s">
        <v>7068</v>
      </c>
      <c r="B4304" s="4" t="s">
        <v>183</v>
      </c>
      <c r="C4304" s="4" t="s">
        <v>14</v>
      </c>
      <c r="D4304" s="35">
        <v>10881</v>
      </c>
      <c r="E4304" s="7" t="s">
        <v>7069</v>
      </c>
      <c r="F4304" s="5">
        <v>41148</v>
      </c>
      <c r="H4304" s="4" t="s">
        <v>40</v>
      </c>
      <c r="I4304" s="6">
        <v>20000</v>
      </c>
      <c r="J4304" s="6">
        <f>5000+15000</f>
        <v>20000</v>
      </c>
      <c r="K4304" s="37" t="s">
        <v>6720</v>
      </c>
      <c r="L4304" s="119"/>
      <c r="M4304" s="3"/>
    </row>
    <row r="4305" spans="1:13" s="4" customFormat="1" ht="14.25" customHeight="1" x14ac:dyDescent="0.25">
      <c r="A4305" s="4" t="s">
        <v>7070</v>
      </c>
      <c r="B4305" s="4" t="s">
        <v>183</v>
      </c>
      <c r="C4305" s="4" t="s">
        <v>14</v>
      </c>
      <c r="D4305" s="35">
        <v>10882</v>
      </c>
      <c r="E4305" s="7" t="s">
        <v>7071</v>
      </c>
      <c r="F4305" s="5">
        <v>41148</v>
      </c>
      <c r="H4305" s="4" t="s">
        <v>40</v>
      </c>
      <c r="I4305" s="6">
        <v>10000</v>
      </c>
      <c r="J4305" s="6">
        <v>10000</v>
      </c>
      <c r="K4305" s="37" t="s">
        <v>6720</v>
      </c>
      <c r="L4305" s="119"/>
      <c r="M4305" s="3"/>
    </row>
    <row r="4306" spans="1:13" s="4" customFormat="1" ht="14.25" customHeight="1" x14ac:dyDescent="0.25">
      <c r="A4306" s="4" t="s">
        <v>7074</v>
      </c>
      <c r="B4306" s="4" t="s">
        <v>190</v>
      </c>
      <c r="C4306" s="4" t="s">
        <v>14</v>
      </c>
      <c r="D4306" s="35">
        <v>10891</v>
      </c>
      <c r="E4306" s="4" t="s">
        <v>7075</v>
      </c>
      <c r="F4306" s="5">
        <v>40959</v>
      </c>
      <c r="H4306" s="4" t="s">
        <v>40</v>
      </c>
      <c r="I4306" s="6">
        <v>3000</v>
      </c>
      <c r="J4306" s="6">
        <v>3000</v>
      </c>
      <c r="K4306" s="37" t="s">
        <v>6720</v>
      </c>
      <c r="L4306" s="119"/>
      <c r="M4306" s="3"/>
    </row>
    <row r="4307" spans="1:13" s="4" customFormat="1" ht="14.25" customHeight="1" x14ac:dyDescent="0.25">
      <c r="A4307" s="4" t="s">
        <v>7076</v>
      </c>
      <c r="B4307" s="4" t="s">
        <v>183</v>
      </c>
      <c r="C4307" s="4" t="s">
        <v>14</v>
      </c>
      <c r="D4307" s="35">
        <v>10892</v>
      </c>
      <c r="E4307" s="4" t="s">
        <v>7077</v>
      </c>
      <c r="F4307" s="5">
        <v>40959</v>
      </c>
      <c r="H4307" s="4" t="s">
        <v>40</v>
      </c>
      <c r="I4307" s="6">
        <v>8000</v>
      </c>
      <c r="J4307" s="6">
        <v>8000</v>
      </c>
      <c r="K4307" s="37" t="s">
        <v>6720</v>
      </c>
      <c r="L4307" s="119"/>
      <c r="M4307" s="3"/>
    </row>
    <row r="4308" spans="1:13" s="4" customFormat="1" ht="14.25" customHeight="1" x14ac:dyDescent="0.25">
      <c r="A4308" s="4" t="s">
        <v>7078</v>
      </c>
      <c r="B4308" s="4" t="s">
        <v>183</v>
      </c>
      <c r="C4308" s="4" t="s">
        <v>14</v>
      </c>
      <c r="D4308" s="35">
        <v>10893</v>
      </c>
      <c r="E4308" s="4" t="s">
        <v>7079</v>
      </c>
      <c r="F4308" s="5">
        <v>41120</v>
      </c>
      <c r="H4308" s="4" t="s">
        <v>40</v>
      </c>
      <c r="I4308" s="6">
        <v>15000</v>
      </c>
      <c r="J4308" s="6">
        <v>15000</v>
      </c>
      <c r="K4308" s="37" t="s">
        <v>6720</v>
      </c>
      <c r="L4308" s="119"/>
      <c r="M4308" s="3"/>
    </row>
    <row r="4309" spans="1:13" s="4" customFormat="1" ht="14.25" customHeight="1" x14ac:dyDescent="0.25">
      <c r="A4309" s="4" t="s">
        <v>7080</v>
      </c>
      <c r="B4309" s="4" t="s">
        <v>90</v>
      </c>
      <c r="C4309" s="4" t="s">
        <v>14</v>
      </c>
      <c r="D4309" s="35">
        <v>10894</v>
      </c>
      <c r="E4309" s="4" t="s">
        <v>7081</v>
      </c>
      <c r="F4309" s="5">
        <v>41022</v>
      </c>
      <c r="H4309" s="4" t="s">
        <v>40</v>
      </c>
      <c r="I4309" s="6">
        <v>4686</v>
      </c>
      <c r="J4309" s="6">
        <v>2343</v>
      </c>
      <c r="K4309" s="37" t="s">
        <v>6720</v>
      </c>
      <c r="L4309" s="119"/>
      <c r="M4309" s="3"/>
    </row>
    <row r="4310" spans="1:13" s="4" customFormat="1" ht="14.25" customHeight="1" x14ac:dyDescent="0.25">
      <c r="A4310" s="4" t="s">
        <v>7082</v>
      </c>
      <c r="B4310" s="4" t="s">
        <v>90</v>
      </c>
      <c r="C4310" s="4" t="s">
        <v>14</v>
      </c>
      <c r="D4310" s="35">
        <v>10895</v>
      </c>
      <c r="E4310" s="4" t="s">
        <v>7083</v>
      </c>
      <c r="F4310" s="5">
        <v>41022</v>
      </c>
      <c r="H4310" s="4" t="s">
        <v>40</v>
      </c>
      <c r="I4310" s="6">
        <v>4114</v>
      </c>
      <c r="J4310" s="6">
        <v>2057</v>
      </c>
      <c r="K4310" s="37" t="s">
        <v>6720</v>
      </c>
      <c r="L4310" s="119"/>
      <c r="M4310" s="3"/>
    </row>
    <row r="4311" spans="1:13" s="4" customFormat="1" ht="14.25" customHeight="1" x14ac:dyDescent="0.25">
      <c r="A4311" s="4" t="s">
        <v>7030</v>
      </c>
      <c r="B4311" s="4" t="s">
        <v>190</v>
      </c>
      <c r="C4311" s="4" t="s">
        <v>14</v>
      </c>
      <c r="D4311" s="35">
        <v>10896</v>
      </c>
      <c r="E4311" s="4" t="s">
        <v>7084</v>
      </c>
      <c r="F4311" s="5">
        <v>41178</v>
      </c>
      <c r="H4311" s="4" t="s">
        <v>40</v>
      </c>
      <c r="I4311" s="6">
        <v>30000</v>
      </c>
      <c r="J4311" s="6">
        <v>15000</v>
      </c>
      <c r="K4311" s="37" t="s">
        <v>6720</v>
      </c>
      <c r="L4311" s="119"/>
      <c r="M4311" s="3"/>
    </row>
    <row r="4312" spans="1:13" s="4" customFormat="1" ht="14.25" customHeight="1" x14ac:dyDescent="0.25">
      <c r="A4312" s="4" t="s">
        <v>7085</v>
      </c>
      <c r="B4312" s="4" t="s">
        <v>190</v>
      </c>
      <c r="C4312" s="4" t="s">
        <v>14</v>
      </c>
      <c r="D4312" s="35">
        <v>10897</v>
      </c>
      <c r="E4312" s="7" t="s">
        <v>7086</v>
      </c>
      <c r="F4312" s="5">
        <v>41178</v>
      </c>
      <c r="H4312" s="4" t="s">
        <v>40</v>
      </c>
      <c r="I4312" s="6">
        <v>19117</v>
      </c>
      <c r="J4312" s="6">
        <v>6500</v>
      </c>
      <c r="K4312" s="37" t="s">
        <v>6720</v>
      </c>
      <c r="L4312" s="119"/>
      <c r="M4312" s="3"/>
    </row>
    <row r="4313" spans="1:13" s="4" customFormat="1" ht="14.25" customHeight="1" x14ac:dyDescent="0.25">
      <c r="A4313" s="4" t="s">
        <v>7087</v>
      </c>
      <c r="B4313" s="4" t="s">
        <v>183</v>
      </c>
      <c r="C4313" s="4" t="s">
        <v>14</v>
      </c>
      <c r="D4313" s="35">
        <v>10898</v>
      </c>
      <c r="E4313" s="4" t="s">
        <v>7088</v>
      </c>
      <c r="F4313" s="5">
        <v>41022</v>
      </c>
      <c r="H4313" s="4" t="s">
        <v>40</v>
      </c>
      <c r="I4313" s="6">
        <v>6598</v>
      </c>
      <c r="J4313" s="6">
        <v>3299</v>
      </c>
      <c r="K4313" s="37" t="s">
        <v>6720</v>
      </c>
      <c r="L4313" s="119"/>
      <c r="M4313" s="3"/>
    </row>
    <row r="4314" spans="1:13" s="4" customFormat="1" ht="14.25" customHeight="1" x14ac:dyDescent="0.25">
      <c r="A4314" s="4" t="s">
        <v>7089</v>
      </c>
      <c r="B4314" s="4" t="s">
        <v>38</v>
      </c>
      <c r="C4314" s="4" t="s">
        <v>14</v>
      </c>
      <c r="D4314" s="35">
        <v>10899</v>
      </c>
      <c r="E4314" s="4" t="s">
        <v>7090</v>
      </c>
      <c r="F4314" s="5">
        <v>40909</v>
      </c>
      <c r="H4314" s="4" t="s">
        <v>40</v>
      </c>
      <c r="I4314" s="6">
        <v>11335.63</v>
      </c>
      <c r="J4314" s="6">
        <f>738+10597.63</f>
        <v>11335.63</v>
      </c>
      <c r="K4314" s="37" t="s">
        <v>6720</v>
      </c>
      <c r="L4314" s="119"/>
      <c r="M4314" s="3"/>
    </row>
    <row r="4315" spans="1:13" s="4" customFormat="1" ht="14.25" customHeight="1" x14ac:dyDescent="0.25">
      <c r="A4315" s="4" t="s">
        <v>7091</v>
      </c>
      <c r="B4315" s="4" t="s">
        <v>38</v>
      </c>
      <c r="C4315" s="4" t="s">
        <v>14</v>
      </c>
      <c r="D4315" s="35">
        <v>10900</v>
      </c>
      <c r="E4315" s="4" t="s">
        <v>7092</v>
      </c>
      <c r="F4315" s="5">
        <v>40909</v>
      </c>
      <c r="H4315" s="4" t="s">
        <v>40</v>
      </c>
      <c r="I4315" s="6">
        <v>1058</v>
      </c>
      <c r="J4315" s="6">
        <f>798+260</f>
        <v>1058</v>
      </c>
      <c r="K4315" s="37" t="s">
        <v>6720</v>
      </c>
      <c r="L4315" s="119"/>
      <c r="M4315" s="3"/>
    </row>
    <row r="4316" spans="1:13" s="4" customFormat="1" ht="14.25" customHeight="1" x14ac:dyDescent="0.25">
      <c r="A4316" s="4" t="s">
        <v>7093</v>
      </c>
      <c r="B4316" s="4" t="s">
        <v>38</v>
      </c>
      <c r="C4316" s="4" t="s">
        <v>14</v>
      </c>
      <c r="D4316" s="35">
        <v>10901</v>
      </c>
      <c r="E4316" s="4" t="s">
        <v>7094</v>
      </c>
      <c r="F4316" s="5">
        <v>40909</v>
      </c>
      <c r="H4316" s="4" t="s">
        <v>40</v>
      </c>
      <c r="I4316" s="6">
        <v>730</v>
      </c>
      <c r="J4316" s="6">
        <v>730</v>
      </c>
      <c r="K4316" s="37" t="s">
        <v>6720</v>
      </c>
      <c r="L4316" s="119"/>
      <c r="M4316" s="3"/>
    </row>
    <row r="4317" spans="1:13" s="4" customFormat="1" ht="14.25" customHeight="1" x14ac:dyDescent="0.25">
      <c r="A4317" s="4" t="s">
        <v>7095</v>
      </c>
      <c r="B4317" s="4" t="s">
        <v>38</v>
      </c>
      <c r="C4317" s="4" t="s">
        <v>14</v>
      </c>
      <c r="D4317" s="35">
        <v>10902</v>
      </c>
      <c r="E4317" s="4" t="s">
        <v>7096</v>
      </c>
      <c r="F4317" s="5">
        <v>40909</v>
      </c>
      <c r="H4317" s="4" t="s">
        <v>40</v>
      </c>
      <c r="I4317" s="6">
        <v>540</v>
      </c>
      <c r="J4317" s="6">
        <v>540</v>
      </c>
      <c r="K4317" s="37" t="s">
        <v>6720</v>
      </c>
      <c r="L4317" s="119"/>
      <c r="M4317" s="3"/>
    </row>
    <row r="4318" spans="1:13" ht="14.25" customHeight="1" x14ac:dyDescent="0.25">
      <c r="A4318" s="13" t="s">
        <v>11021</v>
      </c>
      <c r="B4318" s="13" t="s">
        <v>10220</v>
      </c>
      <c r="C4318" s="13" t="s">
        <v>14</v>
      </c>
      <c r="D4318" s="19">
        <v>12374</v>
      </c>
      <c r="E4318" s="13" t="s">
        <v>11022</v>
      </c>
      <c r="F4318" s="14">
        <v>41323</v>
      </c>
      <c r="H4318" s="13" t="s">
        <v>651</v>
      </c>
      <c r="I4318" s="18">
        <v>6384</v>
      </c>
      <c r="J4318" s="18">
        <v>3192</v>
      </c>
      <c r="K4318" s="20" t="s">
        <v>6720</v>
      </c>
    </row>
    <row r="4319" spans="1:13" ht="14.25" customHeight="1" x14ac:dyDescent="0.25">
      <c r="A4319" s="13" t="s">
        <v>11023</v>
      </c>
      <c r="B4319" s="13" t="s">
        <v>10220</v>
      </c>
      <c r="C4319" s="13" t="s">
        <v>14</v>
      </c>
      <c r="D4319" s="19">
        <v>12376</v>
      </c>
      <c r="E4319" s="13" t="s">
        <v>11024</v>
      </c>
      <c r="F4319" s="14">
        <v>41323</v>
      </c>
      <c r="H4319" s="13" t="s">
        <v>651</v>
      </c>
      <c r="I4319" s="18">
        <v>10000</v>
      </c>
      <c r="J4319" s="18">
        <v>5000</v>
      </c>
      <c r="K4319" s="20" t="s">
        <v>6720</v>
      </c>
    </row>
    <row r="4320" spans="1:13" ht="14.25" customHeight="1" x14ac:dyDescent="0.25">
      <c r="A4320" s="13" t="s">
        <v>11025</v>
      </c>
      <c r="B4320" s="13" t="s">
        <v>10192</v>
      </c>
      <c r="C4320" s="13" t="s">
        <v>14</v>
      </c>
      <c r="D4320" s="19">
        <v>12377</v>
      </c>
      <c r="E4320" s="13" t="s">
        <v>11026</v>
      </c>
      <c r="F4320" s="14">
        <v>41568</v>
      </c>
      <c r="H4320" s="13" t="s">
        <v>651</v>
      </c>
      <c r="I4320" s="18">
        <v>5000</v>
      </c>
      <c r="J4320" s="18">
        <v>5000</v>
      </c>
      <c r="K4320" s="20" t="s">
        <v>6720</v>
      </c>
    </row>
    <row r="4321" spans="1:11" ht="14.25" customHeight="1" x14ac:dyDescent="0.25">
      <c r="A4321" s="13" t="s">
        <v>11027</v>
      </c>
      <c r="B4321" s="13" t="s">
        <v>10220</v>
      </c>
      <c r="C4321" s="13" t="s">
        <v>14</v>
      </c>
      <c r="D4321" s="19">
        <v>12379</v>
      </c>
      <c r="E4321" s="13" t="s">
        <v>11028</v>
      </c>
      <c r="F4321" s="14">
        <v>41208</v>
      </c>
      <c r="H4321" s="13" t="s">
        <v>651</v>
      </c>
      <c r="I4321" s="18">
        <v>7700</v>
      </c>
      <c r="J4321" s="18">
        <v>3850</v>
      </c>
      <c r="K4321" s="20" t="s">
        <v>6720</v>
      </c>
    </row>
    <row r="4322" spans="1:11" ht="14.25" customHeight="1" x14ac:dyDescent="0.25">
      <c r="A4322" s="13" t="s">
        <v>11030</v>
      </c>
      <c r="B4322" s="13" t="s">
        <v>10195</v>
      </c>
      <c r="C4322" s="13" t="s">
        <v>14</v>
      </c>
      <c r="D4322" s="19">
        <v>12381</v>
      </c>
      <c r="E4322" s="13" t="s">
        <v>11031</v>
      </c>
      <c r="F4322" s="14">
        <v>41323</v>
      </c>
      <c r="H4322" s="13" t="s">
        <v>651</v>
      </c>
      <c r="I4322" s="18">
        <v>10000</v>
      </c>
      <c r="J4322" s="18">
        <v>10000</v>
      </c>
      <c r="K4322" s="20" t="s">
        <v>6720</v>
      </c>
    </row>
    <row r="4323" spans="1:11" ht="14.25" customHeight="1" x14ac:dyDescent="0.25">
      <c r="A4323" s="13" t="s">
        <v>11032</v>
      </c>
      <c r="B4323" s="13" t="s">
        <v>10192</v>
      </c>
      <c r="C4323" s="13" t="s">
        <v>14</v>
      </c>
      <c r="D4323" s="19">
        <v>12382</v>
      </c>
      <c r="E4323" s="13" t="s">
        <v>11031</v>
      </c>
      <c r="F4323" s="14">
        <v>41618</v>
      </c>
      <c r="H4323" s="13" t="s">
        <v>651</v>
      </c>
      <c r="I4323" s="18">
        <v>10000</v>
      </c>
      <c r="J4323" s="18">
        <v>10000</v>
      </c>
      <c r="K4323" s="20" t="s">
        <v>6720</v>
      </c>
    </row>
    <row r="4324" spans="1:11" ht="14.25" customHeight="1" x14ac:dyDescent="0.25">
      <c r="A4324" s="13" t="s">
        <v>11033</v>
      </c>
      <c r="B4324" s="13" t="s">
        <v>10192</v>
      </c>
      <c r="C4324" s="13" t="s">
        <v>14</v>
      </c>
      <c r="D4324" s="19">
        <v>12383</v>
      </c>
      <c r="E4324" s="13" t="s">
        <v>11034</v>
      </c>
      <c r="F4324" s="14">
        <v>41323</v>
      </c>
      <c r="H4324" s="13" t="s">
        <v>651</v>
      </c>
      <c r="I4324" s="18">
        <v>20000</v>
      </c>
      <c r="J4324" s="18">
        <v>20000</v>
      </c>
      <c r="K4324" s="20" t="s">
        <v>6720</v>
      </c>
    </row>
    <row r="4325" spans="1:11" ht="14.25" customHeight="1" x14ac:dyDescent="0.25">
      <c r="A4325" s="13" t="s">
        <v>11035</v>
      </c>
      <c r="B4325" s="13" t="s">
        <v>10192</v>
      </c>
      <c r="C4325" s="13" t="s">
        <v>14</v>
      </c>
      <c r="D4325" s="19">
        <v>12384</v>
      </c>
      <c r="E4325" s="13" t="s">
        <v>11036</v>
      </c>
      <c r="F4325" s="14">
        <v>41393</v>
      </c>
      <c r="H4325" s="13" t="s">
        <v>651</v>
      </c>
      <c r="I4325" s="18">
        <v>20000</v>
      </c>
      <c r="J4325" s="18">
        <v>20000</v>
      </c>
      <c r="K4325" s="20" t="s">
        <v>6720</v>
      </c>
    </row>
    <row r="4326" spans="1:11" ht="14.25" customHeight="1" x14ac:dyDescent="0.25">
      <c r="A4326" s="13" t="s">
        <v>11039</v>
      </c>
      <c r="B4326" s="13" t="s">
        <v>10195</v>
      </c>
      <c r="C4326" s="13" t="s">
        <v>14</v>
      </c>
      <c r="D4326" s="19">
        <v>12443</v>
      </c>
      <c r="E4326" s="13" t="s">
        <v>11040</v>
      </c>
      <c r="F4326" s="14">
        <v>41323</v>
      </c>
      <c r="H4326" s="13" t="s">
        <v>651</v>
      </c>
      <c r="I4326" s="18">
        <v>10000</v>
      </c>
      <c r="J4326" s="18">
        <v>10000</v>
      </c>
      <c r="K4326" s="20" t="s">
        <v>6720</v>
      </c>
    </row>
    <row r="4327" spans="1:11" ht="14.25" customHeight="1" x14ac:dyDescent="0.25">
      <c r="A4327" s="13" t="s">
        <v>11041</v>
      </c>
      <c r="B4327" s="13" t="s">
        <v>10192</v>
      </c>
      <c r="C4327" s="13" t="s">
        <v>14</v>
      </c>
      <c r="D4327" s="19">
        <v>12444</v>
      </c>
      <c r="E4327" s="13" t="s">
        <v>11042</v>
      </c>
      <c r="F4327" s="14">
        <v>41275</v>
      </c>
      <c r="G4327" s="14">
        <v>41639</v>
      </c>
      <c r="H4327" s="13" t="s">
        <v>651</v>
      </c>
      <c r="I4327" s="18">
        <v>82924</v>
      </c>
      <c r="J4327" s="18">
        <v>41462</v>
      </c>
      <c r="K4327" s="20" t="s">
        <v>6720</v>
      </c>
    </row>
    <row r="4328" spans="1:11" ht="14.25" customHeight="1" x14ac:dyDescent="0.25">
      <c r="A4328" s="13" t="s">
        <v>11043</v>
      </c>
      <c r="B4328" s="13" t="s">
        <v>13</v>
      </c>
      <c r="C4328" s="13" t="s">
        <v>14</v>
      </c>
      <c r="D4328" s="19">
        <v>12445</v>
      </c>
      <c r="E4328" s="13" t="s">
        <v>11044</v>
      </c>
      <c r="F4328" s="14">
        <v>41323</v>
      </c>
      <c r="G4328" s="14">
        <v>41639</v>
      </c>
      <c r="H4328" s="13" t="s">
        <v>651</v>
      </c>
      <c r="I4328" s="18">
        <v>45000</v>
      </c>
      <c r="J4328" s="18">
        <v>45000</v>
      </c>
      <c r="K4328" s="20" t="s">
        <v>6720</v>
      </c>
    </row>
    <row r="4329" spans="1:11" ht="14.25" customHeight="1" x14ac:dyDescent="0.25">
      <c r="A4329" s="13" t="s">
        <v>11045</v>
      </c>
      <c r="B4329" s="13" t="s">
        <v>10192</v>
      </c>
      <c r="C4329" s="13" t="s">
        <v>14</v>
      </c>
      <c r="D4329" s="19">
        <v>12446</v>
      </c>
      <c r="E4329" s="13" t="s">
        <v>11046</v>
      </c>
      <c r="F4329" s="14">
        <v>41275</v>
      </c>
      <c r="H4329" s="13" t="s">
        <v>651</v>
      </c>
      <c r="I4329" s="18">
        <v>10000</v>
      </c>
      <c r="J4329" s="18">
        <v>10000</v>
      </c>
      <c r="K4329" s="20" t="s">
        <v>6720</v>
      </c>
    </row>
    <row r="4330" spans="1:11" ht="14.25" customHeight="1" x14ac:dyDescent="0.25">
      <c r="A4330" s="13" t="s">
        <v>11047</v>
      </c>
      <c r="B4330" s="13" t="s">
        <v>10220</v>
      </c>
      <c r="C4330" s="13" t="s">
        <v>14</v>
      </c>
      <c r="D4330" s="19">
        <v>12447</v>
      </c>
      <c r="E4330" s="13" t="s">
        <v>11048</v>
      </c>
      <c r="F4330" s="14">
        <v>41275</v>
      </c>
      <c r="G4330" s="14">
        <v>41639</v>
      </c>
      <c r="H4330" s="13" t="s">
        <v>651</v>
      </c>
      <c r="I4330" s="18">
        <v>10718</v>
      </c>
      <c r="J4330" s="18">
        <v>5359</v>
      </c>
      <c r="K4330" s="20" t="s">
        <v>6720</v>
      </c>
    </row>
    <row r="4331" spans="1:11" ht="14.25" customHeight="1" x14ac:dyDescent="0.25">
      <c r="A4331" s="13" t="s">
        <v>11049</v>
      </c>
      <c r="B4331" s="13" t="s">
        <v>10220</v>
      </c>
      <c r="C4331" s="13" t="s">
        <v>14</v>
      </c>
      <c r="D4331" s="19">
        <v>12448</v>
      </c>
      <c r="E4331" s="13" t="s">
        <v>11050</v>
      </c>
      <c r="F4331" s="14">
        <v>41275</v>
      </c>
      <c r="G4331" s="14">
        <v>41639</v>
      </c>
      <c r="H4331" s="13" t="s">
        <v>651</v>
      </c>
      <c r="I4331" s="18">
        <v>1720</v>
      </c>
      <c r="J4331" s="18">
        <v>860</v>
      </c>
      <c r="K4331" s="20" t="s">
        <v>6720</v>
      </c>
    </row>
    <row r="4332" spans="1:11" ht="14.25" customHeight="1" x14ac:dyDescent="0.25">
      <c r="A4332" s="13" t="s">
        <v>11051</v>
      </c>
      <c r="B4332" s="13" t="s">
        <v>10192</v>
      </c>
      <c r="C4332" s="13" t="s">
        <v>14</v>
      </c>
      <c r="D4332" s="19">
        <v>12449</v>
      </c>
      <c r="E4332" s="13" t="s">
        <v>11052</v>
      </c>
      <c r="F4332" s="14">
        <v>41275</v>
      </c>
      <c r="H4332" s="13" t="s">
        <v>651</v>
      </c>
      <c r="I4332" s="18">
        <v>10000</v>
      </c>
      <c r="J4332" s="18">
        <v>10000</v>
      </c>
      <c r="K4332" s="20" t="s">
        <v>6720</v>
      </c>
    </row>
    <row r="4333" spans="1:11" ht="14.25" customHeight="1" x14ac:dyDescent="0.25">
      <c r="A4333" s="13" t="s">
        <v>11053</v>
      </c>
      <c r="B4333" s="13" t="s">
        <v>10195</v>
      </c>
      <c r="C4333" s="13" t="s">
        <v>14</v>
      </c>
      <c r="D4333" s="19">
        <v>12450</v>
      </c>
      <c r="E4333" s="13" t="s">
        <v>11054</v>
      </c>
      <c r="F4333" s="14">
        <v>41275</v>
      </c>
      <c r="G4333" s="14">
        <v>41639</v>
      </c>
      <c r="H4333" s="13" t="s">
        <v>651</v>
      </c>
      <c r="I4333" s="18">
        <v>1244</v>
      </c>
      <c r="J4333" s="18">
        <v>622</v>
      </c>
      <c r="K4333" s="20" t="s">
        <v>6720</v>
      </c>
    </row>
    <row r="4334" spans="1:11" ht="14.25" customHeight="1" x14ac:dyDescent="0.25">
      <c r="A4334" s="13" t="s">
        <v>11055</v>
      </c>
      <c r="B4334" s="13" t="s">
        <v>10195</v>
      </c>
      <c r="C4334" s="13" t="s">
        <v>14</v>
      </c>
      <c r="D4334" s="19">
        <v>12458</v>
      </c>
      <c r="E4334" s="13" t="s">
        <v>11056</v>
      </c>
      <c r="F4334" s="14">
        <v>41275</v>
      </c>
      <c r="G4334" s="14">
        <v>41639</v>
      </c>
      <c r="H4334" s="13" t="s">
        <v>651</v>
      </c>
      <c r="I4334" s="18">
        <v>38302</v>
      </c>
      <c r="J4334" s="18">
        <v>13023</v>
      </c>
      <c r="K4334" s="20" t="s">
        <v>6720</v>
      </c>
    </row>
    <row r="4335" spans="1:11" ht="14.25" customHeight="1" x14ac:dyDescent="0.25">
      <c r="A4335" s="13" t="s">
        <v>11057</v>
      </c>
      <c r="B4335" s="13" t="s">
        <v>10192</v>
      </c>
      <c r="C4335" s="13" t="s">
        <v>14</v>
      </c>
      <c r="D4335" s="19">
        <v>12466</v>
      </c>
      <c r="E4335" s="13" t="s">
        <v>11058</v>
      </c>
      <c r="F4335" s="14">
        <v>41275</v>
      </c>
      <c r="G4335" s="14">
        <v>41639</v>
      </c>
      <c r="H4335" s="13" t="s">
        <v>651</v>
      </c>
      <c r="I4335" s="18">
        <v>10000</v>
      </c>
      <c r="J4335" s="18">
        <v>10000</v>
      </c>
      <c r="K4335" s="20" t="s">
        <v>6720</v>
      </c>
    </row>
    <row r="4336" spans="1:11" ht="14.25" customHeight="1" x14ac:dyDescent="0.25">
      <c r="A4336" s="13" t="s">
        <v>11059</v>
      </c>
      <c r="B4336" s="13" t="s">
        <v>10220</v>
      </c>
      <c r="C4336" s="13" t="s">
        <v>14</v>
      </c>
      <c r="D4336" s="19">
        <v>12467</v>
      </c>
      <c r="E4336" s="13" t="s">
        <v>11060</v>
      </c>
      <c r="F4336" s="14">
        <v>41275</v>
      </c>
      <c r="G4336" s="14">
        <v>41639</v>
      </c>
      <c r="H4336" s="13" t="s">
        <v>651</v>
      </c>
      <c r="I4336" s="18">
        <v>2864</v>
      </c>
      <c r="J4336" s="18">
        <v>1432</v>
      </c>
      <c r="K4336" s="20" t="s">
        <v>6720</v>
      </c>
    </row>
    <row r="4337" spans="1:13" ht="14.25" customHeight="1" x14ac:dyDescent="0.25">
      <c r="A4337" s="13" t="s">
        <v>11061</v>
      </c>
      <c r="B4337" s="13" t="s">
        <v>10192</v>
      </c>
      <c r="C4337" s="13" t="s">
        <v>14</v>
      </c>
      <c r="D4337" s="19">
        <v>12468</v>
      </c>
      <c r="E4337" s="13" t="s">
        <v>11062</v>
      </c>
      <c r="F4337" s="14">
        <v>41275</v>
      </c>
      <c r="G4337" s="14">
        <v>41639</v>
      </c>
      <c r="H4337" s="13" t="s">
        <v>651</v>
      </c>
      <c r="I4337" s="18">
        <v>5000</v>
      </c>
      <c r="J4337" s="18">
        <v>5000</v>
      </c>
      <c r="K4337" s="20" t="s">
        <v>6720</v>
      </c>
    </row>
    <row r="4338" spans="1:13" ht="14.25" customHeight="1" x14ac:dyDescent="0.25">
      <c r="A4338" s="13" t="s">
        <v>11063</v>
      </c>
      <c r="B4338" s="13" t="s">
        <v>10192</v>
      </c>
      <c r="C4338" s="13" t="s">
        <v>14</v>
      </c>
      <c r="D4338" s="19">
        <v>12469</v>
      </c>
      <c r="E4338" s="13" t="s">
        <v>11064</v>
      </c>
      <c r="F4338" s="14">
        <v>41275</v>
      </c>
      <c r="G4338" s="14">
        <v>41639</v>
      </c>
      <c r="H4338" s="13" t="s">
        <v>651</v>
      </c>
      <c r="I4338" s="18">
        <v>2774</v>
      </c>
      <c r="J4338" s="18">
        <v>2774</v>
      </c>
      <c r="K4338" s="20" t="s">
        <v>6720</v>
      </c>
    </row>
    <row r="4339" spans="1:13" ht="14.25" customHeight="1" x14ac:dyDescent="0.25">
      <c r="A4339" s="13" t="s">
        <v>11065</v>
      </c>
      <c r="B4339" s="13" t="s">
        <v>10192</v>
      </c>
      <c r="C4339" s="13" t="s">
        <v>14</v>
      </c>
      <c r="D4339" s="19">
        <v>12470</v>
      </c>
      <c r="E4339" s="13" t="s">
        <v>11066</v>
      </c>
      <c r="F4339" s="14">
        <v>41275</v>
      </c>
      <c r="G4339" s="14">
        <v>41639</v>
      </c>
      <c r="H4339" s="13" t="s">
        <v>651</v>
      </c>
      <c r="I4339" s="18">
        <v>17928</v>
      </c>
      <c r="J4339" s="18">
        <v>9714</v>
      </c>
      <c r="K4339" s="20" t="s">
        <v>6720</v>
      </c>
    </row>
    <row r="4340" spans="1:13" ht="14.25" customHeight="1" x14ac:dyDescent="0.25">
      <c r="A4340" s="13" t="s">
        <v>11067</v>
      </c>
      <c r="B4340" s="13" t="s">
        <v>10192</v>
      </c>
      <c r="C4340" s="13" t="s">
        <v>14</v>
      </c>
      <c r="D4340" s="19">
        <v>12471</v>
      </c>
      <c r="E4340" s="13" t="s">
        <v>11068</v>
      </c>
      <c r="F4340" s="14">
        <v>41275</v>
      </c>
      <c r="G4340" s="14">
        <v>41639</v>
      </c>
      <c r="H4340" s="13" t="s">
        <v>651</v>
      </c>
      <c r="I4340" s="18">
        <v>10000</v>
      </c>
      <c r="J4340" s="18">
        <v>10000</v>
      </c>
      <c r="K4340" s="20" t="s">
        <v>6720</v>
      </c>
    </row>
    <row r="4341" spans="1:13" ht="14.25" customHeight="1" x14ac:dyDescent="0.25">
      <c r="A4341" s="13" t="s">
        <v>11069</v>
      </c>
      <c r="B4341" s="13" t="s">
        <v>38</v>
      </c>
      <c r="C4341" s="13" t="s">
        <v>14</v>
      </c>
      <c r="D4341" s="19">
        <v>12482</v>
      </c>
      <c r="E4341" s="13" t="s">
        <v>11070</v>
      </c>
      <c r="F4341" s="14">
        <v>41275</v>
      </c>
      <c r="H4341" s="13" t="s">
        <v>651</v>
      </c>
      <c r="I4341" s="18">
        <v>8594.73</v>
      </c>
      <c r="J4341" s="18">
        <v>8594.7199999999993</v>
      </c>
      <c r="K4341" s="20" t="s">
        <v>6720</v>
      </c>
    </row>
    <row r="4342" spans="1:13" ht="14.25" customHeight="1" x14ac:dyDescent="0.25">
      <c r="A4342" s="13" t="s">
        <v>11071</v>
      </c>
      <c r="B4342" s="13" t="s">
        <v>38</v>
      </c>
      <c r="C4342" s="13" t="s">
        <v>14</v>
      </c>
      <c r="D4342" s="19">
        <v>12483</v>
      </c>
      <c r="E4342" s="13" t="s">
        <v>11072</v>
      </c>
      <c r="F4342" s="14">
        <v>41275</v>
      </c>
      <c r="H4342" s="13" t="s">
        <v>651</v>
      </c>
      <c r="I4342" s="18">
        <v>210</v>
      </c>
      <c r="J4342" s="18">
        <v>210</v>
      </c>
      <c r="K4342" s="20" t="s">
        <v>6720</v>
      </c>
    </row>
    <row r="4343" spans="1:13" ht="14.25" customHeight="1" x14ac:dyDescent="0.25">
      <c r="A4343" s="13" t="s">
        <v>11073</v>
      </c>
      <c r="B4343" s="13" t="s">
        <v>38</v>
      </c>
      <c r="C4343" s="13" t="s">
        <v>14</v>
      </c>
      <c r="D4343" s="19">
        <v>12484</v>
      </c>
      <c r="E4343" s="13" t="s">
        <v>11074</v>
      </c>
      <c r="F4343" s="14">
        <v>41275</v>
      </c>
      <c r="H4343" s="13" t="s">
        <v>651</v>
      </c>
      <c r="I4343" s="18">
        <v>1410</v>
      </c>
      <c r="J4343" s="18">
        <v>1410</v>
      </c>
      <c r="K4343" s="20" t="s">
        <v>6720</v>
      </c>
    </row>
    <row r="4344" spans="1:13" ht="14.25" customHeight="1" x14ac:dyDescent="0.25">
      <c r="A4344" s="13" t="s">
        <v>11328</v>
      </c>
      <c r="B4344" s="13" t="s">
        <v>38</v>
      </c>
      <c r="C4344" s="13" t="s">
        <v>14</v>
      </c>
      <c r="D4344" s="19">
        <v>12485</v>
      </c>
      <c r="E4344" s="13" t="s">
        <v>11329</v>
      </c>
      <c r="F4344" s="14">
        <v>41275</v>
      </c>
      <c r="H4344" s="13" t="s">
        <v>651</v>
      </c>
      <c r="I4344" s="18">
        <v>390</v>
      </c>
      <c r="J4344" s="18">
        <v>390</v>
      </c>
      <c r="K4344" s="20" t="s">
        <v>6720</v>
      </c>
    </row>
    <row r="4345" spans="1:13" s="4" customFormat="1" ht="14.25" customHeight="1" x14ac:dyDescent="0.25">
      <c r="A4345" s="4" t="s">
        <v>7097</v>
      </c>
      <c r="B4345" s="4" t="s">
        <v>13</v>
      </c>
      <c r="C4345" s="4" t="s">
        <v>14</v>
      </c>
      <c r="D4345" s="35">
        <v>10191</v>
      </c>
      <c r="E4345" s="4" t="s">
        <v>7098</v>
      </c>
      <c r="F4345" s="5">
        <v>40059</v>
      </c>
      <c r="G4345" s="5">
        <v>40451</v>
      </c>
      <c r="H4345" s="4" t="s">
        <v>2027</v>
      </c>
      <c r="I4345" s="6">
        <v>9633</v>
      </c>
      <c r="J4345" s="6">
        <v>9633</v>
      </c>
      <c r="K4345" s="37" t="s">
        <v>6720</v>
      </c>
      <c r="L4345" s="119"/>
      <c r="M4345" s="3"/>
    </row>
    <row r="4346" spans="1:13" s="4" customFormat="1" ht="14.25" customHeight="1" x14ac:dyDescent="0.25">
      <c r="D4346" s="35"/>
      <c r="E4346" s="26" t="s">
        <v>351</v>
      </c>
      <c r="F4346" s="28"/>
      <c r="G4346" s="28"/>
      <c r="H4346" s="26"/>
      <c r="I4346" s="27">
        <f>SUM(I4131:I4141)</f>
        <v>322807.90999999992</v>
      </c>
      <c r="J4346" s="27">
        <f>SUM(J4131:J4141)</f>
        <v>90386.41</v>
      </c>
      <c r="K4346" s="37" t="s">
        <v>6720</v>
      </c>
      <c r="L4346" s="119"/>
      <c r="M4346" s="3"/>
    </row>
    <row r="4347" spans="1:13" s="4" customFormat="1" ht="14.25" customHeight="1" x14ac:dyDescent="0.25">
      <c r="D4347" s="35"/>
      <c r="E4347" s="26" t="s">
        <v>786</v>
      </c>
      <c r="F4347" s="28"/>
      <c r="G4347" s="28"/>
      <c r="H4347" s="26"/>
      <c r="I4347" s="27">
        <f>SUM(I4142:I4146)</f>
        <v>1111983.0799999998</v>
      </c>
      <c r="J4347" s="27">
        <f>SUM(J4142:J4146)</f>
        <v>315517.95999999996</v>
      </c>
      <c r="K4347" s="37" t="s">
        <v>6720</v>
      </c>
      <c r="L4347" s="119"/>
      <c r="M4347" s="3"/>
    </row>
    <row r="4348" spans="1:13" s="4" customFormat="1" ht="14.25" customHeight="1" x14ac:dyDescent="0.25">
      <c r="D4348" s="35"/>
      <c r="E4348" s="26" t="s">
        <v>352</v>
      </c>
      <c r="F4348" s="28"/>
      <c r="G4348" s="28"/>
      <c r="H4348" s="26"/>
      <c r="I4348" s="27">
        <f>SUM(I4147:I4344)</f>
        <v>4323863.03</v>
      </c>
      <c r="J4348" s="27">
        <f>SUM(J4147:J4344)</f>
        <v>3501004.87</v>
      </c>
      <c r="K4348" s="37" t="s">
        <v>6720</v>
      </c>
      <c r="L4348" s="119"/>
      <c r="M4348" s="3"/>
    </row>
    <row r="4349" spans="1:13" s="4" customFormat="1" ht="14.25" customHeight="1" x14ac:dyDescent="0.25">
      <c r="D4349" s="35"/>
      <c r="E4349" s="26" t="s">
        <v>2028</v>
      </c>
      <c r="F4349" s="28"/>
      <c r="G4349" s="28"/>
      <c r="H4349" s="26"/>
      <c r="I4349" s="27">
        <f>SUM(I4345)</f>
        <v>9633</v>
      </c>
      <c r="J4349" s="27">
        <f>SUM(J4345)</f>
        <v>9633</v>
      </c>
      <c r="K4349" s="37" t="s">
        <v>6720</v>
      </c>
      <c r="L4349" s="119"/>
      <c r="M4349" s="3"/>
    </row>
    <row r="4350" spans="1:13" s="4" customFormat="1" ht="14.25" customHeight="1" x14ac:dyDescent="0.25">
      <c r="D4350" s="35"/>
      <c r="E4350" s="26" t="s">
        <v>7099</v>
      </c>
      <c r="F4350" s="28"/>
      <c r="G4350" s="28"/>
      <c r="H4350" s="26"/>
      <c r="I4350" s="27">
        <f>SUM(I4346:I4349)</f>
        <v>5768287.0199999996</v>
      </c>
      <c r="J4350" s="27">
        <f>SUM(J4346:J4349)</f>
        <v>3916542.24</v>
      </c>
      <c r="K4350" s="37" t="s">
        <v>6720</v>
      </c>
      <c r="L4350" s="119"/>
      <c r="M4350" s="3"/>
    </row>
    <row r="4351" spans="1:13" s="4" customFormat="1" ht="14.25" customHeight="1" x14ac:dyDescent="0.25">
      <c r="D4351" s="35"/>
      <c r="F4351" s="5"/>
      <c r="G4351" s="5"/>
      <c r="I4351" s="6"/>
      <c r="J4351" s="6"/>
      <c r="K4351" s="37"/>
      <c r="L4351" s="119"/>
      <c r="M4351" s="3"/>
    </row>
    <row r="4352" spans="1:13" s="4" customFormat="1" ht="14.25" customHeight="1" x14ac:dyDescent="0.25">
      <c r="A4352" s="4" t="s">
        <v>7100</v>
      </c>
      <c r="B4352" s="4" t="s">
        <v>13</v>
      </c>
      <c r="C4352" s="4" t="s">
        <v>14</v>
      </c>
      <c r="D4352" s="35">
        <v>3882</v>
      </c>
      <c r="E4352" s="7" t="s">
        <v>7101</v>
      </c>
      <c r="F4352" s="5">
        <v>39415</v>
      </c>
      <c r="G4352" s="5">
        <v>39689</v>
      </c>
      <c r="H4352" s="4" t="s">
        <v>16</v>
      </c>
      <c r="I4352" s="6">
        <v>27515</v>
      </c>
      <c r="J4352" s="6">
        <v>8075</v>
      </c>
      <c r="K4352" s="37" t="s">
        <v>7102</v>
      </c>
      <c r="L4352" s="119"/>
      <c r="M4352" s="3"/>
    </row>
    <row r="4353" spans="1:13" s="4" customFormat="1" ht="14.25" customHeight="1" x14ac:dyDescent="0.25">
      <c r="A4353" s="4" t="s">
        <v>7103</v>
      </c>
      <c r="B4353" s="4" t="s">
        <v>13</v>
      </c>
      <c r="C4353" s="4" t="s">
        <v>14</v>
      </c>
      <c r="D4353" s="35">
        <v>3901</v>
      </c>
      <c r="E4353" s="4" t="s">
        <v>7104</v>
      </c>
      <c r="F4353" s="5">
        <v>39671</v>
      </c>
      <c r="G4353" s="5">
        <v>39962</v>
      </c>
      <c r="H4353" s="4" t="s">
        <v>16</v>
      </c>
      <c r="I4353" s="6">
        <v>22227</v>
      </c>
      <c r="J4353" s="6">
        <v>5213</v>
      </c>
      <c r="K4353" s="37" t="s">
        <v>7102</v>
      </c>
      <c r="L4353" s="119"/>
      <c r="M4353" s="3"/>
    </row>
    <row r="4354" spans="1:13" s="4" customFormat="1" ht="14.25" customHeight="1" x14ac:dyDescent="0.25">
      <c r="A4354" s="4" t="s">
        <v>7105</v>
      </c>
      <c r="B4354" s="4" t="s">
        <v>13</v>
      </c>
      <c r="C4354" s="4" t="s">
        <v>14</v>
      </c>
      <c r="D4354" s="35">
        <v>3913</v>
      </c>
      <c r="E4354" s="4" t="s">
        <v>7106</v>
      </c>
      <c r="F4354" s="5">
        <v>39759</v>
      </c>
      <c r="G4354" s="5">
        <v>39903</v>
      </c>
      <c r="H4354" s="4" t="s">
        <v>16</v>
      </c>
      <c r="I4354" s="6">
        <v>8520</v>
      </c>
      <c r="J4354" s="6">
        <v>2556</v>
      </c>
      <c r="K4354" s="37" t="s">
        <v>7102</v>
      </c>
      <c r="L4354" s="119"/>
      <c r="M4354" s="3"/>
    </row>
    <row r="4355" spans="1:13" s="4" customFormat="1" ht="14.25" customHeight="1" x14ac:dyDescent="0.25">
      <c r="A4355" s="4" t="s">
        <v>7107</v>
      </c>
      <c r="B4355" s="4" t="s">
        <v>13</v>
      </c>
      <c r="C4355" s="4" t="s">
        <v>14</v>
      </c>
      <c r="D4355" s="35">
        <v>3914</v>
      </c>
      <c r="E4355" s="7" t="s">
        <v>7108</v>
      </c>
      <c r="F4355" s="5">
        <v>39507</v>
      </c>
      <c r="G4355" s="5">
        <v>39962</v>
      </c>
      <c r="H4355" s="4" t="s">
        <v>16</v>
      </c>
      <c r="I4355" s="6">
        <v>41274</v>
      </c>
      <c r="J4355" s="6">
        <v>12382.2</v>
      </c>
      <c r="K4355" s="37" t="s">
        <v>7102</v>
      </c>
      <c r="L4355" s="119"/>
      <c r="M4355" s="3"/>
    </row>
    <row r="4356" spans="1:13" s="4" customFormat="1" ht="14.25" customHeight="1" x14ac:dyDescent="0.25">
      <c r="A4356" s="4" t="s">
        <v>7109</v>
      </c>
      <c r="B4356" s="4" t="s">
        <v>13</v>
      </c>
      <c r="C4356" s="4" t="s">
        <v>14</v>
      </c>
      <c r="D4356" s="35">
        <v>3915</v>
      </c>
      <c r="E4356" s="4" t="s">
        <v>7110</v>
      </c>
      <c r="F4356" s="5">
        <v>39783</v>
      </c>
      <c r="G4356" s="5">
        <v>39933</v>
      </c>
      <c r="H4356" s="4" t="s">
        <v>16</v>
      </c>
      <c r="I4356" s="6">
        <v>66851.7</v>
      </c>
      <c r="J4356" s="6">
        <v>20055.509999999998</v>
      </c>
      <c r="K4356" s="37" t="s">
        <v>7102</v>
      </c>
      <c r="L4356" s="119"/>
      <c r="M4356" s="3"/>
    </row>
    <row r="4357" spans="1:13" s="4" customFormat="1" ht="14.25" customHeight="1" x14ac:dyDescent="0.25">
      <c r="A4357" s="4" t="s">
        <v>7111</v>
      </c>
      <c r="B4357" s="4" t="s">
        <v>13</v>
      </c>
      <c r="C4357" s="4" t="s">
        <v>14</v>
      </c>
      <c r="D4357" s="35">
        <v>4123</v>
      </c>
      <c r="E4357" s="7" t="s">
        <v>7112</v>
      </c>
      <c r="F4357" s="5">
        <v>39580</v>
      </c>
      <c r="G4357" s="5">
        <v>39721</v>
      </c>
      <c r="H4357" s="4" t="s">
        <v>16</v>
      </c>
      <c r="I4357" s="6">
        <v>27520</v>
      </c>
      <c r="J4357" s="6">
        <v>11008</v>
      </c>
      <c r="K4357" s="37" t="s">
        <v>7102</v>
      </c>
      <c r="L4357" s="119"/>
      <c r="M4357" s="3"/>
    </row>
    <row r="4358" spans="1:13" s="4" customFormat="1" ht="14.25" customHeight="1" x14ac:dyDescent="0.25">
      <c r="A4358" s="4" t="s">
        <v>7113</v>
      </c>
      <c r="B4358" s="4" t="s">
        <v>13</v>
      </c>
      <c r="C4358" s="4" t="s">
        <v>14</v>
      </c>
      <c r="D4358" s="35">
        <v>9987</v>
      </c>
      <c r="E4358" s="4" t="s">
        <v>7114</v>
      </c>
      <c r="F4358" s="5">
        <v>40071</v>
      </c>
      <c r="G4358" s="5">
        <v>40364</v>
      </c>
      <c r="H4358" s="4" t="s">
        <v>16</v>
      </c>
      <c r="I4358" s="6">
        <v>18372.009999999998</v>
      </c>
      <c r="J4358" s="6">
        <v>5511.6</v>
      </c>
      <c r="K4358" s="37" t="s">
        <v>7102</v>
      </c>
      <c r="L4358" s="119"/>
      <c r="M4358" s="3"/>
    </row>
    <row r="4359" spans="1:13" s="4" customFormat="1" ht="14.25" customHeight="1" x14ac:dyDescent="0.25">
      <c r="A4359" s="4" t="s">
        <v>7115</v>
      </c>
      <c r="B4359" s="4" t="s">
        <v>13</v>
      </c>
      <c r="C4359" s="4" t="s">
        <v>14</v>
      </c>
      <c r="D4359" s="35">
        <v>10179</v>
      </c>
      <c r="E4359" s="4" t="s">
        <v>7116</v>
      </c>
      <c r="F4359" s="5">
        <v>40800</v>
      </c>
      <c r="G4359" s="5">
        <v>40897</v>
      </c>
      <c r="H4359" s="4" t="s">
        <v>392</v>
      </c>
      <c r="I4359" s="6">
        <v>140348</v>
      </c>
      <c r="J4359" s="6">
        <v>28070</v>
      </c>
      <c r="K4359" s="37" t="s">
        <v>7102</v>
      </c>
      <c r="L4359" s="119"/>
      <c r="M4359" s="3"/>
    </row>
    <row r="4360" spans="1:13" s="4" customFormat="1" ht="14.25" customHeight="1" x14ac:dyDescent="0.25">
      <c r="A4360" s="4" t="s">
        <v>7117</v>
      </c>
      <c r="B4360" s="4" t="s">
        <v>50</v>
      </c>
      <c r="C4360" s="4" t="s">
        <v>14</v>
      </c>
      <c r="D4360" s="35">
        <v>3160</v>
      </c>
      <c r="E4360" s="4" t="s">
        <v>7118</v>
      </c>
      <c r="F4360" s="5">
        <v>39189</v>
      </c>
      <c r="G4360" s="5">
        <v>39437</v>
      </c>
      <c r="H4360" s="4" t="s">
        <v>40</v>
      </c>
      <c r="I4360" s="6">
        <v>2937</v>
      </c>
      <c r="J4360" s="6">
        <v>1468</v>
      </c>
      <c r="K4360" s="37" t="s">
        <v>7102</v>
      </c>
      <c r="L4360" s="119"/>
      <c r="M4360" s="3"/>
    </row>
    <row r="4361" spans="1:13" s="4" customFormat="1" ht="14.25" customHeight="1" x14ac:dyDescent="0.25">
      <c r="A4361" s="4" t="s">
        <v>7119</v>
      </c>
      <c r="B4361" s="4" t="s">
        <v>59</v>
      </c>
      <c r="C4361" s="4" t="s">
        <v>14</v>
      </c>
      <c r="D4361" s="35">
        <v>3161</v>
      </c>
      <c r="E4361" s="4" t="s">
        <v>7120</v>
      </c>
      <c r="F4361" s="5">
        <v>39707</v>
      </c>
      <c r="G4361" s="5">
        <v>40009</v>
      </c>
      <c r="H4361" s="4" t="s">
        <v>40</v>
      </c>
      <c r="I4361" s="6">
        <v>7500</v>
      </c>
      <c r="J4361" s="6">
        <v>7500</v>
      </c>
      <c r="K4361" s="37" t="s">
        <v>7102</v>
      </c>
      <c r="L4361" s="119"/>
      <c r="M4361" s="3"/>
    </row>
    <row r="4362" spans="1:13" s="4" customFormat="1" ht="14.25" customHeight="1" x14ac:dyDescent="0.25">
      <c r="A4362" s="4" t="s">
        <v>7121</v>
      </c>
      <c r="B4362" s="4" t="s">
        <v>50</v>
      </c>
      <c r="C4362" s="4" t="s">
        <v>14</v>
      </c>
      <c r="D4362" s="35">
        <v>3162</v>
      </c>
      <c r="E4362" s="4" t="s">
        <v>7122</v>
      </c>
      <c r="F4362" s="5">
        <v>39129</v>
      </c>
      <c r="G4362" s="5">
        <v>39400</v>
      </c>
      <c r="H4362" s="4" t="s">
        <v>40</v>
      </c>
      <c r="I4362" s="6">
        <v>40000</v>
      </c>
      <c r="J4362" s="6">
        <v>20000</v>
      </c>
      <c r="K4362" s="37" t="s">
        <v>7102</v>
      </c>
      <c r="L4362" s="119"/>
      <c r="M4362" s="3"/>
    </row>
    <row r="4363" spans="1:13" s="4" customFormat="1" ht="14.25" customHeight="1" x14ac:dyDescent="0.25">
      <c r="A4363" s="4" t="s">
        <v>7123</v>
      </c>
      <c r="B4363" s="4" t="s">
        <v>50</v>
      </c>
      <c r="C4363" s="4" t="s">
        <v>14</v>
      </c>
      <c r="D4363" s="35">
        <v>3163</v>
      </c>
      <c r="E4363" s="4" t="s">
        <v>7124</v>
      </c>
      <c r="F4363" s="5">
        <v>39129</v>
      </c>
      <c r="G4363" s="5">
        <v>39437</v>
      </c>
      <c r="H4363" s="4" t="s">
        <v>40</v>
      </c>
      <c r="I4363" s="6">
        <v>13046</v>
      </c>
      <c r="J4363" s="6">
        <v>6523</v>
      </c>
      <c r="K4363" s="37" t="s">
        <v>7102</v>
      </c>
      <c r="L4363" s="119"/>
      <c r="M4363" s="3"/>
    </row>
    <row r="4364" spans="1:13" s="4" customFormat="1" ht="14.25" customHeight="1" x14ac:dyDescent="0.25">
      <c r="A4364" s="4" t="s">
        <v>7125</v>
      </c>
      <c r="B4364" s="4" t="s">
        <v>50</v>
      </c>
      <c r="C4364" s="4" t="s">
        <v>14</v>
      </c>
      <c r="D4364" s="35">
        <v>3166</v>
      </c>
      <c r="E4364" s="4" t="s">
        <v>7126</v>
      </c>
      <c r="F4364" s="5">
        <v>39130</v>
      </c>
      <c r="G4364" s="5">
        <v>39804</v>
      </c>
      <c r="H4364" s="4" t="s">
        <v>40</v>
      </c>
      <c r="I4364" s="6">
        <v>80000</v>
      </c>
      <c r="J4364" s="6">
        <v>40000</v>
      </c>
      <c r="K4364" s="37" t="s">
        <v>7102</v>
      </c>
      <c r="L4364" s="119"/>
      <c r="M4364" s="3"/>
    </row>
    <row r="4365" spans="1:13" s="4" customFormat="1" ht="14.25" customHeight="1" x14ac:dyDescent="0.25">
      <c r="A4365" s="4" t="s">
        <v>7127</v>
      </c>
      <c r="B4365" s="4" t="s">
        <v>90</v>
      </c>
      <c r="C4365" s="4" t="s">
        <v>14</v>
      </c>
      <c r="D4365" s="35">
        <v>3167</v>
      </c>
      <c r="E4365" s="4" t="s">
        <v>7128</v>
      </c>
      <c r="F4365" s="5">
        <v>39427</v>
      </c>
      <c r="G4365" s="5">
        <v>39555</v>
      </c>
      <c r="H4365" s="4" t="s">
        <v>40</v>
      </c>
      <c r="I4365" s="6">
        <v>10200</v>
      </c>
      <c r="J4365" s="6">
        <v>5100</v>
      </c>
      <c r="K4365" s="37" t="s">
        <v>7102</v>
      </c>
      <c r="L4365" s="119"/>
      <c r="M4365" s="3"/>
    </row>
    <row r="4366" spans="1:13" s="4" customFormat="1" ht="14.25" customHeight="1" x14ac:dyDescent="0.25">
      <c r="A4366" s="4" t="s">
        <v>7129</v>
      </c>
      <c r="B4366" s="4" t="s">
        <v>90</v>
      </c>
      <c r="C4366" s="4" t="s">
        <v>14</v>
      </c>
      <c r="D4366" s="35">
        <v>3169</v>
      </c>
      <c r="E4366" s="4" t="s">
        <v>7130</v>
      </c>
      <c r="F4366" s="5">
        <v>39549</v>
      </c>
      <c r="G4366" s="5">
        <v>39801</v>
      </c>
      <c r="H4366" s="4" t="s">
        <v>40</v>
      </c>
      <c r="I4366" s="6">
        <v>5350</v>
      </c>
      <c r="J4366" s="6">
        <v>2675</v>
      </c>
      <c r="K4366" s="37" t="s">
        <v>7102</v>
      </c>
      <c r="L4366" s="119"/>
      <c r="M4366" s="3"/>
    </row>
    <row r="4367" spans="1:13" s="4" customFormat="1" ht="14.25" customHeight="1" x14ac:dyDescent="0.25">
      <c r="A4367" s="4" t="s">
        <v>7131</v>
      </c>
      <c r="B4367" s="4" t="s">
        <v>59</v>
      </c>
      <c r="C4367" s="4" t="s">
        <v>14</v>
      </c>
      <c r="D4367" s="35">
        <v>3170</v>
      </c>
      <c r="E4367" s="4" t="s">
        <v>7132</v>
      </c>
      <c r="F4367" s="5">
        <v>39497</v>
      </c>
      <c r="G4367" s="5">
        <v>39801</v>
      </c>
      <c r="H4367" s="4" t="s">
        <v>40</v>
      </c>
      <c r="I4367" s="6">
        <v>6000</v>
      </c>
      <c r="J4367" s="6">
        <v>6000</v>
      </c>
      <c r="K4367" s="37" t="s">
        <v>7102</v>
      </c>
      <c r="L4367" s="119"/>
      <c r="M4367" s="3"/>
    </row>
    <row r="4368" spans="1:13" s="4" customFormat="1" ht="14.25" customHeight="1" x14ac:dyDescent="0.25">
      <c r="A4368" s="4" t="s">
        <v>7133</v>
      </c>
      <c r="B4368" s="4" t="s">
        <v>59</v>
      </c>
      <c r="C4368" s="4" t="s">
        <v>14</v>
      </c>
      <c r="D4368" s="35">
        <v>3172</v>
      </c>
      <c r="E4368" s="4" t="s">
        <v>7134</v>
      </c>
      <c r="F4368" s="5">
        <v>39497</v>
      </c>
      <c r="G4368" s="5">
        <v>39735</v>
      </c>
      <c r="H4368" s="4" t="s">
        <v>40</v>
      </c>
      <c r="I4368" s="6">
        <v>3000</v>
      </c>
      <c r="J4368" s="6">
        <v>3000</v>
      </c>
      <c r="K4368" s="37" t="s">
        <v>7102</v>
      </c>
      <c r="L4368" s="119"/>
      <c r="M4368" s="3"/>
    </row>
    <row r="4369" spans="1:13" s="4" customFormat="1" ht="14.25" customHeight="1" x14ac:dyDescent="0.25">
      <c r="A4369" s="4" t="s">
        <v>7135</v>
      </c>
      <c r="B4369" s="4" t="s">
        <v>50</v>
      </c>
      <c r="C4369" s="4" t="s">
        <v>14</v>
      </c>
      <c r="D4369" s="35">
        <v>3174</v>
      </c>
      <c r="E4369" s="4" t="s">
        <v>7136</v>
      </c>
      <c r="F4369" s="5">
        <v>39129</v>
      </c>
      <c r="G4369" s="5">
        <v>39226</v>
      </c>
      <c r="H4369" s="4" t="s">
        <v>40</v>
      </c>
      <c r="I4369" s="6">
        <v>14206</v>
      </c>
      <c r="J4369" s="6">
        <v>7103</v>
      </c>
      <c r="K4369" s="37" t="s">
        <v>7102</v>
      </c>
      <c r="L4369" s="119"/>
      <c r="M4369" s="3"/>
    </row>
    <row r="4370" spans="1:13" s="4" customFormat="1" ht="14.25" customHeight="1" x14ac:dyDescent="0.25">
      <c r="A4370" s="4" t="s">
        <v>7137</v>
      </c>
      <c r="B4370" s="4" t="s">
        <v>90</v>
      </c>
      <c r="C4370" s="4" t="s">
        <v>14</v>
      </c>
      <c r="D4370" s="35">
        <v>3178</v>
      </c>
      <c r="E4370" s="4" t="s">
        <v>7138</v>
      </c>
      <c r="F4370" s="5">
        <v>39343</v>
      </c>
      <c r="G4370" s="5">
        <v>39437</v>
      </c>
      <c r="H4370" s="4" t="s">
        <v>40</v>
      </c>
      <c r="I4370" s="6">
        <v>1000</v>
      </c>
      <c r="J4370" s="6">
        <v>500</v>
      </c>
      <c r="K4370" s="37" t="s">
        <v>7102</v>
      </c>
      <c r="L4370" s="119"/>
      <c r="M4370" s="3"/>
    </row>
    <row r="4371" spans="1:13" s="4" customFormat="1" ht="14.25" customHeight="1" x14ac:dyDescent="0.25">
      <c r="A4371" s="4" t="s">
        <v>7139</v>
      </c>
      <c r="B4371" s="4" t="s">
        <v>59</v>
      </c>
      <c r="C4371" s="4" t="s">
        <v>14</v>
      </c>
      <c r="D4371" s="35">
        <v>3180</v>
      </c>
      <c r="E4371" s="4" t="s">
        <v>7140</v>
      </c>
      <c r="F4371" s="5">
        <v>39189</v>
      </c>
      <c r="G4371" s="5">
        <v>39436</v>
      </c>
      <c r="H4371" s="4" t="s">
        <v>40</v>
      </c>
      <c r="I4371" s="6">
        <v>18750</v>
      </c>
      <c r="J4371" s="6">
        <v>18750</v>
      </c>
      <c r="K4371" s="37" t="s">
        <v>7102</v>
      </c>
      <c r="L4371" s="119"/>
      <c r="M4371" s="3"/>
    </row>
    <row r="4372" spans="1:13" s="4" customFormat="1" ht="14.25" customHeight="1" x14ac:dyDescent="0.25">
      <c r="A4372" s="4" t="s">
        <v>7141</v>
      </c>
      <c r="B4372" s="4" t="s">
        <v>50</v>
      </c>
      <c r="C4372" s="4" t="s">
        <v>14</v>
      </c>
      <c r="D4372" s="35">
        <v>3181</v>
      </c>
      <c r="E4372" s="4" t="s">
        <v>7142</v>
      </c>
      <c r="F4372" s="5">
        <v>39343</v>
      </c>
      <c r="G4372" s="5">
        <v>39575</v>
      </c>
      <c r="H4372" s="4" t="s">
        <v>40</v>
      </c>
      <c r="I4372" s="6">
        <v>34320</v>
      </c>
      <c r="J4372" s="6">
        <v>17160</v>
      </c>
      <c r="K4372" s="37" t="s">
        <v>7102</v>
      </c>
      <c r="L4372" s="119"/>
      <c r="M4372" s="3"/>
    </row>
    <row r="4373" spans="1:13" s="4" customFormat="1" ht="14.25" customHeight="1" x14ac:dyDescent="0.25">
      <c r="A4373" s="4" t="s">
        <v>7143</v>
      </c>
      <c r="B4373" s="4" t="s">
        <v>50</v>
      </c>
      <c r="C4373" s="4" t="s">
        <v>14</v>
      </c>
      <c r="D4373" s="35">
        <v>3183</v>
      </c>
      <c r="E4373" s="4" t="s">
        <v>7144</v>
      </c>
      <c r="F4373" s="5">
        <v>39252</v>
      </c>
      <c r="G4373" s="5">
        <v>39538</v>
      </c>
      <c r="H4373" s="4" t="s">
        <v>40</v>
      </c>
      <c r="I4373" s="6">
        <v>150000</v>
      </c>
      <c r="J4373" s="6">
        <v>75000</v>
      </c>
      <c r="K4373" s="37" t="s">
        <v>7102</v>
      </c>
      <c r="L4373" s="119"/>
      <c r="M4373" s="3"/>
    </row>
    <row r="4374" spans="1:13" s="4" customFormat="1" ht="14.25" customHeight="1" x14ac:dyDescent="0.25">
      <c r="A4374" s="4" t="s">
        <v>7145</v>
      </c>
      <c r="B4374" s="4" t="s">
        <v>59</v>
      </c>
      <c r="C4374" s="4" t="s">
        <v>14</v>
      </c>
      <c r="D4374" s="35">
        <v>3185</v>
      </c>
      <c r="E4374" s="4" t="s">
        <v>7146</v>
      </c>
      <c r="F4374" s="5">
        <v>39497</v>
      </c>
      <c r="G4374" s="5">
        <v>39801</v>
      </c>
      <c r="H4374" s="4" t="s">
        <v>40</v>
      </c>
      <c r="I4374" s="6">
        <v>4000</v>
      </c>
      <c r="J4374" s="6">
        <v>4000</v>
      </c>
      <c r="K4374" s="37" t="s">
        <v>7102</v>
      </c>
      <c r="L4374" s="119"/>
      <c r="M4374" s="3"/>
    </row>
    <row r="4375" spans="1:13" s="4" customFormat="1" ht="14.25" customHeight="1" x14ac:dyDescent="0.25">
      <c r="A4375" s="4" t="s">
        <v>7149</v>
      </c>
      <c r="B4375" s="4" t="s">
        <v>50</v>
      </c>
      <c r="C4375" s="4" t="s">
        <v>14</v>
      </c>
      <c r="D4375" s="35">
        <v>3189</v>
      </c>
      <c r="E4375" s="4" t="s">
        <v>7150</v>
      </c>
      <c r="F4375" s="5">
        <v>39129</v>
      </c>
      <c r="G4375" s="5">
        <v>39239</v>
      </c>
      <c r="H4375" s="4" t="s">
        <v>40</v>
      </c>
      <c r="I4375" s="6">
        <v>14000</v>
      </c>
      <c r="J4375" s="6">
        <v>7000</v>
      </c>
      <c r="K4375" s="37" t="s">
        <v>7102</v>
      </c>
      <c r="L4375" s="119"/>
      <c r="M4375" s="3"/>
    </row>
    <row r="4376" spans="1:13" s="4" customFormat="1" ht="14.25" customHeight="1" x14ac:dyDescent="0.25">
      <c r="A4376" s="4" t="s">
        <v>7151</v>
      </c>
      <c r="B4376" s="4" t="s">
        <v>38</v>
      </c>
      <c r="C4376" s="4" t="s">
        <v>14</v>
      </c>
      <c r="D4376" s="35">
        <v>3206</v>
      </c>
      <c r="E4376" s="4" t="s">
        <v>7152</v>
      </c>
      <c r="F4376" s="5">
        <v>39122</v>
      </c>
      <c r="G4376" s="5">
        <v>39447</v>
      </c>
      <c r="H4376" s="4" t="s">
        <v>40</v>
      </c>
      <c r="I4376" s="6">
        <v>9115.17</v>
      </c>
      <c r="J4376" s="6">
        <v>9115.17</v>
      </c>
      <c r="K4376" s="37" t="s">
        <v>7102</v>
      </c>
      <c r="L4376" s="119"/>
      <c r="M4376" s="3"/>
    </row>
    <row r="4377" spans="1:13" s="4" customFormat="1" ht="14.25" customHeight="1" x14ac:dyDescent="0.25">
      <c r="A4377" s="4" t="s">
        <v>7153</v>
      </c>
      <c r="B4377" s="4" t="s">
        <v>38</v>
      </c>
      <c r="C4377" s="4" t="s">
        <v>14</v>
      </c>
      <c r="D4377" s="35">
        <v>3207</v>
      </c>
      <c r="E4377" s="4" t="s">
        <v>7154</v>
      </c>
      <c r="F4377" s="5">
        <v>39129</v>
      </c>
      <c r="G4377" s="5">
        <v>39447</v>
      </c>
      <c r="H4377" s="4" t="s">
        <v>40</v>
      </c>
      <c r="I4377" s="6">
        <v>21955.19</v>
      </c>
      <c r="J4377" s="6">
        <v>21955.19</v>
      </c>
      <c r="K4377" s="37" t="s">
        <v>7102</v>
      </c>
      <c r="L4377" s="119"/>
      <c r="M4377" s="3"/>
    </row>
    <row r="4378" spans="1:13" s="4" customFormat="1" ht="14.25" customHeight="1" x14ac:dyDescent="0.25">
      <c r="A4378" s="4" t="s">
        <v>7155</v>
      </c>
      <c r="B4378" s="4" t="s">
        <v>38</v>
      </c>
      <c r="C4378" s="4" t="s">
        <v>14</v>
      </c>
      <c r="D4378" s="35">
        <v>3208</v>
      </c>
      <c r="E4378" s="4" t="s">
        <v>7156</v>
      </c>
      <c r="F4378" s="5">
        <v>39129</v>
      </c>
      <c r="G4378" s="5">
        <v>39447</v>
      </c>
      <c r="H4378" s="4" t="s">
        <v>40</v>
      </c>
      <c r="I4378" s="6">
        <v>17191.02</v>
      </c>
      <c r="J4378" s="6">
        <v>17191.02</v>
      </c>
      <c r="K4378" s="37" t="s">
        <v>7102</v>
      </c>
      <c r="L4378" s="119"/>
      <c r="M4378" s="3"/>
    </row>
    <row r="4379" spans="1:13" s="4" customFormat="1" ht="14.25" customHeight="1" x14ac:dyDescent="0.25">
      <c r="A4379" s="4" t="s">
        <v>7157</v>
      </c>
      <c r="B4379" s="4" t="s">
        <v>38</v>
      </c>
      <c r="C4379" s="4" t="s">
        <v>14</v>
      </c>
      <c r="D4379" s="35">
        <v>3209</v>
      </c>
      <c r="E4379" s="4" t="s">
        <v>7158</v>
      </c>
      <c r="F4379" s="5">
        <v>39129</v>
      </c>
      <c r="G4379" s="5">
        <v>39447</v>
      </c>
      <c r="H4379" s="4" t="s">
        <v>40</v>
      </c>
      <c r="I4379" s="6">
        <v>27843.41</v>
      </c>
      <c r="J4379" s="6">
        <v>27843.41</v>
      </c>
      <c r="K4379" s="37" t="s">
        <v>7102</v>
      </c>
      <c r="L4379" s="119"/>
      <c r="M4379" s="3"/>
    </row>
    <row r="4380" spans="1:13" s="4" customFormat="1" ht="14.25" customHeight="1" x14ac:dyDescent="0.25">
      <c r="A4380" s="4" t="s">
        <v>7159</v>
      </c>
      <c r="B4380" s="4" t="s">
        <v>38</v>
      </c>
      <c r="C4380" s="4" t="s">
        <v>14</v>
      </c>
      <c r="D4380" s="35">
        <v>3210</v>
      </c>
      <c r="E4380" s="4" t="s">
        <v>7160</v>
      </c>
      <c r="F4380" s="5">
        <v>39129</v>
      </c>
      <c r="G4380" s="5">
        <v>39447</v>
      </c>
      <c r="H4380" s="4" t="s">
        <v>40</v>
      </c>
      <c r="I4380" s="6">
        <v>3783</v>
      </c>
      <c r="J4380" s="6">
        <v>3783</v>
      </c>
      <c r="K4380" s="37" t="s">
        <v>7102</v>
      </c>
      <c r="L4380" s="119"/>
      <c r="M4380" s="3"/>
    </row>
    <row r="4381" spans="1:13" s="4" customFormat="1" ht="14.25" customHeight="1" x14ac:dyDescent="0.25">
      <c r="A4381" s="4" t="s">
        <v>7161</v>
      </c>
      <c r="B4381" s="4" t="s">
        <v>38</v>
      </c>
      <c r="C4381" s="4" t="s">
        <v>14</v>
      </c>
      <c r="D4381" s="35">
        <v>3211</v>
      </c>
      <c r="E4381" s="4" t="s">
        <v>7162</v>
      </c>
      <c r="F4381" s="5">
        <v>39129</v>
      </c>
      <c r="G4381" s="5">
        <v>39294</v>
      </c>
      <c r="H4381" s="4" t="s">
        <v>40</v>
      </c>
      <c r="I4381" s="6">
        <v>7600</v>
      </c>
      <c r="J4381" s="6">
        <v>7600</v>
      </c>
      <c r="K4381" s="37" t="s">
        <v>7102</v>
      </c>
      <c r="L4381" s="119"/>
      <c r="M4381" s="3"/>
    </row>
    <row r="4382" spans="1:13" s="4" customFormat="1" ht="14.25" customHeight="1" x14ac:dyDescent="0.25">
      <c r="A4382" s="4" t="s">
        <v>7163</v>
      </c>
      <c r="B4382" s="4" t="s">
        <v>38</v>
      </c>
      <c r="C4382" s="4" t="s">
        <v>14</v>
      </c>
      <c r="D4382" s="35">
        <v>3213</v>
      </c>
      <c r="E4382" s="4" t="s">
        <v>7164</v>
      </c>
      <c r="F4382" s="5">
        <v>39129</v>
      </c>
      <c r="G4382" s="5">
        <v>39447</v>
      </c>
      <c r="H4382" s="4" t="s">
        <v>40</v>
      </c>
      <c r="I4382" s="6">
        <v>27405.85</v>
      </c>
      <c r="J4382" s="6">
        <v>27405.85</v>
      </c>
      <c r="K4382" s="37" t="s">
        <v>7102</v>
      </c>
      <c r="L4382" s="119"/>
      <c r="M4382" s="3"/>
    </row>
    <row r="4383" spans="1:13" s="4" customFormat="1" ht="14.25" customHeight="1" x14ac:dyDescent="0.25">
      <c r="A4383" s="4" t="s">
        <v>7165</v>
      </c>
      <c r="B4383" s="4" t="s">
        <v>38</v>
      </c>
      <c r="C4383" s="4" t="s">
        <v>14</v>
      </c>
      <c r="D4383" s="35">
        <v>3214</v>
      </c>
      <c r="E4383" s="4" t="s">
        <v>7166</v>
      </c>
      <c r="F4383" s="5">
        <v>39129</v>
      </c>
      <c r="G4383" s="5">
        <v>39417</v>
      </c>
      <c r="H4383" s="4" t="s">
        <v>40</v>
      </c>
      <c r="I4383" s="6">
        <v>32845</v>
      </c>
      <c r="J4383" s="6">
        <v>32845</v>
      </c>
      <c r="K4383" s="37" t="s">
        <v>7102</v>
      </c>
      <c r="L4383" s="119"/>
      <c r="M4383" s="3"/>
    </row>
    <row r="4384" spans="1:13" s="4" customFormat="1" ht="14.25" customHeight="1" x14ac:dyDescent="0.25">
      <c r="A4384" s="4" t="s">
        <v>7167</v>
      </c>
      <c r="B4384" s="4" t="s">
        <v>38</v>
      </c>
      <c r="C4384" s="4" t="s">
        <v>14</v>
      </c>
      <c r="D4384" s="35">
        <v>3215</v>
      </c>
      <c r="E4384" s="4" t="s">
        <v>7168</v>
      </c>
      <c r="F4384" s="5">
        <v>39129</v>
      </c>
      <c r="G4384" s="5">
        <v>39447</v>
      </c>
      <c r="H4384" s="4" t="s">
        <v>40</v>
      </c>
      <c r="I4384" s="6">
        <v>5032</v>
      </c>
      <c r="J4384" s="6">
        <v>5032</v>
      </c>
      <c r="K4384" s="37" t="s">
        <v>7102</v>
      </c>
      <c r="L4384" s="119"/>
      <c r="M4384" s="3"/>
    </row>
    <row r="4385" spans="1:13" s="4" customFormat="1" ht="14.25" customHeight="1" x14ac:dyDescent="0.25">
      <c r="A4385" s="4" t="s">
        <v>7169</v>
      </c>
      <c r="B4385" s="4" t="s">
        <v>38</v>
      </c>
      <c r="C4385" s="4" t="s">
        <v>14</v>
      </c>
      <c r="D4385" s="35">
        <v>3216</v>
      </c>
      <c r="E4385" s="4" t="s">
        <v>7170</v>
      </c>
      <c r="F4385" s="5">
        <v>39129</v>
      </c>
      <c r="G4385" s="5">
        <v>39447</v>
      </c>
      <c r="H4385" s="4" t="s">
        <v>40</v>
      </c>
      <c r="I4385" s="6">
        <v>6876.51</v>
      </c>
      <c r="J4385" s="6">
        <v>6876.51</v>
      </c>
      <c r="K4385" s="37" t="s">
        <v>7102</v>
      </c>
      <c r="L4385" s="119"/>
      <c r="M4385" s="3"/>
    </row>
    <row r="4386" spans="1:13" s="4" customFormat="1" ht="14.25" customHeight="1" x14ac:dyDescent="0.25">
      <c r="A4386" s="4" t="s">
        <v>7171</v>
      </c>
      <c r="B4386" s="4" t="s">
        <v>38</v>
      </c>
      <c r="C4386" s="4" t="s">
        <v>14</v>
      </c>
      <c r="D4386" s="35">
        <v>3217</v>
      </c>
      <c r="E4386" s="4" t="s">
        <v>7172</v>
      </c>
      <c r="F4386" s="5">
        <v>39129</v>
      </c>
      <c r="G4386" s="5">
        <v>39447</v>
      </c>
      <c r="H4386" s="4" t="s">
        <v>40</v>
      </c>
      <c r="I4386" s="6">
        <v>3200</v>
      </c>
      <c r="J4386" s="6">
        <v>3200</v>
      </c>
      <c r="K4386" s="37" t="s">
        <v>7102</v>
      </c>
      <c r="L4386" s="119"/>
      <c r="M4386" s="3"/>
    </row>
    <row r="4387" spans="1:13" s="4" customFormat="1" ht="14.25" customHeight="1" x14ac:dyDescent="0.25">
      <c r="A4387" s="4" t="s">
        <v>7173</v>
      </c>
      <c r="B4387" s="4" t="s">
        <v>38</v>
      </c>
      <c r="C4387" s="4" t="s">
        <v>14</v>
      </c>
      <c r="D4387" s="35">
        <v>3218</v>
      </c>
      <c r="E4387" s="4" t="s">
        <v>7174</v>
      </c>
      <c r="F4387" s="5">
        <v>39129</v>
      </c>
      <c r="G4387" s="5">
        <v>39447</v>
      </c>
      <c r="H4387" s="4" t="s">
        <v>40</v>
      </c>
      <c r="I4387" s="6">
        <v>260</v>
      </c>
      <c r="J4387" s="6">
        <v>260</v>
      </c>
      <c r="K4387" s="37" t="s">
        <v>7102</v>
      </c>
      <c r="L4387" s="119"/>
      <c r="M4387" s="3"/>
    </row>
    <row r="4388" spans="1:13" s="4" customFormat="1" ht="14.25" customHeight="1" x14ac:dyDescent="0.25">
      <c r="A4388" s="4" t="s">
        <v>7175</v>
      </c>
      <c r="B4388" s="4" t="s">
        <v>38</v>
      </c>
      <c r="C4388" s="4" t="s">
        <v>14</v>
      </c>
      <c r="D4388" s="35">
        <v>3219</v>
      </c>
      <c r="E4388" s="4" t="s">
        <v>7176</v>
      </c>
      <c r="F4388" s="5">
        <v>39129</v>
      </c>
      <c r="G4388" s="5">
        <v>39447</v>
      </c>
      <c r="H4388" s="4" t="s">
        <v>40</v>
      </c>
      <c r="I4388" s="6">
        <v>9025.44</v>
      </c>
      <c r="J4388" s="6">
        <v>9025.44</v>
      </c>
      <c r="K4388" s="37" t="s">
        <v>7102</v>
      </c>
      <c r="L4388" s="119"/>
      <c r="M4388" s="3"/>
    </row>
    <row r="4389" spans="1:13" s="4" customFormat="1" ht="14.25" customHeight="1" x14ac:dyDescent="0.25">
      <c r="A4389" s="4" t="s">
        <v>7177</v>
      </c>
      <c r="B4389" s="4" t="s">
        <v>38</v>
      </c>
      <c r="C4389" s="4" t="s">
        <v>14</v>
      </c>
      <c r="D4389" s="35">
        <v>3220</v>
      </c>
      <c r="E4389" s="7" t="s">
        <v>7178</v>
      </c>
      <c r="F4389" s="5">
        <v>40246</v>
      </c>
      <c r="G4389" s="5">
        <v>40543</v>
      </c>
      <c r="H4389" s="4" t="s">
        <v>40</v>
      </c>
      <c r="I4389" s="6">
        <v>2275</v>
      </c>
      <c r="J4389" s="6">
        <v>2275</v>
      </c>
      <c r="K4389" s="37" t="s">
        <v>7102</v>
      </c>
      <c r="L4389" s="119"/>
      <c r="M4389" s="3"/>
    </row>
    <row r="4390" spans="1:13" s="4" customFormat="1" ht="14.25" customHeight="1" x14ac:dyDescent="0.25">
      <c r="A4390" s="4" t="s">
        <v>7179</v>
      </c>
      <c r="B4390" s="4" t="s">
        <v>38</v>
      </c>
      <c r="C4390" s="4" t="s">
        <v>14</v>
      </c>
      <c r="D4390" s="35">
        <v>3221</v>
      </c>
      <c r="E4390" s="4" t="s">
        <v>7180</v>
      </c>
      <c r="F4390" s="5">
        <v>39129</v>
      </c>
      <c r="G4390" s="5">
        <v>39447</v>
      </c>
      <c r="H4390" s="4" t="s">
        <v>40</v>
      </c>
      <c r="I4390" s="6">
        <v>2105.8000000000002</v>
      </c>
      <c r="J4390" s="6">
        <v>2105.8000000000002</v>
      </c>
      <c r="K4390" s="37" t="s">
        <v>7102</v>
      </c>
      <c r="L4390" s="119"/>
      <c r="M4390" s="3"/>
    </row>
    <row r="4391" spans="1:13" s="4" customFormat="1" ht="14.25" customHeight="1" x14ac:dyDescent="0.25">
      <c r="A4391" s="4" t="s">
        <v>7181</v>
      </c>
      <c r="B4391" s="4" t="s">
        <v>38</v>
      </c>
      <c r="C4391" s="4" t="s">
        <v>14</v>
      </c>
      <c r="D4391" s="35">
        <v>3223</v>
      </c>
      <c r="E4391" s="4" t="s">
        <v>7182</v>
      </c>
      <c r="F4391" s="5">
        <v>39129</v>
      </c>
      <c r="G4391" s="5">
        <v>39447</v>
      </c>
      <c r="H4391" s="4" t="s">
        <v>40</v>
      </c>
      <c r="I4391" s="6">
        <v>8000</v>
      </c>
      <c r="J4391" s="6">
        <v>8000</v>
      </c>
      <c r="K4391" s="37" t="s">
        <v>7102</v>
      </c>
      <c r="L4391" s="119"/>
      <c r="M4391" s="3"/>
    </row>
    <row r="4392" spans="1:13" s="4" customFormat="1" ht="14.25" customHeight="1" x14ac:dyDescent="0.25">
      <c r="A4392" s="4" t="s">
        <v>7183</v>
      </c>
      <c r="B4392" s="4" t="s">
        <v>38</v>
      </c>
      <c r="C4392" s="4" t="s">
        <v>14</v>
      </c>
      <c r="D4392" s="35">
        <v>3224</v>
      </c>
      <c r="E4392" s="4" t="s">
        <v>7184</v>
      </c>
      <c r="F4392" s="5">
        <v>39129</v>
      </c>
      <c r="G4392" s="5">
        <v>39447</v>
      </c>
      <c r="H4392" s="4" t="s">
        <v>40</v>
      </c>
      <c r="I4392" s="6">
        <v>1000</v>
      </c>
      <c r="J4392" s="6">
        <v>1000</v>
      </c>
      <c r="K4392" s="37" t="s">
        <v>7102</v>
      </c>
      <c r="L4392" s="119"/>
      <c r="M4392" s="3"/>
    </row>
    <row r="4393" spans="1:13" s="4" customFormat="1" ht="14.25" customHeight="1" x14ac:dyDescent="0.25">
      <c r="A4393" s="4" t="s">
        <v>7185</v>
      </c>
      <c r="B4393" s="4" t="s">
        <v>38</v>
      </c>
      <c r="C4393" s="4" t="s">
        <v>14</v>
      </c>
      <c r="D4393" s="35">
        <v>3226</v>
      </c>
      <c r="E4393" s="4" t="s">
        <v>7186</v>
      </c>
      <c r="F4393" s="5">
        <v>39129</v>
      </c>
      <c r="G4393" s="5">
        <v>39447</v>
      </c>
      <c r="H4393" s="4" t="s">
        <v>40</v>
      </c>
      <c r="I4393" s="6">
        <v>4000</v>
      </c>
      <c r="J4393" s="6">
        <v>4000</v>
      </c>
      <c r="K4393" s="37" t="s">
        <v>7102</v>
      </c>
      <c r="L4393" s="119"/>
      <c r="M4393" s="3"/>
    </row>
    <row r="4394" spans="1:13" ht="14.25" customHeight="1" x14ac:dyDescent="0.25">
      <c r="A4394" s="13" t="s">
        <v>11075</v>
      </c>
      <c r="B4394" s="13" t="s">
        <v>38</v>
      </c>
      <c r="C4394" s="13" t="s">
        <v>14</v>
      </c>
      <c r="D4394" s="19">
        <v>3227</v>
      </c>
      <c r="E4394" s="13" t="s">
        <v>11075</v>
      </c>
      <c r="F4394" s="14">
        <v>39083</v>
      </c>
      <c r="H4394" s="13" t="s">
        <v>651</v>
      </c>
      <c r="I4394" s="18">
        <f>-133.69-9-7789.05-78.66</f>
        <v>-8010.4</v>
      </c>
      <c r="J4394" s="18">
        <v>-8010.4</v>
      </c>
      <c r="K4394" s="20" t="s">
        <v>7102</v>
      </c>
    </row>
    <row r="4395" spans="1:13" s="4" customFormat="1" ht="14.25" customHeight="1" x14ac:dyDescent="0.25">
      <c r="A4395" s="4" t="s">
        <v>7187</v>
      </c>
      <c r="B4395" s="4" t="s">
        <v>38</v>
      </c>
      <c r="C4395" s="4" t="s">
        <v>14</v>
      </c>
      <c r="D4395" s="35">
        <v>3228</v>
      </c>
      <c r="E4395" s="4" t="s">
        <v>7188</v>
      </c>
      <c r="F4395" s="5">
        <v>39129</v>
      </c>
      <c r="G4395" s="5">
        <v>39447</v>
      </c>
      <c r="H4395" s="4" t="s">
        <v>40</v>
      </c>
      <c r="I4395" s="6">
        <v>43166.2</v>
      </c>
      <c r="J4395" s="6">
        <v>43166.2</v>
      </c>
      <c r="K4395" s="37" t="s">
        <v>7102</v>
      </c>
      <c r="L4395" s="119"/>
      <c r="M4395" s="3"/>
    </row>
    <row r="4396" spans="1:13" s="4" customFormat="1" ht="14.25" customHeight="1" x14ac:dyDescent="0.25">
      <c r="A4396" s="4" t="s">
        <v>7189</v>
      </c>
      <c r="B4396" s="4" t="s">
        <v>38</v>
      </c>
      <c r="C4396" s="4" t="s">
        <v>14</v>
      </c>
      <c r="D4396" s="35">
        <v>3229</v>
      </c>
      <c r="E4396" s="4" t="s">
        <v>7190</v>
      </c>
      <c r="F4396" s="5">
        <v>39129</v>
      </c>
      <c r="G4396" s="5">
        <v>39447</v>
      </c>
      <c r="H4396" s="4" t="s">
        <v>40</v>
      </c>
      <c r="I4396" s="6">
        <v>11949.45</v>
      </c>
      <c r="J4396" s="6">
        <v>11949.45</v>
      </c>
      <c r="K4396" s="37" t="s">
        <v>7102</v>
      </c>
      <c r="L4396" s="119"/>
      <c r="M4396" s="3"/>
    </row>
    <row r="4397" spans="1:13" s="4" customFormat="1" ht="14.25" customHeight="1" x14ac:dyDescent="0.25">
      <c r="A4397" s="4" t="s">
        <v>7191</v>
      </c>
      <c r="B4397" s="4" t="s">
        <v>38</v>
      </c>
      <c r="C4397" s="4" t="s">
        <v>14</v>
      </c>
      <c r="D4397" s="35">
        <v>3230</v>
      </c>
      <c r="E4397" s="4" t="s">
        <v>7192</v>
      </c>
      <c r="F4397" s="5">
        <v>39129</v>
      </c>
      <c r="G4397" s="5">
        <v>39447</v>
      </c>
      <c r="H4397" s="4" t="s">
        <v>40</v>
      </c>
      <c r="I4397" s="6">
        <v>4920.13</v>
      </c>
      <c r="J4397" s="6">
        <v>4920.13</v>
      </c>
      <c r="K4397" s="37" t="s">
        <v>7102</v>
      </c>
      <c r="L4397" s="119"/>
      <c r="M4397" s="3"/>
    </row>
    <row r="4398" spans="1:13" s="4" customFormat="1" ht="14.25" customHeight="1" x14ac:dyDescent="0.25">
      <c r="A4398" s="4" t="s">
        <v>7193</v>
      </c>
      <c r="B4398" s="4" t="s">
        <v>38</v>
      </c>
      <c r="C4398" s="4" t="s">
        <v>14</v>
      </c>
      <c r="D4398" s="35">
        <v>3231</v>
      </c>
      <c r="E4398" s="4" t="s">
        <v>7194</v>
      </c>
      <c r="F4398" s="5">
        <v>39129</v>
      </c>
      <c r="G4398" s="5">
        <v>39447</v>
      </c>
      <c r="H4398" s="4" t="s">
        <v>40</v>
      </c>
      <c r="I4398" s="6">
        <v>2820.07</v>
      </c>
      <c r="J4398" s="6">
        <v>2820.07</v>
      </c>
      <c r="K4398" s="37" t="s">
        <v>7102</v>
      </c>
      <c r="L4398" s="119"/>
      <c r="M4398" s="3"/>
    </row>
    <row r="4399" spans="1:13" s="4" customFormat="1" ht="14.25" customHeight="1" x14ac:dyDescent="0.25">
      <c r="A4399" s="4" t="s">
        <v>7195</v>
      </c>
      <c r="B4399" s="4" t="s">
        <v>38</v>
      </c>
      <c r="C4399" s="4" t="s">
        <v>14</v>
      </c>
      <c r="D4399" s="35">
        <v>3232</v>
      </c>
      <c r="E4399" s="4" t="s">
        <v>7196</v>
      </c>
      <c r="F4399" s="5">
        <v>39924</v>
      </c>
      <c r="G4399" s="5">
        <v>40178</v>
      </c>
      <c r="H4399" s="4" t="s">
        <v>40</v>
      </c>
      <c r="I4399" s="6">
        <v>2105.09</v>
      </c>
      <c r="J4399" s="6">
        <v>2105.09</v>
      </c>
      <c r="K4399" s="37" t="s">
        <v>7102</v>
      </c>
      <c r="L4399" s="119"/>
      <c r="M4399" s="3"/>
    </row>
    <row r="4400" spans="1:13" s="4" customFormat="1" ht="14.25" customHeight="1" x14ac:dyDescent="0.25">
      <c r="A4400" s="4" t="s">
        <v>7197</v>
      </c>
      <c r="B4400" s="4" t="s">
        <v>38</v>
      </c>
      <c r="C4400" s="4" t="s">
        <v>14</v>
      </c>
      <c r="D4400" s="35">
        <v>3233</v>
      </c>
      <c r="E4400" s="4" t="s">
        <v>7198</v>
      </c>
      <c r="F4400" s="5">
        <v>39129</v>
      </c>
      <c r="G4400" s="5">
        <v>39447</v>
      </c>
      <c r="H4400" s="4" t="s">
        <v>40</v>
      </c>
      <c r="I4400" s="6">
        <v>14398.96</v>
      </c>
      <c r="J4400" s="6">
        <v>14398.96</v>
      </c>
      <c r="K4400" s="37" t="s">
        <v>7102</v>
      </c>
      <c r="L4400" s="119"/>
      <c r="M4400" s="3"/>
    </row>
    <row r="4401" spans="1:13" s="4" customFormat="1" ht="14.25" customHeight="1" x14ac:dyDescent="0.25">
      <c r="A4401" s="4" t="s">
        <v>7199</v>
      </c>
      <c r="B4401" s="4" t="s">
        <v>38</v>
      </c>
      <c r="C4401" s="4" t="s">
        <v>14</v>
      </c>
      <c r="D4401" s="35">
        <v>3234</v>
      </c>
      <c r="E4401" s="4" t="s">
        <v>7200</v>
      </c>
      <c r="F4401" s="5">
        <v>39924</v>
      </c>
      <c r="G4401" s="5">
        <v>40178</v>
      </c>
      <c r="H4401" s="4" t="s">
        <v>40</v>
      </c>
      <c r="I4401" s="6">
        <v>600</v>
      </c>
      <c r="J4401" s="6">
        <v>600</v>
      </c>
      <c r="K4401" s="37" t="s">
        <v>7102</v>
      </c>
      <c r="L4401" s="119"/>
      <c r="M4401" s="3"/>
    </row>
    <row r="4402" spans="1:13" s="4" customFormat="1" ht="14.25" customHeight="1" x14ac:dyDescent="0.25">
      <c r="A4402" s="4" t="s">
        <v>7155</v>
      </c>
      <c r="B4402" s="4" t="s">
        <v>38</v>
      </c>
      <c r="C4402" s="4" t="s">
        <v>14</v>
      </c>
      <c r="D4402" s="35">
        <v>3235</v>
      </c>
      <c r="E4402" s="7" t="s">
        <v>7201</v>
      </c>
      <c r="F4402" s="5">
        <v>39497</v>
      </c>
      <c r="G4402" s="5">
        <v>41639</v>
      </c>
      <c r="H4402" s="4" t="s">
        <v>40</v>
      </c>
      <c r="I4402" s="6">
        <f>17995.79+14305.05+13592.62+27178.75+37985.82</f>
        <v>111058.03</v>
      </c>
      <c r="J4402" s="6">
        <f>97465.41+13592.62</f>
        <v>111058.03</v>
      </c>
      <c r="K4402" s="37" t="s">
        <v>7102</v>
      </c>
      <c r="L4402" s="119"/>
      <c r="M4402" s="3"/>
    </row>
    <row r="4403" spans="1:13" s="4" customFormat="1" ht="14.25" customHeight="1" x14ac:dyDescent="0.25">
      <c r="A4403" s="4" t="s">
        <v>7202</v>
      </c>
      <c r="B4403" s="4" t="s">
        <v>38</v>
      </c>
      <c r="C4403" s="4" t="s">
        <v>14</v>
      </c>
      <c r="D4403" s="35">
        <v>3236</v>
      </c>
      <c r="E4403" s="4" t="s">
        <v>7203</v>
      </c>
      <c r="F4403" s="5">
        <v>40179</v>
      </c>
      <c r="G4403" s="5">
        <v>40543</v>
      </c>
      <c r="H4403" s="4" t="s">
        <v>40</v>
      </c>
      <c r="I4403" s="6">
        <v>1675</v>
      </c>
      <c r="J4403" s="6">
        <v>1675</v>
      </c>
      <c r="K4403" s="37" t="s">
        <v>7102</v>
      </c>
      <c r="L4403" s="119"/>
      <c r="M4403" s="3"/>
    </row>
    <row r="4404" spans="1:13" s="4" customFormat="1" ht="14.25" customHeight="1" x14ac:dyDescent="0.25">
      <c r="A4404" s="4" t="s">
        <v>7204</v>
      </c>
      <c r="B4404" s="4" t="s">
        <v>38</v>
      </c>
      <c r="C4404" s="4" t="s">
        <v>14</v>
      </c>
      <c r="D4404" s="35">
        <v>3237</v>
      </c>
      <c r="E4404" s="7" t="s">
        <v>7205</v>
      </c>
      <c r="F4404" s="5">
        <v>39497</v>
      </c>
      <c r="G4404" s="5">
        <v>40908</v>
      </c>
      <c r="H4404" s="4" t="s">
        <v>40</v>
      </c>
      <c r="I4404" s="6">
        <f>50955.61+51128.01+34601.1</f>
        <v>136684.72</v>
      </c>
      <c r="J4404" s="6">
        <v>136684.72</v>
      </c>
      <c r="K4404" s="37" t="s">
        <v>7102</v>
      </c>
      <c r="L4404" s="119"/>
      <c r="M4404" s="3"/>
    </row>
    <row r="4405" spans="1:13" s="4" customFormat="1" ht="14.25" customHeight="1" x14ac:dyDescent="0.25">
      <c r="A4405" s="4" t="s">
        <v>7206</v>
      </c>
      <c r="B4405" s="4" t="s">
        <v>38</v>
      </c>
      <c r="C4405" s="4" t="s">
        <v>14</v>
      </c>
      <c r="D4405" s="35">
        <v>3238</v>
      </c>
      <c r="E4405" s="4" t="s">
        <v>7207</v>
      </c>
      <c r="F4405" s="5">
        <v>39497</v>
      </c>
      <c r="G4405" s="5">
        <v>40178</v>
      </c>
      <c r="H4405" s="4" t="s">
        <v>40</v>
      </c>
      <c r="I4405" s="6">
        <v>3923.23</v>
      </c>
      <c r="J4405" s="6">
        <v>3923.23</v>
      </c>
      <c r="K4405" s="37" t="s">
        <v>7102</v>
      </c>
      <c r="L4405" s="119"/>
      <c r="M4405" s="3"/>
    </row>
    <row r="4406" spans="1:13" s="4" customFormat="1" ht="14.25" customHeight="1" x14ac:dyDescent="0.25">
      <c r="A4406" s="4" t="s">
        <v>7208</v>
      </c>
      <c r="B4406" s="4" t="s">
        <v>38</v>
      </c>
      <c r="C4406" s="4" t="s">
        <v>14</v>
      </c>
      <c r="D4406" s="35">
        <v>3239</v>
      </c>
      <c r="E4406" s="4" t="s">
        <v>7209</v>
      </c>
      <c r="F4406" s="5">
        <v>39497</v>
      </c>
      <c r="G4406" s="5">
        <v>41274</v>
      </c>
      <c r="H4406" s="4" t="s">
        <v>40</v>
      </c>
      <c r="I4406" s="6">
        <v>24726.959999999999</v>
      </c>
      <c r="J4406" s="6">
        <v>24726.959999999999</v>
      </c>
      <c r="K4406" s="37" t="s">
        <v>7102</v>
      </c>
      <c r="L4406" s="119"/>
      <c r="M4406" s="3"/>
    </row>
    <row r="4407" spans="1:13" s="4" customFormat="1" ht="14.25" customHeight="1" x14ac:dyDescent="0.25">
      <c r="A4407" s="4" t="s">
        <v>7210</v>
      </c>
      <c r="B4407" s="4" t="s">
        <v>38</v>
      </c>
      <c r="C4407" s="4" t="s">
        <v>14</v>
      </c>
      <c r="D4407" s="35">
        <v>3240</v>
      </c>
      <c r="E4407" s="4" t="s">
        <v>7211</v>
      </c>
      <c r="F4407" s="5">
        <v>39497</v>
      </c>
      <c r="G4407" s="5">
        <v>39813</v>
      </c>
      <c r="H4407" s="4" t="s">
        <v>40</v>
      </c>
      <c r="I4407" s="6">
        <v>5633.53</v>
      </c>
      <c r="J4407" s="6">
        <v>5633.53</v>
      </c>
      <c r="K4407" s="37" t="s">
        <v>7102</v>
      </c>
      <c r="L4407" s="119"/>
      <c r="M4407" s="3"/>
    </row>
    <row r="4408" spans="1:13" s="4" customFormat="1" ht="14.25" customHeight="1" x14ac:dyDescent="0.25">
      <c r="A4408" s="4" t="s">
        <v>7212</v>
      </c>
      <c r="B4408" s="4" t="s">
        <v>38</v>
      </c>
      <c r="C4408" s="4" t="s">
        <v>14</v>
      </c>
      <c r="D4408" s="35">
        <v>3241</v>
      </c>
      <c r="E4408" s="7" t="s">
        <v>7213</v>
      </c>
      <c r="F4408" s="5">
        <v>39497</v>
      </c>
      <c r="G4408" s="5">
        <v>39813</v>
      </c>
      <c r="H4408" s="4" t="s">
        <v>40</v>
      </c>
      <c r="I4408" s="6">
        <v>2400</v>
      </c>
      <c r="J4408" s="6">
        <v>2400</v>
      </c>
      <c r="K4408" s="37" t="s">
        <v>7102</v>
      </c>
      <c r="L4408" s="119"/>
      <c r="M4408" s="3"/>
    </row>
    <row r="4409" spans="1:13" s="4" customFormat="1" ht="14.25" customHeight="1" x14ac:dyDescent="0.25">
      <c r="A4409" s="4" t="s">
        <v>7214</v>
      </c>
      <c r="B4409" s="4" t="s">
        <v>38</v>
      </c>
      <c r="C4409" s="4" t="s">
        <v>14</v>
      </c>
      <c r="D4409" s="35">
        <v>3242</v>
      </c>
      <c r="E4409" s="7" t="s">
        <v>7215</v>
      </c>
      <c r="F4409" s="5">
        <v>39497</v>
      </c>
      <c r="G4409" s="5">
        <v>41639</v>
      </c>
      <c r="H4409" s="4" t="s">
        <v>40</v>
      </c>
      <c r="I4409" s="6">
        <f>65757.41+15191.95+12670+32713.4+60875.67</f>
        <v>187208.43</v>
      </c>
      <c r="J4409" s="6">
        <f>154495.03+32713.4</f>
        <v>187208.43</v>
      </c>
      <c r="K4409" s="37" t="s">
        <v>7102</v>
      </c>
      <c r="L4409" s="119"/>
      <c r="M4409" s="3"/>
    </row>
    <row r="4410" spans="1:13" s="4" customFormat="1" ht="14.25" customHeight="1" x14ac:dyDescent="0.25">
      <c r="A4410" s="4" t="s">
        <v>7167</v>
      </c>
      <c r="B4410" s="4" t="s">
        <v>38</v>
      </c>
      <c r="C4410" s="4" t="s">
        <v>14</v>
      </c>
      <c r="D4410" s="35">
        <v>3243</v>
      </c>
      <c r="E4410" s="4" t="s">
        <v>7216</v>
      </c>
      <c r="F4410" s="5">
        <v>39497</v>
      </c>
      <c r="G4410" s="5">
        <v>41639</v>
      </c>
      <c r="H4410" s="4" t="s">
        <v>40</v>
      </c>
      <c r="I4410" s="6">
        <f>23439.6+49148.14+47277.63+36651.71+48343.27</f>
        <v>204860.34999999998</v>
      </c>
      <c r="J4410" s="6">
        <f>47277.63+157582.72</f>
        <v>204860.35</v>
      </c>
      <c r="K4410" s="37" t="s">
        <v>7102</v>
      </c>
      <c r="L4410" s="119"/>
      <c r="M4410" s="3"/>
    </row>
    <row r="4411" spans="1:13" s="4" customFormat="1" ht="14.25" customHeight="1" x14ac:dyDescent="0.25">
      <c r="A4411" s="4" t="s">
        <v>7217</v>
      </c>
      <c r="B4411" s="4" t="s">
        <v>38</v>
      </c>
      <c r="C4411" s="4" t="s">
        <v>14</v>
      </c>
      <c r="D4411" s="35">
        <v>3244</v>
      </c>
      <c r="E4411" s="7" t="s">
        <v>7218</v>
      </c>
      <c r="F4411" s="5">
        <v>39497</v>
      </c>
      <c r="G4411" s="5">
        <v>41639</v>
      </c>
      <c r="H4411" s="4" t="s">
        <v>40</v>
      </c>
      <c r="I4411" s="6">
        <v>29576.41</v>
      </c>
      <c r="J4411" s="6">
        <f>22770.4+6806.01</f>
        <v>29576.410000000003</v>
      </c>
      <c r="K4411" s="37" t="s">
        <v>7102</v>
      </c>
      <c r="L4411" s="119"/>
      <c r="M4411" s="3"/>
    </row>
    <row r="4412" spans="1:13" s="4" customFormat="1" ht="14.25" customHeight="1" x14ac:dyDescent="0.25">
      <c r="A4412" s="4" t="s">
        <v>7179</v>
      </c>
      <c r="B4412" s="4" t="s">
        <v>38</v>
      </c>
      <c r="C4412" s="4" t="s">
        <v>14</v>
      </c>
      <c r="D4412" s="35">
        <v>3245</v>
      </c>
      <c r="E4412" s="7" t="s">
        <v>7219</v>
      </c>
      <c r="F4412" s="5">
        <v>39497</v>
      </c>
      <c r="G4412" s="5">
        <v>40543</v>
      </c>
      <c r="H4412" s="4" t="s">
        <v>40</v>
      </c>
      <c r="I4412" s="6">
        <v>23107.31</v>
      </c>
      <c r="J4412" s="6">
        <v>23107.31</v>
      </c>
      <c r="K4412" s="37" t="s">
        <v>7102</v>
      </c>
      <c r="L4412" s="119"/>
      <c r="M4412" s="3"/>
    </row>
    <row r="4413" spans="1:13" s="4" customFormat="1" ht="14.25" customHeight="1" x14ac:dyDescent="0.25">
      <c r="A4413" s="4" t="s">
        <v>7181</v>
      </c>
      <c r="B4413" s="4" t="s">
        <v>38</v>
      </c>
      <c r="C4413" s="4" t="s">
        <v>14</v>
      </c>
      <c r="D4413" s="35">
        <v>3247</v>
      </c>
      <c r="E4413" s="7" t="s">
        <v>7220</v>
      </c>
      <c r="F4413" s="5">
        <v>39497</v>
      </c>
      <c r="G4413" s="5">
        <v>40178</v>
      </c>
      <c r="H4413" s="4" t="s">
        <v>40</v>
      </c>
      <c r="I4413" s="6">
        <v>10672.65</v>
      </c>
      <c r="J4413" s="6">
        <v>10672.65</v>
      </c>
      <c r="K4413" s="37" t="s">
        <v>7102</v>
      </c>
      <c r="L4413" s="119"/>
      <c r="M4413" s="3"/>
    </row>
    <row r="4414" spans="1:13" s="4" customFormat="1" ht="14.25" customHeight="1" x14ac:dyDescent="0.25">
      <c r="A4414" s="4" t="s">
        <v>7221</v>
      </c>
      <c r="B4414" s="4" t="s">
        <v>38</v>
      </c>
      <c r="C4414" s="4" t="s">
        <v>14</v>
      </c>
      <c r="D4414" s="35">
        <v>3248</v>
      </c>
      <c r="E4414" s="4" t="s">
        <v>7222</v>
      </c>
      <c r="F4414" s="5">
        <v>39497</v>
      </c>
      <c r="G4414" s="5">
        <v>39813</v>
      </c>
      <c r="H4414" s="4" t="s">
        <v>40</v>
      </c>
      <c r="I4414" s="6">
        <v>1000</v>
      </c>
      <c r="J4414" s="6">
        <v>1000</v>
      </c>
      <c r="K4414" s="37" t="s">
        <v>7102</v>
      </c>
      <c r="L4414" s="119"/>
      <c r="M4414" s="3"/>
    </row>
    <row r="4415" spans="1:13" s="4" customFormat="1" ht="14.25" customHeight="1" x14ac:dyDescent="0.25">
      <c r="A4415" s="4" t="s">
        <v>7175</v>
      </c>
      <c r="B4415" s="4" t="s">
        <v>38</v>
      </c>
      <c r="C4415" s="4" t="s">
        <v>14</v>
      </c>
      <c r="D4415" s="35">
        <v>3249</v>
      </c>
      <c r="E4415" s="7" t="s">
        <v>7223</v>
      </c>
      <c r="F4415" s="5">
        <v>39497</v>
      </c>
      <c r="G4415" s="5">
        <v>40543</v>
      </c>
      <c r="H4415" s="4" t="s">
        <v>40</v>
      </c>
      <c r="I4415" s="6">
        <v>23871</v>
      </c>
      <c r="J4415" s="6">
        <v>23871</v>
      </c>
      <c r="K4415" s="37" t="s">
        <v>7102</v>
      </c>
      <c r="L4415" s="119"/>
      <c r="M4415" s="3"/>
    </row>
    <row r="4416" spans="1:13" s="4" customFormat="1" ht="14.25" customHeight="1" x14ac:dyDescent="0.25">
      <c r="A4416" s="4" t="s">
        <v>7185</v>
      </c>
      <c r="B4416" s="4" t="s">
        <v>38</v>
      </c>
      <c r="C4416" s="4" t="s">
        <v>14</v>
      </c>
      <c r="D4416" s="35">
        <v>3250</v>
      </c>
      <c r="E4416" s="4" t="s">
        <v>7224</v>
      </c>
      <c r="F4416" s="5">
        <v>39497</v>
      </c>
      <c r="G4416" s="5">
        <v>39813</v>
      </c>
      <c r="H4416" s="4" t="s">
        <v>40</v>
      </c>
      <c r="I4416" s="6">
        <v>4033.85</v>
      </c>
      <c r="J4416" s="6">
        <v>4033.85</v>
      </c>
      <c r="K4416" s="37" t="s">
        <v>7102</v>
      </c>
      <c r="L4416" s="119"/>
      <c r="M4416" s="3"/>
    </row>
    <row r="4417" spans="1:13" s="4" customFormat="1" ht="14.25" customHeight="1" x14ac:dyDescent="0.25">
      <c r="A4417" s="4" t="s">
        <v>7225</v>
      </c>
      <c r="B4417" s="4" t="s">
        <v>38</v>
      </c>
      <c r="C4417" s="4" t="s">
        <v>14</v>
      </c>
      <c r="D4417" s="35">
        <v>3251</v>
      </c>
      <c r="E4417" s="7" t="s">
        <v>7226</v>
      </c>
      <c r="F4417" s="5">
        <v>39497</v>
      </c>
      <c r="G4417" s="5">
        <v>41274</v>
      </c>
      <c r="H4417" s="4" t="s">
        <v>40</v>
      </c>
      <c r="I4417" s="6">
        <f>19877.79+12314.85+10104.32+14606.79+62744.68</f>
        <v>119648.43</v>
      </c>
      <c r="J4417" s="6">
        <f>107333.58+12314.85</f>
        <v>119648.43000000001</v>
      </c>
      <c r="K4417" s="37" t="s">
        <v>7102</v>
      </c>
      <c r="L4417" s="119"/>
      <c r="M4417" s="3"/>
    </row>
    <row r="4418" spans="1:13" s="4" customFormat="1" ht="14.25" customHeight="1" x14ac:dyDescent="0.25">
      <c r="A4418" s="4" t="s">
        <v>7227</v>
      </c>
      <c r="B4418" s="4" t="s">
        <v>38</v>
      </c>
      <c r="C4418" s="4" t="s">
        <v>14</v>
      </c>
      <c r="D4418" s="35">
        <v>3252</v>
      </c>
      <c r="E4418" s="4" t="s">
        <v>7228</v>
      </c>
      <c r="F4418" s="5">
        <v>39497</v>
      </c>
      <c r="G4418" s="5">
        <v>39813</v>
      </c>
      <c r="H4418" s="4" t="s">
        <v>40</v>
      </c>
      <c r="I4418" s="6">
        <v>301.5</v>
      </c>
      <c r="J4418" s="6">
        <v>301.5</v>
      </c>
      <c r="K4418" s="37" t="s">
        <v>7102</v>
      </c>
      <c r="L4418" s="119"/>
      <c r="M4418" s="3"/>
    </row>
    <row r="4419" spans="1:13" s="4" customFormat="1" ht="14.25" customHeight="1" x14ac:dyDescent="0.25">
      <c r="A4419" s="4" t="s">
        <v>7229</v>
      </c>
      <c r="B4419" s="4" t="s">
        <v>38</v>
      </c>
      <c r="C4419" s="4" t="s">
        <v>14</v>
      </c>
      <c r="D4419" s="35">
        <v>3253</v>
      </c>
      <c r="E4419" s="4" t="s">
        <v>7230</v>
      </c>
      <c r="F4419" s="5">
        <v>39497</v>
      </c>
      <c r="G4419" s="5">
        <v>39813</v>
      </c>
      <c r="H4419" s="4" t="s">
        <v>40</v>
      </c>
      <c r="I4419" s="6">
        <v>1245.0999999999999</v>
      </c>
      <c r="J4419" s="6">
        <v>1245.0999999999999</v>
      </c>
      <c r="K4419" s="37" t="s">
        <v>7102</v>
      </c>
      <c r="L4419" s="119"/>
      <c r="M4419" s="3"/>
    </row>
    <row r="4420" spans="1:13" s="4" customFormat="1" ht="14.25" customHeight="1" x14ac:dyDescent="0.25">
      <c r="A4420" s="4" t="s">
        <v>7231</v>
      </c>
      <c r="B4420" s="4" t="s">
        <v>38</v>
      </c>
      <c r="C4420" s="4" t="s">
        <v>14</v>
      </c>
      <c r="D4420" s="35">
        <v>3254</v>
      </c>
      <c r="E4420" s="4" t="s">
        <v>7232</v>
      </c>
      <c r="F4420" s="5">
        <v>39868</v>
      </c>
      <c r="G4420" s="5">
        <v>40178</v>
      </c>
      <c r="H4420" s="4" t="s">
        <v>40</v>
      </c>
      <c r="I4420" s="6">
        <v>11104.9</v>
      </c>
      <c r="J4420" s="6">
        <v>11104.9</v>
      </c>
      <c r="K4420" s="37" t="s">
        <v>7102</v>
      </c>
      <c r="L4420" s="119"/>
      <c r="M4420" s="3"/>
    </row>
    <row r="4421" spans="1:13" s="4" customFormat="1" ht="14.25" customHeight="1" x14ac:dyDescent="0.25">
      <c r="A4421" s="4" t="s">
        <v>7233</v>
      </c>
      <c r="B4421" s="4" t="s">
        <v>38</v>
      </c>
      <c r="C4421" s="4" t="s">
        <v>14</v>
      </c>
      <c r="D4421" s="35">
        <v>3255</v>
      </c>
      <c r="E4421" s="4" t="s">
        <v>7234</v>
      </c>
      <c r="F4421" s="5">
        <v>39084</v>
      </c>
      <c r="H4421" s="4" t="s">
        <v>40</v>
      </c>
      <c r="I4421" s="6">
        <f>92307.22+54188.24+61677.57+51668.54+126373.77</f>
        <v>386215.34</v>
      </c>
      <c r="J4421" s="6">
        <f>324537.77+61677.57</f>
        <v>386215.34</v>
      </c>
      <c r="K4421" s="37" t="s">
        <v>7102</v>
      </c>
      <c r="L4421" s="119"/>
      <c r="M4421" s="3"/>
    </row>
    <row r="4422" spans="1:13" s="4" customFormat="1" ht="14.25" customHeight="1" x14ac:dyDescent="0.25">
      <c r="A4422" s="4" t="s">
        <v>7235</v>
      </c>
      <c r="B4422" s="4" t="s">
        <v>38</v>
      </c>
      <c r="C4422" s="4" t="s">
        <v>14</v>
      </c>
      <c r="D4422" s="35">
        <v>3256</v>
      </c>
      <c r="E4422" s="4" t="s">
        <v>7236</v>
      </c>
      <c r="F4422" s="5">
        <v>39497</v>
      </c>
      <c r="G4422" s="5">
        <v>39813</v>
      </c>
      <c r="H4422" s="4" t="s">
        <v>40</v>
      </c>
      <c r="I4422" s="6">
        <v>7133.44</v>
      </c>
      <c r="J4422" s="6">
        <v>7133.44</v>
      </c>
      <c r="K4422" s="37" t="s">
        <v>7102</v>
      </c>
      <c r="L4422" s="119"/>
      <c r="M4422" s="3"/>
    </row>
    <row r="4423" spans="1:13" s="4" customFormat="1" ht="14.25" customHeight="1" x14ac:dyDescent="0.25">
      <c r="A4423" s="4" t="s">
        <v>7237</v>
      </c>
      <c r="B4423" s="4" t="s">
        <v>38</v>
      </c>
      <c r="C4423" s="4" t="s">
        <v>14</v>
      </c>
      <c r="D4423" s="35">
        <v>3257</v>
      </c>
      <c r="E4423" s="7" t="s">
        <v>7238</v>
      </c>
      <c r="F4423" s="5">
        <v>40085</v>
      </c>
      <c r="G4423" s="5">
        <v>40908</v>
      </c>
      <c r="H4423" s="4" t="s">
        <v>40</v>
      </c>
      <c r="I4423" s="6">
        <v>41683.629999999997</v>
      </c>
      <c r="J4423" s="6">
        <v>41683.629999999997</v>
      </c>
      <c r="K4423" s="37" t="s">
        <v>7102</v>
      </c>
      <c r="L4423" s="119"/>
      <c r="M4423" s="3"/>
    </row>
    <row r="4424" spans="1:13" s="4" customFormat="1" ht="14.25" customHeight="1" x14ac:dyDescent="0.25">
      <c r="A4424" s="4" t="s">
        <v>7239</v>
      </c>
      <c r="B4424" s="4" t="s">
        <v>38</v>
      </c>
      <c r="C4424" s="4" t="s">
        <v>14</v>
      </c>
      <c r="D4424" s="35">
        <v>3258</v>
      </c>
      <c r="E4424" s="7" t="s">
        <v>7240</v>
      </c>
      <c r="F4424" s="5">
        <v>39497</v>
      </c>
      <c r="G4424" s="5">
        <v>41274</v>
      </c>
      <c r="H4424" s="4" t="s">
        <v>40</v>
      </c>
      <c r="I4424" s="6">
        <v>43839.88</v>
      </c>
      <c r="J4424" s="6">
        <v>43839.88</v>
      </c>
      <c r="K4424" s="37" t="s">
        <v>7102</v>
      </c>
      <c r="L4424" s="119"/>
      <c r="M4424" s="3"/>
    </row>
    <row r="4425" spans="1:13" s="4" customFormat="1" ht="14.25" customHeight="1" x14ac:dyDescent="0.25">
      <c r="A4425" s="4" t="s">
        <v>7241</v>
      </c>
      <c r="B4425" s="4" t="s">
        <v>38</v>
      </c>
      <c r="C4425" s="4" t="s">
        <v>14</v>
      </c>
      <c r="D4425" s="35">
        <v>3259</v>
      </c>
      <c r="E4425" s="4" t="s">
        <v>7242</v>
      </c>
      <c r="F4425" s="5">
        <v>39497</v>
      </c>
      <c r="G4425" s="5">
        <v>41639</v>
      </c>
      <c r="H4425" s="4" t="s">
        <v>40</v>
      </c>
      <c r="I4425" s="6">
        <f>17008.84+9478.64+7825.96+15361.75+9142.69</f>
        <v>58817.880000000005</v>
      </c>
      <c r="J4425" s="6">
        <f>49339.24+9478.64</f>
        <v>58817.88</v>
      </c>
      <c r="K4425" s="37" t="s">
        <v>7102</v>
      </c>
      <c r="L4425" s="119"/>
      <c r="M4425" s="3"/>
    </row>
    <row r="4426" spans="1:13" s="4" customFormat="1" ht="14.25" customHeight="1" x14ac:dyDescent="0.25">
      <c r="A4426" s="4" t="s">
        <v>7243</v>
      </c>
      <c r="B4426" s="4" t="s">
        <v>38</v>
      </c>
      <c r="C4426" s="4" t="s">
        <v>14</v>
      </c>
      <c r="D4426" s="35">
        <v>3260</v>
      </c>
      <c r="E4426" s="7" t="s">
        <v>7244</v>
      </c>
      <c r="F4426" s="5">
        <v>39497</v>
      </c>
      <c r="G4426" s="5">
        <v>40543</v>
      </c>
      <c r="H4426" s="4" t="s">
        <v>40</v>
      </c>
      <c r="I4426" s="6">
        <f>10147.77*2</f>
        <v>20295.54</v>
      </c>
      <c r="J4426" s="6">
        <f>10147.77*2-1423.26</f>
        <v>18872.280000000002</v>
      </c>
      <c r="K4426" s="37" t="s">
        <v>7102</v>
      </c>
      <c r="L4426" s="119"/>
      <c r="M4426" s="3"/>
    </row>
    <row r="4427" spans="1:13" s="4" customFormat="1" ht="14.25" customHeight="1" x14ac:dyDescent="0.25">
      <c r="A4427" s="4" t="s">
        <v>7245</v>
      </c>
      <c r="B4427" s="4" t="s">
        <v>38</v>
      </c>
      <c r="C4427" s="4" t="s">
        <v>14</v>
      </c>
      <c r="D4427" s="35">
        <v>3322</v>
      </c>
      <c r="E4427" s="4" t="s">
        <v>7246</v>
      </c>
      <c r="F4427" s="5">
        <v>39083</v>
      </c>
      <c r="G4427" s="5">
        <v>39447</v>
      </c>
      <c r="H4427" s="4" t="s">
        <v>40</v>
      </c>
      <c r="I4427" s="6">
        <v>1515.98</v>
      </c>
      <c r="J4427" s="6">
        <v>1515.98</v>
      </c>
      <c r="K4427" s="37" t="s">
        <v>7102</v>
      </c>
      <c r="L4427" s="119"/>
      <c r="M4427" s="3"/>
    </row>
    <row r="4428" spans="1:13" s="4" customFormat="1" ht="14.25" customHeight="1" x14ac:dyDescent="0.25">
      <c r="A4428" s="4" t="s">
        <v>7247</v>
      </c>
      <c r="B4428" s="4" t="s">
        <v>38</v>
      </c>
      <c r="C4428" s="4" t="s">
        <v>14</v>
      </c>
      <c r="D4428" s="35">
        <v>3323</v>
      </c>
      <c r="E4428" s="4" t="s">
        <v>7248</v>
      </c>
      <c r="F4428" s="5">
        <v>39083</v>
      </c>
      <c r="G4428" s="5">
        <v>39447</v>
      </c>
      <c r="H4428" s="4" t="s">
        <v>40</v>
      </c>
      <c r="I4428" s="6">
        <v>16642.07</v>
      </c>
      <c r="J4428" s="6">
        <v>16642.07</v>
      </c>
      <c r="K4428" s="37" t="s">
        <v>7102</v>
      </c>
      <c r="L4428" s="119"/>
      <c r="M4428" s="3"/>
    </row>
    <row r="4429" spans="1:13" s="4" customFormat="1" ht="14.25" customHeight="1" x14ac:dyDescent="0.25">
      <c r="A4429" s="4" t="s">
        <v>7249</v>
      </c>
      <c r="B4429" s="4" t="s">
        <v>50</v>
      </c>
      <c r="C4429" s="4" t="s">
        <v>14</v>
      </c>
      <c r="D4429" s="35">
        <v>5578</v>
      </c>
      <c r="E4429" s="4" t="s">
        <v>7250</v>
      </c>
      <c r="F4429" s="5">
        <v>39770</v>
      </c>
      <c r="G4429" s="5">
        <v>40178</v>
      </c>
      <c r="H4429" s="4" t="s">
        <v>40</v>
      </c>
      <c r="I4429" s="6">
        <v>28830</v>
      </c>
      <c r="J4429" s="6">
        <v>14415</v>
      </c>
      <c r="K4429" s="37" t="s">
        <v>7102</v>
      </c>
      <c r="L4429" s="119"/>
      <c r="M4429" s="3"/>
    </row>
    <row r="4430" spans="1:13" s="4" customFormat="1" ht="14.25" customHeight="1" x14ac:dyDescent="0.25">
      <c r="A4430" s="4" t="s">
        <v>7251</v>
      </c>
      <c r="B4430" s="4" t="s">
        <v>50</v>
      </c>
      <c r="C4430" s="4" t="s">
        <v>14</v>
      </c>
      <c r="D4430" s="35">
        <v>5580</v>
      </c>
      <c r="E4430" s="4" t="s">
        <v>7252</v>
      </c>
      <c r="F4430" s="5">
        <v>39798</v>
      </c>
      <c r="G4430" s="5">
        <v>39906</v>
      </c>
      <c r="H4430" s="4" t="s">
        <v>40</v>
      </c>
      <c r="I4430" s="6">
        <v>40000</v>
      </c>
      <c r="J4430" s="6">
        <v>20000</v>
      </c>
      <c r="K4430" s="37" t="s">
        <v>7102</v>
      </c>
      <c r="L4430" s="119"/>
      <c r="M4430" s="3"/>
    </row>
    <row r="4431" spans="1:13" s="4" customFormat="1" ht="14.25" customHeight="1" x14ac:dyDescent="0.25">
      <c r="A4431" s="4" t="s">
        <v>7253</v>
      </c>
      <c r="B4431" s="4" t="s">
        <v>50</v>
      </c>
      <c r="C4431" s="4" t="s">
        <v>14</v>
      </c>
      <c r="D4431" s="35">
        <v>5581</v>
      </c>
      <c r="E4431" s="4" t="s">
        <v>7254</v>
      </c>
      <c r="F4431" s="5">
        <v>39189</v>
      </c>
      <c r="G4431" s="5">
        <v>39924</v>
      </c>
      <c r="H4431" s="4" t="s">
        <v>40</v>
      </c>
      <c r="I4431" s="6">
        <v>37348</v>
      </c>
      <c r="J4431" s="6">
        <v>18674</v>
      </c>
      <c r="K4431" s="37" t="s">
        <v>7102</v>
      </c>
      <c r="L4431" s="119"/>
      <c r="M4431" s="3"/>
    </row>
    <row r="4432" spans="1:13" s="4" customFormat="1" ht="14.25" customHeight="1" x14ac:dyDescent="0.25">
      <c r="A4432" s="4" t="s">
        <v>7255</v>
      </c>
      <c r="B4432" s="4" t="s">
        <v>50</v>
      </c>
      <c r="C4432" s="4" t="s">
        <v>14</v>
      </c>
      <c r="D4432" s="35">
        <v>5582</v>
      </c>
      <c r="E4432" s="4" t="s">
        <v>7256</v>
      </c>
      <c r="F4432" s="5">
        <v>39770</v>
      </c>
      <c r="G4432" s="5">
        <v>39962</v>
      </c>
      <c r="H4432" s="4" t="s">
        <v>40</v>
      </c>
      <c r="I4432" s="6">
        <v>24735.82</v>
      </c>
      <c r="J4432" s="6">
        <v>12368</v>
      </c>
      <c r="K4432" s="37" t="s">
        <v>7102</v>
      </c>
      <c r="L4432" s="119"/>
      <c r="M4432" s="3"/>
    </row>
    <row r="4433" spans="1:13" s="4" customFormat="1" ht="14.25" customHeight="1" x14ac:dyDescent="0.25">
      <c r="A4433" s="4" t="s">
        <v>7257</v>
      </c>
      <c r="B4433" s="4" t="s">
        <v>50</v>
      </c>
      <c r="C4433" s="4" t="s">
        <v>14</v>
      </c>
      <c r="D4433" s="35">
        <v>5586</v>
      </c>
      <c r="E4433" s="4" t="s">
        <v>7258</v>
      </c>
      <c r="F4433" s="5">
        <v>39974</v>
      </c>
      <c r="G4433" s="5">
        <v>40178</v>
      </c>
      <c r="H4433" s="4" t="s">
        <v>40</v>
      </c>
      <c r="I4433" s="6">
        <v>2239</v>
      </c>
      <c r="J4433" s="6">
        <v>1119</v>
      </c>
      <c r="K4433" s="37" t="s">
        <v>7102</v>
      </c>
      <c r="L4433" s="119"/>
      <c r="M4433" s="3"/>
    </row>
    <row r="4434" spans="1:13" s="4" customFormat="1" ht="14.25" customHeight="1" x14ac:dyDescent="0.25">
      <c r="A4434" s="4" t="s">
        <v>7259</v>
      </c>
      <c r="B4434" s="4" t="s">
        <v>50</v>
      </c>
      <c r="C4434" s="4" t="s">
        <v>14</v>
      </c>
      <c r="D4434" s="35">
        <v>5588</v>
      </c>
      <c r="E4434" s="4" t="s">
        <v>7260</v>
      </c>
      <c r="F4434" s="5">
        <v>39770</v>
      </c>
      <c r="G4434" s="5">
        <v>40070</v>
      </c>
      <c r="H4434" s="4" t="s">
        <v>40</v>
      </c>
      <c r="I4434" s="6">
        <v>10415</v>
      </c>
      <c r="J4434" s="6">
        <v>5207</v>
      </c>
      <c r="K4434" s="37" t="s">
        <v>7102</v>
      </c>
      <c r="L4434" s="119"/>
      <c r="M4434" s="3"/>
    </row>
    <row r="4435" spans="1:13" s="4" customFormat="1" ht="14.25" customHeight="1" x14ac:dyDescent="0.25">
      <c r="A4435" s="4" t="s">
        <v>7261</v>
      </c>
      <c r="B4435" s="4" t="s">
        <v>50</v>
      </c>
      <c r="C4435" s="4" t="s">
        <v>14</v>
      </c>
      <c r="D4435" s="35">
        <v>5590</v>
      </c>
      <c r="E4435" s="4" t="s">
        <v>7262</v>
      </c>
      <c r="F4435" s="5">
        <v>39974</v>
      </c>
      <c r="G4435" s="5">
        <v>40108</v>
      </c>
      <c r="H4435" s="4" t="s">
        <v>40</v>
      </c>
      <c r="I4435" s="6">
        <v>16800</v>
      </c>
      <c r="J4435" s="6">
        <v>8400</v>
      </c>
      <c r="K4435" s="37" t="s">
        <v>7102</v>
      </c>
      <c r="L4435" s="119"/>
      <c r="M4435" s="3"/>
    </row>
    <row r="4436" spans="1:13" s="4" customFormat="1" ht="14.25" customHeight="1" x14ac:dyDescent="0.25">
      <c r="A4436" s="4" t="s">
        <v>7263</v>
      </c>
      <c r="B4436" s="4" t="s">
        <v>50</v>
      </c>
      <c r="C4436" s="4" t="s">
        <v>14</v>
      </c>
      <c r="D4436" s="35">
        <v>5592</v>
      </c>
      <c r="E4436" s="4" t="s">
        <v>7264</v>
      </c>
      <c r="F4436" s="5">
        <v>39868</v>
      </c>
      <c r="G4436" s="5">
        <v>40144</v>
      </c>
      <c r="H4436" s="4" t="s">
        <v>40</v>
      </c>
      <c r="I4436" s="6">
        <v>60000</v>
      </c>
      <c r="J4436" s="6">
        <v>30000</v>
      </c>
      <c r="K4436" s="37" t="s">
        <v>7102</v>
      </c>
      <c r="L4436" s="119"/>
      <c r="M4436" s="3"/>
    </row>
    <row r="4437" spans="1:13" s="4" customFormat="1" ht="14.25" customHeight="1" x14ac:dyDescent="0.25">
      <c r="A4437" s="4" t="s">
        <v>7265</v>
      </c>
      <c r="B4437" s="4" t="s">
        <v>59</v>
      </c>
      <c r="C4437" s="4" t="s">
        <v>14</v>
      </c>
      <c r="D4437" s="35">
        <v>5597</v>
      </c>
      <c r="E4437" s="4" t="s">
        <v>7266</v>
      </c>
      <c r="F4437" s="5">
        <v>39798</v>
      </c>
      <c r="G4437" s="5">
        <v>40060</v>
      </c>
      <c r="H4437" s="4" t="s">
        <v>40</v>
      </c>
      <c r="I4437" s="6">
        <v>7500</v>
      </c>
      <c r="J4437" s="6">
        <v>7500</v>
      </c>
      <c r="K4437" s="37" t="s">
        <v>7102</v>
      </c>
      <c r="L4437" s="119"/>
      <c r="M4437" s="3"/>
    </row>
    <row r="4438" spans="1:13" s="4" customFormat="1" ht="14.25" customHeight="1" x14ac:dyDescent="0.25">
      <c r="A4438" s="4" t="s">
        <v>7267</v>
      </c>
      <c r="B4438" s="4" t="s">
        <v>50</v>
      </c>
      <c r="C4438" s="4" t="s">
        <v>14</v>
      </c>
      <c r="D4438" s="35">
        <v>5601</v>
      </c>
      <c r="E4438" s="4" t="s">
        <v>7268</v>
      </c>
      <c r="F4438" s="5">
        <v>39549</v>
      </c>
      <c r="G4438" s="5">
        <v>40168</v>
      </c>
      <c r="H4438" s="4" t="s">
        <v>40</v>
      </c>
      <c r="I4438" s="6">
        <v>29618.18</v>
      </c>
      <c r="J4438" s="6">
        <v>9000</v>
      </c>
      <c r="K4438" s="37" t="s">
        <v>7102</v>
      </c>
      <c r="L4438" s="119"/>
      <c r="M4438" s="3"/>
    </row>
    <row r="4439" spans="1:13" s="4" customFormat="1" ht="14.25" customHeight="1" x14ac:dyDescent="0.25">
      <c r="A4439" s="4" t="s">
        <v>7271</v>
      </c>
      <c r="B4439" s="4" t="s">
        <v>59</v>
      </c>
      <c r="C4439" s="4" t="s">
        <v>14</v>
      </c>
      <c r="D4439" s="35">
        <v>5603</v>
      </c>
      <c r="E4439" s="4" t="s">
        <v>7272</v>
      </c>
      <c r="F4439" s="5">
        <v>39868</v>
      </c>
      <c r="G4439" s="5">
        <v>40108</v>
      </c>
      <c r="H4439" s="4" t="s">
        <v>40</v>
      </c>
      <c r="I4439" s="6">
        <v>15000</v>
      </c>
      <c r="J4439" s="6">
        <v>15000</v>
      </c>
      <c r="K4439" s="37" t="s">
        <v>7102</v>
      </c>
      <c r="L4439" s="119"/>
      <c r="M4439" s="3"/>
    </row>
    <row r="4440" spans="1:13" s="4" customFormat="1" ht="14.25" customHeight="1" x14ac:dyDescent="0.25">
      <c r="A4440" s="4" t="s">
        <v>7273</v>
      </c>
      <c r="B4440" s="4" t="s">
        <v>59</v>
      </c>
      <c r="C4440" s="4" t="s">
        <v>14</v>
      </c>
      <c r="D4440" s="35">
        <v>5604</v>
      </c>
      <c r="E4440" s="4" t="s">
        <v>7274</v>
      </c>
      <c r="F4440" s="5">
        <v>39974</v>
      </c>
      <c r="G4440" s="5">
        <v>40168</v>
      </c>
      <c r="H4440" s="4" t="s">
        <v>40</v>
      </c>
      <c r="I4440" s="6">
        <v>7500</v>
      </c>
      <c r="J4440" s="6">
        <v>7500</v>
      </c>
      <c r="K4440" s="37" t="s">
        <v>7102</v>
      </c>
      <c r="L4440" s="119"/>
      <c r="M4440" s="3"/>
    </row>
    <row r="4441" spans="1:13" s="4" customFormat="1" ht="14.25" customHeight="1" x14ac:dyDescent="0.25">
      <c r="A4441" s="4" t="s">
        <v>7275</v>
      </c>
      <c r="B4441" s="4" t="s">
        <v>59</v>
      </c>
      <c r="C4441" s="4" t="s">
        <v>14</v>
      </c>
      <c r="D4441" s="35">
        <v>5605</v>
      </c>
      <c r="E4441" s="4" t="s">
        <v>7276</v>
      </c>
      <c r="F4441" s="5">
        <v>40121</v>
      </c>
      <c r="G4441" s="5">
        <v>40499</v>
      </c>
      <c r="H4441" s="4" t="s">
        <v>40</v>
      </c>
      <c r="I4441" s="6">
        <v>15000</v>
      </c>
      <c r="J4441" s="6">
        <v>15000</v>
      </c>
      <c r="K4441" s="37" t="s">
        <v>7102</v>
      </c>
      <c r="L4441" s="119"/>
      <c r="M4441" s="3"/>
    </row>
    <row r="4442" spans="1:13" s="4" customFormat="1" ht="14.25" customHeight="1" x14ac:dyDescent="0.25">
      <c r="A4442" s="4" t="s">
        <v>7277</v>
      </c>
      <c r="B4442" s="4" t="s">
        <v>90</v>
      </c>
      <c r="C4442" s="4" t="s">
        <v>14</v>
      </c>
      <c r="D4442" s="35">
        <v>5606</v>
      </c>
      <c r="E4442" s="4" t="s">
        <v>7278</v>
      </c>
      <c r="F4442" s="5">
        <v>39924</v>
      </c>
      <c r="G4442" s="5">
        <v>39994</v>
      </c>
      <c r="H4442" s="4" t="s">
        <v>40</v>
      </c>
      <c r="I4442" s="6">
        <v>10200</v>
      </c>
      <c r="J4442" s="6">
        <v>5100</v>
      </c>
      <c r="K4442" s="37" t="s">
        <v>7102</v>
      </c>
      <c r="L4442" s="119"/>
      <c r="M4442" s="3"/>
    </row>
    <row r="4443" spans="1:13" s="4" customFormat="1" ht="14.25" customHeight="1" x14ac:dyDescent="0.25">
      <c r="A4443" s="4" t="s">
        <v>7279</v>
      </c>
      <c r="B4443" s="4" t="s">
        <v>90</v>
      </c>
      <c r="C4443" s="4" t="s">
        <v>14</v>
      </c>
      <c r="D4443" s="35">
        <v>5607</v>
      </c>
      <c r="E4443" s="4" t="s">
        <v>7280</v>
      </c>
      <c r="F4443" s="5">
        <v>39924</v>
      </c>
      <c r="G4443" s="5">
        <v>40072</v>
      </c>
      <c r="H4443" s="4" t="s">
        <v>40</v>
      </c>
      <c r="I4443" s="6">
        <v>3500</v>
      </c>
      <c r="J4443" s="6">
        <v>1750</v>
      </c>
      <c r="K4443" s="37" t="s">
        <v>7102</v>
      </c>
      <c r="L4443" s="119"/>
      <c r="M4443" s="3"/>
    </row>
    <row r="4444" spans="1:13" s="4" customFormat="1" ht="14.25" customHeight="1" x14ac:dyDescent="0.25">
      <c r="A4444" s="4" t="s">
        <v>7281</v>
      </c>
      <c r="B4444" s="4" t="s">
        <v>90</v>
      </c>
      <c r="C4444" s="4" t="s">
        <v>14</v>
      </c>
      <c r="D4444" s="35">
        <v>5634</v>
      </c>
      <c r="E4444" s="4" t="s">
        <v>7282</v>
      </c>
      <c r="F4444" s="5">
        <v>39798</v>
      </c>
      <c r="G4444" s="5">
        <v>40060</v>
      </c>
      <c r="H4444" s="4" t="s">
        <v>40</v>
      </c>
      <c r="I4444" s="6">
        <v>4829</v>
      </c>
      <c r="J4444" s="6">
        <v>2414</v>
      </c>
      <c r="K4444" s="37" t="s">
        <v>7102</v>
      </c>
      <c r="L4444" s="119"/>
      <c r="M4444" s="3"/>
    </row>
    <row r="4445" spans="1:13" s="4" customFormat="1" ht="14.25" customHeight="1" x14ac:dyDescent="0.25">
      <c r="A4445" s="4" t="s">
        <v>7283</v>
      </c>
      <c r="B4445" s="4" t="s">
        <v>90</v>
      </c>
      <c r="C4445" s="4" t="s">
        <v>14</v>
      </c>
      <c r="D4445" s="35">
        <v>5636</v>
      </c>
      <c r="E4445" s="4" t="s">
        <v>7284</v>
      </c>
      <c r="F4445" s="5">
        <v>39549</v>
      </c>
      <c r="G4445" s="5">
        <v>39953</v>
      </c>
      <c r="H4445" s="4" t="s">
        <v>40</v>
      </c>
      <c r="I4445" s="6">
        <v>8010</v>
      </c>
      <c r="J4445" s="6">
        <v>4005</v>
      </c>
      <c r="K4445" s="37" t="s">
        <v>7102</v>
      </c>
      <c r="L4445" s="119"/>
      <c r="M4445" s="3"/>
    </row>
    <row r="4446" spans="1:13" s="4" customFormat="1" ht="14.25" customHeight="1" x14ac:dyDescent="0.25">
      <c r="A4446" s="4" t="s">
        <v>7285</v>
      </c>
      <c r="B4446" s="4" t="s">
        <v>90</v>
      </c>
      <c r="C4446" s="4" t="s">
        <v>14</v>
      </c>
      <c r="D4446" s="35">
        <v>5637</v>
      </c>
      <c r="E4446" s="4" t="s">
        <v>7286</v>
      </c>
      <c r="F4446" s="5">
        <v>39924</v>
      </c>
      <c r="G4446" s="5">
        <v>40168</v>
      </c>
      <c r="H4446" s="4" t="s">
        <v>40</v>
      </c>
      <c r="I4446" s="6">
        <v>3600</v>
      </c>
      <c r="J4446" s="6">
        <v>1800</v>
      </c>
      <c r="K4446" s="37" t="s">
        <v>7102</v>
      </c>
      <c r="L4446" s="119"/>
      <c r="M4446" s="3"/>
    </row>
    <row r="4447" spans="1:13" s="4" customFormat="1" ht="14.25" customHeight="1" x14ac:dyDescent="0.25">
      <c r="A4447" s="4" t="s">
        <v>7287</v>
      </c>
      <c r="B4447" s="4" t="s">
        <v>90</v>
      </c>
      <c r="C4447" s="4" t="s">
        <v>14</v>
      </c>
      <c r="D4447" s="35">
        <v>5638</v>
      </c>
      <c r="E4447" s="4" t="s">
        <v>7288</v>
      </c>
      <c r="F4447" s="5">
        <v>40085</v>
      </c>
      <c r="G4447" s="5">
        <v>40168</v>
      </c>
      <c r="H4447" s="4" t="s">
        <v>40</v>
      </c>
      <c r="I4447" s="6">
        <v>10200</v>
      </c>
      <c r="J4447" s="6">
        <v>5100</v>
      </c>
      <c r="K4447" s="37" t="s">
        <v>7102</v>
      </c>
      <c r="L4447" s="119"/>
      <c r="M4447" s="3"/>
    </row>
    <row r="4448" spans="1:13" s="4" customFormat="1" ht="14.25" customHeight="1" x14ac:dyDescent="0.25">
      <c r="A4448" s="4" t="s">
        <v>7289</v>
      </c>
      <c r="B4448" s="4" t="s">
        <v>90</v>
      </c>
      <c r="C4448" s="4" t="s">
        <v>14</v>
      </c>
      <c r="D4448" s="35">
        <v>5639</v>
      </c>
      <c r="E4448" s="4" t="s">
        <v>7290</v>
      </c>
      <c r="F4448" s="5">
        <v>39924</v>
      </c>
      <c r="G4448" s="5">
        <v>40165</v>
      </c>
      <c r="H4448" s="4" t="s">
        <v>40</v>
      </c>
      <c r="I4448" s="6">
        <v>8000</v>
      </c>
      <c r="J4448" s="6">
        <v>4000</v>
      </c>
      <c r="K4448" s="37" t="s">
        <v>7102</v>
      </c>
      <c r="L4448" s="119"/>
      <c r="M4448" s="3"/>
    </row>
    <row r="4449" spans="1:13" s="4" customFormat="1" ht="14.25" customHeight="1" x14ac:dyDescent="0.25">
      <c r="A4449" s="4" t="s">
        <v>7291</v>
      </c>
      <c r="B4449" s="4" t="s">
        <v>59</v>
      </c>
      <c r="C4449" s="4" t="s">
        <v>14</v>
      </c>
      <c r="D4449" s="35">
        <v>5640</v>
      </c>
      <c r="E4449" s="4" t="s">
        <v>7292</v>
      </c>
      <c r="F4449" s="5">
        <v>39974</v>
      </c>
      <c r="G4449" s="5">
        <v>40253</v>
      </c>
      <c r="H4449" s="4" t="s">
        <v>40</v>
      </c>
      <c r="I4449" s="6">
        <v>7000</v>
      </c>
      <c r="J4449" s="6">
        <v>7000</v>
      </c>
      <c r="K4449" s="37" t="s">
        <v>7102</v>
      </c>
      <c r="L4449" s="119"/>
      <c r="M4449" s="3"/>
    </row>
    <row r="4450" spans="1:13" s="4" customFormat="1" ht="14.25" customHeight="1" x14ac:dyDescent="0.25">
      <c r="A4450" s="4" t="s">
        <v>7295</v>
      </c>
      <c r="B4450" s="4" t="s">
        <v>90</v>
      </c>
      <c r="C4450" s="4" t="s">
        <v>14</v>
      </c>
      <c r="D4450" s="35">
        <v>5642</v>
      </c>
      <c r="E4450" s="4" t="s">
        <v>7296</v>
      </c>
      <c r="F4450" s="5">
        <v>39616</v>
      </c>
      <c r="G4450" s="5">
        <v>39813</v>
      </c>
      <c r="H4450" s="4" t="s">
        <v>40</v>
      </c>
      <c r="I4450" s="6">
        <v>5490</v>
      </c>
      <c r="J4450" s="6">
        <v>2745</v>
      </c>
      <c r="K4450" s="37" t="s">
        <v>7102</v>
      </c>
      <c r="L4450" s="119"/>
      <c r="M4450" s="3"/>
    </row>
    <row r="4451" spans="1:13" s="4" customFormat="1" ht="14.25" customHeight="1" x14ac:dyDescent="0.25">
      <c r="A4451" s="4" t="s">
        <v>7297</v>
      </c>
      <c r="B4451" s="4" t="s">
        <v>50</v>
      </c>
      <c r="C4451" s="4" t="s">
        <v>14</v>
      </c>
      <c r="D4451" s="35">
        <v>5643</v>
      </c>
      <c r="E4451" s="4" t="s">
        <v>7298</v>
      </c>
      <c r="F4451" s="5">
        <v>39707</v>
      </c>
      <c r="G4451" s="5">
        <v>39813</v>
      </c>
      <c r="H4451" s="4" t="s">
        <v>40</v>
      </c>
      <c r="I4451" s="6">
        <v>36875</v>
      </c>
      <c r="J4451" s="6">
        <v>18437</v>
      </c>
      <c r="K4451" s="37" t="s">
        <v>7102</v>
      </c>
      <c r="L4451" s="119"/>
      <c r="M4451" s="3"/>
    </row>
    <row r="4452" spans="1:13" s="4" customFormat="1" ht="14.25" customHeight="1" x14ac:dyDescent="0.25">
      <c r="A4452" s="4" t="s">
        <v>7299</v>
      </c>
      <c r="B4452" s="4" t="s">
        <v>183</v>
      </c>
      <c r="C4452" s="4" t="s">
        <v>14</v>
      </c>
      <c r="D4452" s="35">
        <v>7531</v>
      </c>
      <c r="E4452" s="4" t="s">
        <v>7300</v>
      </c>
      <c r="F4452" s="5">
        <v>40246</v>
      </c>
      <c r="G4452" s="5">
        <v>40533</v>
      </c>
      <c r="H4452" s="4" t="s">
        <v>40</v>
      </c>
      <c r="I4452" s="6">
        <v>18575</v>
      </c>
      <c r="J4452" s="6">
        <v>11250</v>
      </c>
      <c r="K4452" s="37" t="s">
        <v>7102</v>
      </c>
      <c r="L4452" s="119"/>
      <c r="M4452" s="3"/>
    </row>
    <row r="4453" spans="1:13" s="4" customFormat="1" ht="14.25" customHeight="1" x14ac:dyDescent="0.25">
      <c r="A4453" s="4" t="s">
        <v>7301</v>
      </c>
      <c r="B4453" s="4" t="s">
        <v>190</v>
      </c>
      <c r="C4453" s="4" t="s">
        <v>14</v>
      </c>
      <c r="D4453" s="35">
        <v>7532</v>
      </c>
      <c r="E4453" s="4" t="s">
        <v>7302</v>
      </c>
      <c r="F4453" s="5">
        <v>40435</v>
      </c>
      <c r="G4453" s="5">
        <v>40533</v>
      </c>
      <c r="H4453" s="4" t="s">
        <v>40</v>
      </c>
      <c r="I4453" s="6">
        <v>22100</v>
      </c>
      <c r="J4453" s="6">
        <v>11050</v>
      </c>
      <c r="K4453" s="37" t="s">
        <v>7102</v>
      </c>
      <c r="L4453" s="119"/>
      <c r="M4453" s="3"/>
    </row>
    <row r="4454" spans="1:13" s="4" customFormat="1" ht="14.25" customHeight="1" x14ac:dyDescent="0.25">
      <c r="A4454" s="4" t="s">
        <v>7303</v>
      </c>
      <c r="B4454" s="4" t="s">
        <v>90</v>
      </c>
      <c r="C4454" s="4" t="s">
        <v>14</v>
      </c>
      <c r="D4454" s="35">
        <v>7533</v>
      </c>
      <c r="E4454" s="4" t="s">
        <v>7304</v>
      </c>
      <c r="F4454" s="5">
        <v>40246</v>
      </c>
      <c r="G4454" s="5">
        <v>40533</v>
      </c>
      <c r="H4454" s="4" t="s">
        <v>40</v>
      </c>
      <c r="I4454" s="6">
        <v>10000</v>
      </c>
      <c r="J4454" s="6">
        <v>5000</v>
      </c>
      <c r="K4454" s="37" t="s">
        <v>7102</v>
      </c>
      <c r="L4454" s="119"/>
      <c r="M4454" s="3"/>
    </row>
    <row r="4455" spans="1:13" s="4" customFormat="1" ht="14.25" customHeight="1" x14ac:dyDescent="0.25">
      <c r="A4455" s="4" t="s">
        <v>7307</v>
      </c>
      <c r="B4455" s="4" t="s">
        <v>183</v>
      </c>
      <c r="C4455" s="4" t="s">
        <v>14</v>
      </c>
      <c r="D4455" s="35">
        <v>7535</v>
      </c>
      <c r="E4455" s="4" t="s">
        <v>7308</v>
      </c>
      <c r="F4455" s="5">
        <v>40121</v>
      </c>
      <c r="G4455" s="5">
        <v>40534</v>
      </c>
      <c r="H4455" s="4" t="s">
        <v>40</v>
      </c>
      <c r="I4455" s="6">
        <v>36365</v>
      </c>
      <c r="J4455" s="6">
        <v>23149.5</v>
      </c>
      <c r="K4455" s="37" t="s">
        <v>7102</v>
      </c>
      <c r="L4455" s="119"/>
      <c r="M4455" s="3"/>
    </row>
    <row r="4456" spans="1:13" s="4" customFormat="1" ht="14.25" customHeight="1" x14ac:dyDescent="0.25">
      <c r="A4456" s="4" t="s">
        <v>7309</v>
      </c>
      <c r="B4456" s="4" t="s">
        <v>183</v>
      </c>
      <c r="C4456" s="4" t="s">
        <v>14</v>
      </c>
      <c r="D4456" s="35">
        <v>7536</v>
      </c>
      <c r="E4456" s="4" t="s">
        <v>7310</v>
      </c>
      <c r="F4456" s="5">
        <v>40435</v>
      </c>
      <c r="G4456" s="5">
        <v>40534</v>
      </c>
      <c r="H4456" s="4" t="s">
        <v>40</v>
      </c>
      <c r="I4456" s="6">
        <v>25896.58</v>
      </c>
      <c r="J4456" s="6">
        <v>12948</v>
      </c>
      <c r="K4456" s="37" t="s">
        <v>7102</v>
      </c>
      <c r="L4456" s="119"/>
      <c r="M4456" s="3"/>
    </row>
    <row r="4457" spans="1:13" s="4" customFormat="1" ht="14.25" customHeight="1" x14ac:dyDescent="0.25">
      <c r="A4457" s="4" t="s">
        <v>7311</v>
      </c>
      <c r="B4457" s="4" t="s">
        <v>183</v>
      </c>
      <c r="C4457" s="4" t="s">
        <v>14</v>
      </c>
      <c r="D4457" s="35">
        <v>7537</v>
      </c>
      <c r="E4457" s="4" t="s">
        <v>7312</v>
      </c>
      <c r="F4457" s="5">
        <v>40330</v>
      </c>
      <c r="G4457" s="5">
        <v>40520</v>
      </c>
      <c r="H4457" s="4" t="s">
        <v>40</v>
      </c>
      <c r="I4457" s="6">
        <v>5609</v>
      </c>
      <c r="J4457" s="6">
        <v>5000</v>
      </c>
      <c r="K4457" s="37" t="s">
        <v>7102</v>
      </c>
      <c r="L4457" s="119"/>
      <c r="M4457" s="3"/>
    </row>
    <row r="4458" spans="1:13" s="4" customFormat="1" ht="14.25" customHeight="1" x14ac:dyDescent="0.25">
      <c r="A4458" s="4" t="s">
        <v>7313</v>
      </c>
      <c r="B4458" s="4" t="s">
        <v>90</v>
      </c>
      <c r="C4458" s="4" t="s">
        <v>14</v>
      </c>
      <c r="D4458" s="35">
        <v>7538</v>
      </c>
      <c r="E4458" s="4" t="s">
        <v>7314</v>
      </c>
      <c r="F4458" s="5">
        <v>40527</v>
      </c>
      <c r="G4458" s="5">
        <v>40533</v>
      </c>
      <c r="H4458" s="4" t="s">
        <v>40</v>
      </c>
      <c r="I4458" s="6">
        <v>10200</v>
      </c>
      <c r="J4458" s="6">
        <v>5100</v>
      </c>
      <c r="K4458" s="37" t="s">
        <v>7102</v>
      </c>
      <c r="L4458" s="119"/>
      <c r="M4458" s="3"/>
    </row>
    <row r="4459" spans="1:13" s="4" customFormat="1" ht="14.25" customHeight="1" x14ac:dyDescent="0.25">
      <c r="A4459" s="4" t="s">
        <v>7315</v>
      </c>
      <c r="B4459" s="4" t="s">
        <v>50</v>
      </c>
      <c r="C4459" s="4" t="s">
        <v>14</v>
      </c>
      <c r="D4459" s="35">
        <v>7539</v>
      </c>
      <c r="E4459" s="4" t="s">
        <v>7316</v>
      </c>
      <c r="F4459" s="5">
        <v>39868</v>
      </c>
      <c r="G4459" s="5">
        <v>40253</v>
      </c>
      <c r="H4459" s="4" t="s">
        <v>40</v>
      </c>
      <c r="I4459" s="6">
        <v>78254</v>
      </c>
      <c r="J4459" s="6">
        <v>39127</v>
      </c>
      <c r="K4459" s="37" t="s">
        <v>7102</v>
      </c>
      <c r="L4459" s="119"/>
      <c r="M4459" s="3"/>
    </row>
    <row r="4460" spans="1:13" s="4" customFormat="1" ht="14.25" customHeight="1" x14ac:dyDescent="0.25">
      <c r="A4460" s="4" t="s">
        <v>7317</v>
      </c>
      <c r="B4460" s="4" t="s">
        <v>59</v>
      </c>
      <c r="C4460" s="4" t="s">
        <v>14</v>
      </c>
      <c r="D4460" s="35">
        <v>7540</v>
      </c>
      <c r="E4460" s="4" t="s">
        <v>7318</v>
      </c>
      <c r="F4460" s="5">
        <v>40162</v>
      </c>
      <c r="G4460" s="5">
        <v>40360</v>
      </c>
      <c r="H4460" s="4" t="s">
        <v>40</v>
      </c>
      <c r="I4460" s="6">
        <v>3500</v>
      </c>
      <c r="J4460" s="6">
        <v>3500</v>
      </c>
      <c r="K4460" s="37" t="s">
        <v>7102</v>
      </c>
      <c r="L4460" s="119"/>
      <c r="M4460" s="3"/>
    </row>
    <row r="4461" spans="1:13" s="4" customFormat="1" ht="14.25" customHeight="1" x14ac:dyDescent="0.25">
      <c r="A4461" s="4" t="s">
        <v>7319</v>
      </c>
      <c r="B4461" s="4" t="s">
        <v>38</v>
      </c>
      <c r="C4461" s="4" t="s">
        <v>14</v>
      </c>
      <c r="D4461" s="35">
        <v>7541</v>
      </c>
      <c r="E4461" s="4" t="s">
        <v>7320</v>
      </c>
      <c r="F4461" s="5">
        <v>40611</v>
      </c>
      <c r="G4461" s="5">
        <v>41639</v>
      </c>
      <c r="H4461" s="4" t="s">
        <v>40</v>
      </c>
      <c r="I4461" s="6">
        <v>8131.82</v>
      </c>
      <c r="J4461" s="6">
        <f>2439.82+5692</f>
        <v>8131.82</v>
      </c>
      <c r="K4461" s="37" t="s">
        <v>7102</v>
      </c>
      <c r="L4461" s="119"/>
      <c r="M4461" s="3"/>
    </row>
    <row r="4462" spans="1:13" s="4" customFormat="1" ht="14.25" customHeight="1" x14ac:dyDescent="0.25">
      <c r="A4462" s="4" t="s">
        <v>7321</v>
      </c>
      <c r="B4462" s="4" t="s">
        <v>183</v>
      </c>
      <c r="C4462" s="4" t="s">
        <v>14</v>
      </c>
      <c r="D4462" s="35">
        <v>7542</v>
      </c>
      <c r="E4462" s="4" t="s">
        <v>7322</v>
      </c>
      <c r="F4462" s="5">
        <v>40435</v>
      </c>
      <c r="G4462" s="5">
        <v>40514</v>
      </c>
      <c r="H4462" s="4" t="s">
        <v>40</v>
      </c>
      <c r="I4462" s="6">
        <v>4260</v>
      </c>
      <c r="J4462" s="6">
        <v>2130</v>
      </c>
      <c r="K4462" s="37" t="s">
        <v>7102</v>
      </c>
      <c r="L4462" s="119"/>
      <c r="M4462" s="3"/>
    </row>
    <row r="4463" spans="1:13" s="4" customFormat="1" ht="14.25" customHeight="1" x14ac:dyDescent="0.25">
      <c r="A4463" s="4" t="s">
        <v>7323</v>
      </c>
      <c r="B4463" s="4" t="s">
        <v>90</v>
      </c>
      <c r="C4463" s="4" t="s">
        <v>14</v>
      </c>
      <c r="D4463" s="35">
        <v>7543</v>
      </c>
      <c r="E4463" s="4" t="s">
        <v>7324</v>
      </c>
      <c r="F4463" s="5">
        <v>40085</v>
      </c>
      <c r="G4463" s="5">
        <v>40179</v>
      </c>
      <c r="H4463" s="4" t="s">
        <v>40</v>
      </c>
      <c r="I4463" s="6">
        <v>9980</v>
      </c>
      <c r="J4463" s="6">
        <v>4990</v>
      </c>
      <c r="K4463" s="37" t="s">
        <v>7102</v>
      </c>
      <c r="L4463" s="119"/>
      <c r="M4463" s="3"/>
    </row>
    <row r="4464" spans="1:13" s="4" customFormat="1" ht="14.25" customHeight="1" x14ac:dyDescent="0.25">
      <c r="A4464" s="4" t="s">
        <v>7325</v>
      </c>
      <c r="B4464" s="4" t="s">
        <v>183</v>
      </c>
      <c r="C4464" s="4" t="s">
        <v>14</v>
      </c>
      <c r="D4464" s="35">
        <v>7544</v>
      </c>
      <c r="E4464" s="4" t="s">
        <v>7326</v>
      </c>
      <c r="F4464" s="5">
        <v>40246</v>
      </c>
      <c r="G4464" s="5">
        <v>40466</v>
      </c>
      <c r="H4464" s="4" t="s">
        <v>40</v>
      </c>
      <c r="I4464" s="6">
        <v>54000</v>
      </c>
      <c r="J4464" s="6">
        <v>27000</v>
      </c>
      <c r="K4464" s="37" t="s">
        <v>7102</v>
      </c>
      <c r="L4464" s="119"/>
      <c r="M4464" s="3"/>
    </row>
    <row r="4465" spans="1:13" s="4" customFormat="1" ht="14.25" customHeight="1" x14ac:dyDescent="0.25">
      <c r="A4465" s="4" t="s">
        <v>7327</v>
      </c>
      <c r="B4465" s="4" t="s">
        <v>183</v>
      </c>
      <c r="C4465" s="4" t="s">
        <v>14</v>
      </c>
      <c r="D4465" s="35">
        <v>7545</v>
      </c>
      <c r="E4465" s="4" t="s">
        <v>7328</v>
      </c>
      <c r="F4465" s="5">
        <v>40330</v>
      </c>
      <c r="G4465" s="5">
        <v>40526</v>
      </c>
      <c r="H4465" s="4" t="s">
        <v>40</v>
      </c>
      <c r="I4465" s="6">
        <v>20000</v>
      </c>
      <c r="J4465" s="6">
        <v>10000</v>
      </c>
      <c r="K4465" s="37" t="s">
        <v>7102</v>
      </c>
      <c r="L4465" s="119"/>
      <c r="M4465" s="3"/>
    </row>
    <row r="4466" spans="1:13" s="4" customFormat="1" ht="14.25" customHeight="1" x14ac:dyDescent="0.25">
      <c r="A4466" s="4" t="s">
        <v>7329</v>
      </c>
      <c r="B4466" s="4" t="s">
        <v>90</v>
      </c>
      <c r="C4466" s="4" t="s">
        <v>14</v>
      </c>
      <c r="D4466" s="35">
        <v>7546</v>
      </c>
      <c r="E4466" s="4" t="s">
        <v>7330</v>
      </c>
      <c r="F4466" s="5">
        <v>40085</v>
      </c>
      <c r="G4466" s="5">
        <v>40218</v>
      </c>
      <c r="H4466" s="4" t="s">
        <v>40</v>
      </c>
      <c r="I4466" s="6">
        <v>1410</v>
      </c>
      <c r="J4466" s="6">
        <v>705</v>
      </c>
      <c r="K4466" s="37" t="s">
        <v>7102</v>
      </c>
      <c r="L4466" s="119"/>
      <c r="M4466" s="3"/>
    </row>
    <row r="4467" spans="1:13" s="4" customFormat="1" ht="14.25" customHeight="1" x14ac:dyDescent="0.25">
      <c r="A4467" s="4" t="s">
        <v>7333</v>
      </c>
      <c r="B4467" s="4" t="s">
        <v>50</v>
      </c>
      <c r="C4467" s="4" t="s">
        <v>14</v>
      </c>
      <c r="D4467" s="35">
        <v>7548</v>
      </c>
      <c r="E4467" s="4" t="s">
        <v>7334</v>
      </c>
      <c r="F4467" s="5">
        <v>40162</v>
      </c>
      <c r="G4467" s="5">
        <v>40253</v>
      </c>
      <c r="H4467" s="4" t="s">
        <v>40</v>
      </c>
      <c r="I4467" s="6">
        <v>15290</v>
      </c>
      <c r="J4467" s="6">
        <v>7645</v>
      </c>
      <c r="K4467" s="37" t="s">
        <v>7102</v>
      </c>
      <c r="L4467" s="119"/>
      <c r="M4467" s="3"/>
    </row>
    <row r="4468" spans="1:13" s="4" customFormat="1" ht="14.25" customHeight="1" x14ac:dyDescent="0.25">
      <c r="A4468" s="4" t="s">
        <v>7335</v>
      </c>
      <c r="B4468" s="4" t="s">
        <v>190</v>
      </c>
      <c r="C4468" s="4" t="s">
        <v>14</v>
      </c>
      <c r="D4468" s="35">
        <v>7549</v>
      </c>
      <c r="E4468" s="4" t="s">
        <v>7336</v>
      </c>
      <c r="F4468" s="5">
        <v>40330</v>
      </c>
      <c r="G4468" s="5">
        <v>40378</v>
      </c>
      <c r="H4468" s="4" t="s">
        <v>40</v>
      </c>
      <c r="I4468" s="6">
        <v>1900</v>
      </c>
      <c r="J4468" s="6">
        <v>950</v>
      </c>
      <c r="K4468" s="37" t="s">
        <v>7102</v>
      </c>
      <c r="L4468" s="119"/>
      <c r="M4468" s="3"/>
    </row>
    <row r="4469" spans="1:13" s="4" customFormat="1" ht="14.25" customHeight="1" x14ac:dyDescent="0.25">
      <c r="A4469" s="4" t="s">
        <v>7337</v>
      </c>
      <c r="B4469" s="4" t="s">
        <v>59</v>
      </c>
      <c r="C4469" s="4" t="s">
        <v>14</v>
      </c>
      <c r="D4469" s="35">
        <v>7550</v>
      </c>
      <c r="E4469" s="4" t="s">
        <v>7338</v>
      </c>
      <c r="F4469" s="5">
        <v>39974</v>
      </c>
      <c r="G4469" s="5">
        <v>40297</v>
      </c>
      <c r="H4469" s="4" t="s">
        <v>40</v>
      </c>
      <c r="I4469" s="6">
        <v>7500</v>
      </c>
      <c r="J4469" s="6">
        <v>7500</v>
      </c>
      <c r="K4469" s="37" t="s">
        <v>7102</v>
      </c>
      <c r="L4469" s="119"/>
      <c r="M4469" s="3"/>
    </row>
    <row r="4470" spans="1:13" s="4" customFormat="1" ht="14.25" customHeight="1" x14ac:dyDescent="0.25">
      <c r="A4470" s="4" t="s">
        <v>7341</v>
      </c>
      <c r="B4470" s="4" t="s">
        <v>183</v>
      </c>
      <c r="C4470" s="4" t="s">
        <v>14</v>
      </c>
      <c r="D4470" s="35">
        <v>8854</v>
      </c>
      <c r="E4470" s="4" t="s">
        <v>7342</v>
      </c>
      <c r="F4470" s="5">
        <v>40610</v>
      </c>
      <c r="G4470" s="5">
        <v>40764</v>
      </c>
      <c r="H4470" s="4" t="s">
        <v>40</v>
      </c>
      <c r="I4470" s="6">
        <v>59938</v>
      </c>
      <c r="J4470" s="6">
        <v>29969</v>
      </c>
      <c r="K4470" s="37" t="s">
        <v>7102</v>
      </c>
      <c r="L4470" s="119"/>
      <c r="M4470" s="3"/>
    </row>
    <row r="4471" spans="1:13" s="4" customFormat="1" ht="14.25" customHeight="1" x14ac:dyDescent="0.25">
      <c r="A4471" s="4" t="s">
        <v>7343</v>
      </c>
      <c r="B4471" s="4" t="s">
        <v>190</v>
      </c>
      <c r="C4471" s="4" t="s">
        <v>14</v>
      </c>
      <c r="D4471" s="35">
        <v>8855</v>
      </c>
      <c r="E4471" s="4" t="s">
        <v>7344</v>
      </c>
      <c r="F4471" s="5">
        <v>40561</v>
      </c>
      <c r="G4471" s="5">
        <v>40861</v>
      </c>
      <c r="H4471" s="4" t="s">
        <v>40</v>
      </c>
      <c r="I4471" s="6">
        <v>25860</v>
      </c>
      <c r="J4471" s="6">
        <v>12930</v>
      </c>
      <c r="K4471" s="37" t="s">
        <v>7102</v>
      </c>
      <c r="L4471" s="119"/>
      <c r="M4471" s="3"/>
    </row>
    <row r="4472" spans="1:13" s="4" customFormat="1" ht="14.25" customHeight="1" x14ac:dyDescent="0.25">
      <c r="A4472" s="4" t="s">
        <v>7345</v>
      </c>
      <c r="B4472" s="4" t="s">
        <v>183</v>
      </c>
      <c r="C4472" s="4" t="s">
        <v>14</v>
      </c>
      <c r="D4472" s="35">
        <v>8857</v>
      </c>
      <c r="E4472" s="4" t="s">
        <v>7346</v>
      </c>
      <c r="F4472" s="5">
        <v>40862</v>
      </c>
      <c r="G4472" s="5">
        <v>41138</v>
      </c>
      <c r="H4472" s="4" t="s">
        <v>40</v>
      </c>
      <c r="I4472" s="6">
        <v>12100</v>
      </c>
      <c r="J4472" s="6">
        <v>9800</v>
      </c>
      <c r="K4472" s="37" t="s">
        <v>7102</v>
      </c>
      <c r="L4472" s="119"/>
      <c r="M4472" s="3"/>
    </row>
    <row r="4473" spans="1:13" s="4" customFormat="1" ht="14.25" customHeight="1" x14ac:dyDescent="0.25">
      <c r="A4473" s="4" t="s">
        <v>7347</v>
      </c>
      <c r="B4473" s="4" t="s">
        <v>190</v>
      </c>
      <c r="C4473" s="4" t="s">
        <v>14</v>
      </c>
      <c r="D4473" s="35">
        <v>8858</v>
      </c>
      <c r="E4473" s="4" t="s">
        <v>7348</v>
      </c>
      <c r="F4473" s="5">
        <v>40330</v>
      </c>
      <c r="G4473" s="5">
        <v>40617</v>
      </c>
      <c r="H4473" s="4" t="s">
        <v>40</v>
      </c>
      <c r="I4473" s="6">
        <v>25482</v>
      </c>
      <c r="J4473" s="6">
        <v>12741</v>
      </c>
      <c r="K4473" s="37" t="s">
        <v>7102</v>
      </c>
      <c r="L4473" s="119"/>
      <c r="M4473" s="3"/>
    </row>
    <row r="4474" spans="1:13" s="4" customFormat="1" ht="14.25" customHeight="1" x14ac:dyDescent="0.25">
      <c r="A4474" s="4" t="s">
        <v>7349</v>
      </c>
      <c r="B4474" s="4" t="s">
        <v>183</v>
      </c>
      <c r="C4474" s="4" t="s">
        <v>14</v>
      </c>
      <c r="D4474" s="35">
        <v>8861</v>
      </c>
      <c r="E4474" s="4" t="s">
        <v>7350</v>
      </c>
      <c r="F4474" s="5">
        <v>40680</v>
      </c>
      <c r="G4474" s="5">
        <v>40816</v>
      </c>
      <c r="H4474" s="4" t="s">
        <v>40</v>
      </c>
      <c r="I4474" s="6">
        <v>4320</v>
      </c>
      <c r="J4474" s="6">
        <v>2160</v>
      </c>
      <c r="K4474" s="37" t="s">
        <v>7102</v>
      </c>
      <c r="L4474" s="119"/>
      <c r="M4474" s="3"/>
    </row>
    <row r="4475" spans="1:13" s="4" customFormat="1" ht="25.5" x14ac:dyDescent="0.25">
      <c r="A4475" s="4" t="s">
        <v>7351</v>
      </c>
      <c r="B4475" s="4" t="s">
        <v>190</v>
      </c>
      <c r="C4475" s="4" t="s">
        <v>14</v>
      </c>
      <c r="D4475" s="35">
        <v>8862</v>
      </c>
      <c r="E4475" s="4" t="s">
        <v>7352</v>
      </c>
      <c r="F4475" s="5">
        <v>40680</v>
      </c>
      <c r="G4475" s="5">
        <v>40842</v>
      </c>
      <c r="H4475" s="4" t="s">
        <v>40</v>
      </c>
      <c r="I4475" s="6">
        <v>4300</v>
      </c>
      <c r="J4475" s="6">
        <v>2150</v>
      </c>
      <c r="K4475" s="37" t="s">
        <v>7102</v>
      </c>
      <c r="L4475" s="119"/>
      <c r="M4475" s="3"/>
    </row>
    <row r="4476" spans="1:13" s="4" customFormat="1" ht="14.25" customHeight="1" x14ac:dyDescent="0.25">
      <c r="A4476" s="4" t="s">
        <v>7353</v>
      </c>
      <c r="B4476" s="4" t="s">
        <v>183</v>
      </c>
      <c r="C4476" s="4" t="s">
        <v>14</v>
      </c>
      <c r="D4476" s="35">
        <v>8863</v>
      </c>
      <c r="E4476" s="4" t="s">
        <v>7354</v>
      </c>
      <c r="F4476" s="5">
        <v>40435</v>
      </c>
      <c r="G4476" s="5">
        <v>40694</v>
      </c>
      <c r="H4476" s="4" t="s">
        <v>40</v>
      </c>
      <c r="I4476" s="6">
        <v>9906</v>
      </c>
      <c r="J4476" s="6">
        <v>4953</v>
      </c>
      <c r="K4476" s="37" t="s">
        <v>7102</v>
      </c>
      <c r="L4476" s="119"/>
      <c r="M4476" s="3"/>
    </row>
    <row r="4477" spans="1:13" s="4" customFormat="1" ht="14.25" customHeight="1" x14ac:dyDescent="0.25">
      <c r="A4477" s="4" t="s">
        <v>7355</v>
      </c>
      <c r="B4477" s="4" t="s">
        <v>190</v>
      </c>
      <c r="C4477" s="4" t="s">
        <v>14</v>
      </c>
      <c r="D4477" s="35">
        <v>8864</v>
      </c>
      <c r="E4477" s="4" t="s">
        <v>7356</v>
      </c>
      <c r="F4477" s="5">
        <v>40799</v>
      </c>
      <c r="G4477" s="5">
        <v>40870</v>
      </c>
      <c r="H4477" s="4" t="s">
        <v>40</v>
      </c>
      <c r="I4477" s="6">
        <v>20000</v>
      </c>
      <c r="J4477" s="6">
        <v>10000</v>
      </c>
      <c r="K4477" s="37" t="s">
        <v>7102</v>
      </c>
      <c r="L4477" s="119"/>
      <c r="M4477" s="3"/>
    </row>
    <row r="4478" spans="1:13" s="4" customFormat="1" ht="14.25" customHeight="1" x14ac:dyDescent="0.25">
      <c r="A4478" s="4" t="s">
        <v>7357</v>
      </c>
      <c r="B4478" s="4" t="s">
        <v>190</v>
      </c>
      <c r="C4478" s="4" t="s">
        <v>14</v>
      </c>
      <c r="D4478" s="35">
        <v>8865</v>
      </c>
      <c r="E4478" s="4" t="s">
        <v>7358</v>
      </c>
      <c r="F4478" s="5">
        <v>40610</v>
      </c>
      <c r="G4478" s="5">
        <v>40897</v>
      </c>
      <c r="H4478" s="4" t="s">
        <v>40</v>
      </c>
      <c r="I4478" s="6">
        <v>34790</v>
      </c>
      <c r="J4478" s="6">
        <v>17395</v>
      </c>
      <c r="K4478" s="37" t="s">
        <v>7102</v>
      </c>
      <c r="L4478" s="119"/>
      <c r="M4478" s="3"/>
    </row>
    <row r="4479" spans="1:13" ht="14.25" customHeight="1" x14ac:dyDescent="0.25">
      <c r="A4479" s="13" t="s">
        <v>11076</v>
      </c>
      <c r="B4479" s="13" t="s">
        <v>38</v>
      </c>
      <c r="C4479" s="13" t="s">
        <v>14</v>
      </c>
      <c r="D4479" s="19">
        <v>8866</v>
      </c>
      <c r="E4479" s="13" t="s">
        <v>11077</v>
      </c>
      <c r="F4479" s="14">
        <v>41275</v>
      </c>
      <c r="G4479" s="14">
        <v>41639</v>
      </c>
      <c r="H4479" s="13" t="s">
        <v>651</v>
      </c>
      <c r="I4479" s="18">
        <v>10400</v>
      </c>
      <c r="J4479" s="18">
        <v>5200</v>
      </c>
      <c r="K4479" s="20" t="s">
        <v>7102</v>
      </c>
    </row>
    <row r="4480" spans="1:13" s="4" customFormat="1" ht="14.25" customHeight="1" x14ac:dyDescent="0.25">
      <c r="A4480" s="4" t="s">
        <v>7361</v>
      </c>
      <c r="B4480" s="4" t="s">
        <v>190</v>
      </c>
      <c r="C4480" s="4" t="s">
        <v>14</v>
      </c>
      <c r="D4480" s="35">
        <v>8868</v>
      </c>
      <c r="E4480" s="4" t="s">
        <v>7362</v>
      </c>
      <c r="F4480" s="5">
        <v>40711</v>
      </c>
      <c r="G4480" s="5">
        <v>40722</v>
      </c>
      <c r="H4480" s="4" t="s">
        <v>40</v>
      </c>
      <c r="I4480" s="6">
        <v>15000</v>
      </c>
      <c r="J4480" s="6">
        <v>7500</v>
      </c>
      <c r="K4480" s="37" t="s">
        <v>7102</v>
      </c>
      <c r="L4480" s="119"/>
      <c r="M4480" s="3"/>
    </row>
    <row r="4481" spans="1:13" s="4" customFormat="1" ht="14.25" customHeight="1" x14ac:dyDescent="0.25">
      <c r="A4481" s="4" t="s">
        <v>7363</v>
      </c>
      <c r="B4481" s="4" t="s">
        <v>190</v>
      </c>
      <c r="C4481" s="4" t="s">
        <v>14</v>
      </c>
      <c r="D4481" s="35">
        <v>8869</v>
      </c>
      <c r="E4481" s="4" t="s">
        <v>7364</v>
      </c>
      <c r="F4481" s="5">
        <v>40799</v>
      </c>
      <c r="G4481" s="5">
        <v>40842</v>
      </c>
      <c r="H4481" s="4" t="s">
        <v>40</v>
      </c>
      <c r="I4481" s="6">
        <v>28000</v>
      </c>
      <c r="J4481" s="6">
        <v>14000</v>
      </c>
      <c r="K4481" s="37" t="s">
        <v>7102</v>
      </c>
      <c r="L4481" s="119"/>
      <c r="M4481" s="3"/>
    </row>
    <row r="4482" spans="1:13" s="4" customFormat="1" ht="14.25" customHeight="1" x14ac:dyDescent="0.25">
      <c r="A4482" s="4" t="s">
        <v>7365</v>
      </c>
      <c r="B4482" s="4" t="s">
        <v>183</v>
      </c>
      <c r="C4482" s="4" t="s">
        <v>14</v>
      </c>
      <c r="D4482" s="35">
        <v>8870</v>
      </c>
      <c r="E4482" s="4" t="s">
        <v>7366</v>
      </c>
      <c r="F4482" s="5">
        <v>40527</v>
      </c>
      <c r="G4482" s="5">
        <v>40633</v>
      </c>
      <c r="H4482" s="4" t="s">
        <v>40</v>
      </c>
      <c r="I4482" s="6">
        <v>4100</v>
      </c>
      <c r="J4482" s="6">
        <v>2050</v>
      </c>
      <c r="K4482" s="37" t="s">
        <v>7102</v>
      </c>
      <c r="L4482" s="119"/>
      <c r="M4482" s="3"/>
    </row>
    <row r="4483" spans="1:13" s="4" customFormat="1" ht="14.25" customHeight="1" x14ac:dyDescent="0.25">
      <c r="A4483" s="4" t="s">
        <v>7367</v>
      </c>
      <c r="B4483" s="4" t="s">
        <v>190</v>
      </c>
      <c r="C4483" s="4" t="s">
        <v>14</v>
      </c>
      <c r="D4483" s="35">
        <v>8871</v>
      </c>
      <c r="E4483" s="4" t="s">
        <v>7368</v>
      </c>
      <c r="F4483" s="5">
        <v>40610</v>
      </c>
      <c r="G4483" s="5">
        <v>40900</v>
      </c>
      <c r="H4483" s="4" t="s">
        <v>40</v>
      </c>
      <c r="I4483" s="6">
        <v>10244.44</v>
      </c>
      <c r="J4483" s="6">
        <v>5122</v>
      </c>
      <c r="K4483" s="37" t="s">
        <v>7102</v>
      </c>
      <c r="L4483" s="119"/>
      <c r="M4483" s="3"/>
    </row>
    <row r="4484" spans="1:13" s="4" customFormat="1" ht="14.25" customHeight="1" x14ac:dyDescent="0.25">
      <c r="A4484" s="4" t="s">
        <v>7369</v>
      </c>
      <c r="B4484" s="4" t="s">
        <v>183</v>
      </c>
      <c r="C4484" s="4" t="s">
        <v>14</v>
      </c>
      <c r="D4484" s="35">
        <v>8872</v>
      </c>
      <c r="E4484" s="4" t="s">
        <v>7370</v>
      </c>
      <c r="F4484" s="5">
        <v>40435</v>
      </c>
      <c r="G4484" s="5">
        <v>40798</v>
      </c>
      <c r="H4484" s="4" t="s">
        <v>40</v>
      </c>
      <c r="I4484" s="6">
        <v>19552</v>
      </c>
      <c r="J4484" s="6">
        <v>9776</v>
      </c>
      <c r="K4484" s="37" t="s">
        <v>7102</v>
      </c>
      <c r="L4484" s="119"/>
      <c r="M4484" s="3"/>
    </row>
    <row r="4485" spans="1:13" s="4" customFormat="1" ht="14.25" customHeight="1" x14ac:dyDescent="0.25">
      <c r="A4485" s="4" t="s">
        <v>7371</v>
      </c>
      <c r="B4485" s="4" t="s">
        <v>190</v>
      </c>
      <c r="C4485" s="4" t="s">
        <v>14</v>
      </c>
      <c r="D4485" s="35">
        <v>8873</v>
      </c>
      <c r="E4485" s="4" t="s">
        <v>7372</v>
      </c>
      <c r="F4485" s="5">
        <v>40561</v>
      </c>
      <c r="G4485" s="5">
        <v>40732</v>
      </c>
      <c r="H4485" s="4" t="s">
        <v>40</v>
      </c>
      <c r="I4485" s="6">
        <v>60000</v>
      </c>
      <c r="J4485" s="6">
        <v>30000</v>
      </c>
      <c r="K4485" s="37" t="s">
        <v>7102</v>
      </c>
      <c r="L4485" s="119"/>
      <c r="M4485" s="3"/>
    </row>
    <row r="4486" spans="1:13" s="4" customFormat="1" ht="14.25" customHeight="1" x14ac:dyDescent="0.25">
      <c r="A4486" s="4" t="s">
        <v>7373</v>
      </c>
      <c r="B4486" s="4" t="s">
        <v>190</v>
      </c>
      <c r="C4486" s="4" t="s">
        <v>14</v>
      </c>
      <c r="D4486" s="35">
        <v>8874</v>
      </c>
      <c r="E4486" s="4" t="s">
        <v>7374</v>
      </c>
      <c r="F4486" s="5">
        <v>40890</v>
      </c>
      <c r="G4486" s="5">
        <v>40897</v>
      </c>
      <c r="H4486" s="4" t="s">
        <v>40</v>
      </c>
      <c r="I4486" s="6">
        <v>29250</v>
      </c>
      <c r="J4486" s="6">
        <v>14625</v>
      </c>
      <c r="K4486" s="37" t="s">
        <v>7102</v>
      </c>
      <c r="L4486" s="119"/>
      <c r="M4486" s="3"/>
    </row>
    <row r="4487" spans="1:13" s="4" customFormat="1" ht="14.25" customHeight="1" x14ac:dyDescent="0.25">
      <c r="A4487" s="4" t="s">
        <v>7375</v>
      </c>
      <c r="B4487" s="4" t="s">
        <v>183</v>
      </c>
      <c r="C4487" s="4" t="s">
        <v>14</v>
      </c>
      <c r="D4487" s="35">
        <v>8875</v>
      </c>
      <c r="E4487" s="4" t="s">
        <v>7376</v>
      </c>
      <c r="F4487" s="5">
        <v>40527</v>
      </c>
      <c r="G4487" s="5">
        <v>40666</v>
      </c>
      <c r="H4487" s="4" t="s">
        <v>40</v>
      </c>
      <c r="I4487" s="6">
        <v>2980</v>
      </c>
      <c r="J4487" s="6">
        <v>1490</v>
      </c>
      <c r="K4487" s="37" t="s">
        <v>7102</v>
      </c>
      <c r="L4487" s="119"/>
      <c r="M4487" s="3"/>
    </row>
    <row r="4488" spans="1:13" s="4" customFormat="1" ht="14.25" customHeight="1" x14ac:dyDescent="0.25">
      <c r="A4488" s="4" t="s">
        <v>7377</v>
      </c>
      <c r="B4488" s="4" t="s">
        <v>183</v>
      </c>
      <c r="C4488" s="4" t="s">
        <v>14</v>
      </c>
      <c r="D4488" s="35">
        <v>8876</v>
      </c>
      <c r="E4488" s="4" t="s">
        <v>7378</v>
      </c>
      <c r="F4488" s="5">
        <v>40680</v>
      </c>
      <c r="G4488" s="5">
        <v>40886</v>
      </c>
      <c r="H4488" s="4" t="s">
        <v>40</v>
      </c>
      <c r="I4488" s="6">
        <v>2376</v>
      </c>
      <c r="J4488" s="6">
        <v>1188</v>
      </c>
      <c r="K4488" s="37" t="s">
        <v>7102</v>
      </c>
      <c r="L4488" s="119"/>
      <c r="M4488" s="3"/>
    </row>
    <row r="4489" spans="1:13" s="4" customFormat="1" ht="14.25" customHeight="1" x14ac:dyDescent="0.25">
      <c r="A4489" s="4" t="s">
        <v>7379</v>
      </c>
      <c r="B4489" s="4" t="s">
        <v>183</v>
      </c>
      <c r="C4489" s="4" t="s">
        <v>14</v>
      </c>
      <c r="D4489" s="35">
        <v>8877</v>
      </c>
      <c r="E4489" s="4" t="s">
        <v>7380</v>
      </c>
      <c r="F4489" s="5">
        <v>40527</v>
      </c>
      <c r="G4489" s="5">
        <v>40792</v>
      </c>
      <c r="H4489" s="4" t="s">
        <v>40</v>
      </c>
      <c r="I4489" s="6">
        <v>17173</v>
      </c>
      <c r="J4489" s="6">
        <v>8586</v>
      </c>
      <c r="K4489" s="37" t="s">
        <v>7102</v>
      </c>
      <c r="L4489" s="119"/>
      <c r="M4489" s="3"/>
    </row>
    <row r="4490" spans="1:13" s="4" customFormat="1" ht="14.25" customHeight="1" x14ac:dyDescent="0.25">
      <c r="A4490" s="4" t="s">
        <v>7385</v>
      </c>
      <c r="B4490" s="4" t="s">
        <v>38</v>
      </c>
      <c r="C4490" s="4" t="s">
        <v>14</v>
      </c>
      <c r="D4490" s="35">
        <v>8910</v>
      </c>
      <c r="E4490" s="4" t="s">
        <v>7386</v>
      </c>
      <c r="F4490" s="5">
        <v>40610</v>
      </c>
      <c r="G4490" s="5">
        <v>41639</v>
      </c>
      <c r="H4490" s="4" t="s">
        <v>40</v>
      </c>
      <c r="I4490" s="6">
        <f>16757.16+41060.6+8576.5</f>
        <v>66394.259999999995</v>
      </c>
      <c r="J4490" s="6">
        <f>12666.83+20530.3</f>
        <v>33197.129999999997</v>
      </c>
      <c r="K4490" s="37" t="s">
        <v>7102</v>
      </c>
      <c r="L4490" s="119"/>
      <c r="M4490" s="3"/>
    </row>
    <row r="4491" spans="1:13" s="4" customFormat="1" ht="14.25" customHeight="1" x14ac:dyDescent="0.25">
      <c r="A4491" s="4" t="s">
        <v>7387</v>
      </c>
      <c r="B4491" s="4" t="s">
        <v>38</v>
      </c>
      <c r="C4491" s="4" t="s">
        <v>14</v>
      </c>
      <c r="D4491" s="35">
        <v>8911</v>
      </c>
      <c r="E4491" s="4" t="s">
        <v>7388</v>
      </c>
      <c r="F4491" s="5">
        <v>40544</v>
      </c>
      <c r="G4491" s="5">
        <v>41639</v>
      </c>
      <c r="H4491" s="4" t="s">
        <v>40</v>
      </c>
      <c r="I4491" s="6">
        <f>11224+14307.76+9149</f>
        <v>34680.76</v>
      </c>
      <c r="J4491" s="6">
        <f>10186.5+7153.88</f>
        <v>17340.38</v>
      </c>
      <c r="K4491" s="37" t="s">
        <v>7102</v>
      </c>
      <c r="L4491" s="119"/>
      <c r="M4491" s="3"/>
    </row>
    <row r="4492" spans="1:13" s="4" customFormat="1" ht="14.25" customHeight="1" x14ac:dyDescent="0.25">
      <c r="A4492" s="4" t="s">
        <v>7389</v>
      </c>
      <c r="B4492" s="4" t="s">
        <v>38</v>
      </c>
      <c r="C4492" s="4" t="s">
        <v>14</v>
      </c>
      <c r="D4492" s="35">
        <v>9151</v>
      </c>
      <c r="E4492" s="4" t="s">
        <v>7390</v>
      </c>
      <c r="F4492" s="5">
        <v>40609</v>
      </c>
      <c r="G4492" s="5">
        <v>40908</v>
      </c>
      <c r="H4492" s="4" t="s">
        <v>40</v>
      </c>
      <c r="I4492" s="6">
        <v>2099.56</v>
      </c>
      <c r="J4492" s="6">
        <v>2099.56</v>
      </c>
      <c r="K4492" s="37" t="s">
        <v>7102</v>
      </c>
      <c r="L4492" s="119"/>
      <c r="M4492" s="3"/>
    </row>
    <row r="4493" spans="1:13" s="4" customFormat="1" ht="14.25" customHeight="1" x14ac:dyDescent="0.25">
      <c r="A4493" s="4" t="s">
        <v>7391</v>
      </c>
      <c r="B4493" s="4" t="s">
        <v>13</v>
      </c>
      <c r="C4493" s="4" t="s">
        <v>14</v>
      </c>
      <c r="D4493" s="35">
        <v>9203</v>
      </c>
      <c r="E4493" s="4" t="s">
        <v>7392</v>
      </c>
      <c r="F4493" s="5">
        <v>40776</v>
      </c>
      <c r="G4493" s="5">
        <v>40776</v>
      </c>
      <c r="H4493" s="4" t="s">
        <v>40</v>
      </c>
      <c r="I4493" s="6">
        <v>500</v>
      </c>
      <c r="J4493" s="6">
        <v>500</v>
      </c>
      <c r="K4493" s="37" t="s">
        <v>7102</v>
      </c>
      <c r="L4493" s="119"/>
      <c r="M4493" s="3"/>
    </row>
    <row r="4494" spans="1:13" s="4" customFormat="1" ht="14.25" customHeight="1" x14ac:dyDescent="0.25">
      <c r="A4494" s="4" t="s">
        <v>7393</v>
      </c>
      <c r="B4494" s="4" t="s">
        <v>38</v>
      </c>
      <c r="C4494" s="4" t="s">
        <v>14</v>
      </c>
      <c r="D4494" s="35">
        <v>9205</v>
      </c>
      <c r="E4494" s="4" t="s">
        <v>7394</v>
      </c>
      <c r="F4494" s="5">
        <v>40611</v>
      </c>
      <c r="G4494" s="5">
        <v>40908</v>
      </c>
      <c r="H4494" s="4" t="s">
        <v>40</v>
      </c>
      <c r="I4494" s="6">
        <v>4832</v>
      </c>
      <c r="J4494" s="6">
        <v>2416</v>
      </c>
      <c r="K4494" s="37" t="s">
        <v>7102</v>
      </c>
      <c r="L4494" s="119"/>
      <c r="M4494" s="3"/>
    </row>
    <row r="4495" spans="1:13" s="4" customFormat="1" ht="14.25" customHeight="1" x14ac:dyDescent="0.25">
      <c r="A4495" s="4" t="s">
        <v>7395</v>
      </c>
      <c r="B4495" s="4" t="s">
        <v>90</v>
      </c>
      <c r="C4495" s="4" t="s">
        <v>14</v>
      </c>
      <c r="D4495" s="35">
        <v>9209</v>
      </c>
      <c r="E4495" s="4" t="s">
        <v>7396</v>
      </c>
      <c r="F4495" s="5">
        <v>40799</v>
      </c>
      <c r="G4495" s="5">
        <v>41148</v>
      </c>
      <c r="H4495" s="4" t="s">
        <v>40</v>
      </c>
      <c r="I4495" s="6">
        <v>6000</v>
      </c>
      <c r="J4495" s="6">
        <v>3000</v>
      </c>
      <c r="K4495" s="37" t="s">
        <v>7102</v>
      </c>
      <c r="L4495" s="119"/>
      <c r="M4495" s="3"/>
    </row>
    <row r="4496" spans="1:13" s="4" customFormat="1" ht="14.25" customHeight="1" x14ac:dyDescent="0.25">
      <c r="A4496" s="4" t="s">
        <v>7397</v>
      </c>
      <c r="B4496" s="4" t="s">
        <v>190</v>
      </c>
      <c r="C4496" s="4" t="s">
        <v>14</v>
      </c>
      <c r="D4496" s="35">
        <v>10920</v>
      </c>
      <c r="E4496" s="4" t="s">
        <v>7398</v>
      </c>
      <c r="F4496" s="5">
        <v>41220</v>
      </c>
      <c r="H4496" s="4" t="s">
        <v>40</v>
      </c>
      <c r="I4496" s="6">
        <v>84880</v>
      </c>
      <c r="J4496" s="6">
        <v>42440</v>
      </c>
      <c r="K4496" s="37" t="s">
        <v>7102</v>
      </c>
      <c r="L4496" s="119"/>
      <c r="M4496" s="3"/>
    </row>
    <row r="4497" spans="1:13" s="4" customFormat="1" ht="14.25" customHeight="1" x14ac:dyDescent="0.25">
      <c r="A4497" s="4" t="s">
        <v>7399</v>
      </c>
      <c r="B4497" s="4" t="s">
        <v>90</v>
      </c>
      <c r="C4497" s="4" t="s">
        <v>14</v>
      </c>
      <c r="D4497" s="35">
        <v>10921</v>
      </c>
      <c r="E4497" s="4" t="s">
        <v>7400</v>
      </c>
      <c r="F4497" s="5">
        <v>41072</v>
      </c>
      <c r="G4497" s="5">
        <v>41261</v>
      </c>
      <c r="H4497" s="4" t="s">
        <v>40</v>
      </c>
      <c r="I4497" s="6">
        <v>7312</v>
      </c>
      <c r="J4497" s="6">
        <v>3656</v>
      </c>
      <c r="K4497" s="37" t="s">
        <v>7102</v>
      </c>
      <c r="L4497" s="119"/>
      <c r="M4497" s="3"/>
    </row>
    <row r="4498" spans="1:13" s="4" customFormat="1" ht="14.25" customHeight="1" x14ac:dyDescent="0.25">
      <c r="A4498" s="4" t="s">
        <v>7401</v>
      </c>
      <c r="B4498" s="4" t="s">
        <v>190</v>
      </c>
      <c r="C4498" s="4" t="s">
        <v>14</v>
      </c>
      <c r="D4498" s="35">
        <v>10922</v>
      </c>
      <c r="E4498" s="4" t="s">
        <v>7402</v>
      </c>
      <c r="F4498" s="5">
        <v>40953</v>
      </c>
      <c r="G4498" s="5">
        <v>41138</v>
      </c>
      <c r="H4498" s="4" t="s">
        <v>40</v>
      </c>
      <c r="I4498" s="6">
        <v>15165</v>
      </c>
      <c r="J4498" s="6">
        <v>11000</v>
      </c>
      <c r="K4498" s="37" t="s">
        <v>7102</v>
      </c>
      <c r="L4498" s="119"/>
      <c r="M4498" s="3"/>
    </row>
    <row r="4499" spans="1:13" s="4" customFormat="1" ht="14.25" customHeight="1" x14ac:dyDescent="0.25">
      <c r="A4499" s="4" t="s">
        <v>7403</v>
      </c>
      <c r="B4499" s="4" t="s">
        <v>183</v>
      </c>
      <c r="C4499" s="4" t="s">
        <v>14</v>
      </c>
      <c r="D4499" s="35">
        <v>10923</v>
      </c>
      <c r="E4499" s="4" t="s">
        <v>7404</v>
      </c>
      <c r="F4499" s="5">
        <v>41072</v>
      </c>
      <c r="G4499" s="5">
        <v>41261</v>
      </c>
      <c r="H4499" s="4" t="s">
        <v>40</v>
      </c>
      <c r="I4499" s="6">
        <v>16252</v>
      </c>
      <c r="J4499" s="6">
        <v>8126</v>
      </c>
      <c r="K4499" s="37" t="s">
        <v>7102</v>
      </c>
      <c r="L4499" s="119"/>
      <c r="M4499" s="3"/>
    </row>
    <row r="4500" spans="1:13" s="4" customFormat="1" ht="14.25" customHeight="1" x14ac:dyDescent="0.25">
      <c r="A4500" s="4" t="s">
        <v>7405</v>
      </c>
      <c r="B4500" s="4" t="s">
        <v>183</v>
      </c>
      <c r="C4500" s="4" t="s">
        <v>14</v>
      </c>
      <c r="D4500" s="35">
        <v>10924</v>
      </c>
      <c r="E4500" s="4" t="s">
        <v>7406</v>
      </c>
      <c r="F4500" s="5">
        <v>40953</v>
      </c>
      <c r="G4500" s="5">
        <v>41261</v>
      </c>
      <c r="H4500" s="4" t="s">
        <v>40</v>
      </c>
      <c r="I4500" s="6">
        <v>63472</v>
      </c>
      <c r="J4500" s="6">
        <v>31736</v>
      </c>
      <c r="K4500" s="37" t="s">
        <v>7102</v>
      </c>
      <c r="L4500" s="119"/>
      <c r="M4500" s="3"/>
    </row>
    <row r="4501" spans="1:13" s="4" customFormat="1" ht="14.25" customHeight="1" x14ac:dyDescent="0.25">
      <c r="A4501" s="4" t="s">
        <v>7407</v>
      </c>
      <c r="B4501" s="4" t="s">
        <v>183</v>
      </c>
      <c r="C4501" s="4" t="s">
        <v>14</v>
      </c>
      <c r="D4501" s="35">
        <v>10925</v>
      </c>
      <c r="E4501" s="4" t="s">
        <v>7408</v>
      </c>
      <c r="F4501" s="5">
        <v>40799</v>
      </c>
      <c r="G4501" s="5">
        <v>40998</v>
      </c>
      <c r="H4501" s="4" t="s">
        <v>40</v>
      </c>
      <c r="I4501" s="6">
        <v>60000</v>
      </c>
      <c r="J4501" s="6">
        <v>30000</v>
      </c>
      <c r="K4501" s="37" t="s">
        <v>7102</v>
      </c>
      <c r="L4501" s="119"/>
      <c r="M4501" s="3"/>
    </row>
    <row r="4502" spans="1:13" s="4" customFormat="1" ht="14.25" customHeight="1" x14ac:dyDescent="0.25">
      <c r="A4502" s="4" t="s">
        <v>7409</v>
      </c>
      <c r="B4502" s="4" t="s">
        <v>183</v>
      </c>
      <c r="C4502" s="4" t="s">
        <v>14</v>
      </c>
      <c r="D4502" s="35">
        <v>10926</v>
      </c>
      <c r="E4502" s="4" t="s">
        <v>7410</v>
      </c>
      <c r="F4502" s="5">
        <v>40611</v>
      </c>
      <c r="G4502" s="5">
        <v>41148</v>
      </c>
      <c r="H4502" s="4" t="s">
        <v>40</v>
      </c>
      <c r="I4502" s="6">
        <v>18902</v>
      </c>
      <c r="J4502" s="6">
        <v>9451</v>
      </c>
      <c r="K4502" s="37" t="s">
        <v>7102</v>
      </c>
      <c r="L4502" s="119"/>
      <c r="M4502" s="3"/>
    </row>
    <row r="4503" spans="1:13" s="4" customFormat="1" ht="14.25" customHeight="1" x14ac:dyDescent="0.25">
      <c r="A4503" s="4" t="s">
        <v>7411</v>
      </c>
      <c r="B4503" s="4" t="s">
        <v>183</v>
      </c>
      <c r="C4503" s="4" t="s">
        <v>14</v>
      </c>
      <c r="D4503" s="35">
        <v>10928</v>
      </c>
      <c r="E4503" s="4" t="s">
        <v>7412</v>
      </c>
      <c r="F4503" s="5">
        <v>40799</v>
      </c>
      <c r="G4503" s="5">
        <v>40909</v>
      </c>
      <c r="H4503" s="4" t="s">
        <v>40</v>
      </c>
      <c r="I4503" s="6">
        <v>17830</v>
      </c>
      <c r="J4503" s="6">
        <v>10000</v>
      </c>
      <c r="K4503" s="37" t="s">
        <v>7102</v>
      </c>
      <c r="L4503" s="119"/>
      <c r="M4503" s="3"/>
    </row>
    <row r="4504" spans="1:13" s="4" customFormat="1" ht="14.25" customHeight="1" x14ac:dyDescent="0.25">
      <c r="A4504" s="4" t="s">
        <v>7413</v>
      </c>
      <c r="B4504" s="4" t="s">
        <v>183</v>
      </c>
      <c r="C4504" s="4" t="s">
        <v>14</v>
      </c>
      <c r="D4504" s="35">
        <v>10929</v>
      </c>
      <c r="E4504" s="4" t="s">
        <v>7414</v>
      </c>
      <c r="F4504" s="5">
        <v>40162</v>
      </c>
      <c r="G4504" s="5">
        <v>41261</v>
      </c>
      <c r="H4504" s="4" t="s">
        <v>40</v>
      </c>
      <c r="I4504" s="6">
        <v>37341</v>
      </c>
      <c r="J4504" s="6">
        <v>18670</v>
      </c>
      <c r="K4504" s="37" t="s">
        <v>7102</v>
      </c>
      <c r="L4504" s="119"/>
      <c r="M4504" s="3"/>
    </row>
    <row r="4505" spans="1:13" s="4" customFormat="1" ht="14.25" customHeight="1" x14ac:dyDescent="0.25">
      <c r="A4505" s="4" t="s">
        <v>7415</v>
      </c>
      <c r="B4505" s="4" t="s">
        <v>183</v>
      </c>
      <c r="C4505" s="4" t="s">
        <v>14</v>
      </c>
      <c r="D4505" s="35">
        <v>10930</v>
      </c>
      <c r="E4505" s="4" t="s">
        <v>7416</v>
      </c>
      <c r="F4505" s="5">
        <v>41072</v>
      </c>
      <c r="G4505" s="5">
        <v>41465</v>
      </c>
      <c r="H4505" s="4" t="s">
        <v>40</v>
      </c>
      <c r="I4505" s="6">
        <v>19326</v>
      </c>
      <c r="J4505" s="6">
        <f>2150+7513</f>
        <v>9663</v>
      </c>
      <c r="K4505" s="37" t="s">
        <v>7102</v>
      </c>
      <c r="L4505" s="119"/>
      <c r="M4505" s="3"/>
    </row>
    <row r="4506" spans="1:13" s="4" customFormat="1" ht="14.25" customHeight="1" x14ac:dyDescent="0.25">
      <c r="A4506" s="4" t="s">
        <v>7417</v>
      </c>
      <c r="B4506" s="4" t="s">
        <v>183</v>
      </c>
      <c r="C4506" s="4" t="s">
        <v>14</v>
      </c>
      <c r="D4506" s="35">
        <v>10931</v>
      </c>
      <c r="E4506" s="4" t="s">
        <v>7418</v>
      </c>
      <c r="F4506" s="5">
        <v>40953</v>
      </c>
      <c r="G4506" s="5">
        <v>41261</v>
      </c>
      <c r="H4506" s="4" t="s">
        <v>40</v>
      </c>
      <c r="I4506" s="6">
        <v>53852</v>
      </c>
      <c r="J4506" s="6">
        <v>31352</v>
      </c>
      <c r="K4506" s="37" t="s">
        <v>7102</v>
      </c>
      <c r="L4506" s="119"/>
      <c r="M4506" s="3"/>
    </row>
    <row r="4507" spans="1:13" s="4" customFormat="1" ht="14.25" customHeight="1" x14ac:dyDescent="0.25">
      <c r="A4507" s="4" t="s">
        <v>7367</v>
      </c>
      <c r="B4507" s="4" t="s">
        <v>190</v>
      </c>
      <c r="C4507" s="4" t="s">
        <v>14</v>
      </c>
      <c r="D4507" s="35">
        <v>10932</v>
      </c>
      <c r="E4507" s="7" t="s">
        <v>7419</v>
      </c>
      <c r="F4507" s="5">
        <v>40610</v>
      </c>
      <c r="G4507" s="5">
        <v>41072</v>
      </c>
      <c r="H4507" s="4" t="s">
        <v>40</v>
      </c>
      <c r="I4507" s="6">
        <v>22568</v>
      </c>
      <c r="J4507" s="6">
        <v>11284</v>
      </c>
      <c r="K4507" s="37" t="s">
        <v>7102</v>
      </c>
      <c r="L4507" s="119"/>
      <c r="M4507" s="3"/>
    </row>
    <row r="4508" spans="1:13" s="4" customFormat="1" ht="14.25" customHeight="1" x14ac:dyDescent="0.25">
      <c r="A4508" s="4" t="s">
        <v>7420</v>
      </c>
      <c r="B4508" s="4" t="s">
        <v>183</v>
      </c>
      <c r="C4508" s="4" t="s">
        <v>14</v>
      </c>
      <c r="D4508" s="35">
        <v>10933</v>
      </c>
      <c r="E4508" s="4" t="s">
        <v>7421</v>
      </c>
      <c r="F4508" s="5">
        <v>41016</v>
      </c>
      <c r="G4508" s="5">
        <v>41241</v>
      </c>
      <c r="H4508" s="4" t="s">
        <v>40</v>
      </c>
      <c r="I4508" s="6">
        <v>36766.75</v>
      </c>
      <c r="J4508" s="6">
        <f>13143+8990</f>
        <v>22133</v>
      </c>
      <c r="K4508" s="37" t="s">
        <v>7102</v>
      </c>
      <c r="L4508" s="119"/>
      <c r="M4508" s="3"/>
    </row>
    <row r="4509" spans="1:13" s="4" customFormat="1" ht="14.25" customHeight="1" x14ac:dyDescent="0.25">
      <c r="A4509" s="4" t="s">
        <v>7204</v>
      </c>
      <c r="B4509" s="4" t="s">
        <v>38</v>
      </c>
      <c r="C4509" s="4" t="s">
        <v>14</v>
      </c>
      <c r="D4509" s="35">
        <v>10964</v>
      </c>
      <c r="E4509" s="7" t="s">
        <v>7422</v>
      </c>
      <c r="F4509" s="5">
        <v>40953</v>
      </c>
      <c r="G4509" s="5">
        <v>41639</v>
      </c>
      <c r="H4509" s="4" t="s">
        <v>40</v>
      </c>
      <c r="I4509" s="6">
        <v>46226.84</v>
      </c>
      <c r="J4509" s="6">
        <f>19123.72+27103.12</f>
        <v>46226.84</v>
      </c>
      <c r="K4509" s="37" t="s">
        <v>7102</v>
      </c>
      <c r="L4509" s="119"/>
      <c r="M4509" s="3"/>
    </row>
    <row r="4510" spans="1:13" s="4" customFormat="1" ht="14.25" customHeight="1" x14ac:dyDescent="0.25">
      <c r="A4510" s="4" t="s">
        <v>7423</v>
      </c>
      <c r="B4510" s="4" t="s">
        <v>38</v>
      </c>
      <c r="C4510" s="4" t="s">
        <v>14</v>
      </c>
      <c r="D4510" s="35">
        <v>10965</v>
      </c>
      <c r="E4510" s="4" t="s">
        <v>7424</v>
      </c>
      <c r="F4510" s="5">
        <v>40909</v>
      </c>
      <c r="G4510" s="5">
        <v>41274</v>
      </c>
      <c r="H4510" s="4" t="s">
        <v>40</v>
      </c>
      <c r="I4510" s="6">
        <v>12683.66</v>
      </c>
      <c r="J4510" s="6">
        <v>6341.83</v>
      </c>
      <c r="K4510" s="37" t="s">
        <v>7102</v>
      </c>
      <c r="L4510" s="119"/>
      <c r="M4510" s="3"/>
    </row>
    <row r="4511" spans="1:13" s="4" customFormat="1" ht="14.25" customHeight="1" x14ac:dyDescent="0.25">
      <c r="A4511" s="4" t="s">
        <v>7425</v>
      </c>
      <c r="B4511" s="4" t="s">
        <v>38</v>
      </c>
      <c r="C4511" s="4" t="s">
        <v>14</v>
      </c>
      <c r="D4511" s="35">
        <v>10966</v>
      </c>
      <c r="E4511" s="4" t="s">
        <v>7426</v>
      </c>
      <c r="F4511" s="5">
        <v>40953</v>
      </c>
      <c r="G4511" s="5">
        <v>41639</v>
      </c>
      <c r="H4511" s="4" t="s">
        <v>40</v>
      </c>
      <c r="I4511" s="6">
        <f>4812.55-0.27</f>
        <v>4812.28</v>
      </c>
      <c r="J4511" s="6">
        <f>1007.25+3805.3</f>
        <v>4812.55</v>
      </c>
      <c r="K4511" s="37" t="s">
        <v>7102</v>
      </c>
      <c r="L4511" s="119"/>
      <c r="M4511" s="3"/>
    </row>
    <row r="4512" spans="1:13" s="4" customFormat="1" ht="14.25" customHeight="1" x14ac:dyDescent="0.25">
      <c r="A4512" s="4" t="s">
        <v>7427</v>
      </c>
      <c r="B4512" s="4" t="s">
        <v>38</v>
      </c>
      <c r="C4512" s="4" t="s">
        <v>14</v>
      </c>
      <c r="D4512" s="35">
        <v>10967</v>
      </c>
      <c r="E4512" s="4" t="s">
        <v>7428</v>
      </c>
      <c r="F4512" s="5">
        <v>40953</v>
      </c>
      <c r="G4512" s="5">
        <v>41274</v>
      </c>
      <c r="H4512" s="4" t="s">
        <v>40</v>
      </c>
      <c r="I4512" s="6">
        <v>3098.3</v>
      </c>
      <c r="J4512" s="6">
        <v>3098.3</v>
      </c>
      <c r="K4512" s="37" t="s">
        <v>7102</v>
      </c>
      <c r="L4512" s="119"/>
      <c r="M4512" s="3"/>
    </row>
    <row r="4513" spans="1:13" s="4" customFormat="1" ht="14.25" customHeight="1" x14ac:dyDescent="0.25">
      <c r="A4513" s="4" t="s">
        <v>7429</v>
      </c>
      <c r="B4513" s="4" t="s">
        <v>13</v>
      </c>
      <c r="C4513" s="4" t="s">
        <v>14</v>
      </c>
      <c r="D4513" s="35">
        <v>10968</v>
      </c>
      <c r="E4513" s="7" t="s">
        <v>7430</v>
      </c>
      <c r="F4513" s="5">
        <v>40909</v>
      </c>
      <c r="G4513" s="5">
        <v>41639</v>
      </c>
      <c r="H4513" s="4" t="s">
        <v>40</v>
      </c>
      <c r="I4513" s="6">
        <v>17473.259999999998</v>
      </c>
      <c r="J4513" s="6">
        <f>5149.95+12323.31</f>
        <v>17473.259999999998</v>
      </c>
      <c r="K4513" s="37" t="s">
        <v>7102</v>
      </c>
      <c r="L4513" s="119"/>
      <c r="M4513" s="3"/>
    </row>
    <row r="4514" spans="1:13" s="4" customFormat="1" ht="14.25" customHeight="1" x14ac:dyDescent="0.25">
      <c r="A4514" s="4" t="s">
        <v>7431</v>
      </c>
      <c r="B4514" s="4" t="s">
        <v>38</v>
      </c>
      <c r="C4514" s="4" t="s">
        <v>14</v>
      </c>
      <c r="D4514" s="35">
        <v>10969</v>
      </c>
      <c r="E4514" s="4" t="s">
        <v>7432</v>
      </c>
      <c r="F4514" s="5">
        <v>40909</v>
      </c>
      <c r="G4514" s="5">
        <v>41639</v>
      </c>
      <c r="H4514" s="4" t="s">
        <v>40</v>
      </c>
      <c r="I4514" s="6">
        <f>38190.5+39886.43</f>
        <v>78076.929999999993</v>
      </c>
      <c r="J4514" s="6">
        <f>38190.5+39886.43</f>
        <v>78076.929999999993</v>
      </c>
      <c r="K4514" s="37" t="s">
        <v>7102</v>
      </c>
      <c r="L4514" s="119"/>
      <c r="M4514" s="3"/>
    </row>
    <row r="4515" spans="1:13" s="4" customFormat="1" ht="14.25" customHeight="1" x14ac:dyDescent="0.25">
      <c r="A4515" s="4" t="s">
        <v>7433</v>
      </c>
      <c r="B4515" s="4" t="s">
        <v>38</v>
      </c>
      <c r="C4515" s="4" t="s">
        <v>14</v>
      </c>
      <c r="D4515" s="35">
        <v>10994</v>
      </c>
      <c r="E4515" s="4" t="s">
        <v>7434</v>
      </c>
      <c r="F4515" s="5">
        <v>40957</v>
      </c>
      <c r="G4515" s="5">
        <v>41639</v>
      </c>
      <c r="H4515" s="4" t="s">
        <v>40</v>
      </c>
      <c r="I4515" s="6">
        <v>10939.56</v>
      </c>
      <c r="J4515" s="6">
        <f>4960.87+508.91</f>
        <v>5469.78</v>
      </c>
      <c r="K4515" s="37" t="s">
        <v>7102</v>
      </c>
      <c r="L4515" s="119"/>
      <c r="M4515" s="3"/>
    </row>
    <row r="4516" spans="1:13" s="4" customFormat="1" ht="14.25" customHeight="1" x14ac:dyDescent="0.25">
      <c r="A4516" s="4" t="s">
        <v>7435</v>
      </c>
      <c r="B4516" s="4" t="s">
        <v>13</v>
      </c>
      <c r="C4516" s="4" t="s">
        <v>14</v>
      </c>
      <c r="D4516" s="35">
        <v>10995</v>
      </c>
      <c r="E4516" s="4" t="s">
        <v>7436</v>
      </c>
      <c r="F4516" s="5">
        <v>40910</v>
      </c>
      <c r="G4516" s="5">
        <v>41639</v>
      </c>
      <c r="H4516" s="4" t="s">
        <v>40</v>
      </c>
      <c r="I4516" s="6">
        <v>2860</v>
      </c>
      <c r="J4516" s="6">
        <f>1000+430</f>
        <v>1430</v>
      </c>
      <c r="K4516" s="37" t="s">
        <v>7102</v>
      </c>
      <c r="L4516" s="119"/>
      <c r="M4516" s="3"/>
    </row>
    <row r="4517" spans="1:13" ht="14.25" customHeight="1" x14ac:dyDescent="0.25">
      <c r="A4517" s="13" t="s">
        <v>11078</v>
      </c>
      <c r="B4517" s="13" t="s">
        <v>10195</v>
      </c>
      <c r="C4517" s="13" t="s">
        <v>14</v>
      </c>
      <c r="D4517" s="19">
        <v>12405</v>
      </c>
      <c r="E4517" s="13" t="s">
        <v>11079</v>
      </c>
      <c r="F4517" s="14">
        <v>41436</v>
      </c>
      <c r="G4517" s="14">
        <v>41589</v>
      </c>
      <c r="H4517" s="13" t="s">
        <v>651</v>
      </c>
      <c r="I4517" s="18">
        <v>20458</v>
      </c>
      <c r="J4517" s="18">
        <v>10229</v>
      </c>
      <c r="K4517" s="20" t="s">
        <v>7102</v>
      </c>
    </row>
    <row r="4518" spans="1:13" ht="14.25" customHeight="1" x14ac:dyDescent="0.25">
      <c r="A4518" s="13" t="s">
        <v>11080</v>
      </c>
      <c r="B4518" s="13" t="s">
        <v>10195</v>
      </c>
      <c r="C4518" s="13" t="s">
        <v>14</v>
      </c>
      <c r="D4518" s="19">
        <v>12410</v>
      </c>
      <c r="E4518" s="13" t="s">
        <v>11081</v>
      </c>
      <c r="F4518" s="14">
        <v>41436</v>
      </c>
      <c r="G4518" s="14">
        <v>41628</v>
      </c>
      <c r="H4518" s="13" t="s">
        <v>651</v>
      </c>
      <c r="I4518" s="18">
        <v>15490</v>
      </c>
      <c r="J4518" s="18">
        <v>9442</v>
      </c>
      <c r="K4518" s="20" t="s">
        <v>7102</v>
      </c>
    </row>
    <row r="4519" spans="1:13" ht="14.25" customHeight="1" x14ac:dyDescent="0.25">
      <c r="A4519" s="13" t="s">
        <v>11082</v>
      </c>
      <c r="B4519" s="13" t="s">
        <v>10195</v>
      </c>
      <c r="C4519" s="13" t="s">
        <v>14</v>
      </c>
      <c r="D4519" s="19">
        <v>12411</v>
      </c>
      <c r="E4519" s="13" t="s">
        <v>11083</v>
      </c>
      <c r="F4519" s="14">
        <v>41380</v>
      </c>
      <c r="G4519" s="14">
        <v>41557</v>
      </c>
      <c r="H4519" s="13" t="s">
        <v>651</v>
      </c>
      <c r="I4519" s="18">
        <v>33306</v>
      </c>
      <c r="J4519" s="18">
        <v>16653</v>
      </c>
      <c r="K4519" s="20" t="s">
        <v>7102</v>
      </c>
    </row>
    <row r="4520" spans="1:13" ht="14.25" customHeight="1" x14ac:dyDescent="0.25">
      <c r="A4520" s="13" t="s">
        <v>11084</v>
      </c>
      <c r="B4520" s="13" t="s">
        <v>10195</v>
      </c>
      <c r="C4520" s="13" t="s">
        <v>14</v>
      </c>
      <c r="D4520" s="19">
        <v>12412</v>
      </c>
      <c r="E4520" s="13" t="s">
        <v>11085</v>
      </c>
      <c r="F4520" s="14">
        <v>41380</v>
      </c>
      <c r="G4520" s="14">
        <v>41628</v>
      </c>
      <c r="H4520" s="13" t="s">
        <v>651</v>
      </c>
      <c r="I4520" s="18">
        <v>5310</v>
      </c>
      <c r="J4520" s="18">
        <v>2655</v>
      </c>
      <c r="K4520" s="20" t="s">
        <v>7102</v>
      </c>
    </row>
    <row r="4521" spans="1:13" ht="14.25" customHeight="1" x14ac:dyDescent="0.25">
      <c r="A4521" s="13" t="s">
        <v>11086</v>
      </c>
      <c r="B4521" s="13" t="s">
        <v>10192</v>
      </c>
      <c r="C4521" s="13" t="s">
        <v>14</v>
      </c>
      <c r="D4521" s="19">
        <v>12414</v>
      </c>
      <c r="E4521" s="13" t="s">
        <v>11087</v>
      </c>
      <c r="F4521" s="14">
        <v>41585</v>
      </c>
      <c r="G4521" s="14">
        <v>41628</v>
      </c>
      <c r="H4521" s="13" t="s">
        <v>651</v>
      </c>
      <c r="I4521" s="18">
        <v>13888</v>
      </c>
      <c r="J4521" s="18">
        <v>6944</v>
      </c>
      <c r="K4521" s="20" t="s">
        <v>7102</v>
      </c>
    </row>
    <row r="4522" spans="1:13" ht="14.25" customHeight="1" x14ac:dyDescent="0.25">
      <c r="A4522" s="13" t="s">
        <v>11384</v>
      </c>
      <c r="B4522" s="13" t="s">
        <v>13</v>
      </c>
      <c r="C4522" s="13" t="s">
        <v>14</v>
      </c>
      <c r="D4522" s="19">
        <v>12415</v>
      </c>
      <c r="E4522" s="13" t="s">
        <v>11385</v>
      </c>
      <c r="F4522" s="14">
        <v>41312</v>
      </c>
      <c r="G4522" s="14">
        <v>41589</v>
      </c>
      <c r="H4522" s="13" t="s">
        <v>651</v>
      </c>
      <c r="I4522" s="18">
        <v>10000</v>
      </c>
      <c r="J4522" s="18">
        <v>5000</v>
      </c>
      <c r="K4522" s="20" t="s">
        <v>7102</v>
      </c>
    </row>
    <row r="4523" spans="1:13" ht="14.25" customHeight="1" x14ac:dyDescent="0.25">
      <c r="A4523" s="13" t="s">
        <v>11088</v>
      </c>
      <c r="B4523" s="13" t="s">
        <v>10195</v>
      </c>
      <c r="C4523" s="13" t="s">
        <v>14</v>
      </c>
      <c r="D4523" s="19">
        <v>12416</v>
      </c>
      <c r="E4523" s="13" t="s">
        <v>11089</v>
      </c>
      <c r="F4523" s="14">
        <v>41108</v>
      </c>
      <c r="G4523" s="14">
        <v>41284</v>
      </c>
      <c r="H4523" s="13" t="s">
        <v>651</v>
      </c>
      <c r="I4523" s="18">
        <v>23304</v>
      </c>
      <c r="J4523" s="18">
        <v>19152</v>
      </c>
      <c r="K4523" s="20" t="s">
        <v>7102</v>
      </c>
    </row>
    <row r="4524" spans="1:13" ht="14.25" customHeight="1" x14ac:dyDescent="0.25">
      <c r="A4524" s="13" t="s">
        <v>11092</v>
      </c>
      <c r="B4524" s="13" t="s">
        <v>10192</v>
      </c>
      <c r="C4524" s="13" t="s">
        <v>14</v>
      </c>
      <c r="D4524" s="19">
        <v>12419</v>
      </c>
      <c r="E4524" s="13" t="s">
        <v>11093</v>
      </c>
      <c r="F4524" s="14">
        <v>41380</v>
      </c>
      <c r="G4524" s="14">
        <v>41624</v>
      </c>
      <c r="H4524" s="13" t="s">
        <v>651</v>
      </c>
      <c r="I4524" s="18">
        <v>15834</v>
      </c>
      <c r="J4524" s="18">
        <v>7917</v>
      </c>
      <c r="K4524" s="20" t="s">
        <v>7102</v>
      </c>
    </row>
    <row r="4525" spans="1:13" ht="14.25" customHeight="1" x14ac:dyDescent="0.25">
      <c r="A4525" s="13" t="s">
        <v>11094</v>
      </c>
      <c r="B4525" s="13" t="s">
        <v>10220</v>
      </c>
      <c r="C4525" s="13" t="s">
        <v>14</v>
      </c>
      <c r="D4525" s="19">
        <v>12421</v>
      </c>
      <c r="E4525" s="13" t="s">
        <v>11095</v>
      </c>
      <c r="F4525" s="14">
        <v>41170</v>
      </c>
      <c r="G4525" s="14">
        <v>41523</v>
      </c>
      <c r="H4525" s="13" t="s">
        <v>651</v>
      </c>
      <c r="I4525" s="18">
        <v>20000</v>
      </c>
      <c r="J4525" s="18">
        <v>10000</v>
      </c>
      <c r="K4525" s="20" t="s">
        <v>7102</v>
      </c>
    </row>
    <row r="4526" spans="1:13" ht="14.25" customHeight="1" x14ac:dyDescent="0.25">
      <c r="A4526" s="13" t="s">
        <v>11096</v>
      </c>
      <c r="B4526" s="13" t="s">
        <v>10930</v>
      </c>
      <c r="C4526" s="13" t="s">
        <v>14</v>
      </c>
      <c r="D4526" s="19">
        <v>12423</v>
      </c>
      <c r="E4526" s="13" t="s">
        <v>11097</v>
      </c>
      <c r="F4526" s="14">
        <v>41276</v>
      </c>
      <c r="G4526" s="14">
        <v>41639</v>
      </c>
      <c r="H4526" s="13" t="s">
        <v>651</v>
      </c>
      <c r="I4526" s="18">
        <v>6092.08</v>
      </c>
      <c r="J4526" s="18">
        <v>6092.08</v>
      </c>
      <c r="K4526" s="20" t="s">
        <v>7102</v>
      </c>
    </row>
    <row r="4527" spans="1:13" ht="14.25" customHeight="1" x14ac:dyDescent="0.25">
      <c r="A4527" s="13" t="s">
        <v>11098</v>
      </c>
      <c r="B4527" s="13" t="s">
        <v>10220</v>
      </c>
      <c r="C4527" s="13" t="s">
        <v>14</v>
      </c>
      <c r="D4527" s="19">
        <v>12424</v>
      </c>
      <c r="E4527" s="13" t="s">
        <v>11099</v>
      </c>
      <c r="F4527" s="14">
        <v>41312</v>
      </c>
      <c r="G4527" s="14">
        <v>41596</v>
      </c>
      <c r="H4527" s="13" t="s">
        <v>651</v>
      </c>
      <c r="I4527" s="18">
        <v>8500</v>
      </c>
      <c r="J4527" s="18">
        <v>4250</v>
      </c>
      <c r="K4527" s="20" t="s">
        <v>7102</v>
      </c>
    </row>
    <row r="4528" spans="1:13" ht="14.25" customHeight="1" x14ac:dyDescent="0.25">
      <c r="A4528" s="13" t="s">
        <v>11098</v>
      </c>
      <c r="B4528" s="13" t="s">
        <v>10192</v>
      </c>
      <c r="C4528" s="13" t="s">
        <v>14</v>
      </c>
      <c r="D4528" s="19">
        <v>12426</v>
      </c>
      <c r="E4528" s="13" t="s">
        <v>11100</v>
      </c>
      <c r="F4528" s="14">
        <v>41534</v>
      </c>
      <c r="G4528" s="14">
        <v>41632</v>
      </c>
      <c r="H4528" s="13" t="s">
        <v>651</v>
      </c>
      <c r="I4528" s="18">
        <v>13764</v>
      </c>
      <c r="J4528" s="18">
        <v>6882</v>
      </c>
      <c r="K4528" s="20" t="s">
        <v>7102</v>
      </c>
    </row>
    <row r="4529" spans="1:13" ht="14.25" customHeight="1" x14ac:dyDescent="0.25">
      <c r="A4529" s="13" t="s">
        <v>11101</v>
      </c>
      <c r="B4529" s="13" t="s">
        <v>10195</v>
      </c>
      <c r="C4529" s="13" t="s">
        <v>14</v>
      </c>
      <c r="D4529" s="19">
        <v>12428</v>
      </c>
      <c r="E4529" s="13" t="s">
        <v>11102</v>
      </c>
      <c r="F4529" s="14">
        <v>41381</v>
      </c>
      <c r="G4529" s="14">
        <v>41607</v>
      </c>
      <c r="H4529" s="13" t="s">
        <v>651</v>
      </c>
      <c r="I4529" s="18">
        <v>19500</v>
      </c>
      <c r="J4529" s="18">
        <v>9750</v>
      </c>
      <c r="K4529" s="20" t="s">
        <v>7102</v>
      </c>
    </row>
    <row r="4530" spans="1:13" ht="14.25" customHeight="1" x14ac:dyDescent="0.25">
      <c r="A4530" s="13" t="s">
        <v>11103</v>
      </c>
      <c r="B4530" s="13" t="s">
        <v>10220</v>
      </c>
      <c r="C4530" s="13" t="s">
        <v>14</v>
      </c>
      <c r="D4530" s="19">
        <v>12432</v>
      </c>
      <c r="E4530" s="13" t="s">
        <v>11104</v>
      </c>
      <c r="F4530" s="14">
        <v>41534</v>
      </c>
      <c r="G4530" s="14">
        <v>41628</v>
      </c>
      <c r="H4530" s="13" t="s">
        <v>651</v>
      </c>
      <c r="I4530" s="18">
        <v>4571</v>
      </c>
      <c r="J4530" s="18">
        <v>2556</v>
      </c>
      <c r="K4530" s="20" t="s">
        <v>7102</v>
      </c>
    </row>
    <row r="4531" spans="1:13" ht="14.25" customHeight="1" x14ac:dyDescent="0.25">
      <c r="A4531" s="13" t="s">
        <v>11105</v>
      </c>
      <c r="B4531" s="13" t="s">
        <v>10195</v>
      </c>
      <c r="C4531" s="13" t="s">
        <v>14</v>
      </c>
      <c r="D4531" s="19">
        <v>12434</v>
      </c>
      <c r="E4531" s="13" t="s">
        <v>11106</v>
      </c>
      <c r="F4531" s="14">
        <v>41312</v>
      </c>
      <c r="G4531" s="14">
        <v>41421</v>
      </c>
      <c r="H4531" s="13" t="s">
        <v>651</v>
      </c>
      <c r="I4531" s="18">
        <v>86000</v>
      </c>
      <c r="J4531" s="18">
        <v>43000</v>
      </c>
      <c r="K4531" s="20" t="s">
        <v>7102</v>
      </c>
    </row>
    <row r="4532" spans="1:13" ht="14.25" customHeight="1" x14ac:dyDescent="0.25">
      <c r="A4532" s="13" t="s">
        <v>11107</v>
      </c>
      <c r="B4532" s="13" t="s">
        <v>10195</v>
      </c>
      <c r="C4532" s="13" t="s">
        <v>14</v>
      </c>
      <c r="D4532" s="19">
        <v>12435</v>
      </c>
      <c r="E4532" s="13" t="s">
        <v>11108</v>
      </c>
      <c r="F4532" s="14">
        <v>41436</v>
      </c>
      <c r="G4532" s="14">
        <v>41619</v>
      </c>
      <c r="H4532" s="13" t="s">
        <v>651</v>
      </c>
      <c r="I4532" s="18">
        <v>34000</v>
      </c>
      <c r="J4532" s="18">
        <v>17000</v>
      </c>
      <c r="K4532" s="20" t="s">
        <v>7102</v>
      </c>
    </row>
    <row r="4533" spans="1:13" ht="14.25" customHeight="1" x14ac:dyDescent="0.25">
      <c r="A4533" s="13" t="s">
        <v>11382</v>
      </c>
      <c r="B4533" s="13" t="s">
        <v>13</v>
      </c>
      <c r="C4533" s="13" t="s">
        <v>14</v>
      </c>
      <c r="D4533" s="19">
        <v>12436</v>
      </c>
      <c r="E4533" s="13" t="s">
        <v>11383</v>
      </c>
      <c r="F4533" s="14">
        <v>41597</v>
      </c>
      <c r="G4533" s="14">
        <v>41628</v>
      </c>
      <c r="H4533" s="13" t="s">
        <v>651</v>
      </c>
      <c r="I4533" s="18">
        <v>15500</v>
      </c>
      <c r="J4533" s="18">
        <v>7750</v>
      </c>
      <c r="K4533" s="20" t="s">
        <v>7102</v>
      </c>
    </row>
    <row r="4534" spans="1:13" ht="14.25" customHeight="1" x14ac:dyDescent="0.25">
      <c r="A4534" s="13" t="s">
        <v>11111</v>
      </c>
      <c r="B4534" s="13" t="s">
        <v>10192</v>
      </c>
      <c r="C4534" s="13" t="s">
        <v>14</v>
      </c>
      <c r="D4534" s="19">
        <v>12438</v>
      </c>
      <c r="E4534" s="13" t="s">
        <v>11112</v>
      </c>
      <c r="F4534" s="14">
        <v>41534</v>
      </c>
      <c r="G4534" s="14">
        <v>41582</v>
      </c>
      <c r="H4534" s="13" t="s">
        <v>651</v>
      </c>
      <c r="I4534" s="18">
        <v>3750</v>
      </c>
      <c r="J4534" s="18">
        <v>3750.81</v>
      </c>
      <c r="K4534" s="20" t="s">
        <v>7102</v>
      </c>
    </row>
    <row r="4535" spans="1:13" ht="14.25" customHeight="1" x14ac:dyDescent="0.25">
      <c r="A4535" s="13" t="s">
        <v>11113</v>
      </c>
      <c r="B4535" s="13" t="s">
        <v>38</v>
      </c>
      <c r="C4535" s="13" t="s">
        <v>14</v>
      </c>
      <c r="D4535" s="19">
        <v>12593</v>
      </c>
      <c r="E4535" s="13" t="s">
        <v>11114</v>
      </c>
      <c r="F4535" s="14">
        <v>41275</v>
      </c>
      <c r="G4535" s="14">
        <v>41639</v>
      </c>
      <c r="H4535" s="13" t="s">
        <v>651</v>
      </c>
      <c r="I4535" s="18">
        <v>2052.9</v>
      </c>
      <c r="J4535" s="18">
        <v>2052.9</v>
      </c>
      <c r="K4535" s="20" t="s">
        <v>7102</v>
      </c>
    </row>
    <row r="4536" spans="1:13" ht="14.25" customHeight="1" x14ac:dyDescent="0.25">
      <c r="A4536" s="13" t="s">
        <v>11115</v>
      </c>
      <c r="B4536" s="13" t="s">
        <v>38</v>
      </c>
      <c r="C4536" s="13" t="s">
        <v>14</v>
      </c>
      <c r="D4536" s="19">
        <v>12597</v>
      </c>
      <c r="E4536" s="13" t="s">
        <v>11116</v>
      </c>
      <c r="F4536" s="14">
        <v>41275</v>
      </c>
      <c r="G4536" s="14">
        <v>41639</v>
      </c>
      <c r="H4536" s="13" t="s">
        <v>651</v>
      </c>
      <c r="I4536" s="18">
        <v>4477.2</v>
      </c>
      <c r="J4536" s="18">
        <v>4477.2</v>
      </c>
      <c r="K4536" s="20" t="s">
        <v>7102</v>
      </c>
    </row>
    <row r="4537" spans="1:13" s="4" customFormat="1" ht="14.25" customHeight="1" x14ac:dyDescent="0.25">
      <c r="A4537" s="4" t="s">
        <v>7437</v>
      </c>
      <c r="B4537" s="4" t="s">
        <v>13</v>
      </c>
      <c r="C4537" s="4" t="s">
        <v>14</v>
      </c>
      <c r="D4537" s="35">
        <v>9496</v>
      </c>
      <c r="E4537" s="4" t="s">
        <v>7438</v>
      </c>
      <c r="F4537" s="5">
        <v>40115</v>
      </c>
      <c r="G4537" s="5">
        <v>40529</v>
      </c>
      <c r="H4537" s="4" t="s">
        <v>2027</v>
      </c>
      <c r="I4537" s="6">
        <v>211126</v>
      </c>
      <c r="J4537" s="6">
        <v>60040</v>
      </c>
      <c r="K4537" s="37" t="s">
        <v>7102</v>
      </c>
      <c r="L4537" s="119"/>
      <c r="M4537" s="3"/>
    </row>
    <row r="4538" spans="1:13" s="4" customFormat="1" ht="14.25" customHeight="1" x14ac:dyDescent="0.25">
      <c r="D4538" s="35"/>
      <c r="E4538" s="26" t="s">
        <v>351</v>
      </c>
      <c r="F4538" s="28"/>
      <c r="G4538" s="28"/>
      <c r="H4538" s="26"/>
      <c r="I4538" s="27">
        <f>SUM(I4352:I4358)</f>
        <v>212279.71000000002</v>
      </c>
      <c r="J4538" s="27">
        <f>SUM(J4352:J4358)</f>
        <v>64801.31</v>
      </c>
      <c r="K4538" s="37" t="s">
        <v>7102</v>
      </c>
      <c r="L4538" s="119"/>
      <c r="M4538" s="3"/>
    </row>
    <row r="4539" spans="1:13" s="4" customFormat="1" ht="14.25" customHeight="1" x14ac:dyDescent="0.25">
      <c r="D4539" s="35"/>
      <c r="E4539" s="26" t="s">
        <v>786</v>
      </c>
      <c r="F4539" s="28"/>
      <c r="G4539" s="28"/>
      <c r="H4539" s="26"/>
      <c r="I4539" s="27">
        <f>SUM(I4359)</f>
        <v>140348</v>
      </c>
      <c r="J4539" s="27">
        <f>SUM(J4359)</f>
        <v>28070</v>
      </c>
      <c r="K4539" s="37" t="s">
        <v>7102</v>
      </c>
      <c r="L4539" s="119"/>
      <c r="M4539" s="3"/>
    </row>
    <row r="4540" spans="1:13" s="4" customFormat="1" ht="14.25" customHeight="1" x14ac:dyDescent="0.25">
      <c r="D4540" s="35"/>
      <c r="E4540" s="26" t="s">
        <v>352</v>
      </c>
      <c r="F4540" s="28"/>
      <c r="G4540" s="28"/>
      <c r="H4540" s="26"/>
      <c r="I4540" s="27">
        <f>SUM(I4360:I4536)</f>
        <v>4366221.2299999995</v>
      </c>
      <c r="J4540" s="27">
        <f>SUM(J4360:J4536)</f>
        <v>3220585.6599999992</v>
      </c>
      <c r="K4540" s="37" t="s">
        <v>7102</v>
      </c>
      <c r="L4540" s="119"/>
      <c r="M4540" s="3"/>
    </row>
    <row r="4541" spans="1:13" s="4" customFormat="1" ht="14.25" customHeight="1" x14ac:dyDescent="0.25">
      <c r="D4541" s="35"/>
      <c r="E4541" s="26" t="s">
        <v>2028</v>
      </c>
      <c r="F4541" s="28"/>
      <c r="G4541" s="28"/>
      <c r="H4541" s="26"/>
      <c r="I4541" s="27">
        <f>SUM(I4537)</f>
        <v>211126</v>
      </c>
      <c r="J4541" s="27">
        <f>SUM(J4537)</f>
        <v>60040</v>
      </c>
      <c r="K4541" s="37" t="s">
        <v>7102</v>
      </c>
      <c r="L4541" s="119"/>
      <c r="M4541" s="3"/>
    </row>
    <row r="4542" spans="1:13" s="4" customFormat="1" ht="14.25" customHeight="1" x14ac:dyDescent="0.25">
      <c r="D4542" s="35"/>
      <c r="E4542" s="26" t="s">
        <v>7439</v>
      </c>
      <c r="F4542" s="28"/>
      <c r="G4542" s="28"/>
      <c r="H4542" s="26"/>
      <c r="I4542" s="27">
        <f>SUM(I4538:I4541)</f>
        <v>4929974.9399999995</v>
      </c>
      <c r="J4542" s="27">
        <f>SUM(J4538:J4541)</f>
        <v>3373496.9699999993</v>
      </c>
      <c r="K4542" s="37" t="s">
        <v>7102</v>
      </c>
      <c r="L4542" s="119"/>
      <c r="M4542" s="3"/>
    </row>
    <row r="4543" spans="1:13" s="4" customFormat="1" ht="14.25" customHeight="1" x14ac:dyDescent="0.25">
      <c r="D4543" s="35"/>
      <c r="F4543" s="5"/>
      <c r="G4543" s="5"/>
      <c r="I4543" s="6"/>
      <c r="J4543" s="6"/>
      <c r="K4543" s="37"/>
      <c r="L4543" s="119"/>
      <c r="M4543" s="3"/>
    </row>
    <row r="4544" spans="1:13" s="4" customFormat="1" ht="14.25" customHeight="1" x14ac:dyDescent="0.25">
      <c r="A4544" s="4" t="s">
        <v>7440</v>
      </c>
      <c r="B4544" s="4" t="s">
        <v>13</v>
      </c>
      <c r="C4544" s="4" t="s">
        <v>14</v>
      </c>
      <c r="D4544" s="35">
        <v>4259</v>
      </c>
      <c r="E4544" s="113" t="s">
        <v>7441</v>
      </c>
      <c r="F4544" s="28">
        <v>39132</v>
      </c>
      <c r="G4544" s="26"/>
      <c r="H4544" s="26" t="s">
        <v>7442</v>
      </c>
      <c r="I4544" s="25">
        <v>38349239.659999996</v>
      </c>
      <c r="J4544" s="25">
        <v>38349239.659999996</v>
      </c>
      <c r="K4544" s="37" t="s">
        <v>7443</v>
      </c>
      <c r="L4544" s="119"/>
      <c r="M4544" s="3"/>
    </row>
    <row r="4545" spans="1:13" s="4" customFormat="1" ht="14.25" customHeight="1" x14ac:dyDescent="0.25">
      <c r="A4545" s="4" t="s">
        <v>7444</v>
      </c>
      <c r="B4545" s="4" t="s">
        <v>13</v>
      </c>
      <c r="C4545" s="4" t="s">
        <v>14</v>
      </c>
      <c r="D4545" s="35" t="s">
        <v>11656</v>
      </c>
      <c r="E4545" s="113" t="s">
        <v>7445</v>
      </c>
      <c r="F4545" s="28"/>
      <c r="G4545" s="26"/>
      <c r="H4545" s="26" t="s">
        <v>7446</v>
      </c>
      <c r="I4545" s="25">
        <v>2173743.37</v>
      </c>
      <c r="J4545" s="25">
        <v>2173743.37</v>
      </c>
      <c r="K4545" s="37" t="s">
        <v>7443</v>
      </c>
      <c r="L4545" s="119"/>
      <c r="M4545" s="3"/>
    </row>
    <row r="4546" spans="1:13" s="4" customFormat="1" ht="14.25" customHeight="1" x14ac:dyDescent="0.25">
      <c r="A4546" s="4" t="s">
        <v>7447</v>
      </c>
      <c r="B4546" s="4" t="s">
        <v>13</v>
      </c>
      <c r="C4546" s="4" t="s">
        <v>14</v>
      </c>
      <c r="D4546" s="35">
        <v>9970</v>
      </c>
      <c r="E4546" s="26" t="s">
        <v>7448</v>
      </c>
      <c r="F4546" s="28">
        <v>40129</v>
      </c>
      <c r="G4546" s="28">
        <v>40364</v>
      </c>
      <c r="H4546" s="26" t="s">
        <v>16</v>
      </c>
      <c r="I4546" s="25">
        <v>22478</v>
      </c>
      <c r="J4546" s="25">
        <v>6743.4</v>
      </c>
      <c r="K4546" s="37" t="s">
        <v>7443</v>
      </c>
      <c r="L4546" s="119"/>
      <c r="M4546" s="3"/>
    </row>
    <row r="4547" spans="1:13" s="4" customFormat="1" ht="14.25" customHeight="1" x14ac:dyDescent="0.25">
      <c r="A4547" s="4" t="s">
        <v>7449</v>
      </c>
      <c r="B4547" s="4" t="s">
        <v>13</v>
      </c>
      <c r="C4547" s="4" t="s">
        <v>14</v>
      </c>
      <c r="D4547" s="35">
        <v>10060</v>
      </c>
      <c r="E4547" s="26" t="s">
        <v>7450</v>
      </c>
      <c r="F4547" s="28">
        <v>40128</v>
      </c>
      <c r="G4547" s="28">
        <v>40673</v>
      </c>
      <c r="H4547" s="26" t="s">
        <v>16</v>
      </c>
      <c r="I4547" s="25">
        <v>158780</v>
      </c>
      <c r="J4547" s="25">
        <v>42000</v>
      </c>
      <c r="K4547" s="37" t="s">
        <v>7443</v>
      </c>
      <c r="L4547" s="119"/>
      <c r="M4547" s="3"/>
    </row>
    <row r="4548" spans="1:13" s="4" customFormat="1" ht="14.25" customHeight="1" x14ac:dyDescent="0.25">
      <c r="A4548" s="4" t="s">
        <v>7451</v>
      </c>
      <c r="B4548" s="4" t="s">
        <v>13</v>
      </c>
      <c r="C4548" s="4" t="s">
        <v>14</v>
      </c>
      <c r="D4548" s="35">
        <v>9912</v>
      </c>
      <c r="E4548" s="113" t="s">
        <v>7452</v>
      </c>
      <c r="F4548" s="28">
        <v>40794</v>
      </c>
      <c r="G4548" s="28">
        <v>40899</v>
      </c>
      <c r="H4548" s="26" t="s">
        <v>389</v>
      </c>
      <c r="I4548" s="25">
        <v>264932.52</v>
      </c>
      <c r="J4548" s="25">
        <v>52986.5</v>
      </c>
      <c r="K4548" s="37" t="s">
        <v>7443</v>
      </c>
      <c r="L4548" s="119"/>
      <c r="M4548" s="3"/>
    </row>
    <row r="4549" spans="1:13" s="4" customFormat="1" ht="14.25" customHeight="1" x14ac:dyDescent="0.25">
      <c r="D4549" s="35"/>
      <c r="E4549" s="26" t="s">
        <v>7453</v>
      </c>
      <c r="F4549" s="28"/>
      <c r="G4549" s="28"/>
      <c r="H4549" s="26"/>
      <c r="I4549" s="25">
        <f>SUM(I4544:I4548)</f>
        <v>40969173.549999997</v>
      </c>
      <c r="J4549" s="25">
        <f>SUM(J4544:J4548)</f>
        <v>40624712.929999992</v>
      </c>
      <c r="K4549" s="37" t="s">
        <v>7443</v>
      </c>
      <c r="L4549" s="119"/>
      <c r="M4549" s="3"/>
    </row>
    <row r="4550" spans="1:13" s="4" customFormat="1" ht="14.25" customHeight="1" x14ac:dyDescent="0.25">
      <c r="D4550" s="35"/>
      <c r="E4550" s="7"/>
      <c r="F4550" s="5"/>
      <c r="G4550" s="5"/>
      <c r="I4550" s="6"/>
      <c r="J4550" s="6"/>
      <c r="K4550" s="37"/>
      <c r="L4550" s="119"/>
      <c r="M4550" s="3"/>
    </row>
    <row r="4551" spans="1:13" s="4" customFormat="1" ht="14.25" customHeight="1" x14ac:dyDescent="0.25">
      <c r="A4551" s="4" t="s">
        <v>7454</v>
      </c>
      <c r="B4551" s="4" t="s">
        <v>13</v>
      </c>
      <c r="C4551" s="4" t="s">
        <v>14</v>
      </c>
      <c r="D4551" s="35">
        <v>4403</v>
      </c>
      <c r="E4551" s="7" t="s">
        <v>7455</v>
      </c>
      <c r="F4551" s="5">
        <v>38717</v>
      </c>
      <c r="G4551" s="5">
        <v>41383</v>
      </c>
      <c r="H4551" s="4" t="s">
        <v>2032</v>
      </c>
      <c r="I4551" s="6">
        <f>863461.52+93169.31</f>
        <v>956630.83000000007</v>
      </c>
      <c r="J4551" s="6">
        <f>863461.52+93169.31</f>
        <v>956630.83000000007</v>
      </c>
      <c r="K4551" s="37" t="s">
        <v>7456</v>
      </c>
      <c r="L4551" s="119"/>
      <c r="M4551" s="3"/>
    </row>
    <row r="4552" spans="1:13" s="4" customFormat="1" ht="14.25" customHeight="1" x14ac:dyDescent="0.25">
      <c r="A4552" s="4" t="s">
        <v>7457</v>
      </c>
      <c r="B4552" s="4" t="s">
        <v>13</v>
      </c>
      <c r="C4552" s="4" t="s">
        <v>14</v>
      </c>
      <c r="D4552" s="35">
        <v>3909</v>
      </c>
      <c r="E4552" s="4" t="s">
        <v>7458</v>
      </c>
      <c r="F4552" s="5">
        <v>39545</v>
      </c>
      <c r="G4552" s="5">
        <v>39598</v>
      </c>
      <c r="H4552" s="4" t="s">
        <v>16</v>
      </c>
      <c r="I4552" s="6">
        <v>52051.3</v>
      </c>
      <c r="J4552" s="8">
        <v>16000</v>
      </c>
      <c r="K4552" s="37" t="s">
        <v>7456</v>
      </c>
      <c r="L4552" s="119"/>
      <c r="M4552" s="3"/>
    </row>
    <row r="4553" spans="1:13" s="4" customFormat="1" ht="13.5" customHeight="1" x14ac:dyDescent="0.25">
      <c r="A4553" s="4" t="s">
        <v>7459</v>
      </c>
      <c r="B4553" s="4" t="s">
        <v>13</v>
      </c>
      <c r="C4553" s="4" t="s">
        <v>14</v>
      </c>
      <c r="D4553" s="35">
        <v>3911</v>
      </c>
      <c r="E4553" s="4" t="s">
        <v>7460</v>
      </c>
      <c r="F4553" s="5">
        <v>39400</v>
      </c>
      <c r="G4553" s="5">
        <v>39990</v>
      </c>
      <c r="H4553" s="4" t="s">
        <v>16</v>
      </c>
      <c r="I4553" s="6">
        <v>156085</v>
      </c>
      <c r="J4553" s="6">
        <v>46826</v>
      </c>
      <c r="K4553" s="37" t="s">
        <v>7456</v>
      </c>
      <c r="L4553" s="119"/>
      <c r="M4553" s="3"/>
    </row>
    <row r="4554" spans="1:13" s="4" customFormat="1" ht="14.25" customHeight="1" x14ac:dyDescent="0.25">
      <c r="A4554" s="4" t="s">
        <v>7461</v>
      </c>
      <c r="B4554" s="4" t="s">
        <v>13</v>
      </c>
      <c r="C4554" s="4" t="s">
        <v>14</v>
      </c>
      <c r="D4554" s="35">
        <v>3929</v>
      </c>
      <c r="E4554" s="4" t="s">
        <v>7462</v>
      </c>
      <c r="F4554" s="5">
        <v>39241</v>
      </c>
      <c r="G4554" s="5">
        <v>40270</v>
      </c>
      <c r="H4554" s="4" t="s">
        <v>16</v>
      </c>
      <c r="I4554" s="6">
        <v>116750.25</v>
      </c>
      <c r="J4554" s="6">
        <v>35025.050000000003</v>
      </c>
      <c r="K4554" s="37" t="s">
        <v>7456</v>
      </c>
      <c r="L4554" s="119"/>
      <c r="M4554" s="3"/>
    </row>
    <row r="4555" spans="1:13" s="4" customFormat="1" ht="14.25" customHeight="1" x14ac:dyDescent="0.25">
      <c r="A4555" s="9" t="s">
        <v>7463</v>
      </c>
      <c r="B4555" s="9" t="s">
        <v>13</v>
      </c>
      <c r="C4555" s="9" t="s">
        <v>14</v>
      </c>
      <c r="D4555" s="90">
        <v>3933</v>
      </c>
      <c r="E4555" s="9" t="s">
        <v>7464</v>
      </c>
      <c r="F4555" s="11">
        <v>39966</v>
      </c>
      <c r="G4555" s="11">
        <v>40177</v>
      </c>
      <c r="H4555" s="4" t="s">
        <v>16</v>
      </c>
      <c r="I4555" s="8">
        <v>52200</v>
      </c>
      <c r="J4555" s="8">
        <v>15000</v>
      </c>
      <c r="K4555" s="37" t="s">
        <v>7456</v>
      </c>
      <c r="L4555" s="119"/>
      <c r="M4555" s="3"/>
    </row>
    <row r="4556" spans="1:13" s="4" customFormat="1" ht="14.25" customHeight="1" x14ac:dyDescent="0.25">
      <c r="A4556" s="9" t="s">
        <v>7465</v>
      </c>
      <c r="B4556" s="9" t="s">
        <v>13</v>
      </c>
      <c r="C4556" s="9" t="s">
        <v>14</v>
      </c>
      <c r="D4556" s="90">
        <v>3934</v>
      </c>
      <c r="E4556" s="9" t="s">
        <v>7466</v>
      </c>
      <c r="F4556" s="11">
        <v>39493</v>
      </c>
      <c r="G4556" s="11">
        <v>39660</v>
      </c>
      <c r="H4556" s="4" t="s">
        <v>16</v>
      </c>
      <c r="I4556" s="8">
        <v>8458.15</v>
      </c>
      <c r="J4556" s="8">
        <v>1440</v>
      </c>
      <c r="K4556" s="37" t="s">
        <v>7456</v>
      </c>
      <c r="L4556" s="119"/>
      <c r="M4556" s="3"/>
    </row>
    <row r="4557" spans="1:13" s="4" customFormat="1" ht="14.25" customHeight="1" x14ac:dyDescent="0.25">
      <c r="A4557" s="4" t="s">
        <v>7467</v>
      </c>
      <c r="B4557" s="4" t="s">
        <v>13</v>
      </c>
      <c r="C4557" s="4" t="s">
        <v>14</v>
      </c>
      <c r="D4557" s="35">
        <v>4173</v>
      </c>
      <c r="E4557" s="4" t="s">
        <v>7468</v>
      </c>
      <c r="F4557" s="5">
        <v>39847</v>
      </c>
      <c r="G4557" s="5">
        <v>40025</v>
      </c>
      <c r="H4557" s="4" t="s">
        <v>16</v>
      </c>
      <c r="I4557" s="6">
        <v>1700</v>
      </c>
      <c r="J4557" s="6">
        <v>680</v>
      </c>
      <c r="K4557" s="37" t="s">
        <v>7456</v>
      </c>
      <c r="L4557" s="119"/>
      <c r="M4557" s="3"/>
    </row>
    <row r="4558" spans="1:13" s="4" customFormat="1" ht="14.25" customHeight="1" x14ac:dyDescent="0.25">
      <c r="A4558" s="4" t="s">
        <v>7469</v>
      </c>
      <c r="B4558" s="4" t="s">
        <v>13</v>
      </c>
      <c r="C4558" s="4" t="s">
        <v>14</v>
      </c>
      <c r="D4558" s="35">
        <v>4193</v>
      </c>
      <c r="E4558" s="4" t="s">
        <v>7470</v>
      </c>
      <c r="F4558" s="5">
        <v>39342</v>
      </c>
      <c r="G4558" s="5">
        <v>39476</v>
      </c>
      <c r="H4558" s="4" t="s">
        <v>16</v>
      </c>
      <c r="I4558" s="6">
        <v>151500</v>
      </c>
      <c r="J4558" s="6">
        <v>40500</v>
      </c>
      <c r="K4558" s="37" t="s">
        <v>7456</v>
      </c>
      <c r="L4558" s="119"/>
      <c r="M4558" s="3"/>
    </row>
    <row r="4559" spans="1:13" s="4" customFormat="1" ht="14.25" customHeight="1" x14ac:dyDescent="0.25">
      <c r="A4559" s="4" t="s">
        <v>7471</v>
      </c>
      <c r="B4559" s="4" t="s">
        <v>13</v>
      </c>
      <c r="C4559" s="4" t="s">
        <v>14</v>
      </c>
      <c r="D4559" s="35">
        <v>4194</v>
      </c>
      <c r="E4559" s="4" t="s">
        <v>7472</v>
      </c>
      <c r="F4559" s="5">
        <v>39330</v>
      </c>
      <c r="G4559" s="5">
        <v>40025</v>
      </c>
      <c r="H4559" s="4" t="s">
        <v>16</v>
      </c>
      <c r="I4559" s="6">
        <v>22000</v>
      </c>
      <c r="J4559" s="6">
        <v>5280</v>
      </c>
      <c r="K4559" s="37" t="s">
        <v>7456</v>
      </c>
      <c r="L4559" s="119"/>
      <c r="M4559" s="3"/>
    </row>
    <row r="4560" spans="1:13" s="4" customFormat="1" ht="14.25" customHeight="1" x14ac:dyDescent="0.25">
      <c r="A4560" s="4" t="s">
        <v>7473</v>
      </c>
      <c r="B4560" s="4" t="s">
        <v>13</v>
      </c>
      <c r="C4560" s="4" t="s">
        <v>14</v>
      </c>
      <c r="D4560" s="35">
        <v>4204</v>
      </c>
      <c r="E4560" s="4" t="s">
        <v>7474</v>
      </c>
      <c r="F4560" s="5">
        <v>39568</v>
      </c>
      <c r="G4560" s="5">
        <v>39776</v>
      </c>
      <c r="H4560" s="4" t="s">
        <v>16</v>
      </c>
      <c r="I4560" s="6">
        <v>2500</v>
      </c>
      <c r="J4560" s="6">
        <v>1000</v>
      </c>
      <c r="K4560" s="37" t="s">
        <v>7456</v>
      </c>
      <c r="L4560" s="119"/>
      <c r="M4560" s="3"/>
    </row>
    <row r="4561" spans="1:13" s="4" customFormat="1" ht="14.25" customHeight="1" x14ac:dyDescent="0.25">
      <c r="A4561" s="4" t="s">
        <v>3618</v>
      </c>
      <c r="B4561" s="4" t="s">
        <v>13</v>
      </c>
      <c r="C4561" s="4" t="s">
        <v>14</v>
      </c>
      <c r="D4561" s="35">
        <v>9882</v>
      </c>
      <c r="E4561" s="4" t="s">
        <v>7475</v>
      </c>
      <c r="F4561" s="5">
        <v>40240</v>
      </c>
      <c r="G4561" s="5">
        <v>40532</v>
      </c>
      <c r="H4561" s="4" t="s">
        <v>16</v>
      </c>
      <c r="I4561" s="6">
        <v>35569.53</v>
      </c>
      <c r="J4561" s="6">
        <v>10670</v>
      </c>
      <c r="K4561" s="37" t="s">
        <v>7456</v>
      </c>
      <c r="L4561" s="119"/>
      <c r="M4561" s="3"/>
    </row>
    <row r="4562" spans="1:13" s="4" customFormat="1" ht="14.25" customHeight="1" x14ac:dyDescent="0.25">
      <c r="A4562" s="4" t="s">
        <v>7476</v>
      </c>
      <c r="B4562" s="4" t="s">
        <v>13</v>
      </c>
      <c r="C4562" s="4" t="s">
        <v>14</v>
      </c>
      <c r="D4562" s="35">
        <v>9937</v>
      </c>
      <c r="E4562" s="4" t="s">
        <v>7477</v>
      </c>
      <c r="F4562" s="5">
        <v>40424</v>
      </c>
      <c r="G4562" s="5">
        <v>40598</v>
      </c>
      <c r="H4562" s="4" t="s">
        <v>16</v>
      </c>
      <c r="I4562" s="6">
        <v>12456</v>
      </c>
      <c r="J4562" s="6">
        <v>3736.8</v>
      </c>
      <c r="K4562" s="37" t="s">
        <v>7456</v>
      </c>
      <c r="L4562" s="119"/>
      <c r="M4562" s="3"/>
    </row>
    <row r="4563" spans="1:13" s="4" customFormat="1" ht="14.25" customHeight="1" x14ac:dyDescent="0.25">
      <c r="A4563" s="4" t="s">
        <v>7478</v>
      </c>
      <c r="B4563" s="4" t="s">
        <v>13</v>
      </c>
      <c r="C4563" s="4" t="s">
        <v>14</v>
      </c>
      <c r="D4563" s="35">
        <v>4393</v>
      </c>
      <c r="E4563" s="4" t="s">
        <v>7479</v>
      </c>
      <c r="F4563" s="5">
        <v>40118</v>
      </c>
      <c r="G4563" s="5">
        <v>40595</v>
      </c>
      <c r="H4563" s="4" t="s">
        <v>2039</v>
      </c>
      <c r="I4563" s="6">
        <v>48979.44</v>
      </c>
      <c r="J4563" s="6">
        <v>48979.44</v>
      </c>
      <c r="K4563" s="37" t="s">
        <v>7456</v>
      </c>
      <c r="L4563" s="119"/>
      <c r="M4563" s="3"/>
    </row>
    <row r="4564" spans="1:13" s="4" customFormat="1" ht="14.25" customHeight="1" x14ac:dyDescent="0.25">
      <c r="A4564" s="4" t="s">
        <v>7480</v>
      </c>
      <c r="B4564" s="4" t="s">
        <v>13</v>
      </c>
      <c r="C4564" s="4" t="s">
        <v>14</v>
      </c>
      <c r="D4564" s="35">
        <v>4395</v>
      </c>
      <c r="E4564" s="4" t="s">
        <v>7481</v>
      </c>
      <c r="F4564" s="5">
        <v>39783</v>
      </c>
      <c r="G4564" s="5">
        <v>40268</v>
      </c>
      <c r="H4564" s="4" t="s">
        <v>2039</v>
      </c>
      <c r="I4564" s="6">
        <v>82856.87</v>
      </c>
      <c r="J4564" s="6">
        <v>82856.87</v>
      </c>
      <c r="K4564" s="37" t="s">
        <v>7456</v>
      </c>
      <c r="L4564" s="119"/>
      <c r="M4564" s="3"/>
    </row>
    <row r="4565" spans="1:13" s="4" customFormat="1" ht="14.25" customHeight="1" x14ac:dyDescent="0.25">
      <c r="A4565" s="4" t="s">
        <v>7482</v>
      </c>
      <c r="B4565" s="4" t="s">
        <v>13</v>
      </c>
      <c r="C4565" s="4" t="s">
        <v>14</v>
      </c>
      <c r="D4565" s="35">
        <v>11511</v>
      </c>
      <c r="E4565" s="4" t="s">
        <v>7483</v>
      </c>
      <c r="F4565" s="5">
        <v>40817</v>
      </c>
      <c r="G4565" s="5">
        <v>42004</v>
      </c>
      <c r="H4565" s="4" t="s">
        <v>2039</v>
      </c>
      <c r="I4565" s="6">
        <f>9041.39+38354.3</f>
        <v>47395.69</v>
      </c>
      <c r="J4565" s="6">
        <f>9041.39+38354.3</f>
        <v>47395.69</v>
      </c>
      <c r="K4565" s="37" t="s">
        <v>7456</v>
      </c>
      <c r="L4565" s="119"/>
      <c r="M4565" s="3"/>
    </row>
    <row r="4566" spans="1:13" s="4" customFormat="1" ht="14.25" customHeight="1" x14ac:dyDescent="0.25">
      <c r="A4566" s="4" t="s">
        <v>7484</v>
      </c>
      <c r="B4566" s="4" t="s">
        <v>13</v>
      </c>
      <c r="C4566" s="4" t="s">
        <v>14</v>
      </c>
      <c r="D4566" s="35">
        <v>9860</v>
      </c>
      <c r="E4566" s="4" t="s">
        <v>7485</v>
      </c>
      <c r="F4566" s="5">
        <v>40785</v>
      </c>
      <c r="G4566" s="5">
        <v>40900</v>
      </c>
      <c r="H4566" s="4" t="s">
        <v>392</v>
      </c>
      <c r="I4566" s="6">
        <v>704468</v>
      </c>
      <c r="J4566" s="6">
        <v>176117</v>
      </c>
      <c r="K4566" s="37" t="s">
        <v>7456</v>
      </c>
      <c r="L4566" s="119"/>
      <c r="M4566" s="3"/>
    </row>
    <row r="4567" spans="1:13" s="4" customFormat="1" ht="14.25" customHeight="1" x14ac:dyDescent="0.25">
      <c r="A4567" s="4" t="s">
        <v>7486</v>
      </c>
      <c r="B4567" s="4" t="s">
        <v>13</v>
      </c>
      <c r="C4567" s="4" t="s">
        <v>14</v>
      </c>
      <c r="D4567" s="35">
        <v>9861</v>
      </c>
      <c r="E4567" s="4" t="s">
        <v>7487</v>
      </c>
      <c r="F4567" s="5">
        <v>41137</v>
      </c>
      <c r="G4567" s="5">
        <v>41246</v>
      </c>
      <c r="H4567" s="4" t="s">
        <v>392</v>
      </c>
      <c r="I4567" s="6">
        <v>34161.800000000003</v>
      </c>
      <c r="J4567" s="6">
        <v>11956.63</v>
      </c>
      <c r="K4567" s="37" t="s">
        <v>7456</v>
      </c>
      <c r="L4567" s="119"/>
      <c r="M4567" s="3"/>
    </row>
    <row r="4568" spans="1:13" s="4" customFormat="1" ht="14.25" customHeight="1" x14ac:dyDescent="0.25">
      <c r="A4568" s="4" t="s">
        <v>7488</v>
      </c>
      <c r="B4568" s="4" t="s">
        <v>13</v>
      </c>
      <c r="C4568" s="4" t="s">
        <v>14</v>
      </c>
      <c r="D4568" s="35">
        <v>9869</v>
      </c>
      <c r="E4568" s="4" t="s">
        <v>7489</v>
      </c>
      <c r="F4568" s="5">
        <v>40766</v>
      </c>
      <c r="G4568" s="5">
        <v>40897</v>
      </c>
      <c r="H4568" s="4" t="s">
        <v>392</v>
      </c>
      <c r="I4568" s="6">
        <v>194657</v>
      </c>
      <c r="J4568" s="6">
        <v>68129.95</v>
      </c>
      <c r="K4568" s="37" t="s">
        <v>7456</v>
      </c>
      <c r="L4568" s="119"/>
      <c r="M4568" s="3"/>
    </row>
    <row r="4569" spans="1:13" s="4" customFormat="1" ht="14.25" customHeight="1" x14ac:dyDescent="0.25">
      <c r="A4569" s="4" t="s">
        <v>7488</v>
      </c>
      <c r="B4569" s="4" t="s">
        <v>13</v>
      </c>
      <c r="C4569" s="4" t="s">
        <v>14</v>
      </c>
      <c r="D4569" s="35">
        <v>9901</v>
      </c>
      <c r="E4569" s="4" t="s">
        <v>7490</v>
      </c>
      <c r="F4569" s="5">
        <v>40394</v>
      </c>
      <c r="G4569" s="5">
        <v>40512</v>
      </c>
      <c r="H4569" s="4" t="s">
        <v>392</v>
      </c>
      <c r="I4569" s="6">
        <v>286458.03999999998</v>
      </c>
      <c r="J4569" s="6">
        <v>100260.3</v>
      </c>
      <c r="K4569" s="37" t="s">
        <v>7456</v>
      </c>
      <c r="L4569" s="119"/>
      <c r="M4569" s="3"/>
    </row>
    <row r="4570" spans="1:13" s="4" customFormat="1" ht="14.25" customHeight="1" x14ac:dyDescent="0.25">
      <c r="A4570" s="4" t="s">
        <v>7491</v>
      </c>
      <c r="B4570" s="4" t="s">
        <v>13</v>
      </c>
      <c r="C4570" s="4" t="s">
        <v>14</v>
      </c>
      <c r="D4570" s="35">
        <v>9907</v>
      </c>
      <c r="E4570" s="4" t="s">
        <v>7492</v>
      </c>
      <c r="F4570" s="5">
        <v>40749</v>
      </c>
      <c r="G4570" s="5">
        <v>40897</v>
      </c>
      <c r="H4570" s="4" t="s">
        <v>392</v>
      </c>
      <c r="I4570" s="6">
        <v>197704.02</v>
      </c>
      <c r="J4570" s="6">
        <v>69196.41</v>
      </c>
      <c r="K4570" s="37" t="s">
        <v>7456</v>
      </c>
      <c r="L4570" s="119"/>
      <c r="M4570" s="3"/>
    </row>
    <row r="4571" spans="1:13" s="4" customFormat="1" ht="14.25" customHeight="1" x14ac:dyDescent="0.25">
      <c r="A4571" s="4" t="s">
        <v>7493</v>
      </c>
      <c r="B4571" s="4" t="s">
        <v>13</v>
      </c>
      <c r="C4571" s="4" t="s">
        <v>14</v>
      </c>
      <c r="D4571" s="35">
        <v>9916</v>
      </c>
      <c r="E4571" s="4" t="s">
        <v>7494</v>
      </c>
      <c r="F4571" s="5">
        <v>40406</v>
      </c>
      <c r="G4571" s="5">
        <v>40554</v>
      </c>
      <c r="H4571" s="4" t="s">
        <v>392</v>
      </c>
      <c r="I4571" s="6">
        <v>14650</v>
      </c>
      <c r="J4571" s="6">
        <v>3000</v>
      </c>
      <c r="K4571" s="37" t="s">
        <v>7456</v>
      </c>
      <c r="L4571" s="119"/>
      <c r="M4571" s="3"/>
    </row>
    <row r="4572" spans="1:13" s="4" customFormat="1" ht="14.25" customHeight="1" x14ac:dyDescent="0.25">
      <c r="A4572" s="4" t="s">
        <v>2034</v>
      </c>
      <c r="B4572" s="4" t="s">
        <v>13</v>
      </c>
      <c r="C4572" s="4" t="s">
        <v>14</v>
      </c>
      <c r="D4572" s="35">
        <v>10149</v>
      </c>
      <c r="E4572" s="4" t="s">
        <v>7495</v>
      </c>
      <c r="F4572" s="5">
        <v>40861</v>
      </c>
      <c r="G4572" s="5">
        <v>40870</v>
      </c>
      <c r="H4572" s="4" t="s">
        <v>392</v>
      </c>
      <c r="I4572" s="6">
        <v>1188619.33</v>
      </c>
      <c r="J4572" s="6">
        <v>106975.76</v>
      </c>
      <c r="K4572" s="37" t="s">
        <v>7456</v>
      </c>
      <c r="L4572" s="119"/>
      <c r="M4572" s="3"/>
    </row>
    <row r="4573" spans="1:13" s="4" customFormat="1" ht="14.25" customHeight="1" x14ac:dyDescent="0.25">
      <c r="A4573" s="4" t="s">
        <v>3072</v>
      </c>
      <c r="B4573" s="4" t="s">
        <v>13</v>
      </c>
      <c r="C4573" s="4" t="s">
        <v>14</v>
      </c>
      <c r="D4573" s="35">
        <v>10154</v>
      </c>
      <c r="E4573" s="4" t="s">
        <v>7496</v>
      </c>
      <c r="F4573" s="5">
        <v>40749</v>
      </c>
      <c r="G4573" s="5">
        <v>40897</v>
      </c>
      <c r="H4573" s="4" t="s">
        <v>392</v>
      </c>
      <c r="I4573" s="6">
        <v>141062.91</v>
      </c>
      <c r="J4573" s="6">
        <v>49372.02</v>
      </c>
      <c r="K4573" s="37" t="s">
        <v>7456</v>
      </c>
      <c r="L4573" s="119"/>
      <c r="M4573" s="3"/>
    </row>
    <row r="4574" spans="1:13" s="4" customFormat="1" ht="14.25" customHeight="1" x14ac:dyDescent="0.25">
      <c r="A4574" s="4" t="s">
        <v>7493</v>
      </c>
      <c r="B4574" s="4" t="s">
        <v>13</v>
      </c>
      <c r="C4574" s="4" t="s">
        <v>14</v>
      </c>
      <c r="D4574" s="35">
        <v>10221</v>
      </c>
      <c r="E4574" s="7" t="s">
        <v>7497</v>
      </c>
      <c r="F4574" s="5">
        <v>41107</v>
      </c>
      <c r="G4574" s="5">
        <v>41501</v>
      </c>
      <c r="H4574" s="4" t="s">
        <v>392</v>
      </c>
      <c r="I4574" s="6">
        <v>332659.28999999998</v>
      </c>
      <c r="J4574" s="6">
        <v>116430.75</v>
      </c>
      <c r="K4574" s="37" t="s">
        <v>7456</v>
      </c>
      <c r="L4574" s="119"/>
      <c r="M4574" s="3"/>
    </row>
    <row r="4575" spans="1:13" s="4" customFormat="1" ht="14.25" customHeight="1" x14ac:dyDescent="0.25">
      <c r="A4575" s="4" t="s">
        <v>7498</v>
      </c>
      <c r="B4575" s="4" t="s">
        <v>11764</v>
      </c>
      <c r="C4575" s="4" t="s">
        <v>14</v>
      </c>
      <c r="D4575" s="35">
        <v>366</v>
      </c>
      <c r="E4575" s="4" t="s">
        <v>7499</v>
      </c>
      <c r="F4575" s="5">
        <v>39099</v>
      </c>
      <c r="G4575" s="5">
        <v>39218</v>
      </c>
      <c r="H4575" s="4" t="s">
        <v>40</v>
      </c>
      <c r="I4575" s="6">
        <v>100000</v>
      </c>
      <c r="J4575" s="6">
        <v>50000</v>
      </c>
      <c r="K4575" s="37" t="s">
        <v>7456</v>
      </c>
      <c r="L4575" s="119"/>
      <c r="M4575" s="3"/>
    </row>
    <row r="4576" spans="1:13" s="4" customFormat="1" ht="14.25" customHeight="1" x14ac:dyDescent="0.25">
      <c r="A4576" s="4" t="s">
        <v>7500</v>
      </c>
      <c r="B4576" s="4" t="s">
        <v>11764</v>
      </c>
      <c r="C4576" s="4" t="s">
        <v>14</v>
      </c>
      <c r="D4576" s="35">
        <v>367</v>
      </c>
      <c r="E4576" s="4" t="s">
        <v>7501</v>
      </c>
      <c r="F4576" s="5">
        <v>39134</v>
      </c>
      <c r="G4576" s="5">
        <v>39172</v>
      </c>
      <c r="H4576" s="4" t="s">
        <v>40</v>
      </c>
      <c r="I4576" s="6">
        <v>150000</v>
      </c>
      <c r="J4576" s="6">
        <v>75000</v>
      </c>
      <c r="K4576" s="37" t="s">
        <v>7456</v>
      </c>
      <c r="L4576" s="119"/>
      <c r="M4576" s="3"/>
    </row>
    <row r="4577" spans="1:13" s="4" customFormat="1" ht="14.25" customHeight="1" x14ac:dyDescent="0.25">
      <c r="A4577" s="4" t="s">
        <v>7502</v>
      </c>
      <c r="B4577" s="4" t="s">
        <v>50</v>
      </c>
      <c r="C4577" s="4" t="s">
        <v>14</v>
      </c>
      <c r="D4577" s="35">
        <v>368</v>
      </c>
      <c r="E4577" s="4" t="s">
        <v>7503</v>
      </c>
      <c r="F4577" s="5">
        <v>39225</v>
      </c>
      <c r="G4577" s="5">
        <v>39423</v>
      </c>
      <c r="H4577" s="4" t="s">
        <v>40</v>
      </c>
      <c r="I4577" s="6">
        <v>80000</v>
      </c>
      <c r="J4577" s="6">
        <v>15000</v>
      </c>
      <c r="K4577" s="37" t="s">
        <v>7456</v>
      </c>
      <c r="L4577" s="119"/>
      <c r="M4577" s="3"/>
    </row>
    <row r="4578" spans="1:13" s="4" customFormat="1" ht="14.25" customHeight="1" x14ac:dyDescent="0.25">
      <c r="A4578" s="4" t="s">
        <v>7504</v>
      </c>
      <c r="B4578" s="4" t="s">
        <v>11764</v>
      </c>
      <c r="C4578" s="4" t="s">
        <v>14</v>
      </c>
      <c r="D4578" s="35">
        <v>369</v>
      </c>
      <c r="E4578" s="4" t="s">
        <v>7505</v>
      </c>
      <c r="F4578" s="5">
        <v>39162</v>
      </c>
      <c r="G4578" s="5">
        <v>39258</v>
      </c>
      <c r="H4578" s="4" t="s">
        <v>40</v>
      </c>
      <c r="I4578" s="6">
        <v>100000</v>
      </c>
      <c r="J4578" s="6">
        <v>50000</v>
      </c>
      <c r="K4578" s="37" t="s">
        <v>7456</v>
      </c>
      <c r="L4578" s="119"/>
      <c r="M4578" s="3"/>
    </row>
    <row r="4579" spans="1:13" s="4" customFormat="1" ht="14.25" customHeight="1" x14ac:dyDescent="0.25">
      <c r="A4579" s="4" t="s">
        <v>7506</v>
      </c>
      <c r="B4579" s="4" t="s">
        <v>11764</v>
      </c>
      <c r="C4579" s="4" t="s">
        <v>14</v>
      </c>
      <c r="D4579" s="35">
        <v>370</v>
      </c>
      <c r="E4579" s="4" t="s">
        <v>7507</v>
      </c>
      <c r="F4579" s="5">
        <v>39190</v>
      </c>
      <c r="G4579" s="5">
        <v>39428</v>
      </c>
      <c r="H4579" s="4" t="s">
        <v>40</v>
      </c>
      <c r="I4579" s="6">
        <v>150000</v>
      </c>
      <c r="J4579" s="6">
        <v>75000</v>
      </c>
      <c r="K4579" s="37" t="s">
        <v>7456</v>
      </c>
      <c r="L4579" s="119"/>
      <c r="M4579" s="3"/>
    </row>
    <row r="4580" spans="1:13" s="4" customFormat="1" ht="14.25" customHeight="1" x14ac:dyDescent="0.25">
      <c r="A4580" s="4" t="s">
        <v>7512</v>
      </c>
      <c r="B4580" s="4" t="s">
        <v>59</v>
      </c>
      <c r="C4580" s="4" t="s">
        <v>14</v>
      </c>
      <c r="D4580" s="35">
        <v>373</v>
      </c>
      <c r="E4580" s="4" t="s">
        <v>7513</v>
      </c>
      <c r="F4580" s="5">
        <v>39281</v>
      </c>
      <c r="G4580" s="5">
        <v>39489</v>
      </c>
      <c r="H4580" s="4" t="s">
        <v>40</v>
      </c>
      <c r="I4580" s="6">
        <v>7500</v>
      </c>
      <c r="J4580" s="6">
        <v>7500</v>
      </c>
      <c r="K4580" s="37" t="s">
        <v>7456</v>
      </c>
      <c r="L4580" s="119"/>
      <c r="M4580" s="3"/>
    </row>
    <row r="4581" spans="1:13" s="4" customFormat="1" ht="14.25" customHeight="1" x14ac:dyDescent="0.25">
      <c r="A4581" s="4" t="s">
        <v>7514</v>
      </c>
      <c r="B4581" s="4" t="s">
        <v>11764</v>
      </c>
      <c r="C4581" s="4" t="s">
        <v>14</v>
      </c>
      <c r="D4581" s="35">
        <v>374</v>
      </c>
      <c r="E4581" s="4" t="s">
        <v>7515</v>
      </c>
      <c r="F4581" s="5">
        <v>39337</v>
      </c>
      <c r="G4581" s="5">
        <v>39517</v>
      </c>
      <c r="H4581" s="4" t="s">
        <v>40</v>
      </c>
      <c r="I4581" s="6">
        <v>75000</v>
      </c>
      <c r="J4581" s="6">
        <v>25000</v>
      </c>
      <c r="K4581" s="37" t="s">
        <v>7456</v>
      </c>
      <c r="L4581" s="119"/>
      <c r="M4581" s="3"/>
    </row>
    <row r="4582" spans="1:13" s="4" customFormat="1" ht="14.25" customHeight="1" x14ac:dyDescent="0.25">
      <c r="A4582" s="4" t="s">
        <v>7519</v>
      </c>
      <c r="B4582" s="4" t="s">
        <v>38</v>
      </c>
      <c r="C4582" s="4" t="s">
        <v>14</v>
      </c>
      <c r="D4582" s="35">
        <v>686</v>
      </c>
      <c r="E4582" s="4" t="s">
        <v>7520</v>
      </c>
      <c r="F4582" s="5">
        <v>39093</v>
      </c>
      <c r="G4582" s="5">
        <v>39435</v>
      </c>
      <c r="H4582" s="4" t="s">
        <v>40</v>
      </c>
      <c r="I4582" s="6">
        <v>34360.699999999997</v>
      </c>
      <c r="J4582" s="6">
        <v>34360.699999999997</v>
      </c>
      <c r="K4582" s="37" t="s">
        <v>7456</v>
      </c>
      <c r="L4582" s="119"/>
      <c r="M4582" s="3"/>
    </row>
    <row r="4583" spans="1:13" s="4" customFormat="1" ht="14.25" customHeight="1" x14ac:dyDescent="0.25">
      <c r="A4583" s="4" t="s">
        <v>7521</v>
      </c>
      <c r="B4583" s="4" t="s">
        <v>38</v>
      </c>
      <c r="C4583" s="4" t="s">
        <v>14</v>
      </c>
      <c r="D4583" s="35">
        <v>689</v>
      </c>
      <c r="E4583" s="4" t="s">
        <v>7522</v>
      </c>
      <c r="F4583" s="5">
        <v>39093</v>
      </c>
      <c r="G4583" s="5">
        <v>39435</v>
      </c>
      <c r="H4583" s="4" t="s">
        <v>40</v>
      </c>
      <c r="I4583" s="6">
        <v>16144.86</v>
      </c>
      <c r="J4583" s="6">
        <v>16144.86</v>
      </c>
      <c r="K4583" s="37" t="s">
        <v>7456</v>
      </c>
      <c r="L4583" s="119"/>
      <c r="M4583" s="3"/>
    </row>
    <row r="4584" spans="1:13" s="4" customFormat="1" ht="14.25" customHeight="1" x14ac:dyDescent="0.25">
      <c r="A4584" s="4" t="s">
        <v>7523</v>
      </c>
      <c r="B4584" s="4" t="s">
        <v>38</v>
      </c>
      <c r="C4584" s="4" t="s">
        <v>14</v>
      </c>
      <c r="D4584" s="35">
        <v>692</v>
      </c>
      <c r="E4584" s="4" t="s">
        <v>7524</v>
      </c>
      <c r="F4584" s="5">
        <v>39093</v>
      </c>
      <c r="G4584" s="5">
        <v>39427</v>
      </c>
      <c r="H4584" s="4" t="s">
        <v>40</v>
      </c>
      <c r="I4584" s="6">
        <v>3216.6</v>
      </c>
      <c r="J4584" s="6">
        <v>3215.6</v>
      </c>
      <c r="K4584" s="37" t="s">
        <v>7456</v>
      </c>
      <c r="L4584" s="119"/>
      <c r="M4584" s="3"/>
    </row>
    <row r="4585" spans="1:13" s="4" customFormat="1" ht="14.25" customHeight="1" x14ac:dyDescent="0.25">
      <c r="A4585" s="4" t="s">
        <v>7525</v>
      </c>
      <c r="B4585" s="4" t="s">
        <v>38</v>
      </c>
      <c r="C4585" s="4" t="s">
        <v>14</v>
      </c>
      <c r="D4585" s="35">
        <v>698</v>
      </c>
      <c r="E4585" s="4" t="s">
        <v>7526</v>
      </c>
      <c r="F4585" s="5">
        <v>39128</v>
      </c>
      <c r="G4585" s="5">
        <v>39390</v>
      </c>
      <c r="H4585" s="4" t="s">
        <v>40</v>
      </c>
      <c r="I4585" s="6">
        <v>177.5</v>
      </c>
      <c r="J4585" s="6">
        <v>177.5</v>
      </c>
      <c r="K4585" s="37" t="s">
        <v>7456</v>
      </c>
      <c r="L4585" s="119"/>
      <c r="M4585" s="3"/>
    </row>
    <row r="4586" spans="1:13" s="4" customFormat="1" ht="14.25" customHeight="1" x14ac:dyDescent="0.25">
      <c r="A4586" s="4" t="s">
        <v>7527</v>
      </c>
      <c r="B4586" s="4" t="s">
        <v>38</v>
      </c>
      <c r="C4586" s="4" t="s">
        <v>14</v>
      </c>
      <c r="D4586" s="35">
        <v>699</v>
      </c>
      <c r="E4586" s="4" t="s">
        <v>7528</v>
      </c>
      <c r="F4586" s="5">
        <v>39084</v>
      </c>
      <c r="G4586" s="5">
        <v>39380</v>
      </c>
      <c r="H4586" s="4" t="s">
        <v>40</v>
      </c>
      <c r="I4586" s="6">
        <v>0</v>
      </c>
      <c r="J4586" s="6">
        <v>0</v>
      </c>
      <c r="K4586" s="37" t="s">
        <v>7456</v>
      </c>
      <c r="L4586" s="119"/>
      <c r="M4586" s="3"/>
    </row>
    <row r="4587" spans="1:13" s="4" customFormat="1" ht="14.25" customHeight="1" x14ac:dyDescent="0.25">
      <c r="A4587" s="4" t="s">
        <v>7529</v>
      </c>
      <c r="B4587" s="4" t="s">
        <v>38</v>
      </c>
      <c r="C4587" s="4" t="s">
        <v>14</v>
      </c>
      <c r="D4587" s="35">
        <v>700</v>
      </c>
      <c r="E4587" s="4" t="s">
        <v>7530</v>
      </c>
      <c r="F4587" s="5">
        <v>39083</v>
      </c>
      <c r="G4587" s="5">
        <v>39447</v>
      </c>
      <c r="H4587" s="4" t="s">
        <v>40</v>
      </c>
      <c r="I4587" s="6">
        <v>30000</v>
      </c>
      <c r="J4587" s="6">
        <v>30000</v>
      </c>
      <c r="K4587" s="37" t="s">
        <v>7456</v>
      </c>
      <c r="L4587" s="119"/>
      <c r="M4587" s="3"/>
    </row>
    <row r="4588" spans="1:13" s="4" customFormat="1" ht="14.25" customHeight="1" x14ac:dyDescent="0.25">
      <c r="A4588" s="4" t="s">
        <v>7531</v>
      </c>
      <c r="B4588" s="4" t="s">
        <v>38</v>
      </c>
      <c r="C4588" s="4" t="s">
        <v>14</v>
      </c>
      <c r="D4588" s="35">
        <v>713</v>
      </c>
      <c r="E4588" s="4" t="s">
        <v>7532</v>
      </c>
      <c r="F4588" s="5">
        <v>39091</v>
      </c>
      <c r="G4588" s="5">
        <v>39370</v>
      </c>
      <c r="H4588" s="4" t="s">
        <v>40</v>
      </c>
      <c r="I4588" s="6">
        <v>3725</v>
      </c>
      <c r="J4588" s="6">
        <v>3725</v>
      </c>
      <c r="K4588" s="37" t="s">
        <v>7456</v>
      </c>
      <c r="L4588" s="119"/>
      <c r="M4588" s="3"/>
    </row>
    <row r="4589" spans="1:13" s="4" customFormat="1" ht="14.25" customHeight="1" x14ac:dyDescent="0.25">
      <c r="A4589" s="4" t="s">
        <v>7533</v>
      </c>
      <c r="B4589" s="4" t="s">
        <v>38</v>
      </c>
      <c r="C4589" s="4" t="s">
        <v>14</v>
      </c>
      <c r="D4589" s="35">
        <v>715</v>
      </c>
      <c r="E4589" s="4" t="s">
        <v>7534</v>
      </c>
      <c r="F4589" s="5">
        <v>39134</v>
      </c>
      <c r="G4589" s="5">
        <v>39437</v>
      </c>
      <c r="H4589" s="4" t="s">
        <v>40</v>
      </c>
      <c r="I4589" s="6">
        <v>153573</v>
      </c>
      <c r="J4589" s="6">
        <v>61429</v>
      </c>
      <c r="K4589" s="37" t="s">
        <v>7456</v>
      </c>
      <c r="L4589" s="119"/>
      <c r="M4589" s="3"/>
    </row>
    <row r="4590" spans="1:13" s="4" customFormat="1" ht="14.25" customHeight="1" x14ac:dyDescent="0.25">
      <c r="A4590" s="4" t="s">
        <v>7535</v>
      </c>
      <c r="B4590" s="4" t="s">
        <v>13</v>
      </c>
      <c r="C4590" s="4" t="s">
        <v>14</v>
      </c>
      <c r="D4590" s="35">
        <v>716</v>
      </c>
      <c r="E4590" s="4" t="s">
        <v>7536</v>
      </c>
      <c r="F4590" s="5">
        <v>39206</v>
      </c>
      <c r="G4590" s="5">
        <v>39302</v>
      </c>
      <c r="H4590" s="4" t="s">
        <v>40</v>
      </c>
      <c r="I4590" s="6">
        <v>2080</v>
      </c>
      <c r="J4590" s="6">
        <v>2080</v>
      </c>
      <c r="K4590" s="37" t="s">
        <v>7456</v>
      </c>
      <c r="L4590" s="119"/>
      <c r="M4590" s="3"/>
    </row>
    <row r="4591" spans="1:13" s="4" customFormat="1" ht="14.25" customHeight="1" x14ac:dyDescent="0.25">
      <c r="A4591" s="4" t="s">
        <v>7537</v>
      </c>
      <c r="B4591" s="4" t="s">
        <v>38</v>
      </c>
      <c r="C4591" s="4" t="s">
        <v>14</v>
      </c>
      <c r="D4591" s="35">
        <v>718</v>
      </c>
      <c r="E4591" s="4" t="s">
        <v>7538</v>
      </c>
      <c r="F4591" s="5">
        <v>39085</v>
      </c>
      <c r="G4591" s="5">
        <v>39421</v>
      </c>
      <c r="H4591" s="4" t="s">
        <v>40</v>
      </c>
      <c r="I4591" s="6">
        <v>23118.9</v>
      </c>
      <c r="J4591" s="6">
        <v>23118.9</v>
      </c>
      <c r="K4591" s="37" t="s">
        <v>7456</v>
      </c>
      <c r="L4591" s="119"/>
      <c r="M4591" s="3"/>
    </row>
    <row r="4592" spans="1:13" s="4" customFormat="1" ht="14.25" customHeight="1" x14ac:dyDescent="0.25">
      <c r="A4592" s="4" t="s">
        <v>7539</v>
      </c>
      <c r="B4592" s="4" t="s">
        <v>38</v>
      </c>
      <c r="C4592" s="4" t="s">
        <v>14</v>
      </c>
      <c r="D4592" s="35">
        <v>719</v>
      </c>
      <c r="E4592" s="4" t="s">
        <v>7540</v>
      </c>
      <c r="F4592" s="5">
        <v>39093</v>
      </c>
      <c r="G4592" s="5">
        <v>39436</v>
      </c>
      <c r="H4592" s="4" t="s">
        <v>40</v>
      </c>
      <c r="I4592" s="6">
        <v>46002.879999999997</v>
      </c>
      <c r="J4592" s="6">
        <v>46003</v>
      </c>
      <c r="K4592" s="37" t="s">
        <v>7456</v>
      </c>
      <c r="L4592" s="119"/>
      <c r="M4592" s="3"/>
    </row>
    <row r="4593" spans="1:13" s="4" customFormat="1" ht="14.25" customHeight="1" x14ac:dyDescent="0.25">
      <c r="A4593" s="4" t="s">
        <v>7541</v>
      </c>
      <c r="B4593" s="4" t="s">
        <v>38</v>
      </c>
      <c r="C4593" s="4" t="s">
        <v>14</v>
      </c>
      <c r="D4593" s="35">
        <v>722</v>
      </c>
      <c r="E4593" s="4" t="s">
        <v>7542</v>
      </c>
      <c r="F4593" s="5">
        <v>39351</v>
      </c>
      <c r="G4593" s="5">
        <v>39421</v>
      </c>
      <c r="H4593" s="4" t="s">
        <v>40</v>
      </c>
      <c r="I4593" s="6">
        <v>3238.35</v>
      </c>
      <c r="J4593" s="6">
        <v>3238</v>
      </c>
      <c r="K4593" s="37" t="s">
        <v>7456</v>
      </c>
      <c r="L4593" s="119"/>
      <c r="M4593" s="3"/>
    </row>
    <row r="4594" spans="1:13" s="4" customFormat="1" ht="14.25" customHeight="1" x14ac:dyDescent="0.25">
      <c r="A4594" s="4" t="s">
        <v>7543</v>
      </c>
      <c r="B4594" s="4" t="s">
        <v>38</v>
      </c>
      <c r="C4594" s="4" t="s">
        <v>14</v>
      </c>
      <c r="D4594" s="35">
        <v>723</v>
      </c>
      <c r="E4594" s="4" t="s">
        <v>7544</v>
      </c>
      <c r="F4594" s="5">
        <v>39091</v>
      </c>
      <c r="G4594" s="5">
        <v>39103</v>
      </c>
      <c r="H4594" s="4" t="s">
        <v>40</v>
      </c>
      <c r="I4594" s="6">
        <v>45016.79</v>
      </c>
      <c r="J4594" s="6">
        <v>45016.79</v>
      </c>
      <c r="K4594" s="37" t="s">
        <v>7456</v>
      </c>
      <c r="L4594" s="119"/>
      <c r="M4594" s="3"/>
    </row>
    <row r="4595" spans="1:13" s="4" customFormat="1" ht="14.25" customHeight="1" x14ac:dyDescent="0.25">
      <c r="A4595" s="4" t="s">
        <v>5884</v>
      </c>
      <c r="B4595" s="4" t="s">
        <v>13</v>
      </c>
      <c r="C4595" s="4" t="s">
        <v>14</v>
      </c>
      <c r="D4595" s="35">
        <v>724</v>
      </c>
      <c r="E4595" s="4" t="s">
        <v>7545</v>
      </c>
      <c r="F4595" s="5">
        <v>39157</v>
      </c>
      <c r="G4595" s="5">
        <v>39336</v>
      </c>
      <c r="H4595" s="4" t="s">
        <v>40</v>
      </c>
      <c r="I4595" s="6">
        <v>35259.120000000003</v>
      </c>
      <c r="J4595" s="6">
        <v>35259.120000000003</v>
      </c>
      <c r="K4595" s="37" t="s">
        <v>7456</v>
      </c>
      <c r="L4595" s="119"/>
      <c r="M4595" s="3"/>
    </row>
    <row r="4596" spans="1:13" s="4" customFormat="1" ht="14.25" customHeight="1" x14ac:dyDescent="0.25">
      <c r="A4596" s="4" t="s">
        <v>7546</v>
      </c>
      <c r="B4596" s="4" t="s">
        <v>13</v>
      </c>
      <c r="C4596" s="4" t="s">
        <v>14</v>
      </c>
      <c r="D4596" s="35">
        <v>726</v>
      </c>
      <c r="E4596" s="4" t="s">
        <v>7547</v>
      </c>
      <c r="F4596" s="5">
        <v>39176</v>
      </c>
      <c r="G4596" s="5">
        <v>39206</v>
      </c>
      <c r="H4596" s="4" t="s">
        <v>40</v>
      </c>
      <c r="I4596" s="6">
        <v>4346.8</v>
      </c>
      <c r="J4596" s="6">
        <v>4347</v>
      </c>
      <c r="K4596" s="37" t="s">
        <v>7456</v>
      </c>
      <c r="L4596" s="119"/>
      <c r="M4596" s="3"/>
    </row>
    <row r="4597" spans="1:13" s="4" customFormat="1" ht="14.25" customHeight="1" x14ac:dyDescent="0.25">
      <c r="A4597" s="4" t="s">
        <v>7548</v>
      </c>
      <c r="B4597" s="4" t="s">
        <v>38</v>
      </c>
      <c r="C4597" s="4" t="s">
        <v>14</v>
      </c>
      <c r="D4597" s="35">
        <v>727</v>
      </c>
      <c r="E4597" s="4" t="s">
        <v>7549</v>
      </c>
      <c r="F4597" s="5">
        <v>39169</v>
      </c>
      <c r="G4597" s="5">
        <v>39434</v>
      </c>
      <c r="H4597" s="4" t="s">
        <v>40</v>
      </c>
      <c r="I4597" s="6">
        <v>38652.6</v>
      </c>
      <c r="J4597" s="6">
        <v>38652.6</v>
      </c>
      <c r="K4597" s="37" t="s">
        <v>7456</v>
      </c>
      <c r="L4597" s="119"/>
      <c r="M4597" s="3"/>
    </row>
    <row r="4598" spans="1:13" s="4" customFormat="1" ht="14.25" customHeight="1" x14ac:dyDescent="0.25">
      <c r="A4598" s="4" t="s">
        <v>7550</v>
      </c>
      <c r="B4598" s="4" t="s">
        <v>13</v>
      </c>
      <c r="C4598" s="4" t="s">
        <v>14</v>
      </c>
      <c r="D4598" s="35">
        <v>759</v>
      </c>
      <c r="E4598" s="4" t="s">
        <v>7551</v>
      </c>
      <c r="F4598" s="5">
        <v>39266</v>
      </c>
      <c r="G4598" s="5">
        <v>39308</v>
      </c>
      <c r="H4598" s="4" t="s">
        <v>40</v>
      </c>
      <c r="I4598" s="6">
        <v>1992</v>
      </c>
      <c r="J4598" s="6">
        <v>1992.2</v>
      </c>
      <c r="K4598" s="37" t="s">
        <v>7456</v>
      </c>
      <c r="L4598" s="119"/>
      <c r="M4598" s="3"/>
    </row>
    <row r="4599" spans="1:13" s="4" customFormat="1" ht="14.25" customHeight="1" x14ac:dyDescent="0.25">
      <c r="A4599" s="4" t="s">
        <v>7552</v>
      </c>
      <c r="B4599" s="4" t="s">
        <v>13</v>
      </c>
      <c r="C4599" s="4" t="s">
        <v>14</v>
      </c>
      <c r="D4599" s="35">
        <v>760</v>
      </c>
      <c r="E4599" s="4" t="s">
        <v>7553</v>
      </c>
      <c r="F4599" s="5">
        <v>39099</v>
      </c>
      <c r="G4599" s="5">
        <v>39099</v>
      </c>
      <c r="H4599" s="4" t="s">
        <v>40</v>
      </c>
      <c r="I4599" s="6">
        <v>1771</v>
      </c>
      <c r="J4599" s="6">
        <v>1771</v>
      </c>
      <c r="K4599" s="37" t="s">
        <v>7456</v>
      </c>
      <c r="L4599" s="119"/>
      <c r="M4599" s="3"/>
    </row>
    <row r="4600" spans="1:13" s="4" customFormat="1" ht="14.25" customHeight="1" x14ac:dyDescent="0.25">
      <c r="A4600" s="4" t="s">
        <v>7556</v>
      </c>
      <c r="B4600" s="4" t="s">
        <v>13</v>
      </c>
      <c r="C4600" s="4" t="s">
        <v>14</v>
      </c>
      <c r="D4600" s="35">
        <v>1094</v>
      </c>
      <c r="E4600" s="4" t="s">
        <v>7557</v>
      </c>
      <c r="F4600" s="5">
        <v>39216</v>
      </c>
      <c r="G4600" s="5">
        <v>39335</v>
      </c>
      <c r="H4600" s="4" t="s">
        <v>40</v>
      </c>
      <c r="I4600" s="6">
        <v>1344</v>
      </c>
      <c r="J4600" s="6">
        <v>1344</v>
      </c>
      <c r="K4600" s="37" t="s">
        <v>7456</v>
      </c>
      <c r="L4600" s="119"/>
      <c r="M4600" s="3"/>
    </row>
    <row r="4601" spans="1:13" s="4" customFormat="1" ht="14.25" customHeight="1" x14ac:dyDescent="0.25">
      <c r="A4601" s="4" t="s">
        <v>7558</v>
      </c>
      <c r="B4601" s="4" t="s">
        <v>38</v>
      </c>
      <c r="C4601" s="4" t="s">
        <v>14</v>
      </c>
      <c r="D4601" s="35">
        <v>3396</v>
      </c>
      <c r="E4601" s="4" t="s">
        <v>7559</v>
      </c>
      <c r="F4601" s="5">
        <v>39478</v>
      </c>
      <c r="G4601" s="5">
        <v>39801</v>
      </c>
      <c r="H4601" s="4" t="s">
        <v>40</v>
      </c>
      <c r="I4601" s="6">
        <v>26138.76</v>
      </c>
      <c r="J4601" s="6">
        <v>26138.76</v>
      </c>
      <c r="K4601" s="37" t="s">
        <v>7456</v>
      </c>
      <c r="L4601" s="119"/>
      <c r="M4601" s="3"/>
    </row>
    <row r="4602" spans="1:13" s="4" customFormat="1" ht="14.25" customHeight="1" x14ac:dyDescent="0.25">
      <c r="A4602" s="4" t="s">
        <v>7560</v>
      </c>
      <c r="B4602" s="4" t="s">
        <v>38</v>
      </c>
      <c r="C4602" s="4" t="s">
        <v>14</v>
      </c>
      <c r="D4602" s="35">
        <v>3397</v>
      </c>
      <c r="E4602" s="4" t="s">
        <v>7522</v>
      </c>
      <c r="F4602" s="5">
        <v>39477</v>
      </c>
      <c r="G4602" s="5">
        <v>39799</v>
      </c>
      <c r="H4602" s="4" t="s">
        <v>40</v>
      </c>
      <c r="I4602" s="6">
        <v>21088.62</v>
      </c>
      <c r="J4602" s="6">
        <v>21088.62</v>
      </c>
      <c r="K4602" s="37" t="s">
        <v>7456</v>
      </c>
      <c r="L4602" s="119"/>
      <c r="M4602" s="3"/>
    </row>
    <row r="4603" spans="1:13" s="4" customFormat="1" ht="14.25" customHeight="1" x14ac:dyDescent="0.25">
      <c r="A4603" s="4" t="s">
        <v>7561</v>
      </c>
      <c r="B4603" s="4" t="s">
        <v>38</v>
      </c>
      <c r="C4603" s="4" t="s">
        <v>14</v>
      </c>
      <c r="D4603" s="35">
        <v>3398</v>
      </c>
      <c r="E4603" s="4" t="s">
        <v>7562</v>
      </c>
      <c r="F4603" s="5">
        <v>39477</v>
      </c>
      <c r="G4603" s="5">
        <v>39677</v>
      </c>
      <c r="H4603" s="4" t="s">
        <v>40</v>
      </c>
      <c r="I4603" s="6">
        <v>2302.85</v>
      </c>
      <c r="J4603" s="6">
        <v>2302.85</v>
      </c>
      <c r="K4603" s="37" t="s">
        <v>7456</v>
      </c>
      <c r="L4603" s="119"/>
      <c r="M4603" s="3"/>
    </row>
    <row r="4604" spans="1:13" s="4" customFormat="1" ht="14.25" customHeight="1" x14ac:dyDescent="0.25">
      <c r="A4604" s="4" t="s">
        <v>7563</v>
      </c>
      <c r="B4604" s="4" t="s">
        <v>38</v>
      </c>
      <c r="C4604" s="4" t="s">
        <v>14</v>
      </c>
      <c r="D4604" s="35">
        <v>3399</v>
      </c>
      <c r="E4604" s="4" t="s">
        <v>7526</v>
      </c>
      <c r="F4604" s="5">
        <v>39477</v>
      </c>
      <c r="G4604" s="5">
        <v>39677</v>
      </c>
      <c r="H4604" s="4" t="s">
        <v>40</v>
      </c>
      <c r="I4604" s="6">
        <v>55</v>
      </c>
      <c r="J4604" s="6">
        <v>55</v>
      </c>
      <c r="K4604" s="37" t="s">
        <v>7456</v>
      </c>
      <c r="L4604" s="119"/>
      <c r="M4604" s="3"/>
    </row>
    <row r="4605" spans="1:13" s="4" customFormat="1" ht="14.25" customHeight="1" x14ac:dyDescent="0.25">
      <c r="A4605" s="4" t="s">
        <v>7564</v>
      </c>
      <c r="B4605" s="4" t="s">
        <v>38</v>
      </c>
      <c r="C4605" s="4" t="s">
        <v>14</v>
      </c>
      <c r="D4605" s="35">
        <v>3401</v>
      </c>
      <c r="E4605" s="4" t="s">
        <v>7565</v>
      </c>
      <c r="F4605" s="5">
        <v>39477</v>
      </c>
      <c r="G4605" s="5">
        <v>39691</v>
      </c>
      <c r="H4605" s="4" t="s">
        <v>40</v>
      </c>
      <c r="I4605" s="6">
        <v>60000</v>
      </c>
      <c r="J4605" s="6">
        <v>60000</v>
      </c>
      <c r="K4605" s="37" t="s">
        <v>7456</v>
      </c>
      <c r="L4605" s="119"/>
      <c r="M4605" s="3"/>
    </row>
    <row r="4606" spans="1:13" s="4" customFormat="1" ht="14.25" customHeight="1" x14ac:dyDescent="0.25">
      <c r="A4606" s="4" t="s">
        <v>7566</v>
      </c>
      <c r="B4606" s="4" t="s">
        <v>38</v>
      </c>
      <c r="C4606" s="4" t="s">
        <v>14</v>
      </c>
      <c r="D4606" s="35">
        <v>3402</v>
      </c>
      <c r="E4606" s="4" t="s">
        <v>7532</v>
      </c>
      <c r="F4606" s="5">
        <v>39477</v>
      </c>
      <c r="G4606" s="5">
        <v>39799</v>
      </c>
      <c r="H4606" s="4" t="s">
        <v>40</v>
      </c>
      <c r="I4606" s="6">
        <v>3000</v>
      </c>
      <c r="J4606" s="6">
        <v>3000</v>
      </c>
      <c r="K4606" s="37" t="s">
        <v>7456</v>
      </c>
      <c r="L4606" s="119"/>
      <c r="M4606" s="3"/>
    </row>
    <row r="4607" spans="1:13" s="4" customFormat="1" ht="14.25" customHeight="1" x14ac:dyDescent="0.25">
      <c r="A4607" s="4" t="s">
        <v>7567</v>
      </c>
      <c r="B4607" s="4" t="s">
        <v>38</v>
      </c>
      <c r="C4607" s="4" t="s">
        <v>14</v>
      </c>
      <c r="D4607" s="35">
        <v>3403</v>
      </c>
      <c r="E4607" s="4" t="s">
        <v>7534</v>
      </c>
      <c r="F4607" s="5">
        <v>39477</v>
      </c>
      <c r="G4607" s="5">
        <v>39799</v>
      </c>
      <c r="H4607" s="4" t="s">
        <v>40</v>
      </c>
      <c r="I4607" s="6">
        <v>34970.199999999997</v>
      </c>
      <c r="J4607" s="6">
        <v>34970.199999999997</v>
      </c>
      <c r="K4607" s="37" t="s">
        <v>7456</v>
      </c>
      <c r="L4607" s="119"/>
      <c r="M4607" s="3"/>
    </row>
    <row r="4608" spans="1:13" s="4" customFormat="1" ht="14.25" customHeight="1" x14ac:dyDescent="0.25">
      <c r="A4608" s="4" t="s">
        <v>7568</v>
      </c>
      <c r="B4608" s="4" t="s">
        <v>38</v>
      </c>
      <c r="C4608" s="4" t="s">
        <v>14</v>
      </c>
      <c r="D4608" s="35">
        <v>3404</v>
      </c>
      <c r="E4608" s="4" t="s">
        <v>7538</v>
      </c>
      <c r="F4608" s="5">
        <v>39477</v>
      </c>
      <c r="G4608" s="5">
        <v>39813</v>
      </c>
      <c r="H4608" s="4" t="s">
        <v>40</v>
      </c>
      <c r="I4608" s="6">
        <v>19052.240000000002</v>
      </c>
      <c r="J4608" s="6">
        <v>19052.240000000002</v>
      </c>
      <c r="K4608" s="37" t="s">
        <v>7456</v>
      </c>
      <c r="L4608" s="119"/>
      <c r="M4608" s="3"/>
    </row>
    <row r="4609" spans="1:13" s="4" customFormat="1" ht="14.25" customHeight="1" x14ac:dyDescent="0.25">
      <c r="A4609" s="4" t="s">
        <v>7569</v>
      </c>
      <c r="B4609" s="4" t="s">
        <v>38</v>
      </c>
      <c r="C4609" s="4" t="s">
        <v>14</v>
      </c>
      <c r="D4609" s="35">
        <v>3405</v>
      </c>
      <c r="E4609" s="4" t="s">
        <v>7540</v>
      </c>
      <c r="F4609" s="5">
        <v>39477</v>
      </c>
      <c r="G4609" s="5">
        <v>39799</v>
      </c>
      <c r="H4609" s="4" t="s">
        <v>40</v>
      </c>
      <c r="I4609" s="6">
        <v>12880.34</v>
      </c>
      <c r="J4609" s="6">
        <v>12880.34</v>
      </c>
      <c r="K4609" s="37" t="s">
        <v>7456</v>
      </c>
      <c r="L4609" s="119"/>
      <c r="M4609" s="3"/>
    </row>
    <row r="4610" spans="1:13" s="4" customFormat="1" ht="14.25" customHeight="1" x14ac:dyDescent="0.25">
      <c r="A4610" s="4" t="s">
        <v>7570</v>
      </c>
      <c r="B4610" s="4" t="s">
        <v>38</v>
      </c>
      <c r="C4610" s="4" t="s">
        <v>14</v>
      </c>
      <c r="D4610" s="35">
        <v>3406</v>
      </c>
      <c r="E4610" s="4" t="s">
        <v>7542</v>
      </c>
      <c r="F4610" s="5">
        <v>39477</v>
      </c>
      <c r="G4610" s="5">
        <v>39799</v>
      </c>
      <c r="H4610" s="4" t="s">
        <v>40</v>
      </c>
      <c r="I4610" s="6">
        <v>8949.65</v>
      </c>
      <c r="J4610" s="6">
        <v>8949.65</v>
      </c>
      <c r="K4610" s="37" t="s">
        <v>7456</v>
      </c>
      <c r="L4610" s="119"/>
      <c r="M4610" s="3"/>
    </row>
    <row r="4611" spans="1:13" s="4" customFormat="1" ht="14.25" customHeight="1" x14ac:dyDescent="0.25">
      <c r="A4611" s="4" t="s">
        <v>7571</v>
      </c>
      <c r="B4611" s="4" t="s">
        <v>38</v>
      </c>
      <c r="C4611" s="4" t="s">
        <v>14</v>
      </c>
      <c r="D4611" s="35">
        <v>3407</v>
      </c>
      <c r="E4611" s="4" t="s">
        <v>7544</v>
      </c>
      <c r="F4611" s="5">
        <v>39477</v>
      </c>
      <c r="G4611" s="5">
        <v>39799</v>
      </c>
      <c r="H4611" s="4" t="s">
        <v>40</v>
      </c>
      <c r="I4611" s="6">
        <v>51337.85</v>
      </c>
      <c r="J4611" s="6">
        <v>51337.85</v>
      </c>
      <c r="K4611" s="37" t="s">
        <v>7456</v>
      </c>
      <c r="L4611" s="119"/>
      <c r="M4611" s="3"/>
    </row>
    <row r="4612" spans="1:13" s="4" customFormat="1" ht="14.25" customHeight="1" x14ac:dyDescent="0.25">
      <c r="A4612" s="4" t="s">
        <v>7572</v>
      </c>
      <c r="B4612" s="4" t="s">
        <v>38</v>
      </c>
      <c r="C4612" s="4" t="s">
        <v>14</v>
      </c>
      <c r="D4612" s="35">
        <v>3410</v>
      </c>
      <c r="E4612" s="4" t="s">
        <v>7549</v>
      </c>
      <c r="F4612" s="5">
        <v>39477</v>
      </c>
      <c r="G4612" s="5">
        <v>39799</v>
      </c>
      <c r="H4612" s="4" t="s">
        <v>40</v>
      </c>
      <c r="I4612" s="6">
        <v>71496.38</v>
      </c>
      <c r="J4612" s="6">
        <v>71496.38</v>
      </c>
      <c r="K4612" s="37" t="s">
        <v>7456</v>
      </c>
      <c r="L4612" s="119"/>
      <c r="M4612" s="3"/>
    </row>
    <row r="4613" spans="1:13" s="4" customFormat="1" ht="14.25" customHeight="1" x14ac:dyDescent="0.25">
      <c r="A4613" s="4" t="s">
        <v>7573</v>
      </c>
      <c r="B4613" s="4" t="s">
        <v>13</v>
      </c>
      <c r="C4613" s="4" t="s">
        <v>14</v>
      </c>
      <c r="D4613" s="35">
        <v>3411</v>
      </c>
      <c r="E4613" s="4" t="s">
        <v>7553</v>
      </c>
      <c r="F4613" s="5">
        <v>39477</v>
      </c>
      <c r="G4613" s="5">
        <v>39799</v>
      </c>
      <c r="H4613" s="4" t="s">
        <v>40</v>
      </c>
      <c r="I4613" s="6">
        <v>3158.2</v>
      </c>
      <c r="J4613" s="6">
        <v>3158.2</v>
      </c>
      <c r="K4613" s="37" t="s">
        <v>7456</v>
      </c>
      <c r="L4613" s="119"/>
      <c r="M4613" s="3"/>
    </row>
    <row r="4614" spans="1:13" s="4" customFormat="1" ht="14.25" customHeight="1" x14ac:dyDescent="0.25">
      <c r="A4614" s="4" t="s">
        <v>7574</v>
      </c>
      <c r="B4614" s="4" t="s">
        <v>13</v>
      </c>
      <c r="C4614" s="4" t="s">
        <v>14</v>
      </c>
      <c r="D4614" s="35">
        <v>3412</v>
      </c>
      <c r="E4614" s="4" t="s">
        <v>7575</v>
      </c>
      <c r="F4614" s="5">
        <v>39477</v>
      </c>
      <c r="G4614" s="5">
        <v>39813</v>
      </c>
      <c r="H4614" s="4" t="s">
        <v>40</v>
      </c>
      <c r="I4614" s="6">
        <v>7606.66</v>
      </c>
      <c r="J4614" s="6">
        <v>7606.66</v>
      </c>
      <c r="K4614" s="37" t="s">
        <v>7456</v>
      </c>
      <c r="L4614" s="119"/>
      <c r="M4614" s="3"/>
    </row>
    <row r="4615" spans="1:13" s="4" customFormat="1" ht="14.25" customHeight="1" x14ac:dyDescent="0.25">
      <c r="A4615" s="4" t="s">
        <v>7576</v>
      </c>
      <c r="B4615" s="4" t="s">
        <v>38</v>
      </c>
      <c r="C4615" s="4" t="s">
        <v>14</v>
      </c>
      <c r="D4615" s="35">
        <v>3413</v>
      </c>
      <c r="E4615" s="4" t="s">
        <v>7577</v>
      </c>
      <c r="F4615" s="5">
        <v>39477</v>
      </c>
      <c r="G4615" s="5">
        <v>39813</v>
      </c>
      <c r="H4615" s="4" t="s">
        <v>40</v>
      </c>
      <c r="I4615" s="6">
        <v>33423.949999999997</v>
      </c>
      <c r="J4615" s="6">
        <v>33423.949999999997</v>
      </c>
      <c r="K4615" s="37" t="s">
        <v>7456</v>
      </c>
      <c r="L4615" s="119"/>
      <c r="M4615" s="3"/>
    </row>
    <row r="4616" spans="1:13" s="4" customFormat="1" ht="14.25" customHeight="1" x14ac:dyDescent="0.25">
      <c r="A4616" s="4" t="s">
        <v>7578</v>
      </c>
      <c r="B4616" s="4" t="s">
        <v>13</v>
      </c>
      <c r="C4616" s="4" t="s">
        <v>14</v>
      </c>
      <c r="D4616" s="35">
        <v>3414</v>
      </c>
      <c r="E4616" s="4" t="s">
        <v>7579</v>
      </c>
      <c r="F4616" s="5">
        <v>39477</v>
      </c>
      <c r="G4616" s="5">
        <v>39813</v>
      </c>
      <c r="H4616" s="4" t="s">
        <v>40</v>
      </c>
      <c r="I4616" s="6">
        <v>8000</v>
      </c>
      <c r="J4616" s="6">
        <v>8000</v>
      </c>
      <c r="K4616" s="37" t="s">
        <v>7456</v>
      </c>
      <c r="L4616" s="119"/>
      <c r="M4616" s="3"/>
    </row>
    <row r="4617" spans="1:13" s="4" customFormat="1" ht="14.25" customHeight="1" x14ac:dyDescent="0.25">
      <c r="A4617" s="4" t="s">
        <v>7580</v>
      </c>
      <c r="B4617" s="4" t="s">
        <v>13</v>
      </c>
      <c r="C4617" s="4" t="s">
        <v>14</v>
      </c>
      <c r="D4617" s="35">
        <v>3416</v>
      </c>
      <c r="E4617" s="4" t="s">
        <v>7581</v>
      </c>
      <c r="F4617" s="5">
        <v>39477</v>
      </c>
      <c r="G4617" s="5">
        <v>39799</v>
      </c>
      <c r="H4617" s="4" t="s">
        <v>40</v>
      </c>
      <c r="I4617" s="6">
        <v>6316.74</v>
      </c>
      <c r="J4617" s="6">
        <v>6316.74</v>
      </c>
      <c r="K4617" s="37" t="s">
        <v>7456</v>
      </c>
      <c r="L4617" s="119"/>
      <c r="M4617" s="3"/>
    </row>
    <row r="4618" spans="1:13" s="4" customFormat="1" ht="14.25" customHeight="1" x14ac:dyDescent="0.25">
      <c r="A4618" s="4" t="s">
        <v>7582</v>
      </c>
      <c r="B4618" s="4" t="s">
        <v>13</v>
      </c>
      <c r="C4618" s="4" t="s">
        <v>14</v>
      </c>
      <c r="D4618" s="35">
        <v>3417</v>
      </c>
      <c r="E4618" s="4" t="s">
        <v>7583</v>
      </c>
      <c r="F4618" s="5">
        <v>39477</v>
      </c>
      <c r="G4618" s="5">
        <v>39813</v>
      </c>
      <c r="H4618" s="4" t="s">
        <v>40</v>
      </c>
      <c r="I4618" s="6">
        <v>5510</v>
      </c>
      <c r="J4618" s="6">
        <v>5510</v>
      </c>
      <c r="K4618" s="37" t="s">
        <v>7456</v>
      </c>
      <c r="L4618" s="119"/>
      <c r="M4618" s="3"/>
    </row>
    <row r="4619" spans="1:13" s="4" customFormat="1" ht="14.25" customHeight="1" x14ac:dyDescent="0.25">
      <c r="A4619" s="4" t="s">
        <v>7584</v>
      </c>
      <c r="B4619" s="4" t="s">
        <v>13</v>
      </c>
      <c r="C4619" s="4" t="s">
        <v>14</v>
      </c>
      <c r="D4619" s="35">
        <v>3419</v>
      </c>
      <c r="E4619" s="4" t="s">
        <v>7585</v>
      </c>
      <c r="F4619" s="5">
        <v>39477</v>
      </c>
      <c r="G4619" s="5">
        <v>39799</v>
      </c>
      <c r="H4619" s="4" t="s">
        <v>40</v>
      </c>
      <c r="I4619" s="6">
        <v>11004.29</v>
      </c>
      <c r="J4619" s="6">
        <v>11004.29</v>
      </c>
      <c r="K4619" s="37" t="s">
        <v>7456</v>
      </c>
      <c r="L4619" s="119"/>
      <c r="M4619" s="3"/>
    </row>
    <row r="4620" spans="1:13" s="4" customFormat="1" ht="14.25" customHeight="1" x14ac:dyDescent="0.25">
      <c r="A4620" s="4" t="s">
        <v>7586</v>
      </c>
      <c r="B4620" s="4" t="s">
        <v>59</v>
      </c>
      <c r="C4620" s="4" t="s">
        <v>14</v>
      </c>
      <c r="D4620" s="35">
        <v>3424</v>
      </c>
      <c r="E4620" s="4" t="s">
        <v>7518</v>
      </c>
      <c r="F4620" s="5">
        <v>39448</v>
      </c>
      <c r="G4620" s="5">
        <v>39813</v>
      </c>
      <c r="H4620" s="4" t="s">
        <v>40</v>
      </c>
      <c r="I4620" s="6">
        <v>25000</v>
      </c>
      <c r="J4620" s="6">
        <v>12500</v>
      </c>
      <c r="K4620" s="37" t="s">
        <v>7456</v>
      </c>
      <c r="L4620" s="119"/>
      <c r="M4620" s="3"/>
    </row>
    <row r="4621" spans="1:13" s="4" customFormat="1" ht="14.25" customHeight="1" x14ac:dyDescent="0.25">
      <c r="A4621" s="4" t="s">
        <v>7587</v>
      </c>
      <c r="B4621" s="4" t="s">
        <v>11764</v>
      </c>
      <c r="C4621" s="4" t="s">
        <v>14</v>
      </c>
      <c r="D4621" s="35">
        <v>3430</v>
      </c>
      <c r="E4621" s="4" t="s">
        <v>7588</v>
      </c>
      <c r="F4621" s="5">
        <v>39477</v>
      </c>
      <c r="G4621" s="5">
        <v>39813</v>
      </c>
      <c r="H4621" s="4" t="s">
        <v>40</v>
      </c>
      <c r="I4621" s="6">
        <v>150000</v>
      </c>
      <c r="J4621" s="6">
        <v>75000</v>
      </c>
      <c r="K4621" s="37" t="s">
        <v>7456</v>
      </c>
      <c r="L4621" s="119"/>
      <c r="M4621" s="3"/>
    </row>
    <row r="4622" spans="1:13" s="4" customFormat="1" ht="14.25" customHeight="1" x14ac:dyDescent="0.25">
      <c r="A4622" s="4" t="s">
        <v>7589</v>
      </c>
      <c r="B4622" s="4" t="s">
        <v>59</v>
      </c>
      <c r="C4622" s="4" t="s">
        <v>14</v>
      </c>
      <c r="D4622" s="35">
        <v>3432</v>
      </c>
      <c r="E4622" s="4" t="s">
        <v>7590</v>
      </c>
      <c r="F4622" s="5">
        <v>39589</v>
      </c>
      <c r="G4622" s="5">
        <v>40178</v>
      </c>
      <c r="H4622" s="4" t="s">
        <v>40</v>
      </c>
      <c r="I4622" s="6">
        <v>7500</v>
      </c>
      <c r="J4622" s="6">
        <v>7500</v>
      </c>
      <c r="K4622" s="37" t="s">
        <v>7456</v>
      </c>
      <c r="L4622" s="119"/>
      <c r="M4622" s="3"/>
    </row>
    <row r="4623" spans="1:13" s="4" customFormat="1" ht="14.25" customHeight="1" x14ac:dyDescent="0.25">
      <c r="A4623" s="4" t="s">
        <v>7591</v>
      </c>
      <c r="B4623" s="4" t="s">
        <v>11764</v>
      </c>
      <c r="C4623" s="4" t="s">
        <v>14</v>
      </c>
      <c r="D4623" s="35">
        <v>3434</v>
      </c>
      <c r="E4623" s="4" t="s">
        <v>7592</v>
      </c>
      <c r="F4623" s="5">
        <v>39589</v>
      </c>
      <c r="G4623" s="5">
        <v>39813</v>
      </c>
      <c r="H4623" s="4" t="s">
        <v>40</v>
      </c>
      <c r="I4623" s="6">
        <v>150000</v>
      </c>
      <c r="J4623" s="6">
        <v>75000</v>
      </c>
      <c r="K4623" s="37" t="s">
        <v>7456</v>
      </c>
      <c r="L4623" s="119"/>
      <c r="M4623" s="3"/>
    </row>
    <row r="4624" spans="1:13" s="4" customFormat="1" ht="14.25" customHeight="1" x14ac:dyDescent="0.25">
      <c r="A4624" s="4" t="s">
        <v>7593</v>
      </c>
      <c r="B4624" s="4" t="s">
        <v>11764</v>
      </c>
      <c r="C4624" s="4" t="s">
        <v>14</v>
      </c>
      <c r="D4624" s="35">
        <v>3435</v>
      </c>
      <c r="E4624" s="4" t="s">
        <v>7594</v>
      </c>
      <c r="F4624" s="5">
        <v>39561</v>
      </c>
      <c r="G4624" s="5">
        <v>39813</v>
      </c>
      <c r="H4624" s="4" t="s">
        <v>40</v>
      </c>
      <c r="I4624" s="6">
        <v>72500</v>
      </c>
      <c r="J4624" s="6">
        <v>32500</v>
      </c>
      <c r="K4624" s="37" t="s">
        <v>7456</v>
      </c>
      <c r="L4624" s="119"/>
      <c r="M4624" s="3"/>
    </row>
    <row r="4625" spans="1:13" s="4" customFormat="1" ht="14.25" customHeight="1" x14ac:dyDescent="0.25">
      <c r="A4625" s="4" t="s">
        <v>7595</v>
      </c>
      <c r="B4625" s="4" t="s">
        <v>59</v>
      </c>
      <c r="C4625" s="4" t="s">
        <v>14</v>
      </c>
      <c r="D4625" s="35">
        <v>3436</v>
      </c>
      <c r="E4625" s="4" t="s">
        <v>7596</v>
      </c>
      <c r="F4625" s="5">
        <v>39806</v>
      </c>
      <c r="G4625" s="5">
        <v>40170</v>
      </c>
      <c r="H4625" s="4" t="s">
        <v>40</v>
      </c>
      <c r="I4625" s="6">
        <v>15000</v>
      </c>
      <c r="J4625" s="6">
        <v>15000</v>
      </c>
      <c r="K4625" s="37" t="s">
        <v>7456</v>
      </c>
      <c r="L4625" s="119"/>
      <c r="M4625" s="3"/>
    </row>
    <row r="4626" spans="1:13" s="4" customFormat="1" ht="14.25" customHeight="1" x14ac:dyDescent="0.25">
      <c r="A4626" s="4" t="s">
        <v>7599</v>
      </c>
      <c r="B4626" s="4" t="s">
        <v>59</v>
      </c>
      <c r="C4626" s="4" t="s">
        <v>14</v>
      </c>
      <c r="D4626" s="35">
        <v>3448</v>
      </c>
      <c r="E4626" s="4" t="s">
        <v>7600</v>
      </c>
      <c r="F4626" s="5">
        <v>39743</v>
      </c>
      <c r="G4626" s="5">
        <v>39813</v>
      </c>
      <c r="H4626" s="4" t="s">
        <v>40</v>
      </c>
      <c r="I4626" s="6">
        <v>22500</v>
      </c>
      <c r="J4626" s="6">
        <v>22500</v>
      </c>
      <c r="K4626" s="37" t="s">
        <v>7456</v>
      </c>
      <c r="L4626" s="119"/>
      <c r="M4626" s="3"/>
    </row>
    <row r="4627" spans="1:13" s="4" customFormat="1" ht="14.25" customHeight="1" x14ac:dyDescent="0.25">
      <c r="A4627" s="4" t="s">
        <v>7601</v>
      </c>
      <c r="B4627" s="4" t="s">
        <v>190</v>
      </c>
      <c r="C4627" s="4" t="s">
        <v>14</v>
      </c>
      <c r="D4627" s="35">
        <v>3742</v>
      </c>
      <c r="E4627" s="4" t="s">
        <v>7602</v>
      </c>
      <c r="F4627" s="5">
        <v>39805</v>
      </c>
      <c r="H4627" s="4" t="s">
        <v>40</v>
      </c>
      <c r="I4627" s="6">
        <v>52000</v>
      </c>
      <c r="J4627" s="6">
        <v>52000</v>
      </c>
      <c r="K4627" s="37" t="s">
        <v>7456</v>
      </c>
      <c r="L4627" s="119"/>
      <c r="M4627" s="3"/>
    </row>
    <row r="4628" spans="1:13" s="4" customFormat="1" ht="14.25" customHeight="1" x14ac:dyDescent="0.25">
      <c r="A4628" s="4" t="s">
        <v>7603</v>
      </c>
      <c r="B4628" s="4" t="s">
        <v>59</v>
      </c>
      <c r="C4628" s="4" t="s">
        <v>14</v>
      </c>
      <c r="D4628" s="35">
        <v>3746</v>
      </c>
      <c r="E4628" s="4" t="s">
        <v>7604</v>
      </c>
      <c r="F4628" s="5">
        <v>39805</v>
      </c>
      <c r="G4628" s="5">
        <v>39813</v>
      </c>
      <c r="H4628" s="4" t="s">
        <v>40</v>
      </c>
      <c r="I4628" s="6">
        <v>7500</v>
      </c>
      <c r="J4628" s="6">
        <v>7500</v>
      </c>
      <c r="K4628" s="37" t="s">
        <v>7456</v>
      </c>
      <c r="L4628" s="119"/>
      <c r="M4628" s="3"/>
    </row>
    <row r="4629" spans="1:13" s="4" customFormat="1" ht="14.25" customHeight="1" x14ac:dyDescent="0.25">
      <c r="A4629" s="4" t="s">
        <v>7605</v>
      </c>
      <c r="B4629" s="4" t="s">
        <v>13</v>
      </c>
      <c r="C4629" s="4" t="s">
        <v>14</v>
      </c>
      <c r="D4629" s="35">
        <v>3837</v>
      </c>
      <c r="E4629" s="4" t="s">
        <v>7606</v>
      </c>
      <c r="F4629" s="5">
        <v>39553</v>
      </c>
      <c r="G4629" s="5">
        <v>39568</v>
      </c>
      <c r="H4629" s="4" t="s">
        <v>40</v>
      </c>
      <c r="I4629" s="6">
        <v>1900</v>
      </c>
      <c r="J4629" s="6">
        <v>1900</v>
      </c>
      <c r="K4629" s="37" t="s">
        <v>7456</v>
      </c>
      <c r="L4629" s="119"/>
      <c r="M4629" s="3"/>
    </row>
    <row r="4630" spans="1:13" s="4" customFormat="1" ht="14.25" customHeight="1" x14ac:dyDescent="0.25">
      <c r="A4630" s="4" t="s">
        <v>7611</v>
      </c>
      <c r="B4630" s="4" t="s">
        <v>50</v>
      </c>
      <c r="C4630" s="4" t="s">
        <v>14</v>
      </c>
      <c r="D4630" s="35">
        <v>4546</v>
      </c>
      <c r="E4630" s="4" t="s">
        <v>7612</v>
      </c>
      <c r="F4630" s="5">
        <v>39793</v>
      </c>
      <c r="G4630" s="5">
        <v>40178</v>
      </c>
      <c r="H4630" s="4" t="s">
        <v>40</v>
      </c>
      <c r="I4630" s="6">
        <v>105570</v>
      </c>
      <c r="J4630" s="6">
        <v>52785</v>
      </c>
      <c r="K4630" s="37" t="s">
        <v>7456</v>
      </c>
      <c r="L4630" s="119"/>
      <c r="M4630" s="3"/>
    </row>
    <row r="4631" spans="1:13" s="4" customFormat="1" ht="14.25" customHeight="1" x14ac:dyDescent="0.25">
      <c r="A4631" s="4" t="s">
        <v>7615</v>
      </c>
      <c r="B4631" s="4" t="s">
        <v>59</v>
      </c>
      <c r="C4631" s="4" t="s">
        <v>14</v>
      </c>
      <c r="D4631" s="35">
        <v>4548</v>
      </c>
      <c r="E4631" s="4" t="s">
        <v>7616</v>
      </c>
      <c r="F4631" s="5">
        <v>39869</v>
      </c>
      <c r="G4631" s="5">
        <v>40178</v>
      </c>
      <c r="H4631" s="4" t="s">
        <v>40</v>
      </c>
      <c r="I4631" s="6">
        <v>15000</v>
      </c>
      <c r="J4631" s="6">
        <v>15000</v>
      </c>
      <c r="K4631" s="37" t="s">
        <v>7456</v>
      </c>
      <c r="L4631" s="119"/>
      <c r="M4631" s="3"/>
    </row>
    <row r="4632" spans="1:13" s="4" customFormat="1" ht="14.25" customHeight="1" x14ac:dyDescent="0.25">
      <c r="A4632" s="4" t="s">
        <v>7617</v>
      </c>
      <c r="B4632" s="4" t="s">
        <v>90</v>
      </c>
      <c r="C4632" s="4" t="s">
        <v>14</v>
      </c>
      <c r="D4632" s="35">
        <v>4550</v>
      </c>
      <c r="E4632" s="4" t="s">
        <v>7618</v>
      </c>
      <c r="F4632" s="5">
        <v>39931</v>
      </c>
      <c r="G4632" s="5">
        <v>39974</v>
      </c>
      <c r="H4632" s="4" t="s">
        <v>40</v>
      </c>
      <c r="I4632" s="6">
        <v>10000</v>
      </c>
      <c r="J4632" s="6">
        <v>4000</v>
      </c>
      <c r="K4632" s="37" t="s">
        <v>7456</v>
      </c>
      <c r="L4632" s="119"/>
      <c r="M4632" s="3"/>
    </row>
    <row r="4633" spans="1:13" s="4" customFormat="1" ht="14.25" customHeight="1" x14ac:dyDescent="0.25">
      <c r="A4633" s="4" t="s">
        <v>7619</v>
      </c>
      <c r="B4633" s="4" t="s">
        <v>59</v>
      </c>
      <c r="C4633" s="4" t="s">
        <v>14</v>
      </c>
      <c r="D4633" s="35">
        <v>4551</v>
      </c>
      <c r="E4633" s="4" t="s">
        <v>7620</v>
      </c>
      <c r="F4633" s="5">
        <v>39960</v>
      </c>
      <c r="G4633" s="5">
        <v>40543</v>
      </c>
      <c r="H4633" s="4" t="s">
        <v>40</v>
      </c>
      <c r="I4633" s="6">
        <v>7500</v>
      </c>
      <c r="J4633" s="6">
        <v>7500</v>
      </c>
      <c r="K4633" s="37" t="s">
        <v>7456</v>
      </c>
      <c r="L4633" s="119"/>
      <c r="M4633" s="3"/>
    </row>
    <row r="4634" spans="1:13" s="4" customFormat="1" ht="14.25" customHeight="1" x14ac:dyDescent="0.25">
      <c r="A4634" s="4" t="s">
        <v>7621</v>
      </c>
      <c r="B4634" s="4" t="s">
        <v>11764</v>
      </c>
      <c r="C4634" s="4" t="s">
        <v>14</v>
      </c>
      <c r="D4634" s="35">
        <v>4552</v>
      </c>
      <c r="E4634" s="4" t="s">
        <v>7622</v>
      </c>
      <c r="F4634" s="5">
        <v>39932</v>
      </c>
      <c r="G4634" s="5">
        <v>40178</v>
      </c>
      <c r="H4634" s="4" t="s">
        <v>40</v>
      </c>
      <c r="I4634" s="6">
        <v>80000</v>
      </c>
      <c r="J4634" s="6">
        <v>40000</v>
      </c>
      <c r="K4634" s="37" t="s">
        <v>7456</v>
      </c>
      <c r="L4634" s="119"/>
      <c r="M4634" s="3"/>
    </row>
    <row r="4635" spans="1:13" s="4" customFormat="1" ht="14.25" customHeight="1" x14ac:dyDescent="0.25">
      <c r="A4635" s="4" t="s">
        <v>7623</v>
      </c>
      <c r="B4635" s="4" t="s">
        <v>59</v>
      </c>
      <c r="C4635" s="4" t="s">
        <v>14</v>
      </c>
      <c r="D4635" s="35">
        <v>4554</v>
      </c>
      <c r="E4635" s="4" t="s">
        <v>7624</v>
      </c>
      <c r="F4635" s="5">
        <v>40015</v>
      </c>
      <c r="G4635" s="5">
        <v>40219</v>
      </c>
      <c r="H4635" s="4" t="s">
        <v>40</v>
      </c>
      <c r="I4635" s="6">
        <v>7500</v>
      </c>
      <c r="J4635" s="6">
        <v>7500</v>
      </c>
      <c r="K4635" s="37" t="s">
        <v>7456</v>
      </c>
      <c r="L4635" s="119"/>
      <c r="M4635" s="3"/>
    </row>
    <row r="4636" spans="1:13" s="4" customFormat="1" ht="14.25" customHeight="1" x14ac:dyDescent="0.25">
      <c r="A4636" s="4" t="s">
        <v>7625</v>
      </c>
      <c r="B4636" s="4" t="s">
        <v>59</v>
      </c>
      <c r="C4636" s="4" t="s">
        <v>14</v>
      </c>
      <c r="D4636" s="35">
        <v>4555</v>
      </c>
      <c r="E4636" s="4" t="s">
        <v>7626</v>
      </c>
      <c r="F4636" s="5">
        <v>40015</v>
      </c>
      <c r="G4636" s="5">
        <v>40543</v>
      </c>
      <c r="H4636" s="4" t="s">
        <v>40</v>
      </c>
      <c r="I4636" s="6">
        <v>7500</v>
      </c>
      <c r="J4636" s="6">
        <v>7500</v>
      </c>
      <c r="K4636" s="37" t="s">
        <v>7456</v>
      </c>
      <c r="L4636" s="119"/>
      <c r="M4636" s="3"/>
    </row>
    <row r="4637" spans="1:13" s="4" customFormat="1" ht="14.25" customHeight="1" x14ac:dyDescent="0.25">
      <c r="A4637" s="4" t="s">
        <v>7629</v>
      </c>
      <c r="B4637" s="4" t="s">
        <v>11764</v>
      </c>
      <c r="C4637" s="4" t="s">
        <v>14</v>
      </c>
      <c r="D4637" s="35">
        <v>4560</v>
      </c>
      <c r="E4637" s="4" t="s">
        <v>7630</v>
      </c>
      <c r="F4637" s="5">
        <v>39868</v>
      </c>
      <c r="G4637" s="5">
        <v>40178</v>
      </c>
      <c r="H4637" s="4" t="s">
        <v>40</v>
      </c>
      <c r="I4637" s="6">
        <v>60000</v>
      </c>
      <c r="J4637" s="6">
        <v>30000</v>
      </c>
      <c r="K4637" s="37" t="s">
        <v>7456</v>
      </c>
      <c r="L4637" s="119"/>
      <c r="M4637" s="3"/>
    </row>
    <row r="4638" spans="1:13" s="4" customFormat="1" ht="14.25" customHeight="1" x14ac:dyDescent="0.25">
      <c r="A4638" s="4" t="s">
        <v>7633</v>
      </c>
      <c r="B4638" s="4" t="s">
        <v>59</v>
      </c>
      <c r="C4638" s="4" t="s">
        <v>14</v>
      </c>
      <c r="D4638" s="35">
        <v>4563</v>
      </c>
      <c r="E4638" s="4" t="s">
        <v>7634</v>
      </c>
      <c r="F4638" s="5">
        <v>40066</v>
      </c>
      <c r="G4638" s="5">
        <v>40178</v>
      </c>
      <c r="H4638" s="4" t="s">
        <v>40</v>
      </c>
      <c r="I4638" s="6">
        <v>7500</v>
      </c>
      <c r="J4638" s="6">
        <v>7500</v>
      </c>
      <c r="K4638" s="37" t="s">
        <v>7456</v>
      </c>
      <c r="L4638" s="119"/>
      <c r="M4638" s="3"/>
    </row>
    <row r="4639" spans="1:13" s="4" customFormat="1" ht="14.25" customHeight="1" x14ac:dyDescent="0.25">
      <c r="A4639" s="4" t="s">
        <v>7637</v>
      </c>
      <c r="B4639" s="4" t="s">
        <v>11764</v>
      </c>
      <c r="C4639" s="4" t="s">
        <v>14</v>
      </c>
      <c r="D4639" s="35">
        <v>4567</v>
      </c>
      <c r="E4639" s="4" t="s">
        <v>7638</v>
      </c>
      <c r="F4639" s="5">
        <v>40015</v>
      </c>
      <c r="G4639" s="5">
        <v>40178</v>
      </c>
      <c r="H4639" s="4" t="s">
        <v>40</v>
      </c>
      <c r="I4639" s="6">
        <v>80000</v>
      </c>
      <c r="J4639" s="6">
        <v>40000</v>
      </c>
      <c r="K4639" s="37" t="s">
        <v>7456</v>
      </c>
      <c r="L4639" s="119"/>
      <c r="M4639" s="3"/>
    </row>
    <row r="4640" spans="1:13" s="4" customFormat="1" ht="14.25" customHeight="1" x14ac:dyDescent="0.25">
      <c r="A4640" s="4" t="s">
        <v>7639</v>
      </c>
      <c r="B4640" s="4" t="s">
        <v>90</v>
      </c>
      <c r="C4640" s="4" t="s">
        <v>14</v>
      </c>
      <c r="D4640" s="35">
        <v>4570</v>
      </c>
      <c r="E4640" s="4" t="s">
        <v>7640</v>
      </c>
      <c r="F4640" s="5">
        <v>39959</v>
      </c>
      <c r="G4640" s="5">
        <v>40144</v>
      </c>
      <c r="H4640" s="4" t="s">
        <v>40</v>
      </c>
      <c r="I4640" s="6">
        <v>10000</v>
      </c>
      <c r="J4640" s="6">
        <v>4000</v>
      </c>
      <c r="K4640" s="37" t="s">
        <v>7456</v>
      </c>
      <c r="L4640" s="119"/>
      <c r="M4640" s="3"/>
    </row>
    <row r="4641" spans="1:13" s="4" customFormat="1" ht="14.25" customHeight="1" x14ac:dyDescent="0.25">
      <c r="A4641" s="4" t="s">
        <v>7641</v>
      </c>
      <c r="B4641" s="4" t="s">
        <v>38</v>
      </c>
      <c r="C4641" s="4" t="s">
        <v>14</v>
      </c>
      <c r="D4641" s="35">
        <v>4913</v>
      </c>
      <c r="E4641" s="7" t="s">
        <v>7642</v>
      </c>
      <c r="F4641" s="5">
        <v>39845</v>
      </c>
      <c r="G4641" s="5">
        <v>39946</v>
      </c>
      <c r="H4641" s="4" t="s">
        <v>40</v>
      </c>
      <c r="I4641" s="6">
        <v>930.4</v>
      </c>
      <c r="J4641" s="6">
        <v>930.4</v>
      </c>
      <c r="K4641" s="37" t="s">
        <v>7456</v>
      </c>
      <c r="L4641" s="119"/>
      <c r="M4641" s="3"/>
    </row>
    <row r="4642" spans="1:13" s="4" customFormat="1" ht="14.25" customHeight="1" x14ac:dyDescent="0.25">
      <c r="A4642" s="4" t="s">
        <v>7643</v>
      </c>
      <c r="B4642" s="4" t="s">
        <v>38</v>
      </c>
      <c r="C4642" s="4" t="s">
        <v>14</v>
      </c>
      <c r="D4642" s="35">
        <v>4924</v>
      </c>
      <c r="E4642" s="4" t="s">
        <v>7644</v>
      </c>
      <c r="F4642" s="5">
        <v>39877</v>
      </c>
      <c r="G4642" s="5">
        <v>40151</v>
      </c>
      <c r="H4642" s="4" t="s">
        <v>40</v>
      </c>
      <c r="I4642" s="6">
        <v>510</v>
      </c>
      <c r="J4642" s="6">
        <v>510</v>
      </c>
      <c r="K4642" s="37" t="s">
        <v>7456</v>
      </c>
      <c r="L4642" s="119"/>
      <c r="M4642" s="3"/>
    </row>
    <row r="4643" spans="1:13" s="4" customFormat="1" ht="14.25" customHeight="1" x14ac:dyDescent="0.25">
      <c r="A4643" s="4" t="s">
        <v>7645</v>
      </c>
      <c r="B4643" s="4" t="s">
        <v>38</v>
      </c>
      <c r="C4643" s="4" t="s">
        <v>14</v>
      </c>
      <c r="D4643" s="35">
        <v>4926</v>
      </c>
      <c r="E4643" s="4" t="s">
        <v>7646</v>
      </c>
      <c r="F4643" s="5">
        <v>39855</v>
      </c>
      <c r="G4643" s="5">
        <v>40156</v>
      </c>
      <c r="H4643" s="4" t="s">
        <v>40</v>
      </c>
      <c r="I4643" s="6">
        <v>32950.93</v>
      </c>
      <c r="J4643" s="6">
        <v>32950.93</v>
      </c>
      <c r="K4643" s="37" t="s">
        <v>7456</v>
      </c>
      <c r="L4643" s="119"/>
      <c r="M4643" s="3"/>
    </row>
    <row r="4644" spans="1:13" s="4" customFormat="1" ht="14.25" customHeight="1" x14ac:dyDescent="0.25">
      <c r="A4644" s="4" t="s">
        <v>7647</v>
      </c>
      <c r="B4644" s="4" t="s">
        <v>38</v>
      </c>
      <c r="C4644" s="4" t="s">
        <v>14</v>
      </c>
      <c r="D4644" s="35">
        <v>4928</v>
      </c>
      <c r="E4644" s="4" t="s">
        <v>7648</v>
      </c>
      <c r="F4644" s="5">
        <v>39843</v>
      </c>
      <c r="G4644" s="5">
        <v>40177</v>
      </c>
      <c r="H4644" s="4" t="s">
        <v>40</v>
      </c>
      <c r="I4644" s="6">
        <v>53367.69</v>
      </c>
      <c r="J4644" s="6">
        <v>53367.69</v>
      </c>
      <c r="K4644" s="37" t="s">
        <v>7456</v>
      </c>
      <c r="L4644" s="119"/>
      <c r="M4644" s="3"/>
    </row>
    <row r="4645" spans="1:13" s="4" customFormat="1" ht="14.25" customHeight="1" x14ac:dyDescent="0.25">
      <c r="A4645" s="4" t="s">
        <v>3262</v>
      </c>
      <c r="B4645" s="4" t="s">
        <v>38</v>
      </c>
      <c r="C4645" s="4" t="s">
        <v>14</v>
      </c>
      <c r="D4645" s="35">
        <v>4934</v>
      </c>
      <c r="E4645" s="7" t="s">
        <v>7649</v>
      </c>
      <c r="F4645" s="5">
        <v>39899</v>
      </c>
      <c r="G4645" s="5">
        <v>39899</v>
      </c>
      <c r="H4645" s="4" t="s">
        <v>40</v>
      </c>
      <c r="I4645" s="6">
        <v>619.65</v>
      </c>
      <c r="J4645" s="6">
        <v>619.65</v>
      </c>
      <c r="K4645" s="37" t="s">
        <v>7456</v>
      </c>
      <c r="L4645" s="119"/>
      <c r="M4645" s="3"/>
    </row>
    <row r="4646" spans="1:13" s="4" customFormat="1" ht="14.25" customHeight="1" x14ac:dyDescent="0.25">
      <c r="A4646" s="4" t="s">
        <v>7650</v>
      </c>
      <c r="B4646" s="4" t="s">
        <v>38</v>
      </c>
      <c r="C4646" s="4" t="s">
        <v>14</v>
      </c>
      <c r="D4646" s="35">
        <v>4950</v>
      </c>
      <c r="E4646" s="4" t="s">
        <v>7651</v>
      </c>
      <c r="F4646" s="5">
        <v>40114</v>
      </c>
      <c r="G4646" s="5">
        <v>40168</v>
      </c>
      <c r="H4646" s="4" t="s">
        <v>40</v>
      </c>
      <c r="I4646" s="6">
        <v>836.93</v>
      </c>
      <c r="J4646" s="6">
        <v>836.93</v>
      </c>
      <c r="K4646" s="37" t="s">
        <v>7456</v>
      </c>
      <c r="L4646" s="119"/>
      <c r="M4646" s="3"/>
    </row>
    <row r="4647" spans="1:13" s="4" customFormat="1" ht="14.25" customHeight="1" x14ac:dyDescent="0.25">
      <c r="A4647" s="4" t="s">
        <v>7652</v>
      </c>
      <c r="B4647" s="4" t="s">
        <v>38</v>
      </c>
      <c r="C4647" s="4" t="s">
        <v>14</v>
      </c>
      <c r="D4647" s="35">
        <v>4961</v>
      </c>
      <c r="E4647" s="4" t="s">
        <v>7653</v>
      </c>
      <c r="F4647" s="5">
        <v>39819</v>
      </c>
      <c r="G4647" s="5">
        <v>39821</v>
      </c>
      <c r="H4647" s="4" t="s">
        <v>40</v>
      </c>
      <c r="I4647" s="6">
        <v>3997</v>
      </c>
      <c r="J4647" s="6">
        <v>3997</v>
      </c>
      <c r="K4647" s="37" t="s">
        <v>7456</v>
      </c>
      <c r="L4647" s="119"/>
      <c r="M4647" s="3"/>
    </row>
    <row r="4648" spans="1:13" s="4" customFormat="1" ht="14.25" customHeight="1" x14ac:dyDescent="0.25">
      <c r="A4648" s="4" t="s">
        <v>7654</v>
      </c>
      <c r="B4648" s="4" t="s">
        <v>38</v>
      </c>
      <c r="C4648" s="4" t="s">
        <v>14</v>
      </c>
      <c r="D4648" s="35">
        <v>4976</v>
      </c>
      <c r="E4648" s="4" t="s">
        <v>7655</v>
      </c>
      <c r="F4648" s="5">
        <v>40101</v>
      </c>
      <c r="G4648" s="5">
        <v>40161</v>
      </c>
      <c r="H4648" s="4" t="s">
        <v>40</v>
      </c>
      <c r="I4648" s="6">
        <v>387.92</v>
      </c>
      <c r="J4648" s="6">
        <v>387.92</v>
      </c>
      <c r="K4648" s="37" t="s">
        <v>7456</v>
      </c>
      <c r="L4648" s="119"/>
      <c r="M4648" s="3"/>
    </row>
    <row r="4649" spans="1:13" s="4" customFormat="1" ht="14.25" customHeight="1" x14ac:dyDescent="0.25">
      <c r="A4649" s="4" t="s">
        <v>7656</v>
      </c>
      <c r="B4649" s="4" t="s">
        <v>38</v>
      </c>
      <c r="C4649" s="4" t="s">
        <v>14</v>
      </c>
      <c r="D4649" s="35">
        <v>5001</v>
      </c>
      <c r="E4649" s="4" t="s">
        <v>7657</v>
      </c>
      <c r="F4649" s="5">
        <v>39975</v>
      </c>
      <c r="G4649" s="5">
        <v>39975</v>
      </c>
      <c r="H4649" s="4" t="s">
        <v>40</v>
      </c>
      <c r="I4649" s="6">
        <v>641.28</v>
      </c>
      <c r="J4649" s="6">
        <v>641.28</v>
      </c>
      <c r="K4649" s="37" t="s">
        <v>7456</v>
      </c>
      <c r="L4649" s="119"/>
      <c r="M4649" s="3"/>
    </row>
    <row r="4650" spans="1:13" s="4" customFormat="1" ht="14.25" customHeight="1" x14ac:dyDescent="0.25">
      <c r="A4650" s="4" t="s">
        <v>7658</v>
      </c>
      <c r="B4650" s="4" t="s">
        <v>38</v>
      </c>
      <c r="C4650" s="4" t="s">
        <v>14</v>
      </c>
      <c r="D4650" s="35">
        <v>5003</v>
      </c>
      <c r="E4650" s="4" t="s">
        <v>7659</v>
      </c>
      <c r="F4650" s="5">
        <v>39845</v>
      </c>
      <c r="G4650" s="5">
        <v>40001</v>
      </c>
      <c r="H4650" s="4" t="s">
        <v>40</v>
      </c>
      <c r="I4650" s="6">
        <v>5720</v>
      </c>
      <c r="J4650" s="6">
        <v>5720</v>
      </c>
      <c r="K4650" s="37" t="s">
        <v>7456</v>
      </c>
      <c r="L4650" s="119"/>
      <c r="M4650" s="3"/>
    </row>
    <row r="4651" spans="1:13" s="4" customFormat="1" ht="14.25" customHeight="1" x14ac:dyDescent="0.25">
      <c r="A4651" s="4" t="s">
        <v>7660</v>
      </c>
      <c r="B4651" s="4" t="s">
        <v>13</v>
      </c>
      <c r="C4651" s="4" t="s">
        <v>14</v>
      </c>
      <c r="D4651" s="35">
        <v>5007</v>
      </c>
      <c r="E4651" s="4" t="s">
        <v>7661</v>
      </c>
      <c r="F4651" s="5">
        <v>39850</v>
      </c>
      <c r="G4651" s="5">
        <v>40156</v>
      </c>
      <c r="H4651" s="4" t="s">
        <v>40</v>
      </c>
      <c r="I4651" s="6">
        <v>52328.57</v>
      </c>
      <c r="J4651" s="6">
        <v>52328.57</v>
      </c>
      <c r="K4651" s="37" t="s">
        <v>7456</v>
      </c>
      <c r="L4651" s="119"/>
      <c r="M4651" s="3"/>
    </row>
    <row r="4652" spans="1:13" s="4" customFormat="1" ht="14.25" customHeight="1" x14ac:dyDescent="0.25">
      <c r="A4652" s="4" t="s">
        <v>7662</v>
      </c>
      <c r="B4652" s="4" t="s">
        <v>13</v>
      </c>
      <c r="C4652" s="4" t="s">
        <v>14</v>
      </c>
      <c r="D4652" s="35">
        <v>5009</v>
      </c>
      <c r="E4652" s="4" t="s">
        <v>7663</v>
      </c>
      <c r="F4652" s="5">
        <v>40037</v>
      </c>
      <c r="G4652" s="5">
        <v>40037</v>
      </c>
      <c r="H4652" s="4" t="s">
        <v>40</v>
      </c>
      <c r="I4652" s="6">
        <v>8850</v>
      </c>
      <c r="J4652" s="6">
        <v>8850</v>
      </c>
      <c r="K4652" s="37" t="s">
        <v>7456</v>
      </c>
      <c r="L4652" s="119"/>
      <c r="M4652" s="3"/>
    </row>
    <row r="4653" spans="1:13" s="4" customFormat="1" ht="14.25" customHeight="1" x14ac:dyDescent="0.25">
      <c r="A4653" s="4" t="s">
        <v>7664</v>
      </c>
      <c r="B4653" s="4" t="s">
        <v>13</v>
      </c>
      <c r="C4653" s="4" t="s">
        <v>14</v>
      </c>
      <c r="D4653" s="35">
        <v>5010</v>
      </c>
      <c r="E4653" s="4" t="s">
        <v>7665</v>
      </c>
      <c r="F4653" s="5">
        <v>39843</v>
      </c>
      <c r="G4653" s="5">
        <v>40157</v>
      </c>
      <c r="H4653" s="4" t="s">
        <v>40</v>
      </c>
      <c r="I4653" s="6">
        <v>22341.39</v>
      </c>
      <c r="J4653" s="6">
        <v>22341.39</v>
      </c>
      <c r="K4653" s="37" t="s">
        <v>7456</v>
      </c>
      <c r="L4653" s="119"/>
      <c r="M4653" s="3"/>
    </row>
    <row r="4654" spans="1:13" s="4" customFormat="1" ht="14.25" customHeight="1" x14ac:dyDescent="0.25">
      <c r="A4654" s="4" t="s">
        <v>7666</v>
      </c>
      <c r="B4654" s="4" t="s">
        <v>13</v>
      </c>
      <c r="C4654" s="4" t="s">
        <v>14</v>
      </c>
      <c r="D4654" s="35">
        <v>5011</v>
      </c>
      <c r="E4654" s="4" t="s">
        <v>7667</v>
      </c>
      <c r="F4654" s="5">
        <v>40157</v>
      </c>
      <c r="G4654" s="5">
        <v>40157</v>
      </c>
      <c r="H4654" s="4" t="s">
        <v>40</v>
      </c>
      <c r="I4654" s="6">
        <v>789.75</v>
      </c>
      <c r="J4654" s="6">
        <v>789.75</v>
      </c>
      <c r="K4654" s="37" t="s">
        <v>7456</v>
      </c>
      <c r="L4654" s="119"/>
      <c r="M4654" s="3"/>
    </row>
    <row r="4655" spans="1:13" s="4" customFormat="1" ht="14.25" customHeight="1" x14ac:dyDescent="0.25">
      <c r="A4655" s="4" t="s">
        <v>7668</v>
      </c>
      <c r="B4655" s="4" t="s">
        <v>38</v>
      </c>
      <c r="C4655" s="4" t="s">
        <v>14</v>
      </c>
      <c r="D4655" s="35">
        <v>5013</v>
      </c>
      <c r="E4655" s="4" t="s">
        <v>7669</v>
      </c>
      <c r="F4655" s="5">
        <v>39974</v>
      </c>
      <c r="G4655" s="5">
        <v>39974</v>
      </c>
      <c r="H4655" s="4" t="s">
        <v>40</v>
      </c>
      <c r="I4655" s="6">
        <v>1371.5</v>
      </c>
      <c r="J4655" s="6">
        <v>1371.5</v>
      </c>
      <c r="K4655" s="37" t="s">
        <v>7456</v>
      </c>
      <c r="L4655" s="119"/>
      <c r="M4655" s="3"/>
    </row>
    <row r="4656" spans="1:13" s="4" customFormat="1" ht="14.25" customHeight="1" x14ac:dyDescent="0.25">
      <c r="A4656" s="4" t="s">
        <v>7670</v>
      </c>
      <c r="B4656" s="4" t="s">
        <v>13</v>
      </c>
      <c r="C4656" s="4" t="s">
        <v>14</v>
      </c>
      <c r="D4656" s="35">
        <v>5018</v>
      </c>
      <c r="E4656" s="7" t="s">
        <v>7671</v>
      </c>
      <c r="F4656" s="5">
        <v>39945</v>
      </c>
      <c r="G4656" s="5">
        <v>40129</v>
      </c>
      <c r="H4656" s="4" t="s">
        <v>40</v>
      </c>
      <c r="I4656" s="6">
        <v>2232.67</v>
      </c>
      <c r="J4656" s="6">
        <v>2232.67</v>
      </c>
      <c r="K4656" s="37" t="s">
        <v>7456</v>
      </c>
      <c r="L4656" s="119"/>
      <c r="M4656" s="3"/>
    </row>
    <row r="4657" spans="1:13" s="4" customFormat="1" ht="14.25" customHeight="1" x14ac:dyDescent="0.25">
      <c r="A4657" s="4" t="s">
        <v>7672</v>
      </c>
      <c r="B4657" s="4" t="s">
        <v>13</v>
      </c>
      <c r="C4657" s="4" t="s">
        <v>14</v>
      </c>
      <c r="D4657" s="35">
        <v>5019</v>
      </c>
      <c r="E4657" s="4" t="s">
        <v>7673</v>
      </c>
      <c r="F4657" s="5">
        <v>39819</v>
      </c>
      <c r="G4657" s="5">
        <v>40171</v>
      </c>
      <c r="H4657" s="4" t="s">
        <v>40</v>
      </c>
      <c r="I4657" s="6">
        <v>53388.55</v>
      </c>
      <c r="J4657" s="6">
        <v>53388.55</v>
      </c>
      <c r="K4657" s="37" t="s">
        <v>7456</v>
      </c>
      <c r="L4657" s="119"/>
      <c r="M4657" s="3"/>
    </row>
    <row r="4658" spans="1:13" s="4" customFormat="1" ht="14.25" customHeight="1" x14ac:dyDescent="0.25">
      <c r="A4658" s="4" t="s">
        <v>7674</v>
      </c>
      <c r="B4658" s="4" t="s">
        <v>13</v>
      </c>
      <c r="C4658" s="4" t="s">
        <v>14</v>
      </c>
      <c r="D4658" s="35">
        <v>5020</v>
      </c>
      <c r="E4658" s="4" t="s">
        <v>7675</v>
      </c>
      <c r="F4658" s="5">
        <v>39832</v>
      </c>
      <c r="G4658" s="5">
        <v>39832</v>
      </c>
      <c r="H4658" s="4" t="s">
        <v>40</v>
      </c>
      <c r="I4658" s="6">
        <v>8040.87</v>
      </c>
      <c r="J4658" s="6">
        <v>8040.87</v>
      </c>
      <c r="K4658" s="37" t="s">
        <v>7456</v>
      </c>
      <c r="L4658" s="119"/>
      <c r="M4658" s="3"/>
    </row>
    <row r="4659" spans="1:13" s="4" customFormat="1" ht="14.25" customHeight="1" x14ac:dyDescent="0.25">
      <c r="A4659" s="4" t="s">
        <v>7676</v>
      </c>
      <c r="B4659" s="4" t="s">
        <v>38</v>
      </c>
      <c r="C4659" s="4" t="s">
        <v>14</v>
      </c>
      <c r="D4659" s="35">
        <v>5021</v>
      </c>
      <c r="E4659" s="7" t="s">
        <v>7677</v>
      </c>
      <c r="F4659" s="5">
        <v>39830</v>
      </c>
      <c r="G4659" s="5">
        <v>40147</v>
      </c>
      <c r="H4659" s="4" t="s">
        <v>40</v>
      </c>
      <c r="I4659" s="6">
        <v>112400.71</v>
      </c>
      <c r="J4659" s="6">
        <v>112400.71</v>
      </c>
      <c r="K4659" s="37" t="s">
        <v>7456</v>
      </c>
      <c r="L4659" s="119"/>
      <c r="M4659" s="3"/>
    </row>
    <row r="4660" spans="1:13" s="4" customFormat="1" ht="14.25" customHeight="1" x14ac:dyDescent="0.25">
      <c r="A4660" s="4" t="s">
        <v>7678</v>
      </c>
      <c r="B4660" s="4" t="s">
        <v>13</v>
      </c>
      <c r="C4660" s="4" t="s">
        <v>14</v>
      </c>
      <c r="D4660" s="35">
        <v>5023</v>
      </c>
      <c r="E4660" s="4" t="s">
        <v>7679</v>
      </c>
      <c r="F4660" s="5">
        <v>39973</v>
      </c>
      <c r="G4660" s="5">
        <v>39973</v>
      </c>
      <c r="H4660" s="4" t="s">
        <v>40</v>
      </c>
      <c r="I4660" s="6">
        <v>636.75</v>
      </c>
      <c r="J4660" s="6">
        <v>636.75</v>
      </c>
      <c r="K4660" s="37" t="s">
        <v>7456</v>
      </c>
      <c r="L4660" s="119"/>
      <c r="M4660" s="3"/>
    </row>
    <row r="4661" spans="1:13" s="4" customFormat="1" ht="14.25" customHeight="1" x14ac:dyDescent="0.25">
      <c r="A4661" s="4" t="s">
        <v>7680</v>
      </c>
      <c r="B4661" s="4" t="s">
        <v>13</v>
      </c>
      <c r="C4661" s="4" t="s">
        <v>14</v>
      </c>
      <c r="D4661" s="35">
        <v>5024</v>
      </c>
      <c r="E4661" s="4" t="s">
        <v>7681</v>
      </c>
      <c r="F4661" s="5">
        <v>39821</v>
      </c>
      <c r="G4661" s="5">
        <v>39821</v>
      </c>
      <c r="H4661" s="4" t="s">
        <v>40</v>
      </c>
      <c r="I4661" s="6">
        <v>450</v>
      </c>
      <c r="J4661" s="6">
        <v>450</v>
      </c>
      <c r="K4661" s="37" t="s">
        <v>7456</v>
      </c>
      <c r="L4661" s="119"/>
      <c r="M4661" s="3"/>
    </row>
    <row r="4662" spans="1:13" s="4" customFormat="1" ht="14.25" customHeight="1" x14ac:dyDescent="0.25">
      <c r="A4662" s="4" t="s">
        <v>7682</v>
      </c>
      <c r="B4662" s="4" t="s">
        <v>13</v>
      </c>
      <c r="C4662" s="4" t="s">
        <v>14</v>
      </c>
      <c r="D4662" s="35">
        <v>5026</v>
      </c>
      <c r="E4662" s="4" t="s">
        <v>7683</v>
      </c>
      <c r="F4662" s="5">
        <v>39981</v>
      </c>
      <c r="G4662" s="5">
        <v>39981</v>
      </c>
      <c r="H4662" s="4" t="s">
        <v>40</v>
      </c>
      <c r="I4662" s="6">
        <v>1035</v>
      </c>
      <c r="J4662" s="6">
        <v>1035</v>
      </c>
      <c r="K4662" s="37" t="s">
        <v>7456</v>
      </c>
      <c r="L4662" s="119"/>
      <c r="M4662" s="3"/>
    </row>
    <row r="4663" spans="1:13" s="4" customFormat="1" ht="14.25" customHeight="1" x14ac:dyDescent="0.25">
      <c r="A4663" s="4" t="s">
        <v>7684</v>
      </c>
      <c r="B4663" s="4" t="s">
        <v>59</v>
      </c>
      <c r="C4663" s="4" t="s">
        <v>14</v>
      </c>
      <c r="D4663" s="35">
        <v>6572</v>
      </c>
      <c r="E4663" s="4" t="s">
        <v>7685</v>
      </c>
      <c r="F4663" s="5">
        <v>40093</v>
      </c>
      <c r="G4663" s="5">
        <v>40543</v>
      </c>
      <c r="H4663" s="4" t="s">
        <v>40</v>
      </c>
      <c r="I4663" s="6">
        <v>7500</v>
      </c>
      <c r="J4663" s="6">
        <v>7500</v>
      </c>
      <c r="K4663" s="37" t="s">
        <v>7456</v>
      </c>
      <c r="L4663" s="119"/>
      <c r="M4663" s="3"/>
    </row>
    <row r="4664" spans="1:13" s="4" customFormat="1" ht="14.25" customHeight="1" x14ac:dyDescent="0.25">
      <c r="A4664" s="4" t="s">
        <v>7690</v>
      </c>
      <c r="B4664" s="4" t="s">
        <v>183</v>
      </c>
      <c r="C4664" s="4" t="s">
        <v>14</v>
      </c>
      <c r="D4664" s="35">
        <v>6575</v>
      </c>
      <c r="E4664" s="4" t="s">
        <v>7691</v>
      </c>
      <c r="F4664" s="5">
        <v>40479</v>
      </c>
      <c r="G4664" s="5">
        <v>40543</v>
      </c>
      <c r="H4664" s="4" t="s">
        <v>40</v>
      </c>
      <c r="I4664" s="6">
        <v>3750</v>
      </c>
      <c r="J4664" s="6">
        <v>3750</v>
      </c>
      <c r="K4664" s="37" t="s">
        <v>7456</v>
      </c>
      <c r="L4664" s="119"/>
      <c r="M4664" s="3"/>
    </row>
    <row r="4665" spans="1:13" s="4" customFormat="1" ht="14.25" customHeight="1" x14ac:dyDescent="0.25">
      <c r="A4665" s="4" t="s">
        <v>7692</v>
      </c>
      <c r="B4665" s="4" t="s">
        <v>59</v>
      </c>
      <c r="C4665" s="4" t="s">
        <v>14</v>
      </c>
      <c r="D4665" s="35">
        <v>6576</v>
      </c>
      <c r="E4665" s="4" t="s">
        <v>7693</v>
      </c>
      <c r="F4665" s="5">
        <v>40489</v>
      </c>
      <c r="G4665" s="5">
        <v>40543</v>
      </c>
      <c r="H4665" s="4" t="s">
        <v>40</v>
      </c>
      <c r="I4665" s="6">
        <v>14000</v>
      </c>
      <c r="J4665" s="6">
        <v>14000</v>
      </c>
      <c r="K4665" s="37" t="s">
        <v>7456</v>
      </c>
      <c r="L4665" s="119"/>
      <c r="M4665" s="3"/>
    </row>
    <row r="4666" spans="1:13" s="4" customFormat="1" ht="14.25" customHeight="1" x14ac:dyDescent="0.25">
      <c r="A4666" s="4" t="s">
        <v>7694</v>
      </c>
      <c r="B4666" s="4" t="s">
        <v>90</v>
      </c>
      <c r="C4666" s="4" t="s">
        <v>14</v>
      </c>
      <c r="D4666" s="35">
        <v>6577</v>
      </c>
      <c r="E4666" s="4" t="s">
        <v>7695</v>
      </c>
      <c r="F4666" s="5">
        <v>40207</v>
      </c>
      <c r="G4666" s="5">
        <v>40388</v>
      </c>
      <c r="H4666" s="4" t="s">
        <v>40</v>
      </c>
      <c r="I4666" s="6">
        <v>8000</v>
      </c>
      <c r="J4666" s="6">
        <v>4000</v>
      </c>
      <c r="K4666" s="37" t="s">
        <v>7456</v>
      </c>
      <c r="L4666" s="119"/>
      <c r="M4666" s="3"/>
    </row>
    <row r="4667" spans="1:13" s="4" customFormat="1" ht="14.25" customHeight="1" x14ac:dyDescent="0.25">
      <c r="A4667" s="4" t="s">
        <v>7696</v>
      </c>
      <c r="B4667" s="4" t="s">
        <v>90</v>
      </c>
      <c r="C4667" s="4" t="s">
        <v>14</v>
      </c>
      <c r="D4667" s="35">
        <v>6578</v>
      </c>
      <c r="E4667" s="4" t="s">
        <v>7697</v>
      </c>
      <c r="F4667" s="5">
        <v>40241</v>
      </c>
      <c r="G4667" s="5">
        <v>40519</v>
      </c>
      <c r="H4667" s="4" t="s">
        <v>40</v>
      </c>
      <c r="I4667" s="6">
        <v>13500</v>
      </c>
      <c r="J4667" s="6">
        <v>6750</v>
      </c>
      <c r="K4667" s="37" t="s">
        <v>7456</v>
      </c>
      <c r="L4667" s="119"/>
      <c r="M4667" s="3"/>
    </row>
    <row r="4668" spans="1:13" s="4" customFormat="1" ht="14.25" customHeight="1" x14ac:dyDescent="0.25">
      <c r="A4668" s="4" t="s">
        <v>7698</v>
      </c>
      <c r="B4668" s="4" t="s">
        <v>11764</v>
      </c>
      <c r="C4668" s="4" t="s">
        <v>14</v>
      </c>
      <c r="D4668" s="35">
        <v>6579</v>
      </c>
      <c r="E4668" s="4" t="s">
        <v>7699</v>
      </c>
      <c r="F4668" s="5">
        <v>40520</v>
      </c>
      <c r="G4668" s="5">
        <v>40543</v>
      </c>
      <c r="H4668" s="4" t="s">
        <v>40</v>
      </c>
      <c r="I4668" s="6">
        <v>56000</v>
      </c>
      <c r="J4668" s="6">
        <v>56000</v>
      </c>
      <c r="K4668" s="37" t="s">
        <v>7456</v>
      </c>
      <c r="L4668" s="119"/>
      <c r="M4668" s="3"/>
    </row>
    <row r="4669" spans="1:13" s="4" customFormat="1" ht="14.25" customHeight="1" x14ac:dyDescent="0.25">
      <c r="A4669" s="4" t="s">
        <v>7702</v>
      </c>
      <c r="B4669" s="4" t="s">
        <v>50</v>
      </c>
      <c r="C4669" s="4" t="s">
        <v>14</v>
      </c>
      <c r="D4669" s="35">
        <v>6581</v>
      </c>
      <c r="E4669" s="4" t="s">
        <v>7703</v>
      </c>
      <c r="F4669" s="5">
        <v>40151</v>
      </c>
      <c r="G4669" s="5">
        <v>40543</v>
      </c>
      <c r="H4669" s="4" t="s">
        <v>40</v>
      </c>
      <c r="I4669" s="6">
        <v>20000</v>
      </c>
      <c r="J4669" s="6">
        <v>10000</v>
      </c>
      <c r="K4669" s="37" t="s">
        <v>7456</v>
      </c>
      <c r="L4669" s="119"/>
      <c r="M4669" s="3"/>
    </row>
    <row r="4670" spans="1:13" s="4" customFormat="1" ht="14.25" customHeight="1" x14ac:dyDescent="0.25">
      <c r="A4670" s="4" t="s">
        <v>7704</v>
      </c>
      <c r="B4670" s="4" t="s">
        <v>59</v>
      </c>
      <c r="C4670" s="4" t="s">
        <v>14</v>
      </c>
      <c r="D4670" s="35">
        <v>6972</v>
      </c>
      <c r="E4670" s="4" t="s">
        <v>7705</v>
      </c>
      <c r="F4670" s="5">
        <v>40106</v>
      </c>
      <c r="G4670" s="5">
        <v>40526</v>
      </c>
      <c r="H4670" s="4" t="s">
        <v>40</v>
      </c>
      <c r="I4670" s="6">
        <v>11020.23</v>
      </c>
      <c r="J4670" s="6">
        <v>11020.23</v>
      </c>
      <c r="K4670" s="37" t="s">
        <v>7456</v>
      </c>
      <c r="L4670" s="119"/>
      <c r="M4670" s="3"/>
    </row>
    <row r="4671" spans="1:13" s="4" customFormat="1" ht="14.25" customHeight="1" x14ac:dyDescent="0.25">
      <c r="A4671" s="4" t="s">
        <v>7708</v>
      </c>
      <c r="B4671" s="4" t="s">
        <v>183</v>
      </c>
      <c r="C4671" s="4" t="s">
        <v>14</v>
      </c>
      <c r="D4671" s="35">
        <v>6976</v>
      </c>
      <c r="E4671" s="4" t="s">
        <v>7709</v>
      </c>
      <c r="F4671" s="5">
        <v>40520</v>
      </c>
      <c r="H4671" s="4" t="s">
        <v>40</v>
      </c>
      <c r="I4671" s="6">
        <v>12000</v>
      </c>
      <c r="J4671" s="6">
        <v>12000</v>
      </c>
      <c r="K4671" s="37" t="s">
        <v>7456</v>
      </c>
      <c r="L4671" s="119"/>
      <c r="M4671" s="3"/>
    </row>
    <row r="4672" spans="1:13" s="4" customFormat="1" ht="14.25" customHeight="1" x14ac:dyDescent="0.25">
      <c r="A4672" s="4" t="s">
        <v>7710</v>
      </c>
      <c r="B4672" s="4" t="s">
        <v>183</v>
      </c>
      <c r="C4672" s="4" t="s">
        <v>14</v>
      </c>
      <c r="D4672" s="35">
        <v>6977</v>
      </c>
      <c r="E4672" s="4" t="s">
        <v>7711</v>
      </c>
      <c r="F4672" s="5">
        <v>40520</v>
      </c>
      <c r="H4672" s="4" t="s">
        <v>40</v>
      </c>
      <c r="I4672" s="6">
        <v>40000</v>
      </c>
      <c r="J4672" s="6">
        <v>40000</v>
      </c>
      <c r="K4672" s="37" t="s">
        <v>7456</v>
      </c>
      <c r="L4672" s="119"/>
      <c r="M4672" s="3"/>
    </row>
    <row r="4673" spans="1:13" s="4" customFormat="1" ht="14.25" customHeight="1" x14ac:dyDescent="0.25">
      <c r="A4673" s="4" t="s">
        <v>7712</v>
      </c>
      <c r="B4673" s="4" t="s">
        <v>183</v>
      </c>
      <c r="C4673" s="4" t="s">
        <v>14</v>
      </c>
      <c r="D4673" s="35">
        <v>6979</v>
      </c>
      <c r="E4673" s="4" t="s">
        <v>7713</v>
      </c>
      <c r="F4673" s="5">
        <v>40158</v>
      </c>
      <c r="G4673" s="5">
        <v>40523</v>
      </c>
      <c r="H4673" s="4" t="s">
        <v>40</v>
      </c>
      <c r="I4673" s="6">
        <v>7500</v>
      </c>
      <c r="J4673" s="6">
        <v>7500</v>
      </c>
      <c r="K4673" s="37" t="s">
        <v>7456</v>
      </c>
      <c r="L4673" s="119"/>
      <c r="M4673" s="3"/>
    </row>
    <row r="4674" spans="1:13" s="4" customFormat="1" ht="14.25" customHeight="1" x14ac:dyDescent="0.25">
      <c r="A4674" s="4" t="s">
        <v>7714</v>
      </c>
      <c r="B4674" s="4" t="s">
        <v>183</v>
      </c>
      <c r="C4674" s="4" t="s">
        <v>14</v>
      </c>
      <c r="D4674" s="35">
        <v>6981</v>
      </c>
      <c r="E4674" s="4" t="s">
        <v>7715</v>
      </c>
      <c r="F4674" s="5">
        <v>40233</v>
      </c>
      <c r="G4674" s="5">
        <v>41274</v>
      </c>
      <c r="H4674" s="4" t="s">
        <v>40</v>
      </c>
      <c r="I4674" s="6">
        <v>8000</v>
      </c>
      <c r="J4674" s="6">
        <v>8000</v>
      </c>
      <c r="K4674" s="37" t="s">
        <v>7456</v>
      </c>
      <c r="L4674" s="119"/>
      <c r="M4674" s="3"/>
    </row>
    <row r="4675" spans="1:13" s="4" customFormat="1" ht="14.25" customHeight="1" x14ac:dyDescent="0.25">
      <c r="A4675" s="4" t="s">
        <v>7718</v>
      </c>
      <c r="B4675" s="4" t="s">
        <v>183</v>
      </c>
      <c r="C4675" s="4" t="s">
        <v>14</v>
      </c>
      <c r="D4675" s="35">
        <v>6984</v>
      </c>
      <c r="E4675" s="4" t="s">
        <v>7719</v>
      </c>
      <c r="F4675" s="5">
        <v>40520</v>
      </c>
      <c r="H4675" s="4" t="s">
        <v>40</v>
      </c>
      <c r="I4675" s="6">
        <v>29125</v>
      </c>
      <c r="J4675" s="6">
        <v>29125</v>
      </c>
      <c r="K4675" s="37" t="s">
        <v>7456</v>
      </c>
      <c r="L4675" s="119"/>
      <c r="M4675" s="3"/>
    </row>
    <row r="4676" spans="1:13" s="4" customFormat="1" ht="14.25" customHeight="1" x14ac:dyDescent="0.25">
      <c r="A4676" s="4" t="s">
        <v>7724</v>
      </c>
      <c r="B4676" s="4" t="s">
        <v>190</v>
      </c>
      <c r="C4676" s="4" t="s">
        <v>14</v>
      </c>
      <c r="D4676" s="35">
        <v>6987</v>
      </c>
      <c r="E4676" s="4" t="s">
        <v>7725</v>
      </c>
      <c r="F4676" s="5">
        <v>40380</v>
      </c>
      <c r="H4676" s="4" t="s">
        <v>40</v>
      </c>
      <c r="I4676" s="6">
        <v>7500</v>
      </c>
      <c r="J4676" s="6">
        <v>7500</v>
      </c>
      <c r="K4676" s="37" t="s">
        <v>7456</v>
      </c>
      <c r="L4676" s="119"/>
      <c r="M4676" s="3"/>
    </row>
    <row r="4677" spans="1:13" s="4" customFormat="1" ht="14.25" customHeight="1" x14ac:dyDescent="0.25">
      <c r="A4677" s="4" t="s">
        <v>7726</v>
      </c>
      <c r="B4677" s="4" t="s">
        <v>183</v>
      </c>
      <c r="C4677" s="4" t="s">
        <v>14</v>
      </c>
      <c r="D4677" s="35">
        <v>6988</v>
      </c>
      <c r="E4677" s="4" t="s">
        <v>7727</v>
      </c>
      <c r="F4677" s="5">
        <v>40520</v>
      </c>
      <c r="H4677" s="4" t="s">
        <v>40</v>
      </c>
      <c r="I4677" s="6">
        <v>6750</v>
      </c>
      <c r="J4677" s="6">
        <v>6750</v>
      </c>
      <c r="K4677" s="37" t="s">
        <v>7456</v>
      </c>
      <c r="L4677" s="119"/>
      <c r="M4677" s="3"/>
    </row>
    <row r="4678" spans="1:13" s="4" customFormat="1" ht="14.25" customHeight="1" x14ac:dyDescent="0.25">
      <c r="A4678" s="4" t="s">
        <v>7728</v>
      </c>
      <c r="B4678" s="4" t="s">
        <v>183</v>
      </c>
      <c r="C4678" s="4" t="s">
        <v>14</v>
      </c>
      <c r="D4678" s="35">
        <v>6989</v>
      </c>
      <c r="E4678" s="4" t="s">
        <v>7729</v>
      </c>
      <c r="F4678" s="5">
        <v>40485</v>
      </c>
      <c r="H4678" s="4" t="s">
        <v>40</v>
      </c>
      <c r="I4678" s="6">
        <v>5000</v>
      </c>
      <c r="J4678" s="6">
        <v>5000</v>
      </c>
      <c r="K4678" s="37" t="s">
        <v>7456</v>
      </c>
      <c r="L4678" s="119"/>
      <c r="M4678" s="3"/>
    </row>
    <row r="4679" spans="1:13" s="4" customFormat="1" ht="14.25" customHeight="1" x14ac:dyDescent="0.25">
      <c r="A4679" s="4" t="s">
        <v>7730</v>
      </c>
      <c r="B4679" s="4" t="s">
        <v>38</v>
      </c>
      <c r="C4679" s="4" t="s">
        <v>14</v>
      </c>
      <c r="D4679" s="35">
        <v>7157</v>
      </c>
      <c r="E4679" s="4" t="s">
        <v>7731</v>
      </c>
      <c r="F4679" s="5">
        <v>40533</v>
      </c>
      <c r="G4679" s="5">
        <v>40543</v>
      </c>
      <c r="H4679" s="4" t="s">
        <v>40</v>
      </c>
      <c r="I4679" s="6">
        <v>7864.32</v>
      </c>
      <c r="J4679" s="6">
        <v>7864.32</v>
      </c>
      <c r="K4679" s="37" t="s">
        <v>7456</v>
      </c>
      <c r="L4679" s="119"/>
      <c r="M4679" s="3"/>
    </row>
    <row r="4680" spans="1:13" s="4" customFormat="1" ht="14.25" customHeight="1" x14ac:dyDescent="0.25">
      <c r="A4680" s="4" t="s">
        <v>7732</v>
      </c>
      <c r="B4680" s="4" t="s">
        <v>38</v>
      </c>
      <c r="C4680" s="4" t="s">
        <v>14</v>
      </c>
      <c r="D4680" s="35">
        <v>7158</v>
      </c>
      <c r="E4680" s="4" t="s">
        <v>7733</v>
      </c>
      <c r="F4680" s="5">
        <v>40207</v>
      </c>
      <c r="G4680" s="5">
        <v>40543</v>
      </c>
      <c r="H4680" s="4" t="s">
        <v>40</v>
      </c>
      <c r="I4680" s="6">
        <v>55895.51</v>
      </c>
      <c r="J4680" s="6">
        <v>55895.51</v>
      </c>
      <c r="K4680" s="37" t="s">
        <v>7456</v>
      </c>
      <c r="L4680" s="119"/>
      <c r="M4680" s="3"/>
    </row>
    <row r="4681" spans="1:13" s="4" customFormat="1" ht="14.25" customHeight="1" x14ac:dyDescent="0.25">
      <c r="A4681" s="4" t="s">
        <v>7734</v>
      </c>
      <c r="B4681" s="4" t="s">
        <v>38</v>
      </c>
      <c r="C4681" s="4" t="s">
        <v>14</v>
      </c>
      <c r="D4681" s="35">
        <v>7159</v>
      </c>
      <c r="E4681" s="4" t="s">
        <v>7735</v>
      </c>
      <c r="F4681" s="5">
        <v>40516</v>
      </c>
      <c r="G4681" s="5">
        <v>40516</v>
      </c>
      <c r="H4681" s="4" t="s">
        <v>40</v>
      </c>
      <c r="I4681" s="6">
        <v>240.68</v>
      </c>
      <c r="J4681" s="6">
        <v>240.68</v>
      </c>
      <c r="K4681" s="37" t="s">
        <v>7456</v>
      </c>
      <c r="L4681" s="119"/>
      <c r="M4681" s="3"/>
    </row>
    <row r="4682" spans="1:13" s="4" customFormat="1" ht="14.25" customHeight="1" x14ac:dyDescent="0.25">
      <c r="A4682" s="4" t="s">
        <v>7736</v>
      </c>
      <c r="B4682" s="4" t="s">
        <v>38</v>
      </c>
      <c r="C4682" s="4" t="s">
        <v>14</v>
      </c>
      <c r="D4682" s="35">
        <v>7161</v>
      </c>
      <c r="E4682" s="4" t="s">
        <v>7737</v>
      </c>
      <c r="F4682" s="5">
        <v>40248</v>
      </c>
      <c r="G4682" s="5">
        <v>40543</v>
      </c>
      <c r="H4682" s="4" t="s">
        <v>40</v>
      </c>
      <c r="I4682" s="6">
        <v>4949.2299999999996</v>
      </c>
      <c r="J4682" s="6">
        <v>4949.2299999999996</v>
      </c>
      <c r="K4682" s="37" t="s">
        <v>7456</v>
      </c>
      <c r="L4682" s="119"/>
      <c r="M4682" s="3"/>
    </row>
    <row r="4683" spans="1:13" s="4" customFormat="1" ht="14.25" customHeight="1" x14ac:dyDescent="0.25">
      <c r="A4683" s="4" t="s">
        <v>7738</v>
      </c>
      <c r="B4683" s="4" t="s">
        <v>38</v>
      </c>
      <c r="C4683" s="4" t="s">
        <v>14</v>
      </c>
      <c r="D4683" s="35">
        <v>7162</v>
      </c>
      <c r="E4683" s="4" t="s">
        <v>7739</v>
      </c>
      <c r="F4683" s="5">
        <v>40337</v>
      </c>
      <c r="G4683" s="5">
        <v>40543</v>
      </c>
      <c r="H4683" s="4" t="s">
        <v>40</v>
      </c>
      <c r="I4683" s="6">
        <v>5499.8</v>
      </c>
      <c r="J4683" s="6">
        <v>5499.8</v>
      </c>
      <c r="K4683" s="37" t="s">
        <v>7456</v>
      </c>
      <c r="L4683" s="119"/>
      <c r="M4683" s="3"/>
    </row>
    <row r="4684" spans="1:13" s="4" customFormat="1" ht="14.25" customHeight="1" x14ac:dyDescent="0.25">
      <c r="A4684" s="4" t="s">
        <v>7740</v>
      </c>
      <c r="B4684" s="4" t="s">
        <v>38</v>
      </c>
      <c r="C4684" s="4" t="s">
        <v>14</v>
      </c>
      <c r="D4684" s="35">
        <v>7163</v>
      </c>
      <c r="E4684" s="4" t="s">
        <v>7741</v>
      </c>
      <c r="F4684" s="5">
        <v>40205</v>
      </c>
      <c r="G4684" s="5">
        <v>40216</v>
      </c>
      <c r="H4684" s="4" t="s">
        <v>40</v>
      </c>
      <c r="I4684" s="6">
        <v>1255</v>
      </c>
      <c r="J4684" s="6">
        <v>1255</v>
      </c>
      <c r="K4684" s="37" t="s">
        <v>7456</v>
      </c>
      <c r="L4684" s="119"/>
      <c r="M4684" s="3"/>
    </row>
    <row r="4685" spans="1:13" s="4" customFormat="1" ht="14.25" customHeight="1" x14ac:dyDescent="0.25">
      <c r="A4685" s="4" t="s">
        <v>7742</v>
      </c>
      <c r="B4685" s="4" t="s">
        <v>38</v>
      </c>
      <c r="C4685" s="4" t="s">
        <v>14</v>
      </c>
      <c r="D4685" s="35">
        <v>7164</v>
      </c>
      <c r="E4685" s="4" t="s">
        <v>7565</v>
      </c>
      <c r="F4685" s="5">
        <v>40315</v>
      </c>
      <c r="G4685" s="5">
        <v>40543</v>
      </c>
      <c r="H4685" s="4" t="s">
        <v>40</v>
      </c>
      <c r="I4685" s="6">
        <v>40000</v>
      </c>
      <c r="J4685" s="6">
        <v>40000</v>
      </c>
      <c r="K4685" s="37" t="s">
        <v>7456</v>
      </c>
      <c r="L4685" s="119"/>
      <c r="M4685" s="3"/>
    </row>
    <row r="4686" spans="1:13" s="4" customFormat="1" ht="14.25" customHeight="1" x14ac:dyDescent="0.25">
      <c r="A4686" s="4" t="s">
        <v>7535</v>
      </c>
      <c r="B4686" s="4" t="s">
        <v>13</v>
      </c>
      <c r="C4686" s="4" t="s">
        <v>14</v>
      </c>
      <c r="D4686" s="35">
        <v>7165</v>
      </c>
      <c r="E4686" s="4" t="s">
        <v>7743</v>
      </c>
      <c r="F4686" s="5">
        <v>40413</v>
      </c>
      <c r="G4686" s="5">
        <v>40413</v>
      </c>
      <c r="H4686" s="4" t="s">
        <v>40</v>
      </c>
      <c r="I4686" s="6">
        <v>1120</v>
      </c>
      <c r="J4686" s="6">
        <v>1120</v>
      </c>
      <c r="K4686" s="37" t="s">
        <v>7456</v>
      </c>
      <c r="L4686" s="119"/>
      <c r="M4686" s="3"/>
    </row>
    <row r="4687" spans="1:13" s="4" customFormat="1" ht="14.25" customHeight="1" x14ac:dyDescent="0.25">
      <c r="A4687" s="4" t="s">
        <v>7744</v>
      </c>
      <c r="B4687" s="4" t="s">
        <v>13</v>
      </c>
      <c r="C4687" s="4" t="s">
        <v>14</v>
      </c>
      <c r="D4687" s="35">
        <v>7166</v>
      </c>
      <c r="E4687" s="4" t="s">
        <v>7745</v>
      </c>
      <c r="F4687" s="5">
        <v>40450</v>
      </c>
      <c r="G4687" s="5">
        <v>40450</v>
      </c>
      <c r="H4687" s="4" t="s">
        <v>40</v>
      </c>
      <c r="I4687" s="6">
        <v>8850</v>
      </c>
      <c r="J4687" s="6">
        <v>8850</v>
      </c>
      <c r="K4687" s="37" t="s">
        <v>7456</v>
      </c>
      <c r="L4687" s="119"/>
      <c r="M4687" s="3"/>
    </row>
    <row r="4688" spans="1:13" s="4" customFormat="1" ht="14.25" customHeight="1" x14ac:dyDescent="0.25">
      <c r="A4688" s="4" t="s">
        <v>7746</v>
      </c>
      <c r="B4688" s="4" t="s">
        <v>38</v>
      </c>
      <c r="C4688" s="4" t="s">
        <v>14</v>
      </c>
      <c r="D4688" s="35">
        <v>7168</v>
      </c>
      <c r="E4688" s="4" t="s">
        <v>7747</v>
      </c>
      <c r="F4688" s="5">
        <v>40427</v>
      </c>
      <c r="G4688" s="5">
        <v>40519</v>
      </c>
      <c r="H4688" s="4" t="s">
        <v>40</v>
      </c>
      <c r="I4688" s="6">
        <v>6904</v>
      </c>
      <c r="J4688" s="6">
        <v>6904</v>
      </c>
      <c r="K4688" s="37" t="s">
        <v>7456</v>
      </c>
      <c r="L4688" s="119"/>
      <c r="M4688" s="3"/>
    </row>
    <row r="4689" spans="1:13" s="4" customFormat="1" ht="14.25" customHeight="1" x14ac:dyDescent="0.25">
      <c r="A4689" s="4" t="s">
        <v>7748</v>
      </c>
      <c r="B4689" s="4" t="s">
        <v>13</v>
      </c>
      <c r="C4689" s="4" t="s">
        <v>14</v>
      </c>
      <c r="D4689" s="35">
        <v>7169</v>
      </c>
      <c r="E4689" s="4" t="s">
        <v>7749</v>
      </c>
      <c r="F4689" s="5">
        <v>40206</v>
      </c>
      <c r="G4689" s="5">
        <v>40529</v>
      </c>
      <c r="H4689" s="4" t="s">
        <v>40</v>
      </c>
      <c r="I4689" s="6">
        <v>14761.71</v>
      </c>
      <c r="J4689" s="6">
        <v>14761.71</v>
      </c>
      <c r="K4689" s="37" t="s">
        <v>7456</v>
      </c>
      <c r="L4689" s="119"/>
      <c r="M4689" s="3"/>
    </row>
    <row r="4690" spans="1:13" s="4" customFormat="1" ht="14.25" customHeight="1" x14ac:dyDescent="0.25">
      <c r="A4690" s="4" t="s">
        <v>7750</v>
      </c>
      <c r="B4690" s="4" t="s">
        <v>13</v>
      </c>
      <c r="C4690" s="4" t="s">
        <v>14</v>
      </c>
      <c r="D4690" s="35">
        <v>7170</v>
      </c>
      <c r="E4690" s="4" t="s">
        <v>7751</v>
      </c>
      <c r="F4690" s="5">
        <v>40205</v>
      </c>
      <c r="G4690" s="5">
        <v>40529</v>
      </c>
      <c r="H4690" s="4" t="s">
        <v>40</v>
      </c>
      <c r="I4690" s="6">
        <v>3859.86</v>
      </c>
      <c r="J4690" s="6">
        <v>3859.86</v>
      </c>
      <c r="K4690" s="37" t="s">
        <v>7456</v>
      </c>
      <c r="L4690" s="119"/>
      <c r="M4690" s="3"/>
    </row>
    <row r="4691" spans="1:13" s="4" customFormat="1" ht="14.25" customHeight="1" x14ac:dyDescent="0.25">
      <c r="A4691" s="4" t="s">
        <v>7752</v>
      </c>
      <c r="B4691" s="4" t="s">
        <v>38</v>
      </c>
      <c r="C4691" s="4" t="s">
        <v>14</v>
      </c>
      <c r="D4691" s="35">
        <v>7171</v>
      </c>
      <c r="E4691" s="7" t="s">
        <v>7753</v>
      </c>
      <c r="F4691" s="5">
        <v>40207</v>
      </c>
      <c r="G4691" s="5">
        <v>40499</v>
      </c>
      <c r="H4691" s="4" t="s">
        <v>40</v>
      </c>
      <c r="I4691" s="6">
        <v>77726.289999999994</v>
      </c>
      <c r="J4691" s="6">
        <v>77726.289999999994</v>
      </c>
      <c r="K4691" s="37" t="s">
        <v>7456</v>
      </c>
      <c r="L4691" s="119"/>
      <c r="M4691" s="3"/>
    </row>
    <row r="4692" spans="1:13" s="4" customFormat="1" ht="14.25" customHeight="1" x14ac:dyDescent="0.25">
      <c r="A4692" s="4" t="s">
        <v>7754</v>
      </c>
      <c r="B4692" s="4" t="s">
        <v>190</v>
      </c>
      <c r="C4692" s="4" t="s">
        <v>14</v>
      </c>
      <c r="D4692" s="35">
        <v>7555</v>
      </c>
      <c r="E4692" s="4" t="s">
        <v>7755</v>
      </c>
      <c r="F4692" s="5">
        <v>40520</v>
      </c>
      <c r="H4692" s="4" t="s">
        <v>40</v>
      </c>
      <c r="I4692" s="6">
        <v>7500</v>
      </c>
      <c r="J4692" s="6">
        <v>7500</v>
      </c>
      <c r="K4692" s="37" t="s">
        <v>7456</v>
      </c>
      <c r="L4692" s="119"/>
      <c r="M4692" s="3"/>
    </row>
    <row r="4693" spans="1:13" s="4" customFormat="1" ht="14.25" customHeight="1" x14ac:dyDescent="0.25">
      <c r="A4693" s="4" t="s">
        <v>7756</v>
      </c>
      <c r="B4693" s="4" t="s">
        <v>190</v>
      </c>
      <c r="C4693" s="4" t="s">
        <v>14</v>
      </c>
      <c r="D4693" s="35">
        <v>7706</v>
      </c>
      <c r="E4693" s="4" t="s">
        <v>7757</v>
      </c>
      <c r="F4693" s="5">
        <v>40230</v>
      </c>
      <c r="G4693" s="5">
        <v>40543</v>
      </c>
      <c r="H4693" s="4" t="s">
        <v>40</v>
      </c>
      <c r="I4693" s="6">
        <v>49500</v>
      </c>
      <c r="J4693" s="6">
        <v>37500</v>
      </c>
      <c r="K4693" s="37" t="s">
        <v>7456</v>
      </c>
      <c r="L4693" s="119"/>
      <c r="M4693" s="3"/>
    </row>
    <row r="4694" spans="1:13" s="4" customFormat="1" ht="14.25" customHeight="1" x14ac:dyDescent="0.25">
      <c r="A4694" s="4" t="s">
        <v>7760</v>
      </c>
      <c r="B4694" s="4" t="s">
        <v>183</v>
      </c>
      <c r="C4694" s="4" t="s">
        <v>14</v>
      </c>
      <c r="D4694" s="35">
        <v>8542</v>
      </c>
      <c r="E4694" s="4" t="s">
        <v>7761</v>
      </c>
      <c r="F4694" s="5">
        <v>40744</v>
      </c>
      <c r="G4694" s="5">
        <v>40908</v>
      </c>
      <c r="H4694" s="4" t="s">
        <v>40</v>
      </c>
      <c r="I4694" s="6">
        <v>12000</v>
      </c>
      <c r="J4694" s="6">
        <v>12000</v>
      </c>
      <c r="K4694" s="37" t="s">
        <v>7456</v>
      </c>
      <c r="L4694" s="119"/>
      <c r="M4694" s="3"/>
    </row>
    <row r="4695" spans="1:13" s="4" customFormat="1" ht="14.25" customHeight="1" x14ac:dyDescent="0.25">
      <c r="A4695" s="4" t="s">
        <v>7762</v>
      </c>
      <c r="B4695" s="4" t="s">
        <v>183</v>
      </c>
      <c r="C4695" s="4" t="s">
        <v>14</v>
      </c>
      <c r="D4695" s="35">
        <v>8543</v>
      </c>
      <c r="E4695" s="4" t="s">
        <v>7763</v>
      </c>
      <c r="F4695" s="5">
        <v>40547</v>
      </c>
      <c r="G4695" s="5">
        <v>40908</v>
      </c>
      <c r="H4695" s="4" t="s">
        <v>40</v>
      </c>
      <c r="I4695" s="6">
        <v>6750</v>
      </c>
      <c r="J4695" s="6">
        <v>6750</v>
      </c>
      <c r="K4695" s="37" t="s">
        <v>7456</v>
      </c>
      <c r="L4695" s="119"/>
      <c r="M4695" s="3"/>
    </row>
    <row r="4696" spans="1:13" s="4" customFormat="1" ht="14.25" customHeight="1" x14ac:dyDescent="0.25">
      <c r="A4696" s="4" t="s">
        <v>7764</v>
      </c>
      <c r="B4696" s="4" t="s">
        <v>183</v>
      </c>
      <c r="C4696" s="4" t="s">
        <v>14</v>
      </c>
      <c r="D4696" s="35">
        <v>8544</v>
      </c>
      <c r="E4696" s="4" t="s">
        <v>7765</v>
      </c>
      <c r="F4696" s="5">
        <v>40860</v>
      </c>
      <c r="G4696" s="5">
        <v>40908</v>
      </c>
      <c r="H4696" s="4" t="s">
        <v>40</v>
      </c>
      <c r="I4696" s="6">
        <v>5000</v>
      </c>
      <c r="J4696" s="6">
        <v>5000</v>
      </c>
      <c r="K4696" s="37" t="s">
        <v>7456</v>
      </c>
      <c r="L4696" s="119"/>
      <c r="M4696" s="3"/>
    </row>
    <row r="4697" spans="1:13" s="4" customFormat="1" ht="14.25" customHeight="1" x14ac:dyDescent="0.25">
      <c r="A4697" s="4" t="s">
        <v>7766</v>
      </c>
      <c r="B4697" s="4" t="s">
        <v>183</v>
      </c>
      <c r="C4697" s="4" t="s">
        <v>14</v>
      </c>
      <c r="D4697" s="35">
        <v>8545</v>
      </c>
      <c r="E4697" s="4" t="s">
        <v>7767</v>
      </c>
      <c r="F4697" s="5">
        <v>40609</v>
      </c>
      <c r="G4697" s="5">
        <v>40908</v>
      </c>
      <c r="H4697" s="4" t="s">
        <v>40</v>
      </c>
      <c r="I4697" s="6">
        <v>4000</v>
      </c>
      <c r="J4697" s="6">
        <v>4000</v>
      </c>
      <c r="K4697" s="37" t="s">
        <v>7456</v>
      </c>
      <c r="L4697" s="119"/>
      <c r="M4697" s="3"/>
    </row>
    <row r="4698" spans="1:13" s="4" customFormat="1" ht="14.25" customHeight="1" x14ac:dyDescent="0.25">
      <c r="A4698" s="4" t="s">
        <v>7768</v>
      </c>
      <c r="B4698" s="4" t="s">
        <v>183</v>
      </c>
      <c r="C4698" s="4" t="s">
        <v>14</v>
      </c>
      <c r="D4698" s="35">
        <v>8546</v>
      </c>
      <c r="E4698" s="4" t="s">
        <v>7769</v>
      </c>
      <c r="F4698" s="5">
        <v>40632</v>
      </c>
      <c r="G4698" s="5">
        <v>40908</v>
      </c>
      <c r="H4698" s="4" t="s">
        <v>40</v>
      </c>
      <c r="I4698" s="6">
        <v>16000</v>
      </c>
      <c r="J4698" s="6">
        <v>16000</v>
      </c>
      <c r="K4698" s="37" t="s">
        <v>7456</v>
      </c>
      <c r="L4698" s="119"/>
      <c r="M4698" s="3"/>
    </row>
    <row r="4699" spans="1:13" s="4" customFormat="1" ht="14.25" customHeight="1" x14ac:dyDescent="0.25">
      <c r="A4699" s="4" t="s">
        <v>7770</v>
      </c>
      <c r="B4699" s="4" t="s">
        <v>183</v>
      </c>
      <c r="C4699" s="4" t="s">
        <v>14</v>
      </c>
      <c r="D4699" s="35">
        <v>8547</v>
      </c>
      <c r="E4699" s="4" t="s">
        <v>7771</v>
      </c>
      <c r="F4699" s="5">
        <v>40663</v>
      </c>
      <c r="G4699" s="5">
        <v>40908</v>
      </c>
      <c r="H4699" s="4" t="s">
        <v>40</v>
      </c>
      <c r="I4699" s="6">
        <v>20000</v>
      </c>
      <c r="J4699" s="6">
        <v>20000</v>
      </c>
      <c r="K4699" s="37" t="s">
        <v>7456</v>
      </c>
      <c r="L4699" s="119"/>
      <c r="M4699" s="3"/>
    </row>
    <row r="4700" spans="1:13" s="4" customFormat="1" ht="14.25" customHeight="1" x14ac:dyDescent="0.25">
      <c r="A4700" s="4" t="s">
        <v>7772</v>
      </c>
      <c r="B4700" s="4" t="s">
        <v>190</v>
      </c>
      <c r="C4700" s="4" t="s">
        <v>14</v>
      </c>
      <c r="D4700" s="35">
        <v>8548</v>
      </c>
      <c r="E4700" s="4" t="s">
        <v>7773</v>
      </c>
      <c r="F4700" s="5">
        <v>40547</v>
      </c>
      <c r="G4700" s="5">
        <v>40908</v>
      </c>
      <c r="H4700" s="4" t="s">
        <v>40</v>
      </c>
      <c r="I4700" s="6">
        <v>8000</v>
      </c>
      <c r="J4700" s="6">
        <v>8000</v>
      </c>
      <c r="K4700" s="37" t="s">
        <v>7456</v>
      </c>
      <c r="L4700" s="119"/>
      <c r="M4700" s="3"/>
    </row>
    <row r="4701" spans="1:13" s="4" customFormat="1" ht="14.25" customHeight="1" x14ac:dyDescent="0.25">
      <c r="A4701" s="4" t="s">
        <v>7774</v>
      </c>
      <c r="B4701" s="4" t="s">
        <v>90</v>
      </c>
      <c r="C4701" s="4" t="s">
        <v>14</v>
      </c>
      <c r="D4701" s="35">
        <v>8580</v>
      </c>
      <c r="E4701" s="4" t="s">
        <v>7775</v>
      </c>
      <c r="F4701" s="5">
        <v>40897</v>
      </c>
      <c r="G4701" s="5">
        <v>40908</v>
      </c>
      <c r="H4701" s="4" t="s">
        <v>40</v>
      </c>
      <c r="I4701" s="6">
        <v>30000</v>
      </c>
      <c r="J4701" s="6">
        <v>10000</v>
      </c>
      <c r="K4701" s="37" t="s">
        <v>7456</v>
      </c>
      <c r="L4701" s="119"/>
      <c r="M4701" s="3"/>
    </row>
    <row r="4702" spans="1:13" s="4" customFormat="1" ht="14.25" customHeight="1" x14ac:dyDescent="0.25">
      <c r="A4702" s="4" t="s">
        <v>7776</v>
      </c>
      <c r="B4702" s="4" t="s">
        <v>183</v>
      </c>
      <c r="C4702" s="4" t="s">
        <v>14</v>
      </c>
      <c r="D4702" s="35">
        <v>8584</v>
      </c>
      <c r="E4702" s="4" t="s">
        <v>7777</v>
      </c>
      <c r="F4702" s="5">
        <v>40884</v>
      </c>
      <c r="G4702" s="5">
        <v>40908</v>
      </c>
      <c r="H4702" s="4" t="s">
        <v>40</v>
      </c>
      <c r="I4702" s="6">
        <v>4000</v>
      </c>
      <c r="J4702" s="6">
        <v>4000</v>
      </c>
      <c r="K4702" s="37" t="s">
        <v>7456</v>
      </c>
      <c r="L4702" s="119"/>
      <c r="M4702" s="3"/>
    </row>
    <row r="4703" spans="1:13" s="4" customFormat="1" ht="14.25" customHeight="1" x14ac:dyDescent="0.25">
      <c r="A4703" s="4" t="s">
        <v>7778</v>
      </c>
      <c r="B4703" s="4" t="s">
        <v>183</v>
      </c>
      <c r="C4703" s="4" t="s">
        <v>14</v>
      </c>
      <c r="D4703" s="35">
        <v>8588</v>
      </c>
      <c r="E4703" s="4" t="s">
        <v>7779</v>
      </c>
      <c r="F4703" s="5">
        <v>40688</v>
      </c>
      <c r="G4703" s="5">
        <v>40908</v>
      </c>
      <c r="H4703" s="4" t="s">
        <v>40</v>
      </c>
      <c r="I4703" s="6">
        <v>3750</v>
      </c>
      <c r="J4703" s="6">
        <v>3750</v>
      </c>
      <c r="K4703" s="37" t="s">
        <v>7456</v>
      </c>
      <c r="L4703" s="119"/>
      <c r="M4703" s="3"/>
    </row>
    <row r="4704" spans="1:13" s="4" customFormat="1" ht="14.25" customHeight="1" x14ac:dyDescent="0.25">
      <c r="A4704" s="4" t="s">
        <v>7780</v>
      </c>
      <c r="B4704" s="4" t="s">
        <v>183</v>
      </c>
      <c r="C4704" s="4" t="s">
        <v>14</v>
      </c>
      <c r="D4704" s="35">
        <v>8592</v>
      </c>
      <c r="E4704" s="4" t="s">
        <v>7781</v>
      </c>
      <c r="F4704" s="5">
        <v>40544</v>
      </c>
      <c r="G4704" s="5">
        <v>40908</v>
      </c>
      <c r="H4704" s="4" t="s">
        <v>40</v>
      </c>
      <c r="I4704" s="6">
        <v>6000</v>
      </c>
      <c r="J4704" s="6">
        <v>6000</v>
      </c>
      <c r="K4704" s="37" t="s">
        <v>7456</v>
      </c>
      <c r="L4704" s="119"/>
      <c r="M4704" s="3"/>
    </row>
    <row r="4705" spans="1:13" s="4" customFormat="1" ht="14.25" customHeight="1" x14ac:dyDescent="0.25">
      <c r="A4705" s="4" t="s">
        <v>7782</v>
      </c>
      <c r="B4705" s="4" t="s">
        <v>183</v>
      </c>
      <c r="C4705" s="4" t="s">
        <v>14</v>
      </c>
      <c r="D4705" s="35">
        <v>8595</v>
      </c>
      <c r="E4705" s="4" t="s">
        <v>7783</v>
      </c>
      <c r="F4705" s="5">
        <v>40784</v>
      </c>
      <c r="G4705" s="5">
        <v>40908</v>
      </c>
      <c r="H4705" s="4" t="s">
        <v>40</v>
      </c>
      <c r="I4705" s="6">
        <v>13000</v>
      </c>
      <c r="J4705" s="6">
        <v>13000</v>
      </c>
      <c r="K4705" s="37" t="s">
        <v>7456</v>
      </c>
      <c r="L4705" s="119"/>
      <c r="M4705" s="3"/>
    </row>
    <row r="4706" spans="1:13" s="4" customFormat="1" ht="14.25" customHeight="1" x14ac:dyDescent="0.25">
      <c r="A4706" s="4" t="s">
        <v>7690</v>
      </c>
      <c r="B4706" s="4" t="s">
        <v>183</v>
      </c>
      <c r="C4706" s="4" t="s">
        <v>14</v>
      </c>
      <c r="D4706" s="35">
        <v>8596</v>
      </c>
      <c r="E4706" s="4" t="s">
        <v>7784</v>
      </c>
      <c r="F4706" s="5">
        <v>40261</v>
      </c>
      <c r="G4706" s="5">
        <v>40908</v>
      </c>
      <c r="H4706" s="4" t="s">
        <v>40</v>
      </c>
      <c r="I4706" s="6">
        <v>3750</v>
      </c>
      <c r="J4706" s="6">
        <v>3750</v>
      </c>
      <c r="K4706" s="37" t="s">
        <v>7456</v>
      </c>
      <c r="L4706" s="119"/>
      <c r="M4706" s="3"/>
    </row>
    <row r="4707" spans="1:13" s="4" customFormat="1" ht="14.25" customHeight="1" x14ac:dyDescent="0.25">
      <c r="A4707" s="4" t="s">
        <v>7787</v>
      </c>
      <c r="B4707" s="4" t="s">
        <v>183</v>
      </c>
      <c r="C4707" s="4" t="s">
        <v>14</v>
      </c>
      <c r="D4707" s="35">
        <v>8598</v>
      </c>
      <c r="E4707" s="4" t="s">
        <v>7788</v>
      </c>
      <c r="F4707" s="5">
        <v>40822</v>
      </c>
      <c r="G4707" s="5">
        <v>40908</v>
      </c>
      <c r="H4707" s="4" t="s">
        <v>40</v>
      </c>
      <c r="I4707" s="6">
        <v>13616.5</v>
      </c>
      <c r="J4707" s="6">
        <v>9308.25</v>
      </c>
      <c r="K4707" s="37" t="s">
        <v>7456</v>
      </c>
      <c r="L4707" s="119"/>
      <c r="M4707" s="3"/>
    </row>
    <row r="4708" spans="1:13" s="4" customFormat="1" ht="14.25" customHeight="1" x14ac:dyDescent="0.25">
      <c r="A4708" s="4" t="s">
        <v>7789</v>
      </c>
      <c r="B4708" s="4" t="s">
        <v>183</v>
      </c>
      <c r="C4708" s="4" t="s">
        <v>14</v>
      </c>
      <c r="D4708" s="35">
        <v>8599</v>
      </c>
      <c r="E4708" s="4" t="s">
        <v>7790</v>
      </c>
      <c r="F4708" s="5">
        <v>40486</v>
      </c>
      <c r="G4708" s="5">
        <v>40908</v>
      </c>
      <c r="H4708" s="4" t="s">
        <v>40</v>
      </c>
      <c r="I4708" s="6">
        <v>5000</v>
      </c>
      <c r="J4708" s="6">
        <v>5000</v>
      </c>
      <c r="K4708" s="37" t="s">
        <v>7456</v>
      </c>
      <c r="L4708" s="119"/>
      <c r="M4708" s="3"/>
    </row>
    <row r="4709" spans="1:13" s="4" customFormat="1" ht="14.25" customHeight="1" x14ac:dyDescent="0.25">
      <c r="A4709" s="4" t="s">
        <v>7791</v>
      </c>
      <c r="B4709" s="4" t="s">
        <v>190</v>
      </c>
      <c r="C4709" s="4" t="s">
        <v>14</v>
      </c>
      <c r="D4709" s="35">
        <v>8600</v>
      </c>
      <c r="E4709" s="4" t="s">
        <v>7792</v>
      </c>
      <c r="F4709" s="5">
        <v>40745</v>
      </c>
      <c r="G4709" s="5">
        <v>40908</v>
      </c>
      <c r="H4709" s="4" t="s">
        <v>40</v>
      </c>
      <c r="I4709" s="6">
        <v>6000</v>
      </c>
      <c r="J4709" s="6">
        <v>6000</v>
      </c>
      <c r="K4709" s="37" t="s">
        <v>7456</v>
      </c>
      <c r="L4709" s="119"/>
      <c r="M4709" s="3"/>
    </row>
    <row r="4710" spans="1:13" s="4" customFormat="1" ht="14.25" customHeight="1" x14ac:dyDescent="0.25">
      <c r="A4710" s="4" t="s">
        <v>7793</v>
      </c>
      <c r="B4710" s="4" t="s">
        <v>183</v>
      </c>
      <c r="C4710" s="4" t="s">
        <v>14</v>
      </c>
      <c r="D4710" s="35">
        <v>8601</v>
      </c>
      <c r="E4710" s="4" t="s">
        <v>7794</v>
      </c>
      <c r="F4710" s="5">
        <v>40570</v>
      </c>
      <c r="G4710" s="5">
        <v>40908</v>
      </c>
      <c r="H4710" s="4" t="s">
        <v>40</v>
      </c>
      <c r="I4710" s="6">
        <v>8000</v>
      </c>
      <c r="J4710" s="6">
        <v>8000</v>
      </c>
      <c r="K4710" s="37" t="s">
        <v>7456</v>
      </c>
      <c r="L4710" s="119"/>
      <c r="M4710" s="3"/>
    </row>
    <row r="4711" spans="1:13" s="4" customFormat="1" ht="14.25" customHeight="1" x14ac:dyDescent="0.25">
      <c r="A4711" s="4" t="s">
        <v>7795</v>
      </c>
      <c r="B4711" s="4" t="s">
        <v>38</v>
      </c>
      <c r="C4711" s="4" t="s">
        <v>14</v>
      </c>
      <c r="D4711" s="35">
        <v>8602</v>
      </c>
      <c r="E4711" s="4" t="s">
        <v>7733</v>
      </c>
      <c r="F4711" s="5">
        <v>40572</v>
      </c>
      <c r="G4711" s="5">
        <v>40908</v>
      </c>
      <c r="H4711" s="4" t="s">
        <v>40</v>
      </c>
      <c r="I4711" s="6">
        <v>52991.83</v>
      </c>
      <c r="J4711" s="6">
        <v>52991.83</v>
      </c>
      <c r="K4711" s="37" t="s">
        <v>7456</v>
      </c>
      <c r="L4711" s="119"/>
      <c r="M4711" s="3"/>
    </row>
    <row r="4712" spans="1:13" s="4" customFormat="1" ht="14.25" customHeight="1" x14ac:dyDescent="0.25">
      <c r="A4712" s="4" t="s">
        <v>7796</v>
      </c>
      <c r="B4712" s="4" t="s">
        <v>38</v>
      </c>
      <c r="C4712" s="4" t="s">
        <v>14</v>
      </c>
      <c r="D4712" s="35">
        <v>8603</v>
      </c>
      <c r="E4712" s="4" t="s">
        <v>7644</v>
      </c>
      <c r="F4712" s="5">
        <v>40572</v>
      </c>
      <c r="G4712" s="5">
        <v>40896</v>
      </c>
      <c r="H4712" s="4" t="s">
        <v>40</v>
      </c>
      <c r="I4712" s="6">
        <v>39791.07</v>
      </c>
      <c r="J4712" s="6">
        <v>39791.07</v>
      </c>
      <c r="K4712" s="37" t="s">
        <v>7456</v>
      </c>
      <c r="L4712" s="119"/>
      <c r="M4712" s="3"/>
    </row>
    <row r="4713" spans="1:13" s="4" customFormat="1" ht="14.25" customHeight="1" x14ac:dyDescent="0.25">
      <c r="A4713" s="4" t="s">
        <v>7797</v>
      </c>
      <c r="B4713" s="4" t="s">
        <v>38</v>
      </c>
      <c r="C4713" s="4" t="s">
        <v>14</v>
      </c>
      <c r="D4713" s="35">
        <v>8604</v>
      </c>
      <c r="E4713" s="4" t="s">
        <v>7648</v>
      </c>
      <c r="F4713" s="5">
        <v>40572</v>
      </c>
      <c r="G4713" s="5">
        <v>40908</v>
      </c>
      <c r="H4713" s="4" t="s">
        <v>40</v>
      </c>
      <c r="I4713" s="6">
        <v>720</v>
      </c>
      <c r="J4713" s="6">
        <v>720</v>
      </c>
      <c r="K4713" s="37" t="s">
        <v>7456</v>
      </c>
      <c r="L4713" s="119"/>
      <c r="M4713" s="3"/>
    </row>
    <row r="4714" spans="1:13" s="4" customFormat="1" ht="14.25" customHeight="1" x14ac:dyDescent="0.25">
      <c r="A4714" s="4" t="s">
        <v>7798</v>
      </c>
      <c r="B4714" s="4" t="s">
        <v>38</v>
      </c>
      <c r="C4714" s="4" t="s">
        <v>14</v>
      </c>
      <c r="D4714" s="35">
        <v>8605</v>
      </c>
      <c r="E4714" s="4" t="s">
        <v>7799</v>
      </c>
      <c r="F4714" s="5">
        <v>40605</v>
      </c>
      <c r="G4714" s="5">
        <v>40893</v>
      </c>
      <c r="H4714" s="4" t="s">
        <v>40</v>
      </c>
      <c r="I4714" s="6">
        <v>7658.79</v>
      </c>
      <c r="J4714" s="6">
        <v>7658.79</v>
      </c>
      <c r="K4714" s="37" t="s">
        <v>7456</v>
      </c>
      <c r="L4714" s="119"/>
      <c r="M4714" s="3"/>
    </row>
    <row r="4715" spans="1:13" s="4" customFormat="1" ht="14.25" customHeight="1" x14ac:dyDescent="0.25">
      <c r="A4715" s="4" t="s">
        <v>7800</v>
      </c>
      <c r="B4715" s="4" t="s">
        <v>38</v>
      </c>
      <c r="C4715" s="4" t="s">
        <v>14</v>
      </c>
      <c r="D4715" s="35">
        <v>8606</v>
      </c>
      <c r="E4715" s="4" t="s">
        <v>7801</v>
      </c>
      <c r="F4715" s="5">
        <v>40695</v>
      </c>
      <c r="G4715" s="5">
        <v>40705</v>
      </c>
      <c r="H4715" s="4" t="s">
        <v>40</v>
      </c>
      <c r="I4715" s="6">
        <v>5445.63</v>
      </c>
      <c r="J4715" s="6">
        <v>5445.63</v>
      </c>
      <c r="K4715" s="37" t="s">
        <v>7456</v>
      </c>
      <c r="L4715" s="119"/>
      <c r="M4715" s="3"/>
    </row>
    <row r="4716" spans="1:13" s="4" customFormat="1" ht="14.25" customHeight="1" x14ac:dyDescent="0.25">
      <c r="A4716" s="4" t="s">
        <v>7802</v>
      </c>
      <c r="B4716" s="4" t="s">
        <v>38</v>
      </c>
      <c r="C4716" s="4" t="s">
        <v>14</v>
      </c>
      <c r="D4716" s="35">
        <v>8607</v>
      </c>
      <c r="E4716" s="4" t="s">
        <v>7803</v>
      </c>
      <c r="F4716" s="5">
        <v>40817</v>
      </c>
      <c r="G4716" s="5">
        <v>40849</v>
      </c>
      <c r="H4716" s="4" t="s">
        <v>40</v>
      </c>
      <c r="I4716" s="6">
        <v>5673.39</v>
      </c>
      <c r="J4716" s="6">
        <v>5673.39</v>
      </c>
      <c r="K4716" s="37" t="s">
        <v>7456</v>
      </c>
      <c r="L4716" s="119"/>
      <c r="M4716" s="3"/>
    </row>
    <row r="4717" spans="1:13" s="4" customFormat="1" ht="14.25" customHeight="1" x14ac:dyDescent="0.25">
      <c r="A4717" s="4" t="s">
        <v>7804</v>
      </c>
      <c r="B4717" s="4" t="s">
        <v>38</v>
      </c>
      <c r="C4717" s="4" t="s">
        <v>14</v>
      </c>
      <c r="D4717" s="35">
        <v>8608</v>
      </c>
      <c r="E4717" s="4" t="s">
        <v>7805</v>
      </c>
      <c r="F4717" s="5">
        <v>40575</v>
      </c>
      <c r="G4717" s="5">
        <v>40830</v>
      </c>
      <c r="H4717" s="4" t="s">
        <v>40</v>
      </c>
      <c r="I4717" s="6">
        <v>5400</v>
      </c>
      <c r="J4717" s="6">
        <v>5400</v>
      </c>
      <c r="K4717" s="37" t="s">
        <v>7456</v>
      </c>
      <c r="L4717" s="119"/>
      <c r="M4717" s="3"/>
    </row>
    <row r="4718" spans="1:13" s="4" customFormat="1" ht="14.25" customHeight="1" x14ac:dyDescent="0.25">
      <c r="A4718" s="4" t="s">
        <v>7806</v>
      </c>
      <c r="B4718" s="4" t="s">
        <v>38</v>
      </c>
      <c r="C4718" s="4" t="s">
        <v>14</v>
      </c>
      <c r="D4718" s="35">
        <v>8609</v>
      </c>
      <c r="E4718" s="4" t="s">
        <v>7807</v>
      </c>
      <c r="F4718" s="5">
        <v>40595</v>
      </c>
      <c r="G4718" s="5">
        <v>40596</v>
      </c>
      <c r="H4718" s="4" t="s">
        <v>40</v>
      </c>
      <c r="I4718" s="6">
        <v>350</v>
      </c>
      <c r="J4718" s="6">
        <v>350</v>
      </c>
      <c r="K4718" s="37" t="s">
        <v>7456</v>
      </c>
      <c r="L4718" s="119"/>
      <c r="M4718" s="3"/>
    </row>
    <row r="4719" spans="1:13" s="4" customFormat="1" ht="14.25" customHeight="1" x14ac:dyDescent="0.25">
      <c r="A4719" s="4" t="s">
        <v>7808</v>
      </c>
      <c r="B4719" s="4" t="s">
        <v>38</v>
      </c>
      <c r="C4719" s="4" t="s">
        <v>14</v>
      </c>
      <c r="D4719" s="35">
        <v>8647</v>
      </c>
      <c r="E4719" s="4" t="s">
        <v>7809</v>
      </c>
      <c r="F4719" s="5">
        <v>40787</v>
      </c>
      <c r="G4719" s="5">
        <v>40908</v>
      </c>
      <c r="H4719" s="4" t="s">
        <v>40</v>
      </c>
      <c r="I4719" s="6">
        <v>7840.8</v>
      </c>
      <c r="J4719" s="6">
        <v>7840.8</v>
      </c>
      <c r="K4719" s="37" t="s">
        <v>7456</v>
      </c>
      <c r="L4719" s="119"/>
      <c r="M4719" s="3"/>
    </row>
    <row r="4720" spans="1:13" s="4" customFormat="1" ht="14.25" customHeight="1" x14ac:dyDescent="0.25">
      <c r="A4720" s="4" t="s">
        <v>7810</v>
      </c>
      <c r="B4720" s="4" t="s">
        <v>38</v>
      </c>
      <c r="C4720" s="4" t="s">
        <v>14</v>
      </c>
      <c r="D4720" s="35">
        <v>8648</v>
      </c>
      <c r="E4720" s="4" t="s">
        <v>7811</v>
      </c>
      <c r="F4720" s="5">
        <v>40638</v>
      </c>
      <c r="G4720" s="5">
        <v>40663</v>
      </c>
      <c r="H4720" s="4" t="s">
        <v>40</v>
      </c>
      <c r="I4720" s="6">
        <v>366.7</v>
      </c>
      <c r="J4720" s="6">
        <v>366.7</v>
      </c>
      <c r="K4720" s="37" t="s">
        <v>7456</v>
      </c>
      <c r="L4720" s="119"/>
      <c r="M4720" s="3"/>
    </row>
    <row r="4721" spans="1:13" s="4" customFormat="1" ht="14.25" customHeight="1" x14ac:dyDescent="0.25">
      <c r="A4721" s="4" t="s">
        <v>7812</v>
      </c>
      <c r="B4721" s="4" t="s">
        <v>38</v>
      </c>
      <c r="C4721" s="4" t="s">
        <v>14</v>
      </c>
      <c r="D4721" s="35">
        <v>8649</v>
      </c>
      <c r="E4721" s="4" t="s">
        <v>7813</v>
      </c>
      <c r="F4721" s="5">
        <v>40573</v>
      </c>
      <c r="G4721" s="5">
        <v>40690</v>
      </c>
      <c r="H4721" s="4" t="s">
        <v>40</v>
      </c>
      <c r="I4721" s="6">
        <v>1300</v>
      </c>
      <c r="J4721" s="6">
        <v>1300</v>
      </c>
      <c r="K4721" s="37" t="s">
        <v>7456</v>
      </c>
      <c r="L4721" s="119"/>
      <c r="M4721" s="3"/>
    </row>
    <row r="4722" spans="1:13" s="4" customFormat="1" ht="14.25" customHeight="1" x14ac:dyDescent="0.25">
      <c r="A4722" s="4" t="s">
        <v>7744</v>
      </c>
      <c r="B4722" s="4" t="s">
        <v>38</v>
      </c>
      <c r="C4722" s="4" t="s">
        <v>14</v>
      </c>
      <c r="D4722" s="35">
        <v>8650</v>
      </c>
      <c r="E4722" s="4" t="s">
        <v>7814</v>
      </c>
      <c r="F4722" s="5">
        <v>40787</v>
      </c>
      <c r="G4722" s="5">
        <v>40847</v>
      </c>
      <c r="H4722" s="4" t="s">
        <v>40</v>
      </c>
      <c r="I4722" s="6">
        <v>9150</v>
      </c>
      <c r="J4722" s="6">
        <v>9150</v>
      </c>
      <c r="K4722" s="37" t="s">
        <v>7456</v>
      </c>
      <c r="L4722" s="119"/>
      <c r="M4722" s="3"/>
    </row>
    <row r="4723" spans="1:13" s="4" customFormat="1" ht="14.25" customHeight="1" x14ac:dyDescent="0.25">
      <c r="A4723" s="4" t="s">
        <v>7815</v>
      </c>
      <c r="B4723" s="4" t="s">
        <v>38</v>
      </c>
      <c r="C4723" s="4" t="s">
        <v>14</v>
      </c>
      <c r="D4723" s="35">
        <v>8651</v>
      </c>
      <c r="E4723" s="4" t="s">
        <v>7816</v>
      </c>
      <c r="F4723" s="5">
        <v>40568</v>
      </c>
      <c r="G4723" s="5">
        <v>40576</v>
      </c>
      <c r="H4723" s="4" t="s">
        <v>40</v>
      </c>
      <c r="I4723" s="6">
        <v>2637.4</v>
      </c>
      <c r="J4723" s="6">
        <v>2637.4</v>
      </c>
      <c r="K4723" s="37" t="s">
        <v>7456</v>
      </c>
      <c r="L4723" s="119"/>
      <c r="M4723" s="3"/>
    </row>
    <row r="4724" spans="1:13" s="4" customFormat="1" ht="14.25" customHeight="1" x14ac:dyDescent="0.25">
      <c r="A4724" s="4" t="s">
        <v>7817</v>
      </c>
      <c r="B4724" s="4" t="s">
        <v>38</v>
      </c>
      <c r="C4724" s="4" t="s">
        <v>14</v>
      </c>
      <c r="D4724" s="35">
        <v>8653</v>
      </c>
      <c r="E4724" s="4" t="s">
        <v>7818</v>
      </c>
      <c r="F4724" s="5">
        <v>40568</v>
      </c>
      <c r="G4724" s="5">
        <v>40890</v>
      </c>
      <c r="H4724" s="4" t="s">
        <v>40</v>
      </c>
      <c r="I4724" s="6">
        <v>19504.55</v>
      </c>
      <c r="J4724" s="6">
        <v>19504.55</v>
      </c>
      <c r="K4724" s="37" t="s">
        <v>7456</v>
      </c>
      <c r="L4724" s="119"/>
      <c r="M4724" s="3"/>
    </row>
    <row r="4725" spans="1:13" s="4" customFormat="1" ht="14.25" customHeight="1" x14ac:dyDescent="0.25">
      <c r="A4725" s="4" t="s">
        <v>7819</v>
      </c>
      <c r="B4725" s="4" t="s">
        <v>13</v>
      </c>
      <c r="C4725" s="4" t="s">
        <v>14</v>
      </c>
      <c r="D4725" s="35">
        <v>8654</v>
      </c>
      <c r="E4725" s="4" t="s">
        <v>7751</v>
      </c>
      <c r="F4725" s="5">
        <v>40605</v>
      </c>
      <c r="G4725" s="5">
        <v>40896</v>
      </c>
      <c r="H4725" s="4" t="s">
        <v>40</v>
      </c>
      <c r="I4725" s="6">
        <v>13626.14</v>
      </c>
      <c r="J4725" s="6">
        <v>13626.14</v>
      </c>
      <c r="K4725" s="37" t="s">
        <v>7456</v>
      </c>
      <c r="L4725" s="119"/>
      <c r="M4725" s="3"/>
    </row>
    <row r="4726" spans="1:13" s="4" customFormat="1" ht="14.25" customHeight="1" x14ac:dyDescent="0.25">
      <c r="A4726" s="4" t="s">
        <v>7820</v>
      </c>
      <c r="B4726" s="4" t="s">
        <v>38</v>
      </c>
      <c r="C4726" s="4" t="s">
        <v>14</v>
      </c>
      <c r="D4726" s="35">
        <v>8656</v>
      </c>
      <c r="E4726" s="4" t="s">
        <v>7821</v>
      </c>
      <c r="F4726" s="5">
        <v>40796</v>
      </c>
      <c r="G4726" s="5">
        <v>40858</v>
      </c>
      <c r="H4726" s="4" t="s">
        <v>40</v>
      </c>
      <c r="I4726" s="6">
        <v>484</v>
      </c>
      <c r="J4726" s="6">
        <v>484</v>
      </c>
      <c r="K4726" s="37" t="s">
        <v>7456</v>
      </c>
      <c r="L4726" s="119"/>
      <c r="M4726" s="3"/>
    </row>
    <row r="4727" spans="1:13" s="4" customFormat="1" ht="14.25" customHeight="1" x14ac:dyDescent="0.25">
      <c r="A4727" s="4" t="s">
        <v>7822</v>
      </c>
      <c r="B4727" s="4" t="s">
        <v>38</v>
      </c>
      <c r="C4727" s="4" t="s">
        <v>14</v>
      </c>
      <c r="D4727" s="35">
        <v>8659</v>
      </c>
      <c r="E4727" s="7" t="s">
        <v>7677</v>
      </c>
      <c r="F4727" s="5">
        <v>40568</v>
      </c>
      <c r="G4727" s="5">
        <v>40574</v>
      </c>
      <c r="H4727" s="4" t="s">
        <v>40</v>
      </c>
      <c r="I4727" s="6">
        <v>98546</v>
      </c>
      <c r="J4727" s="6">
        <v>98546</v>
      </c>
      <c r="K4727" s="37" t="s">
        <v>7456</v>
      </c>
      <c r="L4727" s="119"/>
      <c r="M4727" s="3"/>
    </row>
    <row r="4728" spans="1:13" s="4" customFormat="1" ht="14.25" customHeight="1" x14ac:dyDescent="0.25">
      <c r="A4728" s="4" t="s">
        <v>7823</v>
      </c>
      <c r="B4728" s="4" t="s">
        <v>38</v>
      </c>
      <c r="C4728" s="4" t="s">
        <v>14</v>
      </c>
      <c r="D4728" s="35">
        <v>8660</v>
      </c>
      <c r="E4728" s="4" t="s">
        <v>7824</v>
      </c>
      <c r="F4728" s="5">
        <v>40568</v>
      </c>
      <c r="G4728" s="5">
        <v>40602</v>
      </c>
      <c r="H4728" s="4" t="s">
        <v>40</v>
      </c>
      <c r="I4728" s="6">
        <v>443.03</v>
      </c>
      <c r="J4728" s="6">
        <v>443.03</v>
      </c>
      <c r="K4728" s="37" t="s">
        <v>7456</v>
      </c>
      <c r="L4728" s="119"/>
      <c r="M4728" s="3"/>
    </row>
    <row r="4729" spans="1:13" s="4" customFormat="1" ht="14.25" customHeight="1" x14ac:dyDescent="0.25">
      <c r="A4729" s="4" t="s">
        <v>7825</v>
      </c>
      <c r="B4729" s="4" t="s">
        <v>183</v>
      </c>
      <c r="C4729" s="4" t="s">
        <v>14</v>
      </c>
      <c r="D4729" s="35">
        <v>8712</v>
      </c>
      <c r="E4729" s="4" t="s">
        <v>7826</v>
      </c>
      <c r="F4729" s="5">
        <v>40688</v>
      </c>
      <c r="G4729" s="5">
        <v>40908</v>
      </c>
      <c r="H4729" s="4" t="s">
        <v>40</v>
      </c>
      <c r="I4729" s="6">
        <v>4000</v>
      </c>
      <c r="J4729" s="6">
        <v>4000</v>
      </c>
      <c r="K4729" s="37" t="s">
        <v>7456</v>
      </c>
      <c r="L4729" s="119"/>
      <c r="M4729" s="3"/>
    </row>
    <row r="4730" spans="1:13" s="4" customFormat="1" ht="14.25" customHeight="1" x14ac:dyDescent="0.25">
      <c r="A4730" s="4" t="s">
        <v>7827</v>
      </c>
      <c r="B4730" s="4" t="s">
        <v>183</v>
      </c>
      <c r="C4730" s="4" t="s">
        <v>14</v>
      </c>
      <c r="D4730" s="35">
        <v>10456</v>
      </c>
      <c r="E4730" s="4" t="s">
        <v>7828</v>
      </c>
      <c r="F4730" s="5">
        <v>40912</v>
      </c>
      <c r="G4730" s="5">
        <v>41274</v>
      </c>
      <c r="H4730" s="4" t="s">
        <v>40</v>
      </c>
      <c r="I4730" s="6">
        <v>14601.74</v>
      </c>
      <c r="J4730" s="6">
        <v>11300.87</v>
      </c>
      <c r="K4730" s="37" t="s">
        <v>7456</v>
      </c>
      <c r="L4730" s="119"/>
      <c r="M4730" s="3"/>
    </row>
    <row r="4731" spans="1:13" s="4" customFormat="1" ht="14.25" customHeight="1" x14ac:dyDescent="0.25">
      <c r="A4731" s="4" t="s">
        <v>7829</v>
      </c>
      <c r="B4731" s="4" t="s">
        <v>183</v>
      </c>
      <c r="C4731" s="4" t="s">
        <v>14</v>
      </c>
      <c r="D4731" s="35">
        <v>10457</v>
      </c>
      <c r="E4731" s="4" t="s">
        <v>7830</v>
      </c>
      <c r="F4731" s="5">
        <v>40912</v>
      </c>
      <c r="G4731" s="5">
        <v>41274</v>
      </c>
      <c r="H4731" s="4" t="s">
        <v>40</v>
      </c>
      <c r="I4731" s="6">
        <v>6000</v>
      </c>
      <c r="J4731" s="6">
        <v>6000</v>
      </c>
      <c r="K4731" s="37" t="s">
        <v>7456</v>
      </c>
      <c r="L4731" s="119"/>
      <c r="M4731" s="3"/>
    </row>
    <row r="4732" spans="1:13" s="4" customFormat="1" ht="14.25" customHeight="1" x14ac:dyDescent="0.25">
      <c r="A4732" s="4" t="s">
        <v>7831</v>
      </c>
      <c r="B4732" s="4" t="s">
        <v>183</v>
      </c>
      <c r="C4732" s="4" t="s">
        <v>14</v>
      </c>
      <c r="D4732" s="35">
        <v>10458</v>
      </c>
      <c r="E4732" s="4" t="s">
        <v>7832</v>
      </c>
      <c r="F4732" s="5">
        <v>40942</v>
      </c>
      <c r="G4732" s="5">
        <v>41274</v>
      </c>
      <c r="H4732" s="4" t="s">
        <v>40</v>
      </c>
      <c r="I4732" s="6">
        <v>31250</v>
      </c>
      <c r="J4732" s="6">
        <v>21250</v>
      </c>
      <c r="K4732" s="37" t="s">
        <v>7456</v>
      </c>
      <c r="L4732" s="119"/>
      <c r="M4732" s="3"/>
    </row>
    <row r="4733" spans="1:13" s="4" customFormat="1" ht="14.25" customHeight="1" x14ac:dyDescent="0.25">
      <c r="A4733" s="4" t="s">
        <v>7833</v>
      </c>
      <c r="B4733" s="4" t="s">
        <v>183</v>
      </c>
      <c r="C4733" s="4" t="s">
        <v>14</v>
      </c>
      <c r="D4733" s="35">
        <v>10459</v>
      </c>
      <c r="E4733" s="4" t="s">
        <v>7834</v>
      </c>
      <c r="F4733" s="5">
        <v>40942</v>
      </c>
      <c r="G4733" s="5">
        <v>41274</v>
      </c>
      <c r="H4733" s="4" t="s">
        <v>40</v>
      </c>
      <c r="I4733" s="6">
        <v>6000</v>
      </c>
      <c r="J4733" s="6">
        <v>6000</v>
      </c>
      <c r="K4733" s="37" t="s">
        <v>7456</v>
      </c>
      <c r="L4733" s="119"/>
      <c r="M4733" s="3"/>
    </row>
    <row r="4734" spans="1:13" s="4" customFormat="1" ht="14.25" customHeight="1" x14ac:dyDescent="0.25">
      <c r="A4734" s="4" t="s">
        <v>7835</v>
      </c>
      <c r="B4734" s="4" t="s">
        <v>183</v>
      </c>
      <c r="C4734" s="4" t="s">
        <v>14</v>
      </c>
      <c r="D4734" s="35">
        <v>10460</v>
      </c>
      <c r="E4734" s="4" t="s">
        <v>7836</v>
      </c>
      <c r="F4734" s="5">
        <v>40946</v>
      </c>
      <c r="G4734" s="5">
        <v>41274</v>
      </c>
      <c r="H4734" s="4" t="s">
        <v>40</v>
      </c>
      <c r="I4734" s="6">
        <v>16000</v>
      </c>
      <c r="J4734" s="6">
        <v>16000</v>
      </c>
      <c r="K4734" s="37" t="s">
        <v>7456</v>
      </c>
      <c r="L4734" s="119"/>
      <c r="M4734" s="3"/>
    </row>
    <row r="4735" spans="1:13" s="4" customFormat="1" ht="14.25" customHeight="1" x14ac:dyDescent="0.25">
      <c r="A4735" s="4" t="s">
        <v>7837</v>
      </c>
      <c r="B4735" s="4" t="s">
        <v>183</v>
      </c>
      <c r="C4735" s="4" t="s">
        <v>14</v>
      </c>
      <c r="D4735" s="35">
        <v>10461</v>
      </c>
      <c r="E4735" s="4" t="s">
        <v>7838</v>
      </c>
      <c r="F4735" s="5">
        <v>40946</v>
      </c>
      <c r="G4735" s="5">
        <v>41274</v>
      </c>
      <c r="H4735" s="4" t="s">
        <v>40</v>
      </c>
      <c r="I4735" s="6">
        <v>5000</v>
      </c>
      <c r="J4735" s="6">
        <v>5000</v>
      </c>
      <c r="K4735" s="37" t="s">
        <v>7456</v>
      </c>
      <c r="L4735" s="119"/>
      <c r="M4735" s="3"/>
    </row>
    <row r="4736" spans="1:13" s="4" customFormat="1" ht="14.25" customHeight="1" x14ac:dyDescent="0.25">
      <c r="A4736" s="4" t="s">
        <v>7839</v>
      </c>
      <c r="B4736" s="4" t="s">
        <v>183</v>
      </c>
      <c r="C4736" s="4" t="s">
        <v>14</v>
      </c>
      <c r="D4736" s="35">
        <v>10462</v>
      </c>
      <c r="E4736" s="4" t="s">
        <v>7840</v>
      </c>
      <c r="F4736" s="5">
        <v>40961</v>
      </c>
      <c r="G4736" s="5">
        <v>41274</v>
      </c>
      <c r="H4736" s="4" t="s">
        <v>40</v>
      </c>
      <c r="I4736" s="6">
        <v>16000</v>
      </c>
      <c r="J4736" s="6">
        <v>16000</v>
      </c>
      <c r="K4736" s="37" t="s">
        <v>7456</v>
      </c>
      <c r="L4736" s="119"/>
      <c r="M4736" s="3"/>
    </row>
    <row r="4737" spans="1:13" s="4" customFormat="1" ht="14.25" customHeight="1" x14ac:dyDescent="0.25">
      <c r="A4737" s="4" t="s">
        <v>7841</v>
      </c>
      <c r="B4737" s="4" t="s">
        <v>183</v>
      </c>
      <c r="C4737" s="4" t="s">
        <v>14</v>
      </c>
      <c r="D4737" s="35">
        <v>10463</v>
      </c>
      <c r="E4737" s="4" t="s">
        <v>7842</v>
      </c>
      <c r="F4737" s="5">
        <v>40982</v>
      </c>
      <c r="G4737" s="5">
        <v>41274</v>
      </c>
      <c r="H4737" s="4" t="s">
        <v>40</v>
      </c>
      <c r="I4737" s="6">
        <v>8000</v>
      </c>
      <c r="J4737" s="6">
        <v>8000</v>
      </c>
      <c r="K4737" s="37" t="s">
        <v>7456</v>
      </c>
      <c r="L4737" s="119"/>
      <c r="M4737" s="3"/>
    </row>
    <row r="4738" spans="1:13" s="4" customFormat="1" ht="14.25" customHeight="1" x14ac:dyDescent="0.25">
      <c r="A4738" s="4" t="s">
        <v>7843</v>
      </c>
      <c r="B4738" s="4" t="s">
        <v>183</v>
      </c>
      <c r="C4738" s="4" t="s">
        <v>14</v>
      </c>
      <c r="D4738" s="35">
        <v>10464</v>
      </c>
      <c r="E4738" s="4" t="s">
        <v>7844</v>
      </c>
      <c r="F4738" s="5">
        <v>40962</v>
      </c>
      <c r="G4738" s="5">
        <v>41274</v>
      </c>
      <c r="H4738" s="4" t="s">
        <v>40</v>
      </c>
      <c r="I4738" s="6">
        <v>15306</v>
      </c>
      <c r="J4738" s="6">
        <v>8253</v>
      </c>
      <c r="K4738" s="37" t="s">
        <v>7456</v>
      </c>
      <c r="L4738" s="119"/>
      <c r="M4738" s="3"/>
    </row>
    <row r="4739" spans="1:13" s="4" customFormat="1" ht="14.25" customHeight="1" x14ac:dyDescent="0.25">
      <c r="A4739" s="4" t="s">
        <v>7847</v>
      </c>
      <c r="B4739" s="4" t="s">
        <v>90</v>
      </c>
      <c r="C4739" s="4" t="s">
        <v>14</v>
      </c>
      <c r="D4739" s="35">
        <v>10466</v>
      </c>
      <c r="E4739" s="4" t="s">
        <v>7848</v>
      </c>
      <c r="F4739" s="5">
        <v>40911</v>
      </c>
      <c r="G4739" s="5">
        <v>41274</v>
      </c>
      <c r="H4739" s="4" t="s">
        <v>40</v>
      </c>
      <c r="I4739" s="6">
        <v>4800</v>
      </c>
      <c r="J4739" s="6">
        <v>2400</v>
      </c>
      <c r="K4739" s="37" t="s">
        <v>7456</v>
      </c>
      <c r="L4739" s="119"/>
      <c r="M4739" s="3"/>
    </row>
    <row r="4740" spans="1:13" s="4" customFormat="1" ht="14.25" customHeight="1" x14ac:dyDescent="0.25">
      <c r="A4740" s="4" t="s">
        <v>7851</v>
      </c>
      <c r="B4740" s="4" t="s">
        <v>90</v>
      </c>
      <c r="C4740" s="4" t="s">
        <v>14</v>
      </c>
      <c r="D4740" s="35">
        <v>10468</v>
      </c>
      <c r="E4740" s="4" t="s">
        <v>7852</v>
      </c>
      <c r="F4740" s="5">
        <v>40911</v>
      </c>
      <c r="G4740" s="5">
        <v>41274</v>
      </c>
      <c r="H4740" s="4" t="s">
        <v>40</v>
      </c>
      <c r="I4740" s="6">
        <v>20000</v>
      </c>
      <c r="J4740" s="6">
        <v>10000</v>
      </c>
      <c r="K4740" s="37" t="s">
        <v>7456</v>
      </c>
      <c r="L4740" s="119"/>
      <c r="M4740" s="3"/>
    </row>
    <row r="4741" spans="1:13" s="4" customFormat="1" ht="14.25" customHeight="1" x14ac:dyDescent="0.25">
      <c r="A4741" s="4" t="s">
        <v>7853</v>
      </c>
      <c r="B4741" s="4" t="s">
        <v>183</v>
      </c>
      <c r="C4741" s="4" t="s">
        <v>14</v>
      </c>
      <c r="D4741" s="35">
        <v>10469</v>
      </c>
      <c r="E4741" s="4" t="s">
        <v>7854</v>
      </c>
      <c r="F4741" s="5">
        <v>41003</v>
      </c>
      <c r="G4741" s="5">
        <v>41274</v>
      </c>
      <c r="H4741" s="4" t="s">
        <v>40</v>
      </c>
      <c r="I4741" s="6">
        <v>12000</v>
      </c>
      <c r="J4741" s="6">
        <v>12000</v>
      </c>
      <c r="K4741" s="37" t="s">
        <v>7456</v>
      </c>
      <c r="L4741" s="119"/>
      <c r="M4741" s="3"/>
    </row>
    <row r="4742" spans="1:13" s="4" customFormat="1" ht="14.25" customHeight="1" x14ac:dyDescent="0.25">
      <c r="A4742" s="4" t="s">
        <v>7857</v>
      </c>
      <c r="B4742" s="4" t="s">
        <v>183</v>
      </c>
      <c r="C4742" s="4" t="s">
        <v>14</v>
      </c>
      <c r="D4742" s="35">
        <v>10471</v>
      </c>
      <c r="E4742" s="4" t="s">
        <v>7858</v>
      </c>
      <c r="F4742" s="5">
        <v>41016</v>
      </c>
      <c r="G4742" s="5">
        <v>41274</v>
      </c>
      <c r="H4742" s="4" t="s">
        <v>40</v>
      </c>
      <c r="I4742" s="6">
        <v>8000</v>
      </c>
      <c r="J4742" s="6">
        <v>8000</v>
      </c>
      <c r="K4742" s="37" t="s">
        <v>7456</v>
      </c>
      <c r="L4742" s="119"/>
      <c r="M4742" s="3"/>
    </row>
    <row r="4743" spans="1:13" s="4" customFormat="1" ht="14.25" customHeight="1" x14ac:dyDescent="0.25">
      <c r="A4743" s="4" t="s">
        <v>7859</v>
      </c>
      <c r="B4743" s="4" t="s">
        <v>183</v>
      </c>
      <c r="C4743" s="4" t="s">
        <v>14</v>
      </c>
      <c r="D4743" s="35">
        <v>10472</v>
      </c>
      <c r="E4743" s="4" t="s">
        <v>7860</v>
      </c>
      <c r="F4743" s="5">
        <v>41051</v>
      </c>
      <c r="G4743" s="5">
        <v>41274</v>
      </c>
      <c r="H4743" s="4" t="s">
        <v>40</v>
      </c>
      <c r="I4743" s="6">
        <v>8000</v>
      </c>
      <c r="J4743" s="6">
        <v>8000</v>
      </c>
      <c r="K4743" s="37" t="s">
        <v>7456</v>
      </c>
      <c r="L4743" s="119"/>
      <c r="M4743" s="3"/>
    </row>
    <row r="4744" spans="1:13" s="4" customFormat="1" ht="14.25" customHeight="1" x14ac:dyDescent="0.25">
      <c r="A4744" s="4" t="s">
        <v>7861</v>
      </c>
      <c r="B4744" s="4" t="s">
        <v>190</v>
      </c>
      <c r="C4744" s="4" t="s">
        <v>14</v>
      </c>
      <c r="D4744" s="35">
        <v>10473</v>
      </c>
      <c r="E4744" s="4" t="s">
        <v>7862</v>
      </c>
      <c r="F4744" s="5">
        <v>41051</v>
      </c>
      <c r="G4744" s="5">
        <v>41274</v>
      </c>
      <c r="H4744" s="4" t="s">
        <v>40</v>
      </c>
      <c r="I4744" s="6">
        <v>6000</v>
      </c>
      <c r="J4744" s="6">
        <v>6000</v>
      </c>
      <c r="K4744" s="37" t="s">
        <v>7456</v>
      </c>
      <c r="L4744" s="119"/>
      <c r="M4744" s="3"/>
    </row>
    <row r="4745" spans="1:13" s="4" customFormat="1" ht="14.25" customHeight="1" x14ac:dyDescent="0.25">
      <c r="A4745" s="4" t="s">
        <v>7863</v>
      </c>
      <c r="B4745" s="4" t="s">
        <v>183</v>
      </c>
      <c r="C4745" s="4" t="s">
        <v>14</v>
      </c>
      <c r="D4745" s="35">
        <v>10474</v>
      </c>
      <c r="E4745" s="4" t="s">
        <v>7864</v>
      </c>
      <c r="F4745" s="5">
        <v>41051</v>
      </c>
      <c r="G4745" s="5">
        <v>41274</v>
      </c>
      <c r="H4745" s="4" t="s">
        <v>40</v>
      </c>
      <c r="I4745" s="6">
        <v>33750</v>
      </c>
      <c r="J4745" s="6">
        <v>33750</v>
      </c>
      <c r="K4745" s="37" t="s">
        <v>7456</v>
      </c>
      <c r="L4745" s="119"/>
      <c r="M4745" s="3"/>
    </row>
    <row r="4746" spans="1:13" s="4" customFormat="1" ht="14.25" customHeight="1" x14ac:dyDescent="0.25">
      <c r="A4746" s="4" t="s">
        <v>7865</v>
      </c>
      <c r="B4746" s="4" t="s">
        <v>183</v>
      </c>
      <c r="C4746" s="4" t="s">
        <v>14</v>
      </c>
      <c r="D4746" s="35">
        <v>10476</v>
      </c>
      <c r="E4746" s="4" t="s">
        <v>7848</v>
      </c>
      <c r="F4746" s="5">
        <v>41142</v>
      </c>
      <c r="G4746" s="5">
        <v>41274</v>
      </c>
      <c r="H4746" s="4" t="s">
        <v>40</v>
      </c>
      <c r="I4746" s="6">
        <v>22500</v>
      </c>
      <c r="J4746" s="6">
        <v>22500</v>
      </c>
      <c r="K4746" s="37" t="s">
        <v>7456</v>
      </c>
      <c r="L4746" s="119"/>
      <c r="M4746" s="3"/>
    </row>
    <row r="4747" spans="1:13" s="4" customFormat="1" ht="14.25" customHeight="1" x14ac:dyDescent="0.25">
      <c r="A4747" s="4" t="s">
        <v>7714</v>
      </c>
      <c r="B4747" s="4" t="s">
        <v>183</v>
      </c>
      <c r="C4747" s="4" t="s">
        <v>14</v>
      </c>
      <c r="D4747" s="35">
        <v>10481</v>
      </c>
      <c r="E4747" s="4" t="s">
        <v>7866</v>
      </c>
      <c r="F4747" s="5">
        <v>41144</v>
      </c>
      <c r="G4747" s="5">
        <v>41274</v>
      </c>
      <c r="H4747" s="4" t="s">
        <v>40</v>
      </c>
      <c r="I4747" s="6">
        <v>8000</v>
      </c>
      <c r="J4747" s="6">
        <v>8000</v>
      </c>
      <c r="K4747" s="37" t="s">
        <v>7456</v>
      </c>
      <c r="L4747" s="119"/>
      <c r="M4747" s="3"/>
    </row>
    <row r="4748" spans="1:13" s="4" customFormat="1" ht="14.25" customHeight="1" x14ac:dyDescent="0.25">
      <c r="A4748" s="4" t="s">
        <v>7867</v>
      </c>
      <c r="B4748" s="4" t="s">
        <v>183</v>
      </c>
      <c r="C4748" s="4" t="s">
        <v>14</v>
      </c>
      <c r="D4748" s="35">
        <v>10486</v>
      </c>
      <c r="E4748" s="4" t="s">
        <v>7868</v>
      </c>
      <c r="F4748" s="5">
        <v>41144</v>
      </c>
      <c r="G4748" s="5">
        <v>41274</v>
      </c>
      <c r="H4748" s="4" t="s">
        <v>40</v>
      </c>
      <c r="I4748" s="6">
        <v>31250</v>
      </c>
      <c r="J4748" s="6">
        <v>20000</v>
      </c>
      <c r="K4748" s="37" t="s">
        <v>7456</v>
      </c>
      <c r="L4748" s="119"/>
      <c r="M4748" s="3"/>
    </row>
    <row r="4749" spans="1:13" s="4" customFormat="1" ht="14.25" customHeight="1" x14ac:dyDescent="0.25">
      <c r="A4749" s="4" t="s">
        <v>7871</v>
      </c>
      <c r="B4749" s="4" t="s">
        <v>183</v>
      </c>
      <c r="C4749" s="4" t="s">
        <v>14</v>
      </c>
      <c r="D4749" s="35">
        <v>10491</v>
      </c>
      <c r="E4749" s="4" t="s">
        <v>7872</v>
      </c>
      <c r="F4749" s="5">
        <v>41240</v>
      </c>
      <c r="G4749" s="5">
        <v>41274</v>
      </c>
      <c r="H4749" s="4" t="s">
        <v>40</v>
      </c>
      <c r="I4749" s="6">
        <v>30000</v>
      </c>
      <c r="J4749" s="6">
        <v>30000</v>
      </c>
      <c r="K4749" s="37" t="s">
        <v>7456</v>
      </c>
      <c r="L4749" s="119"/>
      <c r="M4749" s="3"/>
    </row>
    <row r="4750" spans="1:13" s="4" customFormat="1" ht="14.25" customHeight="1" x14ac:dyDescent="0.25">
      <c r="A4750" s="4" t="s">
        <v>7873</v>
      </c>
      <c r="B4750" s="4" t="s">
        <v>90</v>
      </c>
      <c r="C4750" s="4" t="s">
        <v>14</v>
      </c>
      <c r="D4750" s="35">
        <v>10495</v>
      </c>
      <c r="E4750" s="4" t="s">
        <v>7874</v>
      </c>
      <c r="F4750" s="5">
        <v>41229</v>
      </c>
      <c r="G4750" s="5">
        <v>41274</v>
      </c>
      <c r="H4750" s="4" t="s">
        <v>40</v>
      </c>
      <c r="I4750" s="6">
        <v>19300</v>
      </c>
      <c r="J4750" s="6">
        <v>9650</v>
      </c>
      <c r="K4750" s="37" t="s">
        <v>7456</v>
      </c>
      <c r="L4750" s="119"/>
      <c r="M4750" s="3"/>
    </row>
    <row r="4751" spans="1:13" s="4" customFormat="1" ht="14.25" customHeight="1" x14ac:dyDescent="0.25">
      <c r="A4751" s="4" t="s">
        <v>7875</v>
      </c>
      <c r="B4751" s="4" t="s">
        <v>183</v>
      </c>
      <c r="C4751" s="4" t="s">
        <v>14</v>
      </c>
      <c r="D4751" s="35">
        <v>10496</v>
      </c>
      <c r="E4751" s="4" t="s">
        <v>7876</v>
      </c>
      <c r="F4751" s="5">
        <v>41226</v>
      </c>
      <c r="G4751" s="5">
        <v>41274</v>
      </c>
      <c r="H4751" s="4" t="s">
        <v>40</v>
      </c>
      <c r="I4751" s="6">
        <v>8000</v>
      </c>
      <c r="J4751" s="6">
        <v>8000</v>
      </c>
      <c r="K4751" s="37" t="s">
        <v>7456</v>
      </c>
      <c r="L4751" s="119"/>
      <c r="M4751" s="3"/>
    </row>
    <row r="4752" spans="1:13" s="4" customFormat="1" ht="14.25" customHeight="1" x14ac:dyDescent="0.25">
      <c r="A4752" s="4" t="s">
        <v>7879</v>
      </c>
      <c r="B4752" s="4" t="s">
        <v>90</v>
      </c>
      <c r="C4752" s="4" t="s">
        <v>14</v>
      </c>
      <c r="D4752" s="35">
        <v>10502</v>
      </c>
      <c r="E4752" s="4" t="s">
        <v>7880</v>
      </c>
      <c r="F4752" s="5">
        <v>41240</v>
      </c>
      <c r="G4752" s="5">
        <v>41274</v>
      </c>
      <c r="H4752" s="4" t="s">
        <v>40</v>
      </c>
      <c r="I4752" s="6">
        <v>10000</v>
      </c>
      <c r="J4752" s="6">
        <v>5000</v>
      </c>
      <c r="K4752" s="37" t="s">
        <v>7456</v>
      </c>
      <c r="L4752" s="119"/>
      <c r="M4752" s="3"/>
    </row>
    <row r="4753" spans="1:13" s="4" customFormat="1" ht="14.25" customHeight="1" x14ac:dyDescent="0.25">
      <c r="A4753" s="4" t="s">
        <v>7825</v>
      </c>
      <c r="B4753" s="4" t="s">
        <v>183</v>
      </c>
      <c r="C4753" s="4" t="s">
        <v>14</v>
      </c>
      <c r="D4753" s="35">
        <v>10510</v>
      </c>
      <c r="E4753" s="4" t="s">
        <v>7826</v>
      </c>
      <c r="F4753" s="5">
        <v>41149</v>
      </c>
      <c r="G4753" s="5">
        <v>41274</v>
      </c>
      <c r="H4753" s="4" t="s">
        <v>40</v>
      </c>
      <c r="I4753" s="6">
        <v>4000</v>
      </c>
      <c r="J4753" s="6">
        <v>4000</v>
      </c>
      <c r="K4753" s="37" t="s">
        <v>7456</v>
      </c>
      <c r="L4753" s="119"/>
      <c r="M4753" s="3"/>
    </row>
    <row r="4754" spans="1:13" s="4" customFormat="1" ht="14.25" customHeight="1" x14ac:dyDescent="0.25">
      <c r="A4754" s="4" t="s">
        <v>7881</v>
      </c>
      <c r="B4754" s="4" t="s">
        <v>183</v>
      </c>
      <c r="C4754" s="4" t="s">
        <v>14</v>
      </c>
      <c r="D4754" s="35">
        <v>10511</v>
      </c>
      <c r="E4754" s="4" t="s">
        <v>7882</v>
      </c>
      <c r="F4754" s="5">
        <v>41149</v>
      </c>
      <c r="G4754" s="5">
        <v>41274</v>
      </c>
      <c r="H4754" s="4" t="s">
        <v>40</v>
      </c>
      <c r="I4754" s="6">
        <v>5000</v>
      </c>
      <c r="J4754" s="6">
        <v>5000</v>
      </c>
      <c r="K4754" s="37" t="s">
        <v>7456</v>
      </c>
      <c r="L4754" s="119"/>
      <c r="M4754" s="3"/>
    </row>
    <row r="4755" spans="1:13" s="4" customFormat="1" ht="14.25" customHeight="1" x14ac:dyDescent="0.25">
      <c r="A4755" s="4" t="s">
        <v>7885</v>
      </c>
      <c r="B4755" s="4" t="s">
        <v>183</v>
      </c>
      <c r="C4755" s="4" t="s">
        <v>14</v>
      </c>
      <c r="D4755" s="35">
        <v>10513</v>
      </c>
      <c r="E4755" s="4" t="s">
        <v>7886</v>
      </c>
      <c r="F4755" s="5">
        <v>41249</v>
      </c>
      <c r="G4755" s="5">
        <v>41274</v>
      </c>
      <c r="H4755" s="4" t="s">
        <v>40</v>
      </c>
      <c r="I4755" s="6">
        <v>16000</v>
      </c>
      <c r="J4755" s="6">
        <v>16000</v>
      </c>
      <c r="K4755" s="37" t="s">
        <v>7456</v>
      </c>
      <c r="L4755" s="119"/>
      <c r="M4755" s="3"/>
    </row>
    <row r="4756" spans="1:13" s="4" customFormat="1" ht="14.25" customHeight="1" x14ac:dyDescent="0.25">
      <c r="A4756" s="4" t="s">
        <v>7889</v>
      </c>
      <c r="B4756" s="4" t="s">
        <v>183</v>
      </c>
      <c r="C4756" s="4" t="s">
        <v>14</v>
      </c>
      <c r="D4756" s="35">
        <v>10515</v>
      </c>
      <c r="E4756" s="4" t="s">
        <v>7890</v>
      </c>
      <c r="F4756" s="5">
        <v>41254</v>
      </c>
      <c r="G4756" s="5">
        <v>41274</v>
      </c>
      <c r="H4756" s="4" t="s">
        <v>40</v>
      </c>
      <c r="I4756" s="6">
        <v>14000</v>
      </c>
      <c r="J4756" s="6">
        <v>11000</v>
      </c>
      <c r="K4756" s="37" t="s">
        <v>7456</v>
      </c>
      <c r="L4756" s="119"/>
      <c r="M4756" s="3"/>
    </row>
    <row r="4757" spans="1:13" s="4" customFormat="1" ht="14.25" customHeight="1" x14ac:dyDescent="0.25">
      <c r="A4757" s="4" t="s">
        <v>7891</v>
      </c>
      <c r="B4757" s="4" t="s">
        <v>183</v>
      </c>
      <c r="C4757" s="4" t="s">
        <v>14</v>
      </c>
      <c r="D4757" s="35">
        <v>10516</v>
      </c>
      <c r="E4757" s="4" t="s">
        <v>7892</v>
      </c>
      <c r="F4757" s="5">
        <v>41256</v>
      </c>
      <c r="G4757" s="5">
        <v>41274</v>
      </c>
      <c r="H4757" s="4" t="s">
        <v>40</v>
      </c>
      <c r="I4757" s="6">
        <v>10000</v>
      </c>
      <c r="J4757" s="6">
        <v>10000</v>
      </c>
      <c r="K4757" s="37" t="s">
        <v>7456</v>
      </c>
      <c r="L4757" s="119"/>
      <c r="M4757" s="3"/>
    </row>
    <row r="4758" spans="1:13" s="4" customFormat="1" ht="14.25" customHeight="1" x14ac:dyDescent="0.25">
      <c r="A4758" s="4" t="s">
        <v>7895</v>
      </c>
      <c r="B4758" s="4" t="s">
        <v>183</v>
      </c>
      <c r="C4758" s="4" t="s">
        <v>14</v>
      </c>
      <c r="D4758" s="35">
        <v>10519</v>
      </c>
      <c r="E4758" s="4" t="s">
        <v>7896</v>
      </c>
      <c r="F4758" s="5">
        <v>41263</v>
      </c>
      <c r="G4758" s="5">
        <v>41274</v>
      </c>
      <c r="H4758" s="4" t="s">
        <v>40</v>
      </c>
      <c r="I4758" s="6">
        <v>8000</v>
      </c>
      <c r="J4758" s="6">
        <v>8000</v>
      </c>
      <c r="K4758" s="37" t="s">
        <v>7456</v>
      </c>
      <c r="L4758" s="119"/>
      <c r="M4758" s="3"/>
    </row>
    <row r="4759" spans="1:13" s="4" customFormat="1" ht="14.25" customHeight="1" x14ac:dyDescent="0.25">
      <c r="A4759" s="4" t="s">
        <v>7897</v>
      </c>
      <c r="B4759" s="4" t="s">
        <v>183</v>
      </c>
      <c r="C4759" s="4" t="s">
        <v>14</v>
      </c>
      <c r="D4759" s="35">
        <v>10521</v>
      </c>
      <c r="E4759" s="4" t="s">
        <v>7898</v>
      </c>
      <c r="F4759" s="5">
        <v>41264</v>
      </c>
      <c r="G4759" s="5">
        <v>41274</v>
      </c>
      <c r="H4759" s="4" t="s">
        <v>40</v>
      </c>
      <c r="I4759" s="6">
        <v>20000</v>
      </c>
      <c r="J4759" s="6">
        <v>20000</v>
      </c>
      <c r="K4759" s="37" t="s">
        <v>7456</v>
      </c>
      <c r="L4759" s="119"/>
      <c r="M4759" s="3"/>
    </row>
    <row r="4760" spans="1:13" s="4" customFormat="1" ht="14.25" customHeight="1" x14ac:dyDescent="0.25">
      <c r="A4760" s="4" t="s">
        <v>7899</v>
      </c>
      <c r="B4760" s="4" t="s">
        <v>38</v>
      </c>
      <c r="C4760" s="4" t="s">
        <v>14</v>
      </c>
      <c r="D4760" s="35">
        <v>10701</v>
      </c>
      <c r="E4760" s="4" t="s">
        <v>7805</v>
      </c>
      <c r="F4760" s="5">
        <v>41003</v>
      </c>
      <c r="G4760" s="5">
        <v>41274</v>
      </c>
      <c r="H4760" s="4" t="s">
        <v>40</v>
      </c>
      <c r="I4760" s="6">
        <v>7854.97</v>
      </c>
      <c r="J4760" s="6">
        <v>7854.97</v>
      </c>
      <c r="K4760" s="37" t="s">
        <v>7456</v>
      </c>
      <c r="L4760" s="119"/>
      <c r="M4760" s="3"/>
    </row>
    <row r="4761" spans="1:13" s="4" customFormat="1" ht="14.25" customHeight="1" x14ac:dyDescent="0.25">
      <c r="A4761" s="4" t="s">
        <v>7900</v>
      </c>
      <c r="B4761" s="4" t="s">
        <v>38</v>
      </c>
      <c r="C4761" s="4" t="s">
        <v>14</v>
      </c>
      <c r="D4761" s="35">
        <v>10702</v>
      </c>
      <c r="E4761" s="4" t="s">
        <v>7901</v>
      </c>
      <c r="F4761" s="5">
        <v>41178</v>
      </c>
      <c r="G4761" s="5">
        <v>41274</v>
      </c>
      <c r="H4761" s="4" t="s">
        <v>40</v>
      </c>
      <c r="I4761" s="6">
        <v>1668.33</v>
      </c>
      <c r="J4761" s="6">
        <v>1668.35</v>
      </c>
      <c r="K4761" s="37" t="s">
        <v>7456</v>
      </c>
      <c r="L4761" s="119"/>
      <c r="M4761" s="3"/>
    </row>
    <row r="4762" spans="1:13" s="4" customFormat="1" ht="14.25" customHeight="1" x14ac:dyDescent="0.25">
      <c r="A4762" s="4" t="s">
        <v>7902</v>
      </c>
      <c r="B4762" s="4" t="s">
        <v>38</v>
      </c>
      <c r="C4762" s="4" t="s">
        <v>14</v>
      </c>
      <c r="D4762" s="35">
        <v>10703</v>
      </c>
      <c r="E4762" s="4" t="s">
        <v>7903</v>
      </c>
      <c r="F4762" s="5">
        <v>40909</v>
      </c>
      <c r="G4762" s="5">
        <v>40909</v>
      </c>
      <c r="H4762" s="4" t="s">
        <v>40</v>
      </c>
      <c r="I4762" s="6">
        <v>425</v>
      </c>
      <c r="J4762" s="6">
        <v>425</v>
      </c>
      <c r="K4762" s="37" t="s">
        <v>7456</v>
      </c>
      <c r="L4762" s="119"/>
      <c r="M4762" s="3"/>
    </row>
    <row r="4763" spans="1:13" s="4" customFormat="1" ht="14.25" customHeight="1" x14ac:dyDescent="0.25">
      <c r="A4763" s="4" t="s">
        <v>7904</v>
      </c>
      <c r="B4763" s="4" t="s">
        <v>38</v>
      </c>
      <c r="C4763" s="4" t="s">
        <v>14</v>
      </c>
      <c r="D4763" s="35">
        <v>10704</v>
      </c>
      <c r="E4763" s="4" t="s">
        <v>7905</v>
      </c>
      <c r="F4763" s="5">
        <v>41144</v>
      </c>
      <c r="G4763" s="5">
        <v>41274</v>
      </c>
      <c r="H4763" s="4" t="s">
        <v>40</v>
      </c>
      <c r="I4763" s="6">
        <v>515.94000000000005</v>
      </c>
      <c r="J4763" s="6">
        <v>515.94000000000005</v>
      </c>
      <c r="K4763" s="37" t="s">
        <v>7456</v>
      </c>
      <c r="L4763" s="119"/>
      <c r="M4763" s="3"/>
    </row>
    <row r="4764" spans="1:13" s="4" customFormat="1" ht="14.25" customHeight="1" x14ac:dyDescent="0.25">
      <c r="A4764" s="4" t="s">
        <v>7906</v>
      </c>
      <c r="B4764" s="4" t="s">
        <v>38</v>
      </c>
      <c r="C4764" s="4" t="s">
        <v>14</v>
      </c>
      <c r="D4764" s="35">
        <v>10707</v>
      </c>
      <c r="E4764" s="4" t="s">
        <v>7907</v>
      </c>
      <c r="F4764" s="5">
        <v>40975</v>
      </c>
      <c r="G4764" s="5">
        <v>41274</v>
      </c>
      <c r="H4764" s="4" t="s">
        <v>40</v>
      </c>
      <c r="I4764" s="6">
        <v>32761.32</v>
      </c>
      <c r="J4764" s="6">
        <v>16380.66</v>
      </c>
      <c r="K4764" s="37" t="s">
        <v>7456</v>
      </c>
      <c r="L4764" s="119"/>
      <c r="M4764" s="3"/>
    </row>
    <row r="4765" spans="1:13" s="4" customFormat="1" ht="14.25" customHeight="1" x14ac:dyDescent="0.25">
      <c r="A4765" s="4" t="s">
        <v>7908</v>
      </c>
      <c r="B4765" s="4" t="s">
        <v>38</v>
      </c>
      <c r="C4765" s="4" t="s">
        <v>14</v>
      </c>
      <c r="D4765" s="35">
        <v>10708</v>
      </c>
      <c r="E4765" s="4" t="s">
        <v>7909</v>
      </c>
      <c r="F4765" s="5">
        <v>40933</v>
      </c>
      <c r="G4765" s="5">
        <v>41274</v>
      </c>
      <c r="H4765" s="4" t="s">
        <v>40</v>
      </c>
      <c r="I4765" s="6">
        <v>62793.94</v>
      </c>
      <c r="J4765" s="6">
        <v>62793.94</v>
      </c>
      <c r="K4765" s="37" t="s">
        <v>7456</v>
      </c>
      <c r="L4765" s="119"/>
      <c r="M4765" s="3"/>
    </row>
    <row r="4766" spans="1:13" s="4" customFormat="1" ht="14.25" customHeight="1" x14ac:dyDescent="0.25">
      <c r="A4766" s="4" t="s">
        <v>7910</v>
      </c>
      <c r="B4766" s="4" t="s">
        <v>38</v>
      </c>
      <c r="C4766" s="4" t="s">
        <v>14</v>
      </c>
      <c r="D4766" s="35">
        <v>10709</v>
      </c>
      <c r="E4766" s="4" t="s">
        <v>7911</v>
      </c>
      <c r="F4766" s="5">
        <v>41194</v>
      </c>
      <c r="G4766" s="5">
        <v>41274</v>
      </c>
      <c r="H4766" s="4" t="s">
        <v>40</v>
      </c>
      <c r="I4766" s="6">
        <v>533.21</v>
      </c>
      <c r="J4766" s="6">
        <v>533.77</v>
      </c>
      <c r="K4766" s="37" t="s">
        <v>7456</v>
      </c>
      <c r="L4766" s="119"/>
      <c r="M4766" s="3"/>
    </row>
    <row r="4767" spans="1:13" s="4" customFormat="1" ht="14.25" customHeight="1" x14ac:dyDescent="0.25">
      <c r="A4767" s="4" t="s">
        <v>7912</v>
      </c>
      <c r="B4767" s="4" t="s">
        <v>38</v>
      </c>
      <c r="C4767" s="4" t="s">
        <v>14</v>
      </c>
      <c r="D4767" s="35">
        <v>10717</v>
      </c>
      <c r="E4767" s="4" t="s">
        <v>7913</v>
      </c>
      <c r="F4767" s="5">
        <v>40933</v>
      </c>
      <c r="G4767" s="5">
        <v>40939</v>
      </c>
      <c r="H4767" s="4" t="s">
        <v>40</v>
      </c>
      <c r="I4767" s="6">
        <v>1599.04</v>
      </c>
      <c r="J4767" s="6">
        <v>1599.04</v>
      </c>
      <c r="K4767" s="37" t="s">
        <v>7456</v>
      </c>
      <c r="L4767" s="119"/>
      <c r="M4767" s="3"/>
    </row>
    <row r="4768" spans="1:13" s="4" customFormat="1" ht="14.25" customHeight="1" x14ac:dyDescent="0.25">
      <c r="A4768" s="4" t="s">
        <v>7914</v>
      </c>
      <c r="B4768" s="4" t="s">
        <v>38</v>
      </c>
      <c r="C4768" s="4" t="s">
        <v>14</v>
      </c>
      <c r="D4768" s="35">
        <v>10720</v>
      </c>
      <c r="E4768" s="4" t="s">
        <v>7915</v>
      </c>
      <c r="F4768" s="5">
        <v>40933</v>
      </c>
      <c r="G4768" s="5">
        <v>41274</v>
      </c>
      <c r="H4768" s="4" t="s">
        <v>40</v>
      </c>
      <c r="I4768" s="6">
        <v>1210</v>
      </c>
      <c r="J4768" s="6">
        <v>1210</v>
      </c>
      <c r="K4768" s="37" t="s">
        <v>7456</v>
      </c>
      <c r="L4768" s="119"/>
      <c r="M4768" s="3"/>
    </row>
    <row r="4769" spans="1:60" s="4" customFormat="1" ht="14.25" customHeight="1" x14ac:dyDescent="0.25">
      <c r="A4769" s="4" t="s">
        <v>7916</v>
      </c>
      <c r="B4769" s="4" t="s">
        <v>38</v>
      </c>
      <c r="C4769" s="4" t="s">
        <v>14</v>
      </c>
      <c r="D4769" s="35">
        <v>10722</v>
      </c>
      <c r="E4769" s="4" t="s">
        <v>7917</v>
      </c>
      <c r="F4769" s="5">
        <v>40933</v>
      </c>
      <c r="G4769" s="5">
        <v>40939</v>
      </c>
      <c r="H4769" s="4" t="s">
        <v>40</v>
      </c>
      <c r="I4769" s="6">
        <v>2192.8000000000002</v>
      </c>
      <c r="J4769" s="6">
        <v>2192.5</v>
      </c>
      <c r="K4769" s="37" t="s">
        <v>7456</v>
      </c>
      <c r="L4769" s="119"/>
      <c r="M4769" s="3"/>
    </row>
    <row r="4770" spans="1:60" s="4" customFormat="1" ht="14.25" customHeight="1" x14ac:dyDescent="0.25">
      <c r="A4770" s="4" t="s">
        <v>7918</v>
      </c>
      <c r="B4770" s="4" t="s">
        <v>38</v>
      </c>
      <c r="C4770" s="4" t="s">
        <v>14</v>
      </c>
      <c r="D4770" s="35">
        <v>10724</v>
      </c>
      <c r="E4770" s="4" t="s">
        <v>7919</v>
      </c>
      <c r="F4770" s="5">
        <v>40933</v>
      </c>
      <c r="G4770" s="5">
        <v>41274</v>
      </c>
      <c r="H4770" s="4" t="s">
        <v>40</v>
      </c>
      <c r="I4770" s="6">
        <v>81294.12</v>
      </c>
      <c r="J4770" s="6">
        <v>81294.12</v>
      </c>
      <c r="K4770" s="37" t="s">
        <v>7456</v>
      </c>
      <c r="L4770" s="119"/>
      <c r="M4770" s="3"/>
    </row>
    <row r="4771" spans="1:60" s="4" customFormat="1" ht="14.25" customHeight="1" x14ac:dyDescent="0.25">
      <c r="A4771" s="4" t="s">
        <v>7920</v>
      </c>
      <c r="B4771" s="4" t="s">
        <v>38</v>
      </c>
      <c r="C4771" s="4" t="s">
        <v>14</v>
      </c>
      <c r="D4771" s="35">
        <v>10727</v>
      </c>
      <c r="E4771" s="4" t="s">
        <v>7921</v>
      </c>
      <c r="F4771" s="5">
        <v>40982</v>
      </c>
      <c r="G4771" s="5">
        <v>41158</v>
      </c>
      <c r="H4771" s="4" t="s">
        <v>40</v>
      </c>
      <c r="I4771" s="6">
        <v>3849</v>
      </c>
      <c r="J4771" s="6">
        <v>3849</v>
      </c>
      <c r="K4771" s="37" t="s">
        <v>7456</v>
      </c>
      <c r="L4771" s="119"/>
      <c r="M4771" s="3"/>
    </row>
    <row r="4772" spans="1:60" s="4" customFormat="1" ht="14.25" customHeight="1" x14ac:dyDescent="0.25">
      <c r="A4772" s="4" t="s">
        <v>7922</v>
      </c>
      <c r="B4772" s="4" t="s">
        <v>38</v>
      </c>
      <c r="C4772" s="4" t="s">
        <v>14</v>
      </c>
      <c r="D4772" s="35">
        <v>10728</v>
      </c>
      <c r="E4772" s="4" t="s">
        <v>7923</v>
      </c>
      <c r="F4772" s="5">
        <v>40933</v>
      </c>
      <c r="G4772" s="5">
        <v>41274</v>
      </c>
      <c r="H4772" s="4" t="s">
        <v>40</v>
      </c>
      <c r="I4772" s="6">
        <v>98330.28</v>
      </c>
      <c r="J4772" s="6">
        <v>98330.26</v>
      </c>
      <c r="K4772" s="37" t="s">
        <v>7456</v>
      </c>
      <c r="L4772" s="119"/>
      <c r="M4772" s="3"/>
    </row>
    <row r="4773" spans="1:60" s="4" customFormat="1" ht="14.25" customHeight="1" x14ac:dyDescent="0.25">
      <c r="A4773" s="4" t="s">
        <v>7924</v>
      </c>
      <c r="B4773" s="4" t="s">
        <v>38</v>
      </c>
      <c r="C4773" s="4" t="s">
        <v>14</v>
      </c>
      <c r="D4773" s="35">
        <v>10729</v>
      </c>
      <c r="E4773" s="4" t="s">
        <v>7925</v>
      </c>
      <c r="F4773" s="5">
        <v>40933</v>
      </c>
      <c r="G4773" s="5">
        <v>40939</v>
      </c>
      <c r="H4773" s="4" t="s">
        <v>40</v>
      </c>
      <c r="I4773" s="6">
        <v>1527.8</v>
      </c>
      <c r="J4773" s="6">
        <v>1527.8</v>
      </c>
      <c r="K4773" s="37" t="s">
        <v>7456</v>
      </c>
      <c r="L4773" s="119"/>
      <c r="M4773" s="3"/>
    </row>
    <row r="4774" spans="1:60" s="4" customFormat="1" ht="14.25" customHeight="1" x14ac:dyDescent="0.25">
      <c r="A4774" s="4" t="s">
        <v>7926</v>
      </c>
      <c r="B4774" s="4" t="s">
        <v>38</v>
      </c>
      <c r="C4774" s="4" t="s">
        <v>14</v>
      </c>
      <c r="D4774" s="35">
        <v>10730</v>
      </c>
      <c r="E4774" s="4" t="s">
        <v>7927</v>
      </c>
      <c r="F4774" s="5">
        <v>40933</v>
      </c>
      <c r="G4774" s="5">
        <v>40939</v>
      </c>
      <c r="H4774" s="4" t="s">
        <v>40</v>
      </c>
      <c r="I4774" s="6">
        <v>2182</v>
      </c>
      <c r="J4774" s="6">
        <v>2182</v>
      </c>
      <c r="K4774" s="37" t="s">
        <v>7456</v>
      </c>
      <c r="L4774" s="119"/>
      <c r="M4774" s="3"/>
    </row>
    <row r="4775" spans="1:60" s="4" customFormat="1" ht="14.25" customHeight="1" x14ac:dyDescent="0.25">
      <c r="A4775" s="4" t="s">
        <v>7766</v>
      </c>
      <c r="B4775" s="4" t="s">
        <v>183</v>
      </c>
      <c r="C4775" s="4" t="s">
        <v>14</v>
      </c>
      <c r="D4775" s="35">
        <v>11113</v>
      </c>
      <c r="E4775" s="4" t="s">
        <v>7928</v>
      </c>
      <c r="F4775" s="5">
        <v>40982</v>
      </c>
      <c r="G4775" s="5">
        <v>41274</v>
      </c>
      <c r="H4775" s="4" t="s">
        <v>40</v>
      </c>
      <c r="I4775" s="6">
        <v>4000</v>
      </c>
      <c r="J4775" s="6">
        <v>4000</v>
      </c>
      <c r="K4775" s="37" t="s">
        <v>7456</v>
      </c>
      <c r="L4775" s="119"/>
      <c r="M4775" s="3"/>
    </row>
    <row r="4776" spans="1:60" s="4" customFormat="1" ht="14.25" customHeight="1" x14ac:dyDescent="0.25">
      <c r="A4776" s="4" t="s">
        <v>7929</v>
      </c>
      <c r="B4776" s="4" t="s">
        <v>183</v>
      </c>
      <c r="C4776" s="4" t="s">
        <v>14</v>
      </c>
      <c r="D4776" s="35">
        <v>11179</v>
      </c>
      <c r="E4776" s="4" t="s">
        <v>7783</v>
      </c>
      <c r="F4776" s="5">
        <v>40909</v>
      </c>
      <c r="G4776" s="5">
        <v>41274</v>
      </c>
      <c r="H4776" s="4" t="s">
        <v>40</v>
      </c>
      <c r="I4776" s="6">
        <v>13000</v>
      </c>
      <c r="J4776" s="6">
        <v>13000</v>
      </c>
      <c r="K4776" s="37" t="s">
        <v>7456</v>
      </c>
      <c r="L4776" s="119"/>
      <c r="M4776" s="3"/>
    </row>
    <row r="4777" spans="1:60" s="4" customFormat="1" ht="14.25" customHeight="1" x14ac:dyDescent="0.25">
      <c r="A4777" s="13" t="s">
        <v>7930</v>
      </c>
      <c r="B4777" s="4" t="s">
        <v>13</v>
      </c>
      <c r="C4777" s="4" t="s">
        <v>7456</v>
      </c>
      <c r="D4777" s="35">
        <v>10193</v>
      </c>
      <c r="E4777" s="13" t="s">
        <v>7931</v>
      </c>
      <c r="F4777" s="5">
        <v>40909</v>
      </c>
      <c r="G4777" s="5">
        <v>41274</v>
      </c>
      <c r="H4777" s="4" t="s">
        <v>2027</v>
      </c>
      <c r="I4777" s="6">
        <v>116695.31</v>
      </c>
      <c r="J4777" s="6">
        <v>38849.589999999997</v>
      </c>
      <c r="K4777" s="37" t="s">
        <v>7456</v>
      </c>
      <c r="L4777" s="119"/>
      <c r="M4777" s="3"/>
    </row>
    <row r="4778" spans="1:60" s="4" customFormat="1" ht="14.25" customHeight="1" x14ac:dyDescent="0.25">
      <c r="A4778" s="13" t="s">
        <v>7932</v>
      </c>
      <c r="B4778" s="4" t="s">
        <v>13</v>
      </c>
      <c r="C4778" s="4" t="s">
        <v>7456</v>
      </c>
      <c r="D4778" s="35">
        <v>10208</v>
      </c>
      <c r="E4778" s="13" t="s">
        <v>7933</v>
      </c>
      <c r="F4778" s="5">
        <v>40909</v>
      </c>
      <c r="G4778" s="5">
        <v>41274</v>
      </c>
      <c r="H4778" s="4" t="s">
        <v>2027</v>
      </c>
      <c r="I4778" s="6">
        <v>12082.86</v>
      </c>
      <c r="J4778" s="4">
        <v>5437.02</v>
      </c>
      <c r="K4778" s="37" t="s">
        <v>7456</v>
      </c>
      <c r="L4778" s="119"/>
      <c r="M4778" s="3"/>
    </row>
    <row r="4779" spans="1:60" s="4" customFormat="1" ht="14.25" customHeight="1" x14ac:dyDescent="0.25">
      <c r="A4779" s="9" t="s">
        <v>7934</v>
      </c>
      <c r="B4779" s="4" t="s">
        <v>13</v>
      </c>
      <c r="C4779" s="4" t="s">
        <v>7456</v>
      </c>
      <c r="D4779" s="90">
        <v>4138</v>
      </c>
      <c r="E4779" s="15" t="s">
        <v>7935</v>
      </c>
      <c r="F4779" s="11">
        <v>39083</v>
      </c>
      <c r="G4779" s="11">
        <v>42369</v>
      </c>
      <c r="H4779" s="9" t="s">
        <v>2593</v>
      </c>
      <c r="I4779" s="16">
        <v>5340557.5599999996</v>
      </c>
      <c r="J4779" s="16">
        <v>5340557.5599999996</v>
      </c>
      <c r="K4779" s="112" t="s">
        <v>7456</v>
      </c>
      <c r="L4779" s="121"/>
      <c r="M4779" s="12"/>
      <c r="N4779" s="9"/>
      <c r="O4779" s="9"/>
      <c r="P4779" s="9"/>
      <c r="Q4779" s="9"/>
      <c r="R4779" s="9"/>
      <c r="S4779" s="9"/>
      <c r="T4779" s="9"/>
      <c r="U4779" s="9"/>
      <c r="V4779" s="9"/>
      <c r="W4779" s="9"/>
      <c r="X4779" s="9"/>
      <c r="Y4779" s="9"/>
      <c r="Z4779" s="9"/>
      <c r="AA4779" s="9"/>
      <c r="AB4779" s="9"/>
      <c r="AC4779" s="9"/>
      <c r="AD4779" s="9"/>
      <c r="AE4779" s="9"/>
      <c r="AF4779" s="9"/>
      <c r="AG4779" s="9"/>
      <c r="AH4779" s="9"/>
      <c r="AI4779" s="9"/>
      <c r="AJ4779" s="9"/>
      <c r="AK4779" s="9"/>
      <c r="AL4779" s="9"/>
      <c r="AM4779" s="9"/>
      <c r="AN4779" s="9"/>
      <c r="AO4779" s="9"/>
      <c r="AP4779" s="9"/>
      <c r="AQ4779" s="9"/>
      <c r="AR4779" s="9"/>
      <c r="AS4779" s="9"/>
      <c r="AT4779" s="9"/>
      <c r="AU4779" s="9"/>
      <c r="AV4779" s="9"/>
      <c r="AW4779" s="9"/>
      <c r="AX4779" s="9"/>
      <c r="AY4779" s="9"/>
      <c r="AZ4779" s="9"/>
      <c r="BA4779" s="9"/>
      <c r="BB4779" s="9"/>
      <c r="BC4779" s="9"/>
      <c r="BD4779" s="9"/>
      <c r="BE4779" s="9"/>
      <c r="BF4779" s="9"/>
      <c r="BG4779" s="9"/>
      <c r="BH4779" s="9"/>
    </row>
    <row r="4780" spans="1:60" s="4" customFormat="1" ht="14.25" customHeight="1" x14ac:dyDescent="0.25">
      <c r="A4780" s="4" t="s">
        <v>7936</v>
      </c>
      <c r="B4780" s="4" t="s">
        <v>13</v>
      </c>
      <c r="C4780" s="4" t="s">
        <v>7456</v>
      </c>
      <c r="D4780" s="35">
        <v>3789</v>
      </c>
      <c r="E4780" s="7" t="s">
        <v>7937</v>
      </c>
      <c r="F4780" s="5">
        <v>39083</v>
      </c>
      <c r="G4780" s="5">
        <v>42369</v>
      </c>
      <c r="H4780" s="4" t="s">
        <v>2637</v>
      </c>
      <c r="I4780" s="17">
        <v>260000</v>
      </c>
      <c r="J4780" s="17">
        <v>260000</v>
      </c>
      <c r="K4780" s="37" t="s">
        <v>7456</v>
      </c>
      <c r="L4780" s="119"/>
      <c r="M4780" s="3"/>
      <c r="N4780" s="3"/>
    </row>
    <row r="4781" spans="1:60" s="4" customFormat="1" ht="14.25" customHeight="1" x14ac:dyDescent="0.25">
      <c r="D4781" s="35"/>
      <c r="E4781" s="26" t="s">
        <v>2642</v>
      </c>
      <c r="F4781" s="28"/>
      <c r="G4781" s="28"/>
      <c r="H4781" s="26"/>
      <c r="I4781" s="27">
        <f>SUM(I4551)</f>
        <v>956630.83000000007</v>
      </c>
      <c r="J4781" s="27">
        <f>SUM(J4551)</f>
        <v>956630.83000000007</v>
      </c>
      <c r="K4781" s="37" t="s">
        <v>7456</v>
      </c>
      <c r="L4781" s="119"/>
      <c r="M4781" s="3"/>
      <c r="N4781" s="3"/>
    </row>
    <row r="4782" spans="1:60" s="4" customFormat="1" ht="14.25" customHeight="1" x14ac:dyDescent="0.25">
      <c r="D4782" s="35"/>
      <c r="E4782" s="26" t="s">
        <v>351</v>
      </c>
      <c r="F4782" s="28"/>
      <c r="G4782" s="28"/>
      <c r="H4782" s="26"/>
      <c r="I4782" s="27">
        <f>SUM(I4552:I4562)</f>
        <v>611270.23</v>
      </c>
      <c r="J4782" s="27">
        <f>SUM(J4552:J4562)</f>
        <v>176157.84999999998</v>
      </c>
      <c r="K4782" s="37" t="s">
        <v>7456</v>
      </c>
      <c r="L4782" s="119"/>
      <c r="M4782" s="3"/>
      <c r="N4782" s="3"/>
    </row>
    <row r="4783" spans="1:60" s="4" customFormat="1" ht="14.25" customHeight="1" x14ac:dyDescent="0.25">
      <c r="D4783" s="35"/>
      <c r="E4783" s="26" t="s">
        <v>2643</v>
      </c>
      <c r="F4783" s="28"/>
      <c r="G4783" s="28"/>
      <c r="H4783" s="26"/>
      <c r="I4783" s="27">
        <f>SUM(I4563:I4565)</f>
        <v>179232</v>
      </c>
      <c r="J4783" s="27">
        <f>SUM(J4563:J4565)</f>
        <v>179232</v>
      </c>
      <c r="K4783" s="37" t="s">
        <v>7456</v>
      </c>
      <c r="L4783" s="119"/>
      <c r="M4783" s="3"/>
      <c r="N4783" s="3"/>
    </row>
    <row r="4784" spans="1:60" s="4" customFormat="1" ht="14.25" customHeight="1" x14ac:dyDescent="0.25">
      <c r="D4784" s="35"/>
      <c r="E4784" s="26" t="s">
        <v>786</v>
      </c>
      <c r="F4784" s="28"/>
      <c r="G4784" s="28"/>
      <c r="H4784" s="26"/>
      <c r="I4784" s="27">
        <f>SUM(I4566:I4574)</f>
        <v>3094440.3900000006</v>
      </c>
      <c r="J4784" s="27">
        <f>SUM(J4566:J4574)</f>
        <v>701438.82000000007</v>
      </c>
      <c r="K4784" s="37" t="s">
        <v>7456</v>
      </c>
      <c r="L4784" s="119"/>
      <c r="M4784" s="3"/>
      <c r="N4784" s="3"/>
    </row>
    <row r="4785" spans="1:14" s="4" customFormat="1" ht="14.25" customHeight="1" x14ac:dyDescent="0.25">
      <c r="D4785" s="35"/>
      <c r="E4785" s="26" t="s">
        <v>352</v>
      </c>
      <c r="F4785" s="28"/>
      <c r="G4785" s="28"/>
      <c r="H4785" s="26"/>
      <c r="I4785" s="27">
        <f>SUM(I4575:I4776)</f>
        <v>4459972.3399999989</v>
      </c>
      <c r="J4785" s="27">
        <f>SUM(J4575:J4776)</f>
        <v>3490449.9899999984</v>
      </c>
      <c r="K4785" s="37" t="s">
        <v>7456</v>
      </c>
      <c r="L4785" s="119"/>
      <c r="M4785" s="3"/>
      <c r="N4785" s="3"/>
    </row>
    <row r="4786" spans="1:14" s="4" customFormat="1" ht="14.25" customHeight="1" x14ac:dyDescent="0.25">
      <c r="D4786" s="35"/>
      <c r="E4786" s="26" t="s">
        <v>2028</v>
      </c>
      <c r="F4786" s="28"/>
      <c r="G4786" s="28"/>
      <c r="H4786" s="26"/>
      <c r="I4786" s="27">
        <f>SUM(I4777:I4778)</f>
        <v>128778.17</v>
      </c>
      <c r="J4786" s="27">
        <f>SUM(J4777:J4778)</f>
        <v>44286.61</v>
      </c>
      <c r="K4786" s="37" t="s">
        <v>7456</v>
      </c>
      <c r="L4786" s="119"/>
      <c r="M4786" s="3"/>
      <c r="N4786" s="3"/>
    </row>
    <row r="4787" spans="1:14" s="4" customFormat="1" ht="14.25" customHeight="1" x14ac:dyDescent="0.25">
      <c r="D4787" s="35"/>
      <c r="E4787" s="26" t="s">
        <v>4030</v>
      </c>
      <c r="F4787" s="28"/>
      <c r="G4787" s="28"/>
      <c r="H4787" s="26"/>
      <c r="I4787" s="31">
        <f>SUM(I4779)</f>
        <v>5340557.5599999996</v>
      </c>
      <c r="J4787" s="31">
        <f>SUM(J4779)</f>
        <v>5340557.5599999996</v>
      </c>
      <c r="K4787" s="37" t="s">
        <v>7456</v>
      </c>
      <c r="L4787" s="119"/>
      <c r="M4787" s="3"/>
      <c r="N4787" s="3"/>
    </row>
    <row r="4788" spans="1:14" s="4" customFormat="1" ht="14.25" customHeight="1" x14ac:dyDescent="0.25">
      <c r="D4788" s="35"/>
      <c r="E4788" s="26" t="s">
        <v>2646</v>
      </c>
      <c r="F4788" s="28"/>
      <c r="G4788" s="28"/>
      <c r="H4788" s="26"/>
      <c r="I4788" s="27">
        <f>SUM(I4780)</f>
        <v>260000</v>
      </c>
      <c r="J4788" s="27">
        <f>SUM(J4780)</f>
        <v>260000</v>
      </c>
      <c r="K4788" s="37" t="s">
        <v>7456</v>
      </c>
      <c r="L4788" s="119"/>
      <c r="M4788" s="3"/>
      <c r="N4788" s="3"/>
    </row>
    <row r="4789" spans="1:14" s="4" customFormat="1" ht="14.25" customHeight="1" x14ac:dyDescent="0.25">
      <c r="D4789" s="35"/>
      <c r="E4789" s="26" t="s">
        <v>7938</v>
      </c>
      <c r="F4789" s="28"/>
      <c r="G4789" s="28"/>
      <c r="H4789" s="26"/>
      <c r="I4789" s="27">
        <f>SUM(I4781:I4788)</f>
        <v>15030881.52</v>
      </c>
      <c r="J4789" s="27">
        <f>SUM(J4781:J4788)</f>
        <v>11148753.659999998</v>
      </c>
      <c r="K4789" s="37" t="s">
        <v>7456</v>
      </c>
      <c r="L4789" s="119"/>
      <c r="M4789" s="3"/>
      <c r="N4789" s="3"/>
    </row>
    <row r="4790" spans="1:14" s="4" customFormat="1" ht="14.25" customHeight="1" x14ac:dyDescent="0.25">
      <c r="D4790" s="35"/>
      <c r="E4790" s="7"/>
      <c r="F4790" s="5"/>
      <c r="G4790" s="5"/>
      <c r="I4790" s="17"/>
      <c r="J4790" s="17"/>
      <c r="K4790" s="37"/>
      <c r="L4790" s="119"/>
      <c r="M4790" s="3"/>
      <c r="N4790" s="3"/>
    </row>
    <row r="4791" spans="1:14" s="4" customFormat="1" ht="14.25" customHeight="1" x14ac:dyDescent="0.25">
      <c r="A4791" s="4" t="s">
        <v>7939</v>
      </c>
      <c r="B4791" s="4" t="s">
        <v>13</v>
      </c>
      <c r="C4791" s="4" t="s">
        <v>14</v>
      </c>
      <c r="D4791" s="35">
        <v>3916</v>
      </c>
      <c r="E4791" s="4" t="s">
        <v>7940</v>
      </c>
      <c r="F4791" s="5">
        <v>39757</v>
      </c>
      <c r="G4791" s="5">
        <v>39876</v>
      </c>
      <c r="H4791" s="4" t="s">
        <v>16</v>
      </c>
      <c r="I4791" s="6">
        <v>2202.64</v>
      </c>
      <c r="J4791" s="6">
        <v>881.06</v>
      </c>
      <c r="K4791" s="37" t="s">
        <v>7941</v>
      </c>
      <c r="L4791" s="119"/>
      <c r="M4791" s="3"/>
    </row>
    <row r="4792" spans="1:14" s="4" customFormat="1" ht="14.25" customHeight="1" x14ac:dyDescent="0.25">
      <c r="A4792" s="4" t="s">
        <v>7942</v>
      </c>
      <c r="B4792" s="4" t="s">
        <v>13</v>
      </c>
      <c r="C4792" s="4" t="s">
        <v>14</v>
      </c>
      <c r="D4792" s="35">
        <v>4121</v>
      </c>
      <c r="E4792" s="4" t="s">
        <v>7943</v>
      </c>
      <c r="F4792" s="5">
        <v>39738</v>
      </c>
      <c r="G4792" s="5">
        <v>40424</v>
      </c>
      <c r="H4792" s="4" t="s">
        <v>16</v>
      </c>
      <c r="I4792" s="6">
        <v>915358.69</v>
      </c>
      <c r="J4792" s="6">
        <v>274607.61</v>
      </c>
      <c r="K4792" s="37" t="s">
        <v>7941</v>
      </c>
      <c r="L4792" s="119"/>
      <c r="M4792" s="3"/>
    </row>
    <row r="4793" spans="1:14" s="4" customFormat="1" ht="14.25" customHeight="1" x14ac:dyDescent="0.25">
      <c r="A4793" s="4" t="s">
        <v>7944</v>
      </c>
      <c r="B4793" s="4" t="s">
        <v>13</v>
      </c>
      <c r="C4793" s="4" t="s">
        <v>14</v>
      </c>
      <c r="D4793" s="35">
        <v>4124</v>
      </c>
      <c r="E4793" s="4" t="s">
        <v>7945</v>
      </c>
      <c r="F4793" s="5">
        <v>39580</v>
      </c>
      <c r="G4793" s="5">
        <v>40141</v>
      </c>
      <c r="H4793" s="4" t="s">
        <v>16</v>
      </c>
      <c r="I4793" s="6">
        <v>112500</v>
      </c>
      <c r="J4793" s="6">
        <v>33750</v>
      </c>
      <c r="K4793" s="37" t="s">
        <v>7941</v>
      </c>
      <c r="L4793" s="119"/>
      <c r="M4793" s="3"/>
    </row>
    <row r="4794" spans="1:14" s="4" customFormat="1" ht="14.25" customHeight="1" x14ac:dyDescent="0.25">
      <c r="A4794" s="4" t="s">
        <v>7946</v>
      </c>
      <c r="B4794" s="4" t="s">
        <v>13</v>
      </c>
      <c r="C4794" s="4" t="s">
        <v>14</v>
      </c>
      <c r="D4794" s="35">
        <v>4125</v>
      </c>
      <c r="E4794" s="7" t="s">
        <v>7947</v>
      </c>
      <c r="F4794" s="5">
        <v>39801</v>
      </c>
      <c r="G4794" s="5">
        <v>40535</v>
      </c>
      <c r="H4794" s="4" t="s">
        <v>16</v>
      </c>
      <c r="I4794" s="6">
        <v>987349.61</v>
      </c>
      <c r="J4794" s="6">
        <v>192533.17</v>
      </c>
      <c r="K4794" s="37" t="s">
        <v>7941</v>
      </c>
      <c r="L4794" s="119"/>
      <c r="M4794" s="3"/>
    </row>
    <row r="4795" spans="1:14" s="4" customFormat="1" ht="14.25" customHeight="1" x14ac:dyDescent="0.25">
      <c r="A4795" s="4" t="s">
        <v>7948</v>
      </c>
      <c r="B4795" s="4" t="s">
        <v>13</v>
      </c>
      <c r="C4795" s="4" t="s">
        <v>14</v>
      </c>
      <c r="D4795" s="35">
        <v>10045</v>
      </c>
      <c r="E4795" s="4" t="s">
        <v>7949</v>
      </c>
      <c r="F4795" s="5">
        <v>40470</v>
      </c>
      <c r="G4795" s="5">
        <v>40533</v>
      </c>
      <c r="H4795" s="4" t="s">
        <v>16</v>
      </c>
      <c r="I4795" s="6">
        <v>75880</v>
      </c>
      <c r="J4795" s="6">
        <v>22500</v>
      </c>
      <c r="K4795" s="37" t="s">
        <v>7941</v>
      </c>
      <c r="L4795" s="119"/>
      <c r="M4795" s="3"/>
    </row>
    <row r="4796" spans="1:14" s="4" customFormat="1" ht="14.25" customHeight="1" x14ac:dyDescent="0.25">
      <c r="A4796" s="4" t="s">
        <v>7113</v>
      </c>
      <c r="B4796" s="4" t="s">
        <v>13</v>
      </c>
      <c r="C4796" s="4" t="s">
        <v>14</v>
      </c>
      <c r="D4796" s="35">
        <v>10051</v>
      </c>
      <c r="E4796" s="4" t="s">
        <v>7950</v>
      </c>
      <c r="F4796" s="5">
        <v>40071</v>
      </c>
      <c r="G4796" s="5">
        <v>40269</v>
      </c>
      <c r="H4796" s="4" t="s">
        <v>16</v>
      </c>
      <c r="I4796" s="6">
        <v>6428.12</v>
      </c>
      <c r="J4796" s="6">
        <v>960</v>
      </c>
      <c r="K4796" s="37" t="s">
        <v>7941</v>
      </c>
      <c r="L4796" s="119"/>
      <c r="M4796" s="3"/>
    </row>
    <row r="4797" spans="1:14" s="4" customFormat="1" ht="14.25" customHeight="1" x14ac:dyDescent="0.25">
      <c r="A4797" s="4" t="s">
        <v>7951</v>
      </c>
      <c r="B4797" s="4" t="s">
        <v>13</v>
      </c>
      <c r="C4797" s="4" t="s">
        <v>14</v>
      </c>
      <c r="D4797" s="35">
        <v>10069</v>
      </c>
      <c r="E4797" s="4" t="s">
        <v>7952</v>
      </c>
      <c r="F4797" s="5">
        <v>40812</v>
      </c>
      <c r="G4797" s="5">
        <v>40897</v>
      </c>
      <c r="H4797" s="4" t="s">
        <v>392</v>
      </c>
      <c r="I4797" s="6">
        <v>76967</v>
      </c>
      <c r="J4797" s="6">
        <v>26938</v>
      </c>
      <c r="K4797" s="37" t="s">
        <v>7941</v>
      </c>
      <c r="L4797" s="119"/>
      <c r="M4797" s="3"/>
    </row>
    <row r="4798" spans="1:14" s="4" customFormat="1" ht="14.25" customHeight="1" x14ac:dyDescent="0.25">
      <c r="A4798" s="4" t="s">
        <v>7953</v>
      </c>
      <c r="B4798" s="4" t="s">
        <v>13</v>
      </c>
      <c r="C4798" s="4" t="s">
        <v>14</v>
      </c>
      <c r="D4798" s="35">
        <v>10185</v>
      </c>
      <c r="E4798" s="4" t="s">
        <v>7954</v>
      </c>
      <c r="F4798" s="5">
        <v>41107</v>
      </c>
      <c r="G4798" s="5">
        <v>41528</v>
      </c>
      <c r="H4798" s="4" t="s">
        <v>392</v>
      </c>
      <c r="I4798" s="6">
        <v>1428500</v>
      </c>
      <c r="J4798" s="6">
        <v>449977.5</v>
      </c>
      <c r="K4798" s="37" t="s">
        <v>7941</v>
      </c>
      <c r="L4798" s="119"/>
      <c r="M4798" s="3"/>
    </row>
    <row r="4799" spans="1:14" s="4" customFormat="1" ht="14.25" customHeight="1" x14ac:dyDescent="0.25">
      <c r="A4799" s="4" t="s">
        <v>7955</v>
      </c>
      <c r="B4799" s="4" t="s">
        <v>38</v>
      </c>
      <c r="C4799" s="4" t="s">
        <v>14</v>
      </c>
      <c r="D4799" s="35">
        <v>1895</v>
      </c>
      <c r="E4799" s="4" t="s">
        <v>7956</v>
      </c>
      <c r="F4799" s="5">
        <v>39114</v>
      </c>
      <c r="G4799" s="5">
        <v>41639</v>
      </c>
      <c r="H4799" s="4" t="s">
        <v>40</v>
      </c>
      <c r="I4799" s="6">
        <f>107099.53+23239.35</f>
        <v>130338.88</v>
      </c>
      <c r="J4799" s="6">
        <f>107099.53+23239.35</f>
        <v>130338.88</v>
      </c>
      <c r="K4799" s="37" t="s">
        <v>7941</v>
      </c>
      <c r="L4799" s="119"/>
      <c r="M4799" s="3"/>
    </row>
    <row r="4800" spans="1:14" s="4" customFormat="1" ht="14.25" customHeight="1" x14ac:dyDescent="0.25">
      <c r="A4800" s="4" t="s">
        <v>7957</v>
      </c>
      <c r="B4800" s="4" t="s">
        <v>38</v>
      </c>
      <c r="C4800" s="4" t="s">
        <v>14</v>
      </c>
      <c r="D4800" s="35">
        <v>1898</v>
      </c>
      <c r="E4800" s="4" t="s">
        <v>7958</v>
      </c>
      <c r="F4800" s="5">
        <v>39479</v>
      </c>
      <c r="G4800" s="5">
        <v>39813</v>
      </c>
      <c r="H4800" s="4" t="s">
        <v>40</v>
      </c>
      <c r="I4800" s="6">
        <v>15380</v>
      </c>
      <c r="J4800" s="6">
        <v>15380</v>
      </c>
      <c r="K4800" s="37" t="s">
        <v>7941</v>
      </c>
      <c r="L4800" s="119"/>
      <c r="M4800" s="3"/>
    </row>
    <row r="4801" spans="1:13" s="4" customFormat="1" ht="14.25" customHeight="1" x14ac:dyDescent="0.25">
      <c r="A4801" s="4" t="s">
        <v>7959</v>
      </c>
      <c r="B4801" s="4" t="s">
        <v>38</v>
      </c>
      <c r="C4801" s="4" t="s">
        <v>14</v>
      </c>
      <c r="D4801" s="35">
        <v>1902</v>
      </c>
      <c r="E4801" s="4" t="s">
        <v>7960</v>
      </c>
      <c r="F4801" s="5">
        <v>39114</v>
      </c>
      <c r="G4801" s="5">
        <v>41273</v>
      </c>
      <c r="H4801" s="4" t="s">
        <v>40</v>
      </c>
      <c r="I4801" s="6">
        <f>15250.23+2203.6</f>
        <v>17453.829999999998</v>
      </c>
      <c r="J4801" s="6">
        <f>15250.23+2203.6</f>
        <v>17453.829999999998</v>
      </c>
      <c r="K4801" s="37" t="s">
        <v>7941</v>
      </c>
      <c r="L4801" s="119"/>
      <c r="M4801" s="3"/>
    </row>
    <row r="4802" spans="1:13" s="4" customFormat="1" ht="14.25" customHeight="1" x14ac:dyDescent="0.25">
      <c r="A4802" s="4" t="s">
        <v>7961</v>
      </c>
      <c r="B4802" s="4" t="s">
        <v>38</v>
      </c>
      <c r="C4802" s="4" t="s">
        <v>14</v>
      </c>
      <c r="D4802" s="35">
        <v>1905</v>
      </c>
      <c r="E4802" s="4" t="s">
        <v>7962</v>
      </c>
      <c r="F4802" s="5">
        <v>39114</v>
      </c>
      <c r="G4802" s="5">
        <v>41274</v>
      </c>
      <c r="H4802" s="4" t="s">
        <v>40</v>
      </c>
      <c r="I4802" s="6">
        <f>66936.78+5015.6</f>
        <v>71952.38</v>
      </c>
      <c r="J4802" s="6">
        <f>66936.78+5015.6</f>
        <v>71952.38</v>
      </c>
      <c r="K4802" s="37" t="s">
        <v>7941</v>
      </c>
      <c r="L4802" s="119"/>
      <c r="M4802" s="3"/>
    </row>
    <row r="4803" spans="1:13" s="4" customFormat="1" ht="14.25" customHeight="1" x14ac:dyDescent="0.25">
      <c r="A4803" s="4" t="s">
        <v>7963</v>
      </c>
      <c r="B4803" s="4" t="s">
        <v>38</v>
      </c>
      <c r="C4803" s="4" t="s">
        <v>14</v>
      </c>
      <c r="D4803" s="35">
        <v>1921</v>
      </c>
      <c r="E4803" s="4" t="s">
        <v>7964</v>
      </c>
      <c r="F4803" s="5">
        <v>39114</v>
      </c>
      <c r="G4803" s="5">
        <v>41639</v>
      </c>
      <c r="H4803" s="4" t="s">
        <v>40</v>
      </c>
      <c r="I4803" s="6">
        <f>5757+310</f>
        <v>6067</v>
      </c>
      <c r="J4803" s="6">
        <f>5757+310</f>
        <v>6067</v>
      </c>
      <c r="K4803" s="37" t="s">
        <v>7941</v>
      </c>
      <c r="L4803" s="119"/>
      <c r="M4803" s="3"/>
    </row>
    <row r="4804" spans="1:13" s="4" customFormat="1" ht="14.25" customHeight="1" x14ac:dyDescent="0.25">
      <c r="A4804" s="4" t="s">
        <v>7965</v>
      </c>
      <c r="B4804" s="4" t="s">
        <v>13</v>
      </c>
      <c r="C4804" s="4" t="s">
        <v>14</v>
      </c>
      <c r="D4804" s="35">
        <v>1923</v>
      </c>
      <c r="E4804" s="4" t="s">
        <v>7966</v>
      </c>
      <c r="F4804" s="5">
        <v>39114</v>
      </c>
      <c r="G4804" s="5">
        <v>41639</v>
      </c>
      <c r="H4804" s="4" t="s">
        <v>40</v>
      </c>
      <c r="I4804" s="6">
        <v>715</v>
      </c>
      <c r="J4804" s="6">
        <v>715</v>
      </c>
      <c r="K4804" s="37" t="s">
        <v>7941</v>
      </c>
      <c r="L4804" s="119"/>
      <c r="M4804" s="3"/>
    </row>
    <row r="4805" spans="1:13" s="4" customFormat="1" ht="14.25" customHeight="1" x14ac:dyDescent="0.25">
      <c r="A4805" s="4" t="s">
        <v>7967</v>
      </c>
      <c r="B4805" s="4" t="s">
        <v>38</v>
      </c>
      <c r="C4805" s="4" t="s">
        <v>14</v>
      </c>
      <c r="D4805" s="35">
        <v>1953</v>
      </c>
      <c r="E4805" s="4" t="s">
        <v>7968</v>
      </c>
      <c r="F4805" s="5">
        <v>39114</v>
      </c>
      <c r="G4805" s="5">
        <v>41639</v>
      </c>
      <c r="H4805" s="4" t="s">
        <v>40</v>
      </c>
      <c r="I4805" s="6">
        <v>9362</v>
      </c>
      <c r="J4805" s="6">
        <v>9362</v>
      </c>
      <c r="K4805" s="37" t="s">
        <v>7941</v>
      </c>
      <c r="L4805" s="119"/>
      <c r="M4805" s="3"/>
    </row>
    <row r="4806" spans="1:13" s="4" customFormat="1" ht="14.25" customHeight="1" x14ac:dyDescent="0.25">
      <c r="A4806" s="4" t="s">
        <v>7969</v>
      </c>
      <c r="B4806" s="4" t="s">
        <v>38</v>
      </c>
      <c r="C4806" s="4" t="s">
        <v>14</v>
      </c>
      <c r="D4806" s="35">
        <v>1954</v>
      </c>
      <c r="E4806" s="4" t="s">
        <v>7970</v>
      </c>
      <c r="F4806" s="5">
        <v>39114</v>
      </c>
      <c r="G4806" s="5">
        <v>41639</v>
      </c>
      <c r="H4806" s="4" t="s">
        <v>40</v>
      </c>
      <c r="I4806" s="6">
        <f>18802+2650.6</f>
        <v>21452.6</v>
      </c>
      <c r="J4806" s="6">
        <f>18802+2650.6</f>
        <v>21452.6</v>
      </c>
      <c r="K4806" s="37" t="s">
        <v>7941</v>
      </c>
      <c r="L4806" s="119"/>
      <c r="M4806" s="3"/>
    </row>
    <row r="4807" spans="1:13" s="4" customFormat="1" ht="14.25" customHeight="1" x14ac:dyDescent="0.25">
      <c r="A4807" s="4" t="s">
        <v>7971</v>
      </c>
      <c r="B4807" s="4" t="s">
        <v>38</v>
      </c>
      <c r="C4807" s="4" t="s">
        <v>14</v>
      </c>
      <c r="D4807" s="35">
        <v>1955</v>
      </c>
      <c r="E4807" s="4" t="s">
        <v>7972</v>
      </c>
      <c r="F4807" s="5">
        <v>39114</v>
      </c>
      <c r="G4807" s="5">
        <v>41639</v>
      </c>
      <c r="H4807" s="4" t="s">
        <v>40</v>
      </c>
      <c r="I4807" s="6">
        <v>14419.9</v>
      </c>
      <c r="J4807" s="6">
        <v>14419.9</v>
      </c>
      <c r="K4807" s="37" t="s">
        <v>7941</v>
      </c>
      <c r="L4807" s="119"/>
      <c r="M4807" s="3"/>
    </row>
    <row r="4808" spans="1:13" s="4" customFormat="1" ht="14.25" customHeight="1" x14ac:dyDescent="0.25">
      <c r="A4808" s="4" t="s">
        <v>7973</v>
      </c>
      <c r="B4808" s="4" t="s">
        <v>38</v>
      </c>
      <c r="C4808" s="4" t="s">
        <v>14</v>
      </c>
      <c r="D4808" s="35">
        <v>1956</v>
      </c>
      <c r="E4808" s="4" t="s">
        <v>7974</v>
      </c>
      <c r="F4808" s="5">
        <v>39114</v>
      </c>
      <c r="G4808" s="5">
        <v>39813</v>
      </c>
      <c r="H4808" s="4" t="s">
        <v>40</v>
      </c>
      <c r="I4808" s="6">
        <v>1045</v>
      </c>
      <c r="J4808" s="6">
        <v>1045</v>
      </c>
      <c r="K4808" s="37" t="s">
        <v>7941</v>
      </c>
      <c r="L4808" s="119"/>
      <c r="M4808" s="3"/>
    </row>
    <row r="4809" spans="1:13" s="4" customFormat="1" ht="14.25" customHeight="1" x14ac:dyDescent="0.25">
      <c r="A4809" s="4" t="s">
        <v>7975</v>
      </c>
      <c r="B4809" s="4" t="s">
        <v>38</v>
      </c>
      <c r="C4809" s="4" t="s">
        <v>14</v>
      </c>
      <c r="D4809" s="35">
        <v>1957</v>
      </c>
      <c r="E4809" s="4" t="s">
        <v>7976</v>
      </c>
      <c r="F4809" s="5">
        <v>39114</v>
      </c>
      <c r="G4809" s="5">
        <v>41639</v>
      </c>
      <c r="H4809" s="4" t="s">
        <v>40</v>
      </c>
      <c r="I4809" s="6">
        <v>4929</v>
      </c>
      <c r="J4809" s="6">
        <v>4929</v>
      </c>
      <c r="K4809" s="37" t="s">
        <v>7941</v>
      </c>
      <c r="L4809" s="119"/>
      <c r="M4809" s="3"/>
    </row>
    <row r="4810" spans="1:13" s="4" customFormat="1" ht="14.25" customHeight="1" x14ac:dyDescent="0.25">
      <c r="A4810" s="4" t="s">
        <v>7977</v>
      </c>
      <c r="B4810" s="4" t="s">
        <v>38</v>
      </c>
      <c r="C4810" s="4" t="s">
        <v>14</v>
      </c>
      <c r="D4810" s="35">
        <v>1958</v>
      </c>
      <c r="E4810" s="4" t="s">
        <v>7978</v>
      </c>
      <c r="F4810" s="5">
        <v>39114</v>
      </c>
      <c r="G4810" s="5">
        <v>41639</v>
      </c>
      <c r="H4810" s="4" t="s">
        <v>40</v>
      </c>
      <c r="I4810" s="6">
        <v>1670</v>
      </c>
      <c r="J4810" s="6">
        <v>1670</v>
      </c>
      <c r="K4810" s="37" t="s">
        <v>7941</v>
      </c>
      <c r="L4810" s="119"/>
      <c r="M4810" s="3"/>
    </row>
    <row r="4811" spans="1:13" s="4" customFormat="1" ht="14.25" customHeight="1" x14ac:dyDescent="0.25">
      <c r="A4811" s="4" t="s">
        <v>7979</v>
      </c>
      <c r="B4811" s="4" t="s">
        <v>38</v>
      </c>
      <c r="C4811" s="4" t="s">
        <v>14</v>
      </c>
      <c r="D4811" s="35">
        <v>1959</v>
      </c>
      <c r="E4811" s="4" t="s">
        <v>7980</v>
      </c>
      <c r="F4811" s="5">
        <v>39114</v>
      </c>
      <c r="G4811" s="5">
        <v>41639</v>
      </c>
      <c r="H4811" s="4" t="s">
        <v>40</v>
      </c>
      <c r="I4811" s="6">
        <v>1063.5</v>
      </c>
      <c r="J4811" s="6">
        <v>1063.5</v>
      </c>
      <c r="K4811" s="37" t="s">
        <v>7941</v>
      </c>
      <c r="L4811" s="119"/>
      <c r="M4811" s="3"/>
    </row>
    <row r="4812" spans="1:13" s="4" customFormat="1" ht="14.25" customHeight="1" x14ac:dyDescent="0.25">
      <c r="A4812" s="4" t="s">
        <v>7981</v>
      </c>
      <c r="B4812" s="4" t="s">
        <v>38</v>
      </c>
      <c r="C4812" s="4" t="s">
        <v>14</v>
      </c>
      <c r="D4812" s="35">
        <v>1986</v>
      </c>
      <c r="E4812" s="4" t="s">
        <v>7982</v>
      </c>
      <c r="F4812" s="5">
        <v>39114</v>
      </c>
      <c r="G4812" s="5">
        <v>39813</v>
      </c>
      <c r="H4812" s="4" t="s">
        <v>40</v>
      </c>
      <c r="I4812" s="6">
        <v>1965</v>
      </c>
      <c r="J4812" s="6">
        <v>1965</v>
      </c>
      <c r="K4812" s="37" t="s">
        <v>7941</v>
      </c>
      <c r="L4812" s="119"/>
      <c r="M4812" s="3"/>
    </row>
    <row r="4813" spans="1:13" s="4" customFormat="1" ht="14.25" customHeight="1" x14ac:dyDescent="0.25">
      <c r="A4813" s="4" t="s">
        <v>7983</v>
      </c>
      <c r="B4813" s="4" t="s">
        <v>38</v>
      </c>
      <c r="C4813" s="4" t="s">
        <v>14</v>
      </c>
      <c r="D4813" s="35">
        <v>1987</v>
      </c>
      <c r="E4813" s="4" t="s">
        <v>7984</v>
      </c>
      <c r="F4813" s="5">
        <v>39114</v>
      </c>
      <c r="G4813" s="5">
        <v>41639</v>
      </c>
      <c r="H4813" s="4" t="s">
        <v>40</v>
      </c>
      <c r="I4813" s="6">
        <f>29911.05+11366.6</f>
        <v>41277.65</v>
      </c>
      <c r="J4813" s="6">
        <f>29911.05+11366.6</f>
        <v>41277.65</v>
      </c>
      <c r="K4813" s="37" t="s">
        <v>7941</v>
      </c>
      <c r="L4813" s="119"/>
      <c r="M4813" s="3"/>
    </row>
    <row r="4814" spans="1:13" s="4" customFormat="1" ht="14.25" customHeight="1" x14ac:dyDescent="0.25">
      <c r="A4814" s="4" t="s">
        <v>7985</v>
      </c>
      <c r="B4814" s="4" t="s">
        <v>38</v>
      </c>
      <c r="C4814" s="4" t="s">
        <v>14</v>
      </c>
      <c r="D4814" s="35">
        <v>1988</v>
      </c>
      <c r="E4814" s="4" t="s">
        <v>7986</v>
      </c>
      <c r="F4814" s="5">
        <v>39114</v>
      </c>
      <c r="G4814" s="5">
        <v>41639</v>
      </c>
      <c r="H4814" s="4" t="s">
        <v>40</v>
      </c>
      <c r="I4814" s="6">
        <f>93049.24+6617.6</f>
        <v>99666.840000000011</v>
      </c>
      <c r="J4814" s="6">
        <f>93049.24+6617.6</f>
        <v>99666.840000000011</v>
      </c>
      <c r="K4814" s="37" t="s">
        <v>7941</v>
      </c>
      <c r="L4814" s="119"/>
      <c r="M4814" s="3"/>
    </row>
    <row r="4815" spans="1:13" s="4" customFormat="1" ht="14.25" customHeight="1" x14ac:dyDescent="0.25">
      <c r="A4815" s="4" t="s">
        <v>7987</v>
      </c>
      <c r="B4815" s="4" t="s">
        <v>38</v>
      </c>
      <c r="C4815" s="4" t="s">
        <v>14</v>
      </c>
      <c r="D4815" s="35">
        <v>1991</v>
      </c>
      <c r="E4815" s="4" t="s">
        <v>7988</v>
      </c>
      <c r="F4815" s="5">
        <v>39114</v>
      </c>
      <c r="G4815" s="5">
        <v>39813</v>
      </c>
      <c r="H4815" s="4" t="s">
        <v>40</v>
      </c>
      <c r="I4815" s="6">
        <v>1875</v>
      </c>
      <c r="J4815" s="6">
        <v>1875</v>
      </c>
      <c r="K4815" s="37" t="s">
        <v>7941</v>
      </c>
      <c r="L4815" s="119"/>
      <c r="M4815" s="3"/>
    </row>
    <row r="4816" spans="1:13" s="4" customFormat="1" ht="14.25" customHeight="1" x14ac:dyDescent="0.25">
      <c r="A4816" s="4" t="s">
        <v>7989</v>
      </c>
      <c r="B4816" s="4" t="s">
        <v>38</v>
      </c>
      <c r="C4816" s="4" t="s">
        <v>14</v>
      </c>
      <c r="D4816" s="35">
        <v>1995</v>
      </c>
      <c r="E4816" s="4" t="s">
        <v>7990</v>
      </c>
      <c r="F4816" s="5">
        <v>39114</v>
      </c>
      <c r="G4816" s="5">
        <v>39813</v>
      </c>
      <c r="H4816" s="4" t="s">
        <v>40</v>
      </c>
      <c r="I4816" s="6">
        <v>1163.07</v>
      </c>
      <c r="J4816" s="6">
        <v>1163.07</v>
      </c>
      <c r="K4816" s="37" t="s">
        <v>7941</v>
      </c>
      <c r="L4816" s="119"/>
      <c r="M4816" s="3"/>
    </row>
    <row r="4817" spans="1:13" s="4" customFormat="1" ht="14.25" customHeight="1" x14ac:dyDescent="0.25">
      <c r="A4817" s="4" t="s">
        <v>7991</v>
      </c>
      <c r="B4817" s="4" t="s">
        <v>38</v>
      </c>
      <c r="C4817" s="4" t="s">
        <v>14</v>
      </c>
      <c r="D4817" s="35">
        <v>1998</v>
      </c>
      <c r="E4817" s="4" t="s">
        <v>7992</v>
      </c>
      <c r="F4817" s="5">
        <v>39114</v>
      </c>
      <c r="G4817" s="5">
        <v>39813</v>
      </c>
      <c r="H4817" s="4" t="s">
        <v>40</v>
      </c>
      <c r="I4817" s="6">
        <v>675</v>
      </c>
      <c r="J4817" s="6">
        <v>675</v>
      </c>
      <c r="K4817" s="37" t="s">
        <v>7941</v>
      </c>
      <c r="L4817" s="119"/>
      <c r="M4817" s="3"/>
    </row>
    <row r="4818" spans="1:13" s="4" customFormat="1" ht="14.25" customHeight="1" x14ac:dyDescent="0.25">
      <c r="A4818" s="4" t="s">
        <v>7993</v>
      </c>
      <c r="B4818" s="4" t="s">
        <v>38</v>
      </c>
      <c r="C4818" s="4" t="s">
        <v>14</v>
      </c>
      <c r="D4818" s="35">
        <v>2008</v>
      </c>
      <c r="E4818" s="4" t="s">
        <v>7994</v>
      </c>
      <c r="F4818" s="5">
        <v>39114</v>
      </c>
      <c r="G4818" s="5">
        <v>41639</v>
      </c>
      <c r="H4818" s="4" t="s">
        <v>40</v>
      </c>
      <c r="I4818" s="6">
        <v>2245</v>
      </c>
      <c r="J4818" s="6">
        <v>2245</v>
      </c>
      <c r="K4818" s="37" t="s">
        <v>7941</v>
      </c>
      <c r="L4818" s="119"/>
      <c r="M4818" s="3"/>
    </row>
    <row r="4819" spans="1:13" s="4" customFormat="1" ht="14.25" customHeight="1" x14ac:dyDescent="0.25">
      <c r="A4819" s="4" t="s">
        <v>7995</v>
      </c>
      <c r="B4819" s="4" t="s">
        <v>38</v>
      </c>
      <c r="C4819" s="4" t="s">
        <v>14</v>
      </c>
      <c r="D4819" s="35">
        <v>2035</v>
      </c>
      <c r="E4819" s="4" t="s">
        <v>7996</v>
      </c>
      <c r="F4819" s="5">
        <v>39114</v>
      </c>
      <c r="G4819" s="5">
        <v>41274</v>
      </c>
      <c r="H4819" s="4" t="s">
        <v>40</v>
      </c>
      <c r="I4819" s="6">
        <v>13962.23</v>
      </c>
      <c r="J4819" s="6">
        <v>13962.23</v>
      </c>
      <c r="K4819" s="37" t="s">
        <v>7941</v>
      </c>
      <c r="L4819" s="119"/>
      <c r="M4819" s="3"/>
    </row>
    <row r="4820" spans="1:13" s="4" customFormat="1" ht="14.25" customHeight="1" x14ac:dyDescent="0.25">
      <c r="A4820" s="4" t="s">
        <v>7997</v>
      </c>
      <c r="B4820" s="4" t="s">
        <v>38</v>
      </c>
      <c r="C4820" s="4" t="s">
        <v>14</v>
      </c>
      <c r="D4820" s="35">
        <v>2038</v>
      </c>
      <c r="E4820" s="4" t="s">
        <v>7998</v>
      </c>
      <c r="F4820" s="5">
        <v>39114</v>
      </c>
      <c r="G4820" s="5">
        <v>41639</v>
      </c>
      <c r="H4820" s="4" t="s">
        <v>40</v>
      </c>
      <c r="I4820" s="6">
        <v>1095.4000000000001</v>
      </c>
      <c r="J4820" s="6">
        <v>1095.4000000000001</v>
      </c>
      <c r="K4820" s="37" t="s">
        <v>7941</v>
      </c>
      <c r="L4820" s="119"/>
      <c r="M4820" s="3"/>
    </row>
    <row r="4821" spans="1:13" s="4" customFormat="1" ht="14.25" customHeight="1" x14ac:dyDescent="0.25">
      <c r="A4821" s="4" t="s">
        <v>7999</v>
      </c>
      <c r="B4821" s="4" t="s">
        <v>38</v>
      </c>
      <c r="C4821" s="4" t="s">
        <v>14</v>
      </c>
      <c r="D4821" s="35">
        <v>2041</v>
      </c>
      <c r="E4821" s="4" t="s">
        <v>8000</v>
      </c>
      <c r="F4821" s="5">
        <v>39114</v>
      </c>
      <c r="G4821" s="5">
        <v>41639</v>
      </c>
      <c r="H4821" s="4" t="s">
        <v>40</v>
      </c>
      <c r="I4821" s="6">
        <v>1436</v>
      </c>
      <c r="J4821" s="6">
        <v>1436</v>
      </c>
      <c r="K4821" s="37" t="s">
        <v>7941</v>
      </c>
      <c r="L4821" s="119"/>
      <c r="M4821" s="3"/>
    </row>
    <row r="4822" spans="1:13" s="4" customFormat="1" ht="14.25" customHeight="1" x14ac:dyDescent="0.25">
      <c r="A4822" s="4" t="s">
        <v>8001</v>
      </c>
      <c r="B4822" s="4" t="s">
        <v>38</v>
      </c>
      <c r="C4822" s="4" t="s">
        <v>14</v>
      </c>
      <c r="D4822" s="35">
        <v>2044</v>
      </c>
      <c r="E4822" s="4" t="s">
        <v>8002</v>
      </c>
      <c r="F4822" s="5">
        <v>39114</v>
      </c>
      <c r="G4822" s="5">
        <v>41639</v>
      </c>
      <c r="H4822" s="4" t="s">
        <v>40</v>
      </c>
      <c r="I4822" s="6">
        <v>2265</v>
      </c>
      <c r="J4822" s="6">
        <v>2265</v>
      </c>
      <c r="K4822" s="37" t="s">
        <v>7941</v>
      </c>
      <c r="L4822" s="119"/>
      <c r="M4822" s="3"/>
    </row>
    <row r="4823" spans="1:13" s="4" customFormat="1" ht="14.25" customHeight="1" x14ac:dyDescent="0.25">
      <c r="A4823" s="4" t="s">
        <v>8003</v>
      </c>
      <c r="B4823" s="4" t="s">
        <v>38</v>
      </c>
      <c r="C4823" s="4" t="s">
        <v>14</v>
      </c>
      <c r="D4823" s="35">
        <v>2047</v>
      </c>
      <c r="E4823" s="4" t="s">
        <v>8004</v>
      </c>
      <c r="F4823" s="5">
        <v>39114</v>
      </c>
      <c r="G4823" s="5">
        <v>39813</v>
      </c>
      <c r="H4823" s="4" t="s">
        <v>40</v>
      </c>
      <c r="I4823" s="6">
        <v>3403.6</v>
      </c>
      <c r="J4823" s="6">
        <v>3403.6</v>
      </c>
      <c r="K4823" s="37" t="s">
        <v>7941</v>
      </c>
      <c r="L4823" s="119"/>
      <c r="M4823" s="3"/>
    </row>
    <row r="4824" spans="1:13" s="4" customFormat="1" ht="14.25" customHeight="1" x14ac:dyDescent="0.25">
      <c r="A4824" s="4" t="s">
        <v>8005</v>
      </c>
      <c r="B4824" s="4" t="s">
        <v>38</v>
      </c>
      <c r="C4824" s="4" t="s">
        <v>14</v>
      </c>
      <c r="D4824" s="35">
        <v>2048</v>
      </c>
      <c r="E4824" s="4" t="s">
        <v>8006</v>
      </c>
      <c r="F4824" s="5">
        <v>39114</v>
      </c>
      <c r="G4824" s="5">
        <v>41639</v>
      </c>
      <c r="H4824" s="4" t="s">
        <v>40</v>
      </c>
      <c r="I4824" s="6">
        <v>3376</v>
      </c>
      <c r="J4824" s="6">
        <v>3376</v>
      </c>
      <c r="K4824" s="37" t="s">
        <v>7941</v>
      </c>
      <c r="L4824" s="119"/>
      <c r="M4824" s="3"/>
    </row>
    <row r="4825" spans="1:13" s="4" customFormat="1" ht="14.25" customHeight="1" x14ac:dyDescent="0.25">
      <c r="A4825" s="4" t="s">
        <v>8007</v>
      </c>
      <c r="B4825" s="4" t="s">
        <v>38</v>
      </c>
      <c r="C4825" s="4" t="s">
        <v>14</v>
      </c>
      <c r="D4825" s="35">
        <v>2071</v>
      </c>
      <c r="E4825" s="4" t="s">
        <v>8008</v>
      </c>
      <c r="F4825" s="5">
        <v>39114</v>
      </c>
      <c r="G4825" s="5">
        <v>41638</v>
      </c>
      <c r="H4825" s="4" t="s">
        <v>40</v>
      </c>
      <c r="I4825" s="6">
        <v>875</v>
      </c>
      <c r="J4825" s="6">
        <v>875</v>
      </c>
      <c r="K4825" s="37" t="s">
        <v>7941</v>
      </c>
      <c r="L4825" s="119"/>
      <c r="M4825" s="3"/>
    </row>
    <row r="4826" spans="1:13" s="4" customFormat="1" ht="14.25" customHeight="1" x14ac:dyDescent="0.25">
      <c r="A4826" s="4" t="s">
        <v>8009</v>
      </c>
      <c r="B4826" s="4" t="s">
        <v>38</v>
      </c>
      <c r="C4826" s="4" t="s">
        <v>14</v>
      </c>
      <c r="D4826" s="35">
        <v>2088</v>
      </c>
      <c r="E4826" s="4" t="s">
        <v>8010</v>
      </c>
      <c r="F4826" s="5">
        <v>39114</v>
      </c>
      <c r="G4826" s="5">
        <v>41639</v>
      </c>
      <c r="H4826" s="4" t="s">
        <v>40</v>
      </c>
      <c r="I4826" s="6">
        <v>1460</v>
      </c>
      <c r="J4826" s="6">
        <v>1460</v>
      </c>
      <c r="K4826" s="37" t="s">
        <v>7941</v>
      </c>
      <c r="L4826" s="119"/>
      <c r="M4826" s="3"/>
    </row>
    <row r="4827" spans="1:13" s="4" customFormat="1" ht="14.25" customHeight="1" x14ac:dyDescent="0.25">
      <c r="A4827" s="4" t="s">
        <v>8011</v>
      </c>
      <c r="B4827" s="4" t="s">
        <v>38</v>
      </c>
      <c r="C4827" s="4" t="s">
        <v>14</v>
      </c>
      <c r="D4827" s="35">
        <v>2093</v>
      </c>
      <c r="E4827" s="4" t="s">
        <v>8012</v>
      </c>
      <c r="F4827" s="5">
        <v>39114</v>
      </c>
      <c r="G4827" s="5">
        <v>41639</v>
      </c>
      <c r="H4827" s="4" t="s">
        <v>40</v>
      </c>
      <c r="I4827" s="6">
        <v>6055</v>
      </c>
      <c r="J4827" s="6">
        <v>6055</v>
      </c>
      <c r="K4827" s="37" t="s">
        <v>7941</v>
      </c>
      <c r="L4827" s="119"/>
      <c r="M4827" s="3"/>
    </row>
    <row r="4828" spans="1:13" s="4" customFormat="1" ht="14.25" customHeight="1" x14ac:dyDescent="0.25">
      <c r="A4828" s="4" t="s">
        <v>8013</v>
      </c>
      <c r="B4828" s="4" t="s">
        <v>38</v>
      </c>
      <c r="C4828" s="4" t="s">
        <v>14</v>
      </c>
      <c r="D4828" s="35">
        <v>2095</v>
      </c>
      <c r="E4828" s="4" t="s">
        <v>8014</v>
      </c>
      <c r="F4828" s="5">
        <v>39114</v>
      </c>
      <c r="G4828" s="5">
        <v>41638</v>
      </c>
      <c r="H4828" s="4" t="s">
        <v>40</v>
      </c>
      <c r="I4828" s="6">
        <f>205389.83+19331.2</f>
        <v>224721.03</v>
      </c>
      <c r="J4828" s="6">
        <f>205389.83+19331.2</f>
        <v>224721.03</v>
      </c>
      <c r="K4828" s="37" t="s">
        <v>7941</v>
      </c>
      <c r="L4828" s="119"/>
      <c r="M4828" s="3"/>
    </row>
    <row r="4829" spans="1:13" s="4" customFormat="1" ht="14.25" customHeight="1" x14ac:dyDescent="0.25">
      <c r="A4829" s="4" t="s">
        <v>8015</v>
      </c>
      <c r="B4829" s="4" t="s">
        <v>38</v>
      </c>
      <c r="C4829" s="4" t="s">
        <v>14</v>
      </c>
      <c r="D4829" s="35">
        <v>2190</v>
      </c>
      <c r="E4829" s="4" t="s">
        <v>8016</v>
      </c>
      <c r="F4829" s="5">
        <v>39114</v>
      </c>
      <c r="G4829" s="5">
        <v>41274</v>
      </c>
      <c r="H4829" s="4" t="s">
        <v>40</v>
      </c>
      <c r="I4829" s="6">
        <f>105482.7+20996.6</f>
        <v>126479.29999999999</v>
      </c>
      <c r="J4829" s="6">
        <f>105482.7+20996.6</f>
        <v>126479.29999999999</v>
      </c>
      <c r="K4829" s="37" t="s">
        <v>7941</v>
      </c>
      <c r="L4829" s="119"/>
      <c r="M4829" s="3"/>
    </row>
    <row r="4830" spans="1:13" s="4" customFormat="1" ht="14.25" customHeight="1" x14ac:dyDescent="0.25">
      <c r="A4830" s="4" t="s">
        <v>8017</v>
      </c>
      <c r="B4830" s="4" t="s">
        <v>38</v>
      </c>
      <c r="C4830" s="4" t="s">
        <v>14</v>
      </c>
      <c r="D4830" s="35">
        <v>2191</v>
      </c>
      <c r="E4830" s="4" t="s">
        <v>8018</v>
      </c>
      <c r="F4830" s="5">
        <v>39114</v>
      </c>
      <c r="G4830" s="5">
        <v>41639</v>
      </c>
      <c r="H4830" s="4" t="s">
        <v>40</v>
      </c>
      <c r="I4830" s="6">
        <v>16515.89</v>
      </c>
      <c r="J4830" s="6">
        <v>16515.89</v>
      </c>
      <c r="K4830" s="37" t="s">
        <v>7941</v>
      </c>
      <c r="L4830" s="119"/>
      <c r="M4830" s="3"/>
    </row>
    <row r="4831" spans="1:13" s="4" customFormat="1" ht="14.25" customHeight="1" x14ac:dyDescent="0.25">
      <c r="A4831" s="4" t="s">
        <v>8019</v>
      </c>
      <c r="B4831" s="4" t="s">
        <v>38</v>
      </c>
      <c r="C4831" s="4" t="s">
        <v>14</v>
      </c>
      <c r="D4831" s="35">
        <v>2192</v>
      </c>
      <c r="E4831" s="4" t="s">
        <v>8020</v>
      </c>
      <c r="F4831" s="5">
        <v>39479</v>
      </c>
      <c r="G4831" s="5">
        <v>41639</v>
      </c>
      <c r="H4831" s="4" t="s">
        <v>40</v>
      </c>
      <c r="I4831" s="6">
        <v>21905.51</v>
      </c>
      <c r="J4831" s="6">
        <v>21905.51</v>
      </c>
      <c r="K4831" s="37" t="s">
        <v>7941</v>
      </c>
      <c r="L4831" s="119"/>
      <c r="M4831" s="3"/>
    </row>
    <row r="4832" spans="1:13" s="4" customFormat="1" ht="14.25" customHeight="1" x14ac:dyDescent="0.25">
      <c r="A4832" s="4" t="s">
        <v>8021</v>
      </c>
      <c r="B4832" s="4" t="s">
        <v>38</v>
      </c>
      <c r="C4832" s="4" t="s">
        <v>14</v>
      </c>
      <c r="D4832" s="35">
        <v>2193</v>
      </c>
      <c r="E4832" s="4" t="s">
        <v>8022</v>
      </c>
      <c r="F4832" s="5">
        <v>39114</v>
      </c>
      <c r="G4832" s="5">
        <v>41639</v>
      </c>
      <c r="H4832" s="4" t="s">
        <v>40</v>
      </c>
      <c r="I4832" s="6">
        <v>89102.21</v>
      </c>
      <c r="J4832" s="6">
        <v>89102.21</v>
      </c>
      <c r="K4832" s="37" t="s">
        <v>7941</v>
      </c>
      <c r="L4832" s="119"/>
      <c r="M4832" s="3"/>
    </row>
    <row r="4833" spans="1:13" s="4" customFormat="1" ht="14.25" customHeight="1" x14ac:dyDescent="0.25">
      <c r="A4833" s="4" t="s">
        <v>8023</v>
      </c>
      <c r="B4833" s="4" t="s">
        <v>38</v>
      </c>
      <c r="C4833" s="4" t="s">
        <v>14</v>
      </c>
      <c r="D4833" s="35">
        <v>2194</v>
      </c>
      <c r="E4833" s="4" t="s">
        <v>8024</v>
      </c>
      <c r="F4833" s="5">
        <v>39114</v>
      </c>
      <c r="G4833" s="5">
        <v>41639</v>
      </c>
      <c r="H4833" s="4" t="s">
        <v>40</v>
      </c>
      <c r="I4833" s="6">
        <f>20026.74+297.5</f>
        <v>20324.240000000002</v>
      </c>
      <c r="J4833" s="6">
        <f>20026.74+297.5</f>
        <v>20324.240000000002</v>
      </c>
      <c r="K4833" s="37" t="s">
        <v>7941</v>
      </c>
      <c r="L4833" s="119"/>
      <c r="M4833" s="3"/>
    </row>
    <row r="4834" spans="1:13" s="4" customFormat="1" ht="14.25" customHeight="1" x14ac:dyDescent="0.25">
      <c r="A4834" s="4" t="s">
        <v>8025</v>
      </c>
      <c r="B4834" s="4" t="s">
        <v>38</v>
      </c>
      <c r="C4834" s="4" t="s">
        <v>14</v>
      </c>
      <c r="D4834" s="35">
        <v>2195</v>
      </c>
      <c r="E4834" s="4" t="s">
        <v>8026</v>
      </c>
      <c r="F4834" s="5">
        <v>39114</v>
      </c>
      <c r="G4834" s="5">
        <v>41639</v>
      </c>
      <c r="H4834" s="4" t="s">
        <v>40</v>
      </c>
      <c r="I4834" s="6">
        <f>6928.2</f>
        <v>6928.2</v>
      </c>
      <c r="J4834" s="6">
        <f>6928.2</f>
        <v>6928.2</v>
      </c>
      <c r="K4834" s="37" t="s">
        <v>7941</v>
      </c>
      <c r="L4834" s="119"/>
      <c r="M4834" s="3"/>
    </row>
    <row r="4835" spans="1:13" s="4" customFormat="1" ht="14.25" customHeight="1" x14ac:dyDescent="0.25">
      <c r="A4835" s="4" t="s">
        <v>8027</v>
      </c>
      <c r="B4835" s="4" t="s">
        <v>38</v>
      </c>
      <c r="C4835" s="4" t="s">
        <v>14</v>
      </c>
      <c r="D4835" s="35">
        <v>2196</v>
      </c>
      <c r="E4835" s="4" t="s">
        <v>8028</v>
      </c>
      <c r="F4835" s="5">
        <v>39114</v>
      </c>
      <c r="G4835" s="5">
        <v>39813</v>
      </c>
      <c r="H4835" s="4" t="s">
        <v>40</v>
      </c>
      <c r="I4835" s="6">
        <f>300+5954.95</f>
        <v>6254.95</v>
      </c>
      <c r="J4835" s="6">
        <f>300+5954.95</f>
        <v>6254.95</v>
      </c>
      <c r="K4835" s="37" t="s">
        <v>7941</v>
      </c>
      <c r="L4835" s="119"/>
      <c r="M4835" s="3"/>
    </row>
    <row r="4836" spans="1:13" s="4" customFormat="1" ht="14.25" customHeight="1" x14ac:dyDescent="0.25">
      <c r="A4836" s="4" t="s">
        <v>8029</v>
      </c>
      <c r="B4836" s="4" t="s">
        <v>38</v>
      </c>
      <c r="C4836" s="4" t="s">
        <v>14</v>
      </c>
      <c r="D4836" s="35">
        <v>2197</v>
      </c>
      <c r="E4836" s="4" t="s">
        <v>8030</v>
      </c>
      <c r="F4836" s="5">
        <v>39114</v>
      </c>
      <c r="G4836" s="5">
        <v>41639</v>
      </c>
      <c r="H4836" s="4" t="s">
        <v>40</v>
      </c>
      <c r="I4836" s="6">
        <v>12926.45</v>
      </c>
      <c r="J4836" s="6">
        <v>12926.45</v>
      </c>
      <c r="K4836" s="37" t="s">
        <v>7941</v>
      </c>
      <c r="L4836" s="119"/>
      <c r="M4836" s="3"/>
    </row>
    <row r="4837" spans="1:13" s="4" customFormat="1" ht="14.25" customHeight="1" x14ac:dyDescent="0.25">
      <c r="A4837" s="4" t="s">
        <v>8031</v>
      </c>
      <c r="B4837" s="4" t="s">
        <v>38</v>
      </c>
      <c r="C4837" s="4" t="s">
        <v>14</v>
      </c>
      <c r="D4837" s="35">
        <v>2198</v>
      </c>
      <c r="E4837" s="4" t="s">
        <v>8032</v>
      </c>
      <c r="F4837" s="5">
        <v>39479</v>
      </c>
      <c r="G4837" s="5">
        <v>41639</v>
      </c>
      <c r="H4837" s="4" t="s">
        <v>40</v>
      </c>
      <c r="I4837" s="6">
        <v>3000</v>
      </c>
      <c r="J4837" s="6">
        <v>3000</v>
      </c>
      <c r="K4837" s="37" t="s">
        <v>7941</v>
      </c>
      <c r="L4837" s="119"/>
      <c r="M4837" s="3"/>
    </row>
    <row r="4838" spans="1:13" s="4" customFormat="1" ht="14.25" customHeight="1" x14ac:dyDescent="0.25">
      <c r="A4838" s="4" t="s">
        <v>8033</v>
      </c>
      <c r="B4838" s="4" t="s">
        <v>38</v>
      </c>
      <c r="C4838" s="4" t="s">
        <v>14</v>
      </c>
      <c r="D4838" s="35">
        <v>2199</v>
      </c>
      <c r="E4838" s="4" t="s">
        <v>8034</v>
      </c>
      <c r="F4838" s="5">
        <v>39692</v>
      </c>
      <c r="G4838" s="5">
        <v>41274</v>
      </c>
      <c r="H4838" s="4" t="s">
        <v>40</v>
      </c>
      <c r="I4838" s="6">
        <f>15421.38+2170.7</f>
        <v>17592.079999999998</v>
      </c>
      <c r="J4838" s="6">
        <f>15421.38+2170.7</f>
        <v>17592.079999999998</v>
      </c>
      <c r="K4838" s="37" t="s">
        <v>7941</v>
      </c>
      <c r="L4838" s="119"/>
      <c r="M4838" s="3"/>
    </row>
    <row r="4839" spans="1:13" s="4" customFormat="1" ht="14.25" customHeight="1" x14ac:dyDescent="0.25">
      <c r="A4839" s="4" t="s">
        <v>8035</v>
      </c>
      <c r="B4839" s="4" t="s">
        <v>38</v>
      </c>
      <c r="C4839" s="4" t="s">
        <v>14</v>
      </c>
      <c r="D4839" s="35">
        <v>2201</v>
      </c>
      <c r="E4839" s="4" t="s">
        <v>8036</v>
      </c>
      <c r="F4839" s="5">
        <v>39479</v>
      </c>
      <c r="G4839" s="5">
        <v>41639</v>
      </c>
      <c r="H4839" s="4" t="s">
        <v>40</v>
      </c>
      <c r="I4839" s="6">
        <v>443</v>
      </c>
      <c r="J4839" s="6">
        <v>443</v>
      </c>
      <c r="K4839" s="37" t="s">
        <v>7941</v>
      </c>
      <c r="L4839" s="119"/>
      <c r="M4839" s="3"/>
    </row>
    <row r="4840" spans="1:13" s="4" customFormat="1" ht="14.25" customHeight="1" x14ac:dyDescent="0.25">
      <c r="A4840" s="4" t="s">
        <v>8037</v>
      </c>
      <c r="B4840" s="4" t="s">
        <v>38</v>
      </c>
      <c r="C4840" s="4" t="s">
        <v>14</v>
      </c>
      <c r="D4840" s="35">
        <v>2208</v>
      </c>
      <c r="E4840" s="4" t="s">
        <v>8038</v>
      </c>
      <c r="F4840" s="5">
        <v>39114</v>
      </c>
      <c r="G4840" s="5">
        <v>40907</v>
      </c>
      <c r="H4840" s="4" t="s">
        <v>40</v>
      </c>
      <c r="I4840" s="6">
        <v>13381.07</v>
      </c>
      <c r="J4840" s="6">
        <v>13381.07</v>
      </c>
      <c r="K4840" s="37" t="s">
        <v>7941</v>
      </c>
      <c r="L4840" s="119"/>
      <c r="M4840" s="3"/>
    </row>
    <row r="4841" spans="1:13" s="4" customFormat="1" ht="14.25" customHeight="1" x14ac:dyDescent="0.25">
      <c r="A4841" s="4" t="s">
        <v>8039</v>
      </c>
      <c r="B4841" s="4" t="s">
        <v>38</v>
      </c>
      <c r="C4841" s="4" t="s">
        <v>14</v>
      </c>
      <c r="D4841" s="35">
        <v>2210</v>
      </c>
      <c r="E4841" s="4" t="s">
        <v>8040</v>
      </c>
      <c r="F4841" s="5">
        <v>39479</v>
      </c>
      <c r="G4841" s="5">
        <v>41639</v>
      </c>
      <c r="H4841" s="4" t="s">
        <v>40</v>
      </c>
      <c r="I4841" s="6">
        <v>4964.1000000000004</v>
      </c>
      <c r="J4841" s="6">
        <v>4964.1000000000004</v>
      </c>
      <c r="K4841" s="37" t="s">
        <v>7941</v>
      </c>
      <c r="L4841" s="119"/>
      <c r="M4841" s="3"/>
    </row>
    <row r="4842" spans="1:13" s="4" customFormat="1" ht="14.25" customHeight="1" x14ac:dyDescent="0.25">
      <c r="A4842" s="4" t="s">
        <v>8041</v>
      </c>
      <c r="B4842" s="4" t="s">
        <v>38</v>
      </c>
      <c r="C4842" s="4" t="s">
        <v>14</v>
      </c>
      <c r="D4842" s="35">
        <v>2212</v>
      </c>
      <c r="E4842" s="4" t="s">
        <v>8042</v>
      </c>
      <c r="F4842" s="5">
        <v>39114</v>
      </c>
      <c r="G4842" s="5">
        <v>41274</v>
      </c>
      <c r="H4842" s="4" t="s">
        <v>40</v>
      </c>
      <c r="I4842" s="6">
        <f>43484.23+6054.1</f>
        <v>49538.33</v>
      </c>
      <c r="J4842" s="6">
        <f>43484.23+6054.1</f>
        <v>49538.33</v>
      </c>
      <c r="K4842" s="37" t="s">
        <v>7941</v>
      </c>
      <c r="L4842" s="119"/>
      <c r="M4842" s="3"/>
    </row>
    <row r="4843" spans="1:13" s="4" customFormat="1" ht="14.25" customHeight="1" x14ac:dyDescent="0.25">
      <c r="A4843" s="4" t="s">
        <v>8043</v>
      </c>
      <c r="B4843" s="4" t="s">
        <v>183</v>
      </c>
      <c r="C4843" s="4" t="s">
        <v>14</v>
      </c>
      <c r="D4843" s="35">
        <v>2213</v>
      </c>
      <c r="E4843" s="4" t="s">
        <v>8044</v>
      </c>
      <c r="F4843" s="5">
        <v>39114</v>
      </c>
      <c r="G4843" s="5">
        <v>39813</v>
      </c>
      <c r="H4843" s="4" t="s">
        <v>40</v>
      </c>
      <c r="I4843" s="6">
        <v>1517</v>
      </c>
      <c r="J4843" s="6">
        <v>1517</v>
      </c>
      <c r="K4843" s="37" t="s">
        <v>7941</v>
      </c>
      <c r="L4843" s="119"/>
      <c r="M4843" s="3"/>
    </row>
    <row r="4844" spans="1:13" s="4" customFormat="1" ht="14.25" customHeight="1" x14ac:dyDescent="0.25">
      <c r="A4844" s="4" t="s">
        <v>2284</v>
      </c>
      <c r="B4844" s="4" t="s">
        <v>38</v>
      </c>
      <c r="C4844" s="4" t="s">
        <v>14</v>
      </c>
      <c r="D4844" s="35">
        <v>2215</v>
      </c>
      <c r="E4844" s="4" t="s">
        <v>8045</v>
      </c>
      <c r="F4844" s="5">
        <v>39114</v>
      </c>
      <c r="G4844" s="5">
        <v>41274</v>
      </c>
      <c r="H4844" s="4" t="s">
        <v>40</v>
      </c>
      <c r="I4844" s="6">
        <f>214521.08+27877.95</f>
        <v>242399.03</v>
      </c>
      <c r="J4844" s="6">
        <f>214521.08+27877.95</f>
        <v>242399.03</v>
      </c>
      <c r="K4844" s="37" t="s">
        <v>7941</v>
      </c>
      <c r="L4844" s="119"/>
      <c r="M4844" s="3"/>
    </row>
    <row r="4845" spans="1:13" s="4" customFormat="1" ht="14.25" customHeight="1" x14ac:dyDescent="0.25">
      <c r="A4845" s="4" t="s">
        <v>8046</v>
      </c>
      <c r="B4845" s="4" t="s">
        <v>13</v>
      </c>
      <c r="C4845" s="4" t="s">
        <v>14</v>
      </c>
      <c r="D4845" s="35">
        <v>2217</v>
      </c>
      <c r="E4845" s="4" t="s">
        <v>8047</v>
      </c>
      <c r="F4845" s="5">
        <v>39114</v>
      </c>
      <c r="G4845" s="5">
        <v>41639</v>
      </c>
      <c r="H4845" s="4" t="s">
        <v>40</v>
      </c>
      <c r="I4845" s="6">
        <v>0</v>
      </c>
      <c r="J4845" s="6">
        <v>0</v>
      </c>
      <c r="K4845" s="37" t="s">
        <v>7941</v>
      </c>
      <c r="L4845" s="119"/>
      <c r="M4845" s="3"/>
    </row>
    <row r="4846" spans="1:13" s="4" customFormat="1" ht="14.25" customHeight="1" x14ac:dyDescent="0.25">
      <c r="A4846" s="4" t="s">
        <v>8048</v>
      </c>
      <c r="B4846" s="4" t="s">
        <v>38</v>
      </c>
      <c r="C4846" s="4" t="s">
        <v>14</v>
      </c>
      <c r="D4846" s="35">
        <v>2221</v>
      </c>
      <c r="E4846" s="4" t="s">
        <v>8049</v>
      </c>
      <c r="F4846" s="5">
        <v>39114</v>
      </c>
      <c r="G4846" s="5">
        <v>41274</v>
      </c>
      <c r="H4846" s="4" t="s">
        <v>40</v>
      </c>
      <c r="I4846" s="6">
        <f>4960.23+350</f>
        <v>5310.23</v>
      </c>
      <c r="J4846" s="6">
        <f>4960.23+350</f>
        <v>5310.23</v>
      </c>
      <c r="K4846" s="37" t="s">
        <v>7941</v>
      </c>
      <c r="L4846" s="119"/>
      <c r="M4846" s="3"/>
    </row>
    <row r="4847" spans="1:13" s="4" customFormat="1" ht="14.25" customHeight="1" x14ac:dyDescent="0.25">
      <c r="A4847" s="4" t="s">
        <v>6297</v>
      </c>
      <c r="B4847" s="4" t="s">
        <v>38</v>
      </c>
      <c r="C4847" s="4" t="s">
        <v>14</v>
      </c>
      <c r="D4847" s="35">
        <v>2222</v>
      </c>
      <c r="E4847" s="4" t="s">
        <v>8050</v>
      </c>
      <c r="F4847" s="5">
        <v>39114</v>
      </c>
      <c r="G4847" s="5">
        <v>41639</v>
      </c>
      <c r="H4847" s="4" t="s">
        <v>40</v>
      </c>
      <c r="I4847" s="6">
        <v>1000</v>
      </c>
      <c r="J4847" s="6">
        <v>1000</v>
      </c>
      <c r="K4847" s="37" t="s">
        <v>7941</v>
      </c>
      <c r="L4847" s="119"/>
      <c r="M4847" s="3"/>
    </row>
    <row r="4848" spans="1:13" s="4" customFormat="1" ht="14.25" customHeight="1" x14ac:dyDescent="0.25">
      <c r="A4848" s="4" t="s">
        <v>8051</v>
      </c>
      <c r="B4848" s="4" t="s">
        <v>183</v>
      </c>
      <c r="C4848" s="4" t="s">
        <v>14</v>
      </c>
      <c r="D4848" s="35">
        <v>2223</v>
      </c>
      <c r="E4848" s="4" t="s">
        <v>8052</v>
      </c>
      <c r="F4848" s="5">
        <v>39114</v>
      </c>
      <c r="G4848" s="5">
        <v>41639</v>
      </c>
      <c r="H4848" s="4" t="s">
        <v>40</v>
      </c>
      <c r="I4848" s="6">
        <v>1896.55</v>
      </c>
      <c r="J4848" s="6">
        <v>1896.55</v>
      </c>
      <c r="K4848" s="37" t="s">
        <v>7941</v>
      </c>
      <c r="L4848" s="119"/>
      <c r="M4848" s="3"/>
    </row>
    <row r="4849" spans="1:13" s="4" customFormat="1" ht="14.25" customHeight="1" x14ac:dyDescent="0.25">
      <c r="A4849" s="4" t="s">
        <v>8053</v>
      </c>
      <c r="B4849" s="4" t="s">
        <v>13</v>
      </c>
      <c r="C4849" s="4" t="s">
        <v>14</v>
      </c>
      <c r="D4849" s="35">
        <v>2224</v>
      </c>
      <c r="E4849" s="4" t="s">
        <v>8054</v>
      </c>
      <c r="F4849" s="5">
        <v>39114</v>
      </c>
      <c r="G4849" s="5">
        <v>41639</v>
      </c>
      <c r="H4849" s="4" t="s">
        <v>40</v>
      </c>
      <c r="I4849" s="6">
        <v>0</v>
      </c>
      <c r="J4849" s="6">
        <v>0</v>
      </c>
      <c r="K4849" s="37" t="s">
        <v>7941</v>
      </c>
      <c r="L4849" s="119"/>
      <c r="M4849" s="3"/>
    </row>
    <row r="4850" spans="1:13" s="4" customFormat="1" ht="14.25" customHeight="1" x14ac:dyDescent="0.25">
      <c r="A4850" s="4" t="s">
        <v>8055</v>
      </c>
      <c r="B4850" s="4" t="s">
        <v>90</v>
      </c>
      <c r="C4850" s="4" t="s">
        <v>14</v>
      </c>
      <c r="D4850" s="35">
        <v>2357</v>
      </c>
      <c r="E4850" s="4" t="s">
        <v>8056</v>
      </c>
      <c r="F4850" s="5">
        <v>39167</v>
      </c>
      <c r="G4850" s="5">
        <v>39351</v>
      </c>
      <c r="H4850" s="4" t="s">
        <v>40</v>
      </c>
      <c r="I4850" s="6">
        <v>10200</v>
      </c>
      <c r="J4850" s="6">
        <v>5100</v>
      </c>
      <c r="K4850" s="37" t="s">
        <v>7941</v>
      </c>
      <c r="L4850" s="119"/>
      <c r="M4850" s="3"/>
    </row>
    <row r="4851" spans="1:13" s="4" customFormat="1" ht="14.25" customHeight="1" x14ac:dyDescent="0.25">
      <c r="A4851" s="4" t="s">
        <v>8057</v>
      </c>
      <c r="B4851" s="4" t="s">
        <v>90</v>
      </c>
      <c r="C4851" s="4" t="s">
        <v>14</v>
      </c>
      <c r="D4851" s="35">
        <v>2358</v>
      </c>
      <c r="E4851" s="4" t="s">
        <v>8058</v>
      </c>
      <c r="F4851" s="5">
        <v>39167</v>
      </c>
      <c r="G4851" s="5">
        <v>39373</v>
      </c>
      <c r="H4851" s="4" t="s">
        <v>40</v>
      </c>
      <c r="I4851" s="6">
        <v>10200</v>
      </c>
      <c r="J4851" s="6">
        <v>5100</v>
      </c>
      <c r="K4851" s="37" t="s">
        <v>7941</v>
      </c>
      <c r="L4851" s="119"/>
      <c r="M4851" s="3"/>
    </row>
    <row r="4852" spans="1:13" s="4" customFormat="1" ht="14.25" customHeight="1" x14ac:dyDescent="0.25">
      <c r="A4852" s="4" t="s">
        <v>8059</v>
      </c>
      <c r="B4852" s="4" t="s">
        <v>90</v>
      </c>
      <c r="C4852" s="4" t="s">
        <v>14</v>
      </c>
      <c r="D4852" s="35">
        <v>2359</v>
      </c>
      <c r="E4852" s="4" t="s">
        <v>8060</v>
      </c>
      <c r="F4852" s="5">
        <v>39167</v>
      </c>
      <c r="G4852" s="5">
        <v>39389</v>
      </c>
      <c r="H4852" s="4" t="s">
        <v>40</v>
      </c>
      <c r="I4852" s="6">
        <v>10200</v>
      </c>
      <c r="J4852" s="6">
        <v>5100</v>
      </c>
      <c r="K4852" s="37" t="s">
        <v>7941</v>
      </c>
      <c r="L4852" s="119"/>
      <c r="M4852" s="3"/>
    </row>
    <row r="4853" spans="1:13" s="4" customFormat="1" ht="14.25" customHeight="1" x14ac:dyDescent="0.25">
      <c r="A4853" s="4" t="s">
        <v>8061</v>
      </c>
      <c r="B4853" s="4" t="s">
        <v>38</v>
      </c>
      <c r="C4853" s="4" t="s">
        <v>14</v>
      </c>
      <c r="D4853" s="35">
        <v>2360</v>
      </c>
      <c r="E4853" s="4" t="s">
        <v>8062</v>
      </c>
      <c r="F4853" s="5">
        <v>39167</v>
      </c>
      <c r="G4853" s="5">
        <v>39433</v>
      </c>
      <c r="H4853" s="4" t="s">
        <v>40</v>
      </c>
      <c r="I4853" s="6">
        <v>1520</v>
      </c>
      <c r="J4853" s="6">
        <v>760</v>
      </c>
      <c r="K4853" s="37" t="s">
        <v>7941</v>
      </c>
      <c r="L4853" s="119"/>
      <c r="M4853" s="3"/>
    </row>
    <row r="4854" spans="1:13" s="4" customFormat="1" ht="14.25" customHeight="1" x14ac:dyDescent="0.25">
      <c r="A4854" s="4" t="s">
        <v>8063</v>
      </c>
      <c r="B4854" s="4" t="s">
        <v>50</v>
      </c>
      <c r="C4854" s="4" t="s">
        <v>14</v>
      </c>
      <c r="D4854" s="35">
        <v>2361</v>
      </c>
      <c r="E4854" s="4" t="s">
        <v>8064</v>
      </c>
      <c r="F4854" s="5">
        <v>39167</v>
      </c>
      <c r="G4854" s="5">
        <v>39202</v>
      </c>
      <c r="H4854" s="4" t="s">
        <v>40</v>
      </c>
      <c r="I4854" s="6">
        <v>18000</v>
      </c>
      <c r="J4854" s="6">
        <v>9000</v>
      </c>
      <c r="K4854" s="37" t="s">
        <v>7941</v>
      </c>
      <c r="L4854" s="119"/>
      <c r="M4854" s="3"/>
    </row>
    <row r="4855" spans="1:13" s="4" customFormat="1" ht="14.25" customHeight="1" x14ac:dyDescent="0.25">
      <c r="A4855" s="4" t="s">
        <v>8065</v>
      </c>
      <c r="B4855" s="4" t="s">
        <v>38</v>
      </c>
      <c r="C4855" s="4" t="s">
        <v>14</v>
      </c>
      <c r="D4855" s="35">
        <v>2363</v>
      </c>
      <c r="E4855" s="7" t="s">
        <v>8066</v>
      </c>
      <c r="F4855" s="5">
        <v>39246</v>
      </c>
      <c r="G4855" s="5">
        <v>39595</v>
      </c>
      <c r="H4855" s="4" t="s">
        <v>40</v>
      </c>
      <c r="I4855" s="6">
        <v>3000</v>
      </c>
      <c r="J4855" s="6">
        <v>3000</v>
      </c>
      <c r="K4855" s="37" t="s">
        <v>7941</v>
      </c>
      <c r="L4855" s="119"/>
      <c r="M4855" s="3"/>
    </row>
    <row r="4856" spans="1:13" s="4" customFormat="1" ht="14.25" customHeight="1" x14ac:dyDescent="0.25">
      <c r="A4856" s="4" t="s">
        <v>8069</v>
      </c>
      <c r="B4856" s="4" t="s">
        <v>90</v>
      </c>
      <c r="C4856" s="4" t="s">
        <v>14</v>
      </c>
      <c r="D4856" s="35">
        <v>2369</v>
      </c>
      <c r="E4856" s="4" t="s">
        <v>8070</v>
      </c>
      <c r="F4856" s="5">
        <v>39230</v>
      </c>
      <c r="G4856" s="5">
        <v>39434</v>
      </c>
      <c r="H4856" s="4" t="s">
        <v>40</v>
      </c>
      <c r="I4856" s="6">
        <v>4000</v>
      </c>
      <c r="J4856" s="6">
        <v>2000</v>
      </c>
      <c r="K4856" s="37" t="s">
        <v>7941</v>
      </c>
      <c r="L4856" s="119"/>
      <c r="M4856" s="3"/>
    </row>
    <row r="4857" spans="1:13" s="4" customFormat="1" ht="14.25" customHeight="1" x14ac:dyDescent="0.25">
      <c r="A4857" s="4" t="s">
        <v>8071</v>
      </c>
      <c r="B4857" s="4" t="s">
        <v>50</v>
      </c>
      <c r="C4857" s="4" t="s">
        <v>14</v>
      </c>
      <c r="D4857" s="35">
        <v>2373</v>
      </c>
      <c r="E4857" s="4" t="s">
        <v>8072</v>
      </c>
      <c r="F4857" s="5">
        <v>39230</v>
      </c>
      <c r="G4857" s="5">
        <v>39435</v>
      </c>
      <c r="H4857" s="4" t="s">
        <v>40</v>
      </c>
      <c r="I4857" s="6">
        <v>41156</v>
      </c>
      <c r="J4857" s="6">
        <v>20578</v>
      </c>
      <c r="K4857" s="37" t="s">
        <v>7941</v>
      </c>
      <c r="L4857" s="119"/>
      <c r="M4857" s="3"/>
    </row>
    <row r="4858" spans="1:13" s="4" customFormat="1" ht="14.25" customHeight="1" x14ac:dyDescent="0.25">
      <c r="A4858" s="4" t="s">
        <v>8073</v>
      </c>
      <c r="B4858" s="4" t="s">
        <v>50</v>
      </c>
      <c r="C4858" s="4" t="s">
        <v>14</v>
      </c>
      <c r="D4858" s="35">
        <v>2381</v>
      </c>
      <c r="E4858" s="4" t="s">
        <v>8074</v>
      </c>
      <c r="F4858" s="5">
        <v>39272</v>
      </c>
      <c r="G4858" s="5">
        <v>39752</v>
      </c>
      <c r="H4858" s="4" t="s">
        <v>40</v>
      </c>
      <c r="I4858" s="6">
        <v>86623</v>
      </c>
      <c r="J4858" s="6">
        <v>43311.5</v>
      </c>
      <c r="K4858" s="37" t="s">
        <v>7941</v>
      </c>
      <c r="L4858" s="119"/>
      <c r="M4858" s="3"/>
    </row>
    <row r="4859" spans="1:13" s="4" customFormat="1" ht="14.25" customHeight="1" x14ac:dyDescent="0.25">
      <c r="A4859" s="4" t="s">
        <v>8077</v>
      </c>
      <c r="B4859" s="4" t="s">
        <v>59</v>
      </c>
      <c r="C4859" s="4" t="s">
        <v>14</v>
      </c>
      <c r="D4859" s="35">
        <v>2386</v>
      </c>
      <c r="E4859" s="4" t="s">
        <v>8078</v>
      </c>
      <c r="F4859" s="5">
        <v>39272</v>
      </c>
      <c r="G4859" s="5">
        <v>39304</v>
      </c>
      <c r="H4859" s="4" t="s">
        <v>40</v>
      </c>
      <c r="I4859" s="6">
        <v>6000</v>
      </c>
      <c r="J4859" s="6">
        <v>6000</v>
      </c>
      <c r="K4859" s="37" t="s">
        <v>7941</v>
      </c>
      <c r="L4859" s="119"/>
      <c r="M4859" s="3"/>
    </row>
    <row r="4860" spans="1:13" s="4" customFormat="1" ht="14.25" customHeight="1" x14ac:dyDescent="0.25">
      <c r="A4860" s="4" t="s">
        <v>8079</v>
      </c>
      <c r="B4860" s="4" t="s">
        <v>59</v>
      </c>
      <c r="C4860" s="4" t="s">
        <v>14</v>
      </c>
      <c r="D4860" s="35">
        <v>2388</v>
      </c>
      <c r="E4860" s="4" t="s">
        <v>8080</v>
      </c>
      <c r="F4860" s="5">
        <v>39167</v>
      </c>
      <c r="G4860" s="5">
        <v>39485</v>
      </c>
      <c r="H4860" s="4" t="s">
        <v>40</v>
      </c>
      <c r="I4860" s="6">
        <v>6000</v>
      </c>
      <c r="J4860" s="6">
        <v>6000</v>
      </c>
      <c r="K4860" s="37" t="s">
        <v>7941</v>
      </c>
      <c r="L4860" s="119"/>
      <c r="M4860" s="3"/>
    </row>
    <row r="4861" spans="1:13" s="4" customFormat="1" ht="14.25" customHeight="1" x14ac:dyDescent="0.25">
      <c r="A4861" s="4" t="s">
        <v>8083</v>
      </c>
      <c r="B4861" s="4" t="s">
        <v>59</v>
      </c>
      <c r="C4861" s="4" t="s">
        <v>14</v>
      </c>
      <c r="D4861" s="35">
        <v>2393</v>
      </c>
      <c r="E4861" s="4" t="s">
        <v>8084</v>
      </c>
      <c r="F4861" s="5">
        <v>39230</v>
      </c>
      <c r="G4861" s="5">
        <v>39429</v>
      </c>
      <c r="H4861" s="4" t="s">
        <v>40</v>
      </c>
      <c r="I4861" s="6">
        <v>6000</v>
      </c>
      <c r="J4861" s="6">
        <v>6000</v>
      </c>
      <c r="K4861" s="37" t="s">
        <v>7941</v>
      </c>
      <c r="L4861" s="119"/>
      <c r="M4861" s="3"/>
    </row>
    <row r="4862" spans="1:13" s="4" customFormat="1" ht="14.25" customHeight="1" x14ac:dyDescent="0.25">
      <c r="A4862" s="4" t="s">
        <v>8089</v>
      </c>
      <c r="B4862" s="4" t="s">
        <v>90</v>
      </c>
      <c r="C4862" s="4" t="s">
        <v>14</v>
      </c>
      <c r="D4862" s="35">
        <v>2401</v>
      </c>
      <c r="E4862" s="4" t="s">
        <v>8090</v>
      </c>
      <c r="F4862" s="5">
        <v>39426</v>
      </c>
      <c r="G4862" s="5">
        <v>39644</v>
      </c>
      <c r="H4862" s="4" t="s">
        <v>40</v>
      </c>
      <c r="I4862" s="6">
        <v>10200</v>
      </c>
      <c r="J4862" s="6">
        <v>5100</v>
      </c>
      <c r="K4862" s="37" t="s">
        <v>7941</v>
      </c>
      <c r="L4862" s="119"/>
      <c r="M4862" s="3"/>
    </row>
    <row r="4863" spans="1:13" s="4" customFormat="1" ht="14.25" customHeight="1" x14ac:dyDescent="0.25">
      <c r="A4863" s="4" t="s">
        <v>8091</v>
      </c>
      <c r="B4863" s="4" t="s">
        <v>90</v>
      </c>
      <c r="C4863" s="4" t="s">
        <v>14</v>
      </c>
      <c r="D4863" s="35">
        <v>2403</v>
      </c>
      <c r="E4863" s="4" t="s">
        <v>8092</v>
      </c>
      <c r="F4863" s="5">
        <v>39426</v>
      </c>
      <c r="G4863" s="5">
        <v>39617</v>
      </c>
      <c r="H4863" s="4" t="s">
        <v>40</v>
      </c>
      <c r="I4863" s="6">
        <v>10200</v>
      </c>
      <c r="J4863" s="6">
        <v>5100</v>
      </c>
      <c r="K4863" s="37" t="s">
        <v>7941</v>
      </c>
      <c r="L4863" s="119"/>
      <c r="M4863" s="3"/>
    </row>
    <row r="4864" spans="1:13" s="4" customFormat="1" ht="14.25" customHeight="1" x14ac:dyDescent="0.25">
      <c r="A4864" s="4" t="s">
        <v>8093</v>
      </c>
      <c r="B4864" s="4" t="s">
        <v>50</v>
      </c>
      <c r="C4864" s="4" t="s">
        <v>14</v>
      </c>
      <c r="D4864" s="35">
        <v>2411</v>
      </c>
      <c r="E4864" s="4" t="s">
        <v>8094</v>
      </c>
      <c r="F4864" s="5">
        <v>39426</v>
      </c>
      <c r="G4864" s="5">
        <v>39645</v>
      </c>
      <c r="H4864" s="4" t="s">
        <v>40</v>
      </c>
      <c r="I4864" s="6">
        <v>12000</v>
      </c>
      <c r="J4864" s="6">
        <v>6000</v>
      </c>
      <c r="K4864" s="37" t="s">
        <v>7941</v>
      </c>
      <c r="L4864" s="119"/>
      <c r="M4864" s="3"/>
    </row>
    <row r="4865" spans="1:13" s="4" customFormat="1" ht="14.25" customHeight="1" x14ac:dyDescent="0.25">
      <c r="A4865" s="4" t="s">
        <v>8095</v>
      </c>
      <c r="B4865" s="4" t="s">
        <v>50</v>
      </c>
      <c r="C4865" s="4" t="s">
        <v>14</v>
      </c>
      <c r="D4865" s="35">
        <v>2412</v>
      </c>
      <c r="E4865" s="4" t="s">
        <v>8096</v>
      </c>
      <c r="F4865" s="5">
        <v>39426</v>
      </c>
      <c r="G4865" s="5">
        <v>39763</v>
      </c>
      <c r="H4865" s="4" t="s">
        <v>40</v>
      </c>
      <c r="I4865" s="6">
        <v>25056.92</v>
      </c>
      <c r="J4865" s="6">
        <v>12528.46</v>
      </c>
      <c r="K4865" s="37" t="s">
        <v>7941</v>
      </c>
      <c r="L4865" s="119"/>
      <c r="M4865" s="3"/>
    </row>
    <row r="4866" spans="1:13" s="4" customFormat="1" ht="14.25" customHeight="1" x14ac:dyDescent="0.25">
      <c r="A4866" s="4" t="s">
        <v>8097</v>
      </c>
      <c r="B4866" s="4" t="s">
        <v>90</v>
      </c>
      <c r="C4866" s="4" t="s">
        <v>14</v>
      </c>
      <c r="D4866" s="35">
        <v>2415</v>
      </c>
      <c r="E4866" s="4" t="s">
        <v>8098</v>
      </c>
      <c r="F4866" s="5">
        <v>39272</v>
      </c>
      <c r="G4866" s="5">
        <v>39358</v>
      </c>
      <c r="H4866" s="4" t="s">
        <v>40</v>
      </c>
      <c r="I4866" s="6">
        <v>10200</v>
      </c>
      <c r="J4866" s="6">
        <v>5100</v>
      </c>
      <c r="K4866" s="37" t="s">
        <v>7941</v>
      </c>
      <c r="L4866" s="119"/>
      <c r="M4866" s="3"/>
    </row>
    <row r="4867" spans="1:13" s="4" customFormat="1" ht="14.25" customHeight="1" x14ac:dyDescent="0.25">
      <c r="A4867" s="4" t="s">
        <v>8099</v>
      </c>
      <c r="B4867" s="4" t="s">
        <v>59</v>
      </c>
      <c r="C4867" s="4" t="s">
        <v>14</v>
      </c>
      <c r="D4867" s="35">
        <v>2429</v>
      </c>
      <c r="E4867" s="4" t="s">
        <v>8100</v>
      </c>
      <c r="F4867" s="5">
        <v>39511</v>
      </c>
      <c r="G4867" s="5">
        <v>39968</v>
      </c>
      <c r="H4867" s="4" t="s">
        <v>40</v>
      </c>
      <c r="I4867" s="6">
        <v>12000</v>
      </c>
      <c r="J4867" s="6">
        <v>12000</v>
      </c>
      <c r="K4867" s="37" t="s">
        <v>7941</v>
      </c>
      <c r="L4867" s="119"/>
      <c r="M4867" s="3"/>
    </row>
    <row r="4868" spans="1:13" s="4" customFormat="1" ht="14.25" customHeight="1" x14ac:dyDescent="0.25">
      <c r="A4868" s="4" t="s">
        <v>8101</v>
      </c>
      <c r="B4868" s="4" t="s">
        <v>59</v>
      </c>
      <c r="C4868" s="4" t="s">
        <v>14</v>
      </c>
      <c r="D4868" s="35">
        <v>2430</v>
      </c>
      <c r="E4868" s="4" t="s">
        <v>8102</v>
      </c>
      <c r="F4868" s="5">
        <v>39784</v>
      </c>
      <c r="G4868" s="5">
        <v>41639</v>
      </c>
      <c r="H4868" s="4" t="s">
        <v>40</v>
      </c>
      <c r="I4868" s="6">
        <v>6000</v>
      </c>
      <c r="J4868" s="6">
        <v>6000</v>
      </c>
      <c r="K4868" s="37" t="s">
        <v>7941</v>
      </c>
      <c r="L4868" s="119"/>
      <c r="M4868" s="3"/>
    </row>
    <row r="4869" spans="1:13" s="4" customFormat="1" ht="14.25" customHeight="1" x14ac:dyDescent="0.25">
      <c r="A4869" s="4" t="s">
        <v>8103</v>
      </c>
      <c r="B4869" s="4" t="s">
        <v>59</v>
      </c>
      <c r="C4869" s="4" t="s">
        <v>14</v>
      </c>
      <c r="D4869" s="35">
        <v>2431</v>
      </c>
      <c r="E4869" s="4" t="s">
        <v>8104</v>
      </c>
      <c r="F4869" s="5">
        <v>39699</v>
      </c>
      <c r="G4869" s="5">
        <v>41639</v>
      </c>
      <c r="H4869" s="4" t="s">
        <v>40</v>
      </c>
      <c r="I4869" s="6">
        <v>6000</v>
      </c>
      <c r="J4869" s="6">
        <v>6000</v>
      </c>
      <c r="K4869" s="37" t="s">
        <v>7941</v>
      </c>
      <c r="L4869" s="119"/>
      <c r="M4869" s="3"/>
    </row>
    <row r="4870" spans="1:13" s="4" customFormat="1" ht="14.25" customHeight="1" x14ac:dyDescent="0.25">
      <c r="A4870" s="4" t="s">
        <v>8105</v>
      </c>
      <c r="B4870" s="4" t="s">
        <v>59</v>
      </c>
      <c r="C4870" s="4" t="s">
        <v>14</v>
      </c>
      <c r="D4870" s="35">
        <v>2432</v>
      </c>
      <c r="E4870" s="4" t="s">
        <v>8106</v>
      </c>
      <c r="F4870" s="5">
        <v>39699</v>
      </c>
      <c r="G4870" s="5">
        <v>41639</v>
      </c>
      <c r="H4870" s="4" t="s">
        <v>40</v>
      </c>
      <c r="I4870" s="6">
        <v>6000</v>
      </c>
      <c r="J4870" s="6">
        <v>6000</v>
      </c>
      <c r="K4870" s="37" t="s">
        <v>7941</v>
      </c>
      <c r="L4870" s="119"/>
      <c r="M4870" s="3"/>
    </row>
    <row r="4871" spans="1:13" s="4" customFormat="1" ht="14.25" customHeight="1" x14ac:dyDescent="0.25">
      <c r="A4871" s="4" t="s">
        <v>8107</v>
      </c>
      <c r="B4871" s="4" t="s">
        <v>50</v>
      </c>
      <c r="C4871" s="4" t="s">
        <v>14</v>
      </c>
      <c r="D4871" s="35">
        <v>2433</v>
      </c>
      <c r="E4871" s="4" t="s">
        <v>8108</v>
      </c>
      <c r="F4871" s="5">
        <v>39587</v>
      </c>
      <c r="G4871" s="5">
        <v>39797</v>
      </c>
      <c r="H4871" s="4" t="s">
        <v>40</v>
      </c>
      <c r="I4871" s="6">
        <v>15961.84</v>
      </c>
      <c r="J4871" s="6">
        <v>7980.92</v>
      </c>
      <c r="K4871" s="37" t="s">
        <v>7941</v>
      </c>
      <c r="L4871" s="119"/>
      <c r="M4871" s="3"/>
    </row>
    <row r="4872" spans="1:13" s="4" customFormat="1" ht="14.25" customHeight="1" x14ac:dyDescent="0.25">
      <c r="A4872" s="4" t="s">
        <v>8109</v>
      </c>
      <c r="B4872" s="4" t="s">
        <v>90</v>
      </c>
      <c r="C4872" s="4" t="s">
        <v>14</v>
      </c>
      <c r="D4872" s="35">
        <v>2434</v>
      </c>
      <c r="E4872" s="4" t="s">
        <v>8110</v>
      </c>
      <c r="F4872" s="5">
        <v>39587</v>
      </c>
      <c r="G4872" s="5">
        <v>39702</v>
      </c>
      <c r="H4872" s="4" t="s">
        <v>40</v>
      </c>
      <c r="I4872" s="6">
        <v>10200</v>
      </c>
      <c r="J4872" s="6">
        <v>5100</v>
      </c>
      <c r="K4872" s="37" t="s">
        <v>7941</v>
      </c>
      <c r="L4872" s="119"/>
      <c r="M4872" s="3"/>
    </row>
    <row r="4873" spans="1:13" s="4" customFormat="1" ht="14.25" customHeight="1" x14ac:dyDescent="0.25">
      <c r="A4873" s="4" t="s">
        <v>8111</v>
      </c>
      <c r="B4873" s="4" t="s">
        <v>50</v>
      </c>
      <c r="C4873" s="4" t="s">
        <v>14</v>
      </c>
      <c r="D4873" s="35">
        <v>2435</v>
      </c>
      <c r="E4873" s="4" t="s">
        <v>8112</v>
      </c>
      <c r="F4873" s="5">
        <v>39587</v>
      </c>
      <c r="G4873" s="5">
        <v>39902</v>
      </c>
      <c r="H4873" s="4" t="s">
        <v>40</v>
      </c>
      <c r="I4873" s="6">
        <v>39360</v>
      </c>
      <c r="J4873" s="6">
        <v>19680</v>
      </c>
      <c r="K4873" s="37" t="s">
        <v>7941</v>
      </c>
      <c r="L4873" s="119"/>
      <c r="M4873" s="3"/>
    </row>
    <row r="4874" spans="1:13" s="4" customFormat="1" ht="14.25" customHeight="1" x14ac:dyDescent="0.25">
      <c r="A4874" s="4" t="s">
        <v>8119</v>
      </c>
      <c r="B4874" s="4" t="s">
        <v>90</v>
      </c>
      <c r="C4874" s="4" t="s">
        <v>14</v>
      </c>
      <c r="D4874" s="35">
        <v>2439</v>
      </c>
      <c r="E4874" s="4" t="s">
        <v>8120</v>
      </c>
      <c r="F4874" s="5">
        <v>39587</v>
      </c>
      <c r="G4874" s="5">
        <v>39804</v>
      </c>
      <c r="H4874" s="4" t="s">
        <v>40</v>
      </c>
      <c r="I4874" s="6">
        <v>8636</v>
      </c>
      <c r="J4874" s="6">
        <v>4318</v>
      </c>
      <c r="K4874" s="37" t="s">
        <v>7941</v>
      </c>
      <c r="L4874" s="119"/>
      <c r="M4874" s="3"/>
    </row>
    <row r="4875" spans="1:13" s="4" customFormat="1" ht="14.25" customHeight="1" x14ac:dyDescent="0.25">
      <c r="A4875" s="4" t="s">
        <v>8121</v>
      </c>
      <c r="B4875" s="4" t="s">
        <v>50</v>
      </c>
      <c r="C4875" s="4" t="s">
        <v>14</v>
      </c>
      <c r="D4875" s="35">
        <v>2440</v>
      </c>
      <c r="E4875" s="4" t="s">
        <v>8122</v>
      </c>
      <c r="F4875" s="5">
        <v>39587</v>
      </c>
      <c r="G4875" s="5">
        <v>39669</v>
      </c>
      <c r="H4875" s="4" t="s">
        <v>40</v>
      </c>
      <c r="I4875" s="6">
        <v>18250</v>
      </c>
      <c r="J4875" s="6">
        <v>9125</v>
      </c>
      <c r="K4875" s="37" t="s">
        <v>7941</v>
      </c>
      <c r="L4875" s="119"/>
      <c r="M4875" s="3"/>
    </row>
    <row r="4876" spans="1:13" s="4" customFormat="1" ht="14.25" customHeight="1" x14ac:dyDescent="0.25">
      <c r="A4876" s="4" t="s">
        <v>8129</v>
      </c>
      <c r="B4876" s="4" t="s">
        <v>59</v>
      </c>
      <c r="C4876" s="4" t="s">
        <v>14</v>
      </c>
      <c r="D4876" s="35">
        <v>2444</v>
      </c>
      <c r="E4876" s="4" t="s">
        <v>8130</v>
      </c>
      <c r="F4876" s="5">
        <v>39587</v>
      </c>
      <c r="G4876" s="5">
        <v>41639</v>
      </c>
      <c r="H4876" s="4" t="s">
        <v>40</v>
      </c>
      <c r="I4876" s="6">
        <v>3000</v>
      </c>
      <c r="J4876" s="6">
        <v>3000</v>
      </c>
      <c r="K4876" s="37" t="s">
        <v>7941</v>
      </c>
      <c r="L4876" s="119"/>
      <c r="M4876" s="3"/>
    </row>
    <row r="4877" spans="1:13" s="4" customFormat="1" ht="14.25" customHeight="1" x14ac:dyDescent="0.25">
      <c r="A4877" s="4" t="s">
        <v>8131</v>
      </c>
      <c r="B4877" s="4" t="s">
        <v>50</v>
      </c>
      <c r="C4877" s="4" t="s">
        <v>14</v>
      </c>
      <c r="D4877" s="35">
        <v>2445</v>
      </c>
      <c r="E4877" s="4" t="s">
        <v>8132</v>
      </c>
      <c r="F4877" s="5">
        <v>39584</v>
      </c>
      <c r="G4877" s="5">
        <v>39729</v>
      </c>
      <c r="H4877" s="4" t="s">
        <v>40</v>
      </c>
      <c r="I4877" s="6">
        <v>116692</v>
      </c>
      <c r="J4877" s="6">
        <v>58346</v>
      </c>
      <c r="K4877" s="37" t="s">
        <v>7941</v>
      </c>
      <c r="L4877" s="119"/>
      <c r="M4877" s="3"/>
    </row>
    <row r="4878" spans="1:13" s="4" customFormat="1" ht="14.25" customHeight="1" x14ac:dyDescent="0.25">
      <c r="A4878" s="4" t="s">
        <v>8133</v>
      </c>
      <c r="B4878" s="4" t="s">
        <v>59</v>
      </c>
      <c r="C4878" s="4" t="s">
        <v>14</v>
      </c>
      <c r="D4878" s="35">
        <v>2446</v>
      </c>
      <c r="E4878" s="4" t="s">
        <v>8134</v>
      </c>
      <c r="F4878" s="5">
        <v>39699</v>
      </c>
      <c r="G4878" s="5">
        <v>41639</v>
      </c>
      <c r="H4878" s="4" t="s">
        <v>40</v>
      </c>
      <c r="I4878" s="6">
        <v>6000</v>
      </c>
      <c r="J4878" s="6">
        <v>6000</v>
      </c>
      <c r="K4878" s="37" t="s">
        <v>7941</v>
      </c>
      <c r="L4878" s="119"/>
      <c r="M4878" s="3"/>
    </row>
    <row r="4879" spans="1:13" s="4" customFormat="1" ht="14.25" customHeight="1" x14ac:dyDescent="0.25">
      <c r="A4879" s="4" t="s">
        <v>8137</v>
      </c>
      <c r="B4879" s="4" t="s">
        <v>38</v>
      </c>
      <c r="C4879" s="4" t="s">
        <v>14</v>
      </c>
      <c r="D4879" s="35">
        <v>2535</v>
      </c>
      <c r="E4879" s="4" t="s">
        <v>8138</v>
      </c>
      <c r="F4879" s="5">
        <v>39479</v>
      </c>
      <c r="G4879" s="5">
        <v>41274</v>
      </c>
      <c r="H4879" s="4" t="s">
        <v>40</v>
      </c>
      <c r="I4879" s="6">
        <v>1590</v>
      </c>
      <c r="J4879" s="6">
        <v>1590</v>
      </c>
      <c r="K4879" s="37" t="s">
        <v>7941</v>
      </c>
      <c r="L4879" s="119"/>
      <c r="M4879" s="3"/>
    </row>
    <row r="4880" spans="1:13" s="4" customFormat="1" ht="14.25" customHeight="1" x14ac:dyDescent="0.25">
      <c r="A4880" s="4" t="s">
        <v>8139</v>
      </c>
      <c r="B4880" s="4" t="s">
        <v>38</v>
      </c>
      <c r="C4880" s="4" t="s">
        <v>14</v>
      </c>
      <c r="D4880" s="35">
        <v>2536</v>
      </c>
      <c r="E4880" s="4" t="s">
        <v>8140</v>
      </c>
      <c r="F4880" s="5">
        <v>39479</v>
      </c>
      <c r="G4880" s="5">
        <v>39813</v>
      </c>
      <c r="H4880" s="4" t="s">
        <v>40</v>
      </c>
      <c r="I4880" s="6">
        <v>12212</v>
      </c>
      <c r="J4880" s="6">
        <v>12212</v>
      </c>
      <c r="K4880" s="37" t="s">
        <v>7941</v>
      </c>
      <c r="L4880" s="119"/>
      <c r="M4880" s="3"/>
    </row>
    <row r="4881" spans="1:13" s="4" customFormat="1" ht="14.25" customHeight="1" x14ac:dyDescent="0.25">
      <c r="A4881" s="4" t="s">
        <v>3739</v>
      </c>
      <c r="B4881" s="4" t="s">
        <v>38</v>
      </c>
      <c r="C4881" s="4" t="s">
        <v>14</v>
      </c>
      <c r="D4881" s="35">
        <v>3320</v>
      </c>
      <c r="E4881" s="4" t="s">
        <v>8141</v>
      </c>
      <c r="F4881" s="5">
        <v>39083</v>
      </c>
      <c r="G4881" s="5">
        <v>41639</v>
      </c>
      <c r="H4881" s="4" t="s">
        <v>40</v>
      </c>
      <c r="I4881" s="6">
        <v>229829.69</v>
      </c>
      <c r="J4881" s="6">
        <v>229829.69</v>
      </c>
      <c r="K4881" s="37" t="s">
        <v>7941</v>
      </c>
      <c r="L4881" s="119"/>
      <c r="M4881" s="3"/>
    </row>
    <row r="4882" spans="1:13" s="4" customFormat="1" ht="14.25" customHeight="1" x14ac:dyDescent="0.25">
      <c r="A4882" s="4" t="s">
        <v>8142</v>
      </c>
      <c r="B4882" s="4" t="s">
        <v>38</v>
      </c>
      <c r="C4882" s="4" t="s">
        <v>14</v>
      </c>
      <c r="D4882" s="35">
        <v>4762</v>
      </c>
      <c r="E4882" s="4" t="s">
        <v>8143</v>
      </c>
      <c r="F4882" s="5">
        <v>39814</v>
      </c>
      <c r="G4882" s="5">
        <v>41274</v>
      </c>
      <c r="H4882" s="4" t="s">
        <v>40</v>
      </c>
      <c r="I4882" s="6">
        <v>11453.83</v>
      </c>
      <c r="J4882" s="6">
        <f>5586.23+5867.6</f>
        <v>11453.83</v>
      </c>
      <c r="K4882" s="37" t="s">
        <v>7941</v>
      </c>
      <c r="L4882" s="119"/>
      <c r="M4882" s="3"/>
    </row>
    <row r="4883" spans="1:13" s="4" customFormat="1" ht="14.25" customHeight="1" x14ac:dyDescent="0.25">
      <c r="A4883" s="4" t="s">
        <v>8144</v>
      </c>
      <c r="B4883" s="4" t="s">
        <v>38</v>
      </c>
      <c r="C4883" s="4" t="s">
        <v>14</v>
      </c>
      <c r="D4883" s="35">
        <v>4808</v>
      </c>
      <c r="E4883" s="4" t="s">
        <v>8145</v>
      </c>
      <c r="F4883" s="5">
        <v>39814</v>
      </c>
      <c r="G4883" s="5">
        <v>40178</v>
      </c>
      <c r="H4883" s="4" t="s">
        <v>40</v>
      </c>
      <c r="I4883" s="6">
        <v>1437.25</v>
      </c>
      <c r="J4883" s="6">
        <v>1437.25</v>
      </c>
      <c r="K4883" s="37" t="s">
        <v>7941</v>
      </c>
      <c r="L4883" s="119"/>
      <c r="M4883" s="3"/>
    </row>
    <row r="4884" spans="1:13" s="4" customFormat="1" ht="14.25" customHeight="1" x14ac:dyDescent="0.25">
      <c r="A4884" s="4" t="s">
        <v>8146</v>
      </c>
      <c r="B4884" s="4" t="s">
        <v>38</v>
      </c>
      <c r="C4884" s="4" t="s">
        <v>14</v>
      </c>
      <c r="D4884" s="35">
        <v>4811</v>
      </c>
      <c r="E4884" s="4" t="s">
        <v>8147</v>
      </c>
      <c r="F4884" s="5">
        <v>39814</v>
      </c>
      <c r="G4884" s="5">
        <v>40178</v>
      </c>
      <c r="H4884" s="4" t="s">
        <v>40</v>
      </c>
      <c r="I4884" s="6">
        <v>1260</v>
      </c>
      <c r="J4884" s="6">
        <v>1260</v>
      </c>
      <c r="K4884" s="37" t="s">
        <v>7941</v>
      </c>
      <c r="L4884" s="119"/>
      <c r="M4884" s="3"/>
    </row>
    <row r="4885" spans="1:13" s="4" customFormat="1" ht="14.25" customHeight="1" x14ac:dyDescent="0.25">
      <c r="A4885" s="4" t="s">
        <v>8148</v>
      </c>
      <c r="B4885" s="4" t="s">
        <v>38</v>
      </c>
      <c r="C4885" s="4" t="s">
        <v>14</v>
      </c>
      <c r="D4885" s="35">
        <v>4813</v>
      </c>
      <c r="E4885" s="4" t="s">
        <v>8149</v>
      </c>
      <c r="F4885" s="5">
        <v>39814</v>
      </c>
      <c r="G4885" s="5">
        <v>40178</v>
      </c>
      <c r="H4885" s="4" t="s">
        <v>40</v>
      </c>
      <c r="I4885" s="6">
        <v>320</v>
      </c>
      <c r="J4885" s="6">
        <v>320</v>
      </c>
      <c r="K4885" s="37" t="s">
        <v>7941</v>
      </c>
      <c r="L4885" s="119"/>
      <c r="M4885" s="3"/>
    </row>
    <row r="4886" spans="1:13" s="4" customFormat="1" ht="14.25" customHeight="1" x14ac:dyDescent="0.25">
      <c r="A4886" s="4" t="s">
        <v>8150</v>
      </c>
      <c r="B4886" s="4" t="s">
        <v>38</v>
      </c>
      <c r="C4886" s="4" t="s">
        <v>14</v>
      </c>
      <c r="D4886" s="35">
        <v>4816</v>
      </c>
      <c r="E4886" s="4" t="s">
        <v>8151</v>
      </c>
      <c r="F4886" s="5">
        <v>39814</v>
      </c>
      <c r="G4886" s="5">
        <v>40178</v>
      </c>
      <c r="H4886" s="4" t="s">
        <v>40</v>
      </c>
      <c r="I4886" s="6">
        <v>631.85</v>
      </c>
      <c r="J4886" s="6">
        <v>631.85</v>
      </c>
      <c r="K4886" s="37" t="s">
        <v>7941</v>
      </c>
      <c r="L4886" s="119"/>
      <c r="M4886" s="3"/>
    </row>
    <row r="4887" spans="1:13" s="4" customFormat="1" ht="14.25" customHeight="1" x14ac:dyDescent="0.25">
      <c r="A4887" s="4" t="s">
        <v>8152</v>
      </c>
      <c r="B4887" s="4" t="s">
        <v>38</v>
      </c>
      <c r="C4887" s="4" t="s">
        <v>14</v>
      </c>
      <c r="D4887" s="35">
        <v>4826</v>
      </c>
      <c r="E4887" s="4" t="s">
        <v>8153</v>
      </c>
      <c r="F4887" s="5">
        <v>39814</v>
      </c>
      <c r="G4887" s="5">
        <v>41274</v>
      </c>
      <c r="H4887" s="4" t="s">
        <v>40</v>
      </c>
      <c r="I4887" s="6">
        <v>6998</v>
      </c>
      <c r="J4887" s="6">
        <v>6998</v>
      </c>
      <c r="K4887" s="37" t="s">
        <v>7941</v>
      </c>
      <c r="L4887" s="119"/>
      <c r="M4887" s="3"/>
    </row>
    <row r="4888" spans="1:13" s="4" customFormat="1" ht="14.25" customHeight="1" x14ac:dyDescent="0.25">
      <c r="A4888" s="4" t="s">
        <v>8154</v>
      </c>
      <c r="B4888" s="4" t="s">
        <v>38</v>
      </c>
      <c r="C4888" s="4" t="s">
        <v>14</v>
      </c>
      <c r="D4888" s="35">
        <v>4828</v>
      </c>
      <c r="E4888" s="4" t="s">
        <v>8155</v>
      </c>
      <c r="F4888" s="5">
        <v>39814</v>
      </c>
      <c r="G4888" s="5">
        <v>41639</v>
      </c>
      <c r="H4888" s="4" t="s">
        <v>40</v>
      </c>
      <c r="I4888" s="6">
        <v>11548.84</v>
      </c>
      <c r="J4888" s="6">
        <f>10216.24+1332.6</f>
        <v>11548.84</v>
      </c>
      <c r="K4888" s="37" t="s">
        <v>7941</v>
      </c>
      <c r="L4888" s="119"/>
      <c r="M4888" s="3"/>
    </row>
    <row r="4889" spans="1:13" s="4" customFormat="1" ht="14.25" customHeight="1" x14ac:dyDescent="0.25">
      <c r="A4889" s="4" t="s">
        <v>8156</v>
      </c>
      <c r="B4889" s="4" t="s">
        <v>90</v>
      </c>
      <c r="C4889" s="4" t="s">
        <v>14</v>
      </c>
      <c r="D4889" s="35">
        <v>4864</v>
      </c>
      <c r="E4889" s="4" t="s">
        <v>8157</v>
      </c>
      <c r="F4889" s="5">
        <v>39587</v>
      </c>
      <c r="G4889" s="5">
        <v>39952</v>
      </c>
      <c r="H4889" s="4" t="s">
        <v>40</v>
      </c>
      <c r="I4889" s="6">
        <v>5314</v>
      </c>
      <c r="J4889" s="6">
        <v>2657</v>
      </c>
      <c r="K4889" s="37" t="s">
        <v>7941</v>
      </c>
      <c r="L4889" s="119"/>
      <c r="M4889" s="3"/>
    </row>
    <row r="4890" spans="1:13" s="4" customFormat="1" ht="14.25" customHeight="1" x14ac:dyDescent="0.25">
      <c r="A4890" s="4" t="s">
        <v>8158</v>
      </c>
      <c r="B4890" s="4" t="s">
        <v>59</v>
      </c>
      <c r="C4890" s="4" t="s">
        <v>14</v>
      </c>
      <c r="D4890" s="35">
        <v>4866</v>
      </c>
      <c r="E4890" s="4" t="s">
        <v>8159</v>
      </c>
      <c r="F4890" s="5">
        <v>39919</v>
      </c>
      <c r="G4890" s="5">
        <v>40284</v>
      </c>
      <c r="H4890" s="4" t="s">
        <v>40</v>
      </c>
      <c r="I4890" s="6">
        <v>3000</v>
      </c>
      <c r="J4890" s="6">
        <v>3000</v>
      </c>
      <c r="K4890" s="37" t="s">
        <v>7941</v>
      </c>
      <c r="L4890" s="119"/>
      <c r="M4890" s="3"/>
    </row>
    <row r="4891" spans="1:13" s="4" customFormat="1" ht="14.25" customHeight="1" x14ac:dyDescent="0.25">
      <c r="A4891" s="4" t="s">
        <v>8162</v>
      </c>
      <c r="B4891" s="4" t="s">
        <v>59</v>
      </c>
      <c r="C4891" s="4" t="s">
        <v>14</v>
      </c>
      <c r="D4891" s="35">
        <v>4873</v>
      </c>
      <c r="E4891" s="4" t="s">
        <v>8163</v>
      </c>
      <c r="F4891" s="5">
        <v>39699</v>
      </c>
      <c r="G4891" s="5">
        <v>40178</v>
      </c>
      <c r="H4891" s="4" t="s">
        <v>40</v>
      </c>
      <c r="I4891" s="6">
        <v>6000</v>
      </c>
      <c r="J4891" s="6">
        <v>6000</v>
      </c>
      <c r="K4891" s="37" t="s">
        <v>7941</v>
      </c>
      <c r="L4891" s="119"/>
      <c r="M4891" s="3"/>
    </row>
    <row r="4892" spans="1:13" s="4" customFormat="1" ht="14.25" customHeight="1" x14ac:dyDescent="0.25">
      <c r="A4892" s="4" t="s">
        <v>8164</v>
      </c>
      <c r="B4892" s="4" t="s">
        <v>50</v>
      </c>
      <c r="C4892" s="4" t="s">
        <v>14</v>
      </c>
      <c r="D4892" s="35">
        <v>4876</v>
      </c>
      <c r="E4892" s="4" t="s">
        <v>8165</v>
      </c>
      <c r="F4892" s="5">
        <v>39919</v>
      </c>
      <c r="G4892" s="5">
        <v>40284</v>
      </c>
      <c r="H4892" s="4" t="s">
        <v>40</v>
      </c>
      <c r="I4892" s="6">
        <v>11000</v>
      </c>
      <c r="J4892" s="6">
        <v>5500</v>
      </c>
      <c r="K4892" s="37" t="s">
        <v>7941</v>
      </c>
      <c r="L4892" s="119"/>
      <c r="M4892" s="3"/>
    </row>
    <row r="4893" spans="1:13" s="4" customFormat="1" ht="14.25" customHeight="1" x14ac:dyDescent="0.25">
      <c r="A4893" s="4" t="s">
        <v>8164</v>
      </c>
      <c r="B4893" s="4" t="s">
        <v>50</v>
      </c>
      <c r="C4893" s="4" t="s">
        <v>14</v>
      </c>
      <c r="D4893" s="35">
        <v>4877</v>
      </c>
      <c r="E4893" s="4" t="s">
        <v>8166</v>
      </c>
      <c r="F4893" s="5">
        <v>40007</v>
      </c>
      <c r="G4893" s="5">
        <v>40372</v>
      </c>
      <c r="H4893" s="4" t="s">
        <v>40</v>
      </c>
      <c r="I4893" s="6">
        <v>11000</v>
      </c>
      <c r="J4893" s="6">
        <v>5500</v>
      </c>
      <c r="K4893" s="37" t="s">
        <v>7941</v>
      </c>
      <c r="L4893" s="119"/>
      <c r="M4893" s="3"/>
    </row>
    <row r="4894" spans="1:13" s="4" customFormat="1" ht="14.25" customHeight="1" x14ac:dyDescent="0.25">
      <c r="A4894" s="4" t="s">
        <v>8167</v>
      </c>
      <c r="B4894" s="4" t="s">
        <v>90</v>
      </c>
      <c r="C4894" s="4" t="s">
        <v>14</v>
      </c>
      <c r="D4894" s="35">
        <v>4878</v>
      </c>
      <c r="E4894" s="4" t="s">
        <v>8168</v>
      </c>
      <c r="F4894" s="5">
        <v>39587</v>
      </c>
      <c r="G4894" s="5">
        <v>39952</v>
      </c>
      <c r="H4894" s="4" t="s">
        <v>40</v>
      </c>
      <c r="I4894" s="6">
        <v>10200</v>
      </c>
      <c r="J4894" s="6">
        <v>5100</v>
      </c>
      <c r="K4894" s="37" t="s">
        <v>7941</v>
      </c>
      <c r="L4894" s="119"/>
      <c r="M4894" s="3"/>
    </row>
    <row r="4895" spans="1:13" s="4" customFormat="1" ht="14.25" customHeight="1" x14ac:dyDescent="0.25">
      <c r="A4895" s="4" t="s">
        <v>8169</v>
      </c>
      <c r="B4895" s="4" t="s">
        <v>59</v>
      </c>
      <c r="C4895" s="4" t="s">
        <v>14</v>
      </c>
      <c r="D4895" s="35">
        <v>4879</v>
      </c>
      <c r="E4895" s="4" t="s">
        <v>8170</v>
      </c>
      <c r="F4895" s="5">
        <v>39951</v>
      </c>
      <c r="G4895" s="5">
        <v>40316</v>
      </c>
      <c r="H4895" s="4" t="s">
        <v>40</v>
      </c>
      <c r="I4895" s="6">
        <v>6000</v>
      </c>
      <c r="J4895" s="6">
        <v>6000</v>
      </c>
      <c r="K4895" s="37" t="s">
        <v>7941</v>
      </c>
      <c r="L4895" s="119"/>
      <c r="M4895" s="3"/>
    </row>
    <row r="4896" spans="1:13" s="4" customFormat="1" ht="14.25" customHeight="1" x14ac:dyDescent="0.25">
      <c r="A4896" s="4" t="s">
        <v>8171</v>
      </c>
      <c r="B4896" s="4" t="s">
        <v>90</v>
      </c>
      <c r="C4896" s="4" t="s">
        <v>14</v>
      </c>
      <c r="D4896" s="35">
        <v>4880</v>
      </c>
      <c r="E4896" s="4" t="s">
        <v>8172</v>
      </c>
      <c r="F4896" s="5">
        <v>39951</v>
      </c>
      <c r="G4896" s="5">
        <v>40316</v>
      </c>
      <c r="H4896" s="4" t="s">
        <v>40</v>
      </c>
      <c r="I4896" s="6">
        <v>10200</v>
      </c>
      <c r="J4896" s="6">
        <v>5100</v>
      </c>
      <c r="K4896" s="37" t="s">
        <v>7941</v>
      </c>
      <c r="L4896" s="119"/>
      <c r="M4896" s="3"/>
    </row>
    <row r="4897" spans="1:13" s="4" customFormat="1" ht="14.25" customHeight="1" x14ac:dyDescent="0.25">
      <c r="A4897" s="4" t="s">
        <v>8179</v>
      </c>
      <c r="B4897" s="4" t="s">
        <v>50</v>
      </c>
      <c r="C4897" s="4" t="s">
        <v>14</v>
      </c>
      <c r="D4897" s="35">
        <v>4884</v>
      </c>
      <c r="E4897" s="4" t="s">
        <v>8180</v>
      </c>
      <c r="F4897" s="5">
        <v>40007</v>
      </c>
      <c r="G4897" s="5">
        <v>40372</v>
      </c>
      <c r="H4897" s="4" t="s">
        <v>40</v>
      </c>
      <c r="I4897" s="6">
        <v>62000</v>
      </c>
      <c r="J4897" s="6">
        <v>31000</v>
      </c>
      <c r="K4897" s="37" t="s">
        <v>7941</v>
      </c>
      <c r="L4897" s="119"/>
      <c r="M4897" s="3"/>
    </row>
    <row r="4898" spans="1:13" s="4" customFormat="1" ht="14.25" customHeight="1" x14ac:dyDescent="0.25">
      <c r="A4898" s="4" t="s">
        <v>8181</v>
      </c>
      <c r="B4898" s="4" t="s">
        <v>59</v>
      </c>
      <c r="C4898" s="4" t="s">
        <v>14</v>
      </c>
      <c r="D4898" s="35">
        <v>4885</v>
      </c>
      <c r="E4898" s="4" t="s">
        <v>8182</v>
      </c>
      <c r="F4898" s="5">
        <v>40105</v>
      </c>
      <c r="G4898" s="5">
        <v>40470</v>
      </c>
      <c r="H4898" s="4" t="s">
        <v>40</v>
      </c>
      <c r="I4898" s="6">
        <v>6000</v>
      </c>
      <c r="J4898" s="6">
        <v>6000</v>
      </c>
      <c r="K4898" s="37" t="s">
        <v>7941</v>
      </c>
      <c r="L4898" s="119"/>
      <c r="M4898" s="3"/>
    </row>
    <row r="4899" spans="1:13" s="4" customFormat="1" ht="14.25" customHeight="1" x14ac:dyDescent="0.25">
      <c r="A4899" s="4" t="s">
        <v>8183</v>
      </c>
      <c r="B4899" s="4" t="s">
        <v>59</v>
      </c>
      <c r="C4899" s="4" t="s">
        <v>14</v>
      </c>
      <c r="D4899" s="35">
        <v>4886</v>
      </c>
      <c r="E4899" s="4" t="s">
        <v>8184</v>
      </c>
      <c r="F4899" s="5">
        <v>40105</v>
      </c>
      <c r="G4899" s="5">
        <v>40470</v>
      </c>
      <c r="H4899" s="4" t="s">
        <v>40</v>
      </c>
      <c r="I4899" s="6">
        <v>6000</v>
      </c>
      <c r="J4899" s="6">
        <v>6000</v>
      </c>
      <c r="K4899" s="37" t="s">
        <v>7941</v>
      </c>
      <c r="L4899" s="119"/>
      <c r="M4899" s="3"/>
    </row>
    <row r="4900" spans="1:13" s="4" customFormat="1" ht="14.25" customHeight="1" x14ac:dyDescent="0.25">
      <c r="A4900" s="4" t="s">
        <v>8185</v>
      </c>
      <c r="B4900" s="4" t="s">
        <v>59</v>
      </c>
      <c r="C4900" s="4" t="s">
        <v>14</v>
      </c>
      <c r="D4900" s="35">
        <v>4887</v>
      </c>
      <c r="E4900" s="4" t="s">
        <v>8186</v>
      </c>
      <c r="F4900" s="5">
        <v>40105</v>
      </c>
      <c r="G4900" s="5">
        <v>40470</v>
      </c>
      <c r="H4900" s="4" t="s">
        <v>40</v>
      </c>
      <c r="I4900" s="6">
        <v>6000</v>
      </c>
      <c r="J4900" s="6">
        <v>6000</v>
      </c>
      <c r="K4900" s="37" t="s">
        <v>7941</v>
      </c>
      <c r="L4900" s="119"/>
      <c r="M4900" s="3"/>
    </row>
    <row r="4901" spans="1:13" s="4" customFormat="1" ht="14.25" customHeight="1" x14ac:dyDescent="0.25">
      <c r="A4901" s="4" t="s">
        <v>8187</v>
      </c>
      <c r="B4901" s="4" t="s">
        <v>59</v>
      </c>
      <c r="C4901" s="4" t="s">
        <v>14</v>
      </c>
      <c r="D4901" s="35">
        <v>4888</v>
      </c>
      <c r="E4901" s="4" t="s">
        <v>8188</v>
      </c>
      <c r="F4901" s="5">
        <v>40105</v>
      </c>
      <c r="G4901" s="5">
        <v>40470</v>
      </c>
      <c r="H4901" s="4" t="s">
        <v>40</v>
      </c>
      <c r="I4901" s="6">
        <v>1500</v>
      </c>
      <c r="J4901" s="6">
        <v>1500</v>
      </c>
      <c r="K4901" s="37" t="s">
        <v>7941</v>
      </c>
      <c r="L4901" s="119"/>
      <c r="M4901" s="3"/>
    </row>
    <row r="4902" spans="1:13" s="4" customFormat="1" ht="14.25" customHeight="1" x14ac:dyDescent="0.25">
      <c r="A4902" s="4" t="s">
        <v>8189</v>
      </c>
      <c r="B4902" s="4" t="s">
        <v>59</v>
      </c>
      <c r="C4902" s="4" t="s">
        <v>14</v>
      </c>
      <c r="D4902" s="35">
        <v>4889</v>
      </c>
      <c r="E4902" s="4" t="s">
        <v>8190</v>
      </c>
      <c r="F4902" s="5">
        <v>39951</v>
      </c>
      <c r="G4902" s="5">
        <v>40316</v>
      </c>
      <c r="H4902" s="4" t="s">
        <v>40</v>
      </c>
      <c r="I4902" s="6">
        <v>6000</v>
      </c>
      <c r="J4902" s="6">
        <v>6000</v>
      </c>
      <c r="K4902" s="37" t="s">
        <v>7941</v>
      </c>
      <c r="L4902" s="119"/>
      <c r="M4902" s="3"/>
    </row>
    <row r="4903" spans="1:13" s="4" customFormat="1" ht="14.25" customHeight="1" x14ac:dyDescent="0.25">
      <c r="A4903" s="4" t="s">
        <v>8191</v>
      </c>
      <c r="B4903" s="4" t="s">
        <v>50</v>
      </c>
      <c r="C4903" s="4" t="s">
        <v>14</v>
      </c>
      <c r="D4903" s="35">
        <v>4890</v>
      </c>
      <c r="E4903" s="4" t="s">
        <v>8192</v>
      </c>
      <c r="F4903" s="5">
        <v>40007</v>
      </c>
      <c r="G4903" s="5">
        <v>40372</v>
      </c>
      <c r="H4903" s="4" t="s">
        <v>40</v>
      </c>
      <c r="I4903" s="6">
        <v>98684</v>
      </c>
      <c r="J4903" s="6">
        <v>49342</v>
      </c>
      <c r="K4903" s="37" t="s">
        <v>7941</v>
      </c>
      <c r="L4903" s="119"/>
      <c r="M4903" s="3"/>
    </row>
    <row r="4904" spans="1:13" s="4" customFormat="1" ht="14.25" customHeight="1" x14ac:dyDescent="0.25">
      <c r="A4904" s="4" t="s">
        <v>8191</v>
      </c>
      <c r="B4904" s="4" t="s">
        <v>50</v>
      </c>
      <c r="C4904" s="4" t="s">
        <v>14</v>
      </c>
      <c r="D4904" s="35">
        <v>4891</v>
      </c>
      <c r="E4904" s="4" t="s">
        <v>8193</v>
      </c>
      <c r="F4904" s="5">
        <v>40105</v>
      </c>
      <c r="G4904" s="5">
        <v>40470</v>
      </c>
      <c r="H4904" s="4" t="s">
        <v>40</v>
      </c>
      <c r="I4904" s="6">
        <v>51316</v>
      </c>
      <c r="J4904" s="6">
        <v>25658</v>
      </c>
      <c r="K4904" s="37" t="s">
        <v>7941</v>
      </c>
      <c r="L4904" s="119"/>
      <c r="M4904" s="3"/>
    </row>
    <row r="4905" spans="1:13" s="4" customFormat="1" ht="14.25" customHeight="1" x14ac:dyDescent="0.25">
      <c r="A4905" s="4" t="s">
        <v>8194</v>
      </c>
      <c r="B4905" s="4" t="s">
        <v>59</v>
      </c>
      <c r="C4905" s="4" t="s">
        <v>14</v>
      </c>
      <c r="D4905" s="35">
        <v>4892</v>
      </c>
      <c r="E4905" s="4" t="s">
        <v>8195</v>
      </c>
      <c r="F4905" s="5">
        <v>40007</v>
      </c>
      <c r="G4905" s="5">
        <v>40372</v>
      </c>
      <c r="H4905" s="4" t="s">
        <v>40</v>
      </c>
      <c r="I4905" s="6">
        <v>6000</v>
      </c>
      <c r="J4905" s="6">
        <v>6000</v>
      </c>
      <c r="K4905" s="37" t="s">
        <v>7941</v>
      </c>
      <c r="L4905" s="119"/>
      <c r="M4905" s="3"/>
    </row>
    <row r="4906" spans="1:13" s="4" customFormat="1" ht="14.25" customHeight="1" x14ac:dyDescent="0.25">
      <c r="A4906" s="4" t="s">
        <v>8196</v>
      </c>
      <c r="B4906" s="4" t="s">
        <v>90</v>
      </c>
      <c r="C4906" s="4" t="s">
        <v>14</v>
      </c>
      <c r="D4906" s="35">
        <v>4893</v>
      </c>
      <c r="E4906" s="4" t="s">
        <v>8197</v>
      </c>
      <c r="F4906" s="5">
        <v>39951</v>
      </c>
      <c r="G4906" s="5">
        <v>40316</v>
      </c>
      <c r="H4906" s="4" t="s">
        <v>40</v>
      </c>
      <c r="I4906" s="6">
        <v>9396.64</v>
      </c>
      <c r="J4906" s="6">
        <v>4698.32</v>
      </c>
      <c r="K4906" s="37" t="s">
        <v>7941</v>
      </c>
      <c r="L4906" s="119"/>
      <c r="M4906" s="3"/>
    </row>
    <row r="4907" spans="1:13" s="4" customFormat="1" ht="14.25" customHeight="1" x14ac:dyDescent="0.25">
      <c r="A4907" s="4" t="s">
        <v>8198</v>
      </c>
      <c r="B4907" s="4" t="s">
        <v>50</v>
      </c>
      <c r="C4907" s="4" t="s">
        <v>14</v>
      </c>
      <c r="D4907" s="35">
        <v>4894</v>
      </c>
      <c r="E4907" s="4" t="s">
        <v>8199</v>
      </c>
      <c r="F4907" s="5">
        <v>40007</v>
      </c>
      <c r="G4907" s="5">
        <v>40372</v>
      </c>
      <c r="H4907" s="4" t="s">
        <v>40</v>
      </c>
      <c r="I4907" s="6">
        <v>30000</v>
      </c>
      <c r="J4907" s="6">
        <v>15000</v>
      </c>
      <c r="K4907" s="37" t="s">
        <v>7941</v>
      </c>
      <c r="L4907" s="119"/>
      <c r="M4907" s="3"/>
    </row>
    <row r="4908" spans="1:13" s="4" customFormat="1" ht="14.25" customHeight="1" x14ac:dyDescent="0.25">
      <c r="A4908" s="4" t="s">
        <v>8200</v>
      </c>
      <c r="B4908" s="4" t="s">
        <v>50</v>
      </c>
      <c r="C4908" s="4" t="s">
        <v>14</v>
      </c>
      <c r="D4908" s="35">
        <v>4895</v>
      </c>
      <c r="E4908" s="4" t="s">
        <v>8201</v>
      </c>
      <c r="F4908" s="5">
        <v>39784</v>
      </c>
      <c r="G4908" s="5">
        <v>40149</v>
      </c>
      <c r="H4908" s="4" t="s">
        <v>40</v>
      </c>
      <c r="I4908" s="6">
        <v>7000</v>
      </c>
      <c r="J4908" s="6">
        <v>3500</v>
      </c>
      <c r="K4908" s="37" t="s">
        <v>7941</v>
      </c>
      <c r="L4908" s="119"/>
      <c r="M4908" s="3"/>
    </row>
    <row r="4909" spans="1:13" s="4" customFormat="1" ht="14.25" customHeight="1" x14ac:dyDescent="0.25">
      <c r="A4909" s="4" t="s">
        <v>8204</v>
      </c>
      <c r="B4909" s="4" t="s">
        <v>90</v>
      </c>
      <c r="C4909" s="4" t="s">
        <v>14</v>
      </c>
      <c r="D4909" s="35">
        <v>4897</v>
      </c>
      <c r="E4909" s="4" t="s">
        <v>8205</v>
      </c>
      <c r="F4909" s="5">
        <v>39919</v>
      </c>
      <c r="G4909" s="5">
        <v>40284</v>
      </c>
      <c r="H4909" s="4" t="s">
        <v>40</v>
      </c>
      <c r="I4909" s="6">
        <v>8288.7999999999993</v>
      </c>
      <c r="J4909" s="6">
        <v>4144</v>
      </c>
      <c r="K4909" s="37" t="s">
        <v>7941</v>
      </c>
      <c r="L4909" s="119"/>
      <c r="M4909" s="3"/>
    </row>
    <row r="4910" spans="1:13" s="4" customFormat="1" ht="14.25" customHeight="1" x14ac:dyDescent="0.25">
      <c r="A4910" s="4" t="s">
        <v>8208</v>
      </c>
      <c r="B4910" s="4" t="s">
        <v>38</v>
      </c>
      <c r="C4910" s="4" t="s">
        <v>14</v>
      </c>
      <c r="D4910" s="35">
        <v>4902</v>
      </c>
      <c r="E4910" s="4" t="s">
        <v>8209</v>
      </c>
      <c r="F4910" s="5">
        <v>39814</v>
      </c>
      <c r="G4910" s="5">
        <v>40178</v>
      </c>
      <c r="H4910" s="4" t="s">
        <v>40</v>
      </c>
      <c r="I4910" s="6">
        <v>10000</v>
      </c>
      <c r="J4910" s="6">
        <v>10000</v>
      </c>
      <c r="K4910" s="37" t="s">
        <v>7941</v>
      </c>
      <c r="L4910" s="119"/>
      <c r="M4910" s="3"/>
    </row>
    <row r="4911" spans="1:13" s="4" customFormat="1" ht="14.25" customHeight="1" x14ac:dyDescent="0.25">
      <c r="A4911" s="4" t="s">
        <v>8210</v>
      </c>
      <c r="B4911" s="4" t="s">
        <v>38</v>
      </c>
      <c r="C4911" s="4" t="s">
        <v>14</v>
      </c>
      <c r="D4911" s="35">
        <v>4903</v>
      </c>
      <c r="E4911" s="4" t="s">
        <v>8211</v>
      </c>
      <c r="F4911" s="5">
        <v>39814</v>
      </c>
      <c r="G4911" s="5">
        <v>40178</v>
      </c>
      <c r="H4911" s="4" t="s">
        <v>40</v>
      </c>
      <c r="I4911" s="6">
        <v>2960</v>
      </c>
      <c r="J4911" s="6">
        <v>2960</v>
      </c>
      <c r="K4911" s="37" t="s">
        <v>7941</v>
      </c>
      <c r="L4911" s="119"/>
      <c r="M4911" s="3"/>
    </row>
    <row r="4912" spans="1:13" s="4" customFormat="1" ht="14.25" customHeight="1" x14ac:dyDescent="0.25">
      <c r="A4912" s="4" t="s">
        <v>8212</v>
      </c>
      <c r="B4912" s="4" t="s">
        <v>38</v>
      </c>
      <c r="C4912" s="4" t="s">
        <v>14</v>
      </c>
      <c r="D4912" s="35">
        <v>4905</v>
      </c>
      <c r="E4912" s="4" t="s">
        <v>8213</v>
      </c>
      <c r="F4912" s="5">
        <v>39814</v>
      </c>
      <c r="G4912" s="5">
        <v>40178</v>
      </c>
      <c r="H4912" s="4" t="s">
        <v>40</v>
      </c>
      <c r="I4912" s="6">
        <v>1000</v>
      </c>
      <c r="J4912" s="6">
        <v>1000</v>
      </c>
      <c r="K4912" s="37" t="s">
        <v>7941</v>
      </c>
      <c r="L4912" s="119"/>
      <c r="M4912" s="3"/>
    </row>
    <row r="4913" spans="1:13" s="4" customFormat="1" ht="14.25" customHeight="1" x14ac:dyDescent="0.25">
      <c r="A4913" s="4" t="s">
        <v>8214</v>
      </c>
      <c r="B4913" s="4" t="s">
        <v>38</v>
      </c>
      <c r="C4913" s="4" t="s">
        <v>14</v>
      </c>
      <c r="D4913" s="35">
        <v>4906</v>
      </c>
      <c r="E4913" s="4" t="s">
        <v>8215</v>
      </c>
      <c r="F4913" s="5">
        <v>39814</v>
      </c>
      <c r="G4913" s="5">
        <v>40178</v>
      </c>
      <c r="H4913" s="4" t="s">
        <v>40</v>
      </c>
      <c r="I4913" s="6">
        <v>2615</v>
      </c>
      <c r="J4913" s="6">
        <v>2615</v>
      </c>
      <c r="K4913" s="37" t="s">
        <v>7941</v>
      </c>
      <c r="L4913" s="119"/>
      <c r="M4913" s="3"/>
    </row>
    <row r="4914" spans="1:13" s="4" customFormat="1" ht="14.25" customHeight="1" x14ac:dyDescent="0.25">
      <c r="A4914" s="4" t="s">
        <v>8216</v>
      </c>
      <c r="B4914" s="4" t="s">
        <v>38</v>
      </c>
      <c r="C4914" s="4" t="s">
        <v>14</v>
      </c>
      <c r="D4914" s="35">
        <v>5231</v>
      </c>
      <c r="E4914" s="4" t="s">
        <v>8217</v>
      </c>
      <c r="F4914" s="5">
        <v>39448</v>
      </c>
      <c r="G4914" s="5">
        <v>41639</v>
      </c>
      <c r="H4914" s="4" t="s">
        <v>40</v>
      </c>
      <c r="I4914" s="6">
        <v>1000</v>
      </c>
      <c r="J4914" s="6">
        <v>1000</v>
      </c>
      <c r="K4914" s="37" t="s">
        <v>7941</v>
      </c>
      <c r="L4914" s="119"/>
      <c r="M4914" s="3"/>
    </row>
    <row r="4915" spans="1:13" s="4" customFormat="1" ht="14.25" customHeight="1" x14ac:dyDescent="0.25">
      <c r="A4915" s="4" t="s">
        <v>8218</v>
      </c>
      <c r="B4915" s="4" t="s">
        <v>38</v>
      </c>
      <c r="C4915" s="4" t="s">
        <v>14</v>
      </c>
      <c r="D4915" s="35">
        <v>6895</v>
      </c>
      <c r="E4915" s="4" t="s">
        <v>8219</v>
      </c>
      <c r="F4915" s="5">
        <v>40472</v>
      </c>
      <c r="G4915" s="5">
        <v>41217</v>
      </c>
      <c r="H4915" s="4" t="s">
        <v>40</v>
      </c>
      <c r="I4915" s="6">
        <v>1829.23</v>
      </c>
      <c r="J4915" s="6">
        <v>1829.23</v>
      </c>
      <c r="K4915" s="37" t="s">
        <v>7941</v>
      </c>
      <c r="L4915" s="119"/>
      <c r="M4915" s="3"/>
    </row>
    <row r="4916" spans="1:13" s="4" customFormat="1" ht="14.25" customHeight="1" x14ac:dyDescent="0.25">
      <c r="A4916" s="4" t="s">
        <v>8220</v>
      </c>
      <c r="B4916" s="4" t="s">
        <v>38</v>
      </c>
      <c r="C4916" s="4" t="s">
        <v>14</v>
      </c>
      <c r="D4916" s="35">
        <v>6897</v>
      </c>
      <c r="E4916" s="4" t="s">
        <v>8221</v>
      </c>
      <c r="F4916" s="5">
        <v>40479</v>
      </c>
      <c r="G4916" s="5">
        <v>40501</v>
      </c>
      <c r="H4916" s="4" t="s">
        <v>40</v>
      </c>
      <c r="I4916" s="6">
        <v>1500</v>
      </c>
      <c r="J4916" s="6">
        <v>1500</v>
      </c>
      <c r="K4916" s="37" t="s">
        <v>7941</v>
      </c>
      <c r="L4916" s="119"/>
      <c r="M4916" s="3"/>
    </row>
    <row r="4917" spans="1:13" s="4" customFormat="1" ht="14.25" customHeight="1" x14ac:dyDescent="0.25">
      <c r="A4917" s="4" t="s">
        <v>8222</v>
      </c>
      <c r="B4917" s="4" t="s">
        <v>38</v>
      </c>
      <c r="C4917" s="4" t="s">
        <v>14</v>
      </c>
      <c r="D4917" s="35">
        <v>6899</v>
      </c>
      <c r="E4917" s="4" t="s">
        <v>8223</v>
      </c>
      <c r="F4917" s="5">
        <v>40233</v>
      </c>
      <c r="G4917" s="5">
        <v>40262</v>
      </c>
      <c r="H4917" s="4" t="s">
        <v>40</v>
      </c>
      <c r="I4917" s="6">
        <v>1390</v>
      </c>
      <c r="J4917" s="6">
        <v>1390</v>
      </c>
      <c r="K4917" s="37" t="s">
        <v>7941</v>
      </c>
      <c r="L4917" s="119"/>
      <c r="M4917" s="3"/>
    </row>
    <row r="4918" spans="1:13" s="4" customFormat="1" ht="14.25" customHeight="1" x14ac:dyDescent="0.25">
      <c r="A4918" s="4" t="s">
        <v>8224</v>
      </c>
      <c r="B4918" s="4" t="s">
        <v>38</v>
      </c>
      <c r="C4918" s="4" t="s">
        <v>14</v>
      </c>
      <c r="D4918" s="35">
        <v>6901</v>
      </c>
      <c r="E4918" s="4" t="s">
        <v>8225</v>
      </c>
      <c r="F4918" s="5">
        <v>40204</v>
      </c>
      <c r="G4918" s="5">
        <v>40204</v>
      </c>
      <c r="H4918" s="4" t="s">
        <v>40</v>
      </c>
      <c r="I4918" s="6">
        <v>500</v>
      </c>
      <c r="J4918" s="6">
        <v>500</v>
      </c>
      <c r="K4918" s="37" t="s">
        <v>7941</v>
      </c>
      <c r="L4918" s="119"/>
      <c r="M4918" s="3"/>
    </row>
    <row r="4919" spans="1:13" s="4" customFormat="1" ht="14.25" customHeight="1" x14ac:dyDescent="0.25">
      <c r="A4919" s="4" t="s">
        <v>8226</v>
      </c>
      <c r="B4919" s="4" t="s">
        <v>38</v>
      </c>
      <c r="C4919" s="4" t="s">
        <v>14</v>
      </c>
      <c r="D4919" s="35">
        <v>6903</v>
      </c>
      <c r="E4919" s="4" t="s">
        <v>8227</v>
      </c>
      <c r="F4919" s="5">
        <v>40260</v>
      </c>
      <c r="G4919" s="5">
        <v>40323</v>
      </c>
      <c r="H4919" s="4" t="s">
        <v>40</v>
      </c>
      <c r="I4919" s="6">
        <f>45390.41-0.8</f>
        <v>45389.61</v>
      </c>
      <c r="J4919" s="6">
        <f>24440.5+20949.91</f>
        <v>45390.41</v>
      </c>
      <c r="K4919" s="37" t="s">
        <v>7941</v>
      </c>
      <c r="L4919" s="119"/>
      <c r="M4919" s="3"/>
    </row>
    <row r="4920" spans="1:13" s="4" customFormat="1" ht="14.25" customHeight="1" x14ac:dyDescent="0.25">
      <c r="A4920" s="4" t="s">
        <v>8228</v>
      </c>
      <c r="B4920" s="4" t="s">
        <v>38</v>
      </c>
      <c r="C4920" s="4" t="s">
        <v>14</v>
      </c>
      <c r="D4920" s="35">
        <v>6905</v>
      </c>
      <c r="E4920" s="4" t="s">
        <v>8229</v>
      </c>
      <c r="F4920" s="5">
        <v>40227</v>
      </c>
      <c r="G4920" s="5">
        <v>41011</v>
      </c>
      <c r="H4920" s="4" t="s">
        <v>40</v>
      </c>
      <c r="I4920" s="6">
        <v>15105.86</v>
      </c>
      <c r="J4920" s="6">
        <f>11944.11+3161.75</f>
        <v>15105.86</v>
      </c>
      <c r="K4920" s="37" t="s">
        <v>7941</v>
      </c>
      <c r="L4920" s="119"/>
      <c r="M4920" s="3"/>
    </row>
    <row r="4921" spans="1:13" s="4" customFormat="1" ht="14.25" customHeight="1" x14ac:dyDescent="0.25">
      <c r="A4921" s="4" t="s">
        <v>8230</v>
      </c>
      <c r="B4921" s="4" t="s">
        <v>38</v>
      </c>
      <c r="C4921" s="4" t="s">
        <v>14</v>
      </c>
      <c r="D4921" s="35">
        <v>6908</v>
      </c>
      <c r="E4921" s="4" t="s">
        <v>8231</v>
      </c>
      <c r="F4921" s="5">
        <v>40226</v>
      </c>
      <c r="G4921" s="5">
        <v>40240</v>
      </c>
      <c r="H4921" s="4" t="s">
        <v>40</v>
      </c>
      <c r="I4921" s="6">
        <v>990</v>
      </c>
      <c r="J4921" s="6">
        <v>990</v>
      </c>
      <c r="K4921" s="37" t="s">
        <v>7941</v>
      </c>
      <c r="L4921" s="119"/>
      <c r="M4921" s="3"/>
    </row>
    <row r="4922" spans="1:13" s="4" customFormat="1" ht="14.25" customHeight="1" x14ac:dyDescent="0.25">
      <c r="A4922" s="4" t="s">
        <v>2250</v>
      </c>
      <c r="B4922" s="4" t="s">
        <v>38</v>
      </c>
      <c r="C4922" s="4" t="s">
        <v>14</v>
      </c>
      <c r="D4922" s="35">
        <v>6910</v>
      </c>
      <c r="E4922" s="4" t="s">
        <v>8232</v>
      </c>
      <c r="F4922" s="5">
        <v>40330</v>
      </c>
      <c r="G4922" s="5">
        <v>40482</v>
      </c>
      <c r="H4922" s="4" t="s">
        <v>40</v>
      </c>
      <c r="I4922" s="6">
        <v>11550</v>
      </c>
      <c r="J4922" s="6">
        <v>11550</v>
      </c>
      <c r="K4922" s="37" t="s">
        <v>7941</v>
      </c>
      <c r="L4922" s="119"/>
      <c r="M4922" s="3"/>
    </row>
    <row r="4923" spans="1:13" s="4" customFormat="1" ht="14.25" customHeight="1" x14ac:dyDescent="0.25">
      <c r="A4923" s="4" t="s">
        <v>8233</v>
      </c>
      <c r="B4923" s="4" t="s">
        <v>38</v>
      </c>
      <c r="C4923" s="4" t="s">
        <v>14</v>
      </c>
      <c r="D4923" s="35">
        <v>6912</v>
      </c>
      <c r="E4923" s="4" t="s">
        <v>8234</v>
      </c>
      <c r="F4923" s="5">
        <v>40323</v>
      </c>
      <c r="G4923" s="5">
        <v>40323</v>
      </c>
      <c r="H4923" s="4" t="s">
        <v>40</v>
      </c>
      <c r="I4923" s="6">
        <v>1789.59</v>
      </c>
      <c r="J4923" s="6">
        <v>1789.59</v>
      </c>
      <c r="K4923" s="37" t="s">
        <v>7941</v>
      </c>
      <c r="L4923" s="119"/>
      <c r="M4923" s="3"/>
    </row>
    <row r="4924" spans="1:13" s="4" customFormat="1" ht="14.25" customHeight="1" x14ac:dyDescent="0.25">
      <c r="A4924" s="4" t="s">
        <v>8235</v>
      </c>
      <c r="B4924" s="4" t="s">
        <v>38</v>
      </c>
      <c r="C4924" s="4" t="s">
        <v>14</v>
      </c>
      <c r="D4924" s="35">
        <v>6990</v>
      </c>
      <c r="E4924" s="4" t="s">
        <v>8236</v>
      </c>
      <c r="F4924" s="5">
        <v>40179</v>
      </c>
      <c r="G4924" s="5">
        <v>40543</v>
      </c>
      <c r="H4924" s="4" t="s">
        <v>40</v>
      </c>
      <c r="I4924" s="6">
        <v>1000</v>
      </c>
      <c r="J4924" s="6">
        <v>1000</v>
      </c>
      <c r="K4924" s="37" t="s">
        <v>7941</v>
      </c>
      <c r="L4924" s="119"/>
      <c r="M4924" s="3"/>
    </row>
    <row r="4925" spans="1:13" s="4" customFormat="1" ht="14.25" customHeight="1" x14ac:dyDescent="0.25">
      <c r="A4925" s="4" t="s">
        <v>8237</v>
      </c>
      <c r="B4925" s="4" t="s">
        <v>183</v>
      </c>
      <c r="C4925" s="4" t="s">
        <v>14</v>
      </c>
      <c r="D4925" s="35">
        <v>7078</v>
      </c>
      <c r="E4925" s="4" t="s">
        <v>8238</v>
      </c>
      <c r="F4925" s="5">
        <v>40329</v>
      </c>
      <c r="G4925" s="5">
        <v>40694</v>
      </c>
      <c r="H4925" s="4" t="s">
        <v>40</v>
      </c>
      <c r="I4925" s="6">
        <v>16000</v>
      </c>
      <c r="J4925" s="6">
        <v>12000</v>
      </c>
      <c r="K4925" s="37" t="s">
        <v>7941</v>
      </c>
      <c r="L4925" s="119"/>
      <c r="M4925" s="3"/>
    </row>
    <row r="4926" spans="1:13" s="4" customFormat="1" ht="14.25" customHeight="1" x14ac:dyDescent="0.25">
      <c r="A4926" s="4" t="s">
        <v>8239</v>
      </c>
      <c r="B4926" s="4" t="s">
        <v>183</v>
      </c>
      <c r="C4926" s="4" t="s">
        <v>14</v>
      </c>
      <c r="D4926" s="35">
        <v>7085</v>
      </c>
      <c r="E4926" s="4" t="s">
        <v>8240</v>
      </c>
      <c r="F4926" s="5">
        <v>40526</v>
      </c>
      <c r="G4926" s="5">
        <v>40908</v>
      </c>
      <c r="H4926" s="4" t="s">
        <v>40</v>
      </c>
      <c r="I4926" s="6">
        <v>12598</v>
      </c>
      <c r="J4926" s="6">
        <v>10299</v>
      </c>
      <c r="K4926" s="37" t="s">
        <v>7941</v>
      </c>
      <c r="L4926" s="119"/>
      <c r="M4926" s="3"/>
    </row>
    <row r="4927" spans="1:13" s="4" customFormat="1" ht="14.25" customHeight="1" x14ac:dyDescent="0.25">
      <c r="A4927" s="4" t="s">
        <v>8241</v>
      </c>
      <c r="B4927" s="4" t="s">
        <v>183</v>
      </c>
      <c r="C4927" s="4" t="s">
        <v>14</v>
      </c>
      <c r="D4927" s="35">
        <v>7088</v>
      </c>
      <c r="E4927" s="4" t="s">
        <v>8242</v>
      </c>
      <c r="F4927" s="5">
        <v>40259</v>
      </c>
      <c r="G4927" s="5">
        <v>40623</v>
      </c>
      <c r="H4927" s="4" t="s">
        <v>40</v>
      </c>
      <c r="I4927" s="6">
        <v>8000</v>
      </c>
      <c r="J4927" s="6">
        <v>8000</v>
      </c>
      <c r="K4927" s="37" t="s">
        <v>7941</v>
      </c>
      <c r="L4927" s="119"/>
      <c r="M4927" s="3"/>
    </row>
    <row r="4928" spans="1:13" s="4" customFormat="1" ht="14.25" customHeight="1" x14ac:dyDescent="0.25">
      <c r="A4928" s="4" t="s">
        <v>8243</v>
      </c>
      <c r="B4928" s="4" t="s">
        <v>38</v>
      </c>
      <c r="C4928" s="4" t="s">
        <v>14</v>
      </c>
      <c r="D4928" s="35">
        <v>7102</v>
      </c>
      <c r="E4928" s="4" t="s">
        <v>8244</v>
      </c>
      <c r="F4928" s="5">
        <v>40238</v>
      </c>
      <c r="G4928" s="5">
        <v>40890</v>
      </c>
      <c r="H4928" s="4" t="s">
        <v>40</v>
      </c>
      <c r="I4928" s="6">
        <v>9000</v>
      </c>
      <c r="J4928" s="6">
        <v>8500</v>
      </c>
      <c r="K4928" s="37" t="s">
        <v>7941</v>
      </c>
      <c r="L4928" s="119"/>
      <c r="M4928" s="3"/>
    </row>
    <row r="4929" spans="1:13" s="4" customFormat="1" ht="14.25" customHeight="1" x14ac:dyDescent="0.25">
      <c r="A4929" s="4" t="s">
        <v>8247</v>
      </c>
      <c r="B4929" s="4" t="s">
        <v>183</v>
      </c>
      <c r="C4929" s="4" t="s">
        <v>14</v>
      </c>
      <c r="D4929" s="35">
        <v>7104</v>
      </c>
      <c r="E4929" s="4" t="s">
        <v>8248</v>
      </c>
      <c r="F4929" s="5">
        <v>40329</v>
      </c>
      <c r="G4929" s="5">
        <v>40693</v>
      </c>
      <c r="H4929" s="4" t="s">
        <v>40</v>
      </c>
      <c r="I4929" s="6">
        <v>8000</v>
      </c>
      <c r="J4929" s="6">
        <v>8000</v>
      </c>
      <c r="K4929" s="37" t="s">
        <v>7941</v>
      </c>
      <c r="L4929" s="119"/>
      <c r="M4929" s="3"/>
    </row>
    <row r="4930" spans="1:13" s="4" customFormat="1" ht="14.25" customHeight="1" x14ac:dyDescent="0.25">
      <c r="A4930" s="4" t="s">
        <v>8251</v>
      </c>
      <c r="B4930" s="4" t="s">
        <v>190</v>
      </c>
      <c r="C4930" s="4" t="s">
        <v>14</v>
      </c>
      <c r="D4930" s="35">
        <v>7106</v>
      </c>
      <c r="E4930" s="4" t="s">
        <v>8252</v>
      </c>
      <c r="F4930" s="5">
        <v>39814</v>
      </c>
      <c r="G4930" s="5">
        <v>40543</v>
      </c>
      <c r="H4930" s="4" t="s">
        <v>40</v>
      </c>
      <c r="I4930" s="6">
        <v>10600</v>
      </c>
      <c r="J4930" s="6">
        <v>5300</v>
      </c>
      <c r="K4930" s="37" t="s">
        <v>7941</v>
      </c>
      <c r="L4930" s="119"/>
      <c r="M4930" s="3"/>
    </row>
    <row r="4931" spans="1:13" s="4" customFormat="1" ht="14.25" customHeight="1" x14ac:dyDescent="0.25">
      <c r="A4931" s="4" t="s">
        <v>8255</v>
      </c>
      <c r="B4931" s="4" t="s">
        <v>183</v>
      </c>
      <c r="C4931" s="4" t="s">
        <v>14</v>
      </c>
      <c r="D4931" s="35">
        <v>7108</v>
      </c>
      <c r="E4931" s="4" t="s">
        <v>8256</v>
      </c>
      <c r="F4931" s="5">
        <v>40833</v>
      </c>
      <c r="G4931" s="5">
        <v>40908</v>
      </c>
      <c r="H4931" s="4" t="s">
        <v>40</v>
      </c>
      <c r="I4931" s="6">
        <v>17000</v>
      </c>
      <c r="J4931" s="6">
        <v>12500</v>
      </c>
      <c r="K4931" s="37" t="s">
        <v>7941</v>
      </c>
      <c r="L4931" s="119"/>
      <c r="M4931" s="3"/>
    </row>
    <row r="4932" spans="1:13" s="4" customFormat="1" ht="14.25" customHeight="1" x14ac:dyDescent="0.25">
      <c r="A4932" s="4" t="s">
        <v>8257</v>
      </c>
      <c r="B4932" s="4" t="s">
        <v>190</v>
      </c>
      <c r="C4932" s="4" t="s">
        <v>14</v>
      </c>
      <c r="D4932" s="35">
        <v>7109</v>
      </c>
      <c r="E4932" s="4" t="s">
        <v>8258</v>
      </c>
      <c r="F4932" s="5">
        <v>40329</v>
      </c>
      <c r="G4932" s="5">
        <v>40694</v>
      </c>
      <c r="H4932" s="4" t="s">
        <v>40</v>
      </c>
      <c r="I4932" s="6">
        <v>28590</v>
      </c>
      <c r="J4932" s="6">
        <v>14295</v>
      </c>
      <c r="K4932" s="37" t="s">
        <v>7941</v>
      </c>
      <c r="L4932" s="119"/>
      <c r="M4932" s="3"/>
    </row>
    <row r="4933" spans="1:13" s="4" customFormat="1" ht="14.25" customHeight="1" x14ac:dyDescent="0.25">
      <c r="A4933" s="4" t="s">
        <v>8259</v>
      </c>
      <c r="B4933" s="4" t="s">
        <v>90</v>
      </c>
      <c r="C4933" s="4" t="s">
        <v>14</v>
      </c>
      <c r="D4933" s="35">
        <v>7111</v>
      </c>
      <c r="E4933" s="4" t="s">
        <v>8260</v>
      </c>
      <c r="F4933" s="5">
        <v>40105</v>
      </c>
      <c r="G4933" s="5">
        <v>40470</v>
      </c>
      <c r="H4933" s="4" t="s">
        <v>40</v>
      </c>
      <c r="I4933" s="6">
        <v>10000</v>
      </c>
      <c r="J4933" s="6">
        <v>5000</v>
      </c>
      <c r="K4933" s="37" t="s">
        <v>7941</v>
      </c>
      <c r="L4933" s="119"/>
      <c r="M4933" s="3"/>
    </row>
    <row r="4934" spans="1:13" s="4" customFormat="1" ht="14.25" customHeight="1" x14ac:dyDescent="0.25">
      <c r="A4934" s="4" t="s">
        <v>8261</v>
      </c>
      <c r="B4934" s="4" t="s">
        <v>50</v>
      </c>
      <c r="C4934" s="4" t="s">
        <v>14</v>
      </c>
      <c r="D4934" s="35">
        <v>7112</v>
      </c>
      <c r="E4934" s="4" t="s">
        <v>8262</v>
      </c>
      <c r="F4934" s="5">
        <v>40105</v>
      </c>
      <c r="G4934" s="5">
        <v>41639</v>
      </c>
      <c r="H4934" s="4" t="s">
        <v>40</v>
      </c>
      <c r="I4934" s="6">
        <v>32330</v>
      </c>
      <c r="J4934" s="6">
        <v>16165</v>
      </c>
      <c r="K4934" s="37" t="s">
        <v>7941</v>
      </c>
      <c r="L4934" s="119"/>
      <c r="M4934" s="3"/>
    </row>
    <row r="4935" spans="1:13" s="4" customFormat="1" ht="14.25" customHeight="1" x14ac:dyDescent="0.25">
      <c r="A4935" s="4" t="s">
        <v>8263</v>
      </c>
      <c r="B4935" s="4" t="s">
        <v>190</v>
      </c>
      <c r="C4935" s="4" t="s">
        <v>14</v>
      </c>
      <c r="D4935" s="35">
        <v>7177</v>
      </c>
      <c r="E4935" s="4" t="s">
        <v>8264</v>
      </c>
      <c r="F4935" s="5">
        <v>40232</v>
      </c>
      <c r="G4935" s="5">
        <v>40908</v>
      </c>
      <c r="H4935" s="4" t="s">
        <v>40</v>
      </c>
      <c r="I4935" s="6">
        <v>24318</v>
      </c>
      <c r="J4935" s="6">
        <v>12159</v>
      </c>
      <c r="K4935" s="37" t="s">
        <v>7941</v>
      </c>
      <c r="L4935" s="119"/>
      <c r="M4935" s="3"/>
    </row>
    <row r="4936" spans="1:13" s="4" customFormat="1" ht="14.25" customHeight="1" x14ac:dyDescent="0.25">
      <c r="A4936" s="4" t="s">
        <v>8265</v>
      </c>
      <c r="B4936" s="4" t="s">
        <v>90</v>
      </c>
      <c r="C4936" s="4" t="s">
        <v>14</v>
      </c>
      <c r="D4936" s="35">
        <v>7192</v>
      </c>
      <c r="E4936" s="4" t="s">
        <v>8266</v>
      </c>
      <c r="F4936" s="5">
        <v>40259</v>
      </c>
      <c r="G4936" s="5">
        <v>40908</v>
      </c>
      <c r="H4936" s="4" t="s">
        <v>40</v>
      </c>
      <c r="I4936" s="6">
        <v>40000</v>
      </c>
      <c r="J4936" s="6">
        <v>20000</v>
      </c>
      <c r="K4936" s="37" t="s">
        <v>7941</v>
      </c>
      <c r="L4936" s="119"/>
      <c r="M4936" s="3"/>
    </row>
    <row r="4937" spans="1:13" s="4" customFormat="1" ht="14.25" customHeight="1" x14ac:dyDescent="0.25">
      <c r="A4937" s="4" t="s">
        <v>8267</v>
      </c>
      <c r="B4937" s="4" t="s">
        <v>90</v>
      </c>
      <c r="C4937" s="4" t="s">
        <v>14</v>
      </c>
      <c r="D4937" s="35">
        <v>7336</v>
      </c>
      <c r="E4937" s="4" t="s">
        <v>8268</v>
      </c>
      <c r="F4937" s="5">
        <v>40329</v>
      </c>
      <c r="G4937" s="5">
        <v>40543</v>
      </c>
      <c r="H4937" s="4" t="s">
        <v>40</v>
      </c>
      <c r="I4937" s="6">
        <v>5000</v>
      </c>
      <c r="J4937" s="6">
        <v>2500</v>
      </c>
      <c r="K4937" s="37" t="s">
        <v>7941</v>
      </c>
      <c r="L4937" s="119"/>
      <c r="M4937" s="3"/>
    </row>
    <row r="4938" spans="1:13" s="4" customFormat="1" ht="14.25" customHeight="1" x14ac:dyDescent="0.25">
      <c r="A4938" s="4" t="s">
        <v>8271</v>
      </c>
      <c r="B4938" s="4" t="s">
        <v>190</v>
      </c>
      <c r="C4938" s="4" t="s">
        <v>14</v>
      </c>
      <c r="D4938" s="35">
        <v>8629</v>
      </c>
      <c r="E4938" s="4" t="s">
        <v>8272</v>
      </c>
      <c r="F4938" s="5">
        <v>40848</v>
      </c>
      <c r="G4938" s="5">
        <v>41274</v>
      </c>
      <c r="H4938" s="4" t="s">
        <v>40</v>
      </c>
      <c r="I4938" s="6">
        <v>9248</v>
      </c>
      <c r="J4938" s="6">
        <v>4624</v>
      </c>
      <c r="K4938" s="37" t="s">
        <v>7941</v>
      </c>
      <c r="L4938" s="119"/>
      <c r="M4938" s="3"/>
    </row>
    <row r="4939" spans="1:13" s="4" customFormat="1" ht="14.25" customHeight="1" x14ac:dyDescent="0.25">
      <c r="A4939" s="4" t="s">
        <v>8273</v>
      </c>
      <c r="B4939" s="4" t="s">
        <v>190</v>
      </c>
      <c r="C4939" s="4" t="s">
        <v>14</v>
      </c>
      <c r="D4939" s="35">
        <v>8630</v>
      </c>
      <c r="E4939" s="4" t="s">
        <v>8274</v>
      </c>
      <c r="F4939" s="5">
        <v>40693</v>
      </c>
      <c r="G4939" s="5">
        <v>40908</v>
      </c>
      <c r="H4939" s="4" t="s">
        <v>40</v>
      </c>
      <c r="I4939" s="6">
        <v>8000</v>
      </c>
      <c r="J4939" s="6">
        <v>8000</v>
      </c>
      <c r="K4939" s="37" t="s">
        <v>7941</v>
      </c>
      <c r="L4939" s="119"/>
      <c r="M4939" s="3"/>
    </row>
    <row r="4940" spans="1:13" s="4" customFormat="1" ht="14.25" customHeight="1" x14ac:dyDescent="0.25">
      <c r="A4940" s="4" t="s">
        <v>8275</v>
      </c>
      <c r="B4940" s="4" t="s">
        <v>183</v>
      </c>
      <c r="C4940" s="4" t="s">
        <v>14</v>
      </c>
      <c r="D4940" s="35">
        <v>8631</v>
      </c>
      <c r="E4940" s="4" t="s">
        <v>8276</v>
      </c>
      <c r="F4940" s="5">
        <v>40623</v>
      </c>
      <c r="G4940" s="5">
        <v>40908</v>
      </c>
      <c r="H4940" s="4" t="s">
        <v>40</v>
      </c>
      <c r="I4940" s="6">
        <v>4000</v>
      </c>
      <c r="J4940" s="6">
        <v>4000</v>
      </c>
      <c r="K4940" s="37" t="s">
        <v>7941</v>
      </c>
      <c r="L4940" s="119"/>
      <c r="M4940" s="3"/>
    </row>
    <row r="4941" spans="1:13" s="4" customFormat="1" ht="14.25" customHeight="1" x14ac:dyDescent="0.25">
      <c r="A4941" s="4" t="s">
        <v>8277</v>
      </c>
      <c r="B4941" s="4" t="s">
        <v>90</v>
      </c>
      <c r="C4941" s="4" t="s">
        <v>14</v>
      </c>
      <c r="D4941" s="35">
        <v>8632</v>
      </c>
      <c r="E4941" s="4" t="s">
        <v>8278</v>
      </c>
      <c r="F4941" s="5">
        <v>40544</v>
      </c>
      <c r="G4941" s="5">
        <v>40908</v>
      </c>
      <c r="H4941" s="4" t="s">
        <v>40</v>
      </c>
      <c r="I4941" s="6">
        <v>40000</v>
      </c>
      <c r="J4941" s="6">
        <v>20000</v>
      </c>
      <c r="K4941" s="37" t="s">
        <v>7941</v>
      </c>
      <c r="L4941" s="119"/>
      <c r="M4941" s="3"/>
    </row>
    <row r="4942" spans="1:13" s="4" customFormat="1" ht="14.25" customHeight="1" x14ac:dyDescent="0.25">
      <c r="A4942" s="4" t="s">
        <v>8281</v>
      </c>
      <c r="B4942" s="4" t="s">
        <v>190</v>
      </c>
      <c r="C4942" s="4" t="s">
        <v>14</v>
      </c>
      <c r="D4942" s="35">
        <v>8634</v>
      </c>
      <c r="E4942" s="4" t="s">
        <v>8282</v>
      </c>
      <c r="F4942" s="5">
        <v>40833</v>
      </c>
      <c r="G4942" s="5">
        <v>41274</v>
      </c>
      <c r="H4942" s="4" t="s">
        <v>40</v>
      </c>
      <c r="I4942" s="6">
        <v>8000</v>
      </c>
      <c r="J4942" s="6">
        <v>8000</v>
      </c>
      <c r="K4942" s="37" t="s">
        <v>7941</v>
      </c>
      <c r="L4942" s="119"/>
      <c r="M4942" s="3"/>
    </row>
    <row r="4943" spans="1:13" s="4" customFormat="1" ht="14.25" customHeight="1" x14ac:dyDescent="0.25">
      <c r="A4943" s="4" t="s">
        <v>8285</v>
      </c>
      <c r="B4943" s="4" t="s">
        <v>190</v>
      </c>
      <c r="C4943" s="4" t="s">
        <v>14</v>
      </c>
      <c r="D4943" s="35">
        <v>8636</v>
      </c>
      <c r="E4943" s="4" t="s">
        <v>8286</v>
      </c>
      <c r="F4943" s="5">
        <v>40833</v>
      </c>
      <c r="G4943" s="5">
        <v>40908</v>
      </c>
      <c r="H4943" s="4" t="s">
        <v>40</v>
      </c>
      <c r="I4943" s="6">
        <v>40000</v>
      </c>
      <c r="J4943" s="6">
        <v>20000</v>
      </c>
      <c r="K4943" s="37" t="s">
        <v>7941</v>
      </c>
      <c r="L4943" s="119"/>
      <c r="M4943" s="3"/>
    </row>
    <row r="4944" spans="1:13" s="4" customFormat="1" ht="14.25" customHeight="1" x14ac:dyDescent="0.25">
      <c r="A4944" s="4" t="s">
        <v>8289</v>
      </c>
      <c r="B4944" s="4" t="s">
        <v>90</v>
      </c>
      <c r="C4944" s="4" t="s">
        <v>14</v>
      </c>
      <c r="D4944" s="35">
        <v>8642</v>
      </c>
      <c r="E4944" s="4" t="s">
        <v>8290</v>
      </c>
      <c r="F4944" s="5">
        <v>40693</v>
      </c>
      <c r="G4944" s="5">
        <v>40908</v>
      </c>
      <c r="H4944" s="4" t="s">
        <v>40</v>
      </c>
      <c r="I4944" s="6">
        <v>11816</v>
      </c>
      <c r="J4944" s="6">
        <v>5908</v>
      </c>
      <c r="K4944" s="37" t="s">
        <v>7941</v>
      </c>
      <c r="L4944" s="119"/>
      <c r="M4944" s="3"/>
    </row>
    <row r="4945" spans="1:13" s="4" customFormat="1" ht="14.25" customHeight="1" x14ac:dyDescent="0.25">
      <c r="A4945" s="4" t="s">
        <v>8293</v>
      </c>
      <c r="B4945" s="4" t="s">
        <v>38</v>
      </c>
      <c r="C4945" s="4" t="s">
        <v>14</v>
      </c>
      <c r="D4945" s="35">
        <v>8789</v>
      </c>
      <c r="E4945" s="4" t="s">
        <v>8294</v>
      </c>
      <c r="F4945" s="5">
        <v>40544</v>
      </c>
      <c r="G4945" s="5">
        <v>41274</v>
      </c>
      <c r="H4945" s="4" t="s">
        <v>40</v>
      </c>
      <c r="I4945" s="6">
        <v>2460.23</v>
      </c>
      <c r="J4945" s="6">
        <v>2460.23</v>
      </c>
      <c r="K4945" s="37" t="s">
        <v>7941</v>
      </c>
      <c r="L4945" s="119"/>
      <c r="M4945" s="3"/>
    </row>
    <row r="4946" spans="1:13" s="4" customFormat="1" ht="14.25" customHeight="1" x14ac:dyDescent="0.25">
      <c r="A4946" s="4" t="s">
        <v>8295</v>
      </c>
      <c r="B4946" s="4" t="s">
        <v>38</v>
      </c>
      <c r="C4946" s="4" t="s">
        <v>14</v>
      </c>
      <c r="D4946" s="35">
        <v>8793</v>
      </c>
      <c r="E4946" s="4" t="s">
        <v>8296</v>
      </c>
      <c r="F4946" s="5">
        <v>40544</v>
      </c>
      <c r="G4946" s="5">
        <v>41274</v>
      </c>
      <c r="H4946" s="4" t="s">
        <v>40</v>
      </c>
      <c r="I4946" s="6">
        <v>3823.53</v>
      </c>
      <c r="J4946" s="6">
        <v>3823.53</v>
      </c>
      <c r="K4946" s="37" t="s">
        <v>7941</v>
      </c>
      <c r="L4946" s="119"/>
      <c r="M4946" s="3"/>
    </row>
    <row r="4947" spans="1:13" s="4" customFormat="1" ht="14.25" customHeight="1" x14ac:dyDescent="0.25">
      <c r="A4947" s="4" t="s">
        <v>8297</v>
      </c>
      <c r="B4947" s="4" t="s">
        <v>190</v>
      </c>
      <c r="C4947" s="4" t="s">
        <v>14</v>
      </c>
      <c r="D4947" s="35">
        <v>10410</v>
      </c>
      <c r="E4947" s="4" t="s">
        <v>8298</v>
      </c>
      <c r="F4947" s="5">
        <v>40974</v>
      </c>
      <c r="G4947" s="5">
        <v>41339</v>
      </c>
      <c r="H4947" s="4" t="s">
        <v>40</v>
      </c>
      <c r="I4947" s="6">
        <v>11200</v>
      </c>
      <c r="J4947" s="6">
        <v>11200</v>
      </c>
      <c r="K4947" s="37" t="s">
        <v>7941</v>
      </c>
      <c r="L4947" s="119"/>
      <c r="M4947" s="3"/>
    </row>
    <row r="4948" spans="1:13" s="4" customFormat="1" ht="14.25" customHeight="1" x14ac:dyDescent="0.25">
      <c r="A4948" s="4" t="s">
        <v>8299</v>
      </c>
      <c r="B4948" s="4" t="s">
        <v>183</v>
      </c>
      <c r="C4948" s="4" t="s">
        <v>14</v>
      </c>
      <c r="D4948" s="35">
        <v>10414</v>
      </c>
      <c r="E4948" s="4" t="s">
        <v>8300</v>
      </c>
      <c r="F4948" s="5">
        <v>41037</v>
      </c>
      <c r="G4948" s="5">
        <v>41402</v>
      </c>
      <c r="H4948" s="4" t="s">
        <v>40</v>
      </c>
      <c r="I4948" s="6">
        <v>8492</v>
      </c>
      <c r="J4948" s="6">
        <f>3060+1186</f>
        <v>4246</v>
      </c>
      <c r="K4948" s="37" t="s">
        <v>7941</v>
      </c>
      <c r="L4948" s="119"/>
      <c r="M4948" s="3"/>
    </row>
    <row r="4949" spans="1:13" s="4" customFormat="1" ht="14.25" customHeight="1" x14ac:dyDescent="0.25">
      <c r="A4949" s="4" t="s">
        <v>8301</v>
      </c>
      <c r="B4949" s="4" t="s">
        <v>190</v>
      </c>
      <c r="C4949" s="4" t="s">
        <v>14</v>
      </c>
      <c r="D4949" s="35">
        <v>10427</v>
      </c>
      <c r="E4949" s="4" t="s">
        <v>8302</v>
      </c>
      <c r="F4949" s="5">
        <v>41037</v>
      </c>
      <c r="G4949" s="5">
        <v>41402</v>
      </c>
      <c r="H4949" s="4" t="s">
        <v>40</v>
      </c>
      <c r="I4949" s="6">
        <v>54398</v>
      </c>
      <c r="J4949" s="6">
        <v>32799</v>
      </c>
      <c r="K4949" s="37" t="s">
        <v>7941</v>
      </c>
      <c r="L4949" s="119"/>
      <c r="M4949" s="3"/>
    </row>
    <row r="4950" spans="1:13" s="4" customFormat="1" ht="14.25" customHeight="1" x14ac:dyDescent="0.25">
      <c r="A4950" s="4" t="s">
        <v>8303</v>
      </c>
      <c r="B4950" s="4" t="s">
        <v>190</v>
      </c>
      <c r="C4950" s="4" t="s">
        <v>14</v>
      </c>
      <c r="D4950" s="35">
        <v>10438</v>
      </c>
      <c r="E4950" s="4" t="s">
        <v>8304</v>
      </c>
      <c r="F4950" s="5">
        <v>40833</v>
      </c>
      <c r="G4950" s="5">
        <v>41016</v>
      </c>
      <c r="H4950" s="4" t="s">
        <v>40</v>
      </c>
      <c r="I4950" s="6">
        <v>10000</v>
      </c>
      <c r="J4950" s="6">
        <v>5000</v>
      </c>
      <c r="K4950" s="37" t="s">
        <v>7941</v>
      </c>
      <c r="L4950" s="119"/>
      <c r="M4950" s="3"/>
    </row>
    <row r="4951" spans="1:13" s="4" customFormat="1" ht="14.25" customHeight="1" x14ac:dyDescent="0.25">
      <c r="A4951" s="4" t="s">
        <v>8305</v>
      </c>
      <c r="B4951" s="4" t="s">
        <v>190</v>
      </c>
      <c r="C4951" s="4" t="s">
        <v>14</v>
      </c>
      <c r="D4951" s="35">
        <v>10439</v>
      </c>
      <c r="E4951" s="4" t="s">
        <v>8306</v>
      </c>
      <c r="F4951" s="5">
        <v>41205</v>
      </c>
      <c r="G4951" s="5">
        <v>41570</v>
      </c>
      <c r="H4951" s="4" t="s">
        <v>40</v>
      </c>
      <c r="I4951" s="6">
        <v>8000</v>
      </c>
      <c r="J4951" s="6">
        <v>8000</v>
      </c>
      <c r="K4951" s="37" t="s">
        <v>7941</v>
      </c>
      <c r="L4951" s="119"/>
      <c r="M4951" s="3"/>
    </row>
    <row r="4952" spans="1:13" s="4" customFormat="1" ht="14.25" customHeight="1" x14ac:dyDescent="0.25">
      <c r="A4952" s="4" t="s">
        <v>8307</v>
      </c>
      <c r="B4952" s="4" t="s">
        <v>90</v>
      </c>
      <c r="C4952" s="4" t="s">
        <v>14</v>
      </c>
      <c r="D4952" s="35">
        <v>10440</v>
      </c>
      <c r="E4952" s="4" t="s">
        <v>8308</v>
      </c>
      <c r="F4952" s="5">
        <v>41066</v>
      </c>
      <c r="G4952" s="5">
        <v>41280</v>
      </c>
      <c r="H4952" s="4" t="s">
        <v>40</v>
      </c>
      <c r="I4952" s="6">
        <v>6000</v>
      </c>
      <c r="J4952" s="6">
        <v>3000</v>
      </c>
      <c r="K4952" s="37" t="s">
        <v>7941</v>
      </c>
      <c r="L4952" s="119"/>
      <c r="M4952" s="3"/>
    </row>
    <row r="4953" spans="1:13" s="4" customFormat="1" ht="14.25" customHeight="1" x14ac:dyDescent="0.25">
      <c r="A4953" s="4" t="s">
        <v>8309</v>
      </c>
      <c r="B4953" s="4" t="s">
        <v>190</v>
      </c>
      <c r="C4953" s="4" t="s">
        <v>14</v>
      </c>
      <c r="D4953" s="35">
        <v>10441</v>
      </c>
      <c r="E4953" s="4" t="s">
        <v>8310</v>
      </c>
      <c r="F4953" s="5">
        <v>41205</v>
      </c>
      <c r="G4953" s="5">
        <v>41570</v>
      </c>
      <c r="H4953" s="4" t="s">
        <v>40</v>
      </c>
      <c r="I4953" s="6">
        <v>100000</v>
      </c>
      <c r="J4953" s="6">
        <v>50000</v>
      </c>
      <c r="K4953" s="37" t="s">
        <v>7941</v>
      </c>
      <c r="L4953" s="119"/>
      <c r="M4953" s="3"/>
    </row>
    <row r="4954" spans="1:13" s="4" customFormat="1" ht="14.25" customHeight="1" x14ac:dyDescent="0.25">
      <c r="A4954" s="4" t="s">
        <v>8311</v>
      </c>
      <c r="B4954" s="4" t="s">
        <v>183</v>
      </c>
      <c r="C4954" s="4" t="s">
        <v>14</v>
      </c>
      <c r="D4954" s="35">
        <v>10443</v>
      </c>
      <c r="E4954" s="4" t="s">
        <v>8312</v>
      </c>
      <c r="F4954" s="5">
        <v>40974</v>
      </c>
      <c r="G4954" s="5">
        <v>41339</v>
      </c>
      <c r="H4954" s="4" t="s">
        <v>40</v>
      </c>
      <c r="I4954" s="6">
        <v>10000</v>
      </c>
      <c r="J4954" s="6">
        <v>9000</v>
      </c>
      <c r="K4954" s="37" t="s">
        <v>7941</v>
      </c>
      <c r="L4954" s="119"/>
      <c r="M4954" s="3"/>
    </row>
    <row r="4955" spans="1:13" s="4" customFormat="1" ht="14.25" customHeight="1" x14ac:dyDescent="0.25">
      <c r="A4955" s="4" t="s">
        <v>8315</v>
      </c>
      <c r="B4955" s="4" t="s">
        <v>190</v>
      </c>
      <c r="C4955" s="4" t="s">
        <v>14</v>
      </c>
      <c r="D4955" s="35">
        <v>10477</v>
      </c>
      <c r="E4955" s="4" t="s">
        <v>8316</v>
      </c>
      <c r="F4955" s="5">
        <v>41037</v>
      </c>
      <c r="G4955" s="5">
        <v>41402</v>
      </c>
      <c r="H4955" s="4" t="s">
        <v>40</v>
      </c>
      <c r="I4955" s="6">
        <v>43810</v>
      </c>
      <c r="J4955" s="6">
        <v>21905</v>
      </c>
      <c r="K4955" s="37" t="s">
        <v>7941</v>
      </c>
      <c r="L4955" s="119"/>
      <c r="M4955" s="3"/>
    </row>
    <row r="4956" spans="1:13" s="4" customFormat="1" ht="14.25" customHeight="1" x14ac:dyDescent="0.25">
      <c r="A4956" s="4" t="s">
        <v>8317</v>
      </c>
      <c r="B4956" s="4" t="s">
        <v>190</v>
      </c>
      <c r="C4956" s="4" t="s">
        <v>14</v>
      </c>
      <c r="D4956" s="35">
        <v>10479</v>
      </c>
      <c r="E4956" s="4" t="s">
        <v>8318</v>
      </c>
      <c r="F4956" s="5">
        <v>41205</v>
      </c>
      <c r="G4956" s="5">
        <v>41570</v>
      </c>
      <c r="H4956" s="4" t="s">
        <v>40</v>
      </c>
      <c r="I4956" s="6">
        <v>8812</v>
      </c>
      <c r="J4956" s="6">
        <f>2407+1999</f>
        <v>4406</v>
      </c>
      <c r="K4956" s="37" t="s">
        <v>7941</v>
      </c>
      <c r="L4956" s="119"/>
      <c r="M4956" s="3"/>
    </row>
    <row r="4957" spans="1:13" s="4" customFormat="1" ht="14.25" customHeight="1" x14ac:dyDescent="0.25">
      <c r="A4957" s="4" t="s">
        <v>8319</v>
      </c>
      <c r="B4957" s="4" t="s">
        <v>190</v>
      </c>
      <c r="C4957" s="4" t="s">
        <v>14</v>
      </c>
      <c r="D4957" s="35">
        <v>10480</v>
      </c>
      <c r="E4957" s="4" t="s">
        <v>8320</v>
      </c>
      <c r="F4957" s="5">
        <v>41205</v>
      </c>
      <c r="G4957" s="5">
        <v>41570</v>
      </c>
      <c r="H4957" s="4" t="s">
        <v>40</v>
      </c>
      <c r="I4957" s="6">
        <v>9426</v>
      </c>
      <c r="J4957" s="6">
        <f>4000+4713</f>
        <v>8713</v>
      </c>
      <c r="K4957" s="37" t="s">
        <v>7941</v>
      </c>
      <c r="L4957" s="119"/>
      <c r="M4957" s="3"/>
    </row>
    <row r="4958" spans="1:13" s="4" customFormat="1" ht="14.25" customHeight="1" x14ac:dyDescent="0.25">
      <c r="A4958" s="4" t="s">
        <v>8321</v>
      </c>
      <c r="B4958" s="4" t="s">
        <v>183</v>
      </c>
      <c r="C4958" s="4" t="s">
        <v>14</v>
      </c>
      <c r="D4958" s="35">
        <v>10482</v>
      </c>
      <c r="E4958" s="4" t="s">
        <v>8322</v>
      </c>
      <c r="F4958" s="5">
        <v>40974</v>
      </c>
      <c r="G4958" s="5">
        <v>41339</v>
      </c>
      <c r="H4958" s="4" t="s">
        <v>40</v>
      </c>
      <c r="I4958" s="6">
        <v>23734</v>
      </c>
      <c r="J4958" s="6">
        <f>13071+2796</f>
        <v>15867</v>
      </c>
      <c r="K4958" s="37" t="s">
        <v>7941</v>
      </c>
      <c r="L4958" s="119"/>
      <c r="M4958" s="3"/>
    </row>
    <row r="4959" spans="1:13" s="4" customFormat="1" ht="14.25" customHeight="1" x14ac:dyDescent="0.25">
      <c r="A4959" s="4" t="s">
        <v>8323</v>
      </c>
      <c r="B4959" s="4" t="s">
        <v>190</v>
      </c>
      <c r="C4959" s="4" t="s">
        <v>14</v>
      </c>
      <c r="D4959" s="35">
        <v>10484</v>
      </c>
      <c r="E4959" s="4" t="s">
        <v>8324</v>
      </c>
      <c r="F4959" s="5">
        <v>40974</v>
      </c>
      <c r="G4959" s="5">
        <v>41339</v>
      </c>
      <c r="H4959" s="4" t="s">
        <v>40</v>
      </c>
      <c r="I4959" s="6">
        <v>16000</v>
      </c>
      <c r="J4959" s="6">
        <v>16000</v>
      </c>
      <c r="K4959" s="37" t="s">
        <v>7941</v>
      </c>
      <c r="L4959" s="119"/>
      <c r="M4959" s="3"/>
    </row>
    <row r="4960" spans="1:13" s="4" customFormat="1" ht="14.25" customHeight="1" x14ac:dyDescent="0.25">
      <c r="A4960" s="4" t="s">
        <v>8325</v>
      </c>
      <c r="B4960" s="4" t="s">
        <v>183</v>
      </c>
      <c r="C4960" s="4" t="s">
        <v>14</v>
      </c>
      <c r="D4960" s="35">
        <v>10485</v>
      </c>
      <c r="E4960" s="4" t="s">
        <v>8326</v>
      </c>
      <c r="F4960" s="5">
        <v>41037</v>
      </c>
      <c r="G4960" s="5">
        <v>41402</v>
      </c>
      <c r="H4960" s="4" t="s">
        <v>40</v>
      </c>
      <c r="I4960" s="6">
        <v>9974</v>
      </c>
      <c r="J4960" s="6">
        <v>8987</v>
      </c>
      <c r="K4960" s="37" t="s">
        <v>7941</v>
      </c>
      <c r="L4960" s="119"/>
      <c r="M4960" s="3"/>
    </row>
    <row r="4961" spans="1:13" s="4" customFormat="1" ht="14.25" customHeight="1" x14ac:dyDescent="0.25">
      <c r="A4961" s="4" t="s">
        <v>8327</v>
      </c>
      <c r="B4961" s="4" t="s">
        <v>183</v>
      </c>
      <c r="C4961" s="4" t="s">
        <v>14</v>
      </c>
      <c r="D4961" s="35">
        <v>10487</v>
      </c>
      <c r="E4961" s="4" t="s">
        <v>8328</v>
      </c>
      <c r="F4961" s="5">
        <v>40974</v>
      </c>
      <c r="G4961" s="5">
        <v>41339</v>
      </c>
      <c r="H4961" s="4" t="s">
        <v>40</v>
      </c>
      <c r="I4961" s="6">
        <v>13334</v>
      </c>
      <c r="J4961" s="6">
        <v>8667</v>
      </c>
      <c r="K4961" s="37" t="s">
        <v>7941</v>
      </c>
      <c r="L4961" s="119"/>
      <c r="M4961" s="3"/>
    </row>
    <row r="4962" spans="1:13" s="4" customFormat="1" ht="14.25" customHeight="1" x14ac:dyDescent="0.25">
      <c r="A4962" s="4" t="s">
        <v>8329</v>
      </c>
      <c r="B4962" s="4" t="s">
        <v>38</v>
      </c>
      <c r="C4962" s="4" t="s">
        <v>14</v>
      </c>
      <c r="D4962" s="35">
        <v>10612</v>
      </c>
      <c r="E4962" s="4" t="s">
        <v>8330</v>
      </c>
      <c r="F4962" s="5">
        <v>40909</v>
      </c>
      <c r="G4962" s="5">
        <v>41273</v>
      </c>
      <c r="H4962" s="4" t="s">
        <v>40</v>
      </c>
      <c r="I4962" s="6">
        <v>13826.58</v>
      </c>
      <c r="J4962" s="6">
        <f>3434.73+10391.85</f>
        <v>13826.58</v>
      </c>
      <c r="K4962" s="37" t="s">
        <v>7941</v>
      </c>
      <c r="L4962" s="119"/>
      <c r="M4962" s="3"/>
    </row>
    <row r="4963" spans="1:13" s="4" customFormat="1" ht="14.25" customHeight="1" x14ac:dyDescent="0.25">
      <c r="A4963" s="4" t="s">
        <v>8331</v>
      </c>
      <c r="B4963" s="4" t="s">
        <v>38</v>
      </c>
      <c r="C4963" s="4" t="s">
        <v>14</v>
      </c>
      <c r="D4963" s="35">
        <v>10617</v>
      </c>
      <c r="E4963" s="4" t="s">
        <v>8332</v>
      </c>
      <c r="F4963" s="5">
        <v>40909</v>
      </c>
      <c r="G4963" s="5">
        <v>41273</v>
      </c>
      <c r="H4963" s="4" t="s">
        <v>40</v>
      </c>
      <c r="I4963" s="6">
        <v>9892.2199999999993</v>
      </c>
      <c r="J4963" s="6">
        <v>9892.2199999999993</v>
      </c>
      <c r="K4963" s="37" t="s">
        <v>7941</v>
      </c>
      <c r="L4963" s="119"/>
      <c r="M4963" s="3"/>
    </row>
    <row r="4964" spans="1:13" s="4" customFormat="1" ht="14.25" customHeight="1" x14ac:dyDescent="0.25">
      <c r="A4964" s="4" t="s">
        <v>8333</v>
      </c>
      <c r="B4964" s="4" t="s">
        <v>13</v>
      </c>
      <c r="C4964" s="4" t="s">
        <v>14</v>
      </c>
      <c r="D4964" s="35">
        <v>10618</v>
      </c>
      <c r="E4964" s="4" t="s">
        <v>8334</v>
      </c>
      <c r="F4964" s="5">
        <v>40909</v>
      </c>
      <c r="G4964" s="5">
        <v>41273</v>
      </c>
      <c r="H4964" s="4" t="s">
        <v>40</v>
      </c>
      <c r="I4964" s="6">
        <v>1721.47</v>
      </c>
      <c r="J4964" s="6">
        <f>1510.47+211</f>
        <v>1721.47</v>
      </c>
      <c r="K4964" s="37" t="s">
        <v>7941</v>
      </c>
      <c r="L4964" s="119"/>
      <c r="M4964" s="3"/>
    </row>
    <row r="4965" spans="1:13" s="4" customFormat="1" ht="14.25" customHeight="1" x14ac:dyDescent="0.25">
      <c r="A4965" s="4" t="s">
        <v>8335</v>
      </c>
      <c r="B4965" s="4" t="s">
        <v>38</v>
      </c>
      <c r="C4965" s="4" t="s">
        <v>14</v>
      </c>
      <c r="D4965" s="35">
        <v>10619</v>
      </c>
      <c r="E4965" s="4" t="s">
        <v>8336</v>
      </c>
      <c r="F4965" s="5">
        <v>40909</v>
      </c>
      <c r="G4965" s="5">
        <v>41273</v>
      </c>
      <c r="H4965" s="4" t="s">
        <v>40</v>
      </c>
      <c r="I4965" s="6">
        <v>1613.74</v>
      </c>
      <c r="J4965" s="6">
        <f>731.14+882.6</f>
        <v>1613.74</v>
      </c>
      <c r="K4965" s="37" t="s">
        <v>7941</v>
      </c>
      <c r="L4965" s="119"/>
      <c r="M4965" s="3"/>
    </row>
    <row r="4966" spans="1:13" s="4" customFormat="1" ht="14.25" customHeight="1" x14ac:dyDescent="0.25">
      <c r="A4966" s="4" t="s">
        <v>8337</v>
      </c>
      <c r="B4966" s="4" t="s">
        <v>13</v>
      </c>
      <c r="C4966" s="4" t="s">
        <v>14</v>
      </c>
      <c r="D4966" s="35">
        <v>10621</v>
      </c>
      <c r="E4966" s="4" t="s">
        <v>8338</v>
      </c>
      <c r="F4966" s="5">
        <v>40909</v>
      </c>
      <c r="G4966" s="5">
        <v>41273</v>
      </c>
      <c r="H4966" s="4" t="s">
        <v>40</v>
      </c>
      <c r="I4966" s="6">
        <v>1919.23</v>
      </c>
      <c r="J4966" s="6">
        <f>1919.23</f>
        <v>1919.23</v>
      </c>
      <c r="K4966" s="37" t="s">
        <v>7941</v>
      </c>
      <c r="L4966" s="119"/>
      <c r="M4966" s="3"/>
    </row>
    <row r="4967" spans="1:13" s="4" customFormat="1" ht="14.25" customHeight="1" x14ac:dyDescent="0.25">
      <c r="A4967" s="4" t="s">
        <v>8339</v>
      </c>
      <c r="B4967" s="4" t="s">
        <v>38</v>
      </c>
      <c r="C4967" s="4" t="s">
        <v>14</v>
      </c>
      <c r="D4967" s="35">
        <v>10622</v>
      </c>
      <c r="E4967" s="4" t="s">
        <v>8340</v>
      </c>
      <c r="F4967" s="5">
        <v>40909</v>
      </c>
      <c r="G4967" s="5">
        <v>41273</v>
      </c>
      <c r="H4967" s="4" t="s">
        <v>40</v>
      </c>
      <c r="I4967" s="6">
        <v>971.74</v>
      </c>
      <c r="J4967" s="6">
        <v>971.74</v>
      </c>
      <c r="K4967" s="37" t="s">
        <v>7941</v>
      </c>
      <c r="L4967" s="119"/>
      <c r="M4967" s="3"/>
    </row>
    <row r="4968" spans="1:13" s="4" customFormat="1" ht="14.25" customHeight="1" x14ac:dyDescent="0.25">
      <c r="A4968" s="4" t="s">
        <v>8341</v>
      </c>
      <c r="B4968" s="4" t="s">
        <v>38</v>
      </c>
      <c r="C4968" s="4" t="s">
        <v>14</v>
      </c>
      <c r="D4968" s="35">
        <v>10623</v>
      </c>
      <c r="E4968" s="4" t="s">
        <v>8342</v>
      </c>
      <c r="F4968" s="5">
        <v>40909</v>
      </c>
      <c r="G4968" s="5">
        <v>41273</v>
      </c>
      <c r="H4968" s="4" t="s">
        <v>40</v>
      </c>
      <c r="I4968" s="6">
        <v>1482.35</v>
      </c>
      <c r="J4968" s="6">
        <v>1482.35</v>
      </c>
      <c r="K4968" s="37" t="s">
        <v>7941</v>
      </c>
      <c r="L4968" s="119"/>
      <c r="M4968" s="3"/>
    </row>
    <row r="4969" spans="1:13" s="4" customFormat="1" ht="14.25" customHeight="1" x14ac:dyDescent="0.25">
      <c r="A4969" s="4" t="s">
        <v>8343</v>
      </c>
      <c r="B4969" s="4" t="s">
        <v>38</v>
      </c>
      <c r="C4969" s="4" t="s">
        <v>14</v>
      </c>
      <c r="D4969" s="35">
        <v>10666</v>
      </c>
      <c r="E4969" s="4" t="s">
        <v>8344</v>
      </c>
      <c r="F4969" s="5">
        <v>40909</v>
      </c>
      <c r="G4969" s="5">
        <v>41274</v>
      </c>
      <c r="H4969" s="4" t="s">
        <v>40</v>
      </c>
      <c r="I4969" s="6">
        <v>9771.7999999999993</v>
      </c>
      <c r="J4969" s="6">
        <f>4101+784.9</f>
        <v>4885.8999999999996</v>
      </c>
      <c r="K4969" s="37" t="s">
        <v>7941</v>
      </c>
      <c r="L4969" s="119"/>
      <c r="M4969" s="3"/>
    </row>
    <row r="4970" spans="1:13" ht="14.25" customHeight="1" x14ac:dyDescent="0.25">
      <c r="A4970" s="13" t="s">
        <v>11117</v>
      </c>
      <c r="B4970" s="13" t="s">
        <v>38</v>
      </c>
      <c r="C4970" s="13" t="s">
        <v>14</v>
      </c>
      <c r="D4970" s="19">
        <v>12178</v>
      </c>
      <c r="E4970" s="13" t="s">
        <v>11118</v>
      </c>
      <c r="F4970" s="14">
        <v>41275</v>
      </c>
      <c r="G4970" s="14">
        <v>42003</v>
      </c>
      <c r="H4970" s="13" t="s">
        <v>651</v>
      </c>
      <c r="I4970" s="18">
        <v>18942.400000000001</v>
      </c>
      <c r="J4970" s="18">
        <v>18942.400000000001</v>
      </c>
      <c r="K4970" s="20" t="s">
        <v>7941</v>
      </c>
    </row>
    <row r="4971" spans="1:13" ht="14.25" customHeight="1" x14ac:dyDescent="0.25">
      <c r="A4971" s="13" t="s">
        <v>11119</v>
      </c>
      <c r="B4971" s="13" t="s">
        <v>38</v>
      </c>
      <c r="C4971" s="13" t="s">
        <v>14</v>
      </c>
      <c r="D4971" s="19">
        <v>12179</v>
      </c>
      <c r="E4971" s="13" t="s">
        <v>11120</v>
      </c>
      <c r="F4971" s="14">
        <v>41275</v>
      </c>
      <c r="G4971" s="14">
        <v>41638</v>
      </c>
      <c r="H4971" s="13" t="s">
        <v>651</v>
      </c>
      <c r="I4971" s="18">
        <v>4512.1000000000004</v>
      </c>
      <c r="J4971" s="18">
        <v>4512.1000000000004</v>
      </c>
      <c r="K4971" s="20" t="s">
        <v>7941</v>
      </c>
    </row>
    <row r="4972" spans="1:13" ht="14.25" customHeight="1" x14ac:dyDescent="0.25">
      <c r="A4972" s="13" t="s">
        <v>11121</v>
      </c>
      <c r="B4972" s="13" t="s">
        <v>38</v>
      </c>
      <c r="C4972" s="13" t="s">
        <v>14</v>
      </c>
      <c r="D4972" s="19">
        <v>12180</v>
      </c>
      <c r="E4972" s="13" t="s">
        <v>11122</v>
      </c>
      <c r="F4972" s="14">
        <v>41275</v>
      </c>
      <c r="G4972" s="14">
        <v>41638</v>
      </c>
      <c r="H4972" s="13" t="s">
        <v>651</v>
      </c>
      <c r="I4972" s="18">
        <v>2945.53</v>
      </c>
      <c r="J4972" s="18">
        <v>2945.53</v>
      </c>
      <c r="K4972" s="20" t="s">
        <v>7941</v>
      </c>
    </row>
    <row r="4973" spans="1:13" ht="14.25" customHeight="1" x14ac:dyDescent="0.25">
      <c r="A4973" s="13" t="s">
        <v>11123</v>
      </c>
      <c r="B4973" s="13" t="s">
        <v>38</v>
      </c>
      <c r="C4973" s="13" t="s">
        <v>14</v>
      </c>
      <c r="D4973" s="19">
        <v>12181</v>
      </c>
      <c r="E4973" s="13" t="s">
        <v>11124</v>
      </c>
      <c r="F4973" s="14">
        <v>41275</v>
      </c>
      <c r="G4973" s="14">
        <v>41639</v>
      </c>
      <c r="H4973" s="13" t="s">
        <v>651</v>
      </c>
      <c r="I4973" s="18">
        <v>2695</v>
      </c>
      <c r="J4973" s="18">
        <v>2695</v>
      </c>
      <c r="K4973" s="20" t="s">
        <v>7941</v>
      </c>
    </row>
    <row r="4974" spans="1:13" ht="14.25" customHeight="1" x14ac:dyDescent="0.25">
      <c r="A4974" s="13" t="s">
        <v>11125</v>
      </c>
      <c r="B4974" s="13" t="s">
        <v>38</v>
      </c>
      <c r="C4974" s="13" t="s">
        <v>14</v>
      </c>
      <c r="D4974" s="19">
        <v>12182</v>
      </c>
      <c r="E4974" s="13" t="s">
        <v>11126</v>
      </c>
      <c r="F4974" s="14">
        <v>41275</v>
      </c>
      <c r="G4974" s="14">
        <v>41639</v>
      </c>
      <c r="H4974" s="13" t="s">
        <v>651</v>
      </c>
      <c r="I4974" s="18">
        <v>3216.8</v>
      </c>
      <c r="J4974" s="18">
        <v>3216.8</v>
      </c>
      <c r="K4974" s="20" t="s">
        <v>7941</v>
      </c>
    </row>
    <row r="4975" spans="1:13" ht="14.25" customHeight="1" x14ac:dyDescent="0.25">
      <c r="A4975" s="13" t="s">
        <v>11380</v>
      </c>
      <c r="B4975" s="13" t="s">
        <v>13</v>
      </c>
      <c r="C4975" s="13" t="s">
        <v>14</v>
      </c>
      <c r="D4975" s="19">
        <v>12239</v>
      </c>
      <c r="E4975" s="13" t="s">
        <v>11381</v>
      </c>
      <c r="F4975" s="14">
        <v>41275</v>
      </c>
      <c r="G4975" s="14">
        <v>42004</v>
      </c>
      <c r="H4975" s="13" t="s">
        <v>651</v>
      </c>
      <c r="I4975" s="18">
        <v>1914</v>
      </c>
      <c r="J4975" s="18">
        <v>957</v>
      </c>
      <c r="K4975" s="20" t="s">
        <v>7941</v>
      </c>
    </row>
    <row r="4976" spans="1:13" ht="14.25" customHeight="1" x14ac:dyDescent="0.25">
      <c r="A4976" s="13" t="s">
        <v>11129</v>
      </c>
      <c r="B4976" s="13" t="s">
        <v>10195</v>
      </c>
      <c r="C4976" s="13" t="s">
        <v>14</v>
      </c>
      <c r="D4976" s="19">
        <v>12253</v>
      </c>
      <c r="E4976" s="13" t="s">
        <v>11130</v>
      </c>
      <c r="F4976" s="14">
        <v>41589</v>
      </c>
      <c r="G4976" s="14">
        <v>41954</v>
      </c>
      <c r="H4976" s="13" t="s">
        <v>651</v>
      </c>
      <c r="I4976" s="18">
        <v>4000</v>
      </c>
      <c r="J4976" s="18">
        <v>4000</v>
      </c>
      <c r="K4976" s="20" t="s">
        <v>7941</v>
      </c>
    </row>
    <row r="4977" spans="1:13" ht="14.25" customHeight="1" x14ac:dyDescent="0.25">
      <c r="A4977" s="13" t="s">
        <v>11131</v>
      </c>
      <c r="B4977" s="13" t="s">
        <v>10195</v>
      </c>
      <c r="C4977" s="13" t="s">
        <v>14</v>
      </c>
      <c r="D4977" s="19">
        <v>12254</v>
      </c>
      <c r="E4977" s="13" t="s">
        <v>11132</v>
      </c>
      <c r="F4977" s="14">
        <v>41275</v>
      </c>
      <c r="G4977" s="14">
        <v>41729</v>
      </c>
      <c r="H4977" s="13" t="s">
        <v>651</v>
      </c>
      <c r="I4977" s="18">
        <v>28400</v>
      </c>
      <c r="J4977" s="18">
        <v>14200</v>
      </c>
      <c r="K4977" s="20" t="s">
        <v>7941</v>
      </c>
    </row>
    <row r="4978" spans="1:13" ht="14.25" customHeight="1" x14ac:dyDescent="0.25">
      <c r="A4978" s="13" t="s">
        <v>11133</v>
      </c>
      <c r="B4978" s="13" t="s">
        <v>10220</v>
      </c>
      <c r="C4978" s="13" t="s">
        <v>14</v>
      </c>
      <c r="D4978" s="19">
        <v>12255</v>
      </c>
      <c r="E4978" s="13" t="s">
        <v>11134</v>
      </c>
      <c r="F4978" s="14">
        <v>41275</v>
      </c>
      <c r="G4978" s="14">
        <v>41639</v>
      </c>
      <c r="H4978" s="13" t="s">
        <v>651</v>
      </c>
      <c r="I4978" s="18">
        <v>37776</v>
      </c>
      <c r="J4978" s="18">
        <v>18888</v>
      </c>
      <c r="K4978" s="20" t="s">
        <v>7941</v>
      </c>
    </row>
    <row r="4979" spans="1:13" ht="14.25" customHeight="1" x14ac:dyDescent="0.25">
      <c r="A4979" s="13" t="s">
        <v>11135</v>
      </c>
      <c r="B4979" s="13" t="s">
        <v>10195</v>
      </c>
      <c r="C4979" s="13" t="s">
        <v>14</v>
      </c>
      <c r="D4979" s="19">
        <v>12256</v>
      </c>
      <c r="E4979" s="13" t="s">
        <v>11136</v>
      </c>
      <c r="F4979" s="14">
        <v>41159</v>
      </c>
      <c r="G4979" s="14">
        <v>41601</v>
      </c>
      <c r="H4979" s="13" t="s">
        <v>651</v>
      </c>
      <c r="I4979" s="18">
        <v>13218</v>
      </c>
      <c r="J4979" s="18">
        <v>6609</v>
      </c>
      <c r="K4979" s="20" t="s">
        <v>7941</v>
      </c>
    </row>
    <row r="4980" spans="1:13" ht="14.25" customHeight="1" x14ac:dyDescent="0.25">
      <c r="A4980" s="13" t="s">
        <v>11137</v>
      </c>
      <c r="B4980" s="13" t="s">
        <v>10195</v>
      </c>
      <c r="C4980" s="13" t="s">
        <v>14</v>
      </c>
      <c r="D4980" s="19">
        <v>12257</v>
      </c>
      <c r="E4980" s="13" t="s">
        <v>11138</v>
      </c>
      <c r="F4980" s="14">
        <v>41311</v>
      </c>
      <c r="G4980" s="14">
        <v>41710</v>
      </c>
      <c r="H4980" s="13" t="s">
        <v>651</v>
      </c>
      <c r="I4980" s="18">
        <v>25442</v>
      </c>
      <c r="J4980" s="18">
        <v>14721</v>
      </c>
      <c r="K4980" s="20" t="s">
        <v>7941</v>
      </c>
    </row>
    <row r="4981" spans="1:13" ht="14.25" customHeight="1" x14ac:dyDescent="0.25">
      <c r="A4981" s="13" t="s">
        <v>11139</v>
      </c>
      <c r="B4981" s="13" t="s">
        <v>10195</v>
      </c>
      <c r="C4981" s="13" t="s">
        <v>14</v>
      </c>
      <c r="D4981" s="19">
        <v>12258</v>
      </c>
      <c r="E4981" s="13" t="s">
        <v>11140</v>
      </c>
      <c r="F4981" s="14">
        <v>41313</v>
      </c>
      <c r="G4981" s="14">
        <v>41710</v>
      </c>
      <c r="H4981" s="13" t="s">
        <v>651</v>
      </c>
      <c r="I4981" s="18">
        <v>4000</v>
      </c>
      <c r="J4981" s="18">
        <v>4000</v>
      </c>
      <c r="K4981" s="20" t="s">
        <v>7941</v>
      </c>
    </row>
    <row r="4982" spans="1:13" ht="14.25" customHeight="1" x14ac:dyDescent="0.25">
      <c r="A4982" s="13" t="s">
        <v>11141</v>
      </c>
      <c r="B4982" s="13" t="s">
        <v>10192</v>
      </c>
      <c r="C4982" s="13" t="s">
        <v>14</v>
      </c>
      <c r="D4982" s="19">
        <v>12259</v>
      </c>
      <c r="E4982" s="13" t="s">
        <v>11142</v>
      </c>
      <c r="F4982" s="14">
        <v>41589</v>
      </c>
      <c r="G4982" s="14">
        <v>41954</v>
      </c>
      <c r="H4982" s="13" t="s">
        <v>651</v>
      </c>
      <c r="I4982" s="18">
        <v>8000</v>
      </c>
      <c r="J4982" s="18">
        <v>8000</v>
      </c>
      <c r="K4982" s="20" t="s">
        <v>7941</v>
      </c>
    </row>
    <row r="4983" spans="1:13" ht="14.25" customHeight="1" x14ac:dyDescent="0.25">
      <c r="A4983" s="13" t="s">
        <v>11143</v>
      </c>
      <c r="B4983" s="13" t="s">
        <v>10192</v>
      </c>
      <c r="C4983" s="13" t="s">
        <v>14</v>
      </c>
      <c r="D4983" s="19">
        <v>12260</v>
      </c>
      <c r="E4983" s="13" t="s">
        <v>11144</v>
      </c>
      <c r="F4983" s="14">
        <v>41156</v>
      </c>
      <c r="G4983" s="14">
        <v>41570</v>
      </c>
      <c r="H4983" s="13" t="s">
        <v>651</v>
      </c>
      <c r="I4983" s="18">
        <v>8580</v>
      </c>
      <c r="J4983" s="18">
        <v>5290</v>
      </c>
      <c r="K4983" s="20" t="s">
        <v>7941</v>
      </c>
    </row>
    <row r="4984" spans="1:13" s="4" customFormat="1" ht="14.25" customHeight="1" x14ac:dyDescent="0.25">
      <c r="D4984" s="35"/>
      <c r="E4984" s="26" t="s">
        <v>351</v>
      </c>
      <c r="F4984" s="28"/>
      <c r="G4984" s="28"/>
      <c r="H4984" s="26"/>
      <c r="I4984" s="27">
        <f>SUM(I4791:I4796)</f>
        <v>2099719.06</v>
      </c>
      <c r="J4984" s="27">
        <f>SUM(J4791:J4796)</f>
        <v>525231.84</v>
      </c>
      <c r="K4984" s="20" t="s">
        <v>7941</v>
      </c>
      <c r="L4984" s="119"/>
      <c r="M4984" s="3"/>
    </row>
    <row r="4985" spans="1:13" s="4" customFormat="1" ht="14.25" customHeight="1" x14ac:dyDescent="0.25">
      <c r="D4985" s="35"/>
      <c r="E4985" s="26" t="s">
        <v>786</v>
      </c>
      <c r="F4985" s="28"/>
      <c r="G4985" s="28"/>
      <c r="H4985" s="26"/>
      <c r="I4985" s="27">
        <f>SUM(I4797:I4798)</f>
        <v>1505467</v>
      </c>
      <c r="J4985" s="27">
        <f>SUM(J4797:J4798)</f>
        <v>476915.5</v>
      </c>
      <c r="K4985" s="20" t="s">
        <v>7941</v>
      </c>
      <c r="L4985" s="119"/>
      <c r="M4985" s="3"/>
    </row>
    <row r="4986" spans="1:13" s="4" customFormat="1" ht="14.25" customHeight="1" x14ac:dyDescent="0.25">
      <c r="D4986" s="35"/>
      <c r="E4986" s="26" t="s">
        <v>352</v>
      </c>
      <c r="F4986" s="28"/>
      <c r="G4986" s="28"/>
      <c r="H4986" s="26"/>
      <c r="I4986" s="27">
        <f>SUM(I4799:I4983)</f>
        <v>3487104.7199999997</v>
      </c>
      <c r="J4986" s="27">
        <f>SUM(J4799:J4983)</f>
        <v>2778386.62</v>
      </c>
      <c r="K4986" s="20" t="s">
        <v>7941</v>
      </c>
      <c r="L4986" s="119"/>
      <c r="M4986" s="3"/>
    </row>
    <row r="4987" spans="1:13" s="4" customFormat="1" ht="14.25" customHeight="1" x14ac:dyDescent="0.25">
      <c r="D4987" s="35"/>
      <c r="E4987" s="26" t="s">
        <v>8345</v>
      </c>
      <c r="F4987" s="28"/>
      <c r="G4987" s="28"/>
      <c r="H4987" s="26"/>
      <c r="I4987" s="27">
        <f>SUM(I4984:I4986)</f>
        <v>7092290.7799999993</v>
      </c>
      <c r="J4987" s="27">
        <f>SUM(J4984:J4986)</f>
        <v>3780533.96</v>
      </c>
      <c r="K4987" s="20" t="s">
        <v>7941</v>
      </c>
      <c r="L4987" s="119"/>
      <c r="M4987" s="3"/>
    </row>
    <row r="4988" spans="1:13" s="4" customFormat="1" ht="14.25" customHeight="1" x14ac:dyDescent="0.25">
      <c r="D4988" s="35"/>
      <c r="F4988" s="5"/>
      <c r="G4988" s="5"/>
      <c r="I4988" s="6"/>
      <c r="J4988" s="6"/>
      <c r="K4988" s="37"/>
      <c r="L4988" s="119"/>
      <c r="M4988" s="3"/>
    </row>
    <row r="4989" spans="1:13" s="4" customFormat="1" ht="14.25" customHeight="1" x14ac:dyDescent="0.25">
      <c r="A4989" s="4" t="s">
        <v>8346</v>
      </c>
      <c r="B4989" s="4" t="s">
        <v>13</v>
      </c>
      <c r="C4989" s="4" t="s">
        <v>14</v>
      </c>
      <c r="D4989" s="35">
        <v>4941</v>
      </c>
      <c r="E4989" s="4" t="s">
        <v>8347</v>
      </c>
      <c r="F4989" s="5">
        <v>39639</v>
      </c>
      <c r="G4989" s="5">
        <v>41152</v>
      </c>
      <c r="H4989" s="4" t="s">
        <v>2032</v>
      </c>
      <c r="I4989" s="6">
        <v>710059.75</v>
      </c>
      <c r="J4989" s="6">
        <v>710059.75</v>
      </c>
      <c r="K4989" s="38" t="s">
        <v>8348</v>
      </c>
      <c r="L4989" s="119"/>
      <c r="M4989" s="3"/>
    </row>
    <row r="4990" spans="1:13" s="32" customFormat="1" ht="14.25" customHeight="1" x14ac:dyDescent="0.25">
      <c r="A4990" s="13" t="s">
        <v>11516</v>
      </c>
      <c r="B4990" s="32" t="s">
        <v>13</v>
      </c>
      <c r="C4990" s="32" t="s">
        <v>14</v>
      </c>
      <c r="D4990" s="33">
        <v>11573</v>
      </c>
      <c r="E4990" s="13" t="s">
        <v>11517</v>
      </c>
      <c r="F4990" s="34">
        <v>40787</v>
      </c>
      <c r="G4990" s="34">
        <v>41152</v>
      </c>
      <c r="H4990" s="4" t="s">
        <v>2032</v>
      </c>
      <c r="I4990" s="94">
        <v>125869.1</v>
      </c>
      <c r="J4990" s="94">
        <v>125869.1</v>
      </c>
      <c r="K4990" s="38" t="s">
        <v>8348</v>
      </c>
      <c r="L4990" s="122"/>
    </row>
    <row r="4991" spans="1:13" s="4" customFormat="1" ht="14.25" customHeight="1" x14ac:dyDescent="0.25">
      <c r="A4991" s="4" t="s">
        <v>8349</v>
      </c>
      <c r="B4991" s="4" t="s">
        <v>13</v>
      </c>
      <c r="C4991" s="4" t="s">
        <v>14</v>
      </c>
      <c r="D4991" s="35">
        <v>3875</v>
      </c>
      <c r="E4991" s="4" t="s">
        <v>8350</v>
      </c>
      <c r="F4991" s="5">
        <v>39455</v>
      </c>
      <c r="G4991" s="5">
        <v>39752</v>
      </c>
      <c r="H4991" s="4" t="s">
        <v>16</v>
      </c>
      <c r="I4991" s="6">
        <v>74400</v>
      </c>
      <c r="J4991" s="6">
        <v>22320</v>
      </c>
      <c r="K4991" s="38" t="s">
        <v>8348</v>
      </c>
      <c r="L4991" s="119"/>
      <c r="M4991" s="3"/>
    </row>
    <row r="4992" spans="1:13" s="4" customFormat="1" ht="14.25" customHeight="1" x14ac:dyDescent="0.25">
      <c r="A4992" s="4" t="s">
        <v>8351</v>
      </c>
      <c r="B4992" s="4" t="s">
        <v>13</v>
      </c>
      <c r="C4992" s="4" t="s">
        <v>14</v>
      </c>
      <c r="D4992" s="35">
        <v>3880</v>
      </c>
      <c r="E4992" s="4" t="s">
        <v>8352</v>
      </c>
      <c r="F4992" s="5">
        <v>39596</v>
      </c>
      <c r="G4992" s="5">
        <v>40087</v>
      </c>
      <c r="H4992" s="4" t="s">
        <v>16</v>
      </c>
      <c r="I4992" s="6">
        <v>7950</v>
      </c>
      <c r="J4992" s="6">
        <v>2385</v>
      </c>
      <c r="K4992" s="38" t="s">
        <v>8348</v>
      </c>
      <c r="L4992" s="119"/>
      <c r="M4992" s="3"/>
    </row>
    <row r="4993" spans="1:13" s="4" customFormat="1" ht="14.25" customHeight="1" x14ac:dyDescent="0.25">
      <c r="A4993" s="4" t="s">
        <v>8353</v>
      </c>
      <c r="B4993" s="4" t="s">
        <v>13</v>
      </c>
      <c r="C4993" s="4" t="s">
        <v>14</v>
      </c>
      <c r="D4993" s="35">
        <v>3881</v>
      </c>
      <c r="E4993" s="4" t="s">
        <v>8354</v>
      </c>
      <c r="F4993" s="5">
        <v>39860</v>
      </c>
      <c r="G4993" s="5">
        <v>40332</v>
      </c>
      <c r="H4993" s="4" t="s">
        <v>16</v>
      </c>
      <c r="I4993" s="6">
        <v>213300</v>
      </c>
      <c r="J4993" s="6">
        <v>63000</v>
      </c>
      <c r="K4993" s="38" t="s">
        <v>8348</v>
      </c>
      <c r="L4993" s="119"/>
      <c r="M4993" s="3"/>
    </row>
    <row r="4994" spans="1:13" s="4" customFormat="1" ht="14.25" customHeight="1" x14ac:dyDescent="0.25">
      <c r="A4994" s="4" t="s">
        <v>8355</v>
      </c>
      <c r="B4994" s="4" t="s">
        <v>13</v>
      </c>
      <c r="C4994" s="4" t="s">
        <v>14</v>
      </c>
      <c r="D4994" s="35">
        <v>4129</v>
      </c>
      <c r="E4994" s="4" t="s">
        <v>8356</v>
      </c>
      <c r="F4994" s="5">
        <v>39514</v>
      </c>
      <c r="G4994" s="5">
        <v>40256</v>
      </c>
      <c r="H4994" s="4" t="s">
        <v>16</v>
      </c>
      <c r="I4994" s="6">
        <v>149799.43</v>
      </c>
      <c r="J4994" s="6">
        <v>29133</v>
      </c>
      <c r="K4994" s="38" t="s">
        <v>8348</v>
      </c>
      <c r="L4994" s="119"/>
      <c r="M4994" s="3"/>
    </row>
    <row r="4995" spans="1:13" s="4" customFormat="1" ht="14.25" customHeight="1" x14ac:dyDescent="0.25">
      <c r="A4995" s="4" t="s">
        <v>8357</v>
      </c>
      <c r="B4995" s="4" t="s">
        <v>13</v>
      </c>
      <c r="C4995" s="4" t="s">
        <v>14</v>
      </c>
      <c r="D4995" s="35">
        <v>4404</v>
      </c>
      <c r="E4995" s="4" t="s">
        <v>8358</v>
      </c>
      <c r="F4995" s="5">
        <v>39326</v>
      </c>
      <c r="G4995" s="5">
        <v>40056</v>
      </c>
      <c r="H4995" s="4" t="s">
        <v>2039</v>
      </c>
      <c r="I4995" s="6">
        <v>105063.41</v>
      </c>
      <c r="J4995" s="6">
        <v>105063.41</v>
      </c>
      <c r="K4995" s="38" t="s">
        <v>8348</v>
      </c>
      <c r="L4995" s="119"/>
      <c r="M4995" s="3"/>
    </row>
    <row r="4996" spans="1:13" s="4" customFormat="1" ht="14.25" customHeight="1" x14ac:dyDescent="0.25">
      <c r="A4996" s="4" t="s">
        <v>8359</v>
      </c>
      <c r="B4996" s="4" t="s">
        <v>13</v>
      </c>
      <c r="C4996" s="4" t="s">
        <v>14</v>
      </c>
      <c r="D4996" s="35">
        <v>4408</v>
      </c>
      <c r="E4996" s="4" t="s">
        <v>8360</v>
      </c>
      <c r="F4996" s="5">
        <v>39601</v>
      </c>
      <c r="G4996" s="5">
        <v>39965</v>
      </c>
      <c r="H4996" s="4" t="s">
        <v>2039</v>
      </c>
      <c r="I4996" s="6">
        <v>87903.98</v>
      </c>
      <c r="J4996" s="6">
        <v>87903.98</v>
      </c>
      <c r="K4996" s="38" t="s">
        <v>8348</v>
      </c>
      <c r="L4996" s="119"/>
      <c r="M4996" s="3"/>
    </row>
    <row r="4997" spans="1:13" s="4" customFormat="1" ht="14.25" customHeight="1" x14ac:dyDescent="0.25">
      <c r="A4997" s="4" t="s">
        <v>8361</v>
      </c>
      <c r="B4997" s="4" t="s">
        <v>13</v>
      </c>
      <c r="C4997" s="4" t="s">
        <v>14</v>
      </c>
      <c r="D4997" s="35">
        <v>4938</v>
      </c>
      <c r="E4997" s="4" t="s">
        <v>8361</v>
      </c>
      <c r="F4997" s="5">
        <v>39753</v>
      </c>
      <c r="G4997" s="5">
        <v>40162</v>
      </c>
      <c r="H4997" s="4" t="s">
        <v>2039</v>
      </c>
      <c r="I4997" s="6">
        <v>55523.43</v>
      </c>
      <c r="J4997" s="6">
        <v>55523.43</v>
      </c>
      <c r="K4997" s="38" t="s">
        <v>8348</v>
      </c>
      <c r="L4997" s="119"/>
      <c r="M4997" s="3"/>
    </row>
    <row r="4998" spans="1:13" s="4" customFormat="1" ht="14.25" customHeight="1" x14ac:dyDescent="0.25">
      <c r="A4998" s="4" t="s">
        <v>8362</v>
      </c>
      <c r="B4998" s="4" t="s">
        <v>13</v>
      </c>
      <c r="C4998" s="4" t="s">
        <v>14</v>
      </c>
      <c r="D4998" s="35">
        <v>4943</v>
      </c>
      <c r="E4998" s="4" t="s">
        <v>8363</v>
      </c>
      <c r="F4998" s="5">
        <v>39934</v>
      </c>
      <c r="G4998" s="5">
        <v>40497</v>
      </c>
      <c r="H4998" s="4" t="s">
        <v>2039</v>
      </c>
      <c r="I4998" s="6">
        <v>74611.740000000005</v>
      </c>
      <c r="J4998" s="6">
        <v>74611.740000000005</v>
      </c>
      <c r="K4998" s="38" t="s">
        <v>8348</v>
      </c>
      <c r="L4998" s="119"/>
      <c r="M4998" s="3"/>
    </row>
    <row r="4999" spans="1:13" s="4" customFormat="1" ht="14.25" customHeight="1" x14ac:dyDescent="0.25">
      <c r="A4999" s="4" t="s">
        <v>8364</v>
      </c>
      <c r="B4999" s="4" t="s">
        <v>13</v>
      </c>
      <c r="C4999" s="4" t="s">
        <v>14</v>
      </c>
      <c r="D4999" s="35">
        <v>4944</v>
      </c>
      <c r="E4999" s="4" t="s">
        <v>8364</v>
      </c>
      <c r="F4999" s="5">
        <v>39965</v>
      </c>
      <c r="G4999" s="5">
        <v>40329</v>
      </c>
      <c r="H4999" s="4" t="s">
        <v>2039</v>
      </c>
      <c r="I4999" s="6">
        <v>97950.81</v>
      </c>
      <c r="J4999" s="6">
        <v>97950.81</v>
      </c>
      <c r="K4999" s="38" t="s">
        <v>8348</v>
      </c>
      <c r="L4999" s="119"/>
      <c r="M4999" s="3"/>
    </row>
    <row r="5000" spans="1:13" s="4" customFormat="1" ht="14.25" customHeight="1" x14ac:dyDescent="0.25">
      <c r="A5000" s="4" t="s">
        <v>8365</v>
      </c>
      <c r="B5000" s="4" t="s">
        <v>13</v>
      </c>
      <c r="C5000" s="4" t="s">
        <v>14</v>
      </c>
      <c r="D5000" s="35">
        <v>4945</v>
      </c>
      <c r="E5000" s="4" t="s">
        <v>8366</v>
      </c>
      <c r="F5000" s="5">
        <v>40148</v>
      </c>
      <c r="G5000" s="5">
        <v>40512</v>
      </c>
      <c r="H5000" s="4" t="s">
        <v>2039</v>
      </c>
      <c r="I5000" s="6">
        <v>79500.23</v>
      </c>
      <c r="J5000" s="6">
        <v>79500.23</v>
      </c>
      <c r="K5000" s="38" t="s">
        <v>8348</v>
      </c>
      <c r="L5000" s="119"/>
      <c r="M5000" s="3"/>
    </row>
    <row r="5001" spans="1:13" s="4" customFormat="1" ht="14.25" customHeight="1" x14ac:dyDescent="0.25">
      <c r="A5001" s="4" t="s">
        <v>8367</v>
      </c>
      <c r="B5001" s="4" t="s">
        <v>13</v>
      </c>
      <c r="C5001" s="4" t="s">
        <v>14</v>
      </c>
      <c r="D5001" s="35">
        <v>4947</v>
      </c>
      <c r="E5001" s="4" t="s">
        <v>8368</v>
      </c>
      <c r="F5001" s="5">
        <v>40087</v>
      </c>
      <c r="G5001" s="5">
        <v>40451</v>
      </c>
      <c r="H5001" s="4" t="s">
        <v>2039</v>
      </c>
      <c r="I5001" s="6">
        <v>76105.240000000005</v>
      </c>
      <c r="J5001" s="6">
        <v>76105.240000000005</v>
      </c>
      <c r="K5001" s="38" t="s">
        <v>8348</v>
      </c>
      <c r="L5001" s="119"/>
      <c r="M5001" s="3"/>
    </row>
    <row r="5002" spans="1:13" s="4" customFormat="1" ht="14.25" customHeight="1" x14ac:dyDescent="0.25">
      <c r="A5002" s="4" t="s">
        <v>8369</v>
      </c>
      <c r="B5002" s="4" t="s">
        <v>13</v>
      </c>
      <c r="C5002" s="4" t="s">
        <v>14</v>
      </c>
      <c r="D5002" s="35">
        <v>4948</v>
      </c>
      <c r="E5002" s="4" t="s">
        <v>8370</v>
      </c>
      <c r="F5002" s="5">
        <v>40087</v>
      </c>
      <c r="G5002" s="5">
        <v>40451</v>
      </c>
      <c r="H5002" s="4" t="s">
        <v>2039</v>
      </c>
      <c r="I5002" s="6">
        <v>84311.99</v>
      </c>
      <c r="J5002" s="6">
        <v>84311.99</v>
      </c>
      <c r="K5002" s="38" t="s">
        <v>8348</v>
      </c>
      <c r="L5002" s="119"/>
      <c r="M5002" s="3"/>
    </row>
    <row r="5003" spans="1:13" s="4" customFormat="1" ht="14.25" customHeight="1" x14ac:dyDescent="0.25">
      <c r="A5003" s="4" t="s">
        <v>8371</v>
      </c>
      <c r="B5003" s="4" t="s">
        <v>13</v>
      </c>
      <c r="C5003" s="4" t="s">
        <v>14</v>
      </c>
      <c r="D5003" s="35">
        <v>4949</v>
      </c>
      <c r="E5003" s="4" t="s">
        <v>8372</v>
      </c>
      <c r="F5003" s="5">
        <v>39264</v>
      </c>
      <c r="G5003" s="5">
        <v>39629</v>
      </c>
      <c r="H5003" s="4" t="s">
        <v>2039</v>
      </c>
      <c r="I5003" s="6">
        <v>91668.32</v>
      </c>
      <c r="J5003" s="6">
        <v>91668.32</v>
      </c>
      <c r="K5003" s="38" t="s">
        <v>8348</v>
      </c>
      <c r="L5003" s="119"/>
      <c r="M5003" s="3"/>
    </row>
    <row r="5004" spans="1:13" s="4" customFormat="1" ht="14.25" customHeight="1" x14ac:dyDescent="0.25">
      <c r="A5004" s="4" t="s">
        <v>8373</v>
      </c>
      <c r="B5004" s="4" t="s">
        <v>13</v>
      </c>
      <c r="C5004" s="4" t="s">
        <v>14</v>
      </c>
      <c r="D5004" s="35">
        <v>4951</v>
      </c>
      <c r="E5004" s="4" t="s">
        <v>8374</v>
      </c>
      <c r="F5004" s="5">
        <v>39234</v>
      </c>
      <c r="G5004" s="5">
        <v>39813</v>
      </c>
      <c r="H5004" s="4" t="s">
        <v>2039</v>
      </c>
      <c r="I5004" s="6">
        <v>85184.86</v>
      </c>
      <c r="J5004" s="6">
        <v>85184.86</v>
      </c>
      <c r="K5004" s="38" t="s">
        <v>8348</v>
      </c>
      <c r="L5004" s="119"/>
      <c r="M5004" s="3"/>
    </row>
    <row r="5005" spans="1:13" s="4" customFormat="1" ht="14.25" customHeight="1" x14ac:dyDescent="0.25">
      <c r="A5005" s="4" t="s">
        <v>8375</v>
      </c>
      <c r="B5005" s="4" t="s">
        <v>13</v>
      </c>
      <c r="C5005" s="4" t="s">
        <v>14</v>
      </c>
      <c r="D5005" s="35">
        <v>4952</v>
      </c>
      <c r="E5005" s="4" t="s">
        <v>8375</v>
      </c>
      <c r="F5005" s="5">
        <v>39356</v>
      </c>
      <c r="G5005" s="5">
        <v>39844</v>
      </c>
      <c r="H5005" s="4" t="s">
        <v>2039</v>
      </c>
      <c r="I5005" s="6">
        <v>82596.87</v>
      </c>
      <c r="J5005" s="6">
        <v>82596.87</v>
      </c>
      <c r="K5005" s="38" t="s">
        <v>8348</v>
      </c>
      <c r="L5005" s="119"/>
      <c r="M5005" s="3"/>
    </row>
    <row r="5006" spans="1:13" s="4" customFormat="1" ht="14.25" customHeight="1" x14ac:dyDescent="0.25">
      <c r="A5006" s="4" t="s">
        <v>8376</v>
      </c>
      <c r="B5006" s="4" t="s">
        <v>13</v>
      </c>
      <c r="C5006" s="4" t="s">
        <v>14</v>
      </c>
      <c r="D5006" s="35">
        <v>4954</v>
      </c>
      <c r="E5006" s="4" t="s">
        <v>8376</v>
      </c>
      <c r="F5006" s="5">
        <v>39417</v>
      </c>
      <c r="G5006" s="5">
        <v>39782</v>
      </c>
      <c r="H5006" s="4" t="s">
        <v>2039</v>
      </c>
      <c r="I5006" s="6">
        <v>80372.22</v>
      </c>
      <c r="J5006" s="6">
        <v>80372.22</v>
      </c>
      <c r="K5006" s="38" t="s">
        <v>8348</v>
      </c>
      <c r="L5006" s="119"/>
      <c r="M5006" s="3"/>
    </row>
    <row r="5007" spans="1:13" s="4" customFormat="1" ht="14.25" customHeight="1" x14ac:dyDescent="0.25">
      <c r="A5007" s="4" t="s">
        <v>8377</v>
      </c>
      <c r="B5007" s="4" t="s">
        <v>13</v>
      </c>
      <c r="C5007" s="4" t="s">
        <v>14</v>
      </c>
      <c r="D5007" s="35">
        <v>4957</v>
      </c>
      <c r="E5007" s="4" t="s">
        <v>8378</v>
      </c>
      <c r="F5007" s="5">
        <v>39234</v>
      </c>
      <c r="G5007" s="5">
        <v>39964</v>
      </c>
      <c r="H5007" s="4" t="s">
        <v>2039</v>
      </c>
      <c r="I5007" s="6">
        <v>349626</v>
      </c>
      <c r="J5007" s="6">
        <v>349626</v>
      </c>
      <c r="K5007" s="38" t="s">
        <v>8348</v>
      </c>
      <c r="L5007" s="119"/>
      <c r="M5007" s="3"/>
    </row>
    <row r="5008" spans="1:13" s="4" customFormat="1" ht="14.25" customHeight="1" x14ac:dyDescent="0.25">
      <c r="A5008" s="4" t="s">
        <v>8379</v>
      </c>
      <c r="B5008" s="4" t="s">
        <v>13</v>
      </c>
      <c r="C5008" s="4" t="s">
        <v>14</v>
      </c>
      <c r="D5008" s="35">
        <v>4960</v>
      </c>
      <c r="E5008" s="4" t="s">
        <v>8380</v>
      </c>
      <c r="F5008" s="5">
        <v>39356</v>
      </c>
      <c r="G5008" s="5">
        <v>40268</v>
      </c>
      <c r="H5008" s="4" t="s">
        <v>2039</v>
      </c>
      <c r="I5008" s="6">
        <v>361788.49</v>
      </c>
      <c r="J5008" s="6">
        <v>361788.49</v>
      </c>
      <c r="K5008" s="38" t="s">
        <v>8348</v>
      </c>
      <c r="L5008" s="119"/>
      <c r="M5008" s="3"/>
    </row>
    <row r="5009" spans="1:13" s="4" customFormat="1" ht="14.25" customHeight="1" x14ac:dyDescent="0.25">
      <c r="A5009" s="4" t="s">
        <v>8381</v>
      </c>
      <c r="B5009" s="4" t="s">
        <v>13</v>
      </c>
      <c r="C5009" s="4" t="s">
        <v>14</v>
      </c>
      <c r="D5009" s="35">
        <v>4965</v>
      </c>
      <c r="E5009" s="4" t="s">
        <v>8382</v>
      </c>
      <c r="F5009" s="5">
        <v>39387</v>
      </c>
      <c r="G5009" s="5">
        <v>40117</v>
      </c>
      <c r="H5009" s="4" t="s">
        <v>2039</v>
      </c>
      <c r="I5009" s="6">
        <f>376417.36+1.83</f>
        <v>376419.19</v>
      </c>
      <c r="J5009" s="6">
        <v>376419.19</v>
      </c>
      <c r="K5009" s="38" t="s">
        <v>8348</v>
      </c>
      <c r="L5009" s="119"/>
      <c r="M5009" s="3"/>
    </row>
    <row r="5010" spans="1:13" s="4" customFormat="1" ht="14.25" customHeight="1" x14ac:dyDescent="0.25">
      <c r="A5010" s="4" t="s">
        <v>8383</v>
      </c>
      <c r="B5010" s="4" t="s">
        <v>13</v>
      </c>
      <c r="C5010" s="4" t="s">
        <v>14</v>
      </c>
      <c r="D5010" s="35">
        <v>4967</v>
      </c>
      <c r="E5010" s="4" t="s">
        <v>8383</v>
      </c>
      <c r="F5010" s="5">
        <v>39448</v>
      </c>
      <c r="G5010" s="5">
        <v>40178</v>
      </c>
      <c r="H5010" s="4" t="s">
        <v>2039</v>
      </c>
      <c r="I5010" s="6">
        <v>405673.49</v>
      </c>
      <c r="J5010" s="6">
        <v>405673.49</v>
      </c>
      <c r="K5010" s="38" t="s">
        <v>8348</v>
      </c>
      <c r="L5010" s="119"/>
      <c r="M5010" s="3"/>
    </row>
    <row r="5011" spans="1:13" s="4" customFormat="1" ht="14.25" customHeight="1" x14ac:dyDescent="0.25">
      <c r="A5011" s="4" t="s">
        <v>8384</v>
      </c>
      <c r="B5011" s="4" t="s">
        <v>13</v>
      </c>
      <c r="C5011" s="4" t="s">
        <v>14</v>
      </c>
      <c r="D5011" s="35">
        <v>4969</v>
      </c>
      <c r="E5011" s="4" t="s">
        <v>8385</v>
      </c>
      <c r="F5011" s="5">
        <v>39600</v>
      </c>
      <c r="G5011" s="5">
        <v>40329</v>
      </c>
      <c r="H5011" s="4" t="s">
        <v>2039</v>
      </c>
      <c r="I5011" s="6">
        <v>437740.37</v>
      </c>
      <c r="J5011" s="6">
        <v>437740.37</v>
      </c>
      <c r="K5011" s="38" t="s">
        <v>8348</v>
      </c>
      <c r="L5011" s="119"/>
      <c r="M5011" s="3"/>
    </row>
    <row r="5012" spans="1:13" s="4" customFormat="1" ht="14.25" customHeight="1" x14ac:dyDescent="0.25">
      <c r="A5012" s="4" t="s">
        <v>8386</v>
      </c>
      <c r="B5012" s="4" t="s">
        <v>13</v>
      </c>
      <c r="C5012" s="4" t="s">
        <v>14</v>
      </c>
      <c r="D5012" s="35">
        <v>4978</v>
      </c>
      <c r="E5012" s="4" t="s">
        <v>8387</v>
      </c>
      <c r="F5012" s="5">
        <v>39569</v>
      </c>
      <c r="G5012" s="5">
        <v>40328</v>
      </c>
      <c r="H5012" s="4" t="s">
        <v>2039</v>
      </c>
      <c r="I5012" s="6">
        <v>402810.77</v>
      </c>
      <c r="J5012" s="6">
        <v>402810.77</v>
      </c>
      <c r="K5012" s="38" t="s">
        <v>8348</v>
      </c>
      <c r="L5012" s="119"/>
      <c r="M5012" s="3"/>
    </row>
    <row r="5013" spans="1:13" s="4" customFormat="1" ht="14.25" customHeight="1" x14ac:dyDescent="0.25">
      <c r="A5013" s="4" t="s">
        <v>8388</v>
      </c>
      <c r="B5013" s="4" t="s">
        <v>13</v>
      </c>
      <c r="C5013" s="4" t="s">
        <v>14</v>
      </c>
      <c r="D5013" s="35">
        <v>4982</v>
      </c>
      <c r="E5013" s="4" t="s">
        <v>8389</v>
      </c>
      <c r="F5013" s="5">
        <v>39479</v>
      </c>
      <c r="G5013" s="5">
        <v>40848</v>
      </c>
      <c r="H5013" s="4" t="s">
        <v>2039</v>
      </c>
      <c r="I5013" s="6">
        <v>219145.13</v>
      </c>
      <c r="J5013" s="6">
        <v>219145.13</v>
      </c>
      <c r="K5013" s="38" t="s">
        <v>8348</v>
      </c>
      <c r="L5013" s="119"/>
      <c r="M5013" s="3"/>
    </row>
    <row r="5014" spans="1:13" s="4" customFormat="1" ht="14.25" customHeight="1" x14ac:dyDescent="0.25">
      <c r="A5014" s="4" t="s">
        <v>8390</v>
      </c>
      <c r="B5014" s="4" t="s">
        <v>13</v>
      </c>
      <c r="C5014" s="4" t="s">
        <v>14</v>
      </c>
      <c r="D5014" s="35">
        <v>4985</v>
      </c>
      <c r="E5014" s="4" t="s">
        <v>8390</v>
      </c>
      <c r="F5014" s="5">
        <v>40087</v>
      </c>
      <c r="G5014" s="5">
        <v>40816</v>
      </c>
      <c r="H5014" s="4" t="s">
        <v>2039</v>
      </c>
      <c r="I5014" s="6">
        <v>326011.15000000002</v>
      </c>
      <c r="J5014" s="6">
        <v>326011.15000000002</v>
      </c>
      <c r="K5014" s="38" t="s">
        <v>8348</v>
      </c>
      <c r="L5014" s="119"/>
      <c r="M5014" s="3"/>
    </row>
    <row r="5015" spans="1:13" s="4" customFormat="1" ht="14.25" customHeight="1" x14ac:dyDescent="0.25">
      <c r="A5015" s="4" t="s">
        <v>8391</v>
      </c>
      <c r="B5015" s="4" t="s">
        <v>13</v>
      </c>
      <c r="C5015" s="4" t="s">
        <v>14</v>
      </c>
      <c r="D5015" s="35">
        <v>4987</v>
      </c>
      <c r="E5015" s="4" t="s">
        <v>8391</v>
      </c>
      <c r="F5015" s="5">
        <v>40057</v>
      </c>
      <c r="G5015" s="5">
        <v>40786</v>
      </c>
      <c r="H5015" s="4" t="s">
        <v>2039</v>
      </c>
      <c r="I5015" s="6">
        <v>264707.15000000002</v>
      </c>
      <c r="J5015" s="6">
        <v>264707.15000000002</v>
      </c>
      <c r="K5015" s="38" t="s">
        <v>8348</v>
      </c>
      <c r="L5015" s="119"/>
      <c r="M5015" s="3"/>
    </row>
    <row r="5016" spans="1:13" s="4" customFormat="1" ht="14.25" customHeight="1" x14ac:dyDescent="0.25">
      <c r="A5016" s="4" t="s">
        <v>8392</v>
      </c>
      <c r="B5016" s="4" t="s">
        <v>13</v>
      </c>
      <c r="C5016" s="4" t="s">
        <v>14</v>
      </c>
      <c r="D5016" s="35">
        <v>4989</v>
      </c>
      <c r="E5016" s="4" t="s">
        <v>8392</v>
      </c>
      <c r="F5016" s="5">
        <v>40087</v>
      </c>
      <c r="G5016" s="5">
        <v>40816</v>
      </c>
      <c r="H5016" s="4" t="s">
        <v>2039</v>
      </c>
      <c r="I5016" s="6">
        <v>311236.24</v>
      </c>
      <c r="J5016" s="6">
        <v>311236.24</v>
      </c>
      <c r="K5016" s="38" t="s">
        <v>8348</v>
      </c>
      <c r="L5016" s="119"/>
      <c r="M5016" s="3"/>
    </row>
    <row r="5017" spans="1:13" s="4" customFormat="1" ht="14.25" customHeight="1" x14ac:dyDescent="0.25">
      <c r="A5017" s="4" t="s">
        <v>8393</v>
      </c>
      <c r="B5017" s="4" t="s">
        <v>13</v>
      </c>
      <c r="C5017" s="4" t="s">
        <v>14</v>
      </c>
      <c r="D5017" s="35">
        <v>4992</v>
      </c>
      <c r="E5017" s="4" t="s">
        <v>8394</v>
      </c>
      <c r="F5017" s="5">
        <v>39295</v>
      </c>
      <c r="G5017" s="5">
        <v>39568</v>
      </c>
      <c r="H5017" s="4" t="s">
        <v>2039</v>
      </c>
      <c r="I5017" s="6">
        <v>89603.5</v>
      </c>
      <c r="J5017" s="6">
        <v>89603.5</v>
      </c>
      <c r="K5017" s="38" t="s">
        <v>8348</v>
      </c>
      <c r="L5017" s="119"/>
      <c r="M5017" s="3"/>
    </row>
    <row r="5018" spans="1:13" s="4" customFormat="1" ht="14.25" customHeight="1" x14ac:dyDescent="0.25">
      <c r="A5018" s="4" t="s">
        <v>8395</v>
      </c>
      <c r="B5018" s="4" t="s">
        <v>13</v>
      </c>
      <c r="C5018" s="4" t="s">
        <v>14</v>
      </c>
      <c r="D5018" s="35">
        <v>6540</v>
      </c>
      <c r="E5018" s="4" t="s">
        <v>8395</v>
      </c>
      <c r="F5018" s="5">
        <v>40360</v>
      </c>
      <c r="G5018" s="5">
        <v>41152</v>
      </c>
      <c r="H5018" s="4" t="s">
        <v>2039</v>
      </c>
      <c r="I5018" s="6">
        <v>172249.73</v>
      </c>
      <c r="J5018" s="6">
        <v>172249.73</v>
      </c>
      <c r="K5018" s="38" t="s">
        <v>8348</v>
      </c>
      <c r="L5018" s="119"/>
    </row>
    <row r="5019" spans="1:13" s="4" customFormat="1" ht="14.25" customHeight="1" x14ac:dyDescent="0.25">
      <c r="A5019" s="13" t="s">
        <v>8396</v>
      </c>
      <c r="B5019" s="4" t="s">
        <v>13</v>
      </c>
      <c r="C5019" s="4" t="s">
        <v>14</v>
      </c>
      <c r="D5019" s="35">
        <v>11574</v>
      </c>
      <c r="E5019" s="13" t="s">
        <v>8397</v>
      </c>
      <c r="F5019" s="14">
        <v>40544</v>
      </c>
      <c r="G5019" s="14">
        <v>40755</v>
      </c>
      <c r="H5019" s="4" t="s">
        <v>2039</v>
      </c>
      <c r="I5019" s="6">
        <v>16553.88</v>
      </c>
      <c r="J5019" s="6">
        <v>16553.88</v>
      </c>
      <c r="K5019" s="38" t="s">
        <v>8348</v>
      </c>
      <c r="L5019" s="119"/>
      <c r="M5019" s="3"/>
    </row>
    <row r="5020" spans="1:13" s="4" customFormat="1" ht="14.25" customHeight="1" x14ac:dyDescent="0.25">
      <c r="A5020" s="13" t="s">
        <v>8398</v>
      </c>
      <c r="B5020" s="4" t="s">
        <v>13</v>
      </c>
      <c r="C5020" s="4" t="s">
        <v>14</v>
      </c>
      <c r="D5020" s="35">
        <v>11575</v>
      </c>
      <c r="E5020" s="13" t="s">
        <v>8399</v>
      </c>
      <c r="F5020" s="14">
        <v>40787</v>
      </c>
      <c r="G5020" s="14">
        <v>40999</v>
      </c>
      <c r="H5020" s="4" t="s">
        <v>2039</v>
      </c>
      <c r="I5020" s="6">
        <f>15424.68+9891.59</f>
        <v>25316.27</v>
      </c>
      <c r="J5020" s="6">
        <f>15424.68+9891.59</f>
        <v>25316.27</v>
      </c>
      <c r="K5020" s="38" t="s">
        <v>8348</v>
      </c>
      <c r="L5020" s="119"/>
      <c r="M5020" s="3"/>
    </row>
    <row r="5021" spans="1:13" s="32" customFormat="1" ht="14.25" customHeight="1" x14ac:dyDescent="0.25">
      <c r="A5021" s="13" t="s">
        <v>11506</v>
      </c>
      <c r="B5021" s="32" t="s">
        <v>13</v>
      </c>
      <c r="C5021" s="32" t="s">
        <v>14</v>
      </c>
      <c r="D5021" s="33">
        <v>12981</v>
      </c>
      <c r="E5021" s="13" t="s">
        <v>11507</v>
      </c>
      <c r="F5021" s="34">
        <v>40909</v>
      </c>
      <c r="G5021" s="34">
        <v>41155</v>
      </c>
      <c r="H5021" s="4" t="s">
        <v>2039</v>
      </c>
      <c r="I5021" s="94">
        <v>47880.95</v>
      </c>
      <c r="J5021" s="94">
        <v>47880.95</v>
      </c>
      <c r="K5021" s="38" t="s">
        <v>8348</v>
      </c>
      <c r="L5021" s="119"/>
    </row>
    <row r="5022" spans="1:13" s="32" customFormat="1" ht="14.25" customHeight="1" x14ac:dyDescent="0.25">
      <c r="A5022" s="13" t="s">
        <v>11508</v>
      </c>
      <c r="B5022" s="32" t="s">
        <v>13</v>
      </c>
      <c r="C5022" s="32" t="s">
        <v>14</v>
      </c>
      <c r="D5022" s="33">
        <v>12982</v>
      </c>
      <c r="E5022" s="13" t="s">
        <v>11509</v>
      </c>
      <c r="F5022" s="34">
        <v>40878</v>
      </c>
      <c r="G5022" s="34">
        <v>41671</v>
      </c>
      <c r="H5022" s="4" t="s">
        <v>2039</v>
      </c>
      <c r="I5022" s="94">
        <v>155181.32</v>
      </c>
      <c r="J5022" s="94">
        <v>155181.32</v>
      </c>
      <c r="K5022" s="38" t="s">
        <v>8348</v>
      </c>
      <c r="L5022" s="119"/>
    </row>
    <row r="5023" spans="1:13" s="32" customFormat="1" ht="14.25" customHeight="1" x14ac:dyDescent="0.25">
      <c r="A5023" s="13" t="s">
        <v>11614</v>
      </c>
      <c r="B5023" s="32" t="s">
        <v>13</v>
      </c>
      <c r="C5023" s="32" t="s">
        <v>14</v>
      </c>
      <c r="D5023" s="33">
        <v>12983</v>
      </c>
      <c r="E5023" s="13" t="s">
        <v>11615</v>
      </c>
      <c r="F5023" s="34">
        <v>40911</v>
      </c>
      <c r="G5023" s="34">
        <v>41458</v>
      </c>
      <c r="H5023" s="4" t="s">
        <v>2039</v>
      </c>
      <c r="I5023" s="94">
        <v>101962.43</v>
      </c>
      <c r="J5023" s="94">
        <v>101962.43</v>
      </c>
      <c r="K5023" s="38" t="s">
        <v>8348</v>
      </c>
      <c r="L5023" s="119"/>
    </row>
    <row r="5024" spans="1:13" s="32" customFormat="1" ht="14.25" customHeight="1" x14ac:dyDescent="0.25">
      <c r="A5024" s="13" t="s">
        <v>11510</v>
      </c>
      <c r="B5024" s="32" t="s">
        <v>13</v>
      </c>
      <c r="C5024" s="32" t="s">
        <v>14</v>
      </c>
      <c r="D5024" s="33">
        <v>12984</v>
      </c>
      <c r="E5024" s="13" t="s">
        <v>11511</v>
      </c>
      <c r="F5024" s="34">
        <v>40909</v>
      </c>
      <c r="G5024" s="34">
        <v>41456</v>
      </c>
      <c r="H5024" s="4" t="s">
        <v>2039</v>
      </c>
      <c r="I5024" s="94">
        <v>60298.38</v>
      </c>
      <c r="J5024" s="94">
        <v>60298.38</v>
      </c>
      <c r="K5024" s="38" t="s">
        <v>8348</v>
      </c>
      <c r="L5024" s="119"/>
    </row>
    <row r="5025" spans="1:13" s="32" customFormat="1" ht="14.25" customHeight="1" x14ac:dyDescent="0.25">
      <c r="A5025" s="13" t="s">
        <v>11512</v>
      </c>
      <c r="B5025" s="32" t="s">
        <v>13</v>
      </c>
      <c r="C5025" s="32" t="s">
        <v>14</v>
      </c>
      <c r="D5025" s="33">
        <v>12985</v>
      </c>
      <c r="E5025" s="13" t="s">
        <v>11513</v>
      </c>
      <c r="F5025" s="34">
        <v>40909</v>
      </c>
      <c r="G5025" s="34">
        <v>41486</v>
      </c>
      <c r="H5025" s="4" t="s">
        <v>2039</v>
      </c>
      <c r="I5025" s="94">
        <v>58436.5</v>
      </c>
      <c r="J5025" s="94">
        <v>58436.5</v>
      </c>
      <c r="K5025" s="38" t="s">
        <v>8348</v>
      </c>
      <c r="L5025" s="119"/>
    </row>
    <row r="5026" spans="1:13" s="32" customFormat="1" ht="14.25" customHeight="1" x14ac:dyDescent="0.25">
      <c r="A5026" s="13" t="s">
        <v>11514</v>
      </c>
      <c r="B5026" s="32" t="s">
        <v>13</v>
      </c>
      <c r="C5026" s="32" t="s">
        <v>14</v>
      </c>
      <c r="D5026" s="33">
        <v>12986</v>
      </c>
      <c r="E5026" s="13" t="s">
        <v>11515</v>
      </c>
      <c r="F5026" s="34">
        <v>40878</v>
      </c>
      <c r="G5026" s="34">
        <v>41653</v>
      </c>
      <c r="H5026" s="4" t="s">
        <v>2039</v>
      </c>
      <c r="I5026" s="94">
        <v>35092.6</v>
      </c>
      <c r="J5026" s="94">
        <v>35092.6</v>
      </c>
      <c r="K5026" s="38" t="s">
        <v>8348</v>
      </c>
      <c r="L5026" s="119"/>
    </row>
    <row r="5027" spans="1:13" s="4" customFormat="1" ht="14.25" customHeight="1" x14ac:dyDescent="0.25">
      <c r="A5027" s="4" t="s">
        <v>8402</v>
      </c>
      <c r="B5027" s="4" t="s">
        <v>59</v>
      </c>
      <c r="C5027" s="4" t="s">
        <v>14</v>
      </c>
      <c r="D5027" s="35">
        <v>412</v>
      </c>
      <c r="E5027" s="4" t="s">
        <v>8403</v>
      </c>
      <c r="F5027" s="5">
        <v>39259</v>
      </c>
      <c r="G5027" s="5">
        <v>39450</v>
      </c>
      <c r="H5027" s="4" t="s">
        <v>40</v>
      </c>
      <c r="I5027" s="6">
        <v>14000</v>
      </c>
      <c r="J5027" s="6">
        <v>14000</v>
      </c>
      <c r="K5027" s="38" t="s">
        <v>8348</v>
      </c>
      <c r="L5027" s="119"/>
      <c r="M5027" s="3"/>
    </row>
    <row r="5028" spans="1:13" s="4" customFormat="1" ht="14.25" customHeight="1" x14ac:dyDescent="0.25">
      <c r="A5028" s="4" t="s">
        <v>8408</v>
      </c>
      <c r="B5028" s="4" t="s">
        <v>38</v>
      </c>
      <c r="C5028" s="4" t="s">
        <v>14</v>
      </c>
      <c r="D5028" s="35">
        <v>415</v>
      </c>
      <c r="E5028" s="4" t="s">
        <v>8409</v>
      </c>
      <c r="F5028" s="5">
        <v>39140</v>
      </c>
      <c r="G5028" s="5">
        <v>39339</v>
      </c>
      <c r="H5028" s="4" t="s">
        <v>40</v>
      </c>
      <c r="I5028" s="6">
        <v>3750</v>
      </c>
      <c r="J5028" s="6">
        <v>3750</v>
      </c>
      <c r="K5028" s="38" t="s">
        <v>8348</v>
      </c>
      <c r="L5028" s="119"/>
      <c r="M5028" s="3"/>
    </row>
    <row r="5029" spans="1:13" s="4" customFormat="1" ht="14.25" customHeight="1" x14ac:dyDescent="0.25">
      <c r="A5029" s="4" t="s">
        <v>8410</v>
      </c>
      <c r="B5029" s="4" t="s">
        <v>59</v>
      </c>
      <c r="C5029" s="4" t="s">
        <v>14</v>
      </c>
      <c r="D5029" s="35">
        <v>416</v>
      </c>
      <c r="E5029" s="4" t="s">
        <v>8411</v>
      </c>
      <c r="F5029" s="5">
        <v>39358</v>
      </c>
      <c r="G5029" s="5">
        <v>39721</v>
      </c>
      <c r="H5029" s="4" t="s">
        <v>40</v>
      </c>
      <c r="I5029" s="6">
        <v>16500</v>
      </c>
      <c r="J5029" s="6">
        <v>16500</v>
      </c>
      <c r="K5029" s="38" t="s">
        <v>8348</v>
      </c>
      <c r="L5029" s="119"/>
      <c r="M5029" s="3"/>
    </row>
    <row r="5030" spans="1:13" s="4" customFormat="1" ht="14.25" customHeight="1" x14ac:dyDescent="0.25">
      <c r="A5030" s="4" t="s">
        <v>8412</v>
      </c>
      <c r="B5030" s="4" t="s">
        <v>50</v>
      </c>
      <c r="C5030" s="4" t="s">
        <v>14</v>
      </c>
      <c r="D5030" s="35">
        <v>417</v>
      </c>
      <c r="E5030" s="4" t="s">
        <v>8413</v>
      </c>
      <c r="F5030" s="5">
        <v>39358</v>
      </c>
      <c r="G5030" s="5">
        <v>39826</v>
      </c>
      <c r="H5030" s="4" t="s">
        <v>40</v>
      </c>
      <c r="I5030" s="6">
        <v>100388.64</v>
      </c>
      <c r="J5030" s="6">
        <v>50194.32</v>
      </c>
      <c r="K5030" s="38" t="s">
        <v>8348</v>
      </c>
      <c r="L5030" s="119"/>
      <c r="M5030" s="3"/>
    </row>
    <row r="5031" spans="1:13" s="4" customFormat="1" ht="14.25" customHeight="1" x14ac:dyDescent="0.25">
      <c r="A5031" s="4" t="s">
        <v>8414</v>
      </c>
      <c r="B5031" s="4" t="s">
        <v>50</v>
      </c>
      <c r="C5031" s="4" t="s">
        <v>14</v>
      </c>
      <c r="D5031" s="35">
        <v>418</v>
      </c>
      <c r="E5031" s="4" t="s">
        <v>8415</v>
      </c>
      <c r="F5031" s="5">
        <v>39358</v>
      </c>
      <c r="G5031" s="5">
        <v>39379</v>
      </c>
      <c r="H5031" s="4" t="s">
        <v>40</v>
      </c>
      <c r="I5031" s="6">
        <v>7890</v>
      </c>
      <c r="J5031" s="6">
        <v>3945</v>
      </c>
      <c r="K5031" s="38" t="s">
        <v>8348</v>
      </c>
      <c r="L5031" s="119"/>
      <c r="M5031" s="3"/>
    </row>
    <row r="5032" spans="1:13" s="4" customFormat="1" ht="14.25" customHeight="1" x14ac:dyDescent="0.25">
      <c r="A5032" s="4" t="s">
        <v>8416</v>
      </c>
      <c r="B5032" s="4" t="s">
        <v>59</v>
      </c>
      <c r="C5032" s="4" t="s">
        <v>14</v>
      </c>
      <c r="D5032" s="35">
        <v>419</v>
      </c>
      <c r="E5032" s="4" t="s">
        <v>8417</v>
      </c>
      <c r="F5032" s="5">
        <v>39197</v>
      </c>
      <c r="G5032" s="5">
        <v>39388</v>
      </c>
      <c r="H5032" s="4" t="s">
        <v>40</v>
      </c>
      <c r="I5032" s="6">
        <v>3750</v>
      </c>
      <c r="J5032" s="6">
        <v>3750</v>
      </c>
      <c r="K5032" s="38" t="s">
        <v>8348</v>
      </c>
      <c r="L5032" s="119"/>
      <c r="M5032" s="3"/>
    </row>
    <row r="5033" spans="1:13" s="4" customFormat="1" ht="14.25" customHeight="1" x14ac:dyDescent="0.25">
      <c r="A5033" s="4" t="s">
        <v>8420</v>
      </c>
      <c r="B5033" s="4" t="s">
        <v>50</v>
      </c>
      <c r="C5033" s="4" t="s">
        <v>14</v>
      </c>
      <c r="D5033" s="35">
        <v>421</v>
      </c>
      <c r="E5033" s="4" t="s">
        <v>8421</v>
      </c>
      <c r="F5033" s="5">
        <v>39260</v>
      </c>
      <c r="G5033" s="5">
        <v>39615</v>
      </c>
      <c r="H5033" s="4" t="s">
        <v>40</v>
      </c>
      <c r="I5033" s="6">
        <v>49015.62</v>
      </c>
      <c r="J5033" s="6">
        <v>24507.81</v>
      </c>
      <c r="K5033" s="38" t="s">
        <v>8348</v>
      </c>
      <c r="L5033" s="119"/>
      <c r="M5033" s="3"/>
    </row>
    <row r="5034" spans="1:13" s="4" customFormat="1" ht="14.25" customHeight="1" x14ac:dyDescent="0.25">
      <c r="A5034" s="4" t="s">
        <v>8422</v>
      </c>
      <c r="B5034" s="4" t="s">
        <v>50</v>
      </c>
      <c r="C5034" s="4" t="s">
        <v>14</v>
      </c>
      <c r="D5034" s="35">
        <v>422</v>
      </c>
      <c r="E5034" s="4" t="s">
        <v>8423</v>
      </c>
      <c r="F5034" s="5">
        <v>39140</v>
      </c>
      <c r="G5034" s="5">
        <v>39204</v>
      </c>
      <c r="H5034" s="4" t="s">
        <v>40</v>
      </c>
      <c r="I5034" s="6">
        <v>28308</v>
      </c>
      <c r="J5034" s="6">
        <v>14154</v>
      </c>
      <c r="K5034" s="38" t="s">
        <v>8348</v>
      </c>
      <c r="L5034" s="119"/>
      <c r="M5034" s="3"/>
    </row>
    <row r="5035" spans="1:13" s="4" customFormat="1" ht="14.25" customHeight="1" x14ac:dyDescent="0.25">
      <c r="A5035" s="4" t="s">
        <v>8424</v>
      </c>
      <c r="B5035" s="4" t="s">
        <v>59</v>
      </c>
      <c r="C5035" s="4" t="s">
        <v>14</v>
      </c>
      <c r="D5035" s="35">
        <v>423</v>
      </c>
      <c r="E5035" s="4" t="s">
        <v>8425</v>
      </c>
      <c r="F5035" s="5">
        <v>39260</v>
      </c>
      <c r="G5035" s="5">
        <v>39657</v>
      </c>
      <c r="H5035" s="4" t="s">
        <v>40</v>
      </c>
      <c r="I5035" s="6">
        <v>10000</v>
      </c>
      <c r="J5035" s="6">
        <v>10000</v>
      </c>
      <c r="K5035" s="38" t="s">
        <v>8348</v>
      </c>
      <c r="L5035" s="119"/>
      <c r="M5035" s="3"/>
    </row>
    <row r="5036" spans="1:13" s="4" customFormat="1" ht="14.25" customHeight="1" x14ac:dyDescent="0.25">
      <c r="A5036" s="4" t="s">
        <v>8426</v>
      </c>
      <c r="B5036" s="4" t="s">
        <v>90</v>
      </c>
      <c r="C5036" s="4" t="s">
        <v>14</v>
      </c>
      <c r="D5036" s="35">
        <v>424</v>
      </c>
      <c r="E5036" s="4" t="s">
        <v>8425</v>
      </c>
      <c r="F5036" s="5">
        <v>39259</v>
      </c>
      <c r="G5036" s="5">
        <v>39624</v>
      </c>
      <c r="H5036" s="4" t="s">
        <v>40</v>
      </c>
      <c r="I5036" s="6">
        <v>1300</v>
      </c>
      <c r="J5036" s="6">
        <v>650</v>
      </c>
      <c r="K5036" s="38" t="s">
        <v>8348</v>
      </c>
      <c r="L5036" s="119"/>
      <c r="M5036" s="3"/>
    </row>
    <row r="5037" spans="1:13" s="4" customFormat="1" ht="14.25" customHeight="1" x14ac:dyDescent="0.25">
      <c r="A5037" s="4" t="s">
        <v>8429</v>
      </c>
      <c r="B5037" s="4" t="s">
        <v>50</v>
      </c>
      <c r="C5037" s="4" t="s">
        <v>14</v>
      </c>
      <c r="D5037" s="35">
        <v>426</v>
      </c>
      <c r="E5037" s="4" t="s">
        <v>8430</v>
      </c>
      <c r="F5037" s="5">
        <v>39358</v>
      </c>
      <c r="G5037" s="5">
        <v>39777</v>
      </c>
      <c r="H5037" s="4" t="s">
        <v>40</v>
      </c>
      <c r="I5037" s="6">
        <v>27520</v>
      </c>
      <c r="J5037" s="6">
        <v>13760</v>
      </c>
      <c r="K5037" s="38" t="s">
        <v>8348</v>
      </c>
      <c r="L5037" s="119"/>
      <c r="M5037" s="3"/>
    </row>
    <row r="5038" spans="1:13" s="4" customFormat="1" ht="14.25" customHeight="1" x14ac:dyDescent="0.25">
      <c r="A5038" s="4" t="s">
        <v>8431</v>
      </c>
      <c r="B5038" s="4" t="s">
        <v>50</v>
      </c>
      <c r="C5038" s="4" t="s">
        <v>14</v>
      </c>
      <c r="D5038" s="35">
        <v>427</v>
      </c>
      <c r="E5038" s="4" t="s">
        <v>8432</v>
      </c>
      <c r="F5038" s="5">
        <v>39358</v>
      </c>
      <c r="G5038" s="5">
        <v>39615</v>
      </c>
      <c r="H5038" s="4" t="s">
        <v>40</v>
      </c>
      <c r="I5038" s="6">
        <v>200000</v>
      </c>
      <c r="J5038" s="6">
        <v>50000</v>
      </c>
      <c r="K5038" s="38" t="s">
        <v>8348</v>
      </c>
      <c r="L5038" s="119"/>
      <c r="M5038" s="3"/>
    </row>
    <row r="5039" spans="1:13" s="4" customFormat="1" ht="14.25" customHeight="1" x14ac:dyDescent="0.25">
      <c r="A5039" s="4" t="s">
        <v>8433</v>
      </c>
      <c r="B5039" s="4" t="s">
        <v>90</v>
      </c>
      <c r="C5039" s="4" t="s">
        <v>14</v>
      </c>
      <c r="D5039" s="35">
        <v>428</v>
      </c>
      <c r="E5039" s="4" t="s">
        <v>8434</v>
      </c>
      <c r="F5039" s="5">
        <v>39430</v>
      </c>
      <c r="G5039" s="5">
        <v>39588</v>
      </c>
      <c r="H5039" s="4" t="s">
        <v>40</v>
      </c>
      <c r="I5039" s="6">
        <v>7316.62</v>
      </c>
      <c r="J5039" s="6">
        <v>3658.31</v>
      </c>
      <c r="K5039" s="38" t="s">
        <v>8348</v>
      </c>
      <c r="L5039" s="119"/>
      <c r="M5039" s="3"/>
    </row>
    <row r="5040" spans="1:13" s="4" customFormat="1" ht="14.25" customHeight="1" x14ac:dyDescent="0.25">
      <c r="A5040" s="4" t="s">
        <v>8435</v>
      </c>
      <c r="B5040" s="4" t="s">
        <v>50</v>
      </c>
      <c r="C5040" s="4" t="s">
        <v>14</v>
      </c>
      <c r="D5040" s="35">
        <v>429</v>
      </c>
      <c r="E5040" s="4" t="s">
        <v>8436</v>
      </c>
      <c r="F5040" s="5">
        <v>39505</v>
      </c>
      <c r="G5040" s="5">
        <v>40129</v>
      </c>
      <c r="H5040" s="4" t="s">
        <v>40</v>
      </c>
      <c r="I5040" s="6">
        <v>4655.6400000000003</v>
      </c>
      <c r="J5040" s="6">
        <v>2327.8200000000002</v>
      </c>
      <c r="K5040" s="38" t="s">
        <v>8348</v>
      </c>
      <c r="L5040" s="119"/>
      <c r="M5040" s="3"/>
    </row>
    <row r="5041" spans="1:13" s="4" customFormat="1" ht="14.25" customHeight="1" x14ac:dyDescent="0.25">
      <c r="A5041" s="4" t="s">
        <v>8437</v>
      </c>
      <c r="B5041" s="4" t="s">
        <v>3197</v>
      </c>
      <c r="C5041" s="4" t="s">
        <v>14</v>
      </c>
      <c r="D5041" s="35">
        <v>430</v>
      </c>
      <c r="E5041" s="4" t="s">
        <v>8438</v>
      </c>
      <c r="F5041" s="5">
        <v>39505</v>
      </c>
      <c r="G5041" s="5">
        <v>39652</v>
      </c>
      <c r="H5041" s="4" t="s">
        <v>40</v>
      </c>
      <c r="I5041" s="6">
        <v>6900</v>
      </c>
      <c r="J5041" s="6">
        <v>3450</v>
      </c>
      <c r="K5041" s="38" t="s">
        <v>8348</v>
      </c>
      <c r="L5041" s="119"/>
      <c r="M5041" s="3"/>
    </row>
    <row r="5042" spans="1:13" s="4" customFormat="1" ht="14.25" customHeight="1" x14ac:dyDescent="0.25">
      <c r="A5042" s="4" t="s">
        <v>8439</v>
      </c>
      <c r="B5042" s="4" t="s">
        <v>50</v>
      </c>
      <c r="C5042" s="4" t="s">
        <v>14</v>
      </c>
      <c r="D5042" s="35">
        <v>431</v>
      </c>
      <c r="E5042" s="4" t="s">
        <v>8440</v>
      </c>
      <c r="F5042" s="5">
        <v>39505</v>
      </c>
      <c r="G5042" s="5">
        <v>39798</v>
      </c>
      <c r="H5042" s="4" t="s">
        <v>40</v>
      </c>
      <c r="I5042" s="6">
        <v>16000</v>
      </c>
      <c r="J5042" s="6">
        <v>8000</v>
      </c>
      <c r="K5042" s="38" t="s">
        <v>8348</v>
      </c>
      <c r="L5042" s="119"/>
      <c r="M5042" s="3"/>
    </row>
    <row r="5043" spans="1:13" s="4" customFormat="1" ht="14.25" customHeight="1" x14ac:dyDescent="0.25">
      <c r="A5043" s="4" t="s">
        <v>8441</v>
      </c>
      <c r="B5043" s="4" t="s">
        <v>59</v>
      </c>
      <c r="C5043" s="4" t="s">
        <v>14</v>
      </c>
      <c r="D5043" s="35">
        <v>432</v>
      </c>
      <c r="E5043" s="4" t="s">
        <v>8442</v>
      </c>
      <c r="F5043" s="5">
        <v>39505</v>
      </c>
      <c r="G5043" s="5">
        <v>39759</v>
      </c>
      <c r="H5043" s="4" t="s">
        <v>40</v>
      </c>
      <c r="I5043" s="6">
        <v>5000</v>
      </c>
      <c r="J5043" s="6">
        <v>5000</v>
      </c>
      <c r="K5043" s="38" t="s">
        <v>8348</v>
      </c>
      <c r="L5043" s="119"/>
      <c r="M5043" s="3"/>
    </row>
    <row r="5044" spans="1:13" s="4" customFormat="1" ht="14.25" customHeight="1" x14ac:dyDescent="0.25">
      <c r="A5044" s="4" t="s">
        <v>8443</v>
      </c>
      <c r="B5044" s="4" t="s">
        <v>90</v>
      </c>
      <c r="C5044" s="4" t="s">
        <v>14</v>
      </c>
      <c r="D5044" s="35">
        <v>433</v>
      </c>
      <c r="E5044" s="4" t="s">
        <v>8444</v>
      </c>
      <c r="F5044" s="5">
        <v>39505</v>
      </c>
      <c r="G5044" s="5">
        <v>39715</v>
      </c>
      <c r="H5044" s="4" t="s">
        <v>40</v>
      </c>
      <c r="I5044" s="6">
        <v>6708.6</v>
      </c>
      <c r="J5044" s="6">
        <v>3354.3</v>
      </c>
      <c r="K5044" s="38" t="s">
        <v>8348</v>
      </c>
      <c r="L5044" s="119"/>
      <c r="M5044" s="3"/>
    </row>
    <row r="5045" spans="1:13" s="4" customFormat="1" ht="14.25" customHeight="1" x14ac:dyDescent="0.25">
      <c r="A5045" s="4" t="s">
        <v>8445</v>
      </c>
      <c r="B5045" s="4" t="s">
        <v>50</v>
      </c>
      <c r="C5045" s="4" t="s">
        <v>14</v>
      </c>
      <c r="D5045" s="35">
        <v>434</v>
      </c>
      <c r="E5045" s="4" t="s">
        <v>8446</v>
      </c>
      <c r="F5045" s="5">
        <v>39505</v>
      </c>
      <c r="G5045" s="5">
        <v>39567</v>
      </c>
      <c r="H5045" s="4" t="s">
        <v>40</v>
      </c>
      <c r="I5045" s="6">
        <v>16000</v>
      </c>
      <c r="J5045" s="6">
        <v>8000</v>
      </c>
      <c r="K5045" s="38" t="s">
        <v>8348</v>
      </c>
      <c r="L5045" s="119"/>
      <c r="M5045" s="3"/>
    </row>
    <row r="5046" spans="1:13" s="4" customFormat="1" ht="14.25" customHeight="1" x14ac:dyDescent="0.25">
      <c r="A5046" s="4" t="s">
        <v>8447</v>
      </c>
      <c r="B5046" s="4" t="s">
        <v>50</v>
      </c>
      <c r="C5046" s="4" t="s">
        <v>14</v>
      </c>
      <c r="D5046" s="35">
        <v>435</v>
      </c>
      <c r="E5046" s="4" t="s">
        <v>8448</v>
      </c>
      <c r="F5046" s="5">
        <v>39577</v>
      </c>
      <c r="G5046" s="5">
        <v>39659</v>
      </c>
      <c r="H5046" s="4" t="s">
        <v>40</v>
      </c>
      <c r="I5046" s="6">
        <v>733.84</v>
      </c>
      <c r="J5046" s="6">
        <v>366.9</v>
      </c>
      <c r="K5046" s="38" t="s">
        <v>8348</v>
      </c>
      <c r="L5046" s="119"/>
      <c r="M5046" s="3"/>
    </row>
    <row r="5047" spans="1:13" s="4" customFormat="1" ht="14.25" customHeight="1" x14ac:dyDescent="0.25">
      <c r="A5047" s="4" t="s">
        <v>8449</v>
      </c>
      <c r="B5047" s="4" t="s">
        <v>50</v>
      </c>
      <c r="C5047" s="4" t="s">
        <v>14</v>
      </c>
      <c r="D5047" s="35">
        <v>436</v>
      </c>
      <c r="E5047" s="4" t="s">
        <v>3256</v>
      </c>
      <c r="F5047" s="5">
        <v>39624</v>
      </c>
      <c r="G5047" s="5">
        <v>39721</v>
      </c>
      <c r="H5047" s="4" t="s">
        <v>40</v>
      </c>
      <c r="I5047" s="6">
        <v>90000</v>
      </c>
      <c r="J5047" s="6">
        <v>45000</v>
      </c>
      <c r="K5047" s="38" t="s">
        <v>8348</v>
      </c>
      <c r="L5047" s="119"/>
      <c r="M5047" s="3"/>
    </row>
    <row r="5048" spans="1:13" s="4" customFormat="1" ht="14.25" customHeight="1" x14ac:dyDescent="0.25">
      <c r="A5048" s="4" t="s">
        <v>8450</v>
      </c>
      <c r="B5048" s="4" t="s">
        <v>59</v>
      </c>
      <c r="C5048" s="4" t="s">
        <v>14</v>
      </c>
      <c r="D5048" s="35">
        <v>437</v>
      </c>
      <c r="E5048" s="4" t="s">
        <v>8451</v>
      </c>
      <c r="F5048" s="5">
        <v>39624</v>
      </c>
      <c r="G5048" s="5">
        <v>39868</v>
      </c>
      <c r="H5048" s="4" t="s">
        <v>40</v>
      </c>
      <c r="I5048" s="6">
        <v>7500</v>
      </c>
      <c r="J5048" s="6">
        <v>7500</v>
      </c>
      <c r="K5048" s="38" t="s">
        <v>8348</v>
      </c>
      <c r="L5048" s="119"/>
      <c r="M5048" s="3"/>
    </row>
    <row r="5049" spans="1:13" s="4" customFormat="1" ht="14.25" customHeight="1" x14ac:dyDescent="0.25">
      <c r="A5049" s="4" t="s">
        <v>8452</v>
      </c>
      <c r="B5049" s="4" t="s">
        <v>59</v>
      </c>
      <c r="C5049" s="4" t="s">
        <v>14</v>
      </c>
      <c r="D5049" s="35">
        <v>439</v>
      </c>
      <c r="E5049" s="4" t="s">
        <v>8453</v>
      </c>
      <c r="F5049" s="5">
        <v>39624</v>
      </c>
      <c r="G5049" s="5">
        <v>39814</v>
      </c>
      <c r="H5049" s="4" t="s">
        <v>40</v>
      </c>
      <c r="I5049" s="6">
        <v>7500</v>
      </c>
      <c r="J5049" s="6">
        <v>7500</v>
      </c>
      <c r="K5049" s="38" t="s">
        <v>8348</v>
      </c>
      <c r="L5049" s="119"/>
      <c r="M5049" s="3"/>
    </row>
    <row r="5050" spans="1:13" s="4" customFormat="1" ht="14.25" customHeight="1" x14ac:dyDescent="0.25">
      <c r="A5050" s="4" t="s">
        <v>8454</v>
      </c>
      <c r="B5050" s="4" t="s">
        <v>59</v>
      </c>
      <c r="C5050" s="4" t="s">
        <v>14</v>
      </c>
      <c r="D5050" s="35">
        <v>440</v>
      </c>
      <c r="E5050" s="4" t="s">
        <v>8455</v>
      </c>
      <c r="F5050" s="5">
        <v>39659</v>
      </c>
      <c r="G5050" s="5">
        <v>39891</v>
      </c>
      <c r="H5050" s="4" t="s">
        <v>40</v>
      </c>
      <c r="I5050" s="6">
        <v>7500</v>
      </c>
      <c r="J5050" s="6">
        <v>7500</v>
      </c>
      <c r="K5050" s="38" t="s">
        <v>8348</v>
      </c>
      <c r="L5050" s="119"/>
      <c r="M5050" s="3"/>
    </row>
    <row r="5051" spans="1:13" s="4" customFormat="1" ht="14.25" customHeight="1" x14ac:dyDescent="0.25">
      <c r="A5051" s="4" t="s">
        <v>8456</v>
      </c>
      <c r="B5051" s="4" t="s">
        <v>59</v>
      </c>
      <c r="C5051" s="4" t="s">
        <v>14</v>
      </c>
      <c r="D5051" s="35">
        <v>441</v>
      </c>
      <c r="E5051" s="4" t="s">
        <v>8457</v>
      </c>
      <c r="F5051" s="5">
        <v>39659</v>
      </c>
      <c r="G5051" s="5">
        <v>39897</v>
      </c>
      <c r="H5051" s="4" t="s">
        <v>40</v>
      </c>
      <c r="I5051" s="6">
        <v>7500</v>
      </c>
      <c r="J5051" s="6">
        <v>7500</v>
      </c>
      <c r="K5051" s="38" t="s">
        <v>8348</v>
      </c>
      <c r="L5051" s="119"/>
      <c r="M5051" s="3"/>
    </row>
    <row r="5052" spans="1:13" s="4" customFormat="1" ht="14.25" customHeight="1" x14ac:dyDescent="0.25">
      <c r="A5052" s="4" t="s">
        <v>8458</v>
      </c>
      <c r="B5052" s="4" t="s">
        <v>59</v>
      </c>
      <c r="C5052" s="4" t="s">
        <v>14</v>
      </c>
      <c r="D5052" s="35">
        <v>442</v>
      </c>
      <c r="E5052" s="4" t="s">
        <v>8459</v>
      </c>
      <c r="F5052" s="5">
        <v>39659</v>
      </c>
      <c r="G5052" s="5">
        <v>39883</v>
      </c>
      <c r="H5052" s="4" t="s">
        <v>40</v>
      </c>
      <c r="I5052" s="6">
        <v>7500</v>
      </c>
      <c r="J5052" s="6">
        <v>7500</v>
      </c>
      <c r="K5052" s="38" t="s">
        <v>8348</v>
      </c>
      <c r="L5052" s="119"/>
      <c r="M5052" s="3"/>
    </row>
    <row r="5053" spans="1:13" s="4" customFormat="1" ht="14.25" customHeight="1" x14ac:dyDescent="0.25">
      <c r="A5053" s="4" t="s">
        <v>8460</v>
      </c>
      <c r="B5053" s="4" t="s">
        <v>90</v>
      </c>
      <c r="C5053" s="4" t="s">
        <v>14</v>
      </c>
      <c r="D5053" s="35">
        <v>443</v>
      </c>
      <c r="E5053" s="4" t="s">
        <v>8461</v>
      </c>
      <c r="F5053" s="5">
        <v>39814</v>
      </c>
      <c r="G5053" s="5">
        <v>39867</v>
      </c>
      <c r="H5053" s="4" t="s">
        <v>40</v>
      </c>
      <c r="I5053" s="6">
        <v>5130.3999999999996</v>
      </c>
      <c r="J5053" s="6">
        <v>2565.1999999999998</v>
      </c>
      <c r="K5053" s="38" t="s">
        <v>8348</v>
      </c>
      <c r="L5053" s="119"/>
      <c r="M5053" s="3"/>
    </row>
    <row r="5054" spans="1:13" s="4" customFormat="1" ht="14.25" customHeight="1" x14ac:dyDescent="0.25">
      <c r="A5054" s="4" t="s">
        <v>4075</v>
      </c>
      <c r="B5054" s="4" t="s">
        <v>38</v>
      </c>
      <c r="C5054" s="4" t="s">
        <v>14</v>
      </c>
      <c r="D5054" s="35">
        <v>454</v>
      </c>
      <c r="E5054" s="4" t="s">
        <v>8464</v>
      </c>
      <c r="F5054" s="5">
        <v>39083</v>
      </c>
      <c r="G5054" s="5">
        <v>39813</v>
      </c>
      <c r="H5054" s="4" t="s">
        <v>40</v>
      </c>
      <c r="I5054" s="6">
        <v>115946.86</v>
      </c>
      <c r="J5054" s="6">
        <v>57973.43</v>
      </c>
      <c r="K5054" s="38" t="s">
        <v>8348</v>
      </c>
      <c r="L5054" s="119"/>
      <c r="M5054" s="3"/>
    </row>
    <row r="5055" spans="1:13" s="4" customFormat="1" ht="14.25" customHeight="1" x14ac:dyDescent="0.25">
      <c r="A5055" s="4" t="s">
        <v>8465</v>
      </c>
      <c r="B5055" s="4" t="s">
        <v>38</v>
      </c>
      <c r="C5055" s="4" t="s">
        <v>14</v>
      </c>
      <c r="D5055" s="35">
        <v>455</v>
      </c>
      <c r="E5055" s="4" t="s">
        <v>8466</v>
      </c>
      <c r="F5055" s="5">
        <v>39083</v>
      </c>
      <c r="G5055" s="5">
        <v>39813</v>
      </c>
      <c r="H5055" s="4" t="s">
        <v>40</v>
      </c>
      <c r="I5055" s="6">
        <v>16144.64</v>
      </c>
      <c r="J5055" s="6">
        <v>16144.64</v>
      </c>
      <c r="K5055" s="38" t="s">
        <v>8348</v>
      </c>
      <c r="L5055" s="119"/>
      <c r="M5055" s="3"/>
    </row>
    <row r="5056" spans="1:13" s="4" customFormat="1" ht="14.25" customHeight="1" x14ac:dyDescent="0.25">
      <c r="A5056" s="4" t="s">
        <v>3252</v>
      </c>
      <c r="B5056" s="4" t="s">
        <v>38</v>
      </c>
      <c r="C5056" s="4" t="s">
        <v>14</v>
      </c>
      <c r="D5056" s="35">
        <v>456</v>
      </c>
      <c r="E5056" s="4" t="s">
        <v>8467</v>
      </c>
      <c r="F5056" s="5">
        <v>39083</v>
      </c>
      <c r="G5056" s="5">
        <v>39813</v>
      </c>
      <c r="H5056" s="4" t="s">
        <v>40</v>
      </c>
      <c r="I5056" s="6">
        <v>16531.46</v>
      </c>
      <c r="J5056" s="6">
        <v>16531.46</v>
      </c>
      <c r="K5056" s="38" t="s">
        <v>8348</v>
      </c>
      <c r="L5056" s="119"/>
      <c r="M5056" s="3"/>
    </row>
    <row r="5057" spans="1:13" s="4" customFormat="1" ht="14.25" customHeight="1" x14ac:dyDescent="0.25">
      <c r="A5057" s="4" t="s">
        <v>8468</v>
      </c>
      <c r="B5057" s="4" t="s">
        <v>38</v>
      </c>
      <c r="C5057" s="4" t="s">
        <v>14</v>
      </c>
      <c r="D5057" s="35">
        <v>457</v>
      </c>
      <c r="E5057" s="4" t="s">
        <v>8469</v>
      </c>
      <c r="F5057" s="5">
        <v>39083</v>
      </c>
      <c r="G5057" s="5">
        <v>39813</v>
      </c>
      <c r="H5057" s="4" t="s">
        <v>40</v>
      </c>
      <c r="I5057" s="6">
        <v>6724.04</v>
      </c>
      <c r="J5057" s="6">
        <v>3362.02</v>
      </c>
      <c r="K5057" s="38" t="s">
        <v>8348</v>
      </c>
      <c r="L5057" s="119"/>
      <c r="M5057" s="3"/>
    </row>
    <row r="5058" spans="1:13" s="4" customFormat="1" ht="14.25" customHeight="1" x14ac:dyDescent="0.25">
      <c r="A5058" s="4" t="s">
        <v>8470</v>
      </c>
      <c r="B5058" s="4" t="s">
        <v>38</v>
      </c>
      <c r="C5058" s="4" t="s">
        <v>14</v>
      </c>
      <c r="D5058" s="35">
        <v>458</v>
      </c>
      <c r="E5058" s="4" t="s">
        <v>8471</v>
      </c>
      <c r="F5058" s="5">
        <v>39083</v>
      </c>
      <c r="G5058" s="5">
        <v>39813</v>
      </c>
      <c r="H5058" s="4" t="s">
        <v>40</v>
      </c>
      <c r="I5058" s="6">
        <v>22470</v>
      </c>
      <c r="J5058" s="6">
        <v>22470</v>
      </c>
      <c r="K5058" s="38" t="s">
        <v>8348</v>
      </c>
      <c r="L5058" s="119"/>
      <c r="M5058" s="3"/>
    </row>
    <row r="5059" spans="1:13" s="4" customFormat="1" ht="14.25" customHeight="1" x14ac:dyDescent="0.25">
      <c r="A5059" s="4" t="s">
        <v>8472</v>
      </c>
      <c r="B5059" s="4" t="s">
        <v>38</v>
      </c>
      <c r="C5059" s="4" t="s">
        <v>14</v>
      </c>
      <c r="D5059" s="35">
        <v>459</v>
      </c>
      <c r="E5059" s="4" t="s">
        <v>8473</v>
      </c>
      <c r="F5059" s="5">
        <v>39083</v>
      </c>
      <c r="G5059" s="5">
        <v>39813</v>
      </c>
      <c r="H5059" s="4" t="s">
        <v>40</v>
      </c>
      <c r="I5059" s="6">
        <v>85041.2</v>
      </c>
      <c r="J5059" s="6">
        <v>85041.2</v>
      </c>
      <c r="K5059" s="38" t="s">
        <v>8348</v>
      </c>
      <c r="L5059" s="119"/>
      <c r="M5059" s="3"/>
    </row>
    <row r="5060" spans="1:13" s="4" customFormat="1" ht="14.25" customHeight="1" x14ac:dyDescent="0.25">
      <c r="A5060" s="4" t="s">
        <v>8474</v>
      </c>
      <c r="B5060" s="4" t="s">
        <v>38</v>
      </c>
      <c r="C5060" s="4" t="s">
        <v>14</v>
      </c>
      <c r="D5060" s="35">
        <v>460</v>
      </c>
      <c r="E5060" s="4" t="s">
        <v>8475</v>
      </c>
      <c r="F5060" s="5">
        <v>39083</v>
      </c>
      <c r="G5060" s="5">
        <v>39813</v>
      </c>
      <c r="H5060" s="4" t="s">
        <v>40</v>
      </c>
      <c r="I5060" s="6">
        <v>12278.5</v>
      </c>
      <c r="J5060" s="6">
        <v>12278.5</v>
      </c>
      <c r="K5060" s="38" t="s">
        <v>8348</v>
      </c>
      <c r="L5060" s="119"/>
      <c r="M5060" s="3"/>
    </row>
    <row r="5061" spans="1:13" s="4" customFormat="1" ht="14.25" customHeight="1" x14ac:dyDescent="0.25">
      <c r="A5061" s="4" t="s">
        <v>8476</v>
      </c>
      <c r="B5061" s="4" t="s">
        <v>38</v>
      </c>
      <c r="C5061" s="4" t="s">
        <v>14</v>
      </c>
      <c r="D5061" s="35">
        <v>461</v>
      </c>
      <c r="E5061" s="4" t="s">
        <v>8477</v>
      </c>
      <c r="F5061" s="5">
        <v>39083</v>
      </c>
      <c r="G5061" s="5">
        <v>39447</v>
      </c>
      <c r="H5061" s="4" t="s">
        <v>40</v>
      </c>
      <c r="I5061" s="6">
        <v>1500.4</v>
      </c>
      <c r="J5061" s="6">
        <v>1500.4</v>
      </c>
      <c r="K5061" s="38" t="s">
        <v>8348</v>
      </c>
      <c r="L5061" s="119"/>
      <c r="M5061" s="3"/>
    </row>
    <row r="5062" spans="1:13" s="4" customFormat="1" ht="14.25" customHeight="1" x14ac:dyDescent="0.25">
      <c r="A5062" s="4" t="s">
        <v>8478</v>
      </c>
      <c r="B5062" s="4" t="s">
        <v>38</v>
      </c>
      <c r="C5062" s="4" t="s">
        <v>14</v>
      </c>
      <c r="D5062" s="35">
        <v>462</v>
      </c>
      <c r="E5062" s="4" t="s">
        <v>8479</v>
      </c>
      <c r="F5062" s="5">
        <v>39448</v>
      </c>
      <c r="G5062" s="5">
        <v>39813</v>
      </c>
      <c r="H5062" s="4" t="s">
        <v>40</v>
      </c>
      <c r="I5062" s="6">
        <v>900</v>
      </c>
      <c r="J5062" s="6">
        <v>900</v>
      </c>
      <c r="K5062" s="38" t="s">
        <v>8348</v>
      </c>
      <c r="L5062" s="119"/>
      <c r="M5062" s="3"/>
    </row>
    <row r="5063" spans="1:13" s="4" customFormat="1" ht="14.25" customHeight="1" x14ac:dyDescent="0.25">
      <c r="A5063" s="4" t="s">
        <v>8480</v>
      </c>
      <c r="B5063" s="4" t="s">
        <v>38</v>
      </c>
      <c r="C5063" s="4" t="s">
        <v>14</v>
      </c>
      <c r="D5063" s="35">
        <v>463</v>
      </c>
      <c r="E5063" s="4" t="s">
        <v>8481</v>
      </c>
      <c r="F5063" s="5">
        <v>39448</v>
      </c>
      <c r="G5063" s="5">
        <v>39813</v>
      </c>
      <c r="H5063" s="4" t="s">
        <v>40</v>
      </c>
      <c r="I5063" s="6">
        <v>6269.5</v>
      </c>
      <c r="J5063" s="6">
        <v>6269.5</v>
      </c>
      <c r="K5063" s="38" t="s">
        <v>8348</v>
      </c>
      <c r="L5063" s="119"/>
      <c r="M5063" s="3"/>
    </row>
    <row r="5064" spans="1:13" s="4" customFormat="1" ht="14.25" customHeight="1" x14ac:dyDescent="0.25">
      <c r="A5064" s="4" t="s">
        <v>8482</v>
      </c>
      <c r="B5064" s="4" t="s">
        <v>38</v>
      </c>
      <c r="C5064" s="4" t="s">
        <v>14</v>
      </c>
      <c r="D5064" s="35">
        <v>464</v>
      </c>
      <c r="E5064" s="4" t="s">
        <v>8483</v>
      </c>
      <c r="F5064" s="5">
        <v>39448</v>
      </c>
      <c r="G5064" s="5">
        <v>39813</v>
      </c>
      <c r="H5064" s="4" t="s">
        <v>40</v>
      </c>
      <c r="I5064" s="6">
        <v>7941</v>
      </c>
      <c r="J5064" s="6">
        <v>7941</v>
      </c>
      <c r="K5064" s="38" t="s">
        <v>8348</v>
      </c>
      <c r="L5064" s="119"/>
      <c r="M5064" s="3"/>
    </row>
    <row r="5065" spans="1:13" s="4" customFormat="1" ht="14.25" customHeight="1" x14ac:dyDescent="0.25">
      <c r="A5065" s="4" t="s">
        <v>8484</v>
      </c>
      <c r="B5065" s="4" t="s">
        <v>38</v>
      </c>
      <c r="C5065" s="4" t="s">
        <v>14</v>
      </c>
      <c r="D5065" s="35">
        <v>465</v>
      </c>
      <c r="E5065" s="4" t="s">
        <v>8485</v>
      </c>
      <c r="F5065" s="5">
        <v>39083</v>
      </c>
      <c r="G5065" s="5">
        <v>39813</v>
      </c>
      <c r="H5065" s="4" t="s">
        <v>40</v>
      </c>
      <c r="I5065" s="6">
        <v>10100</v>
      </c>
      <c r="J5065" s="6">
        <v>10100</v>
      </c>
      <c r="K5065" s="38" t="s">
        <v>8348</v>
      </c>
      <c r="L5065" s="119"/>
      <c r="M5065" s="3"/>
    </row>
    <row r="5066" spans="1:13" s="4" customFormat="1" ht="14.25" customHeight="1" x14ac:dyDescent="0.25">
      <c r="A5066" s="4" t="s">
        <v>8486</v>
      </c>
      <c r="B5066" s="4" t="s">
        <v>38</v>
      </c>
      <c r="C5066" s="4" t="s">
        <v>14</v>
      </c>
      <c r="D5066" s="35">
        <v>466</v>
      </c>
      <c r="E5066" s="4" t="s">
        <v>8487</v>
      </c>
      <c r="F5066" s="5">
        <v>39083</v>
      </c>
      <c r="G5066" s="5">
        <v>39813</v>
      </c>
      <c r="H5066" s="4" t="s">
        <v>40</v>
      </c>
      <c r="I5066" s="6">
        <v>29987</v>
      </c>
      <c r="J5066" s="6">
        <v>29987</v>
      </c>
      <c r="K5066" s="38" t="s">
        <v>8348</v>
      </c>
      <c r="L5066" s="119"/>
      <c r="M5066" s="3"/>
    </row>
    <row r="5067" spans="1:13" s="4" customFormat="1" ht="14.25" customHeight="1" x14ac:dyDescent="0.25">
      <c r="A5067" s="4" t="s">
        <v>8488</v>
      </c>
      <c r="B5067" s="4" t="s">
        <v>38</v>
      </c>
      <c r="C5067" s="4" t="s">
        <v>14</v>
      </c>
      <c r="D5067" s="35">
        <v>467</v>
      </c>
      <c r="E5067" s="4" t="s">
        <v>8489</v>
      </c>
      <c r="F5067" s="5">
        <v>39083</v>
      </c>
      <c r="G5067" s="5">
        <v>39813</v>
      </c>
      <c r="H5067" s="4" t="s">
        <v>40</v>
      </c>
      <c r="I5067" s="6">
        <v>14413.85</v>
      </c>
      <c r="J5067" s="6">
        <v>14413.85</v>
      </c>
      <c r="K5067" s="38" t="s">
        <v>8348</v>
      </c>
      <c r="L5067" s="119"/>
      <c r="M5067" s="3"/>
    </row>
    <row r="5068" spans="1:13" s="4" customFormat="1" ht="14.25" customHeight="1" x14ac:dyDescent="0.25">
      <c r="A5068" s="4" t="s">
        <v>5240</v>
      </c>
      <c r="B5068" s="4" t="s">
        <v>38</v>
      </c>
      <c r="C5068" s="4" t="s">
        <v>14</v>
      </c>
      <c r="D5068" s="35">
        <v>468</v>
      </c>
      <c r="E5068" s="4" t="s">
        <v>8490</v>
      </c>
      <c r="F5068" s="5">
        <v>39083</v>
      </c>
      <c r="G5068" s="5">
        <v>39813</v>
      </c>
      <c r="H5068" s="4" t="s">
        <v>40</v>
      </c>
      <c r="I5068" s="6">
        <v>18573.97</v>
      </c>
      <c r="J5068" s="6">
        <v>18573.97</v>
      </c>
      <c r="K5068" s="38" t="s">
        <v>8348</v>
      </c>
      <c r="L5068" s="119"/>
      <c r="M5068" s="3"/>
    </row>
    <row r="5069" spans="1:13" s="4" customFormat="1" ht="14.25" customHeight="1" x14ac:dyDescent="0.25">
      <c r="A5069" s="4" t="s">
        <v>8491</v>
      </c>
      <c r="B5069" s="4" t="s">
        <v>38</v>
      </c>
      <c r="C5069" s="4" t="s">
        <v>14</v>
      </c>
      <c r="D5069" s="35">
        <v>469</v>
      </c>
      <c r="E5069" s="4" t="s">
        <v>8492</v>
      </c>
      <c r="F5069" s="5">
        <v>39448</v>
      </c>
      <c r="G5069" s="5">
        <v>39813</v>
      </c>
      <c r="H5069" s="4" t="s">
        <v>40</v>
      </c>
      <c r="I5069" s="6">
        <v>3150</v>
      </c>
      <c r="J5069" s="6">
        <v>3150</v>
      </c>
      <c r="K5069" s="38" t="s">
        <v>8348</v>
      </c>
      <c r="L5069" s="119"/>
      <c r="M5069" s="3"/>
    </row>
    <row r="5070" spans="1:13" s="4" customFormat="1" ht="14.25" customHeight="1" x14ac:dyDescent="0.25">
      <c r="A5070" s="4" t="s">
        <v>8493</v>
      </c>
      <c r="B5070" s="4" t="s">
        <v>38</v>
      </c>
      <c r="C5070" s="4" t="s">
        <v>14</v>
      </c>
      <c r="D5070" s="35">
        <v>470</v>
      </c>
      <c r="E5070" s="4" t="s">
        <v>8494</v>
      </c>
      <c r="F5070" s="5">
        <v>39083</v>
      </c>
      <c r="G5070" s="5">
        <v>39447</v>
      </c>
      <c r="H5070" s="4" t="s">
        <v>40</v>
      </c>
      <c r="I5070" s="6">
        <v>11026.95</v>
      </c>
      <c r="J5070" s="6">
        <v>11026.95</v>
      </c>
      <c r="K5070" s="38" t="s">
        <v>8348</v>
      </c>
      <c r="L5070" s="119"/>
      <c r="M5070" s="3"/>
    </row>
    <row r="5071" spans="1:13" s="4" customFormat="1" ht="14.25" customHeight="1" x14ac:dyDescent="0.25">
      <c r="A5071" s="4" t="s">
        <v>8495</v>
      </c>
      <c r="B5071" s="4" t="s">
        <v>38</v>
      </c>
      <c r="C5071" s="4" t="s">
        <v>14</v>
      </c>
      <c r="D5071" s="35">
        <v>471</v>
      </c>
      <c r="E5071" s="4" t="s">
        <v>8496</v>
      </c>
      <c r="F5071" s="5">
        <v>39083</v>
      </c>
      <c r="G5071" s="5">
        <v>39447</v>
      </c>
      <c r="H5071" s="4" t="s">
        <v>40</v>
      </c>
      <c r="I5071" s="6">
        <v>10850</v>
      </c>
      <c r="J5071" s="6">
        <v>10850</v>
      </c>
      <c r="K5071" s="38" t="s">
        <v>8348</v>
      </c>
      <c r="L5071" s="119"/>
      <c r="M5071" s="3"/>
    </row>
    <row r="5072" spans="1:13" s="4" customFormat="1" ht="14.25" customHeight="1" x14ac:dyDescent="0.25">
      <c r="A5072" s="4" t="s">
        <v>8497</v>
      </c>
      <c r="B5072" s="4" t="s">
        <v>38</v>
      </c>
      <c r="C5072" s="4" t="s">
        <v>14</v>
      </c>
      <c r="D5072" s="35">
        <v>472</v>
      </c>
      <c r="E5072" s="4" t="s">
        <v>8498</v>
      </c>
      <c r="F5072" s="5">
        <v>39083</v>
      </c>
      <c r="G5072" s="5">
        <v>39813</v>
      </c>
      <c r="H5072" s="4" t="s">
        <v>40</v>
      </c>
      <c r="I5072" s="6">
        <v>4969.63</v>
      </c>
      <c r="J5072" s="6">
        <v>4969.63</v>
      </c>
      <c r="K5072" s="38" t="s">
        <v>8348</v>
      </c>
      <c r="L5072" s="119"/>
      <c r="M5072" s="3"/>
    </row>
    <row r="5073" spans="1:13" s="4" customFormat="1" ht="14.25" customHeight="1" x14ac:dyDescent="0.25">
      <c r="A5073" s="4" t="s">
        <v>8499</v>
      </c>
      <c r="B5073" s="4" t="s">
        <v>38</v>
      </c>
      <c r="C5073" s="4" t="s">
        <v>14</v>
      </c>
      <c r="D5073" s="35">
        <v>473</v>
      </c>
      <c r="E5073" s="4" t="s">
        <v>8500</v>
      </c>
      <c r="F5073" s="5">
        <v>39083</v>
      </c>
      <c r="G5073" s="5">
        <v>39813</v>
      </c>
      <c r="H5073" s="4" t="s">
        <v>40</v>
      </c>
      <c r="I5073" s="6">
        <v>4000</v>
      </c>
      <c r="J5073" s="6">
        <v>4000</v>
      </c>
      <c r="K5073" s="38" t="s">
        <v>8348</v>
      </c>
      <c r="L5073" s="119"/>
      <c r="M5073" s="3"/>
    </row>
    <row r="5074" spans="1:13" s="4" customFormat="1" ht="14.25" customHeight="1" x14ac:dyDescent="0.25">
      <c r="A5074" s="4" t="s">
        <v>8501</v>
      </c>
      <c r="B5074" s="4" t="s">
        <v>38</v>
      </c>
      <c r="C5074" s="4" t="s">
        <v>14</v>
      </c>
      <c r="D5074" s="35">
        <v>474</v>
      </c>
      <c r="E5074" s="4" t="s">
        <v>8502</v>
      </c>
      <c r="F5074" s="5">
        <v>39083</v>
      </c>
      <c r="G5074" s="5">
        <v>39813</v>
      </c>
      <c r="H5074" s="4" t="s">
        <v>40</v>
      </c>
      <c r="I5074" s="6">
        <v>12935</v>
      </c>
      <c r="J5074" s="6">
        <v>12935</v>
      </c>
      <c r="K5074" s="38" t="s">
        <v>8348</v>
      </c>
      <c r="L5074" s="119"/>
      <c r="M5074" s="3"/>
    </row>
    <row r="5075" spans="1:13" s="4" customFormat="1" ht="14.25" customHeight="1" x14ac:dyDescent="0.25">
      <c r="A5075" s="4" t="s">
        <v>8503</v>
      </c>
      <c r="B5075" s="4" t="s">
        <v>38</v>
      </c>
      <c r="C5075" s="4" t="s">
        <v>14</v>
      </c>
      <c r="D5075" s="35">
        <v>475</v>
      </c>
      <c r="E5075" s="4" t="s">
        <v>8504</v>
      </c>
      <c r="F5075" s="5">
        <v>39083</v>
      </c>
      <c r="G5075" s="5">
        <v>39813</v>
      </c>
      <c r="H5075" s="4" t="s">
        <v>40</v>
      </c>
      <c r="I5075" s="6">
        <v>4122.5</v>
      </c>
      <c r="J5075" s="6">
        <v>4122.5</v>
      </c>
      <c r="K5075" s="38" t="s">
        <v>8348</v>
      </c>
      <c r="L5075" s="119"/>
      <c r="M5075" s="3"/>
    </row>
    <row r="5076" spans="1:13" s="4" customFormat="1" ht="14.25" customHeight="1" x14ac:dyDescent="0.25">
      <c r="A5076" s="4" t="s">
        <v>8505</v>
      </c>
      <c r="B5076" s="4" t="s">
        <v>38</v>
      </c>
      <c r="C5076" s="4" t="s">
        <v>14</v>
      </c>
      <c r="D5076" s="35">
        <v>477</v>
      </c>
      <c r="E5076" s="4" t="s">
        <v>8505</v>
      </c>
      <c r="F5076" s="5">
        <v>39083</v>
      </c>
      <c r="G5076" s="5">
        <v>39447</v>
      </c>
      <c r="H5076" s="4" t="s">
        <v>40</v>
      </c>
      <c r="I5076" s="6">
        <v>2204.25</v>
      </c>
      <c r="J5076" s="6">
        <v>2204.25</v>
      </c>
      <c r="K5076" s="38" t="s">
        <v>8348</v>
      </c>
      <c r="L5076" s="119"/>
      <c r="M5076" s="3"/>
    </row>
    <row r="5077" spans="1:13" s="4" customFormat="1" ht="14.25" customHeight="1" x14ac:dyDescent="0.25">
      <c r="A5077" s="4" t="s">
        <v>8506</v>
      </c>
      <c r="B5077" s="4" t="s">
        <v>38</v>
      </c>
      <c r="C5077" s="4" t="s">
        <v>14</v>
      </c>
      <c r="D5077" s="35">
        <v>478</v>
      </c>
      <c r="E5077" s="4" t="s">
        <v>8506</v>
      </c>
      <c r="F5077" s="5">
        <v>39083</v>
      </c>
      <c r="G5077" s="5">
        <v>39447</v>
      </c>
      <c r="H5077" s="4" t="s">
        <v>40</v>
      </c>
      <c r="I5077" s="6">
        <v>350</v>
      </c>
      <c r="J5077" s="6">
        <v>350</v>
      </c>
      <c r="K5077" s="38" t="s">
        <v>8348</v>
      </c>
      <c r="L5077" s="119"/>
      <c r="M5077" s="3"/>
    </row>
    <row r="5078" spans="1:13" s="4" customFormat="1" ht="14.25" customHeight="1" x14ac:dyDescent="0.25">
      <c r="A5078" s="4" t="s">
        <v>8507</v>
      </c>
      <c r="B5078" s="4" t="s">
        <v>38</v>
      </c>
      <c r="C5078" s="4" t="s">
        <v>14</v>
      </c>
      <c r="D5078" s="35">
        <v>479</v>
      </c>
      <c r="E5078" s="4" t="s">
        <v>8508</v>
      </c>
      <c r="F5078" s="5">
        <v>39083</v>
      </c>
      <c r="G5078" s="5">
        <v>39813</v>
      </c>
      <c r="H5078" s="4" t="s">
        <v>40</v>
      </c>
      <c r="I5078" s="6">
        <v>3811.5</v>
      </c>
      <c r="J5078" s="6">
        <v>3811.5</v>
      </c>
      <c r="K5078" s="38" t="s">
        <v>8348</v>
      </c>
      <c r="L5078" s="119"/>
      <c r="M5078" s="3"/>
    </row>
    <row r="5079" spans="1:13" s="4" customFormat="1" ht="14.25" customHeight="1" x14ac:dyDescent="0.25">
      <c r="A5079" s="4" t="s">
        <v>8509</v>
      </c>
      <c r="B5079" s="4" t="s">
        <v>38</v>
      </c>
      <c r="C5079" s="4" t="s">
        <v>14</v>
      </c>
      <c r="D5079" s="35">
        <v>480</v>
      </c>
      <c r="E5079" s="4" t="s">
        <v>8510</v>
      </c>
      <c r="F5079" s="5">
        <v>39083</v>
      </c>
      <c r="G5079" s="5">
        <v>39813</v>
      </c>
      <c r="H5079" s="4" t="s">
        <v>40</v>
      </c>
      <c r="I5079" s="6">
        <v>5172.75</v>
      </c>
      <c r="J5079" s="6">
        <v>5172.75</v>
      </c>
      <c r="K5079" s="38" t="s">
        <v>8348</v>
      </c>
      <c r="L5079" s="119"/>
      <c r="M5079" s="3"/>
    </row>
    <row r="5080" spans="1:13" s="4" customFormat="1" ht="14.25" customHeight="1" x14ac:dyDescent="0.25">
      <c r="A5080" s="4" t="s">
        <v>8511</v>
      </c>
      <c r="B5080" s="4" t="s">
        <v>38</v>
      </c>
      <c r="C5080" s="4" t="s">
        <v>14</v>
      </c>
      <c r="D5080" s="35">
        <v>481</v>
      </c>
      <c r="E5080" s="4" t="s">
        <v>8512</v>
      </c>
      <c r="F5080" s="5">
        <v>39083</v>
      </c>
      <c r="G5080" s="5">
        <v>39813</v>
      </c>
      <c r="H5080" s="4" t="s">
        <v>40</v>
      </c>
      <c r="I5080" s="6">
        <v>13700.49</v>
      </c>
      <c r="J5080" s="6">
        <v>13700.49</v>
      </c>
      <c r="K5080" s="38" t="s">
        <v>8348</v>
      </c>
      <c r="L5080" s="119"/>
      <c r="M5080" s="3"/>
    </row>
    <row r="5081" spans="1:13" s="4" customFormat="1" ht="14.25" customHeight="1" x14ac:dyDescent="0.25">
      <c r="A5081" s="4" t="s">
        <v>8513</v>
      </c>
      <c r="B5081" s="4" t="s">
        <v>38</v>
      </c>
      <c r="C5081" s="4" t="s">
        <v>14</v>
      </c>
      <c r="D5081" s="35">
        <v>482</v>
      </c>
      <c r="E5081" s="4" t="s">
        <v>8514</v>
      </c>
      <c r="F5081" s="5">
        <v>39083</v>
      </c>
      <c r="G5081" s="5">
        <v>39813</v>
      </c>
      <c r="H5081" s="4" t="s">
        <v>40</v>
      </c>
      <c r="I5081" s="6">
        <v>0</v>
      </c>
      <c r="J5081" s="6">
        <v>0</v>
      </c>
      <c r="K5081" s="38" t="s">
        <v>8348</v>
      </c>
      <c r="L5081" s="119"/>
      <c r="M5081" s="3"/>
    </row>
    <row r="5082" spans="1:13" s="4" customFormat="1" ht="14.25" customHeight="1" x14ac:dyDescent="0.25">
      <c r="A5082" s="4" t="s">
        <v>8515</v>
      </c>
      <c r="B5082" s="4" t="s">
        <v>38</v>
      </c>
      <c r="C5082" s="4" t="s">
        <v>14</v>
      </c>
      <c r="D5082" s="35">
        <v>483</v>
      </c>
      <c r="E5082" s="4" t="s">
        <v>8516</v>
      </c>
      <c r="F5082" s="5">
        <v>39083</v>
      </c>
      <c r="G5082" s="5">
        <v>39813</v>
      </c>
      <c r="H5082" s="4" t="s">
        <v>40</v>
      </c>
      <c r="I5082" s="6">
        <v>2500</v>
      </c>
      <c r="J5082" s="6">
        <v>2500</v>
      </c>
      <c r="K5082" s="38" t="s">
        <v>8348</v>
      </c>
      <c r="L5082" s="119"/>
      <c r="M5082" s="3"/>
    </row>
    <row r="5083" spans="1:13" s="4" customFormat="1" ht="14.25" customHeight="1" x14ac:dyDescent="0.25">
      <c r="A5083" s="4" t="s">
        <v>8517</v>
      </c>
      <c r="B5083" s="4" t="s">
        <v>38</v>
      </c>
      <c r="C5083" s="4" t="s">
        <v>14</v>
      </c>
      <c r="D5083" s="35">
        <v>484</v>
      </c>
      <c r="E5083" s="4" t="s">
        <v>8518</v>
      </c>
      <c r="F5083" s="5">
        <v>39083</v>
      </c>
      <c r="G5083" s="5">
        <v>39813</v>
      </c>
      <c r="H5083" s="4" t="s">
        <v>40</v>
      </c>
      <c r="I5083" s="6">
        <v>19811.810000000001</v>
      </c>
      <c r="J5083" s="6">
        <v>19811.810000000001</v>
      </c>
      <c r="K5083" s="38" t="s">
        <v>8348</v>
      </c>
      <c r="L5083" s="119"/>
      <c r="M5083" s="3"/>
    </row>
    <row r="5084" spans="1:13" s="4" customFormat="1" ht="14.25" customHeight="1" x14ac:dyDescent="0.25">
      <c r="A5084" s="4" t="s">
        <v>8519</v>
      </c>
      <c r="B5084" s="4" t="s">
        <v>38</v>
      </c>
      <c r="C5084" s="4" t="s">
        <v>14</v>
      </c>
      <c r="D5084" s="35">
        <v>485</v>
      </c>
      <c r="E5084" s="7" t="s">
        <v>8520</v>
      </c>
      <c r="F5084" s="5">
        <v>39083</v>
      </c>
      <c r="G5084" s="5">
        <v>39813</v>
      </c>
      <c r="H5084" s="4" t="s">
        <v>40</v>
      </c>
      <c r="I5084" s="6">
        <v>15380.31</v>
      </c>
      <c r="J5084" s="6">
        <v>15380.31</v>
      </c>
      <c r="K5084" s="38" t="s">
        <v>8348</v>
      </c>
      <c r="L5084" s="119"/>
      <c r="M5084" s="3"/>
    </row>
    <row r="5085" spans="1:13" s="4" customFormat="1" ht="14.25" customHeight="1" x14ac:dyDescent="0.25">
      <c r="A5085" s="4" t="s">
        <v>8521</v>
      </c>
      <c r="B5085" s="4" t="s">
        <v>38</v>
      </c>
      <c r="C5085" s="4" t="s">
        <v>14</v>
      </c>
      <c r="D5085" s="35">
        <v>486</v>
      </c>
      <c r="E5085" s="4" t="s">
        <v>8522</v>
      </c>
      <c r="F5085" s="5">
        <v>39083</v>
      </c>
      <c r="G5085" s="5">
        <v>39813</v>
      </c>
      <c r="H5085" s="4" t="s">
        <v>40</v>
      </c>
      <c r="I5085" s="6">
        <v>27522.42</v>
      </c>
      <c r="J5085" s="6">
        <v>27522.42</v>
      </c>
      <c r="K5085" s="38" t="s">
        <v>8348</v>
      </c>
      <c r="L5085" s="119"/>
      <c r="M5085" s="3"/>
    </row>
    <row r="5086" spans="1:13" s="4" customFormat="1" ht="14.25" customHeight="1" x14ac:dyDescent="0.25">
      <c r="A5086" s="4" t="s">
        <v>8523</v>
      </c>
      <c r="B5086" s="4" t="s">
        <v>38</v>
      </c>
      <c r="C5086" s="4" t="s">
        <v>14</v>
      </c>
      <c r="D5086" s="35">
        <v>487</v>
      </c>
      <c r="E5086" s="4" t="s">
        <v>8524</v>
      </c>
      <c r="F5086" s="5">
        <v>39083</v>
      </c>
      <c r="G5086" s="5">
        <v>39813</v>
      </c>
      <c r="H5086" s="4" t="s">
        <v>40</v>
      </c>
      <c r="I5086" s="6">
        <v>15196.24</v>
      </c>
      <c r="J5086" s="6">
        <v>7598.12</v>
      </c>
      <c r="K5086" s="38" t="s">
        <v>8348</v>
      </c>
      <c r="L5086" s="119"/>
      <c r="M5086" s="3"/>
    </row>
    <row r="5087" spans="1:13" s="4" customFormat="1" ht="14.25" customHeight="1" x14ac:dyDescent="0.25">
      <c r="A5087" s="4" t="s">
        <v>8525</v>
      </c>
      <c r="B5087" s="4" t="s">
        <v>38</v>
      </c>
      <c r="C5087" s="4" t="s">
        <v>14</v>
      </c>
      <c r="D5087" s="35">
        <v>488</v>
      </c>
      <c r="E5087" s="4" t="s">
        <v>8526</v>
      </c>
      <c r="F5087" s="5">
        <v>39448</v>
      </c>
      <c r="G5087" s="5">
        <v>39813</v>
      </c>
      <c r="H5087" s="4" t="s">
        <v>40</v>
      </c>
      <c r="I5087" s="6">
        <v>30000</v>
      </c>
      <c r="J5087" s="6">
        <v>30000</v>
      </c>
      <c r="K5087" s="38" t="s">
        <v>8348</v>
      </c>
      <c r="L5087" s="119"/>
      <c r="M5087" s="3"/>
    </row>
    <row r="5088" spans="1:13" s="4" customFormat="1" ht="14.25" customHeight="1" x14ac:dyDescent="0.25">
      <c r="A5088" s="4" t="s">
        <v>8527</v>
      </c>
      <c r="B5088" s="4" t="s">
        <v>38</v>
      </c>
      <c r="C5088" s="4" t="s">
        <v>14</v>
      </c>
      <c r="D5088" s="35">
        <v>489</v>
      </c>
      <c r="E5088" s="4" t="s">
        <v>8528</v>
      </c>
      <c r="F5088" s="5">
        <v>39448</v>
      </c>
      <c r="G5088" s="5">
        <v>39813</v>
      </c>
      <c r="H5088" s="4" t="s">
        <v>40</v>
      </c>
      <c r="I5088" s="6">
        <v>2200</v>
      </c>
      <c r="J5088" s="6">
        <v>2200</v>
      </c>
      <c r="K5088" s="38" t="s">
        <v>8348</v>
      </c>
      <c r="L5088" s="119"/>
      <c r="M5088" s="3"/>
    </row>
    <row r="5089" spans="1:13" s="4" customFormat="1" ht="14.25" customHeight="1" x14ac:dyDescent="0.25">
      <c r="A5089" s="4" t="s">
        <v>8529</v>
      </c>
      <c r="B5089" s="4" t="s">
        <v>38</v>
      </c>
      <c r="C5089" s="4" t="s">
        <v>14</v>
      </c>
      <c r="D5089" s="35">
        <v>490</v>
      </c>
      <c r="E5089" s="4" t="s">
        <v>8530</v>
      </c>
      <c r="F5089" s="5">
        <v>39448</v>
      </c>
      <c r="G5089" s="5">
        <v>39813</v>
      </c>
      <c r="H5089" s="4" t="s">
        <v>40</v>
      </c>
      <c r="I5089" s="6">
        <v>689.6</v>
      </c>
      <c r="J5089" s="6">
        <v>689.6</v>
      </c>
      <c r="K5089" s="38" t="s">
        <v>8348</v>
      </c>
      <c r="L5089" s="119"/>
      <c r="M5089" s="3"/>
    </row>
    <row r="5090" spans="1:13" s="4" customFormat="1" ht="14.25" customHeight="1" x14ac:dyDescent="0.25">
      <c r="A5090" s="4" t="s">
        <v>8531</v>
      </c>
      <c r="B5090" s="4" t="s">
        <v>38</v>
      </c>
      <c r="C5090" s="4" t="s">
        <v>14</v>
      </c>
      <c r="D5090" s="35">
        <v>491</v>
      </c>
      <c r="E5090" s="4" t="s">
        <v>8532</v>
      </c>
      <c r="F5090" s="5">
        <v>39448</v>
      </c>
      <c r="G5090" s="5">
        <v>39813</v>
      </c>
      <c r="H5090" s="4" t="s">
        <v>40</v>
      </c>
      <c r="I5090" s="6">
        <v>1415</v>
      </c>
      <c r="J5090" s="6">
        <v>1415</v>
      </c>
      <c r="K5090" s="38" t="s">
        <v>8348</v>
      </c>
      <c r="L5090" s="119"/>
      <c r="M5090" s="3"/>
    </row>
    <row r="5091" spans="1:13" s="4" customFormat="1" ht="14.25" customHeight="1" x14ac:dyDescent="0.25">
      <c r="A5091" s="4" t="s">
        <v>8533</v>
      </c>
      <c r="B5091" s="4" t="s">
        <v>38</v>
      </c>
      <c r="C5091" s="4" t="s">
        <v>14</v>
      </c>
      <c r="D5091" s="35">
        <v>492</v>
      </c>
      <c r="E5091" s="4" t="s">
        <v>8533</v>
      </c>
      <c r="F5091" s="5">
        <v>39448</v>
      </c>
      <c r="G5091" s="5">
        <v>39813</v>
      </c>
      <c r="H5091" s="4" t="s">
        <v>40</v>
      </c>
      <c r="I5091" s="6">
        <v>730</v>
      </c>
      <c r="J5091" s="6">
        <v>730</v>
      </c>
      <c r="K5091" s="38" t="s">
        <v>8348</v>
      </c>
      <c r="L5091" s="119"/>
      <c r="M5091" s="3"/>
    </row>
    <row r="5092" spans="1:13" s="4" customFormat="1" ht="14.25" customHeight="1" x14ac:dyDescent="0.25">
      <c r="A5092" s="4" t="s">
        <v>8534</v>
      </c>
      <c r="B5092" s="4" t="s">
        <v>38</v>
      </c>
      <c r="C5092" s="4" t="s">
        <v>14</v>
      </c>
      <c r="D5092" s="35">
        <v>493</v>
      </c>
      <c r="E5092" s="4" t="s">
        <v>8534</v>
      </c>
      <c r="F5092" s="5">
        <v>39448</v>
      </c>
      <c r="G5092" s="5">
        <v>39813</v>
      </c>
      <c r="H5092" s="4" t="s">
        <v>40</v>
      </c>
      <c r="I5092" s="6">
        <v>1800</v>
      </c>
      <c r="J5092" s="6">
        <v>1800</v>
      </c>
      <c r="K5092" s="38" t="s">
        <v>8348</v>
      </c>
      <c r="L5092" s="119"/>
      <c r="M5092" s="3"/>
    </row>
    <row r="5093" spans="1:13" s="4" customFormat="1" ht="14.25" customHeight="1" x14ac:dyDescent="0.25">
      <c r="A5093" s="4" t="s">
        <v>8535</v>
      </c>
      <c r="B5093" s="4" t="s">
        <v>38</v>
      </c>
      <c r="C5093" s="4" t="s">
        <v>14</v>
      </c>
      <c r="D5093" s="35">
        <v>494</v>
      </c>
      <c r="E5093" s="4" t="s">
        <v>8536</v>
      </c>
      <c r="F5093" s="5">
        <v>39448</v>
      </c>
      <c r="G5093" s="5">
        <v>39813</v>
      </c>
      <c r="H5093" s="4" t="s">
        <v>40</v>
      </c>
      <c r="I5093" s="6">
        <v>255.53</v>
      </c>
      <c r="J5093" s="6">
        <v>255.53</v>
      </c>
      <c r="K5093" s="38" t="s">
        <v>8348</v>
      </c>
      <c r="L5093" s="119"/>
      <c r="M5093" s="3"/>
    </row>
    <row r="5094" spans="1:13" s="4" customFormat="1" ht="14.25" customHeight="1" x14ac:dyDescent="0.25">
      <c r="A5094" s="4" t="s">
        <v>8537</v>
      </c>
      <c r="B5094" s="4" t="s">
        <v>38</v>
      </c>
      <c r="C5094" s="4" t="s">
        <v>14</v>
      </c>
      <c r="D5094" s="35">
        <v>495</v>
      </c>
      <c r="E5094" s="4" t="s">
        <v>8537</v>
      </c>
      <c r="F5094" s="5">
        <v>39448</v>
      </c>
      <c r="G5094" s="5">
        <v>39813</v>
      </c>
      <c r="H5094" s="4" t="s">
        <v>40</v>
      </c>
      <c r="I5094" s="6">
        <v>2600</v>
      </c>
      <c r="J5094" s="6">
        <v>2600</v>
      </c>
      <c r="K5094" s="38" t="s">
        <v>8348</v>
      </c>
      <c r="L5094" s="119"/>
      <c r="M5094" s="3"/>
    </row>
    <row r="5095" spans="1:13" s="4" customFormat="1" ht="14.25" customHeight="1" x14ac:dyDescent="0.25">
      <c r="A5095" s="4" t="s">
        <v>8540</v>
      </c>
      <c r="B5095" s="4" t="s">
        <v>59</v>
      </c>
      <c r="C5095" s="4" t="s">
        <v>14</v>
      </c>
      <c r="D5095" s="35">
        <v>4929</v>
      </c>
      <c r="E5095" s="4" t="s">
        <v>8451</v>
      </c>
      <c r="F5095" s="5">
        <v>39902</v>
      </c>
      <c r="G5095" s="5">
        <v>40073</v>
      </c>
      <c r="H5095" s="4" t="s">
        <v>40</v>
      </c>
      <c r="I5095" s="6">
        <v>5000</v>
      </c>
      <c r="J5095" s="6">
        <v>5000</v>
      </c>
      <c r="K5095" s="38" t="s">
        <v>8348</v>
      </c>
      <c r="L5095" s="119"/>
      <c r="M5095" s="3"/>
    </row>
    <row r="5096" spans="1:13" s="4" customFormat="1" ht="14.25" customHeight="1" x14ac:dyDescent="0.25">
      <c r="A5096" s="4" t="s">
        <v>8541</v>
      </c>
      <c r="B5096" s="4" t="s">
        <v>59</v>
      </c>
      <c r="C5096" s="4" t="s">
        <v>14</v>
      </c>
      <c r="D5096" s="35">
        <v>4932</v>
      </c>
      <c r="E5096" s="4" t="s">
        <v>8542</v>
      </c>
      <c r="F5096" s="5">
        <v>39941</v>
      </c>
      <c r="G5096" s="5">
        <v>40107</v>
      </c>
      <c r="H5096" s="4" t="s">
        <v>40</v>
      </c>
      <c r="I5096" s="6">
        <v>7500</v>
      </c>
      <c r="J5096" s="6">
        <v>7500</v>
      </c>
      <c r="K5096" s="38" t="s">
        <v>8348</v>
      </c>
      <c r="L5096" s="119"/>
      <c r="M5096" s="3"/>
    </row>
    <row r="5097" spans="1:13" s="4" customFormat="1" ht="14.25" customHeight="1" x14ac:dyDescent="0.25">
      <c r="A5097" s="4" t="s">
        <v>8543</v>
      </c>
      <c r="B5097" s="4" t="s">
        <v>59</v>
      </c>
      <c r="C5097" s="4" t="s">
        <v>14</v>
      </c>
      <c r="D5097" s="35">
        <v>4935</v>
      </c>
      <c r="E5097" s="4" t="s">
        <v>8544</v>
      </c>
      <c r="F5097" s="5">
        <v>39933</v>
      </c>
      <c r="G5097" s="5">
        <v>40116</v>
      </c>
      <c r="H5097" s="4" t="s">
        <v>40</v>
      </c>
      <c r="I5097" s="6">
        <v>7500</v>
      </c>
      <c r="J5097" s="6">
        <v>7500</v>
      </c>
      <c r="K5097" s="38" t="s">
        <v>8348</v>
      </c>
      <c r="L5097" s="119"/>
      <c r="M5097" s="3"/>
    </row>
    <row r="5098" spans="1:13" s="4" customFormat="1" ht="14.25" customHeight="1" x14ac:dyDescent="0.25">
      <c r="A5098" s="4" t="s">
        <v>8545</v>
      </c>
      <c r="B5098" s="4" t="s">
        <v>59</v>
      </c>
      <c r="C5098" s="4" t="s">
        <v>14</v>
      </c>
      <c r="D5098" s="35">
        <v>4937</v>
      </c>
      <c r="E5098" s="4" t="s">
        <v>3202</v>
      </c>
      <c r="F5098" s="5">
        <v>39960</v>
      </c>
      <c r="G5098" s="5">
        <v>40144</v>
      </c>
      <c r="H5098" s="4" t="s">
        <v>40</v>
      </c>
      <c r="I5098" s="6">
        <v>7500</v>
      </c>
      <c r="J5098" s="6">
        <v>7500</v>
      </c>
      <c r="K5098" s="38" t="s">
        <v>8348</v>
      </c>
      <c r="L5098" s="119"/>
      <c r="M5098" s="3"/>
    </row>
    <row r="5099" spans="1:13" s="4" customFormat="1" ht="14.25" customHeight="1" x14ac:dyDescent="0.25">
      <c r="A5099" s="4" t="s">
        <v>8546</v>
      </c>
      <c r="B5099" s="4" t="s">
        <v>59</v>
      </c>
      <c r="C5099" s="4" t="s">
        <v>14</v>
      </c>
      <c r="D5099" s="35">
        <v>4940</v>
      </c>
      <c r="E5099" s="4" t="s">
        <v>8547</v>
      </c>
      <c r="F5099" s="5">
        <v>39976</v>
      </c>
      <c r="G5099" s="5">
        <v>40262</v>
      </c>
      <c r="H5099" s="4" t="s">
        <v>40</v>
      </c>
      <c r="I5099" s="6">
        <v>7500</v>
      </c>
      <c r="J5099" s="6">
        <v>7500</v>
      </c>
      <c r="K5099" s="38" t="s">
        <v>8348</v>
      </c>
      <c r="L5099" s="119"/>
      <c r="M5099" s="3"/>
    </row>
    <row r="5100" spans="1:13" s="4" customFormat="1" ht="14.25" customHeight="1" x14ac:dyDescent="0.25">
      <c r="A5100" s="4" t="s">
        <v>8548</v>
      </c>
      <c r="B5100" s="4" t="s">
        <v>59</v>
      </c>
      <c r="C5100" s="4" t="s">
        <v>14</v>
      </c>
      <c r="D5100" s="35">
        <v>5002</v>
      </c>
      <c r="E5100" s="4" t="s">
        <v>8549</v>
      </c>
      <c r="F5100" s="5">
        <v>40079</v>
      </c>
      <c r="G5100" s="5">
        <v>40287</v>
      </c>
      <c r="H5100" s="4" t="s">
        <v>40</v>
      </c>
      <c r="I5100" s="6">
        <v>7500</v>
      </c>
      <c r="J5100" s="6">
        <v>7500</v>
      </c>
      <c r="K5100" s="38" t="s">
        <v>8348</v>
      </c>
      <c r="L5100" s="119"/>
      <c r="M5100" s="3"/>
    </row>
    <row r="5101" spans="1:13" s="4" customFormat="1" ht="14.25" customHeight="1" x14ac:dyDescent="0.25">
      <c r="A5101" s="4" t="s">
        <v>8550</v>
      </c>
      <c r="B5101" s="4" t="s">
        <v>59</v>
      </c>
      <c r="C5101" s="4" t="s">
        <v>14</v>
      </c>
      <c r="D5101" s="35">
        <v>5006</v>
      </c>
      <c r="E5101" s="4" t="s">
        <v>8551</v>
      </c>
      <c r="F5101" s="5">
        <v>40077</v>
      </c>
      <c r="G5101" s="5">
        <v>40303</v>
      </c>
      <c r="H5101" s="4" t="s">
        <v>40</v>
      </c>
      <c r="I5101" s="6">
        <v>9000</v>
      </c>
      <c r="J5101" s="6">
        <v>9000</v>
      </c>
      <c r="K5101" s="38" t="s">
        <v>8348</v>
      </c>
      <c r="L5101" s="119"/>
      <c r="M5101" s="3"/>
    </row>
    <row r="5102" spans="1:13" s="4" customFormat="1" ht="14.25" customHeight="1" x14ac:dyDescent="0.25">
      <c r="A5102" s="4" t="s">
        <v>8552</v>
      </c>
      <c r="B5102" s="4" t="s">
        <v>90</v>
      </c>
      <c r="C5102" s="4" t="s">
        <v>14</v>
      </c>
      <c r="D5102" s="35">
        <v>5008</v>
      </c>
      <c r="E5102" s="4" t="s">
        <v>8553</v>
      </c>
      <c r="F5102" s="5">
        <v>40037</v>
      </c>
      <c r="G5102" s="5">
        <v>40037</v>
      </c>
      <c r="H5102" s="4" t="s">
        <v>40</v>
      </c>
      <c r="I5102" s="6">
        <v>1857.38</v>
      </c>
      <c r="J5102" s="6">
        <v>928.69</v>
      </c>
      <c r="K5102" s="38" t="s">
        <v>8348</v>
      </c>
      <c r="L5102" s="119"/>
      <c r="M5102" s="3"/>
    </row>
    <row r="5103" spans="1:13" s="4" customFormat="1" ht="14.25" customHeight="1" x14ac:dyDescent="0.25">
      <c r="A5103" s="4" t="s">
        <v>8554</v>
      </c>
      <c r="B5103" s="4" t="s">
        <v>50</v>
      </c>
      <c r="C5103" s="4" t="s">
        <v>14</v>
      </c>
      <c r="D5103" s="35">
        <v>5012</v>
      </c>
      <c r="E5103" s="4" t="s">
        <v>8555</v>
      </c>
      <c r="F5103" s="5">
        <v>40070</v>
      </c>
      <c r="G5103" s="5">
        <v>40262</v>
      </c>
      <c r="H5103" s="4" t="s">
        <v>40</v>
      </c>
      <c r="I5103" s="6">
        <v>43546.8</v>
      </c>
      <c r="J5103" s="6">
        <v>21773.4</v>
      </c>
      <c r="K5103" s="38" t="s">
        <v>8348</v>
      </c>
      <c r="L5103" s="119"/>
      <c r="M5103" s="3"/>
    </row>
    <row r="5104" spans="1:13" s="4" customFormat="1" ht="14.25" customHeight="1" x14ac:dyDescent="0.25">
      <c r="A5104" s="4" t="s">
        <v>8556</v>
      </c>
      <c r="B5104" s="4" t="s">
        <v>90</v>
      </c>
      <c r="C5104" s="4" t="s">
        <v>14</v>
      </c>
      <c r="D5104" s="35">
        <v>5014</v>
      </c>
      <c r="E5104" s="4" t="s">
        <v>8557</v>
      </c>
      <c r="F5104" s="5">
        <v>40050</v>
      </c>
      <c r="G5104" s="5">
        <v>40050</v>
      </c>
      <c r="H5104" s="4" t="s">
        <v>40</v>
      </c>
      <c r="I5104" s="6">
        <v>10504</v>
      </c>
      <c r="J5104" s="6">
        <v>5000</v>
      </c>
      <c r="K5104" s="38" t="s">
        <v>8348</v>
      </c>
      <c r="L5104" s="119"/>
      <c r="M5104" s="3"/>
    </row>
    <row r="5105" spans="1:13" s="4" customFormat="1" ht="14.25" customHeight="1" x14ac:dyDescent="0.25">
      <c r="A5105" s="4" t="s">
        <v>8558</v>
      </c>
      <c r="B5105" s="4" t="s">
        <v>90</v>
      </c>
      <c r="C5105" s="4" t="s">
        <v>14</v>
      </c>
      <c r="D5105" s="35">
        <v>5015</v>
      </c>
      <c r="E5105" s="4" t="s">
        <v>8559</v>
      </c>
      <c r="F5105" s="5">
        <v>40056</v>
      </c>
      <c r="G5105" s="5">
        <v>40056</v>
      </c>
      <c r="H5105" s="4" t="s">
        <v>40</v>
      </c>
      <c r="I5105" s="6">
        <v>10000</v>
      </c>
      <c r="J5105" s="6">
        <v>2500</v>
      </c>
      <c r="K5105" s="38" t="s">
        <v>8348</v>
      </c>
      <c r="L5105" s="119"/>
      <c r="M5105" s="3"/>
    </row>
    <row r="5106" spans="1:13" s="4" customFormat="1" ht="14.25" customHeight="1" x14ac:dyDescent="0.25">
      <c r="A5106" s="4" t="s">
        <v>8562</v>
      </c>
      <c r="B5106" s="4" t="s">
        <v>59</v>
      </c>
      <c r="C5106" s="4" t="s">
        <v>14</v>
      </c>
      <c r="D5106" s="35">
        <v>5036</v>
      </c>
      <c r="E5106" s="4" t="s">
        <v>8563</v>
      </c>
      <c r="F5106" s="5">
        <v>40092</v>
      </c>
      <c r="G5106" s="5">
        <v>40262</v>
      </c>
      <c r="H5106" s="4" t="s">
        <v>40</v>
      </c>
      <c r="I5106" s="6">
        <v>15000.09</v>
      </c>
      <c r="J5106" s="6">
        <v>15000.09</v>
      </c>
      <c r="K5106" s="38" t="s">
        <v>8348</v>
      </c>
      <c r="L5106" s="119"/>
      <c r="M5106" s="3"/>
    </row>
    <row r="5107" spans="1:13" s="4" customFormat="1" ht="14.25" customHeight="1" x14ac:dyDescent="0.25">
      <c r="A5107" s="4" t="s">
        <v>8414</v>
      </c>
      <c r="B5107" s="4" t="s">
        <v>50</v>
      </c>
      <c r="C5107" s="4" t="s">
        <v>14</v>
      </c>
      <c r="D5107" s="35">
        <v>5039</v>
      </c>
      <c r="E5107" s="4" t="s">
        <v>8564</v>
      </c>
      <c r="F5107" s="5">
        <v>40123</v>
      </c>
      <c r="G5107" s="5">
        <v>40123</v>
      </c>
      <c r="H5107" s="4" t="s">
        <v>40</v>
      </c>
      <c r="I5107" s="6">
        <v>6666.68</v>
      </c>
      <c r="J5107" s="6">
        <v>3333.34</v>
      </c>
      <c r="K5107" s="38" t="s">
        <v>8348</v>
      </c>
      <c r="L5107" s="119"/>
      <c r="M5107" s="3"/>
    </row>
    <row r="5108" spans="1:13" s="4" customFormat="1" ht="14.25" customHeight="1" x14ac:dyDescent="0.25">
      <c r="A5108" s="4" t="s">
        <v>8565</v>
      </c>
      <c r="B5108" s="4" t="s">
        <v>59</v>
      </c>
      <c r="C5108" s="4" t="s">
        <v>14</v>
      </c>
      <c r="D5108" s="35">
        <v>5040</v>
      </c>
      <c r="E5108" s="4" t="s">
        <v>8549</v>
      </c>
      <c r="F5108" s="5">
        <v>40128</v>
      </c>
      <c r="G5108" s="5">
        <v>40318</v>
      </c>
      <c r="H5108" s="4" t="s">
        <v>40</v>
      </c>
      <c r="I5108" s="6">
        <v>3750</v>
      </c>
      <c r="J5108" s="6">
        <v>3750</v>
      </c>
      <c r="K5108" s="38" t="s">
        <v>8348</v>
      </c>
      <c r="L5108" s="119"/>
      <c r="M5108" s="3"/>
    </row>
    <row r="5109" spans="1:13" s="4" customFormat="1" ht="14.25" customHeight="1" x14ac:dyDescent="0.25">
      <c r="A5109" s="4" t="s">
        <v>8566</v>
      </c>
      <c r="B5109" s="4" t="s">
        <v>90</v>
      </c>
      <c r="C5109" s="4" t="s">
        <v>14</v>
      </c>
      <c r="D5109" s="35">
        <v>5041</v>
      </c>
      <c r="E5109" s="4" t="s">
        <v>8567</v>
      </c>
      <c r="F5109" s="5">
        <v>40126</v>
      </c>
      <c r="G5109" s="5">
        <v>40529</v>
      </c>
      <c r="H5109" s="4" t="s">
        <v>40</v>
      </c>
      <c r="I5109" s="6">
        <v>8186.88</v>
      </c>
      <c r="J5109" s="6">
        <v>1528.07</v>
      </c>
      <c r="K5109" s="38" t="s">
        <v>8348</v>
      </c>
      <c r="L5109" s="119"/>
      <c r="M5109" s="3"/>
    </row>
    <row r="5110" spans="1:13" s="4" customFormat="1" ht="14.25" customHeight="1" x14ac:dyDescent="0.25">
      <c r="A5110" s="4" t="s">
        <v>8568</v>
      </c>
      <c r="B5110" s="4" t="s">
        <v>59</v>
      </c>
      <c r="C5110" s="4" t="s">
        <v>14</v>
      </c>
      <c r="D5110" s="35">
        <v>5053</v>
      </c>
      <c r="E5110" s="4" t="s">
        <v>8569</v>
      </c>
      <c r="F5110" s="5">
        <v>40161</v>
      </c>
      <c r="G5110" s="5">
        <v>40318</v>
      </c>
      <c r="H5110" s="4" t="s">
        <v>40</v>
      </c>
      <c r="I5110" s="6">
        <v>7500</v>
      </c>
      <c r="J5110" s="6">
        <v>7500</v>
      </c>
      <c r="K5110" s="38" t="s">
        <v>8348</v>
      </c>
      <c r="L5110" s="119"/>
      <c r="M5110" s="3"/>
    </row>
    <row r="5111" spans="1:13" s="4" customFormat="1" ht="14.25" customHeight="1" x14ac:dyDescent="0.25">
      <c r="A5111" s="4" t="s">
        <v>8570</v>
      </c>
      <c r="B5111" s="4" t="s">
        <v>59</v>
      </c>
      <c r="C5111" s="4" t="s">
        <v>14</v>
      </c>
      <c r="D5111" s="35">
        <v>5054</v>
      </c>
      <c r="E5111" s="4" t="s">
        <v>8571</v>
      </c>
      <c r="F5111" s="5">
        <v>40143</v>
      </c>
      <c r="G5111" s="5">
        <v>40430</v>
      </c>
      <c r="H5111" s="4" t="s">
        <v>40</v>
      </c>
      <c r="I5111" s="6">
        <v>11666.67</v>
      </c>
      <c r="J5111" s="6">
        <v>11666.67</v>
      </c>
      <c r="K5111" s="38" t="s">
        <v>8348</v>
      </c>
      <c r="L5111" s="119"/>
      <c r="M5111" s="3"/>
    </row>
    <row r="5112" spans="1:13" s="4" customFormat="1" ht="14.25" customHeight="1" x14ac:dyDescent="0.25">
      <c r="A5112" s="4" t="s">
        <v>8572</v>
      </c>
      <c r="B5112" s="4" t="s">
        <v>50</v>
      </c>
      <c r="C5112" s="4" t="s">
        <v>14</v>
      </c>
      <c r="D5112" s="35">
        <v>5059</v>
      </c>
      <c r="E5112" s="4" t="s">
        <v>8573</v>
      </c>
      <c r="F5112" s="5">
        <v>40130</v>
      </c>
      <c r="G5112" s="5">
        <v>40130</v>
      </c>
      <c r="H5112" s="4" t="s">
        <v>40</v>
      </c>
      <c r="I5112" s="6">
        <v>7000</v>
      </c>
      <c r="J5112" s="6">
        <v>3500</v>
      </c>
      <c r="K5112" s="38" t="s">
        <v>8348</v>
      </c>
      <c r="L5112" s="119"/>
      <c r="M5112" s="3"/>
    </row>
    <row r="5113" spans="1:13" s="4" customFormat="1" ht="14.25" customHeight="1" x14ac:dyDescent="0.25">
      <c r="A5113" s="4" t="s">
        <v>8576</v>
      </c>
      <c r="B5113" s="4" t="s">
        <v>90</v>
      </c>
      <c r="C5113" s="4" t="s">
        <v>14</v>
      </c>
      <c r="D5113" s="35">
        <v>5064</v>
      </c>
      <c r="E5113" s="7" t="s">
        <v>8577</v>
      </c>
      <c r="F5113" s="5">
        <v>40084</v>
      </c>
      <c r="G5113" s="5">
        <v>40084</v>
      </c>
      <c r="H5113" s="4" t="s">
        <v>40</v>
      </c>
      <c r="I5113" s="6">
        <v>10200</v>
      </c>
      <c r="J5113" s="6">
        <v>5100</v>
      </c>
      <c r="K5113" s="38" t="s">
        <v>8348</v>
      </c>
      <c r="L5113" s="119"/>
      <c r="M5113" s="3"/>
    </row>
    <row r="5114" spans="1:13" s="4" customFormat="1" ht="14.25" customHeight="1" x14ac:dyDescent="0.25">
      <c r="A5114" s="4" t="s">
        <v>8578</v>
      </c>
      <c r="B5114" s="4" t="s">
        <v>38</v>
      </c>
      <c r="C5114" s="4" t="s">
        <v>14</v>
      </c>
      <c r="D5114" s="35">
        <v>5091</v>
      </c>
      <c r="E5114" s="4" t="s">
        <v>8579</v>
      </c>
      <c r="F5114" s="5">
        <v>39873</v>
      </c>
      <c r="G5114" s="5">
        <v>39903</v>
      </c>
      <c r="H5114" s="4" t="s">
        <v>40</v>
      </c>
      <c r="I5114" s="6">
        <v>2500</v>
      </c>
      <c r="J5114" s="6">
        <v>2500</v>
      </c>
      <c r="K5114" s="38" t="s">
        <v>8348</v>
      </c>
      <c r="L5114" s="119"/>
      <c r="M5114" s="3"/>
    </row>
    <row r="5115" spans="1:13" s="4" customFormat="1" ht="14.25" customHeight="1" x14ac:dyDescent="0.25">
      <c r="A5115" s="4" t="s">
        <v>8515</v>
      </c>
      <c r="B5115" s="4" t="s">
        <v>38</v>
      </c>
      <c r="C5115" s="4" t="s">
        <v>14</v>
      </c>
      <c r="D5115" s="35">
        <v>5139</v>
      </c>
      <c r="E5115" s="4" t="s">
        <v>8516</v>
      </c>
      <c r="F5115" s="5">
        <v>39873</v>
      </c>
      <c r="G5115" s="5">
        <v>39903</v>
      </c>
      <c r="H5115" s="4" t="s">
        <v>40</v>
      </c>
      <c r="I5115" s="6">
        <v>1500</v>
      </c>
      <c r="J5115" s="6">
        <v>1500</v>
      </c>
      <c r="K5115" s="38" t="s">
        <v>8348</v>
      </c>
      <c r="L5115" s="119"/>
      <c r="M5115" s="3"/>
    </row>
    <row r="5116" spans="1:13" s="4" customFormat="1" ht="14.25" customHeight="1" x14ac:dyDescent="0.25">
      <c r="A5116" s="4" t="s">
        <v>8580</v>
      </c>
      <c r="B5116" s="4" t="s">
        <v>38</v>
      </c>
      <c r="C5116" s="4" t="s">
        <v>14</v>
      </c>
      <c r="D5116" s="35">
        <v>5141</v>
      </c>
      <c r="E5116" s="4" t="s">
        <v>8581</v>
      </c>
      <c r="F5116" s="5">
        <v>40057</v>
      </c>
      <c r="G5116" s="5">
        <v>40178</v>
      </c>
      <c r="H5116" s="4" t="s">
        <v>40</v>
      </c>
      <c r="I5116" s="6">
        <v>530</v>
      </c>
      <c r="J5116" s="6">
        <v>530</v>
      </c>
      <c r="K5116" s="38" t="s">
        <v>8348</v>
      </c>
      <c r="L5116" s="119"/>
      <c r="M5116" s="3"/>
    </row>
    <row r="5117" spans="1:13" s="4" customFormat="1" ht="14.25" customHeight="1" x14ac:dyDescent="0.25">
      <c r="A5117" s="4" t="s">
        <v>8582</v>
      </c>
      <c r="B5117" s="4" t="s">
        <v>38</v>
      </c>
      <c r="C5117" s="4" t="s">
        <v>14</v>
      </c>
      <c r="D5117" s="35">
        <v>5145</v>
      </c>
      <c r="E5117" s="4" t="s">
        <v>8583</v>
      </c>
      <c r="F5117" s="5">
        <v>40057</v>
      </c>
      <c r="G5117" s="5">
        <v>40178</v>
      </c>
      <c r="H5117" s="4" t="s">
        <v>40</v>
      </c>
      <c r="I5117" s="6">
        <v>101.5</v>
      </c>
      <c r="J5117" s="6">
        <v>101.5</v>
      </c>
      <c r="K5117" s="38" t="s">
        <v>8348</v>
      </c>
      <c r="L5117" s="119"/>
      <c r="M5117" s="3"/>
    </row>
    <row r="5118" spans="1:13" s="4" customFormat="1" ht="14.25" customHeight="1" x14ac:dyDescent="0.25">
      <c r="A5118" s="4" t="s">
        <v>8584</v>
      </c>
      <c r="B5118" s="4" t="s">
        <v>38</v>
      </c>
      <c r="C5118" s="4" t="s">
        <v>14</v>
      </c>
      <c r="D5118" s="35">
        <v>5147</v>
      </c>
      <c r="E5118" s="4" t="s">
        <v>8585</v>
      </c>
      <c r="F5118" s="5">
        <v>40057</v>
      </c>
      <c r="G5118" s="5">
        <v>40071</v>
      </c>
      <c r="H5118" s="4" t="s">
        <v>40</v>
      </c>
      <c r="I5118" s="6">
        <v>191.7</v>
      </c>
      <c r="J5118" s="6">
        <v>191.7</v>
      </c>
      <c r="K5118" s="38" t="s">
        <v>8348</v>
      </c>
      <c r="L5118" s="119"/>
      <c r="M5118" s="3"/>
    </row>
    <row r="5119" spans="1:13" s="4" customFormat="1" ht="14.25" customHeight="1" x14ac:dyDescent="0.25">
      <c r="A5119" s="4" t="s">
        <v>8586</v>
      </c>
      <c r="B5119" s="4" t="s">
        <v>38</v>
      </c>
      <c r="C5119" s="4" t="s">
        <v>14</v>
      </c>
      <c r="D5119" s="35">
        <v>5150</v>
      </c>
      <c r="E5119" s="4" t="s">
        <v>8587</v>
      </c>
      <c r="F5119" s="5">
        <v>39814</v>
      </c>
      <c r="G5119" s="5">
        <v>40543</v>
      </c>
      <c r="H5119" s="4" t="s">
        <v>40</v>
      </c>
      <c r="I5119" s="6">
        <v>174939.22</v>
      </c>
      <c r="J5119" s="6">
        <v>87469.61</v>
      </c>
      <c r="K5119" s="38" t="s">
        <v>8348</v>
      </c>
      <c r="L5119" s="119"/>
      <c r="M5119" s="3"/>
    </row>
    <row r="5120" spans="1:13" s="4" customFormat="1" ht="14.25" customHeight="1" x14ac:dyDescent="0.25">
      <c r="A5120" s="4" t="s">
        <v>6297</v>
      </c>
      <c r="B5120" s="4" t="s">
        <v>38</v>
      </c>
      <c r="C5120" s="4" t="s">
        <v>14</v>
      </c>
      <c r="D5120" s="35">
        <v>5154</v>
      </c>
      <c r="E5120" s="4" t="s">
        <v>8588</v>
      </c>
      <c r="F5120" s="5">
        <v>40118</v>
      </c>
      <c r="G5120" s="5">
        <v>40512</v>
      </c>
      <c r="H5120" s="4" t="s">
        <v>40</v>
      </c>
      <c r="I5120" s="6">
        <v>1982.37</v>
      </c>
      <c r="J5120" s="6">
        <v>1982.37</v>
      </c>
      <c r="K5120" s="38" t="s">
        <v>8348</v>
      </c>
      <c r="L5120" s="119"/>
      <c r="M5120" s="3"/>
    </row>
    <row r="5121" spans="1:13" s="4" customFormat="1" ht="14.25" customHeight="1" x14ac:dyDescent="0.25">
      <c r="A5121" s="4" t="s">
        <v>3252</v>
      </c>
      <c r="B5121" s="4" t="s">
        <v>38</v>
      </c>
      <c r="C5121" s="4" t="s">
        <v>14</v>
      </c>
      <c r="D5121" s="35">
        <v>5156</v>
      </c>
      <c r="E5121" s="4" t="s">
        <v>8589</v>
      </c>
      <c r="F5121" s="5">
        <v>40087</v>
      </c>
      <c r="G5121" s="5">
        <v>40117</v>
      </c>
      <c r="H5121" s="4" t="s">
        <v>40</v>
      </c>
      <c r="I5121" s="6">
        <v>427</v>
      </c>
      <c r="J5121" s="6">
        <v>427</v>
      </c>
      <c r="K5121" s="38" t="s">
        <v>8348</v>
      </c>
      <c r="L5121" s="119"/>
      <c r="M5121" s="3"/>
    </row>
    <row r="5122" spans="1:13" s="4" customFormat="1" ht="14.25" customHeight="1" x14ac:dyDescent="0.25">
      <c r="A5122" s="4" t="s">
        <v>8590</v>
      </c>
      <c r="B5122" s="4" t="s">
        <v>38</v>
      </c>
      <c r="C5122" s="4" t="s">
        <v>14</v>
      </c>
      <c r="D5122" s="35">
        <v>5158</v>
      </c>
      <c r="E5122" s="4" t="s">
        <v>8591</v>
      </c>
      <c r="F5122" s="5">
        <v>39873</v>
      </c>
      <c r="G5122" s="5">
        <v>40178</v>
      </c>
      <c r="H5122" s="4" t="s">
        <v>40</v>
      </c>
      <c r="I5122" s="6">
        <v>5085.75</v>
      </c>
      <c r="J5122" s="6">
        <v>5085.75</v>
      </c>
      <c r="K5122" s="38" t="s">
        <v>8348</v>
      </c>
      <c r="L5122" s="119"/>
      <c r="M5122" s="3"/>
    </row>
    <row r="5123" spans="1:13" s="4" customFormat="1" ht="14.25" customHeight="1" x14ac:dyDescent="0.25">
      <c r="A5123" s="4" t="s">
        <v>8592</v>
      </c>
      <c r="B5123" s="4" t="s">
        <v>38</v>
      </c>
      <c r="C5123" s="4" t="s">
        <v>14</v>
      </c>
      <c r="D5123" s="35">
        <v>5159</v>
      </c>
      <c r="E5123" s="4" t="s">
        <v>8593</v>
      </c>
      <c r="F5123" s="5">
        <v>39814</v>
      </c>
      <c r="G5123" s="5">
        <v>40543</v>
      </c>
      <c r="H5123" s="4" t="s">
        <v>40</v>
      </c>
      <c r="I5123" s="6">
        <v>26001.919999999998</v>
      </c>
      <c r="J5123" s="6">
        <v>13000.96</v>
      </c>
      <c r="K5123" s="38" t="s">
        <v>8348</v>
      </c>
      <c r="L5123" s="119"/>
      <c r="M5123" s="3"/>
    </row>
    <row r="5124" spans="1:13" s="4" customFormat="1" ht="14.25" customHeight="1" x14ac:dyDescent="0.25">
      <c r="A5124" s="4" t="s">
        <v>8594</v>
      </c>
      <c r="B5124" s="4" t="s">
        <v>38</v>
      </c>
      <c r="C5124" s="4" t="s">
        <v>14</v>
      </c>
      <c r="D5124" s="35">
        <v>5161</v>
      </c>
      <c r="E5124" s="4" t="s">
        <v>8595</v>
      </c>
      <c r="F5124" s="5">
        <v>39814</v>
      </c>
      <c r="G5124" s="5">
        <v>40086</v>
      </c>
      <c r="H5124" s="4" t="s">
        <v>40</v>
      </c>
      <c r="I5124" s="6">
        <v>1668.75</v>
      </c>
      <c r="J5124" s="6">
        <v>1668.75</v>
      </c>
      <c r="K5124" s="38" t="s">
        <v>8348</v>
      </c>
      <c r="L5124" s="119"/>
      <c r="M5124" s="3"/>
    </row>
    <row r="5125" spans="1:13" s="4" customFormat="1" ht="14.25" customHeight="1" x14ac:dyDescent="0.25">
      <c r="A5125" s="4" t="s">
        <v>8596</v>
      </c>
      <c r="B5125" s="4" t="s">
        <v>38</v>
      </c>
      <c r="C5125" s="4" t="s">
        <v>14</v>
      </c>
      <c r="D5125" s="35">
        <v>5163</v>
      </c>
      <c r="E5125" s="4" t="s">
        <v>8597</v>
      </c>
      <c r="F5125" s="5">
        <v>40057</v>
      </c>
      <c r="G5125" s="5">
        <v>40178</v>
      </c>
      <c r="H5125" s="4" t="s">
        <v>40</v>
      </c>
      <c r="I5125" s="6">
        <v>1353</v>
      </c>
      <c r="J5125" s="6">
        <v>1353</v>
      </c>
      <c r="K5125" s="38" t="s">
        <v>8348</v>
      </c>
      <c r="L5125" s="119"/>
      <c r="M5125" s="3"/>
    </row>
    <row r="5126" spans="1:13" s="4" customFormat="1" ht="14.25" customHeight="1" x14ac:dyDescent="0.25">
      <c r="A5126" s="4" t="s">
        <v>8598</v>
      </c>
      <c r="B5126" s="4" t="s">
        <v>38</v>
      </c>
      <c r="C5126" s="4" t="s">
        <v>14</v>
      </c>
      <c r="D5126" s="35">
        <v>5166</v>
      </c>
      <c r="E5126" s="4" t="s">
        <v>8599</v>
      </c>
      <c r="F5126" s="5">
        <v>40067</v>
      </c>
      <c r="G5126" s="5">
        <v>40067</v>
      </c>
      <c r="H5126" s="4" t="s">
        <v>40</v>
      </c>
      <c r="I5126" s="6">
        <v>6736.79</v>
      </c>
      <c r="J5126" s="6">
        <v>6736.79</v>
      </c>
      <c r="K5126" s="38" t="s">
        <v>8348</v>
      </c>
      <c r="L5126" s="119"/>
      <c r="M5126" s="3"/>
    </row>
    <row r="5127" spans="1:13" s="4" customFormat="1" ht="14.25" customHeight="1" x14ac:dyDescent="0.25">
      <c r="A5127" s="4" t="s">
        <v>8600</v>
      </c>
      <c r="B5127" s="4" t="s">
        <v>38</v>
      </c>
      <c r="C5127" s="4" t="s">
        <v>14</v>
      </c>
      <c r="D5127" s="35">
        <v>5168</v>
      </c>
      <c r="E5127" s="4" t="s">
        <v>8601</v>
      </c>
      <c r="F5127" s="5">
        <v>40057</v>
      </c>
      <c r="G5127" s="5">
        <v>40542</v>
      </c>
      <c r="H5127" s="4" t="s">
        <v>40</v>
      </c>
      <c r="I5127" s="6">
        <v>6103.68</v>
      </c>
      <c r="J5127" s="6">
        <v>6103.68</v>
      </c>
      <c r="K5127" s="38" t="s">
        <v>8348</v>
      </c>
      <c r="L5127" s="119"/>
      <c r="M5127" s="3"/>
    </row>
    <row r="5128" spans="1:13" s="4" customFormat="1" ht="14.25" customHeight="1" x14ac:dyDescent="0.25">
      <c r="A5128" s="4" t="s">
        <v>8602</v>
      </c>
      <c r="B5128" s="4" t="s">
        <v>38</v>
      </c>
      <c r="C5128" s="4" t="s">
        <v>14</v>
      </c>
      <c r="D5128" s="35">
        <v>5169</v>
      </c>
      <c r="E5128" s="4" t="s">
        <v>8603</v>
      </c>
      <c r="F5128" s="5">
        <v>40057</v>
      </c>
      <c r="G5128" s="5">
        <v>40178</v>
      </c>
      <c r="H5128" s="4" t="s">
        <v>40</v>
      </c>
      <c r="I5128" s="6">
        <v>320</v>
      </c>
      <c r="J5128" s="6">
        <v>320</v>
      </c>
      <c r="K5128" s="38" t="s">
        <v>8348</v>
      </c>
      <c r="L5128" s="119"/>
      <c r="M5128" s="3"/>
    </row>
    <row r="5129" spans="1:13" s="4" customFormat="1" ht="14.25" customHeight="1" x14ac:dyDescent="0.25">
      <c r="A5129" s="4" t="s">
        <v>8604</v>
      </c>
      <c r="B5129" s="4" t="s">
        <v>38</v>
      </c>
      <c r="C5129" s="4" t="s">
        <v>14</v>
      </c>
      <c r="D5129" s="35">
        <v>5174</v>
      </c>
      <c r="E5129" s="4" t="s">
        <v>8605</v>
      </c>
      <c r="F5129" s="5">
        <v>40057</v>
      </c>
      <c r="G5129" s="5">
        <v>40178</v>
      </c>
      <c r="H5129" s="4" t="s">
        <v>40</v>
      </c>
      <c r="I5129" s="6">
        <v>779.7</v>
      </c>
      <c r="J5129" s="6">
        <v>779.7</v>
      </c>
      <c r="K5129" s="38" t="s">
        <v>8348</v>
      </c>
      <c r="L5129" s="119"/>
      <c r="M5129" s="3"/>
    </row>
    <row r="5130" spans="1:13" s="4" customFormat="1" ht="14.25" customHeight="1" x14ac:dyDescent="0.25">
      <c r="A5130" s="4" t="s">
        <v>8606</v>
      </c>
      <c r="B5130" s="4" t="s">
        <v>38</v>
      </c>
      <c r="C5130" s="4" t="s">
        <v>14</v>
      </c>
      <c r="D5130" s="35">
        <v>5175</v>
      </c>
      <c r="E5130" s="4" t="s">
        <v>8607</v>
      </c>
      <c r="F5130" s="5">
        <v>39995</v>
      </c>
      <c r="G5130" s="5">
        <v>40178</v>
      </c>
      <c r="H5130" s="4" t="s">
        <v>40</v>
      </c>
      <c r="I5130" s="6">
        <v>6559.6</v>
      </c>
      <c r="J5130" s="6">
        <v>6559.6</v>
      </c>
      <c r="K5130" s="38" t="s">
        <v>8348</v>
      </c>
      <c r="L5130" s="119"/>
      <c r="M5130" s="3"/>
    </row>
    <row r="5131" spans="1:13" s="4" customFormat="1" ht="14.25" customHeight="1" x14ac:dyDescent="0.25">
      <c r="A5131" s="4" t="s">
        <v>8608</v>
      </c>
      <c r="B5131" s="4" t="s">
        <v>38</v>
      </c>
      <c r="C5131" s="4" t="s">
        <v>14</v>
      </c>
      <c r="D5131" s="35">
        <v>5176</v>
      </c>
      <c r="E5131" s="4" t="s">
        <v>8609</v>
      </c>
      <c r="F5131" s="5">
        <v>39873</v>
      </c>
      <c r="G5131" s="5">
        <v>40543</v>
      </c>
      <c r="H5131" s="4" t="s">
        <v>40</v>
      </c>
      <c r="I5131" s="6">
        <f>20056.56-0.18</f>
        <v>20056.38</v>
      </c>
      <c r="J5131" s="6">
        <v>20056.560000000001</v>
      </c>
      <c r="K5131" s="38" t="s">
        <v>8348</v>
      </c>
      <c r="L5131" s="119"/>
      <c r="M5131" s="3"/>
    </row>
    <row r="5132" spans="1:13" s="4" customFormat="1" ht="14.25" customHeight="1" x14ac:dyDescent="0.25">
      <c r="A5132" s="4" t="s">
        <v>8610</v>
      </c>
      <c r="B5132" s="4" t="s">
        <v>38</v>
      </c>
      <c r="C5132" s="4" t="s">
        <v>14</v>
      </c>
      <c r="D5132" s="35">
        <v>5177</v>
      </c>
      <c r="E5132" s="4" t="s">
        <v>8611</v>
      </c>
      <c r="F5132" s="5">
        <v>39814</v>
      </c>
      <c r="G5132" s="5">
        <v>40543</v>
      </c>
      <c r="H5132" s="4" t="s">
        <v>40</v>
      </c>
      <c r="I5132" s="6">
        <v>20001.7</v>
      </c>
      <c r="J5132" s="6">
        <v>20001.7</v>
      </c>
      <c r="K5132" s="38" t="s">
        <v>8348</v>
      </c>
      <c r="L5132" s="119"/>
      <c r="M5132" s="3"/>
    </row>
    <row r="5133" spans="1:13" s="4" customFormat="1" ht="14.25" customHeight="1" x14ac:dyDescent="0.25">
      <c r="A5133" s="4" t="s">
        <v>8612</v>
      </c>
      <c r="B5133" s="4" t="s">
        <v>38</v>
      </c>
      <c r="C5133" s="4" t="s">
        <v>14</v>
      </c>
      <c r="D5133" s="35">
        <v>5178</v>
      </c>
      <c r="E5133" s="4" t="s">
        <v>8613</v>
      </c>
      <c r="F5133" s="5">
        <v>40057</v>
      </c>
      <c r="G5133" s="5">
        <v>40178</v>
      </c>
      <c r="H5133" s="4" t="s">
        <v>40</v>
      </c>
      <c r="I5133" s="6">
        <v>1511.79</v>
      </c>
      <c r="J5133" s="6">
        <v>1511.79</v>
      </c>
      <c r="K5133" s="38" t="s">
        <v>8348</v>
      </c>
      <c r="L5133" s="119"/>
      <c r="M5133" s="3"/>
    </row>
    <row r="5134" spans="1:13" s="4" customFormat="1" ht="14.25" customHeight="1" x14ac:dyDescent="0.25">
      <c r="A5134" s="4" t="s">
        <v>8614</v>
      </c>
      <c r="B5134" s="4" t="s">
        <v>38</v>
      </c>
      <c r="C5134" s="4" t="s">
        <v>14</v>
      </c>
      <c r="D5134" s="35">
        <v>5179</v>
      </c>
      <c r="E5134" s="4" t="s">
        <v>8615</v>
      </c>
      <c r="F5134" s="5">
        <v>39814</v>
      </c>
      <c r="G5134" s="5">
        <v>40543</v>
      </c>
      <c r="H5134" s="4" t="s">
        <v>40</v>
      </c>
      <c r="I5134" s="6">
        <v>94704.63</v>
      </c>
      <c r="J5134" s="6">
        <v>94704.63</v>
      </c>
      <c r="K5134" s="38" t="s">
        <v>8348</v>
      </c>
      <c r="L5134" s="119"/>
      <c r="M5134" s="3"/>
    </row>
    <row r="5135" spans="1:13" s="4" customFormat="1" ht="14.25" customHeight="1" x14ac:dyDescent="0.25">
      <c r="A5135" s="4" t="s">
        <v>8616</v>
      </c>
      <c r="B5135" s="4" t="s">
        <v>38</v>
      </c>
      <c r="C5135" s="4" t="s">
        <v>14</v>
      </c>
      <c r="D5135" s="35">
        <v>5180</v>
      </c>
      <c r="E5135" s="4" t="s">
        <v>8617</v>
      </c>
      <c r="F5135" s="5">
        <v>39934</v>
      </c>
      <c r="G5135" s="5">
        <v>39964</v>
      </c>
      <c r="H5135" s="4" t="s">
        <v>40</v>
      </c>
      <c r="I5135" s="6">
        <v>1250</v>
      </c>
      <c r="J5135" s="6">
        <v>1250</v>
      </c>
      <c r="K5135" s="38" t="s">
        <v>8348</v>
      </c>
      <c r="L5135" s="119"/>
      <c r="M5135" s="3"/>
    </row>
    <row r="5136" spans="1:13" s="4" customFormat="1" ht="14.25" customHeight="1" x14ac:dyDescent="0.25">
      <c r="A5136" s="4" t="s">
        <v>8618</v>
      </c>
      <c r="B5136" s="4" t="s">
        <v>38</v>
      </c>
      <c r="C5136" s="4" t="s">
        <v>14</v>
      </c>
      <c r="D5136" s="35">
        <v>5181</v>
      </c>
      <c r="E5136" s="4" t="s">
        <v>8619</v>
      </c>
      <c r="F5136" s="5">
        <v>40057</v>
      </c>
      <c r="G5136" s="5">
        <v>40543</v>
      </c>
      <c r="H5136" s="4" t="s">
        <v>40</v>
      </c>
      <c r="I5136" s="6">
        <v>465.75</v>
      </c>
      <c r="J5136" s="6">
        <v>465.75</v>
      </c>
      <c r="K5136" s="38" t="s">
        <v>8348</v>
      </c>
      <c r="L5136" s="119"/>
      <c r="M5136" s="3"/>
    </row>
    <row r="5137" spans="1:13" s="4" customFormat="1" ht="14.25" customHeight="1" x14ac:dyDescent="0.25">
      <c r="A5137" s="4" t="s">
        <v>8620</v>
      </c>
      <c r="B5137" s="4" t="s">
        <v>38</v>
      </c>
      <c r="C5137" s="4" t="s">
        <v>14</v>
      </c>
      <c r="D5137" s="35">
        <v>5182</v>
      </c>
      <c r="E5137" s="4" t="s">
        <v>8621</v>
      </c>
      <c r="F5137" s="5">
        <v>39814</v>
      </c>
      <c r="G5137" s="5">
        <v>40178</v>
      </c>
      <c r="H5137" s="4" t="s">
        <v>40</v>
      </c>
      <c r="I5137" s="6">
        <v>8421.17</v>
      </c>
      <c r="J5137" s="6">
        <v>8421.17</v>
      </c>
      <c r="K5137" s="38" t="s">
        <v>8348</v>
      </c>
      <c r="L5137" s="119"/>
      <c r="M5137" s="3"/>
    </row>
    <row r="5138" spans="1:13" s="4" customFormat="1" ht="14.25" customHeight="1" x14ac:dyDescent="0.25">
      <c r="A5138" s="4" t="s">
        <v>8622</v>
      </c>
      <c r="B5138" s="4" t="s">
        <v>38</v>
      </c>
      <c r="C5138" s="4" t="s">
        <v>14</v>
      </c>
      <c r="D5138" s="35">
        <v>5183</v>
      </c>
      <c r="E5138" s="4" t="s">
        <v>8623</v>
      </c>
      <c r="F5138" s="5">
        <v>39814</v>
      </c>
      <c r="G5138" s="5">
        <v>40543</v>
      </c>
      <c r="H5138" s="4" t="s">
        <v>40</v>
      </c>
      <c r="I5138" s="6">
        <v>6141.68</v>
      </c>
      <c r="J5138" s="6">
        <v>6141.68</v>
      </c>
      <c r="K5138" s="38" t="s">
        <v>8348</v>
      </c>
      <c r="L5138" s="119"/>
      <c r="M5138" s="3"/>
    </row>
    <row r="5139" spans="1:13" s="4" customFormat="1" ht="14.25" customHeight="1" x14ac:dyDescent="0.25">
      <c r="A5139" s="4" t="s">
        <v>8624</v>
      </c>
      <c r="B5139" s="4" t="s">
        <v>38</v>
      </c>
      <c r="C5139" s="4" t="s">
        <v>14</v>
      </c>
      <c r="D5139" s="35">
        <v>5184</v>
      </c>
      <c r="E5139" s="4" t="s">
        <v>8625</v>
      </c>
      <c r="F5139" s="5">
        <v>40057</v>
      </c>
      <c r="G5139" s="5">
        <v>40543</v>
      </c>
      <c r="H5139" s="4" t="s">
        <v>40</v>
      </c>
      <c r="I5139" s="6">
        <v>395</v>
      </c>
      <c r="J5139" s="6">
        <v>395</v>
      </c>
      <c r="K5139" s="38" t="s">
        <v>8348</v>
      </c>
      <c r="L5139" s="119"/>
      <c r="M5139" s="3"/>
    </row>
    <row r="5140" spans="1:13" s="4" customFormat="1" ht="14.25" customHeight="1" x14ac:dyDescent="0.25">
      <c r="A5140" s="4" t="s">
        <v>8626</v>
      </c>
      <c r="B5140" s="4" t="s">
        <v>38</v>
      </c>
      <c r="C5140" s="4" t="s">
        <v>14</v>
      </c>
      <c r="D5140" s="35">
        <v>5185</v>
      </c>
      <c r="E5140" s="4" t="s">
        <v>8626</v>
      </c>
      <c r="F5140" s="5">
        <v>40057</v>
      </c>
      <c r="G5140" s="5">
        <v>40178</v>
      </c>
      <c r="H5140" s="4" t="s">
        <v>40</v>
      </c>
      <c r="I5140" s="6">
        <v>50.75</v>
      </c>
      <c r="J5140" s="6">
        <v>50.75</v>
      </c>
      <c r="K5140" s="38" t="s">
        <v>8348</v>
      </c>
      <c r="L5140" s="119"/>
      <c r="M5140" s="3"/>
    </row>
    <row r="5141" spans="1:13" s="4" customFormat="1" ht="14.25" customHeight="1" x14ac:dyDescent="0.25">
      <c r="A5141" s="4" t="s">
        <v>8627</v>
      </c>
      <c r="B5141" s="4" t="s">
        <v>38</v>
      </c>
      <c r="C5141" s="4" t="s">
        <v>14</v>
      </c>
      <c r="D5141" s="35">
        <v>5186</v>
      </c>
      <c r="E5141" s="4" t="s">
        <v>8628</v>
      </c>
      <c r="F5141" s="5">
        <v>39995</v>
      </c>
      <c r="G5141" s="5">
        <v>40025</v>
      </c>
      <c r="H5141" s="4" t="s">
        <v>40</v>
      </c>
      <c r="I5141" s="6">
        <v>688.5</v>
      </c>
      <c r="J5141" s="6">
        <v>688.5</v>
      </c>
      <c r="K5141" s="38" t="s">
        <v>8348</v>
      </c>
      <c r="L5141" s="119"/>
      <c r="M5141" s="3"/>
    </row>
    <row r="5142" spans="1:13" s="4" customFormat="1" ht="14.25" customHeight="1" x14ac:dyDescent="0.25">
      <c r="A5142" s="4" t="s">
        <v>8629</v>
      </c>
      <c r="B5142" s="4" t="s">
        <v>38</v>
      </c>
      <c r="C5142" s="4" t="s">
        <v>14</v>
      </c>
      <c r="D5142" s="35">
        <v>5187</v>
      </c>
      <c r="E5142" s="4" t="s">
        <v>8630</v>
      </c>
      <c r="F5142" s="5">
        <v>39814</v>
      </c>
      <c r="G5142" s="5">
        <v>40542</v>
      </c>
      <c r="H5142" s="4" t="s">
        <v>40</v>
      </c>
      <c r="I5142" s="6">
        <v>4178.7700000000004</v>
      </c>
      <c r="J5142" s="6">
        <v>4178.7700000000004</v>
      </c>
      <c r="K5142" s="38" t="s">
        <v>8348</v>
      </c>
      <c r="L5142" s="119"/>
      <c r="M5142" s="3"/>
    </row>
    <row r="5143" spans="1:13" s="4" customFormat="1" ht="14.25" customHeight="1" x14ac:dyDescent="0.25">
      <c r="A5143" s="4" t="s">
        <v>8631</v>
      </c>
      <c r="B5143" s="4" t="s">
        <v>38</v>
      </c>
      <c r="C5143" s="4" t="s">
        <v>14</v>
      </c>
      <c r="D5143" s="35">
        <v>5189</v>
      </c>
      <c r="E5143" s="4" t="s">
        <v>8632</v>
      </c>
      <c r="F5143" s="5">
        <v>40071</v>
      </c>
      <c r="G5143" s="5">
        <v>40437</v>
      </c>
      <c r="H5143" s="4" t="s">
        <v>40</v>
      </c>
      <c r="I5143" s="6">
        <v>5372.13</v>
      </c>
      <c r="J5143" s="6">
        <v>5372.13</v>
      </c>
      <c r="K5143" s="38" t="s">
        <v>8348</v>
      </c>
      <c r="L5143" s="119"/>
      <c r="M5143" s="3"/>
    </row>
    <row r="5144" spans="1:13" s="4" customFormat="1" ht="14.25" customHeight="1" x14ac:dyDescent="0.25">
      <c r="A5144" s="4" t="s">
        <v>8486</v>
      </c>
      <c r="B5144" s="4" t="s">
        <v>38</v>
      </c>
      <c r="C5144" s="4" t="s">
        <v>14</v>
      </c>
      <c r="D5144" s="35">
        <v>5190</v>
      </c>
      <c r="E5144" s="7" t="s">
        <v>8633</v>
      </c>
      <c r="F5144" s="5">
        <v>39814</v>
      </c>
      <c r="G5144" s="5">
        <v>40543</v>
      </c>
      <c r="H5144" s="4" t="s">
        <v>40</v>
      </c>
      <c r="I5144" s="6">
        <v>22434.560000000001</v>
      </c>
      <c r="J5144" s="6">
        <v>22434.560000000001</v>
      </c>
      <c r="K5144" s="38" t="s">
        <v>8348</v>
      </c>
      <c r="L5144" s="119"/>
      <c r="M5144" s="3"/>
    </row>
    <row r="5145" spans="1:13" s="4" customFormat="1" ht="14.25" customHeight="1" x14ac:dyDescent="0.25">
      <c r="A5145" s="4" t="s">
        <v>8634</v>
      </c>
      <c r="B5145" s="4" t="s">
        <v>38</v>
      </c>
      <c r="C5145" s="4" t="s">
        <v>14</v>
      </c>
      <c r="D5145" s="35">
        <v>5191</v>
      </c>
      <c r="E5145" s="4" t="s">
        <v>8635</v>
      </c>
      <c r="F5145" s="5">
        <v>39814</v>
      </c>
      <c r="G5145" s="5">
        <v>40056</v>
      </c>
      <c r="H5145" s="4" t="s">
        <v>40</v>
      </c>
      <c r="I5145" s="6">
        <v>1600</v>
      </c>
      <c r="J5145" s="6">
        <v>1600</v>
      </c>
      <c r="K5145" s="38" t="s">
        <v>8348</v>
      </c>
      <c r="L5145" s="119"/>
      <c r="M5145" s="3"/>
    </row>
    <row r="5146" spans="1:13" s="4" customFormat="1" ht="14.25" customHeight="1" x14ac:dyDescent="0.25">
      <c r="A5146" s="4" t="s">
        <v>8636</v>
      </c>
      <c r="B5146" s="4" t="s">
        <v>38</v>
      </c>
      <c r="C5146" s="4" t="s">
        <v>14</v>
      </c>
      <c r="D5146" s="35">
        <v>5193</v>
      </c>
      <c r="E5146" s="4" t="s">
        <v>8637</v>
      </c>
      <c r="F5146" s="5">
        <v>39995</v>
      </c>
      <c r="G5146" s="5">
        <v>40178</v>
      </c>
      <c r="H5146" s="4" t="s">
        <v>40</v>
      </c>
      <c r="I5146" s="6">
        <v>4626.7</v>
      </c>
      <c r="J5146" s="6">
        <v>4626.7</v>
      </c>
      <c r="K5146" s="38" t="s">
        <v>8348</v>
      </c>
      <c r="L5146" s="119"/>
      <c r="M5146" s="3"/>
    </row>
    <row r="5147" spans="1:13" s="4" customFormat="1" ht="14.25" customHeight="1" x14ac:dyDescent="0.25">
      <c r="A5147" s="4" t="s">
        <v>8638</v>
      </c>
      <c r="B5147" s="4" t="s">
        <v>38</v>
      </c>
      <c r="C5147" s="4" t="s">
        <v>14</v>
      </c>
      <c r="D5147" s="35">
        <v>5194</v>
      </c>
      <c r="E5147" s="4" t="s">
        <v>8639</v>
      </c>
      <c r="F5147" s="5">
        <v>39873</v>
      </c>
      <c r="G5147" s="5">
        <v>40543</v>
      </c>
      <c r="H5147" s="4" t="s">
        <v>40</v>
      </c>
      <c r="I5147" s="6">
        <v>1690</v>
      </c>
      <c r="J5147" s="6">
        <v>1690</v>
      </c>
      <c r="K5147" s="38" t="s">
        <v>8348</v>
      </c>
      <c r="L5147" s="119"/>
      <c r="M5147" s="3"/>
    </row>
    <row r="5148" spans="1:13" s="4" customFormat="1" ht="14.25" customHeight="1" x14ac:dyDescent="0.25">
      <c r="A5148" s="4" t="s">
        <v>5232</v>
      </c>
      <c r="B5148" s="4" t="s">
        <v>38</v>
      </c>
      <c r="C5148" s="4" t="s">
        <v>14</v>
      </c>
      <c r="D5148" s="35">
        <v>5195</v>
      </c>
      <c r="E5148" s="4" t="s">
        <v>8640</v>
      </c>
      <c r="F5148" s="5">
        <v>39814</v>
      </c>
      <c r="G5148" s="5">
        <v>40543</v>
      </c>
      <c r="H5148" s="4" t="s">
        <v>40</v>
      </c>
      <c r="I5148" s="6">
        <v>48065.83</v>
      </c>
      <c r="J5148" s="6">
        <v>48065.83</v>
      </c>
      <c r="K5148" s="38" t="s">
        <v>8348</v>
      </c>
      <c r="L5148" s="119"/>
      <c r="M5148" s="3"/>
    </row>
    <row r="5149" spans="1:13" s="4" customFormat="1" ht="14.25" customHeight="1" x14ac:dyDescent="0.25">
      <c r="A5149" s="4" t="s">
        <v>8641</v>
      </c>
      <c r="B5149" s="4" t="s">
        <v>38</v>
      </c>
      <c r="C5149" s="4" t="s">
        <v>14</v>
      </c>
      <c r="D5149" s="35">
        <v>5196</v>
      </c>
      <c r="E5149" s="4" t="s">
        <v>8642</v>
      </c>
      <c r="F5149" s="5">
        <v>39814</v>
      </c>
      <c r="G5149" s="5">
        <v>40543</v>
      </c>
      <c r="H5149" s="4" t="s">
        <v>40</v>
      </c>
      <c r="I5149" s="6">
        <v>22775.31</v>
      </c>
      <c r="J5149" s="6">
        <v>22775.31</v>
      </c>
      <c r="K5149" s="38" t="s">
        <v>8348</v>
      </c>
      <c r="L5149" s="119"/>
      <c r="M5149" s="3"/>
    </row>
    <row r="5150" spans="1:13" s="4" customFormat="1" ht="14.25" customHeight="1" x14ac:dyDescent="0.25">
      <c r="A5150" s="4" t="s">
        <v>8643</v>
      </c>
      <c r="B5150" s="4" t="s">
        <v>38</v>
      </c>
      <c r="C5150" s="4" t="s">
        <v>14</v>
      </c>
      <c r="D5150" s="35">
        <v>5197</v>
      </c>
      <c r="E5150" s="4" t="s">
        <v>8644</v>
      </c>
      <c r="F5150" s="5">
        <v>40057</v>
      </c>
      <c r="G5150" s="5">
        <v>40086</v>
      </c>
      <c r="H5150" s="4" t="s">
        <v>40</v>
      </c>
      <c r="I5150" s="6">
        <v>625</v>
      </c>
      <c r="J5150" s="6">
        <v>625</v>
      </c>
      <c r="K5150" s="38" t="s">
        <v>8348</v>
      </c>
      <c r="L5150" s="119"/>
      <c r="M5150" s="3"/>
    </row>
    <row r="5151" spans="1:13" s="4" customFormat="1" ht="14.25" customHeight="1" x14ac:dyDescent="0.25">
      <c r="A5151" s="4" t="s">
        <v>8645</v>
      </c>
      <c r="B5151" s="4" t="s">
        <v>38</v>
      </c>
      <c r="C5151" s="4" t="s">
        <v>14</v>
      </c>
      <c r="D5151" s="35">
        <v>5198</v>
      </c>
      <c r="E5151" s="4" t="s">
        <v>8646</v>
      </c>
      <c r="F5151" s="5">
        <v>40057</v>
      </c>
      <c r="G5151" s="5">
        <v>40178</v>
      </c>
      <c r="H5151" s="4" t="s">
        <v>40</v>
      </c>
      <c r="I5151" s="6">
        <v>101</v>
      </c>
      <c r="J5151" s="6">
        <v>101</v>
      </c>
      <c r="K5151" s="38" t="s">
        <v>8348</v>
      </c>
      <c r="L5151" s="119"/>
      <c r="M5151" s="3"/>
    </row>
    <row r="5152" spans="1:13" s="4" customFormat="1" ht="14.25" customHeight="1" x14ac:dyDescent="0.25">
      <c r="A5152" s="4" t="s">
        <v>8647</v>
      </c>
      <c r="B5152" s="4" t="s">
        <v>38</v>
      </c>
      <c r="C5152" s="4" t="s">
        <v>14</v>
      </c>
      <c r="D5152" s="35">
        <v>5199</v>
      </c>
      <c r="E5152" s="4" t="s">
        <v>8648</v>
      </c>
      <c r="F5152" s="5">
        <v>39873</v>
      </c>
      <c r="G5152" s="5">
        <v>39994</v>
      </c>
      <c r="H5152" s="4" t="s">
        <v>40</v>
      </c>
      <c r="I5152" s="6">
        <v>644.5</v>
      </c>
      <c r="J5152" s="6">
        <v>644.5</v>
      </c>
      <c r="K5152" s="38" t="s">
        <v>8348</v>
      </c>
      <c r="L5152" s="119"/>
      <c r="M5152" s="3"/>
    </row>
    <row r="5153" spans="1:13" s="4" customFormat="1" ht="14.25" customHeight="1" x14ac:dyDescent="0.25">
      <c r="A5153" s="4" t="s">
        <v>8649</v>
      </c>
      <c r="B5153" s="4" t="s">
        <v>38</v>
      </c>
      <c r="C5153" s="4" t="s">
        <v>14</v>
      </c>
      <c r="D5153" s="35">
        <v>5205</v>
      </c>
      <c r="E5153" s="4" t="s">
        <v>8650</v>
      </c>
      <c r="F5153" s="5">
        <v>39904</v>
      </c>
      <c r="G5153" s="5">
        <v>40298</v>
      </c>
      <c r="H5153" s="4" t="s">
        <v>40</v>
      </c>
      <c r="I5153" s="6">
        <v>3142.9</v>
      </c>
      <c r="J5153" s="6">
        <v>3142.9</v>
      </c>
      <c r="K5153" s="38" t="s">
        <v>8348</v>
      </c>
      <c r="L5153" s="119"/>
      <c r="M5153" s="3"/>
    </row>
    <row r="5154" spans="1:13" s="4" customFormat="1" ht="14.25" customHeight="1" x14ac:dyDescent="0.25">
      <c r="A5154" s="4" t="s">
        <v>8651</v>
      </c>
      <c r="B5154" s="4" t="s">
        <v>38</v>
      </c>
      <c r="C5154" s="4" t="s">
        <v>14</v>
      </c>
      <c r="D5154" s="35">
        <v>5206</v>
      </c>
      <c r="E5154" s="4" t="s">
        <v>8652</v>
      </c>
      <c r="F5154" s="5">
        <v>39934</v>
      </c>
      <c r="G5154" s="5">
        <v>39964</v>
      </c>
      <c r="H5154" s="4" t="s">
        <v>40</v>
      </c>
      <c r="I5154" s="6">
        <v>113.5</v>
      </c>
      <c r="J5154" s="6">
        <v>113.5</v>
      </c>
      <c r="K5154" s="38" t="s">
        <v>8348</v>
      </c>
      <c r="L5154" s="119"/>
      <c r="M5154" s="3"/>
    </row>
    <row r="5155" spans="1:13" s="4" customFormat="1" ht="14.25" customHeight="1" x14ac:dyDescent="0.25">
      <c r="A5155" s="4" t="s">
        <v>8653</v>
      </c>
      <c r="B5155" s="4" t="s">
        <v>38</v>
      </c>
      <c r="C5155" s="4" t="s">
        <v>14</v>
      </c>
      <c r="D5155" s="35">
        <v>5207</v>
      </c>
      <c r="E5155" s="4" t="s">
        <v>8654</v>
      </c>
      <c r="F5155" s="5">
        <v>39814</v>
      </c>
      <c r="G5155" s="5">
        <v>40178</v>
      </c>
      <c r="H5155" s="4" t="s">
        <v>40</v>
      </c>
      <c r="I5155" s="6">
        <v>4009.5</v>
      </c>
      <c r="J5155" s="6">
        <v>4009.5</v>
      </c>
      <c r="K5155" s="38" t="s">
        <v>8348</v>
      </c>
      <c r="L5155" s="119"/>
      <c r="M5155" s="3"/>
    </row>
    <row r="5156" spans="1:13" s="4" customFormat="1" ht="14.25" customHeight="1" x14ac:dyDescent="0.25">
      <c r="A5156" s="4" t="s">
        <v>8655</v>
      </c>
      <c r="B5156" s="4" t="s">
        <v>38</v>
      </c>
      <c r="C5156" s="4" t="s">
        <v>14</v>
      </c>
      <c r="D5156" s="35">
        <v>5208</v>
      </c>
      <c r="E5156" s="4" t="s">
        <v>8656</v>
      </c>
      <c r="F5156" s="5">
        <v>39814</v>
      </c>
      <c r="G5156" s="5">
        <v>40178</v>
      </c>
      <c r="H5156" s="4" t="s">
        <v>40</v>
      </c>
      <c r="I5156" s="6">
        <v>8219.48</v>
      </c>
      <c r="J5156" s="6">
        <v>8219.48</v>
      </c>
      <c r="K5156" s="38" t="s">
        <v>8348</v>
      </c>
      <c r="L5156" s="119"/>
      <c r="M5156" s="3"/>
    </row>
    <row r="5157" spans="1:13" s="4" customFormat="1" ht="14.25" customHeight="1" x14ac:dyDescent="0.25">
      <c r="A5157" s="4" t="s">
        <v>8657</v>
      </c>
      <c r="B5157" s="4" t="s">
        <v>38</v>
      </c>
      <c r="C5157" s="4" t="s">
        <v>14</v>
      </c>
      <c r="D5157" s="35">
        <v>5209</v>
      </c>
      <c r="E5157" s="4" t="s">
        <v>8658</v>
      </c>
      <c r="F5157" s="5">
        <v>39814</v>
      </c>
      <c r="G5157" s="5">
        <v>40543</v>
      </c>
      <c r="H5157" s="4" t="s">
        <v>40</v>
      </c>
      <c r="I5157" s="6">
        <v>4843.5</v>
      </c>
      <c r="J5157" s="6">
        <v>4843.5</v>
      </c>
      <c r="K5157" s="38" t="s">
        <v>8348</v>
      </c>
      <c r="L5157" s="119"/>
      <c r="M5157" s="3"/>
    </row>
    <row r="5158" spans="1:13" s="4" customFormat="1" ht="14.25" customHeight="1" x14ac:dyDescent="0.25">
      <c r="A5158" s="4" t="s">
        <v>8659</v>
      </c>
      <c r="B5158" s="4" t="s">
        <v>183</v>
      </c>
      <c r="C5158" s="4" t="s">
        <v>14</v>
      </c>
      <c r="D5158" s="35">
        <v>6882</v>
      </c>
      <c r="E5158" s="4" t="s">
        <v>8660</v>
      </c>
      <c r="F5158" s="5">
        <v>40389</v>
      </c>
      <c r="G5158" s="5">
        <v>40522</v>
      </c>
      <c r="H5158" s="4" t="s">
        <v>40</v>
      </c>
      <c r="I5158" s="6">
        <v>31437.5</v>
      </c>
      <c r="J5158" s="6">
        <v>15718.75</v>
      </c>
      <c r="K5158" s="38" t="s">
        <v>8348</v>
      </c>
      <c r="L5158" s="119"/>
      <c r="M5158" s="3"/>
    </row>
    <row r="5159" spans="1:13" s="4" customFormat="1" ht="14.25" customHeight="1" x14ac:dyDescent="0.25">
      <c r="A5159" s="4" t="s">
        <v>8663</v>
      </c>
      <c r="B5159" s="4" t="s">
        <v>183</v>
      </c>
      <c r="C5159" s="4" t="s">
        <v>14</v>
      </c>
      <c r="D5159" s="35">
        <v>6886</v>
      </c>
      <c r="E5159" s="4" t="s">
        <v>8664</v>
      </c>
      <c r="F5159" s="5">
        <v>40238</v>
      </c>
      <c r="G5159" s="5">
        <v>40639</v>
      </c>
      <c r="H5159" s="4" t="s">
        <v>40</v>
      </c>
      <c r="I5159" s="6">
        <v>3750</v>
      </c>
      <c r="J5159" s="6">
        <v>3750</v>
      </c>
      <c r="K5159" s="38" t="s">
        <v>8348</v>
      </c>
      <c r="L5159" s="119"/>
      <c r="M5159" s="3"/>
    </row>
    <row r="5160" spans="1:13" s="4" customFormat="1" ht="14.25" customHeight="1" x14ac:dyDescent="0.25">
      <c r="A5160" s="4" t="s">
        <v>8665</v>
      </c>
      <c r="B5160" s="4" t="s">
        <v>183</v>
      </c>
      <c r="C5160" s="4" t="s">
        <v>14</v>
      </c>
      <c r="D5160" s="35">
        <v>6888</v>
      </c>
      <c r="E5160" s="4" t="s">
        <v>8666</v>
      </c>
      <c r="F5160" s="5">
        <v>40179</v>
      </c>
      <c r="G5160" s="5">
        <v>40231</v>
      </c>
      <c r="H5160" s="4" t="s">
        <v>40</v>
      </c>
      <c r="I5160" s="6">
        <v>43761.599999999999</v>
      </c>
      <c r="J5160" s="6">
        <v>23401.7</v>
      </c>
      <c r="K5160" s="38" t="s">
        <v>8348</v>
      </c>
      <c r="L5160" s="119"/>
      <c r="M5160" s="3"/>
    </row>
    <row r="5161" spans="1:13" s="4" customFormat="1" ht="14.25" customHeight="1" x14ac:dyDescent="0.25">
      <c r="A5161" s="4" t="s">
        <v>8667</v>
      </c>
      <c r="B5161" s="4" t="s">
        <v>183</v>
      </c>
      <c r="C5161" s="4" t="s">
        <v>14</v>
      </c>
      <c r="D5161" s="35">
        <v>6889</v>
      </c>
      <c r="E5161" s="4" t="s">
        <v>8668</v>
      </c>
      <c r="F5161" s="5">
        <v>40389</v>
      </c>
      <c r="G5161" s="5">
        <v>40522</v>
      </c>
      <c r="H5161" s="4" t="s">
        <v>40</v>
      </c>
      <c r="I5161" s="6">
        <v>15000</v>
      </c>
      <c r="J5161" s="6">
        <v>11500</v>
      </c>
      <c r="K5161" s="38" t="s">
        <v>8348</v>
      </c>
      <c r="L5161" s="119"/>
      <c r="M5161" s="3"/>
    </row>
    <row r="5162" spans="1:13" s="4" customFormat="1" ht="14.25" customHeight="1" x14ac:dyDescent="0.25">
      <c r="A5162" s="4" t="s">
        <v>8669</v>
      </c>
      <c r="B5162" s="4" t="s">
        <v>38</v>
      </c>
      <c r="C5162" s="4" t="s">
        <v>14</v>
      </c>
      <c r="D5162" s="35">
        <v>6896</v>
      </c>
      <c r="E5162" s="4" t="s">
        <v>8670</v>
      </c>
      <c r="F5162" s="5">
        <v>40238</v>
      </c>
      <c r="G5162" s="5">
        <v>40450</v>
      </c>
      <c r="H5162" s="4" t="s">
        <v>40</v>
      </c>
      <c r="I5162" s="6">
        <v>6000</v>
      </c>
      <c r="J5162" s="6">
        <v>3000</v>
      </c>
      <c r="K5162" s="38" t="s">
        <v>8348</v>
      </c>
      <c r="L5162" s="119"/>
      <c r="M5162" s="3"/>
    </row>
    <row r="5163" spans="1:13" s="4" customFormat="1" ht="14.25" customHeight="1" x14ac:dyDescent="0.25">
      <c r="A5163" s="4" t="s">
        <v>8673</v>
      </c>
      <c r="B5163" s="4" t="s">
        <v>183</v>
      </c>
      <c r="C5163" s="4" t="s">
        <v>14</v>
      </c>
      <c r="D5163" s="35">
        <v>6900</v>
      </c>
      <c r="E5163" s="4" t="s">
        <v>8674</v>
      </c>
      <c r="F5163" s="5">
        <v>40164</v>
      </c>
      <c r="G5163" s="5">
        <v>40654</v>
      </c>
      <c r="H5163" s="4" t="s">
        <v>40</v>
      </c>
      <c r="I5163" s="6">
        <v>21852.959999999999</v>
      </c>
      <c r="J5163" s="6">
        <v>12051.48</v>
      </c>
      <c r="K5163" s="38" t="s">
        <v>8348</v>
      </c>
      <c r="L5163" s="119"/>
      <c r="M5163" s="3"/>
    </row>
    <row r="5164" spans="1:13" s="4" customFormat="1" ht="14.25" customHeight="1" x14ac:dyDescent="0.25">
      <c r="A5164" s="4" t="s">
        <v>8675</v>
      </c>
      <c r="B5164" s="4" t="s">
        <v>183</v>
      </c>
      <c r="C5164" s="4" t="s">
        <v>14</v>
      </c>
      <c r="D5164" s="35">
        <v>7454</v>
      </c>
      <c r="E5164" s="4" t="s">
        <v>8676</v>
      </c>
      <c r="F5164" s="5">
        <v>40207</v>
      </c>
      <c r="G5164" s="5">
        <v>40401</v>
      </c>
      <c r="H5164" s="4" t="s">
        <v>40</v>
      </c>
      <c r="I5164" s="6">
        <v>5000</v>
      </c>
      <c r="J5164" s="6">
        <v>5000</v>
      </c>
      <c r="K5164" s="38" t="s">
        <v>8348</v>
      </c>
      <c r="L5164" s="119"/>
      <c r="M5164" s="3"/>
    </row>
    <row r="5165" spans="1:13" s="4" customFormat="1" ht="14.25" customHeight="1" x14ac:dyDescent="0.25">
      <c r="A5165" s="4" t="s">
        <v>8677</v>
      </c>
      <c r="B5165" s="4" t="s">
        <v>183</v>
      </c>
      <c r="C5165" s="4" t="s">
        <v>14</v>
      </c>
      <c r="D5165" s="35">
        <v>7455</v>
      </c>
      <c r="E5165" s="4" t="s">
        <v>8678</v>
      </c>
      <c r="F5165" s="5">
        <v>40293</v>
      </c>
      <c r="G5165" s="5">
        <v>40344</v>
      </c>
      <c r="H5165" s="4" t="s">
        <v>40</v>
      </c>
      <c r="I5165" s="6">
        <v>45000.02</v>
      </c>
      <c r="J5165" s="6">
        <v>22500.01</v>
      </c>
      <c r="K5165" s="38" t="s">
        <v>8348</v>
      </c>
      <c r="L5165" s="119"/>
      <c r="M5165" s="3"/>
    </row>
    <row r="5166" spans="1:13" s="4" customFormat="1" ht="14.25" customHeight="1" x14ac:dyDescent="0.25">
      <c r="A5166" s="4" t="s">
        <v>8679</v>
      </c>
      <c r="B5166" s="4" t="s">
        <v>183</v>
      </c>
      <c r="C5166" s="4" t="s">
        <v>14</v>
      </c>
      <c r="D5166" s="35">
        <v>7649</v>
      </c>
      <c r="E5166" s="7" t="s">
        <v>8680</v>
      </c>
      <c r="F5166" s="5">
        <v>40296</v>
      </c>
      <c r="G5166" s="5">
        <v>40522</v>
      </c>
      <c r="H5166" s="4" t="s">
        <v>40</v>
      </c>
      <c r="I5166" s="6">
        <v>4000</v>
      </c>
      <c r="J5166" s="6">
        <v>4000</v>
      </c>
      <c r="K5166" s="38" t="s">
        <v>8348</v>
      </c>
      <c r="L5166" s="119"/>
      <c r="M5166" s="3"/>
    </row>
    <row r="5167" spans="1:13" s="4" customFormat="1" ht="14.25" customHeight="1" x14ac:dyDescent="0.25">
      <c r="A5167" s="4" t="s">
        <v>8681</v>
      </c>
      <c r="B5167" s="4" t="s">
        <v>183</v>
      </c>
      <c r="C5167" s="4" t="s">
        <v>14</v>
      </c>
      <c r="D5167" s="35">
        <v>7650</v>
      </c>
      <c r="E5167" s="4" t="s">
        <v>8682</v>
      </c>
      <c r="F5167" s="5">
        <v>40456</v>
      </c>
      <c r="G5167" s="5">
        <v>40543</v>
      </c>
      <c r="H5167" s="4" t="s">
        <v>40</v>
      </c>
      <c r="I5167" s="6">
        <v>18000</v>
      </c>
      <c r="J5167" s="6">
        <v>9000</v>
      </c>
      <c r="K5167" s="38" t="s">
        <v>8348</v>
      </c>
      <c r="L5167" s="119"/>
      <c r="M5167" s="3"/>
    </row>
    <row r="5168" spans="1:13" s="4" customFormat="1" ht="14.25" customHeight="1" x14ac:dyDescent="0.25">
      <c r="A5168" s="4" t="s">
        <v>8683</v>
      </c>
      <c r="B5168" s="4" t="s">
        <v>190</v>
      </c>
      <c r="C5168" s="4" t="s">
        <v>14</v>
      </c>
      <c r="D5168" s="35">
        <v>7651</v>
      </c>
      <c r="E5168" s="4" t="s">
        <v>8684</v>
      </c>
      <c r="F5168" s="5">
        <v>40535</v>
      </c>
      <c r="G5168" s="5">
        <v>40851</v>
      </c>
      <c r="H5168" s="4" t="s">
        <v>40</v>
      </c>
      <c r="I5168" s="6">
        <v>44688.22</v>
      </c>
      <c r="J5168" s="6">
        <v>22344.11</v>
      </c>
      <c r="K5168" s="38" t="s">
        <v>8348</v>
      </c>
      <c r="L5168" s="119"/>
      <c r="M5168" s="3"/>
    </row>
    <row r="5169" spans="1:13" s="4" customFormat="1" ht="14.25" customHeight="1" x14ac:dyDescent="0.25">
      <c r="A5169" s="4" t="s">
        <v>8689</v>
      </c>
      <c r="B5169" s="4" t="s">
        <v>38</v>
      </c>
      <c r="C5169" s="4" t="s">
        <v>14</v>
      </c>
      <c r="D5169" s="35">
        <v>7656</v>
      </c>
      <c r="E5169" s="4" t="s">
        <v>8690</v>
      </c>
      <c r="F5169" s="5">
        <v>40360</v>
      </c>
      <c r="G5169" s="5">
        <v>40389</v>
      </c>
      <c r="H5169" s="4" t="s">
        <v>40</v>
      </c>
      <c r="I5169" s="6">
        <v>2333.6</v>
      </c>
      <c r="J5169" s="6">
        <v>1166.8</v>
      </c>
      <c r="K5169" s="38" t="s">
        <v>8348</v>
      </c>
      <c r="L5169" s="119"/>
      <c r="M5169" s="3"/>
    </row>
    <row r="5170" spans="1:13" s="4" customFormat="1" ht="14.25" customHeight="1" x14ac:dyDescent="0.25">
      <c r="A5170" s="4" t="s">
        <v>8693</v>
      </c>
      <c r="B5170" s="4" t="s">
        <v>183</v>
      </c>
      <c r="C5170" s="4" t="s">
        <v>14</v>
      </c>
      <c r="D5170" s="35">
        <v>7658</v>
      </c>
      <c r="E5170" s="4" t="s">
        <v>8694</v>
      </c>
      <c r="F5170" s="5">
        <v>40532</v>
      </c>
      <c r="G5170" s="5">
        <v>40701</v>
      </c>
      <c r="H5170" s="4" t="s">
        <v>40</v>
      </c>
      <c r="I5170" s="6">
        <v>37029.599999999999</v>
      </c>
      <c r="J5170" s="6">
        <v>18514.8</v>
      </c>
      <c r="K5170" s="38" t="s">
        <v>8348</v>
      </c>
      <c r="L5170" s="119"/>
      <c r="M5170" s="3"/>
    </row>
    <row r="5171" spans="1:13" s="4" customFormat="1" ht="14.25" customHeight="1" x14ac:dyDescent="0.25">
      <c r="A5171" s="4" t="s">
        <v>8697</v>
      </c>
      <c r="B5171" s="4" t="s">
        <v>38</v>
      </c>
      <c r="C5171" s="4" t="s">
        <v>14</v>
      </c>
      <c r="D5171" s="35">
        <v>7674</v>
      </c>
      <c r="E5171" s="4" t="s">
        <v>8698</v>
      </c>
      <c r="F5171" s="5">
        <v>40179</v>
      </c>
      <c r="G5171" s="5">
        <v>40543</v>
      </c>
      <c r="H5171" s="4" t="s">
        <v>40</v>
      </c>
      <c r="I5171" s="6">
        <v>3474</v>
      </c>
      <c r="J5171" s="6">
        <v>3474</v>
      </c>
      <c r="K5171" s="38" t="s">
        <v>8348</v>
      </c>
      <c r="L5171" s="119"/>
      <c r="M5171" s="3"/>
    </row>
    <row r="5172" spans="1:13" s="4" customFormat="1" ht="14.25" customHeight="1" x14ac:dyDescent="0.25">
      <c r="A5172" s="4" t="s">
        <v>8699</v>
      </c>
      <c r="B5172" s="4" t="s">
        <v>38</v>
      </c>
      <c r="C5172" s="4" t="s">
        <v>14</v>
      </c>
      <c r="D5172" s="35">
        <v>7675</v>
      </c>
      <c r="E5172" s="4" t="s">
        <v>8700</v>
      </c>
      <c r="F5172" s="5">
        <v>40179</v>
      </c>
      <c r="G5172" s="5">
        <v>40543</v>
      </c>
      <c r="H5172" s="4" t="s">
        <v>40</v>
      </c>
      <c r="I5172" s="6">
        <v>890</v>
      </c>
      <c r="J5172" s="6">
        <v>890</v>
      </c>
      <c r="K5172" s="38" t="s">
        <v>8348</v>
      </c>
      <c r="L5172" s="119"/>
      <c r="M5172" s="3"/>
    </row>
    <row r="5173" spans="1:13" s="4" customFormat="1" ht="14.25" customHeight="1" x14ac:dyDescent="0.25">
      <c r="A5173" s="4" t="s">
        <v>8701</v>
      </c>
      <c r="B5173" s="4" t="s">
        <v>38</v>
      </c>
      <c r="C5173" s="4" t="s">
        <v>14</v>
      </c>
      <c r="D5173" s="35">
        <v>7676</v>
      </c>
      <c r="E5173" s="4" t="s">
        <v>8702</v>
      </c>
      <c r="F5173" s="5">
        <v>40179</v>
      </c>
      <c r="G5173" s="5">
        <v>40543</v>
      </c>
      <c r="H5173" s="4" t="s">
        <v>40</v>
      </c>
      <c r="I5173" s="6">
        <v>500</v>
      </c>
      <c r="J5173" s="6">
        <v>500</v>
      </c>
      <c r="K5173" s="38" t="s">
        <v>8348</v>
      </c>
      <c r="L5173" s="119"/>
      <c r="M5173" s="3"/>
    </row>
    <row r="5174" spans="1:13" s="4" customFormat="1" ht="14.25" customHeight="1" x14ac:dyDescent="0.25">
      <c r="A5174" s="4" t="s">
        <v>8703</v>
      </c>
      <c r="B5174" s="4" t="s">
        <v>38</v>
      </c>
      <c r="C5174" s="4" t="s">
        <v>14</v>
      </c>
      <c r="D5174" s="35">
        <v>7678</v>
      </c>
      <c r="E5174" s="4" t="s">
        <v>8704</v>
      </c>
      <c r="F5174" s="5">
        <v>40179</v>
      </c>
      <c r="G5174" s="5">
        <v>40543</v>
      </c>
      <c r="H5174" s="4" t="s">
        <v>40</v>
      </c>
      <c r="I5174" s="6">
        <v>600</v>
      </c>
      <c r="J5174" s="6">
        <v>600</v>
      </c>
      <c r="K5174" s="38" t="s">
        <v>8348</v>
      </c>
      <c r="L5174" s="119"/>
      <c r="M5174" s="3"/>
    </row>
    <row r="5175" spans="1:13" s="4" customFormat="1" ht="14.25" customHeight="1" x14ac:dyDescent="0.25">
      <c r="A5175" s="4" t="s">
        <v>8705</v>
      </c>
      <c r="B5175" s="4" t="s">
        <v>38</v>
      </c>
      <c r="C5175" s="4" t="s">
        <v>14</v>
      </c>
      <c r="D5175" s="35">
        <v>7679</v>
      </c>
      <c r="E5175" s="4" t="s">
        <v>8706</v>
      </c>
      <c r="F5175" s="5">
        <v>40179</v>
      </c>
      <c r="G5175" s="5">
        <v>40543</v>
      </c>
      <c r="H5175" s="4" t="s">
        <v>40</v>
      </c>
      <c r="I5175" s="6">
        <v>320</v>
      </c>
      <c r="J5175" s="6">
        <v>320</v>
      </c>
      <c r="K5175" s="38" t="s">
        <v>8348</v>
      </c>
      <c r="L5175" s="119"/>
      <c r="M5175" s="3"/>
    </row>
    <row r="5176" spans="1:13" s="4" customFormat="1" ht="14.25" customHeight="1" x14ac:dyDescent="0.25">
      <c r="A5176" s="4" t="s">
        <v>8707</v>
      </c>
      <c r="B5176" s="4" t="s">
        <v>38</v>
      </c>
      <c r="C5176" s="4" t="s">
        <v>14</v>
      </c>
      <c r="D5176" s="35">
        <v>7682</v>
      </c>
      <c r="E5176" s="4" t="s">
        <v>8708</v>
      </c>
      <c r="F5176" s="5">
        <v>40462</v>
      </c>
      <c r="G5176" s="5">
        <v>40532</v>
      </c>
      <c r="H5176" s="4" t="s">
        <v>40</v>
      </c>
      <c r="I5176" s="6">
        <v>2427.19</v>
      </c>
      <c r="J5176" s="6">
        <v>2427.19</v>
      </c>
      <c r="K5176" s="38" t="s">
        <v>8348</v>
      </c>
      <c r="L5176" s="119"/>
      <c r="M5176" s="3"/>
    </row>
    <row r="5177" spans="1:13" s="4" customFormat="1" ht="14.25" customHeight="1" x14ac:dyDescent="0.25">
      <c r="A5177" s="4" t="s">
        <v>8709</v>
      </c>
      <c r="B5177" s="4" t="s">
        <v>38</v>
      </c>
      <c r="C5177" s="4" t="s">
        <v>14</v>
      </c>
      <c r="D5177" s="35">
        <v>7683</v>
      </c>
      <c r="E5177" s="4" t="s">
        <v>8710</v>
      </c>
      <c r="F5177" s="5">
        <v>40231</v>
      </c>
      <c r="G5177" s="5">
        <v>40485</v>
      </c>
      <c r="H5177" s="4" t="s">
        <v>40</v>
      </c>
      <c r="I5177" s="6">
        <v>2400</v>
      </c>
      <c r="J5177" s="6">
        <v>2400</v>
      </c>
      <c r="K5177" s="38" t="s">
        <v>8348</v>
      </c>
      <c r="L5177" s="119"/>
      <c r="M5177" s="3"/>
    </row>
    <row r="5178" spans="1:13" s="4" customFormat="1" ht="14.25" customHeight="1" x14ac:dyDescent="0.25">
      <c r="A5178" s="4" t="s">
        <v>8711</v>
      </c>
      <c r="B5178" s="4" t="s">
        <v>38</v>
      </c>
      <c r="C5178" s="4" t="s">
        <v>14</v>
      </c>
      <c r="D5178" s="35">
        <v>7684</v>
      </c>
      <c r="E5178" s="4" t="s">
        <v>8712</v>
      </c>
      <c r="F5178" s="5">
        <v>40480</v>
      </c>
      <c r="G5178" s="5">
        <v>40525</v>
      </c>
      <c r="H5178" s="4" t="s">
        <v>40</v>
      </c>
      <c r="I5178" s="6">
        <v>2085.6</v>
      </c>
      <c r="J5178" s="6">
        <v>2085.6</v>
      </c>
      <c r="K5178" s="38" t="s">
        <v>8348</v>
      </c>
      <c r="L5178" s="119"/>
      <c r="M5178" s="3"/>
    </row>
    <row r="5179" spans="1:13" s="4" customFormat="1" ht="14.25" customHeight="1" x14ac:dyDescent="0.25">
      <c r="A5179" s="4" t="s">
        <v>8713</v>
      </c>
      <c r="B5179" s="4" t="s">
        <v>38</v>
      </c>
      <c r="C5179" s="4" t="s">
        <v>14</v>
      </c>
      <c r="D5179" s="35">
        <v>7685</v>
      </c>
      <c r="E5179" s="4" t="s">
        <v>8714</v>
      </c>
      <c r="F5179" s="5">
        <v>40224</v>
      </c>
      <c r="G5179" s="5">
        <v>40224</v>
      </c>
      <c r="H5179" s="4" t="s">
        <v>40</v>
      </c>
      <c r="I5179" s="6">
        <v>1330.43</v>
      </c>
      <c r="J5179" s="6">
        <v>1330.43</v>
      </c>
      <c r="K5179" s="38" t="s">
        <v>8348</v>
      </c>
      <c r="L5179" s="119"/>
      <c r="M5179" s="3"/>
    </row>
    <row r="5180" spans="1:13" s="4" customFormat="1" ht="14.25" customHeight="1" x14ac:dyDescent="0.25">
      <c r="A5180" s="4" t="s">
        <v>8715</v>
      </c>
      <c r="B5180" s="4" t="s">
        <v>38</v>
      </c>
      <c r="C5180" s="4" t="s">
        <v>14</v>
      </c>
      <c r="D5180" s="35">
        <v>7686</v>
      </c>
      <c r="E5180" s="4" t="s">
        <v>8716</v>
      </c>
      <c r="F5180" s="5">
        <v>40330</v>
      </c>
      <c r="G5180" s="5">
        <v>40528</v>
      </c>
      <c r="H5180" s="4" t="s">
        <v>40</v>
      </c>
      <c r="I5180" s="6">
        <v>6450.96</v>
      </c>
      <c r="J5180" s="6">
        <v>6450.96</v>
      </c>
      <c r="K5180" s="38" t="s">
        <v>8348</v>
      </c>
      <c r="L5180" s="119"/>
      <c r="M5180" s="3"/>
    </row>
    <row r="5181" spans="1:13" s="4" customFormat="1" ht="14.25" customHeight="1" x14ac:dyDescent="0.25">
      <c r="A5181" s="4" t="s">
        <v>8717</v>
      </c>
      <c r="B5181" s="4" t="s">
        <v>38</v>
      </c>
      <c r="C5181" s="4" t="s">
        <v>14</v>
      </c>
      <c r="D5181" s="35">
        <v>7687</v>
      </c>
      <c r="E5181" s="4" t="s">
        <v>8718</v>
      </c>
      <c r="F5181" s="5">
        <v>40179</v>
      </c>
      <c r="G5181" s="5">
        <v>40543</v>
      </c>
      <c r="H5181" s="4" t="s">
        <v>40</v>
      </c>
      <c r="I5181" s="6">
        <v>27284</v>
      </c>
      <c r="J5181" s="6">
        <v>27284</v>
      </c>
      <c r="K5181" s="38" t="s">
        <v>8348</v>
      </c>
      <c r="L5181" s="119"/>
      <c r="M5181" s="3"/>
    </row>
    <row r="5182" spans="1:13" s="4" customFormat="1" ht="14.25" customHeight="1" x14ac:dyDescent="0.25">
      <c r="A5182" s="4" t="s">
        <v>8719</v>
      </c>
      <c r="B5182" s="4" t="s">
        <v>38</v>
      </c>
      <c r="C5182" s="4" t="s">
        <v>14</v>
      </c>
      <c r="D5182" s="35">
        <v>7688</v>
      </c>
      <c r="E5182" s="4" t="s">
        <v>8720</v>
      </c>
      <c r="F5182" s="5">
        <v>40235</v>
      </c>
      <c r="G5182" s="5">
        <v>40351</v>
      </c>
      <c r="H5182" s="4" t="s">
        <v>40</v>
      </c>
      <c r="I5182" s="6">
        <v>2590</v>
      </c>
      <c r="J5182" s="6">
        <v>2590</v>
      </c>
      <c r="K5182" s="38" t="s">
        <v>8348</v>
      </c>
      <c r="L5182" s="119"/>
      <c r="M5182" s="3"/>
    </row>
    <row r="5183" spans="1:13" s="4" customFormat="1" ht="14.25" customHeight="1" x14ac:dyDescent="0.25">
      <c r="A5183" s="4" t="s">
        <v>8721</v>
      </c>
      <c r="B5183" s="4" t="s">
        <v>38</v>
      </c>
      <c r="C5183" s="4" t="s">
        <v>14</v>
      </c>
      <c r="D5183" s="35">
        <v>7689</v>
      </c>
      <c r="E5183" s="4" t="s">
        <v>8722</v>
      </c>
      <c r="F5183" s="5">
        <v>40487</v>
      </c>
      <c r="G5183" s="5">
        <v>40543</v>
      </c>
      <c r="H5183" s="4" t="s">
        <v>40</v>
      </c>
      <c r="I5183" s="6">
        <v>1478.75</v>
      </c>
      <c r="J5183" s="6">
        <v>1478.75</v>
      </c>
      <c r="K5183" s="38" t="s">
        <v>8348</v>
      </c>
      <c r="L5183" s="119"/>
      <c r="M5183" s="3"/>
    </row>
    <row r="5184" spans="1:13" s="4" customFormat="1" ht="14.25" customHeight="1" x14ac:dyDescent="0.25">
      <c r="A5184" s="4" t="s">
        <v>8723</v>
      </c>
      <c r="B5184" s="4" t="s">
        <v>38</v>
      </c>
      <c r="C5184" s="4" t="s">
        <v>14</v>
      </c>
      <c r="D5184" s="35">
        <v>7690</v>
      </c>
      <c r="E5184" s="4" t="s">
        <v>8724</v>
      </c>
      <c r="F5184" s="5">
        <v>40238</v>
      </c>
      <c r="G5184" s="5">
        <v>40375</v>
      </c>
      <c r="H5184" s="4" t="s">
        <v>40</v>
      </c>
      <c r="I5184" s="6">
        <v>637.5</v>
      </c>
      <c r="J5184" s="6">
        <v>637.5</v>
      </c>
      <c r="K5184" s="38" t="s">
        <v>8348</v>
      </c>
      <c r="L5184" s="119"/>
      <c r="M5184" s="3"/>
    </row>
    <row r="5185" spans="1:13" s="4" customFormat="1" ht="14.25" customHeight="1" x14ac:dyDescent="0.25">
      <c r="A5185" s="4" t="s">
        <v>8725</v>
      </c>
      <c r="B5185" s="4" t="s">
        <v>38</v>
      </c>
      <c r="C5185" s="4" t="s">
        <v>14</v>
      </c>
      <c r="D5185" s="35">
        <v>7691</v>
      </c>
      <c r="E5185" s="4" t="s">
        <v>8726</v>
      </c>
      <c r="F5185" s="5">
        <v>40483</v>
      </c>
      <c r="G5185" s="5">
        <v>40521</v>
      </c>
      <c r="H5185" s="4" t="s">
        <v>40</v>
      </c>
      <c r="I5185" s="6">
        <v>184</v>
      </c>
      <c r="J5185" s="6">
        <v>184</v>
      </c>
      <c r="K5185" s="38" t="s">
        <v>8348</v>
      </c>
      <c r="L5185" s="119"/>
      <c r="M5185" s="3"/>
    </row>
    <row r="5186" spans="1:13" s="4" customFormat="1" ht="14.25" customHeight="1" x14ac:dyDescent="0.25">
      <c r="A5186" s="4" t="s">
        <v>8727</v>
      </c>
      <c r="B5186" s="4" t="s">
        <v>38</v>
      </c>
      <c r="C5186" s="4" t="s">
        <v>14</v>
      </c>
      <c r="D5186" s="35">
        <v>7692</v>
      </c>
      <c r="E5186" s="4" t="s">
        <v>8728</v>
      </c>
      <c r="F5186" s="5">
        <v>40189</v>
      </c>
      <c r="G5186" s="5">
        <v>40189</v>
      </c>
      <c r="H5186" s="4" t="s">
        <v>40</v>
      </c>
      <c r="I5186" s="6">
        <v>410</v>
      </c>
      <c r="J5186" s="6">
        <v>410</v>
      </c>
      <c r="K5186" s="38" t="s">
        <v>8348</v>
      </c>
      <c r="L5186" s="119"/>
      <c r="M5186" s="3"/>
    </row>
    <row r="5187" spans="1:13" s="4" customFormat="1" ht="14.25" customHeight="1" x14ac:dyDescent="0.25">
      <c r="A5187" s="4" t="s">
        <v>8729</v>
      </c>
      <c r="B5187" s="4" t="s">
        <v>38</v>
      </c>
      <c r="C5187" s="4" t="s">
        <v>14</v>
      </c>
      <c r="D5187" s="35">
        <v>7693</v>
      </c>
      <c r="E5187" s="4" t="s">
        <v>8730</v>
      </c>
      <c r="F5187" s="5">
        <v>40526</v>
      </c>
      <c r="G5187" s="5">
        <v>40543</v>
      </c>
      <c r="H5187" s="4" t="s">
        <v>40</v>
      </c>
      <c r="I5187" s="6">
        <v>4036.56</v>
      </c>
      <c r="J5187" s="6">
        <v>4036.56</v>
      </c>
      <c r="K5187" s="38" t="s">
        <v>8348</v>
      </c>
      <c r="L5187" s="119"/>
      <c r="M5187" s="3"/>
    </row>
    <row r="5188" spans="1:13" s="4" customFormat="1" ht="14.25" customHeight="1" x14ac:dyDescent="0.25">
      <c r="A5188" s="4" t="s">
        <v>8731</v>
      </c>
      <c r="B5188" s="4" t="s">
        <v>38</v>
      </c>
      <c r="C5188" s="4" t="s">
        <v>14</v>
      </c>
      <c r="D5188" s="35">
        <v>7694</v>
      </c>
      <c r="E5188" s="4" t="s">
        <v>8732</v>
      </c>
      <c r="F5188" s="5">
        <v>40246</v>
      </c>
      <c r="G5188" s="5">
        <v>40535</v>
      </c>
      <c r="H5188" s="4" t="s">
        <v>40</v>
      </c>
      <c r="I5188" s="6">
        <v>2173</v>
      </c>
      <c r="J5188" s="6">
        <v>2173</v>
      </c>
      <c r="K5188" s="38" t="s">
        <v>8348</v>
      </c>
      <c r="L5188" s="119"/>
      <c r="M5188" s="3"/>
    </row>
    <row r="5189" spans="1:13" s="4" customFormat="1" ht="14.25" customHeight="1" x14ac:dyDescent="0.25">
      <c r="A5189" s="4" t="s">
        <v>8733</v>
      </c>
      <c r="B5189" s="4" t="s">
        <v>38</v>
      </c>
      <c r="C5189" s="4" t="s">
        <v>14</v>
      </c>
      <c r="D5189" s="35">
        <v>7695</v>
      </c>
      <c r="E5189" s="4" t="s">
        <v>8734</v>
      </c>
      <c r="F5189" s="5">
        <v>40422</v>
      </c>
      <c r="G5189" s="5">
        <v>40534</v>
      </c>
      <c r="H5189" s="4" t="s">
        <v>40</v>
      </c>
      <c r="I5189" s="6">
        <v>7500</v>
      </c>
      <c r="J5189" s="6">
        <v>7500</v>
      </c>
      <c r="K5189" s="38" t="s">
        <v>8348</v>
      </c>
      <c r="L5189" s="119"/>
      <c r="M5189" s="3"/>
    </row>
    <row r="5190" spans="1:13" s="4" customFormat="1" ht="14.25" customHeight="1" x14ac:dyDescent="0.25">
      <c r="A5190" s="4" t="s">
        <v>8735</v>
      </c>
      <c r="B5190" s="4" t="s">
        <v>38</v>
      </c>
      <c r="C5190" s="4" t="s">
        <v>14</v>
      </c>
      <c r="D5190" s="35">
        <v>7696</v>
      </c>
      <c r="E5190" s="7" t="s">
        <v>8736</v>
      </c>
      <c r="F5190" s="5">
        <v>40513</v>
      </c>
      <c r="G5190" s="5">
        <v>40543</v>
      </c>
      <c r="H5190" s="4" t="s">
        <v>40</v>
      </c>
      <c r="I5190" s="6">
        <v>6587.8</v>
      </c>
      <c r="J5190" s="6">
        <v>6587.8</v>
      </c>
      <c r="K5190" s="38" t="s">
        <v>8348</v>
      </c>
      <c r="L5190" s="119"/>
      <c r="M5190" s="3"/>
    </row>
    <row r="5191" spans="1:13" s="4" customFormat="1" ht="14.25" customHeight="1" x14ac:dyDescent="0.25">
      <c r="A5191" s="4" t="s">
        <v>8737</v>
      </c>
      <c r="B5191" s="4" t="s">
        <v>190</v>
      </c>
      <c r="C5191" s="4" t="s">
        <v>14</v>
      </c>
      <c r="D5191" s="35">
        <v>9140</v>
      </c>
      <c r="E5191" s="4" t="s">
        <v>8738</v>
      </c>
      <c r="F5191" s="5">
        <v>40568</v>
      </c>
      <c r="G5191" s="5">
        <v>40737</v>
      </c>
      <c r="H5191" s="4" t="s">
        <v>40</v>
      </c>
      <c r="I5191" s="6">
        <v>6000</v>
      </c>
      <c r="J5191" s="6">
        <v>6000</v>
      </c>
      <c r="K5191" s="38" t="s">
        <v>8348</v>
      </c>
      <c r="L5191" s="119"/>
      <c r="M5191" s="3"/>
    </row>
    <row r="5192" spans="1:13" s="4" customFormat="1" ht="14.25" customHeight="1" x14ac:dyDescent="0.25">
      <c r="A5192" s="4" t="s">
        <v>8739</v>
      </c>
      <c r="B5192" s="4" t="s">
        <v>190</v>
      </c>
      <c r="C5192" s="4" t="s">
        <v>14</v>
      </c>
      <c r="D5192" s="35">
        <v>9141</v>
      </c>
      <c r="E5192" s="4" t="s">
        <v>8740</v>
      </c>
      <c r="F5192" s="5">
        <v>40890</v>
      </c>
      <c r="G5192" s="5">
        <v>41052</v>
      </c>
      <c r="H5192" s="4" t="s">
        <v>40</v>
      </c>
      <c r="I5192" s="6">
        <v>30393.69</v>
      </c>
      <c r="J5192" s="6">
        <v>14162.63</v>
      </c>
      <c r="K5192" s="38" t="s">
        <v>8348</v>
      </c>
      <c r="L5192" s="119"/>
      <c r="M5192" s="3"/>
    </row>
    <row r="5193" spans="1:13" s="4" customFormat="1" ht="14.25" customHeight="1" x14ac:dyDescent="0.25">
      <c r="A5193" s="4" t="s">
        <v>8741</v>
      </c>
      <c r="B5193" s="4" t="s">
        <v>190</v>
      </c>
      <c r="C5193" s="4" t="s">
        <v>14</v>
      </c>
      <c r="D5193" s="35">
        <v>9142</v>
      </c>
      <c r="E5193" s="4" t="s">
        <v>8742</v>
      </c>
      <c r="F5193" s="5">
        <v>40506</v>
      </c>
      <c r="G5193" s="5">
        <v>41026</v>
      </c>
      <c r="H5193" s="4" t="s">
        <v>40</v>
      </c>
      <c r="I5193" s="6">
        <v>7400</v>
      </c>
      <c r="J5193" s="6">
        <v>7400</v>
      </c>
      <c r="K5193" s="38" t="s">
        <v>8348</v>
      </c>
      <c r="L5193" s="119"/>
      <c r="M5193" s="3"/>
    </row>
    <row r="5194" spans="1:13" s="4" customFormat="1" ht="14.25" customHeight="1" x14ac:dyDescent="0.25">
      <c r="A5194" s="4" t="s">
        <v>8743</v>
      </c>
      <c r="B5194" s="4" t="s">
        <v>190</v>
      </c>
      <c r="C5194" s="4" t="s">
        <v>14</v>
      </c>
      <c r="D5194" s="35">
        <v>9143</v>
      </c>
      <c r="E5194" s="4" t="s">
        <v>8744</v>
      </c>
      <c r="F5194" s="5">
        <v>40660</v>
      </c>
      <c r="G5194" s="5">
        <v>40862</v>
      </c>
      <c r="H5194" s="4" t="s">
        <v>40</v>
      </c>
      <c r="I5194" s="6">
        <v>8000</v>
      </c>
      <c r="J5194" s="6">
        <v>8000</v>
      </c>
      <c r="K5194" s="38" t="s">
        <v>8348</v>
      </c>
      <c r="L5194" s="119"/>
      <c r="M5194" s="3"/>
    </row>
    <row r="5195" spans="1:13" s="4" customFormat="1" ht="14.25" customHeight="1" x14ac:dyDescent="0.25">
      <c r="A5195" s="4" t="s">
        <v>8745</v>
      </c>
      <c r="B5195" s="4" t="s">
        <v>190</v>
      </c>
      <c r="C5195" s="4" t="s">
        <v>14</v>
      </c>
      <c r="D5195" s="35">
        <v>9144</v>
      </c>
      <c r="E5195" s="4" t="s">
        <v>8746</v>
      </c>
      <c r="F5195" s="5">
        <v>40597</v>
      </c>
      <c r="G5195" s="5">
        <v>40679</v>
      </c>
      <c r="H5195" s="4" t="s">
        <v>40</v>
      </c>
      <c r="I5195" s="6">
        <v>9925</v>
      </c>
      <c r="J5195" s="6">
        <v>4000</v>
      </c>
      <c r="K5195" s="38" t="s">
        <v>8348</v>
      </c>
      <c r="L5195" s="119"/>
      <c r="M5195" s="3"/>
    </row>
    <row r="5196" spans="1:13" s="4" customFormat="1" ht="14.25" customHeight="1" x14ac:dyDescent="0.25">
      <c r="A5196" s="4" t="s">
        <v>8747</v>
      </c>
      <c r="B5196" s="4" t="s">
        <v>183</v>
      </c>
      <c r="C5196" s="4" t="s">
        <v>14</v>
      </c>
      <c r="D5196" s="35">
        <v>9145</v>
      </c>
      <c r="E5196" s="4" t="s">
        <v>8748</v>
      </c>
      <c r="F5196" s="5">
        <v>40688</v>
      </c>
      <c r="G5196" s="5">
        <v>40908</v>
      </c>
      <c r="H5196" s="4" t="s">
        <v>40</v>
      </c>
      <c r="I5196" s="6">
        <v>3600</v>
      </c>
      <c r="J5196" s="6">
        <v>3600</v>
      </c>
      <c r="K5196" s="38" t="s">
        <v>8348</v>
      </c>
      <c r="L5196" s="119"/>
      <c r="M5196" s="3"/>
    </row>
    <row r="5197" spans="1:13" s="4" customFormat="1" ht="14.25" customHeight="1" x14ac:dyDescent="0.25">
      <c r="A5197" s="4" t="s">
        <v>8749</v>
      </c>
      <c r="B5197" s="4" t="s">
        <v>183</v>
      </c>
      <c r="C5197" s="4" t="s">
        <v>14</v>
      </c>
      <c r="D5197" s="35">
        <v>9146</v>
      </c>
      <c r="E5197" s="4" t="s">
        <v>8750</v>
      </c>
      <c r="F5197" s="5">
        <v>40553</v>
      </c>
      <c r="G5197" s="5">
        <v>40774</v>
      </c>
      <c r="H5197" s="4" t="s">
        <v>40</v>
      </c>
      <c r="I5197" s="6">
        <v>14400</v>
      </c>
      <c r="J5197" s="6">
        <v>14400</v>
      </c>
      <c r="K5197" s="38" t="s">
        <v>8348</v>
      </c>
      <c r="L5197" s="119"/>
      <c r="M5197" s="3"/>
    </row>
    <row r="5198" spans="1:13" s="4" customFormat="1" ht="14.25" customHeight="1" x14ac:dyDescent="0.25">
      <c r="A5198" s="4" t="s">
        <v>8751</v>
      </c>
      <c r="B5198" s="4" t="s">
        <v>183</v>
      </c>
      <c r="C5198" s="4" t="s">
        <v>14</v>
      </c>
      <c r="D5198" s="35">
        <v>9147</v>
      </c>
      <c r="E5198" s="4" t="s">
        <v>8752</v>
      </c>
      <c r="F5198" s="5">
        <v>40688</v>
      </c>
      <c r="G5198" s="5">
        <v>40842</v>
      </c>
      <c r="H5198" s="4" t="s">
        <v>40</v>
      </c>
      <c r="I5198" s="6">
        <v>20375</v>
      </c>
      <c r="J5198" s="6">
        <v>10000</v>
      </c>
      <c r="K5198" s="38" t="s">
        <v>8348</v>
      </c>
      <c r="L5198" s="119"/>
      <c r="M5198" s="3"/>
    </row>
    <row r="5199" spans="1:13" s="4" customFormat="1" ht="14.25" customHeight="1" x14ac:dyDescent="0.25">
      <c r="A5199" s="4" t="s">
        <v>8755</v>
      </c>
      <c r="B5199" s="4" t="s">
        <v>190</v>
      </c>
      <c r="C5199" s="4" t="s">
        <v>14</v>
      </c>
      <c r="D5199" s="35">
        <v>9149</v>
      </c>
      <c r="E5199" s="4" t="s">
        <v>8756</v>
      </c>
      <c r="F5199" s="5">
        <v>40737</v>
      </c>
      <c r="G5199" s="5">
        <v>40970</v>
      </c>
      <c r="H5199" s="4" t="s">
        <v>40</v>
      </c>
      <c r="I5199" s="6">
        <v>6000</v>
      </c>
      <c r="J5199" s="6">
        <v>6000</v>
      </c>
      <c r="K5199" s="38" t="s">
        <v>8348</v>
      </c>
      <c r="L5199" s="119"/>
      <c r="M5199" s="3"/>
    </row>
    <row r="5200" spans="1:13" s="4" customFormat="1" ht="14.25" customHeight="1" x14ac:dyDescent="0.25">
      <c r="A5200" s="4" t="s">
        <v>8759</v>
      </c>
      <c r="B5200" s="4" t="s">
        <v>183</v>
      </c>
      <c r="C5200" s="4" t="s">
        <v>14</v>
      </c>
      <c r="D5200" s="35">
        <v>9152</v>
      </c>
      <c r="E5200" s="4" t="s">
        <v>8760</v>
      </c>
      <c r="F5200" s="5">
        <v>40668</v>
      </c>
      <c r="G5200" s="5">
        <v>40900</v>
      </c>
      <c r="H5200" s="4" t="s">
        <v>40</v>
      </c>
      <c r="I5200" s="6">
        <v>8117.5</v>
      </c>
      <c r="J5200" s="6">
        <v>4250</v>
      </c>
      <c r="K5200" s="38" t="s">
        <v>8348</v>
      </c>
      <c r="L5200" s="119"/>
      <c r="M5200" s="3"/>
    </row>
    <row r="5201" spans="1:13" s="4" customFormat="1" ht="14.25" customHeight="1" x14ac:dyDescent="0.25">
      <c r="A5201" s="4" t="s">
        <v>8761</v>
      </c>
      <c r="B5201" s="4" t="s">
        <v>90</v>
      </c>
      <c r="C5201" s="4" t="s">
        <v>14</v>
      </c>
      <c r="D5201" s="35">
        <v>9153</v>
      </c>
      <c r="E5201" s="4" t="s">
        <v>8762</v>
      </c>
      <c r="F5201" s="5">
        <v>40668</v>
      </c>
      <c r="G5201" s="5">
        <v>40865</v>
      </c>
      <c r="H5201" s="4" t="s">
        <v>40</v>
      </c>
      <c r="I5201" s="6">
        <v>18775.240000000002</v>
      </c>
      <c r="J5201" s="6">
        <v>9389.1200000000008</v>
      </c>
      <c r="K5201" s="38" t="s">
        <v>8348</v>
      </c>
      <c r="L5201" s="119"/>
      <c r="M5201" s="3"/>
    </row>
    <row r="5202" spans="1:13" s="4" customFormat="1" ht="14.25" customHeight="1" x14ac:dyDescent="0.25">
      <c r="A5202" s="4" t="s">
        <v>8763</v>
      </c>
      <c r="B5202" s="4" t="s">
        <v>183</v>
      </c>
      <c r="C5202" s="4" t="s">
        <v>14</v>
      </c>
      <c r="D5202" s="35">
        <v>9154</v>
      </c>
      <c r="E5202" s="4" t="s">
        <v>8764</v>
      </c>
      <c r="F5202" s="5">
        <v>40668</v>
      </c>
      <c r="G5202" s="5">
        <v>40843</v>
      </c>
      <c r="H5202" s="4" t="s">
        <v>40</v>
      </c>
      <c r="I5202" s="6">
        <v>6000</v>
      </c>
      <c r="J5202" s="6">
        <v>6000</v>
      </c>
      <c r="K5202" s="38" t="s">
        <v>8348</v>
      </c>
      <c r="L5202" s="119"/>
      <c r="M5202" s="3"/>
    </row>
    <row r="5203" spans="1:13" s="4" customFormat="1" ht="14.25" customHeight="1" x14ac:dyDescent="0.25">
      <c r="A5203" s="4" t="s">
        <v>8765</v>
      </c>
      <c r="B5203" s="4" t="s">
        <v>183</v>
      </c>
      <c r="C5203" s="4" t="s">
        <v>14</v>
      </c>
      <c r="D5203" s="35">
        <v>9155</v>
      </c>
      <c r="E5203" s="4" t="s">
        <v>8766</v>
      </c>
      <c r="F5203" s="5">
        <v>40597</v>
      </c>
      <c r="G5203" s="5">
        <v>40862</v>
      </c>
      <c r="H5203" s="4" t="s">
        <v>40</v>
      </c>
      <c r="I5203" s="6">
        <v>6750.02</v>
      </c>
      <c r="J5203" s="6">
        <v>4125.01</v>
      </c>
      <c r="K5203" s="38" t="s">
        <v>8348</v>
      </c>
      <c r="L5203" s="119"/>
      <c r="M5203" s="3"/>
    </row>
    <row r="5204" spans="1:13" s="4" customFormat="1" ht="14.25" customHeight="1" x14ac:dyDescent="0.25">
      <c r="A5204" s="4" t="s">
        <v>8767</v>
      </c>
      <c r="B5204" s="4" t="s">
        <v>183</v>
      </c>
      <c r="C5204" s="4" t="s">
        <v>14</v>
      </c>
      <c r="D5204" s="35">
        <v>9156</v>
      </c>
      <c r="E5204" s="4" t="s">
        <v>8768</v>
      </c>
      <c r="F5204" s="5">
        <v>40814</v>
      </c>
      <c r="G5204" s="5">
        <v>41019</v>
      </c>
      <c r="H5204" s="4" t="s">
        <v>40</v>
      </c>
      <c r="I5204" s="6">
        <v>10000</v>
      </c>
      <c r="J5204" s="6">
        <v>10000</v>
      </c>
      <c r="K5204" s="38" t="s">
        <v>8348</v>
      </c>
      <c r="L5204" s="119"/>
      <c r="M5204" s="3"/>
    </row>
    <row r="5205" spans="1:13" s="4" customFormat="1" ht="14.25" customHeight="1" x14ac:dyDescent="0.25">
      <c r="A5205" s="4" t="s">
        <v>8769</v>
      </c>
      <c r="B5205" s="4" t="s">
        <v>183</v>
      </c>
      <c r="C5205" s="4" t="s">
        <v>14</v>
      </c>
      <c r="D5205" s="35">
        <v>9157</v>
      </c>
      <c r="E5205" s="4" t="s">
        <v>8770</v>
      </c>
      <c r="F5205" s="5">
        <v>40737</v>
      </c>
      <c r="G5205" s="5">
        <v>41047</v>
      </c>
      <c r="H5205" s="4" t="s">
        <v>40</v>
      </c>
      <c r="I5205" s="6">
        <v>69999.8</v>
      </c>
      <c r="J5205" s="6">
        <v>35000</v>
      </c>
      <c r="K5205" s="38" t="s">
        <v>8348</v>
      </c>
      <c r="L5205" s="119"/>
      <c r="M5205" s="3"/>
    </row>
    <row r="5206" spans="1:13" s="4" customFormat="1" ht="14.25" customHeight="1" x14ac:dyDescent="0.25">
      <c r="A5206" s="4" t="s">
        <v>8773</v>
      </c>
      <c r="B5206" s="4" t="s">
        <v>183</v>
      </c>
      <c r="C5206" s="4" t="s">
        <v>14</v>
      </c>
      <c r="D5206" s="35">
        <v>9159</v>
      </c>
      <c r="E5206" s="7" t="s">
        <v>8774</v>
      </c>
      <c r="F5206" s="5">
        <v>40688</v>
      </c>
      <c r="G5206" s="5">
        <v>40890</v>
      </c>
      <c r="H5206" s="4" t="s">
        <v>40</v>
      </c>
      <c r="I5206" s="6">
        <v>2600</v>
      </c>
      <c r="J5206" s="6">
        <v>2600</v>
      </c>
      <c r="K5206" s="38" t="s">
        <v>8348</v>
      </c>
      <c r="L5206" s="119"/>
      <c r="M5206" s="3"/>
    </row>
    <row r="5207" spans="1:13" s="4" customFormat="1" ht="14.25" customHeight="1" x14ac:dyDescent="0.25">
      <c r="A5207" s="4" t="s">
        <v>8775</v>
      </c>
      <c r="B5207" s="4" t="s">
        <v>183</v>
      </c>
      <c r="C5207" s="4" t="s">
        <v>14</v>
      </c>
      <c r="D5207" s="35">
        <v>9160</v>
      </c>
      <c r="E5207" s="4" t="s">
        <v>8776</v>
      </c>
      <c r="F5207" s="5">
        <v>40814</v>
      </c>
      <c r="G5207" s="5">
        <v>41019</v>
      </c>
      <c r="H5207" s="4" t="s">
        <v>40</v>
      </c>
      <c r="I5207" s="6">
        <v>4625</v>
      </c>
      <c r="J5207" s="6">
        <v>4625</v>
      </c>
      <c r="K5207" s="38" t="s">
        <v>8348</v>
      </c>
      <c r="L5207" s="119"/>
      <c r="M5207" s="3"/>
    </row>
    <row r="5208" spans="1:13" s="4" customFormat="1" ht="14.25" customHeight="1" x14ac:dyDescent="0.25">
      <c r="A5208" s="4" t="s">
        <v>8777</v>
      </c>
      <c r="B5208" s="4" t="s">
        <v>183</v>
      </c>
      <c r="C5208" s="4" t="s">
        <v>14</v>
      </c>
      <c r="D5208" s="35">
        <v>9161</v>
      </c>
      <c r="E5208" s="4" t="s">
        <v>8778</v>
      </c>
      <c r="F5208" s="5">
        <v>40688</v>
      </c>
      <c r="G5208" s="5">
        <v>40735</v>
      </c>
      <c r="H5208" s="4" t="s">
        <v>40</v>
      </c>
      <c r="I5208" s="6">
        <v>3600</v>
      </c>
      <c r="J5208" s="6">
        <v>3600</v>
      </c>
      <c r="K5208" s="38" t="s">
        <v>8348</v>
      </c>
      <c r="L5208" s="119"/>
      <c r="M5208" s="3"/>
    </row>
    <row r="5209" spans="1:13" s="4" customFormat="1" ht="14.25" customHeight="1" x14ac:dyDescent="0.25">
      <c r="A5209" s="4" t="s">
        <v>8779</v>
      </c>
      <c r="B5209" s="4" t="s">
        <v>183</v>
      </c>
      <c r="C5209" s="4" t="s">
        <v>14</v>
      </c>
      <c r="D5209" s="35">
        <v>9162</v>
      </c>
      <c r="E5209" s="4" t="s">
        <v>8780</v>
      </c>
      <c r="F5209" s="5">
        <v>40737</v>
      </c>
      <c r="G5209" s="5">
        <v>40939</v>
      </c>
      <c r="H5209" s="4" t="s">
        <v>40</v>
      </c>
      <c r="I5209" s="6">
        <v>4500</v>
      </c>
      <c r="J5209" s="6">
        <v>4500</v>
      </c>
      <c r="K5209" s="38" t="s">
        <v>8348</v>
      </c>
      <c r="L5209" s="119"/>
      <c r="M5209" s="3"/>
    </row>
    <row r="5210" spans="1:13" s="4" customFormat="1" ht="14.25" customHeight="1" x14ac:dyDescent="0.25">
      <c r="A5210" s="4" t="s">
        <v>8783</v>
      </c>
      <c r="B5210" s="4" t="s">
        <v>38</v>
      </c>
      <c r="C5210" s="4" t="s">
        <v>14</v>
      </c>
      <c r="D5210" s="35">
        <v>9164</v>
      </c>
      <c r="E5210" s="4" t="s">
        <v>8784</v>
      </c>
      <c r="F5210" s="5">
        <v>40492</v>
      </c>
      <c r="G5210" s="5">
        <v>40672</v>
      </c>
      <c r="H5210" s="4" t="s">
        <v>40</v>
      </c>
      <c r="I5210" s="6">
        <v>13435.58</v>
      </c>
      <c r="J5210" s="6">
        <v>4898.3900000000003</v>
      </c>
      <c r="K5210" s="38" t="s">
        <v>8348</v>
      </c>
      <c r="L5210" s="119"/>
      <c r="M5210" s="3"/>
    </row>
    <row r="5211" spans="1:13" s="4" customFormat="1" ht="14.25" customHeight="1" x14ac:dyDescent="0.25">
      <c r="A5211" s="4" t="s">
        <v>8785</v>
      </c>
      <c r="B5211" s="4" t="s">
        <v>38</v>
      </c>
      <c r="C5211" s="4" t="s">
        <v>14</v>
      </c>
      <c r="D5211" s="35">
        <v>9165</v>
      </c>
      <c r="E5211" s="4" t="s">
        <v>8786</v>
      </c>
      <c r="F5211" s="5">
        <v>40544</v>
      </c>
      <c r="G5211" s="5">
        <v>40908</v>
      </c>
      <c r="H5211" s="4" t="s">
        <v>40</v>
      </c>
      <c r="I5211" s="6">
        <v>6043.95</v>
      </c>
      <c r="J5211" s="6">
        <v>6043.95</v>
      </c>
      <c r="K5211" s="38" t="s">
        <v>8348</v>
      </c>
      <c r="L5211" s="119"/>
      <c r="M5211" s="3"/>
    </row>
    <row r="5212" spans="1:13" s="4" customFormat="1" ht="14.25" customHeight="1" x14ac:dyDescent="0.25">
      <c r="A5212" s="4" t="s">
        <v>8787</v>
      </c>
      <c r="B5212" s="4" t="s">
        <v>38</v>
      </c>
      <c r="C5212" s="4" t="s">
        <v>14</v>
      </c>
      <c r="D5212" s="35">
        <v>9166</v>
      </c>
      <c r="E5212" s="4" t="s">
        <v>8788</v>
      </c>
      <c r="F5212" s="5">
        <v>40704</v>
      </c>
      <c r="G5212" s="5">
        <v>40908</v>
      </c>
      <c r="H5212" s="4" t="s">
        <v>40</v>
      </c>
      <c r="I5212" s="6">
        <v>1210</v>
      </c>
      <c r="J5212" s="6">
        <v>1210</v>
      </c>
      <c r="K5212" s="38" t="s">
        <v>8348</v>
      </c>
      <c r="L5212" s="119"/>
      <c r="M5212" s="3"/>
    </row>
    <row r="5213" spans="1:13" s="4" customFormat="1" ht="14.25" customHeight="1" x14ac:dyDescent="0.25">
      <c r="A5213" s="4" t="s">
        <v>8789</v>
      </c>
      <c r="B5213" s="4" t="s">
        <v>38</v>
      </c>
      <c r="C5213" s="4" t="s">
        <v>14</v>
      </c>
      <c r="D5213" s="35">
        <v>9167</v>
      </c>
      <c r="E5213" s="4" t="s">
        <v>8790</v>
      </c>
      <c r="F5213" s="5">
        <v>40848</v>
      </c>
      <c r="G5213" s="5">
        <v>40884</v>
      </c>
      <c r="H5213" s="4" t="s">
        <v>40</v>
      </c>
      <c r="I5213" s="6">
        <v>814.5</v>
      </c>
      <c r="J5213" s="6">
        <v>814.5</v>
      </c>
      <c r="K5213" s="38" t="s">
        <v>8348</v>
      </c>
      <c r="L5213" s="119"/>
      <c r="M5213" s="3"/>
    </row>
    <row r="5214" spans="1:13" s="4" customFormat="1" ht="14.25" customHeight="1" x14ac:dyDescent="0.25">
      <c r="A5214" s="4" t="s">
        <v>8791</v>
      </c>
      <c r="B5214" s="4" t="s">
        <v>38</v>
      </c>
      <c r="C5214" s="4" t="s">
        <v>14</v>
      </c>
      <c r="D5214" s="35">
        <v>9168</v>
      </c>
      <c r="E5214" s="4" t="s">
        <v>8792</v>
      </c>
      <c r="F5214" s="5">
        <v>40812</v>
      </c>
      <c r="G5214" s="5">
        <v>41264</v>
      </c>
      <c r="H5214" s="4" t="s">
        <v>40</v>
      </c>
      <c r="I5214" s="6">
        <v>15404</v>
      </c>
      <c r="J5214" s="6">
        <v>15404</v>
      </c>
      <c r="K5214" s="38" t="s">
        <v>8348</v>
      </c>
      <c r="L5214" s="119"/>
      <c r="M5214" s="3"/>
    </row>
    <row r="5215" spans="1:13" s="4" customFormat="1" ht="14.25" customHeight="1" x14ac:dyDescent="0.25">
      <c r="A5215" s="4" t="s">
        <v>8793</v>
      </c>
      <c r="B5215" s="4" t="s">
        <v>38</v>
      </c>
      <c r="C5215" s="4" t="s">
        <v>14</v>
      </c>
      <c r="D5215" s="35">
        <v>9169</v>
      </c>
      <c r="E5215" s="4" t="s">
        <v>8794</v>
      </c>
      <c r="F5215" s="5">
        <v>40840</v>
      </c>
      <c r="G5215" s="5">
        <v>40891</v>
      </c>
      <c r="H5215" s="4" t="s">
        <v>40</v>
      </c>
      <c r="I5215" s="6">
        <v>360</v>
      </c>
      <c r="J5215" s="6">
        <v>360</v>
      </c>
      <c r="K5215" s="38" t="s">
        <v>8348</v>
      </c>
      <c r="L5215" s="119"/>
      <c r="M5215" s="3"/>
    </row>
    <row r="5216" spans="1:13" s="4" customFormat="1" ht="14.25" customHeight="1" x14ac:dyDescent="0.25">
      <c r="A5216" s="4" t="s">
        <v>8795</v>
      </c>
      <c r="B5216" s="4" t="s">
        <v>38</v>
      </c>
      <c r="C5216" s="4" t="s">
        <v>14</v>
      </c>
      <c r="D5216" s="35">
        <v>9170</v>
      </c>
      <c r="E5216" s="4" t="s">
        <v>8718</v>
      </c>
      <c r="F5216" s="5">
        <v>40561</v>
      </c>
      <c r="G5216" s="5">
        <v>41274</v>
      </c>
      <c r="H5216" s="4" t="s">
        <v>40</v>
      </c>
      <c r="I5216" s="6">
        <v>2914</v>
      </c>
      <c r="J5216" s="6">
        <v>2914</v>
      </c>
      <c r="K5216" s="38" t="s">
        <v>8348</v>
      </c>
      <c r="L5216" s="119"/>
      <c r="M5216" s="3"/>
    </row>
    <row r="5217" spans="1:13" s="4" customFormat="1" ht="14.25" customHeight="1" x14ac:dyDescent="0.25">
      <c r="A5217" s="4" t="s">
        <v>8796</v>
      </c>
      <c r="B5217" s="4" t="s">
        <v>38</v>
      </c>
      <c r="C5217" s="4" t="s">
        <v>14</v>
      </c>
      <c r="D5217" s="35">
        <v>9172</v>
      </c>
      <c r="E5217" s="4" t="s">
        <v>8797</v>
      </c>
      <c r="F5217" s="5">
        <v>40544</v>
      </c>
      <c r="G5217" s="5">
        <v>41274</v>
      </c>
      <c r="H5217" s="4" t="s">
        <v>40</v>
      </c>
      <c r="I5217" s="6">
        <v>61000</v>
      </c>
      <c r="J5217" s="6">
        <v>61000</v>
      </c>
      <c r="K5217" s="38" t="s">
        <v>8348</v>
      </c>
      <c r="L5217" s="119"/>
      <c r="M5217" s="3"/>
    </row>
    <row r="5218" spans="1:13" s="4" customFormat="1" ht="14.25" customHeight="1" x14ac:dyDescent="0.25">
      <c r="A5218" s="4" t="s">
        <v>6297</v>
      </c>
      <c r="B5218" s="4" t="s">
        <v>38</v>
      </c>
      <c r="C5218" s="4" t="s">
        <v>14</v>
      </c>
      <c r="D5218" s="35">
        <v>9173</v>
      </c>
      <c r="E5218" s="4" t="s">
        <v>8798</v>
      </c>
      <c r="F5218" s="5">
        <v>40799</v>
      </c>
      <c r="G5218" s="5">
        <v>40893</v>
      </c>
      <c r="H5218" s="4" t="s">
        <v>40</v>
      </c>
      <c r="I5218" s="6">
        <v>2823</v>
      </c>
      <c r="J5218" s="6">
        <v>2823</v>
      </c>
      <c r="K5218" s="38" t="s">
        <v>8348</v>
      </c>
      <c r="L5218" s="119"/>
      <c r="M5218" s="3"/>
    </row>
    <row r="5219" spans="1:13" s="4" customFormat="1" ht="14.25" customHeight="1" x14ac:dyDescent="0.25">
      <c r="A5219" s="4" t="s">
        <v>8799</v>
      </c>
      <c r="B5219" s="4" t="s">
        <v>38</v>
      </c>
      <c r="C5219" s="4" t="s">
        <v>14</v>
      </c>
      <c r="D5219" s="35">
        <v>9174</v>
      </c>
      <c r="E5219" s="4" t="s">
        <v>8800</v>
      </c>
      <c r="F5219" s="5">
        <v>40544</v>
      </c>
      <c r="G5219" s="5">
        <v>40908</v>
      </c>
      <c r="H5219" s="4" t="s">
        <v>40</v>
      </c>
      <c r="I5219" s="6">
        <v>15931.75</v>
      </c>
      <c r="J5219" s="6">
        <v>15931.75</v>
      </c>
      <c r="K5219" s="38" t="s">
        <v>8348</v>
      </c>
      <c r="L5219" s="119"/>
      <c r="M5219" s="3"/>
    </row>
    <row r="5220" spans="1:13" s="4" customFormat="1" ht="14.25" customHeight="1" x14ac:dyDescent="0.25">
      <c r="A5220" s="4" t="s">
        <v>8801</v>
      </c>
      <c r="B5220" s="4" t="s">
        <v>38</v>
      </c>
      <c r="C5220" s="4" t="s">
        <v>14</v>
      </c>
      <c r="D5220" s="35">
        <v>9175</v>
      </c>
      <c r="E5220" s="4" t="s">
        <v>8802</v>
      </c>
      <c r="F5220" s="5">
        <v>40544</v>
      </c>
      <c r="G5220" s="5">
        <v>41274</v>
      </c>
      <c r="H5220" s="4" t="s">
        <v>40</v>
      </c>
      <c r="I5220" s="6">
        <v>13231.92</v>
      </c>
      <c r="J5220" s="6">
        <v>6615.96</v>
      </c>
      <c r="K5220" s="38" t="s">
        <v>8348</v>
      </c>
      <c r="L5220" s="119"/>
      <c r="M5220" s="3"/>
    </row>
    <row r="5221" spans="1:13" s="4" customFormat="1" ht="14.25" customHeight="1" x14ac:dyDescent="0.25">
      <c r="A5221" s="4" t="s">
        <v>8803</v>
      </c>
      <c r="B5221" s="4" t="s">
        <v>38</v>
      </c>
      <c r="C5221" s="4" t="s">
        <v>14</v>
      </c>
      <c r="D5221" s="35">
        <v>9176</v>
      </c>
      <c r="E5221" s="4" t="s">
        <v>8804</v>
      </c>
      <c r="F5221" s="5">
        <v>40878</v>
      </c>
      <c r="G5221" s="5">
        <v>40891</v>
      </c>
      <c r="H5221" s="4" t="s">
        <v>40</v>
      </c>
      <c r="I5221" s="6">
        <v>500</v>
      </c>
      <c r="J5221" s="6">
        <v>500</v>
      </c>
      <c r="K5221" s="38" t="s">
        <v>8348</v>
      </c>
      <c r="L5221" s="119"/>
      <c r="M5221" s="3"/>
    </row>
    <row r="5222" spans="1:13" s="4" customFormat="1" ht="14.25" customHeight="1" x14ac:dyDescent="0.25">
      <c r="A5222" s="4" t="s">
        <v>8805</v>
      </c>
      <c r="B5222" s="4" t="s">
        <v>38</v>
      </c>
      <c r="C5222" s="4" t="s">
        <v>14</v>
      </c>
      <c r="D5222" s="35">
        <v>9177</v>
      </c>
      <c r="E5222" s="4" t="s">
        <v>8806</v>
      </c>
      <c r="F5222" s="5">
        <v>40695</v>
      </c>
      <c r="G5222" s="5">
        <v>40730</v>
      </c>
      <c r="H5222" s="4" t="s">
        <v>40</v>
      </c>
      <c r="I5222" s="6">
        <v>6570.07</v>
      </c>
      <c r="J5222" s="6">
        <v>6570.07</v>
      </c>
      <c r="K5222" s="38" t="s">
        <v>8348</v>
      </c>
      <c r="L5222" s="119"/>
      <c r="M5222" s="3"/>
    </row>
    <row r="5223" spans="1:13" s="4" customFormat="1" ht="14.25" customHeight="1" x14ac:dyDescent="0.25">
      <c r="A5223" s="4" t="s">
        <v>8807</v>
      </c>
      <c r="B5223" s="4" t="s">
        <v>38</v>
      </c>
      <c r="C5223" s="4" t="s">
        <v>14</v>
      </c>
      <c r="D5223" s="35">
        <v>9178</v>
      </c>
      <c r="E5223" s="4" t="s">
        <v>8808</v>
      </c>
      <c r="F5223" s="5">
        <v>40634</v>
      </c>
      <c r="G5223" s="5">
        <v>40908</v>
      </c>
      <c r="H5223" s="4" t="s">
        <v>40</v>
      </c>
      <c r="I5223" s="6">
        <v>1950.4</v>
      </c>
      <c r="J5223" s="6">
        <v>1950.4</v>
      </c>
      <c r="K5223" s="38" t="s">
        <v>8348</v>
      </c>
      <c r="L5223" s="119"/>
      <c r="M5223" s="3"/>
    </row>
    <row r="5224" spans="1:13" s="4" customFormat="1" ht="14.25" customHeight="1" x14ac:dyDescent="0.25">
      <c r="A5224" s="4" t="s">
        <v>8809</v>
      </c>
      <c r="B5224" s="4" t="s">
        <v>38</v>
      </c>
      <c r="C5224" s="4" t="s">
        <v>14</v>
      </c>
      <c r="D5224" s="35">
        <v>9179</v>
      </c>
      <c r="E5224" s="4" t="s">
        <v>8810</v>
      </c>
      <c r="F5224" s="5">
        <v>40575</v>
      </c>
      <c r="G5224" s="5">
        <v>40595</v>
      </c>
      <c r="H5224" s="4" t="s">
        <v>40</v>
      </c>
      <c r="I5224" s="6">
        <v>3469.55</v>
      </c>
      <c r="J5224" s="6">
        <v>3469.55</v>
      </c>
      <c r="K5224" s="38" t="s">
        <v>8348</v>
      </c>
      <c r="L5224" s="119"/>
      <c r="M5224" s="3"/>
    </row>
    <row r="5225" spans="1:13" s="4" customFormat="1" ht="14.25" customHeight="1" x14ac:dyDescent="0.25">
      <c r="A5225" s="4" t="s">
        <v>8811</v>
      </c>
      <c r="B5225" s="4" t="s">
        <v>38</v>
      </c>
      <c r="C5225" s="4" t="s">
        <v>14</v>
      </c>
      <c r="D5225" s="35">
        <v>9181</v>
      </c>
      <c r="E5225" s="4" t="s">
        <v>8812</v>
      </c>
      <c r="F5225" s="5">
        <v>40722</v>
      </c>
      <c r="G5225" s="5">
        <v>40991</v>
      </c>
      <c r="H5225" s="4" t="s">
        <v>40</v>
      </c>
      <c r="I5225" s="6">
        <v>4002.45</v>
      </c>
      <c r="J5225" s="6">
        <v>4002.45</v>
      </c>
      <c r="K5225" s="38" t="s">
        <v>8348</v>
      </c>
      <c r="L5225" s="119"/>
      <c r="M5225" s="3"/>
    </row>
    <row r="5226" spans="1:13" s="4" customFormat="1" ht="14.25" customHeight="1" x14ac:dyDescent="0.25">
      <c r="A5226" s="4" t="s">
        <v>8600</v>
      </c>
      <c r="B5226" s="4" t="s">
        <v>38</v>
      </c>
      <c r="C5226" s="4" t="s">
        <v>14</v>
      </c>
      <c r="D5226" s="35">
        <v>9182</v>
      </c>
      <c r="E5226" s="4" t="s">
        <v>8601</v>
      </c>
      <c r="F5226" s="5">
        <v>40787</v>
      </c>
      <c r="G5226" s="5">
        <v>40816</v>
      </c>
      <c r="H5226" s="4" t="s">
        <v>40</v>
      </c>
      <c r="I5226" s="6">
        <v>1730.3</v>
      </c>
      <c r="J5226" s="6">
        <v>1730.3</v>
      </c>
      <c r="K5226" s="38" t="s">
        <v>8348</v>
      </c>
      <c r="L5226" s="119"/>
      <c r="M5226" s="3"/>
    </row>
    <row r="5227" spans="1:13" s="4" customFormat="1" ht="14.25" customHeight="1" x14ac:dyDescent="0.25">
      <c r="A5227" s="4" t="s">
        <v>8813</v>
      </c>
      <c r="B5227" s="4" t="s">
        <v>38</v>
      </c>
      <c r="C5227" s="4" t="s">
        <v>14</v>
      </c>
      <c r="D5227" s="35">
        <v>9183</v>
      </c>
      <c r="E5227" s="4" t="s">
        <v>8814</v>
      </c>
      <c r="F5227" s="5">
        <v>40544</v>
      </c>
      <c r="G5227" s="5">
        <v>41274</v>
      </c>
      <c r="H5227" s="4" t="s">
        <v>40</v>
      </c>
      <c r="I5227" s="6">
        <v>49226.8</v>
      </c>
      <c r="J5227" s="6">
        <v>24613.4</v>
      </c>
      <c r="K5227" s="38" t="s">
        <v>8348</v>
      </c>
      <c r="L5227" s="119"/>
      <c r="M5227" s="3"/>
    </row>
    <row r="5228" spans="1:13" s="4" customFormat="1" ht="14.25" customHeight="1" x14ac:dyDescent="0.25">
      <c r="A5228" s="4" t="s">
        <v>8815</v>
      </c>
      <c r="B5228" s="4" t="s">
        <v>38</v>
      </c>
      <c r="C5228" s="4" t="s">
        <v>14</v>
      </c>
      <c r="D5228" s="35">
        <v>9184</v>
      </c>
      <c r="E5228" s="4" t="s">
        <v>8816</v>
      </c>
      <c r="F5228" s="5">
        <v>40544</v>
      </c>
      <c r="G5228" s="5">
        <v>41274</v>
      </c>
      <c r="H5228" s="4" t="s">
        <v>40</v>
      </c>
      <c r="I5228" s="6">
        <v>7360</v>
      </c>
      <c r="J5228" s="6">
        <v>7360</v>
      </c>
      <c r="K5228" s="38" t="s">
        <v>8348</v>
      </c>
      <c r="L5228" s="119"/>
      <c r="M5228" s="3"/>
    </row>
    <row r="5229" spans="1:13" s="4" customFormat="1" ht="14.25" customHeight="1" x14ac:dyDescent="0.25">
      <c r="A5229" s="4" t="s">
        <v>2284</v>
      </c>
      <c r="B5229" s="4" t="s">
        <v>38</v>
      </c>
      <c r="C5229" s="4" t="s">
        <v>14</v>
      </c>
      <c r="D5229" s="35">
        <v>9185</v>
      </c>
      <c r="E5229" s="4" t="s">
        <v>8817</v>
      </c>
      <c r="F5229" s="5">
        <v>40544</v>
      </c>
      <c r="G5229" s="5">
        <v>41274</v>
      </c>
      <c r="H5229" s="4" t="s">
        <v>40</v>
      </c>
      <c r="I5229" s="6">
        <v>83299.66</v>
      </c>
      <c r="J5229" s="6">
        <v>83299.66</v>
      </c>
      <c r="K5229" s="38" t="s">
        <v>8348</v>
      </c>
      <c r="L5229" s="119"/>
      <c r="M5229" s="3"/>
    </row>
    <row r="5230" spans="1:13" s="4" customFormat="1" ht="14.25" customHeight="1" x14ac:dyDescent="0.25">
      <c r="A5230" s="4" t="s">
        <v>8818</v>
      </c>
      <c r="B5230" s="4" t="s">
        <v>38</v>
      </c>
      <c r="C5230" s="4" t="s">
        <v>14</v>
      </c>
      <c r="D5230" s="35">
        <v>9186</v>
      </c>
      <c r="E5230" s="4" t="s">
        <v>8819</v>
      </c>
      <c r="F5230" s="5">
        <v>40680</v>
      </c>
      <c r="G5230" s="5">
        <v>40693</v>
      </c>
      <c r="H5230" s="4" t="s">
        <v>40</v>
      </c>
      <c r="I5230" s="6">
        <v>500</v>
      </c>
      <c r="J5230" s="6">
        <v>500</v>
      </c>
      <c r="K5230" s="38" t="s">
        <v>8348</v>
      </c>
      <c r="L5230" s="119"/>
      <c r="M5230" s="3"/>
    </row>
    <row r="5231" spans="1:13" s="4" customFormat="1" ht="14.25" customHeight="1" x14ac:dyDescent="0.25">
      <c r="A5231" s="4" t="s">
        <v>8820</v>
      </c>
      <c r="B5231" s="4" t="s">
        <v>38</v>
      </c>
      <c r="C5231" s="4" t="s">
        <v>14</v>
      </c>
      <c r="D5231" s="35">
        <v>9187</v>
      </c>
      <c r="E5231" s="4" t="s">
        <v>8821</v>
      </c>
      <c r="F5231" s="5">
        <v>40544</v>
      </c>
      <c r="G5231" s="5">
        <v>41274</v>
      </c>
      <c r="H5231" s="4" t="s">
        <v>40</v>
      </c>
      <c r="I5231" s="6">
        <v>8051</v>
      </c>
      <c r="J5231" s="6">
        <v>8051</v>
      </c>
      <c r="K5231" s="38" t="s">
        <v>8348</v>
      </c>
      <c r="L5231" s="119"/>
      <c r="M5231" s="3"/>
    </row>
    <row r="5232" spans="1:13" s="4" customFormat="1" ht="14.25" customHeight="1" x14ac:dyDescent="0.25">
      <c r="A5232" s="4" t="s">
        <v>8822</v>
      </c>
      <c r="B5232" s="4" t="s">
        <v>38</v>
      </c>
      <c r="C5232" s="4" t="s">
        <v>14</v>
      </c>
      <c r="D5232" s="35">
        <v>9188</v>
      </c>
      <c r="E5232" s="4" t="s">
        <v>8823</v>
      </c>
      <c r="F5232" s="5">
        <v>40544</v>
      </c>
      <c r="G5232" s="5">
        <v>40908</v>
      </c>
      <c r="H5232" s="4" t="s">
        <v>40</v>
      </c>
      <c r="I5232" s="6">
        <v>3224.9</v>
      </c>
      <c r="J5232" s="6">
        <v>3224.9</v>
      </c>
      <c r="K5232" s="38" t="s">
        <v>8348</v>
      </c>
      <c r="L5232" s="119"/>
      <c r="M5232" s="3"/>
    </row>
    <row r="5233" spans="1:13" s="4" customFormat="1" ht="14.25" customHeight="1" x14ac:dyDescent="0.25">
      <c r="A5233" s="4" t="s">
        <v>8824</v>
      </c>
      <c r="B5233" s="4" t="s">
        <v>38</v>
      </c>
      <c r="C5233" s="4" t="s">
        <v>14</v>
      </c>
      <c r="D5233" s="35">
        <v>9189</v>
      </c>
      <c r="E5233" s="4" t="s">
        <v>8825</v>
      </c>
      <c r="F5233" s="5">
        <v>40695</v>
      </c>
      <c r="G5233" s="5">
        <v>40708</v>
      </c>
      <c r="H5233" s="4" t="s">
        <v>40</v>
      </c>
      <c r="I5233" s="6">
        <v>1750</v>
      </c>
      <c r="J5233" s="6">
        <v>1750</v>
      </c>
      <c r="K5233" s="38" t="s">
        <v>8348</v>
      </c>
      <c r="L5233" s="119"/>
      <c r="M5233" s="3"/>
    </row>
    <row r="5234" spans="1:13" s="4" customFormat="1" ht="14.25" customHeight="1" x14ac:dyDescent="0.25">
      <c r="A5234" s="4" t="s">
        <v>8826</v>
      </c>
      <c r="B5234" s="4" t="s">
        <v>38</v>
      </c>
      <c r="C5234" s="4" t="s">
        <v>14</v>
      </c>
      <c r="D5234" s="35">
        <v>9190</v>
      </c>
      <c r="E5234" s="4" t="s">
        <v>8827</v>
      </c>
      <c r="F5234" s="5">
        <v>40544</v>
      </c>
      <c r="G5234" s="5">
        <v>40908</v>
      </c>
      <c r="H5234" s="4" t="s">
        <v>40</v>
      </c>
      <c r="I5234" s="6">
        <v>2069.48</v>
      </c>
      <c r="J5234" s="6">
        <v>2069.48</v>
      </c>
      <c r="K5234" s="38" t="s">
        <v>8348</v>
      </c>
      <c r="L5234" s="119"/>
      <c r="M5234" s="3"/>
    </row>
    <row r="5235" spans="1:13" s="4" customFormat="1" ht="14.25" customHeight="1" x14ac:dyDescent="0.25">
      <c r="A5235" s="4" t="s">
        <v>8828</v>
      </c>
      <c r="B5235" s="4" t="s">
        <v>38</v>
      </c>
      <c r="C5235" s="4" t="s">
        <v>14</v>
      </c>
      <c r="D5235" s="35">
        <v>9191</v>
      </c>
      <c r="E5235" s="7" t="s">
        <v>8633</v>
      </c>
      <c r="F5235" s="5">
        <v>40544</v>
      </c>
      <c r="G5235" s="5">
        <v>41274</v>
      </c>
      <c r="H5235" s="4" t="s">
        <v>40</v>
      </c>
      <c r="I5235" s="6">
        <v>53900</v>
      </c>
      <c r="J5235" s="6">
        <v>53900</v>
      </c>
      <c r="K5235" s="38" t="s">
        <v>8348</v>
      </c>
      <c r="L5235" s="119"/>
      <c r="M5235" s="3"/>
    </row>
    <row r="5236" spans="1:13" s="4" customFormat="1" ht="14.25" customHeight="1" x14ac:dyDescent="0.25">
      <c r="A5236" s="4" t="s">
        <v>8829</v>
      </c>
      <c r="B5236" s="4" t="s">
        <v>38</v>
      </c>
      <c r="C5236" s="4" t="s">
        <v>14</v>
      </c>
      <c r="D5236" s="35">
        <v>9192</v>
      </c>
      <c r="E5236" s="4" t="s">
        <v>8640</v>
      </c>
      <c r="F5236" s="5">
        <v>40544</v>
      </c>
      <c r="G5236" s="5">
        <v>41274</v>
      </c>
      <c r="H5236" s="4" t="s">
        <v>40</v>
      </c>
      <c r="I5236" s="6">
        <v>12492.67</v>
      </c>
      <c r="J5236" s="6">
        <v>12492.67</v>
      </c>
      <c r="K5236" s="38" t="s">
        <v>8348</v>
      </c>
      <c r="L5236" s="119"/>
      <c r="M5236" s="3"/>
    </row>
    <row r="5237" spans="1:13" s="4" customFormat="1" ht="14.25" customHeight="1" x14ac:dyDescent="0.25">
      <c r="A5237" s="4" t="s">
        <v>8830</v>
      </c>
      <c r="B5237" s="4" t="s">
        <v>38</v>
      </c>
      <c r="C5237" s="4" t="s">
        <v>14</v>
      </c>
      <c r="D5237" s="35">
        <v>9193</v>
      </c>
      <c r="E5237" s="4" t="s">
        <v>8831</v>
      </c>
      <c r="F5237" s="5">
        <v>40544</v>
      </c>
      <c r="G5237" s="5">
        <v>40908</v>
      </c>
      <c r="H5237" s="4" t="s">
        <v>40</v>
      </c>
      <c r="I5237" s="6">
        <v>9771.98</v>
      </c>
      <c r="J5237" s="6">
        <v>4885.99</v>
      </c>
      <c r="K5237" s="38" t="s">
        <v>8348</v>
      </c>
      <c r="L5237" s="119"/>
      <c r="M5237" s="3"/>
    </row>
    <row r="5238" spans="1:13" s="4" customFormat="1" ht="14.25" customHeight="1" x14ac:dyDescent="0.25">
      <c r="A5238" s="4" t="s">
        <v>8832</v>
      </c>
      <c r="B5238" s="4" t="s">
        <v>38</v>
      </c>
      <c r="C5238" s="4" t="s">
        <v>14</v>
      </c>
      <c r="D5238" s="35">
        <v>9194</v>
      </c>
      <c r="E5238" s="4" t="s">
        <v>8833</v>
      </c>
      <c r="F5238" s="5">
        <v>40544</v>
      </c>
      <c r="G5238" s="5">
        <v>40908</v>
      </c>
      <c r="H5238" s="4" t="s">
        <v>40</v>
      </c>
      <c r="I5238" s="6">
        <v>587.29999999999995</v>
      </c>
      <c r="J5238" s="6">
        <v>293.64999999999998</v>
      </c>
      <c r="K5238" s="38" t="s">
        <v>8348</v>
      </c>
      <c r="L5238" s="119"/>
      <c r="M5238" s="3"/>
    </row>
    <row r="5239" spans="1:13" s="4" customFormat="1" ht="14.25" customHeight="1" x14ac:dyDescent="0.25">
      <c r="A5239" s="4" t="s">
        <v>8834</v>
      </c>
      <c r="B5239" s="4" t="s">
        <v>38</v>
      </c>
      <c r="C5239" s="4" t="s">
        <v>14</v>
      </c>
      <c r="D5239" s="35">
        <v>9195</v>
      </c>
      <c r="E5239" s="4" t="s">
        <v>8835</v>
      </c>
      <c r="F5239" s="5">
        <v>40603</v>
      </c>
      <c r="G5239" s="5">
        <v>40714</v>
      </c>
      <c r="H5239" s="4" t="s">
        <v>40</v>
      </c>
      <c r="I5239" s="6">
        <v>968</v>
      </c>
      <c r="J5239" s="6">
        <v>484</v>
      </c>
      <c r="K5239" s="38" t="s">
        <v>8348</v>
      </c>
      <c r="L5239" s="119"/>
      <c r="M5239" s="3"/>
    </row>
    <row r="5240" spans="1:13" s="4" customFormat="1" ht="14.25" customHeight="1" x14ac:dyDescent="0.25">
      <c r="A5240" s="4" t="s">
        <v>8836</v>
      </c>
      <c r="B5240" s="4" t="s">
        <v>38</v>
      </c>
      <c r="C5240" s="4" t="s">
        <v>14</v>
      </c>
      <c r="D5240" s="35">
        <v>9196</v>
      </c>
      <c r="E5240" s="4" t="s">
        <v>8837</v>
      </c>
      <c r="F5240" s="5">
        <v>40787</v>
      </c>
      <c r="G5240" s="5">
        <v>40908</v>
      </c>
      <c r="H5240" s="4" t="s">
        <v>40</v>
      </c>
      <c r="I5240" s="6">
        <v>2470</v>
      </c>
      <c r="J5240" s="6">
        <v>2470</v>
      </c>
      <c r="K5240" s="38" t="s">
        <v>8348</v>
      </c>
      <c r="L5240" s="119"/>
      <c r="M5240" s="3"/>
    </row>
    <row r="5241" spans="1:13" s="4" customFormat="1" ht="14.25" customHeight="1" x14ac:dyDescent="0.25">
      <c r="A5241" s="4" t="s">
        <v>8838</v>
      </c>
      <c r="B5241" s="4" t="s">
        <v>38</v>
      </c>
      <c r="C5241" s="4" t="s">
        <v>14</v>
      </c>
      <c r="D5241" s="35">
        <v>9197</v>
      </c>
      <c r="E5241" s="4" t="s">
        <v>8839</v>
      </c>
      <c r="F5241" s="5">
        <v>40544</v>
      </c>
      <c r="G5241" s="5">
        <v>41274</v>
      </c>
      <c r="H5241" s="4" t="s">
        <v>40</v>
      </c>
      <c r="I5241" s="6">
        <v>56267.22</v>
      </c>
      <c r="J5241" s="6">
        <v>28133.61</v>
      </c>
      <c r="K5241" s="38" t="s">
        <v>8348</v>
      </c>
      <c r="L5241" s="119"/>
      <c r="M5241" s="3"/>
    </row>
    <row r="5242" spans="1:13" s="4" customFormat="1" ht="14.25" customHeight="1" x14ac:dyDescent="0.25">
      <c r="A5242" s="4" t="s">
        <v>8840</v>
      </c>
      <c r="B5242" s="4" t="s">
        <v>38</v>
      </c>
      <c r="C5242" s="4" t="s">
        <v>14</v>
      </c>
      <c r="D5242" s="35">
        <v>9198</v>
      </c>
      <c r="E5242" s="4" t="s">
        <v>8841</v>
      </c>
      <c r="F5242" s="5">
        <v>40544</v>
      </c>
      <c r="G5242" s="5">
        <v>41274</v>
      </c>
      <c r="H5242" s="4" t="s">
        <v>40</v>
      </c>
      <c r="I5242" s="6">
        <v>4783.5</v>
      </c>
      <c r="J5242" s="6">
        <v>4783.5</v>
      </c>
      <c r="K5242" s="38" t="s">
        <v>8348</v>
      </c>
      <c r="L5242" s="119"/>
      <c r="M5242" s="3"/>
    </row>
    <row r="5243" spans="1:13" s="4" customFormat="1" ht="14.25" customHeight="1" x14ac:dyDescent="0.25">
      <c r="A5243" s="4" t="s">
        <v>8842</v>
      </c>
      <c r="B5243" s="4" t="s">
        <v>183</v>
      </c>
      <c r="C5243" s="4" t="s">
        <v>14</v>
      </c>
      <c r="D5243" s="35">
        <v>10494</v>
      </c>
      <c r="E5243" s="7" t="s">
        <v>8843</v>
      </c>
      <c r="F5243" s="5">
        <v>40917</v>
      </c>
      <c r="G5243" s="5">
        <v>41172</v>
      </c>
      <c r="H5243" s="4" t="s">
        <v>40</v>
      </c>
      <c r="I5243" s="6">
        <v>8000</v>
      </c>
      <c r="J5243" s="6">
        <v>8000</v>
      </c>
      <c r="K5243" s="38" t="s">
        <v>8348</v>
      </c>
      <c r="L5243" s="119"/>
      <c r="M5243" s="3"/>
    </row>
    <row r="5244" spans="1:13" s="4" customFormat="1" ht="14.25" customHeight="1" x14ac:dyDescent="0.25">
      <c r="A5244" s="4" t="s">
        <v>8844</v>
      </c>
      <c r="B5244" s="4" t="s">
        <v>183</v>
      </c>
      <c r="C5244" s="4" t="s">
        <v>14</v>
      </c>
      <c r="D5244" s="35">
        <v>10498</v>
      </c>
      <c r="E5244" s="4" t="s">
        <v>8845</v>
      </c>
      <c r="F5244" s="5">
        <v>40896</v>
      </c>
      <c r="G5244" s="5">
        <v>41082</v>
      </c>
      <c r="H5244" s="4" t="s">
        <v>40</v>
      </c>
      <c r="I5244" s="6">
        <v>4000</v>
      </c>
      <c r="J5244" s="6">
        <v>4000</v>
      </c>
      <c r="K5244" s="38" t="s">
        <v>8348</v>
      </c>
      <c r="L5244" s="119"/>
      <c r="M5244" s="3"/>
    </row>
    <row r="5245" spans="1:13" s="4" customFormat="1" ht="14.25" customHeight="1" x14ac:dyDescent="0.25">
      <c r="A5245" s="4" t="s">
        <v>8755</v>
      </c>
      <c r="B5245" s="4" t="s">
        <v>190</v>
      </c>
      <c r="C5245" s="4" t="s">
        <v>14</v>
      </c>
      <c r="D5245" s="35">
        <v>10501</v>
      </c>
      <c r="E5245" s="4" t="s">
        <v>8846</v>
      </c>
      <c r="F5245" s="5">
        <v>40912</v>
      </c>
      <c r="G5245" s="5">
        <v>41145</v>
      </c>
      <c r="H5245" s="4" t="s">
        <v>40</v>
      </c>
      <c r="I5245" s="6">
        <v>30349</v>
      </c>
      <c r="J5245" s="6">
        <v>15174.61</v>
      </c>
      <c r="K5245" s="38" t="s">
        <v>8348</v>
      </c>
      <c r="L5245" s="119"/>
      <c r="M5245" s="3"/>
    </row>
    <row r="5246" spans="1:13" s="4" customFormat="1" ht="14.25" customHeight="1" x14ac:dyDescent="0.25">
      <c r="A5246" s="4" t="s">
        <v>8847</v>
      </c>
      <c r="B5246" s="4" t="s">
        <v>190</v>
      </c>
      <c r="C5246" s="4" t="s">
        <v>14</v>
      </c>
      <c r="D5246" s="35">
        <v>10504</v>
      </c>
      <c r="E5246" s="4" t="s">
        <v>8848</v>
      </c>
      <c r="F5246" s="5">
        <v>41092</v>
      </c>
      <c r="G5246" s="5">
        <v>41137</v>
      </c>
      <c r="H5246" s="4" t="s">
        <v>40</v>
      </c>
      <c r="I5246" s="6">
        <v>8000</v>
      </c>
      <c r="J5246" s="6">
        <v>8000</v>
      </c>
      <c r="K5246" s="38" t="s">
        <v>8348</v>
      </c>
      <c r="L5246" s="119"/>
      <c r="M5246" s="3"/>
    </row>
    <row r="5247" spans="1:13" s="4" customFormat="1" ht="14.25" customHeight="1" x14ac:dyDescent="0.25">
      <c r="A5247" s="4" t="s">
        <v>8849</v>
      </c>
      <c r="B5247" s="4" t="s">
        <v>183</v>
      </c>
      <c r="C5247" s="4" t="s">
        <v>14</v>
      </c>
      <c r="D5247" s="35">
        <v>10506</v>
      </c>
      <c r="E5247" s="7" t="s">
        <v>8850</v>
      </c>
      <c r="F5247" s="5">
        <v>41087</v>
      </c>
      <c r="G5247" s="5">
        <v>41185</v>
      </c>
      <c r="H5247" s="4" t="s">
        <v>40</v>
      </c>
      <c r="I5247" s="6">
        <v>14000</v>
      </c>
      <c r="J5247" s="6">
        <v>14000</v>
      </c>
      <c r="K5247" s="38" t="s">
        <v>8348</v>
      </c>
      <c r="L5247" s="119"/>
      <c r="M5247" s="3"/>
    </row>
    <row r="5248" spans="1:13" s="4" customFormat="1" ht="14.25" customHeight="1" x14ac:dyDescent="0.25">
      <c r="A5248" s="4" t="s">
        <v>8853</v>
      </c>
      <c r="B5248" s="4" t="s">
        <v>183</v>
      </c>
      <c r="C5248" s="4" t="s">
        <v>14</v>
      </c>
      <c r="D5248" s="35">
        <v>10523</v>
      </c>
      <c r="E5248" s="4" t="s">
        <v>8854</v>
      </c>
      <c r="F5248" s="5">
        <v>40912</v>
      </c>
      <c r="G5248" s="5">
        <v>41145</v>
      </c>
      <c r="H5248" s="4" t="s">
        <v>40</v>
      </c>
      <c r="I5248" s="6">
        <v>43000</v>
      </c>
      <c r="J5248" s="6">
        <v>8600</v>
      </c>
      <c r="K5248" s="38" t="s">
        <v>8348</v>
      </c>
      <c r="L5248" s="119"/>
      <c r="M5248" s="3"/>
    </row>
    <row r="5249" spans="1:13" s="4" customFormat="1" ht="14.25" customHeight="1" x14ac:dyDescent="0.25">
      <c r="A5249" s="4" t="s">
        <v>8861</v>
      </c>
      <c r="B5249" s="4" t="s">
        <v>183</v>
      </c>
      <c r="C5249" s="4" t="s">
        <v>14</v>
      </c>
      <c r="D5249" s="35">
        <v>10543</v>
      </c>
      <c r="E5249" s="4" t="s">
        <v>8862</v>
      </c>
      <c r="F5249" s="5">
        <v>41001</v>
      </c>
      <c r="G5249" s="5">
        <v>41047</v>
      </c>
      <c r="H5249" s="4" t="s">
        <v>40</v>
      </c>
      <c r="I5249" s="6">
        <v>1000</v>
      </c>
      <c r="J5249" s="6">
        <v>1000</v>
      </c>
      <c r="K5249" s="38" t="s">
        <v>8348</v>
      </c>
      <c r="L5249" s="119"/>
      <c r="M5249" s="3"/>
    </row>
    <row r="5250" spans="1:13" s="4" customFormat="1" ht="14.25" customHeight="1" x14ac:dyDescent="0.25">
      <c r="A5250" s="4" t="s">
        <v>8863</v>
      </c>
      <c r="B5250" s="4" t="s">
        <v>183</v>
      </c>
      <c r="C5250" s="4" t="s">
        <v>14</v>
      </c>
      <c r="D5250" s="35">
        <v>10544</v>
      </c>
      <c r="E5250" s="4" t="s">
        <v>8864</v>
      </c>
      <c r="F5250" s="5">
        <v>40961</v>
      </c>
      <c r="G5250" s="5">
        <v>41172</v>
      </c>
      <c r="H5250" s="4" t="s">
        <v>40</v>
      </c>
      <c r="I5250" s="6">
        <v>8000</v>
      </c>
      <c r="J5250" s="6">
        <v>8000</v>
      </c>
      <c r="K5250" s="38" t="s">
        <v>8348</v>
      </c>
      <c r="L5250" s="119"/>
      <c r="M5250" s="3"/>
    </row>
    <row r="5251" spans="1:13" s="4" customFormat="1" ht="14.25" customHeight="1" x14ac:dyDescent="0.25">
      <c r="A5251" s="4" t="s">
        <v>8865</v>
      </c>
      <c r="B5251" s="4" t="s">
        <v>190</v>
      </c>
      <c r="C5251" s="4" t="s">
        <v>14</v>
      </c>
      <c r="D5251" s="35">
        <v>10545</v>
      </c>
      <c r="E5251" s="4" t="s">
        <v>8866</v>
      </c>
      <c r="F5251" s="5">
        <v>40912</v>
      </c>
      <c r="G5251" s="5">
        <v>40980</v>
      </c>
      <c r="H5251" s="4" t="s">
        <v>40</v>
      </c>
      <c r="I5251" s="6">
        <v>14333.41</v>
      </c>
      <c r="J5251" s="6">
        <v>5016.6899999999996</v>
      </c>
      <c r="K5251" s="38" t="s">
        <v>8348</v>
      </c>
      <c r="L5251" s="119"/>
      <c r="M5251" s="3"/>
    </row>
    <row r="5252" spans="1:13" s="4" customFormat="1" ht="14.25" customHeight="1" x14ac:dyDescent="0.25">
      <c r="A5252" s="4" t="s">
        <v>8871</v>
      </c>
      <c r="B5252" s="4" t="s">
        <v>38</v>
      </c>
      <c r="C5252" s="4" t="s">
        <v>14</v>
      </c>
      <c r="D5252" s="35">
        <v>10556</v>
      </c>
      <c r="E5252" s="4" t="s">
        <v>8872</v>
      </c>
      <c r="F5252" s="5">
        <v>41172</v>
      </c>
      <c r="G5252" s="5">
        <v>41193</v>
      </c>
      <c r="H5252" s="4" t="s">
        <v>40</v>
      </c>
      <c r="I5252" s="6">
        <v>270</v>
      </c>
      <c r="J5252" s="6">
        <v>270</v>
      </c>
      <c r="K5252" s="38" t="s">
        <v>8348</v>
      </c>
      <c r="L5252" s="119"/>
      <c r="M5252" s="3"/>
    </row>
    <row r="5253" spans="1:13" s="4" customFormat="1" ht="14.25" customHeight="1" x14ac:dyDescent="0.25">
      <c r="A5253" s="4" t="s">
        <v>8873</v>
      </c>
      <c r="B5253" s="4" t="s">
        <v>38</v>
      </c>
      <c r="C5253" s="4" t="s">
        <v>14</v>
      </c>
      <c r="D5253" s="35">
        <v>10557</v>
      </c>
      <c r="E5253" s="4" t="s">
        <v>8874</v>
      </c>
      <c r="F5253" s="5">
        <v>40991</v>
      </c>
      <c r="G5253" s="5">
        <v>41264</v>
      </c>
      <c r="H5253" s="4" t="s">
        <v>40</v>
      </c>
      <c r="I5253" s="6">
        <v>1065.5</v>
      </c>
      <c r="J5253" s="6">
        <v>1065.5</v>
      </c>
      <c r="K5253" s="38" t="s">
        <v>8348</v>
      </c>
      <c r="L5253" s="119"/>
      <c r="M5253" s="3"/>
    </row>
    <row r="5254" spans="1:13" s="4" customFormat="1" ht="14.25" customHeight="1" x14ac:dyDescent="0.25">
      <c r="A5254" s="4" t="s">
        <v>8875</v>
      </c>
      <c r="B5254" s="4" t="s">
        <v>38</v>
      </c>
      <c r="C5254" s="4" t="s">
        <v>14</v>
      </c>
      <c r="D5254" s="35">
        <v>10558</v>
      </c>
      <c r="E5254" s="4" t="s">
        <v>8876</v>
      </c>
      <c r="F5254" s="5">
        <v>40909</v>
      </c>
      <c r="G5254" s="5">
        <v>41274</v>
      </c>
      <c r="H5254" s="4" t="s">
        <v>40</v>
      </c>
      <c r="I5254" s="6">
        <v>2410</v>
      </c>
      <c r="J5254" s="6">
        <v>2410</v>
      </c>
      <c r="K5254" s="38" t="s">
        <v>8348</v>
      </c>
      <c r="L5254" s="119"/>
      <c r="M5254" s="3"/>
    </row>
    <row r="5255" spans="1:13" s="4" customFormat="1" ht="14.25" customHeight="1" x14ac:dyDescent="0.25">
      <c r="A5255" s="4" t="s">
        <v>8877</v>
      </c>
      <c r="B5255" s="4" t="s">
        <v>38</v>
      </c>
      <c r="C5255" s="4" t="s">
        <v>14</v>
      </c>
      <c r="D5255" s="35">
        <v>10559</v>
      </c>
      <c r="E5255" s="4" t="s">
        <v>8878</v>
      </c>
      <c r="F5255" s="5">
        <v>40909</v>
      </c>
      <c r="G5255" s="5">
        <v>41274</v>
      </c>
      <c r="H5255" s="4" t="s">
        <v>40</v>
      </c>
      <c r="I5255" s="6">
        <v>24631.919999999998</v>
      </c>
      <c r="J5255" s="6">
        <v>24631.919999999998</v>
      </c>
      <c r="K5255" s="38" t="s">
        <v>8348</v>
      </c>
      <c r="L5255" s="119"/>
      <c r="M5255" s="3"/>
    </row>
    <row r="5256" spans="1:13" s="4" customFormat="1" ht="14.25" customHeight="1" x14ac:dyDescent="0.25">
      <c r="A5256" s="4" t="s">
        <v>8879</v>
      </c>
      <c r="B5256" s="4" t="s">
        <v>38</v>
      </c>
      <c r="C5256" s="4" t="s">
        <v>14</v>
      </c>
      <c r="D5256" s="35">
        <v>10560</v>
      </c>
      <c r="E5256" s="4" t="s">
        <v>8880</v>
      </c>
      <c r="F5256" s="5">
        <v>41183</v>
      </c>
      <c r="G5256" s="5">
        <v>41235</v>
      </c>
      <c r="H5256" s="4" t="s">
        <v>40</v>
      </c>
      <c r="I5256" s="6">
        <v>405</v>
      </c>
      <c r="J5256" s="6">
        <v>405</v>
      </c>
      <c r="K5256" s="38" t="s">
        <v>8348</v>
      </c>
      <c r="L5256" s="119"/>
      <c r="M5256" s="3"/>
    </row>
    <row r="5257" spans="1:13" s="4" customFormat="1" ht="14.25" customHeight="1" x14ac:dyDescent="0.25">
      <c r="A5257" s="4" t="s">
        <v>8881</v>
      </c>
      <c r="B5257" s="4" t="s">
        <v>38</v>
      </c>
      <c r="C5257" s="4" t="s">
        <v>14</v>
      </c>
      <c r="D5257" s="35">
        <v>10561</v>
      </c>
      <c r="E5257" s="4" t="s">
        <v>8882</v>
      </c>
      <c r="F5257" s="5">
        <v>41061</v>
      </c>
      <c r="G5257" s="5">
        <v>41185</v>
      </c>
      <c r="H5257" s="4" t="s">
        <v>40</v>
      </c>
      <c r="I5257" s="6">
        <v>285</v>
      </c>
      <c r="J5257" s="6">
        <v>285</v>
      </c>
      <c r="K5257" s="38" t="s">
        <v>8348</v>
      </c>
      <c r="L5257" s="119"/>
      <c r="M5257" s="3"/>
    </row>
    <row r="5258" spans="1:13" s="4" customFormat="1" ht="14.25" customHeight="1" x14ac:dyDescent="0.25">
      <c r="A5258" s="4" t="s">
        <v>8883</v>
      </c>
      <c r="B5258" s="4" t="s">
        <v>38</v>
      </c>
      <c r="C5258" s="4" t="s">
        <v>14</v>
      </c>
      <c r="D5258" s="35">
        <v>10562</v>
      </c>
      <c r="E5258" s="4" t="s">
        <v>8884</v>
      </c>
      <c r="F5258" s="5">
        <v>41061</v>
      </c>
      <c r="G5258" s="5">
        <v>41274</v>
      </c>
      <c r="H5258" s="4" t="s">
        <v>40</v>
      </c>
      <c r="I5258" s="6">
        <v>3616.2</v>
      </c>
      <c r="J5258" s="6">
        <v>3616.2</v>
      </c>
      <c r="K5258" s="38" t="s">
        <v>8348</v>
      </c>
      <c r="L5258" s="119"/>
      <c r="M5258" s="3"/>
    </row>
    <row r="5259" spans="1:13" s="4" customFormat="1" ht="14.25" customHeight="1" x14ac:dyDescent="0.25">
      <c r="A5259" s="4" t="s">
        <v>8885</v>
      </c>
      <c r="B5259" s="4" t="s">
        <v>38</v>
      </c>
      <c r="C5259" s="4" t="s">
        <v>14</v>
      </c>
      <c r="D5259" s="35">
        <v>10563</v>
      </c>
      <c r="E5259" s="4" t="s">
        <v>8886</v>
      </c>
      <c r="F5259" s="5">
        <v>40909</v>
      </c>
      <c r="G5259" s="5">
        <v>41274</v>
      </c>
      <c r="H5259" s="4" t="s">
        <v>40</v>
      </c>
      <c r="I5259" s="6">
        <v>900.5</v>
      </c>
      <c r="J5259" s="6">
        <v>900.5</v>
      </c>
      <c r="K5259" s="38" t="s">
        <v>8348</v>
      </c>
      <c r="L5259" s="119"/>
      <c r="M5259" s="3"/>
    </row>
    <row r="5260" spans="1:13" s="4" customFormat="1" ht="14.25" customHeight="1" x14ac:dyDescent="0.25">
      <c r="A5260" s="4" t="s">
        <v>8887</v>
      </c>
      <c r="B5260" s="4" t="s">
        <v>38</v>
      </c>
      <c r="C5260" s="4" t="s">
        <v>14</v>
      </c>
      <c r="D5260" s="35">
        <v>10564</v>
      </c>
      <c r="E5260" s="4" t="s">
        <v>8888</v>
      </c>
      <c r="F5260" s="5">
        <v>41214</v>
      </c>
      <c r="G5260" s="5">
        <v>41274</v>
      </c>
      <c r="H5260" s="4" t="s">
        <v>40</v>
      </c>
      <c r="I5260" s="6">
        <v>640.20000000000005</v>
      </c>
      <c r="J5260" s="6">
        <v>640.20000000000005</v>
      </c>
      <c r="K5260" s="38" t="s">
        <v>8348</v>
      </c>
      <c r="L5260" s="119"/>
      <c r="M5260" s="3"/>
    </row>
    <row r="5261" spans="1:13" s="4" customFormat="1" ht="14.25" customHeight="1" x14ac:dyDescent="0.25">
      <c r="A5261" s="4" t="s">
        <v>8889</v>
      </c>
      <c r="B5261" s="4" t="s">
        <v>38</v>
      </c>
      <c r="C5261" s="4" t="s">
        <v>14</v>
      </c>
      <c r="D5261" s="35">
        <v>10565</v>
      </c>
      <c r="E5261" s="4" t="s">
        <v>8890</v>
      </c>
      <c r="F5261" s="5">
        <v>41153</v>
      </c>
      <c r="G5261" s="5">
        <v>41182</v>
      </c>
      <c r="H5261" s="4" t="s">
        <v>40</v>
      </c>
      <c r="I5261" s="6">
        <v>2693.74</v>
      </c>
      <c r="J5261" s="6">
        <v>2693.64</v>
      </c>
      <c r="K5261" s="38" t="s">
        <v>8348</v>
      </c>
      <c r="L5261" s="119"/>
      <c r="M5261" s="3"/>
    </row>
    <row r="5262" spans="1:13" s="4" customFormat="1" ht="14.25" customHeight="1" x14ac:dyDescent="0.25">
      <c r="A5262" s="4" t="s">
        <v>8891</v>
      </c>
      <c r="B5262" s="4" t="s">
        <v>38</v>
      </c>
      <c r="C5262" s="4" t="s">
        <v>14</v>
      </c>
      <c r="D5262" s="35">
        <v>10566</v>
      </c>
      <c r="E5262" s="7" t="s">
        <v>8892</v>
      </c>
      <c r="F5262" s="5">
        <v>40988</v>
      </c>
      <c r="G5262" s="5">
        <v>40995</v>
      </c>
      <c r="H5262" s="4" t="s">
        <v>40</v>
      </c>
      <c r="I5262" s="6">
        <v>1177.8</v>
      </c>
      <c r="J5262" s="6">
        <v>1177.8</v>
      </c>
      <c r="K5262" s="38" t="s">
        <v>8348</v>
      </c>
      <c r="L5262" s="119"/>
      <c r="M5262" s="3"/>
    </row>
    <row r="5263" spans="1:13" s="4" customFormat="1" ht="14.25" customHeight="1" x14ac:dyDescent="0.25">
      <c r="A5263" s="4" t="s">
        <v>8893</v>
      </c>
      <c r="B5263" s="4" t="s">
        <v>38</v>
      </c>
      <c r="C5263" s="4" t="s">
        <v>14</v>
      </c>
      <c r="D5263" s="35">
        <v>10567</v>
      </c>
      <c r="E5263" s="4" t="s">
        <v>8894</v>
      </c>
      <c r="F5263" s="5">
        <v>40909</v>
      </c>
      <c r="G5263" s="5">
        <v>41274</v>
      </c>
      <c r="H5263" s="4" t="s">
        <v>40</v>
      </c>
      <c r="I5263" s="6">
        <v>2919.16</v>
      </c>
      <c r="J5263" s="6">
        <v>2919.16</v>
      </c>
      <c r="K5263" s="38" t="s">
        <v>8348</v>
      </c>
      <c r="L5263" s="119"/>
      <c r="M5263" s="3"/>
    </row>
    <row r="5264" spans="1:13" s="4" customFormat="1" ht="14.25" customHeight="1" x14ac:dyDescent="0.25">
      <c r="A5264" s="4" t="s">
        <v>8895</v>
      </c>
      <c r="B5264" s="4" t="s">
        <v>38</v>
      </c>
      <c r="C5264" s="4" t="s">
        <v>14</v>
      </c>
      <c r="D5264" s="35">
        <v>10569</v>
      </c>
      <c r="E5264" s="4" t="s">
        <v>8896</v>
      </c>
      <c r="F5264" s="5">
        <v>41244</v>
      </c>
      <c r="G5264" s="5">
        <v>41274</v>
      </c>
      <c r="H5264" s="4" t="s">
        <v>40</v>
      </c>
      <c r="I5264" s="6">
        <v>5963.7</v>
      </c>
      <c r="J5264" s="6">
        <v>5963.7</v>
      </c>
      <c r="K5264" s="38" t="s">
        <v>8348</v>
      </c>
      <c r="L5264" s="119"/>
      <c r="M5264" s="3"/>
    </row>
    <row r="5265" spans="1:11" ht="14.25" customHeight="1" x14ac:dyDescent="0.25">
      <c r="A5265" s="13" t="s">
        <v>11378</v>
      </c>
      <c r="B5265" s="13" t="s">
        <v>13</v>
      </c>
      <c r="C5265" s="13" t="s">
        <v>14</v>
      </c>
      <c r="D5265" s="19">
        <v>12554</v>
      </c>
      <c r="E5265" s="13" t="s">
        <v>11379</v>
      </c>
      <c r="F5265" s="14">
        <v>41571</v>
      </c>
      <c r="G5265" s="14">
        <v>41639</v>
      </c>
      <c r="H5265" s="13" t="s">
        <v>651</v>
      </c>
      <c r="I5265" s="18">
        <v>19500</v>
      </c>
      <c r="J5265" s="18">
        <v>9750</v>
      </c>
      <c r="K5265" s="38" t="s">
        <v>8348</v>
      </c>
    </row>
    <row r="5266" spans="1:11" ht="14.25" customHeight="1" x14ac:dyDescent="0.25">
      <c r="A5266" s="13" t="s">
        <v>11152</v>
      </c>
      <c r="B5266" s="13" t="s">
        <v>10192</v>
      </c>
      <c r="C5266" s="13" t="s">
        <v>14</v>
      </c>
      <c r="D5266" s="19">
        <v>12555</v>
      </c>
      <c r="E5266" s="13" t="s">
        <v>11153</v>
      </c>
      <c r="F5266" s="14">
        <v>41414</v>
      </c>
      <c r="G5266" s="14">
        <v>41414</v>
      </c>
      <c r="H5266" s="13" t="s">
        <v>651</v>
      </c>
      <c r="I5266" s="18">
        <v>2500</v>
      </c>
      <c r="J5266" s="18">
        <v>2500</v>
      </c>
      <c r="K5266" s="38" t="s">
        <v>8348</v>
      </c>
    </row>
    <row r="5267" spans="1:11" ht="14.25" customHeight="1" x14ac:dyDescent="0.25">
      <c r="A5267" s="13" t="s">
        <v>11154</v>
      </c>
      <c r="B5267" s="13" t="s">
        <v>10192</v>
      </c>
      <c r="C5267" s="13" t="s">
        <v>14</v>
      </c>
      <c r="D5267" s="19">
        <v>12556</v>
      </c>
      <c r="E5267" s="13" t="s">
        <v>11155</v>
      </c>
      <c r="F5267" s="14">
        <v>41423</v>
      </c>
      <c r="G5267" s="14">
        <v>41423</v>
      </c>
      <c r="H5267" s="13" t="s">
        <v>651</v>
      </c>
      <c r="I5267" s="18">
        <v>90000</v>
      </c>
      <c r="J5267" s="18">
        <v>45000</v>
      </c>
      <c r="K5267" s="38" t="s">
        <v>8348</v>
      </c>
    </row>
    <row r="5268" spans="1:11" ht="14.25" customHeight="1" x14ac:dyDescent="0.25">
      <c r="A5268" s="13" t="s">
        <v>11156</v>
      </c>
      <c r="B5268" s="13" t="s">
        <v>10192</v>
      </c>
      <c r="C5268" s="13" t="s">
        <v>14</v>
      </c>
      <c r="D5268" s="19">
        <v>12558</v>
      </c>
      <c r="E5268" s="13" t="s">
        <v>11157</v>
      </c>
      <c r="F5268" s="14">
        <v>41515</v>
      </c>
      <c r="G5268" s="14">
        <v>41639</v>
      </c>
      <c r="H5268" s="13" t="s">
        <v>651</v>
      </c>
      <c r="I5268" s="18">
        <v>4000</v>
      </c>
      <c r="J5268" s="18">
        <v>4000</v>
      </c>
      <c r="K5268" s="38" t="s">
        <v>8348</v>
      </c>
    </row>
    <row r="5269" spans="1:11" ht="14.25" customHeight="1" x14ac:dyDescent="0.25">
      <c r="A5269" s="13" t="s">
        <v>11158</v>
      </c>
      <c r="B5269" s="13" t="s">
        <v>10192</v>
      </c>
      <c r="C5269" s="13" t="s">
        <v>14</v>
      </c>
      <c r="D5269" s="19">
        <v>12559</v>
      </c>
      <c r="E5269" s="13" t="s">
        <v>11159</v>
      </c>
      <c r="F5269" s="14">
        <v>41565</v>
      </c>
      <c r="G5269" s="14">
        <v>41639</v>
      </c>
      <c r="H5269" s="13" t="s">
        <v>651</v>
      </c>
      <c r="I5269" s="18">
        <v>4000</v>
      </c>
      <c r="J5269" s="18">
        <v>4000</v>
      </c>
      <c r="K5269" s="38" t="s">
        <v>8348</v>
      </c>
    </row>
    <row r="5270" spans="1:11" ht="14.25" customHeight="1" x14ac:dyDescent="0.25">
      <c r="A5270" s="13" t="s">
        <v>11160</v>
      </c>
      <c r="B5270" s="13" t="s">
        <v>10625</v>
      </c>
      <c r="C5270" s="13" t="s">
        <v>14</v>
      </c>
      <c r="D5270" s="19">
        <v>12560</v>
      </c>
      <c r="E5270" s="13" t="s">
        <v>11161</v>
      </c>
      <c r="F5270" s="14">
        <v>41571</v>
      </c>
      <c r="G5270" s="14">
        <v>41639</v>
      </c>
      <c r="H5270" s="13" t="s">
        <v>651</v>
      </c>
      <c r="I5270" s="18">
        <v>10594</v>
      </c>
      <c r="J5270" s="18">
        <v>5297</v>
      </c>
      <c r="K5270" s="38" t="s">
        <v>8348</v>
      </c>
    </row>
    <row r="5271" spans="1:11" ht="14.25" customHeight="1" x14ac:dyDescent="0.25">
      <c r="A5271" s="13" t="s">
        <v>11163</v>
      </c>
      <c r="B5271" s="13" t="s">
        <v>10192</v>
      </c>
      <c r="C5271" s="13" t="s">
        <v>14</v>
      </c>
      <c r="D5271" s="19">
        <v>12562</v>
      </c>
      <c r="E5271" s="13" t="s">
        <v>11164</v>
      </c>
      <c r="F5271" s="14">
        <v>41277</v>
      </c>
      <c r="G5271" s="14">
        <v>41277</v>
      </c>
      <c r="H5271" s="13" t="s">
        <v>651</v>
      </c>
      <c r="I5271" s="18">
        <v>160000</v>
      </c>
      <c r="J5271" s="18">
        <v>80000</v>
      </c>
      <c r="K5271" s="38" t="s">
        <v>8348</v>
      </c>
    </row>
    <row r="5272" spans="1:11" ht="14.25" customHeight="1" x14ac:dyDescent="0.25">
      <c r="A5272" s="13" t="s">
        <v>11165</v>
      </c>
      <c r="B5272" s="13" t="s">
        <v>10195</v>
      </c>
      <c r="C5272" s="13" t="s">
        <v>14</v>
      </c>
      <c r="D5272" s="19">
        <v>12563</v>
      </c>
      <c r="E5272" s="13" t="s">
        <v>11166</v>
      </c>
      <c r="F5272" s="14">
        <v>41550</v>
      </c>
      <c r="G5272" s="14">
        <v>41550</v>
      </c>
      <c r="H5272" s="13" t="s">
        <v>651</v>
      </c>
      <c r="I5272" s="18">
        <v>65686.73</v>
      </c>
      <c r="J5272" s="18">
        <v>32842.9</v>
      </c>
      <c r="K5272" s="38" t="s">
        <v>8348</v>
      </c>
    </row>
    <row r="5273" spans="1:11" ht="14.25" customHeight="1" x14ac:dyDescent="0.25">
      <c r="A5273" s="13" t="s">
        <v>11167</v>
      </c>
      <c r="B5273" s="13" t="s">
        <v>10192</v>
      </c>
      <c r="C5273" s="13" t="s">
        <v>14</v>
      </c>
      <c r="D5273" s="19">
        <v>12564</v>
      </c>
      <c r="E5273" s="13" t="s">
        <v>11168</v>
      </c>
      <c r="F5273" s="14">
        <v>41571</v>
      </c>
      <c r="G5273" s="14">
        <v>41639</v>
      </c>
      <c r="H5273" s="13" t="s">
        <v>651</v>
      </c>
      <c r="I5273" s="18">
        <v>4000</v>
      </c>
      <c r="J5273" s="18">
        <v>4000</v>
      </c>
      <c r="K5273" s="38" t="s">
        <v>8348</v>
      </c>
    </row>
    <row r="5274" spans="1:11" ht="14.25" customHeight="1" x14ac:dyDescent="0.25">
      <c r="A5274" s="13" t="s">
        <v>11169</v>
      </c>
      <c r="B5274" s="13" t="s">
        <v>10192</v>
      </c>
      <c r="C5274" s="13" t="s">
        <v>14</v>
      </c>
      <c r="D5274" s="19">
        <v>12565</v>
      </c>
      <c r="E5274" s="13" t="s">
        <v>11170</v>
      </c>
      <c r="F5274" s="14">
        <v>41550</v>
      </c>
      <c r="G5274" s="14">
        <v>41639</v>
      </c>
      <c r="H5274" s="13" t="s">
        <v>651</v>
      </c>
      <c r="I5274" s="18">
        <v>8000</v>
      </c>
      <c r="J5274" s="18">
        <v>8000</v>
      </c>
      <c r="K5274" s="38" t="s">
        <v>8348</v>
      </c>
    </row>
    <row r="5275" spans="1:11" ht="14.25" customHeight="1" x14ac:dyDescent="0.25">
      <c r="A5275" s="13" t="s">
        <v>11171</v>
      </c>
      <c r="B5275" s="13" t="s">
        <v>38</v>
      </c>
      <c r="C5275" s="13" t="s">
        <v>14</v>
      </c>
      <c r="D5275" s="19">
        <v>12567</v>
      </c>
      <c r="E5275" s="13" t="s">
        <v>8827</v>
      </c>
      <c r="F5275" s="14">
        <v>41275</v>
      </c>
      <c r="G5275" s="14">
        <v>41639</v>
      </c>
      <c r="H5275" s="13" t="s">
        <v>651</v>
      </c>
      <c r="I5275" s="18">
        <v>3199.63</v>
      </c>
      <c r="J5275" s="18">
        <v>3199.63</v>
      </c>
      <c r="K5275" s="38" t="s">
        <v>8348</v>
      </c>
    </row>
    <row r="5276" spans="1:11" ht="14.25" customHeight="1" x14ac:dyDescent="0.25">
      <c r="A5276" s="13" t="s">
        <v>11172</v>
      </c>
      <c r="B5276" s="13" t="s">
        <v>38</v>
      </c>
      <c r="C5276" s="13" t="s">
        <v>14</v>
      </c>
      <c r="D5276" s="19">
        <v>12568</v>
      </c>
      <c r="E5276" s="13" t="s">
        <v>11173</v>
      </c>
      <c r="F5276" s="14">
        <v>41472</v>
      </c>
      <c r="G5276" s="14">
        <v>41547</v>
      </c>
      <c r="H5276" s="13" t="s">
        <v>651</v>
      </c>
      <c r="I5276" s="18">
        <v>4920</v>
      </c>
      <c r="J5276" s="18">
        <v>4920</v>
      </c>
      <c r="K5276" s="38" t="s">
        <v>8348</v>
      </c>
    </row>
    <row r="5277" spans="1:11" ht="14.25" customHeight="1" x14ac:dyDescent="0.25">
      <c r="A5277" s="13" t="s">
        <v>8468</v>
      </c>
      <c r="B5277" s="13" t="s">
        <v>38</v>
      </c>
      <c r="C5277" s="13" t="s">
        <v>14</v>
      </c>
      <c r="D5277" s="19">
        <v>12569</v>
      </c>
      <c r="E5277" s="13" t="s">
        <v>8802</v>
      </c>
      <c r="F5277" s="14">
        <v>41275</v>
      </c>
      <c r="G5277" s="14">
        <v>41639</v>
      </c>
      <c r="H5277" s="13" t="s">
        <v>651</v>
      </c>
      <c r="I5277" s="18">
        <v>9272.4599999999991</v>
      </c>
      <c r="J5277" s="18">
        <v>4636.2299999999996</v>
      </c>
      <c r="K5277" s="38" t="s">
        <v>8348</v>
      </c>
    </row>
    <row r="5278" spans="1:11" ht="14.25" customHeight="1" x14ac:dyDescent="0.25">
      <c r="A5278" s="13" t="s">
        <v>11174</v>
      </c>
      <c r="B5278" s="13" t="s">
        <v>38</v>
      </c>
      <c r="C5278" s="13" t="s">
        <v>14</v>
      </c>
      <c r="D5278" s="19">
        <v>12570</v>
      </c>
      <c r="E5278" s="13" t="s">
        <v>11175</v>
      </c>
      <c r="F5278" s="14">
        <v>41275</v>
      </c>
      <c r="G5278" s="14">
        <v>41639</v>
      </c>
      <c r="H5278" s="13" t="s">
        <v>651</v>
      </c>
      <c r="I5278" s="18">
        <v>4565</v>
      </c>
      <c r="J5278" s="18">
        <v>4565</v>
      </c>
      <c r="K5278" s="38" t="s">
        <v>8348</v>
      </c>
    </row>
    <row r="5279" spans="1:11" ht="14.25" customHeight="1" x14ac:dyDescent="0.25">
      <c r="A5279" s="13" t="s">
        <v>7605</v>
      </c>
      <c r="B5279" s="13" t="s">
        <v>38</v>
      </c>
      <c r="C5279" s="13" t="s">
        <v>14</v>
      </c>
      <c r="D5279" s="19">
        <v>12571</v>
      </c>
      <c r="E5279" s="13" t="s">
        <v>11176</v>
      </c>
      <c r="F5279" s="14">
        <v>41275</v>
      </c>
      <c r="G5279" s="14">
        <v>41639</v>
      </c>
      <c r="H5279" s="13" t="s">
        <v>651</v>
      </c>
      <c r="I5279" s="18">
        <v>1265</v>
      </c>
      <c r="J5279" s="18">
        <v>1265</v>
      </c>
      <c r="K5279" s="38" t="s">
        <v>8348</v>
      </c>
    </row>
    <row r="5280" spans="1:11" ht="14.25" customHeight="1" x14ac:dyDescent="0.25">
      <c r="A5280" s="13" t="s">
        <v>11177</v>
      </c>
      <c r="B5280" s="13" t="s">
        <v>38</v>
      </c>
      <c r="C5280" s="13" t="s">
        <v>14</v>
      </c>
      <c r="D5280" s="19">
        <v>12572</v>
      </c>
      <c r="E5280" s="13" t="s">
        <v>11178</v>
      </c>
      <c r="F5280" s="14">
        <v>41426</v>
      </c>
      <c r="G5280" s="14">
        <v>41639</v>
      </c>
      <c r="H5280" s="13" t="s">
        <v>651</v>
      </c>
      <c r="I5280" s="18">
        <v>12763.7</v>
      </c>
      <c r="J5280" s="18">
        <v>12763.7</v>
      </c>
      <c r="K5280" s="38" t="s">
        <v>8348</v>
      </c>
    </row>
    <row r="5281" spans="1:11" ht="14.25" customHeight="1" x14ac:dyDescent="0.25">
      <c r="A5281" s="13" t="s">
        <v>9231</v>
      </c>
      <c r="B5281" s="13" t="s">
        <v>38</v>
      </c>
      <c r="C5281" s="13" t="s">
        <v>14</v>
      </c>
      <c r="D5281" s="19">
        <v>12573</v>
      </c>
      <c r="E5281" s="13" t="s">
        <v>8800</v>
      </c>
      <c r="F5281" s="14">
        <v>41275</v>
      </c>
      <c r="G5281" s="14">
        <v>41639</v>
      </c>
      <c r="H5281" s="13" t="s">
        <v>651</v>
      </c>
      <c r="I5281" s="18">
        <v>8136.06</v>
      </c>
      <c r="J5281" s="18">
        <v>8136.06</v>
      </c>
      <c r="K5281" s="38" t="s">
        <v>8348</v>
      </c>
    </row>
    <row r="5282" spans="1:11" ht="14.25" customHeight="1" x14ac:dyDescent="0.25">
      <c r="A5282" s="13" t="s">
        <v>8809</v>
      </c>
      <c r="B5282" s="13" t="s">
        <v>38</v>
      </c>
      <c r="C5282" s="13" t="s">
        <v>14</v>
      </c>
      <c r="D5282" s="19">
        <v>12574</v>
      </c>
      <c r="E5282" s="13" t="s">
        <v>8810</v>
      </c>
      <c r="F5282" s="14">
        <v>41416</v>
      </c>
      <c r="G5282" s="14">
        <v>41455</v>
      </c>
      <c r="H5282" s="13" t="s">
        <v>651</v>
      </c>
      <c r="I5282" s="18">
        <v>4548.5200000000004</v>
      </c>
      <c r="J5282" s="18">
        <v>4548.5200000000004</v>
      </c>
      <c r="K5282" s="38" t="s">
        <v>8348</v>
      </c>
    </row>
    <row r="5283" spans="1:11" ht="14.25" customHeight="1" x14ac:dyDescent="0.25">
      <c r="A5283" s="13" t="s">
        <v>11179</v>
      </c>
      <c r="B5283" s="13" t="s">
        <v>38</v>
      </c>
      <c r="C5283" s="13" t="s">
        <v>14</v>
      </c>
      <c r="D5283" s="19">
        <v>12575</v>
      </c>
      <c r="E5283" s="13" t="s">
        <v>11180</v>
      </c>
      <c r="F5283" s="14">
        <v>41518</v>
      </c>
      <c r="G5283" s="14">
        <v>41549</v>
      </c>
      <c r="H5283" s="13" t="s">
        <v>651</v>
      </c>
      <c r="I5283" s="18">
        <v>4018.53</v>
      </c>
      <c r="J5283" s="18">
        <v>4018.53</v>
      </c>
      <c r="K5283" s="38" t="s">
        <v>8348</v>
      </c>
    </row>
    <row r="5284" spans="1:11" ht="14.25" customHeight="1" x14ac:dyDescent="0.25">
      <c r="A5284" s="13" t="s">
        <v>8600</v>
      </c>
      <c r="B5284" s="13" t="s">
        <v>38</v>
      </c>
      <c r="C5284" s="13" t="s">
        <v>14</v>
      </c>
      <c r="D5284" s="19">
        <v>12576</v>
      </c>
      <c r="E5284" s="13" t="s">
        <v>11181</v>
      </c>
      <c r="F5284" s="14">
        <v>41275</v>
      </c>
      <c r="G5284" s="14">
        <v>41639</v>
      </c>
      <c r="H5284" s="13" t="s">
        <v>651</v>
      </c>
      <c r="I5284" s="18">
        <v>2000</v>
      </c>
      <c r="J5284" s="18">
        <v>2000</v>
      </c>
      <c r="K5284" s="38" t="s">
        <v>8348</v>
      </c>
    </row>
    <row r="5285" spans="1:11" ht="14.25" customHeight="1" x14ac:dyDescent="0.25">
      <c r="A5285" s="13" t="s">
        <v>11182</v>
      </c>
      <c r="B5285" s="13" t="s">
        <v>38</v>
      </c>
      <c r="C5285" s="13" t="s">
        <v>14</v>
      </c>
      <c r="D5285" s="19">
        <v>12577</v>
      </c>
      <c r="E5285" s="13" t="s">
        <v>11183</v>
      </c>
      <c r="F5285" s="14">
        <v>41526</v>
      </c>
      <c r="G5285" s="14">
        <v>41584</v>
      </c>
      <c r="H5285" s="13" t="s">
        <v>651</v>
      </c>
      <c r="I5285" s="18">
        <v>3307.45</v>
      </c>
      <c r="J5285" s="18">
        <v>3307.45</v>
      </c>
      <c r="K5285" s="38" t="s">
        <v>8348</v>
      </c>
    </row>
    <row r="5286" spans="1:11" ht="14.25" customHeight="1" x14ac:dyDescent="0.25">
      <c r="A5286" s="13" t="s">
        <v>11184</v>
      </c>
      <c r="B5286" s="13" t="s">
        <v>38</v>
      </c>
      <c r="C5286" s="13" t="s">
        <v>14</v>
      </c>
      <c r="D5286" s="19">
        <v>12730</v>
      </c>
      <c r="E5286" s="13" t="s">
        <v>11185</v>
      </c>
      <c r="F5286" s="14">
        <v>41488</v>
      </c>
      <c r="G5286" s="14">
        <v>41639</v>
      </c>
      <c r="H5286" s="13" t="s">
        <v>651</v>
      </c>
      <c r="I5286" s="18">
        <v>20644.09</v>
      </c>
      <c r="J5286" s="18">
        <v>20644.09</v>
      </c>
      <c r="K5286" s="38" t="s">
        <v>8348</v>
      </c>
    </row>
    <row r="5287" spans="1:11" ht="14.25" customHeight="1" x14ac:dyDescent="0.25">
      <c r="A5287" s="13" t="s">
        <v>11186</v>
      </c>
      <c r="B5287" s="13" t="s">
        <v>38</v>
      </c>
      <c r="C5287" s="13" t="s">
        <v>14</v>
      </c>
      <c r="D5287" s="19">
        <v>12731</v>
      </c>
      <c r="E5287" s="13" t="s">
        <v>11187</v>
      </c>
      <c r="F5287" s="14">
        <v>41536</v>
      </c>
      <c r="G5287" s="14">
        <v>41536</v>
      </c>
      <c r="H5287" s="13" t="s">
        <v>651</v>
      </c>
      <c r="I5287" s="18">
        <v>1000</v>
      </c>
      <c r="J5287" s="18">
        <v>1000</v>
      </c>
      <c r="K5287" s="38" t="s">
        <v>8348</v>
      </c>
    </row>
    <row r="5288" spans="1:11" ht="14.25" customHeight="1" x14ac:dyDescent="0.25">
      <c r="A5288" s="13" t="s">
        <v>11188</v>
      </c>
      <c r="B5288" s="13" t="s">
        <v>38</v>
      </c>
      <c r="C5288" s="13" t="s">
        <v>14</v>
      </c>
      <c r="D5288" s="19">
        <v>12732</v>
      </c>
      <c r="E5288" s="13" t="s">
        <v>8814</v>
      </c>
      <c r="F5288" s="14">
        <v>41275</v>
      </c>
      <c r="G5288" s="14">
        <v>41639</v>
      </c>
      <c r="H5288" s="13" t="s">
        <v>651</v>
      </c>
      <c r="I5288" s="18">
        <v>21208.48</v>
      </c>
      <c r="J5288" s="18">
        <v>10604.24</v>
      </c>
      <c r="K5288" s="38" t="s">
        <v>8348</v>
      </c>
    </row>
    <row r="5289" spans="1:11" ht="14.25" customHeight="1" x14ac:dyDescent="0.25">
      <c r="A5289" s="13" t="s">
        <v>11189</v>
      </c>
      <c r="B5289" s="13" t="s">
        <v>38</v>
      </c>
      <c r="C5289" s="13" t="s">
        <v>14</v>
      </c>
      <c r="D5289" s="19">
        <v>12733</v>
      </c>
      <c r="E5289" s="13" t="s">
        <v>8532</v>
      </c>
      <c r="F5289" s="14">
        <v>41275</v>
      </c>
      <c r="G5289" s="14">
        <v>41639</v>
      </c>
      <c r="H5289" s="13" t="s">
        <v>651</v>
      </c>
      <c r="I5289" s="18">
        <v>1365</v>
      </c>
      <c r="J5289" s="18">
        <v>1365</v>
      </c>
      <c r="K5289" s="38" t="s">
        <v>8348</v>
      </c>
    </row>
    <row r="5290" spans="1:11" ht="14.25" customHeight="1" x14ac:dyDescent="0.25">
      <c r="A5290" s="13" t="s">
        <v>2285</v>
      </c>
      <c r="B5290" s="13" t="s">
        <v>38</v>
      </c>
      <c r="C5290" s="13" t="s">
        <v>14</v>
      </c>
      <c r="D5290" s="19">
        <v>12734</v>
      </c>
      <c r="E5290" s="13" t="s">
        <v>8817</v>
      </c>
      <c r="F5290" s="14">
        <v>41275</v>
      </c>
      <c r="G5290" s="14">
        <v>41639</v>
      </c>
      <c r="H5290" s="13" t="s">
        <v>651</v>
      </c>
      <c r="I5290" s="18">
        <v>24744.17</v>
      </c>
      <c r="J5290" s="18">
        <v>24744.17</v>
      </c>
      <c r="K5290" s="38" t="s">
        <v>8348</v>
      </c>
    </row>
    <row r="5291" spans="1:11" ht="14.25" customHeight="1" x14ac:dyDescent="0.25">
      <c r="A5291" s="13" t="s">
        <v>9913</v>
      </c>
      <c r="B5291" s="13" t="s">
        <v>38</v>
      </c>
      <c r="C5291" s="13" t="s">
        <v>14</v>
      </c>
      <c r="D5291" s="19">
        <v>12735</v>
      </c>
      <c r="E5291" s="13" t="s">
        <v>11190</v>
      </c>
      <c r="F5291" s="14">
        <v>41275</v>
      </c>
      <c r="G5291" s="14">
        <v>41639</v>
      </c>
      <c r="H5291" s="13" t="s">
        <v>651</v>
      </c>
      <c r="I5291" s="18">
        <v>23770</v>
      </c>
      <c r="J5291" s="18">
        <v>23770</v>
      </c>
      <c r="K5291" s="38" t="s">
        <v>8348</v>
      </c>
    </row>
    <row r="5292" spans="1:11" ht="14.25" customHeight="1" x14ac:dyDescent="0.25">
      <c r="A5292" s="13" t="s">
        <v>11191</v>
      </c>
      <c r="B5292" s="13" t="s">
        <v>38</v>
      </c>
      <c r="C5292" s="13" t="s">
        <v>14</v>
      </c>
      <c r="D5292" s="19">
        <v>12736</v>
      </c>
      <c r="E5292" s="13" t="s">
        <v>11192</v>
      </c>
      <c r="F5292" s="14">
        <v>41579</v>
      </c>
      <c r="G5292" s="14">
        <v>41608</v>
      </c>
      <c r="H5292" s="13" t="s">
        <v>651</v>
      </c>
      <c r="I5292" s="18">
        <v>1599.67</v>
      </c>
      <c r="J5292" s="18">
        <v>1599.67</v>
      </c>
      <c r="K5292" s="38" t="s">
        <v>8348</v>
      </c>
    </row>
    <row r="5293" spans="1:11" ht="14.25" customHeight="1" x14ac:dyDescent="0.25">
      <c r="A5293" s="13" t="s">
        <v>11193</v>
      </c>
      <c r="B5293" s="13" t="s">
        <v>38</v>
      </c>
      <c r="C5293" s="13" t="s">
        <v>14</v>
      </c>
      <c r="D5293" s="19">
        <v>12737</v>
      </c>
      <c r="E5293" s="13" t="s">
        <v>11194</v>
      </c>
      <c r="F5293" s="14">
        <v>41609</v>
      </c>
      <c r="G5293" s="14">
        <v>41639</v>
      </c>
      <c r="H5293" s="13" t="s">
        <v>651</v>
      </c>
      <c r="I5293" s="18">
        <v>2718.65</v>
      </c>
      <c r="J5293" s="18">
        <v>2718.65</v>
      </c>
      <c r="K5293" s="38" t="s">
        <v>8348</v>
      </c>
    </row>
    <row r="5294" spans="1:11" ht="14.25" customHeight="1" x14ac:dyDescent="0.25">
      <c r="A5294" s="13" t="s">
        <v>8640</v>
      </c>
      <c r="B5294" s="13" t="s">
        <v>38</v>
      </c>
      <c r="C5294" s="13" t="s">
        <v>14</v>
      </c>
      <c r="D5294" s="19">
        <v>12738</v>
      </c>
      <c r="E5294" s="13" t="s">
        <v>8640</v>
      </c>
      <c r="F5294" s="14">
        <v>41275</v>
      </c>
      <c r="G5294" s="14">
        <v>41639</v>
      </c>
      <c r="H5294" s="13" t="s">
        <v>651</v>
      </c>
      <c r="I5294" s="18">
        <v>9234.5</v>
      </c>
      <c r="J5294" s="18">
        <v>9234.5</v>
      </c>
      <c r="K5294" s="38" t="s">
        <v>8348</v>
      </c>
    </row>
    <row r="5295" spans="1:11" ht="14.25" customHeight="1" x14ac:dyDescent="0.25">
      <c r="A5295" s="13" t="s">
        <v>11195</v>
      </c>
      <c r="B5295" s="13" t="s">
        <v>38</v>
      </c>
      <c r="C5295" s="13" t="s">
        <v>14</v>
      </c>
      <c r="D5295" s="19">
        <v>12739</v>
      </c>
      <c r="E5295" s="13" t="s">
        <v>8831</v>
      </c>
      <c r="F5295" s="14">
        <v>41275</v>
      </c>
      <c r="G5295" s="14">
        <v>41639</v>
      </c>
      <c r="H5295" s="13" t="s">
        <v>651</v>
      </c>
      <c r="I5295" s="18">
        <v>3965.92</v>
      </c>
      <c r="J5295" s="18">
        <v>1982.96</v>
      </c>
      <c r="K5295" s="38" t="s">
        <v>8348</v>
      </c>
    </row>
    <row r="5296" spans="1:11" ht="14.25" customHeight="1" x14ac:dyDescent="0.25">
      <c r="A5296" s="13" t="s">
        <v>11196</v>
      </c>
      <c r="B5296" s="13" t="s">
        <v>38</v>
      </c>
      <c r="C5296" s="13" t="s">
        <v>14</v>
      </c>
      <c r="D5296" s="19">
        <v>12740</v>
      </c>
      <c r="E5296" s="13" t="s">
        <v>8894</v>
      </c>
      <c r="F5296" s="14">
        <v>41275</v>
      </c>
      <c r="G5296" s="14">
        <v>41639</v>
      </c>
      <c r="H5296" s="13" t="s">
        <v>651</v>
      </c>
      <c r="I5296" s="18">
        <f>2138.91+3.35</f>
        <v>2142.2599999999998</v>
      </c>
      <c r="J5296" s="18">
        <v>2138.91</v>
      </c>
      <c r="K5296" s="38" t="s">
        <v>8348</v>
      </c>
    </row>
    <row r="5297" spans="1:14" ht="14.25" customHeight="1" x14ac:dyDescent="0.25">
      <c r="A5297" s="13" t="s">
        <v>11197</v>
      </c>
      <c r="B5297" s="13" t="s">
        <v>38</v>
      </c>
      <c r="C5297" s="13" t="s">
        <v>14</v>
      </c>
      <c r="D5297" s="19">
        <v>12741</v>
      </c>
      <c r="E5297" s="13" t="s">
        <v>11198</v>
      </c>
      <c r="F5297" s="14">
        <v>41275</v>
      </c>
      <c r="G5297" s="14">
        <v>41639</v>
      </c>
      <c r="H5297" s="13" t="s">
        <v>651</v>
      </c>
      <c r="I5297" s="18">
        <v>40006</v>
      </c>
      <c r="J5297" s="18">
        <v>20003</v>
      </c>
      <c r="K5297" s="38" t="s">
        <v>8348</v>
      </c>
    </row>
    <row r="5298" spans="1:14" ht="14.25" customHeight="1" x14ac:dyDescent="0.25">
      <c r="A5298" s="13" t="s">
        <v>11199</v>
      </c>
      <c r="B5298" s="13" t="s">
        <v>38</v>
      </c>
      <c r="C5298" s="13" t="s">
        <v>14</v>
      </c>
      <c r="D5298" s="19">
        <v>12742</v>
      </c>
      <c r="E5298" s="13" t="s">
        <v>8841</v>
      </c>
      <c r="F5298" s="14">
        <v>41275</v>
      </c>
      <c r="G5298" s="14">
        <v>41639</v>
      </c>
      <c r="H5298" s="13" t="s">
        <v>651</v>
      </c>
      <c r="I5298" s="18">
        <v>2075</v>
      </c>
      <c r="J5298" s="18">
        <v>2075</v>
      </c>
      <c r="K5298" s="38" t="s">
        <v>8348</v>
      </c>
    </row>
    <row r="5299" spans="1:14" ht="14.25" customHeight="1" x14ac:dyDescent="0.25">
      <c r="A5299" s="13" t="s">
        <v>11200</v>
      </c>
      <c r="B5299" s="13" t="s">
        <v>38</v>
      </c>
      <c r="C5299" s="13" t="s">
        <v>14</v>
      </c>
      <c r="D5299" s="19">
        <v>12743</v>
      </c>
      <c r="E5299" s="13" t="s">
        <v>11201</v>
      </c>
      <c r="F5299" s="14">
        <v>41604</v>
      </c>
      <c r="G5299" s="14">
        <v>41632</v>
      </c>
      <c r="H5299" s="13" t="s">
        <v>651</v>
      </c>
      <c r="I5299" s="18">
        <v>1421.2</v>
      </c>
      <c r="J5299" s="18">
        <v>1421.2</v>
      </c>
      <c r="K5299" s="38" t="s">
        <v>8348</v>
      </c>
    </row>
    <row r="5300" spans="1:14" s="21" customFormat="1" ht="12.75" x14ac:dyDescent="0.25">
      <c r="A5300" s="21" t="s">
        <v>11639</v>
      </c>
      <c r="B5300" s="4" t="s">
        <v>183</v>
      </c>
      <c r="C5300" s="21" t="s">
        <v>14</v>
      </c>
      <c r="D5300" s="36">
        <v>7660</v>
      </c>
      <c r="E5300" s="4" t="s">
        <v>11640</v>
      </c>
      <c r="F5300" s="22">
        <v>40522</v>
      </c>
      <c r="G5300" s="22">
        <v>40543</v>
      </c>
      <c r="H5300" s="21" t="s">
        <v>40</v>
      </c>
      <c r="I5300" s="23">
        <v>0</v>
      </c>
      <c r="J5300" s="23">
        <v>-63000</v>
      </c>
      <c r="K5300" s="38" t="s">
        <v>8348</v>
      </c>
      <c r="L5300" s="123"/>
      <c r="M5300" s="24"/>
      <c r="N5300" s="24"/>
    </row>
    <row r="5301" spans="1:14" ht="14.25" customHeight="1" x14ac:dyDescent="0.25">
      <c r="A5301" s="13" t="s">
        <v>11202</v>
      </c>
      <c r="B5301" s="13" t="s">
        <v>38</v>
      </c>
      <c r="C5301" s="13" t="s">
        <v>14</v>
      </c>
      <c r="D5301" s="19">
        <v>12744</v>
      </c>
      <c r="E5301" s="13" t="s">
        <v>8821</v>
      </c>
      <c r="F5301" s="14">
        <v>41275</v>
      </c>
      <c r="G5301" s="14">
        <v>41639</v>
      </c>
      <c r="H5301" s="13" t="s">
        <v>651</v>
      </c>
      <c r="I5301" s="18">
        <v>226</v>
      </c>
      <c r="J5301" s="18">
        <v>226.5</v>
      </c>
      <c r="K5301" s="38" t="s">
        <v>8348</v>
      </c>
    </row>
    <row r="5302" spans="1:14" s="32" customFormat="1" ht="14.25" customHeight="1" x14ac:dyDescent="0.25">
      <c r="A5302" s="13" t="s">
        <v>11603</v>
      </c>
      <c r="B5302" s="32" t="s">
        <v>13</v>
      </c>
      <c r="C5302" s="32" t="s">
        <v>14</v>
      </c>
      <c r="D5302" s="33">
        <v>13034</v>
      </c>
      <c r="E5302" s="13" t="s">
        <v>11539</v>
      </c>
      <c r="F5302" s="34">
        <v>40544</v>
      </c>
      <c r="G5302" s="34">
        <v>42825</v>
      </c>
      <c r="H5302" s="32" t="s">
        <v>3587</v>
      </c>
      <c r="I5302" s="94">
        <f>295289.2+78817.33</f>
        <v>374106.53</v>
      </c>
      <c r="J5302" s="94">
        <f>295289.2+78817.33</f>
        <v>374106.53</v>
      </c>
      <c r="K5302" s="38" t="s">
        <v>8348</v>
      </c>
      <c r="L5302" s="122"/>
    </row>
    <row r="5303" spans="1:14" s="4" customFormat="1" ht="14.25" customHeight="1" x14ac:dyDescent="0.25">
      <c r="A5303" s="4" t="s">
        <v>8897</v>
      </c>
      <c r="B5303" s="4" t="s">
        <v>13</v>
      </c>
      <c r="C5303" s="4" t="s">
        <v>8348</v>
      </c>
      <c r="D5303" s="35">
        <v>3682</v>
      </c>
      <c r="E5303" s="7" t="s">
        <v>8898</v>
      </c>
      <c r="F5303" s="5">
        <v>39083</v>
      </c>
      <c r="G5303" s="5">
        <v>42369</v>
      </c>
      <c r="H5303" s="4" t="s">
        <v>2637</v>
      </c>
      <c r="I5303" s="17">
        <v>432192.81</v>
      </c>
      <c r="J5303" s="17">
        <v>432192.81</v>
      </c>
      <c r="K5303" s="38" t="s">
        <v>8348</v>
      </c>
      <c r="L5303" s="119"/>
      <c r="M5303" s="3"/>
    </row>
    <row r="5304" spans="1:14" s="4" customFormat="1" ht="14.25" customHeight="1" x14ac:dyDescent="0.25">
      <c r="A5304" s="13" t="s">
        <v>8899</v>
      </c>
      <c r="B5304" s="4" t="s">
        <v>13</v>
      </c>
      <c r="C5304" s="4" t="s">
        <v>8348</v>
      </c>
      <c r="D5304" s="35">
        <v>6515</v>
      </c>
      <c r="E5304" s="13" t="s">
        <v>8900</v>
      </c>
      <c r="F5304" s="5">
        <v>39083</v>
      </c>
      <c r="G5304" s="5">
        <v>42369</v>
      </c>
      <c r="H5304" s="4" t="s">
        <v>8901</v>
      </c>
      <c r="I5304" s="104">
        <v>4669738.33</v>
      </c>
      <c r="J5304" s="104">
        <v>4669738.33</v>
      </c>
      <c r="K5304" s="38" t="s">
        <v>8348</v>
      </c>
      <c r="L5304" s="119"/>
      <c r="M5304" s="3"/>
    </row>
    <row r="5305" spans="1:14" s="4" customFormat="1" ht="14.25" customHeight="1" x14ac:dyDescent="0.25">
      <c r="A5305" s="13"/>
      <c r="D5305" s="35"/>
      <c r="E5305" s="26" t="s">
        <v>2642</v>
      </c>
      <c r="F5305" s="28"/>
      <c r="G5305" s="28"/>
      <c r="H5305" s="26"/>
      <c r="I5305" s="27">
        <f>SUM(I4989+I4990)</f>
        <v>835928.85</v>
      </c>
      <c r="J5305" s="27">
        <f>SUM(J4989+J4990)</f>
        <v>835928.85</v>
      </c>
      <c r="K5305" s="38" t="s">
        <v>8348</v>
      </c>
      <c r="L5305" s="119"/>
      <c r="M5305" s="3"/>
    </row>
    <row r="5306" spans="1:14" s="4" customFormat="1" ht="14.25" customHeight="1" x14ac:dyDescent="0.25">
      <c r="A5306" s="13"/>
      <c r="D5306" s="35"/>
      <c r="E5306" s="26" t="s">
        <v>351</v>
      </c>
      <c r="F5306" s="28"/>
      <c r="G5306" s="28"/>
      <c r="H5306" s="26"/>
      <c r="I5306" s="27">
        <f>SUM(I4991:I4994)</f>
        <v>445449.43</v>
      </c>
      <c r="J5306" s="27">
        <f>SUM(J4991:J4994)</f>
        <v>116838</v>
      </c>
      <c r="K5306" s="38" t="s">
        <v>8348</v>
      </c>
      <c r="L5306" s="119"/>
      <c r="M5306" s="3"/>
    </row>
    <row r="5307" spans="1:14" s="4" customFormat="1" ht="14.25" customHeight="1" x14ac:dyDescent="0.25">
      <c r="A5307" s="13"/>
      <c r="D5307" s="35"/>
      <c r="E5307" s="26" t="s">
        <v>2643</v>
      </c>
      <c r="F5307" s="28"/>
      <c r="G5307" s="28"/>
      <c r="H5307" s="26"/>
      <c r="I5307" s="27">
        <f>SUM(I4995:I5026)</f>
        <v>5218526.6399999987</v>
      </c>
      <c r="J5307" s="27">
        <f>SUM(J4995:J5026)</f>
        <v>5218526.6399999987</v>
      </c>
      <c r="K5307" s="38" t="s">
        <v>8348</v>
      </c>
      <c r="L5307" s="119"/>
      <c r="M5307" s="3"/>
    </row>
    <row r="5308" spans="1:14" s="4" customFormat="1" ht="14.25" customHeight="1" x14ac:dyDescent="0.25">
      <c r="A5308" s="13"/>
      <c r="D5308" s="35"/>
      <c r="E5308" s="26" t="s">
        <v>352</v>
      </c>
      <c r="F5308" s="28"/>
      <c r="G5308" s="28"/>
      <c r="H5308" s="26"/>
      <c r="I5308" s="27">
        <f>SUM(I5027:I5301)</f>
        <v>3730320.94</v>
      </c>
      <c r="J5308" s="27">
        <f>SUM(J5027:J5301)</f>
        <v>2557794.5799999996</v>
      </c>
      <c r="K5308" s="38" t="s">
        <v>8348</v>
      </c>
      <c r="L5308" s="119"/>
      <c r="M5308" s="3"/>
    </row>
    <row r="5309" spans="1:14" s="4" customFormat="1" ht="14.25" customHeight="1" x14ac:dyDescent="0.25">
      <c r="A5309" s="13"/>
      <c r="D5309" s="35"/>
      <c r="E5309" s="26" t="s">
        <v>3587</v>
      </c>
      <c r="F5309" s="28"/>
      <c r="G5309" s="28"/>
      <c r="H5309" s="26"/>
      <c r="I5309" s="27">
        <f t="shared" ref="I5309:J5311" si="1">SUM(I5302)</f>
        <v>374106.53</v>
      </c>
      <c r="J5309" s="27">
        <f t="shared" si="1"/>
        <v>374106.53</v>
      </c>
      <c r="K5309" s="38" t="s">
        <v>8348</v>
      </c>
      <c r="L5309" s="119"/>
      <c r="M5309" s="3"/>
    </row>
    <row r="5310" spans="1:14" s="4" customFormat="1" ht="14.25" customHeight="1" x14ac:dyDescent="0.25">
      <c r="A5310" s="13"/>
      <c r="D5310" s="35"/>
      <c r="E5310" s="26" t="s">
        <v>2646</v>
      </c>
      <c r="F5310" s="28"/>
      <c r="G5310" s="28"/>
      <c r="H5310" s="26"/>
      <c r="I5310" s="27">
        <f t="shared" si="1"/>
        <v>432192.81</v>
      </c>
      <c r="J5310" s="27">
        <f t="shared" si="1"/>
        <v>432192.81</v>
      </c>
      <c r="K5310" s="38" t="s">
        <v>8348</v>
      </c>
      <c r="L5310" s="119"/>
      <c r="M5310" s="3"/>
    </row>
    <row r="5311" spans="1:14" s="4" customFormat="1" ht="14.25" customHeight="1" x14ac:dyDescent="0.25">
      <c r="A5311" s="13"/>
      <c r="D5311" s="35"/>
      <c r="E5311" s="26" t="s">
        <v>3608</v>
      </c>
      <c r="F5311" s="28"/>
      <c r="G5311" s="28"/>
      <c r="H5311" s="26"/>
      <c r="I5311" s="27">
        <f t="shared" si="1"/>
        <v>4669738.33</v>
      </c>
      <c r="J5311" s="27">
        <f t="shared" si="1"/>
        <v>4669738.33</v>
      </c>
      <c r="K5311" s="38" t="s">
        <v>8348</v>
      </c>
      <c r="L5311" s="119"/>
      <c r="M5311" s="3"/>
    </row>
    <row r="5312" spans="1:14" s="4" customFormat="1" ht="14.25" customHeight="1" x14ac:dyDescent="0.25">
      <c r="A5312" s="13"/>
      <c r="D5312" s="35"/>
      <c r="E5312" s="26" t="s">
        <v>8902</v>
      </c>
      <c r="F5312" s="28"/>
      <c r="G5312" s="28"/>
      <c r="H5312" s="26"/>
      <c r="I5312" s="27">
        <f>SUM(I5305:I5311)</f>
        <v>15706263.529999999</v>
      </c>
      <c r="J5312" s="27">
        <f>SUM(J5305:J5311)</f>
        <v>14205125.739999998</v>
      </c>
      <c r="K5312" s="38" t="s">
        <v>8348</v>
      </c>
      <c r="L5312" s="119"/>
      <c r="M5312" s="3"/>
    </row>
    <row r="5313" spans="1:13" s="4" customFormat="1" ht="14.25" customHeight="1" x14ac:dyDescent="0.25">
      <c r="A5313" s="13"/>
      <c r="D5313" s="35"/>
      <c r="E5313" s="13"/>
      <c r="F5313" s="5"/>
      <c r="G5313" s="5"/>
      <c r="I5313" s="17"/>
      <c r="J5313" s="17"/>
      <c r="K5313" s="37"/>
      <c r="L5313" s="119"/>
      <c r="M5313" s="3"/>
    </row>
    <row r="5314" spans="1:13" s="4" customFormat="1" ht="14.25" customHeight="1" x14ac:dyDescent="0.25">
      <c r="A5314" s="4" t="s">
        <v>8903</v>
      </c>
      <c r="B5314" s="4" t="s">
        <v>13</v>
      </c>
      <c r="C5314" s="4" t="s">
        <v>14</v>
      </c>
      <c r="D5314" s="35">
        <v>3869</v>
      </c>
      <c r="E5314" s="4" t="s">
        <v>8904</v>
      </c>
      <c r="F5314" s="5">
        <v>40017</v>
      </c>
      <c r="G5314" s="5">
        <v>40269</v>
      </c>
      <c r="H5314" s="4" t="s">
        <v>16</v>
      </c>
      <c r="I5314" s="6">
        <v>14664.59</v>
      </c>
      <c r="J5314" s="6">
        <v>3986.4</v>
      </c>
      <c r="K5314" s="37" t="s">
        <v>8905</v>
      </c>
      <c r="L5314" s="119"/>
      <c r="M5314" s="3"/>
    </row>
    <row r="5315" spans="1:13" s="4" customFormat="1" ht="14.25" customHeight="1" x14ac:dyDescent="0.25">
      <c r="A5315" s="4" t="s">
        <v>8906</v>
      </c>
      <c r="B5315" s="4" t="s">
        <v>13</v>
      </c>
      <c r="C5315" s="4" t="s">
        <v>14</v>
      </c>
      <c r="D5315" s="35">
        <v>3870</v>
      </c>
      <c r="E5315" s="4" t="s">
        <v>8907</v>
      </c>
      <c r="F5315" s="5">
        <v>39694</v>
      </c>
      <c r="G5315" s="5">
        <v>40086</v>
      </c>
      <c r="H5315" s="4" t="s">
        <v>16</v>
      </c>
      <c r="I5315" s="6">
        <v>150653.93</v>
      </c>
      <c r="J5315" s="6">
        <v>42000</v>
      </c>
      <c r="K5315" s="37" t="s">
        <v>8905</v>
      </c>
      <c r="L5315" s="119"/>
      <c r="M5315" s="3"/>
    </row>
    <row r="5316" spans="1:13" s="4" customFormat="1" ht="14.25" customHeight="1" x14ac:dyDescent="0.25">
      <c r="A5316" s="4" t="s">
        <v>8908</v>
      </c>
      <c r="B5316" s="4" t="s">
        <v>13</v>
      </c>
      <c r="C5316" s="4" t="s">
        <v>14</v>
      </c>
      <c r="D5316" s="35">
        <v>3871</v>
      </c>
      <c r="E5316" s="4" t="s">
        <v>8909</v>
      </c>
      <c r="F5316" s="5">
        <v>39770</v>
      </c>
      <c r="G5316" s="5">
        <v>39871</v>
      </c>
      <c r="H5316" s="4" t="s">
        <v>16</v>
      </c>
      <c r="I5316" s="6">
        <v>4700</v>
      </c>
      <c r="J5316" s="6">
        <v>1410</v>
      </c>
      <c r="K5316" s="37" t="s">
        <v>8905</v>
      </c>
      <c r="L5316" s="119"/>
      <c r="M5316" s="3"/>
    </row>
    <row r="5317" spans="1:13" s="4" customFormat="1" ht="14.25" customHeight="1" x14ac:dyDescent="0.25">
      <c r="A5317" s="4" t="s">
        <v>8910</v>
      </c>
      <c r="B5317" s="4" t="s">
        <v>13</v>
      </c>
      <c r="C5317" s="4" t="s">
        <v>14</v>
      </c>
      <c r="D5317" s="35">
        <v>3872</v>
      </c>
      <c r="E5317" s="4" t="s">
        <v>8911</v>
      </c>
      <c r="F5317" s="5">
        <v>39455</v>
      </c>
      <c r="G5317" s="5">
        <v>39689</v>
      </c>
      <c r="H5317" s="4" t="s">
        <v>16</v>
      </c>
      <c r="I5317" s="6">
        <v>90628</v>
      </c>
      <c r="J5317" s="6">
        <v>22500</v>
      </c>
      <c r="K5317" s="37" t="s">
        <v>8905</v>
      </c>
      <c r="L5317" s="119"/>
      <c r="M5317" s="3"/>
    </row>
    <row r="5318" spans="1:13" s="4" customFormat="1" ht="14.25" customHeight="1" x14ac:dyDescent="0.25">
      <c r="A5318" s="4" t="s">
        <v>8912</v>
      </c>
      <c r="B5318" s="4" t="s">
        <v>13</v>
      </c>
      <c r="C5318" s="4" t="s">
        <v>14</v>
      </c>
      <c r="D5318" s="35">
        <v>3873</v>
      </c>
      <c r="E5318" s="4" t="s">
        <v>8913</v>
      </c>
      <c r="F5318" s="5">
        <v>39862</v>
      </c>
      <c r="G5318" s="5">
        <v>40087</v>
      </c>
      <c r="H5318" s="4" t="s">
        <v>16</v>
      </c>
      <c r="I5318" s="6">
        <v>11088</v>
      </c>
      <c r="J5318" s="6">
        <v>2186</v>
      </c>
      <c r="K5318" s="37" t="s">
        <v>8905</v>
      </c>
      <c r="L5318" s="119"/>
      <c r="M5318" s="3"/>
    </row>
    <row r="5319" spans="1:13" s="4" customFormat="1" ht="14.25" customHeight="1" x14ac:dyDescent="0.25">
      <c r="A5319" s="4" t="s">
        <v>8914</v>
      </c>
      <c r="B5319" s="4" t="s">
        <v>13</v>
      </c>
      <c r="C5319" s="4" t="s">
        <v>14</v>
      </c>
      <c r="D5319" s="35">
        <v>3874</v>
      </c>
      <c r="E5319" s="4" t="s">
        <v>8915</v>
      </c>
      <c r="F5319" s="5">
        <v>39694</v>
      </c>
      <c r="G5319" s="5">
        <v>39812</v>
      </c>
      <c r="H5319" s="4" t="s">
        <v>16</v>
      </c>
      <c r="I5319" s="6">
        <v>60425</v>
      </c>
      <c r="J5319" s="6">
        <v>16500</v>
      </c>
      <c r="K5319" s="37" t="s">
        <v>8905</v>
      </c>
      <c r="L5319" s="119"/>
      <c r="M5319" s="3"/>
    </row>
    <row r="5320" spans="1:13" s="4" customFormat="1" ht="14.25" customHeight="1" x14ac:dyDescent="0.25">
      <c r="A5320" s="4" t="s">
        <v>8910</v>
      </c>
      <c r="B5320" s="4" t="s">
        <v>13</v>
      </c>
      <c r="C5320" s="4" t="s">
        <v>14</v>
      </c>
      <c r="D5320" s="35">
        <v>3877</v>
      </c>
      <c r="E5320" s="4" t="s">
        <v>8916</v>
      </c>
      <c r="F5320" s="5">
        <v>39455</v>
      </c>
      <c r="G5320" s="5">
        <v>39689</v>
      </c>
      <c r="H5320" s="4" t="s">
        <v>16</v>
      </c>
      <c r="I5320" s="6">
        <v>19200</v>
      </c>
      <c r="J5320" s="6">
        <v>5280</v>
      </c>
      <c r="K5320" s="37" t="s">
        <v>8905</v>
      </c>
      <c r="L5320" s="119"/>
      <c r="M5320" s="3"/>
    </row>
    <row r="5321" spans="1:13" s="4" customFormat="1" ht="14.25" customHeight="1" x14ac:dyDescent="0.25">
      <c r="A5321" s="4" t="s">
        <v>2648</v>
      </c>
      <c r="B5321" s="4" t="s">
        <v>13</v>
      </c>
      <c r="C5321" s="4" t="s">
        <v>14</v>
      </c>
      <c r="D5321" s="35">
        <v>4130</v>
      </c>
      <c r="E5321" s="7" t="s">
        <v>8917</v>
      </c>
      <c r="F5321" s="5">
        <v>39694</v>
      </c>
      <c r="G5321" s="5">
        <v>40471</v>
      </c>
      <c r="H5321" s="4" t="s">
        <v>16</v>
      </c>
      <c r="I5321" s="6">
        <v>93730</v>
      </c>
      <c r="J5321" s="6">
        <v>28119</v>
      </c>
      <c r="K5321" s="37" t="s">
        <v>8905</v>
      </c>
      <c r="L5321" s="119"/>
      <c r="M5321" s="3"/>
    </row>
    <row r="5322" spans="1:13" s="4" customFormat="1" ht="14.25" customHeight="1" x14ac:dyDescent="0.25">
      <c r="A5322" s="4" t="s">
        <v>8918</v>
      </c>
      <c r="B5322" s="4" t="s">
        <v>13</v>
      </c>
      <c r="C5322" s="4" t="s">
        <v>14</v>
      </c>
      <c r="D5322" s="35">
        <v>10053</v>
      </c>
      <c r="E5322" s="4" t="s">
        <v>8919</v>
      </c>
      <c r="F5322" s="5">
        <v>40197</v>
      </c>
      <c r="G5322" s="5">
        <v>40332</v>
      </c>
      <c r="H5322" s="4" t="s">
        <v>16</v>
      </c>
      <c r="I5322" s="6">
        <v>7030.84</v>
      </c>
      <c r="J5322" s="6">
        <v>1824</v>
      </c>
      <c r="K5322" s="37" t="s">
        <v>8905</v>
      </c>
      <c r="L5322" s="119"/>
    </row>
    <row r="5323" spans="1:13" s="4" customFormat="1" ht="14.25" customHeight="1" x14ac:dyDescent="0.25">
      <c r="A5323" s="4" t="s">
        <v>8920</v>
      </c>
      <c r="B5323" s="4" t="s">
        <v>13</v>
      </c>
      <c r="C5323" s="4" t="s">
        <v>14</v>
      </c>
      <c r="D5323" s="35">
        <v>10139</v>
      </c>
      <c r="E5323" s="4" t="s">
        <v>8921</v>
      </c>
      <c r="F5323" s="5">
        <v>40364</v>
      </c>
      <c r="G5323" s="5">
        <v>40452</v>
      </c>
      <c r="H5323" s="4" t="s">
        <v>16</v>
      </c>
      <c r="I5323" s="6">
        <v>46058.96</v>
      </c>
      <c r="J5323" s="6">
        <v>13817.69</v>
      </c>
      <c r="K5323" s="37" t="s">
        <v>8905</v>
      </c>
      <c r="L5323" s="119"/>
      <c r="M5323" s="3"/>
    </row>
    <row r="5324" spans="1:13" s="4" customFormat="1" ht="14.25" customHeight="1" x14ac:dyDescent="0.25">
      <c r="A5324" s="4" t="s">
        <v>8922</v>
      </c>
      <c r="B5324" s="4" t="s">
        <v>13</v>
      </c>
      <c r="C5324" s="4" t="s">
        <v>14</v>
      </c>
      <c r="D5324" s="35">
        <v>9460</v>
      </c>
      <c r="E5324" s="4" t="s">
        <v>8923</v>
      </c>
      <c r="F5324" s="5">
        <v>39324</v>
      </c>
      <c r="G5324" s="5">
        <v>39446</v>
      </c>
      <c r="H5324" s="4" t="s">
        <v>389</v>
      </c>
      <c r="I5324" s="6">
        <v>35171.339999999997</v>
      </c>
      <c r="J5324" s="6">
        <v>14068.54</v>
      </c>
      <c r="K5324" s="37" t="s">
        <v>8905</v>
      </c>
      <c r="L5324" s="119"/>
      <c r="M5324" s="3"/>
    </row>
    <row r="5325" spans="1:13" s="4" customFormat="1" ht="14.25" customHeight="1" x14ac:dyDescent="0.25">
      <c r="A5325" s="4" t="s">
        <v>8924</v>
      </c>
      <c r="B5325" s="4" t="s">
        <v>13</v>
      </c>
      <c r="C5325" s="4" t="s">
        <v>14</v>
      </c>
      <c r="D5325" s="35">
        <v>9915</v>
      </c>
      <c r="E5325" s="7" t="s">
        <v>8925</v>
      </c>
      <c r="F5325" s="5">
        <v>40836</v>
      </c>
      <c r="G5325" s="5">
        <v>40898</v>
      </c>
      <c r="H5325" s="4" t="s">
        <v>389</v>
      </c>
      <c r="I5325" s="6">
        <v>146924</v>
      </c>
      <c r="J5325" s="6">
        <v>51423.4</v>
      </c>
      <c r="K5325" s="37" t="s">
        <v>8905</v>
      </c>
      <c r="L5325" s="119"/>
      <c r="M5325" s="3"/>
    </row>
    <row r="5326" spans="1:13" s="4" customFormat="1" ht="14.25" customHeight="1" x14ac:dyDescent="0.25">
      <c r="A5326" s="4" t="s">
        <v>8926</v>
      </c>
      <c r="B5326" s="4" t="s">
        <v>13</v>
      </c>
      <c r="C5326" s="4" t="s">
        <v>14</v>
      </c>
      <c r="D5326" s="35">
        <v>10034</v>
      </c>
      <c r="E5326" s="4" t="s">
        <v>8927</v>
      </c>
      <c r="F5326" s="5">
        <v>40394</v>
      </c>
      <c r="G5326" s="5">
        <v>40543</v>
      </c>
      <c r="H5326" s="4" t="s">
        <v>389</v>
      </c>
      <c r="I5326" s="6">
        <v>205751.8</v>
      </c>
      <c r="J5326" s="6">
        <v>72013</v>
      </c>
      <c r="K5326" s="37" t="s">
        <v>8905</v>
      </c>
      <c r="L5326" s="119"/>
      <c r="M5326" s="3"/>
    </row>
    <row r="5327" spans="1:13" s="4" customFormat="1" ht="14.25" customHeight="1" x14ac:dyDescent="0.25">
      <c r="A5327" s="4" t="s">
        <v>8928</v>
      </c>
      <c r="B5327" s="4" t="s">
        <v>13</v>
      </c>
      <c r="C5327" s="4" t="s">
        <v>14</v>
      </c>
      <c r="D5327" s="35">
        <v>10068</v>
      </c>
      <c r="E5327" s="4" t="s">
        <v>8929</v>
      </c>
      <c r="F5327" s="5">
        <v>40757</v>
      </c>
      <c r="G5327" s="5">
        <v>40900</v>
      </c>
      <c r="H5327" s="4" t="s">
        <v>389</v>
      </c>
      <c r="I5327" s="6">
        <v>565199.97</v>
      </c>
      <c r="J5327" s="6">
        <v>183819.99</v>
      </c>
      <c r="K5327" s="37" t="s">
        <v>8905</v>
      </c>
      <c r="L5327" s="119"/>
      <c r="M5327" s="3"/>
    </row>
    <row r="5328" spans="1:13" s="4" customFormat="1" ht="14.25" customHeight="1" x14ac:dyDescent="0.25">
      <c r="A5328" s="4" t="s">
        <v>8932</v>
      </c>
      <c r="B5328" s="4" t="s">
        <v>50</v>
      </c>
      <c r="C5328" s="4" t="s">
        <v>14</v>
      </c>
      <c r="D5328" s="35">
        <v>1738</v>
      </c>
      <c r="E5328" s="4" t="s">
        <v>8933</v>
      </c>
      <c r="F5328" s="5">
        <v>39125</v>
      </c>
      <c r="G5328" s="5">
        <v>39490</v>
      </c>
      <c r="H5328" s="4" t="s">
        <v>40</v>
      </c>
      <c r="I5328" s="6">
        <v>20000</v>
      </c>
      <c r="J5328" s="6">
        <v>10000</v>
      </c>
      <c r="K5328" s="37" t="s">
        <v>8905</v>
      </c>
      <c r="L5328" s="120"/>
      <c r="M5328" s="3"/>
    </row>
    <row r="5329" spans="1:13" s="4" customFormat="1" ht="14.25" customHeight="1" x14ac:dyDescent="0.25">
      <c r="A5329" s="4" t="s">
        <v>8934</v>
      </c>
      <c r="B5329" s="4" t="s">
        <v>59</v>
      </c>
      <c r="C5329" s="4" t="s">
        <v>14</v>
      </c>
      <c r="D5329" s="35">
        <v>1774</v>
      </c>
      <c r="E5329" s="4" t="s">
        <v>8935</v>
      </c>
      <c r="F5329" s="5">
        <v>39125</v>
      </c>
      <c r="H5329" s="4" t="s">
        <v>40</v>
      </c>
      <c r="I5329" s="6">
        <v>7500</v>
      </c>
      <c r="J5329" s="6">
        <v>7500</v>
      </c>
      <c r="K5329" s="37" t="s">
        <v>8905</v>
      </c>
      <c r="L5329" s="120"/>
      <c r="M5329" s="3"/>
    </row>
    <row r="5330" spans="1:13" s="4" customFormat="1" ht="14.25" customHeight="1" x14ac:dyDescent="0.25">
      <c r="A5330" s="4" t="s">
        <v>8936</v>
      </c>
      <c r="B5330" s="4" t="s">
        <v>50</v>
      </c>
      <c r="C5330" s="4" t="s">
        <v>14</v>
      </c>
      <c r="D5330" s="35">
        <v>1784</v>
      </c>
      <c r="E5330" s="4" t="s">
        <v>8937</v>
      </c>
      <c r="F5330" s="5">
        <v>39125</v>
      </c>
      <c r="G5330" s="5">
        <v>39275</v>
      </c>
      <c r="H5330" s="4" t="s">
        <v>40</v>
      </c>
      <c r="I5330" s="6">
        <v>103.84</v>
      </c>
      <c r="J5330" s="6">
        <v>51.92</v>
      </c>
      <c r="K5330" s="37" t="s">
        <v>8905</v>
      </c>
      <c r="L5330" s="120"/>
      <c r="M5330" s="3"/>
    </row>
    <row r="5331" spans="1:13" s="4" customFormat="1" ht="14.25" customHeight="1" x14ac:dyDescent="0.25">
      <c r="A5331" s="4" t="s">
        <v>8938</v>
      </c>
      <c r="B5331" s="4" t="s">
        <v>90</v>
      </c>
      <c r="C5331" s="4" t="s">
        <v>14</v>
      </c>
      <c r="D5331" s="35">
        <v>1787</v>
      </c>
      <c r="E5331" s="4" t="s">
        <v>8939</v>
      </c>
      <c r="F5331" s="5">
        <v>39188</v>
      </c>
      <c r="G5331" s="5">
        <v>39379</v>
      </c>
      <c r="H5331" s="4" t="s">
        <v>40</v>
      </c>
      <c r="I5331" s="6">
        <v>10000</v>
      </c>
      <c r="J5331" s="6">
        <v>5000</v>
      </c>
      <c r="K5331" s="37" t="s">
        <v>8905</v>
      </c>
      <c r="L5331" s="120"/>
      <c r="M5331" s="3"/>
    </row>
    <row r="5332" spans="1:13" s="4" customFormat="1" ht="14.25" customHeight="1" x14ac:dyDescent="0.25">
      <c r="A5332" s="4" t="s">
        <v>8940</v>
      </c>
      <c r="B5332" s="4" t="s">
        <v>59</v>
      </c>
      <c r="C5332" s="4" t="s">
        <v>14</v>
      </c>
      <c r="D5332" s="35">
        <v>1805</v>
      </c>
      <c r="E5332" s="4" t="s">
        <v>8941</v>
      </c>
      <c r="F5332" s="5">
        <v>39335</v>
      </c>
      <c r="G5332" s="5">
        <v>39577</v>
      </c>
      <c r="H5332" s="4" t="s">
        <v>40</v>
      </c>
      <c r="I5332" s="6">
        <v>7500</v>
      </c>
      <c r="J5332" s="6">
        <v>7500</v>
      </c>
      <c r="K5332" s="37" t="s">
        <v>8905</v>
      </c>
      <c r="L5332" s="120"/>
      <c r="M5332" s="3"/>
    </row>
    <row r="5333" spans="1:13" s="4" customFormat="1" ht="14.25" customHeight="1" x14ac:dyDescent="0.25">
      <c r="A5333" s="4" t="s">
        <v>8944</v>
      </c>
      <c r="B5333" s="4" t="s">
        <v>50</v>
      </c>
      <c r="C5333" s="4" t="s">
        <v>14</v>
      </c>
      <c r="D5333" s="35">
        <v>1810</v>
      </c>
      <c r="E5333" s="4" t="s">
        <v>8945</v>
      </c>
      <c r="F5333" s="5">
        <v>39244</v>
      </c>
      <c r="G5333" s="5">
        <v>39813</v>
      </c>
      <c r="H5333" s="4" t="s">
        <v>40</v>
      </c>
      <c r="I5333" s="6">
        <v>15366.92</v>
      </c>
      <c r="J5333" s="6">
        <v>7683.46</v>
      </c>
      <c r="K5333" s="37" t="s">
        <v>8905</v>
      </c>
      <c r="L5333" s="120"/>
      <c r="M5333" s="3"/>
    </row>
    <row r="5334" spans="1:13" s="4" customFormat="1" ht="14.25" customHeight="1" x14ac:dyDescent="0.25">
      <c r="A5334" s="4" t="s">
        <v>8948</v>
      </c>
      <c r="B5334" s="4" t="s">
        <v>50</v>
      </c>
      <c r="C5334" s="4" t="s">
        <v>14</v>
      </c>
      <c r="D5334" s="35">
        <v>1831</v>
      </c>
      <c r="E5334" s="4" t="s">
        <v>8949</v>
      </c>
      <c r="F5334" s="5">
        <v>39188</v>
      </c>
      <c r="G5334" s="5">
        <v>39422</v>
      </c>
      <c r="H5334" s="4" t="s">
        <v>40</v>
      </c>
      <c r="I5334" s="6">
        <v>66000</v>
      </c>
      <c r="J5334" s="6">
        <v>33000</v>
      </c>
      <c r="K5334" s="37" t="s">
        <v>8905</v>
      </c>
      <c r="L5334" s="120"/>
      <c r="M5334" s="3"/>
    </row>
    <row r="5335" spans="1:13" s="4" customFormat="1" ht="14.25" customHeight="1" x14ac:dyDescent="0.25">
      <c r="A5335" s="4" t="s">
        <v>8950</v>
      </c>
      <c r="B5335" s="4" t="s">
        <v>50</v>
      </c>
      <c r="C5335" s="4" t="s">
        <v>14</v>
      </c>
      <c r="D5335" s="35">
        <v>1834</v>
      </c>
      <c r="E5335" s="4" t="s">
        <v>8951</v>
      </c>
      <c r="F5335" s="5">
        <v>39335</v>
      </c>
      <c r="G5335" s="5">
        <v>39422</v>
      </c>
      <c r="H5335" s="4" t="s">
        <v>40</v>
      </c>
      <c r="I5335" s="6">
        <v>12000</v>
      </c>
      <c r="J5335" s="6">
        <v>6000</v>
      </c>
      <c r="K5335" s="37" t="s">
        <v>8905</v>
      </c>
      <c r="L5335" s="120"/>
      <c r="M5335" s="3"/>
    </row>
    <row r="5336" spans="1:13" s="4" customFormat="1" ht="14.25" customHeight="1" x14ac:dyDescent="0.25">
      <c r="A5336" s="4" t="s">
        <v>8952</v>
      </c>
      <c r="B5336" s="4" t="s">
        <v>50</v>
      </c>
      <c r="C5336" s="4" t="s">
        <v>14</v>
      </c>
      <c r="D5336" s="35">
        <v>1837</v>
      </c>
      <c r="E5336" s="4" t="s">
        <v>8953</v>
      </c>
      <c r="F5336" s="5">
        <v>39244</v>
      </c>
      <c r="G5336" s="5">
        <v>39813</v>
      </c>
      <c r="H5336" s="4" t="s">
        <v>40</v>
      </c>
      <c r="I5336" s="6">
        <v>13735.38</v>
      </c>
      <c r="J5336" s="6">
        <v>6867.69</v>
      </c>
      <c r="K5336" s="37" t="s">
        <v>8905</v>
      </c>
      <c r="L5336" s="120"/>
      <c r="M5336" s="3"/>
    </row>
    <row r="5337" spans="1:13" s="4" customFormat="1" ht="14.25" customHeight="1" x14ac:dyDescent="0.25">
      <c r="A5337" s="4" t="s">
        <v>8954</v>
      </c>
      <c r="B5337" s="4" t="s">
        <v>3116</v>
      </c>
      <c r="C5337" s="4" t="s">
        <v>14</v>
      </c>
      <c r="D5337" s="35">
        <v>1841</v>
      </c>
      <c r="E5337" s="4" t="s">
        <v>8955</v>
      </c>
      <c r="F5337" s="5">
        <v>39188</v>
      </c>
      <c r="G5337" s="5">
        <v>39218</v>
      </c>
      <c r="H5337" s="4" t="s">
        <v>40</v>
      </c>
      <c r="I5337" s="6">
        <v>72000</v>
      </c>
      <c r="J5337" s="6">
        <v>36000</v>
      </c>
      <c r="K5337" s="37" t="s">
        <v>8905</v>
      </c>
      <c r="L5337" s="120"/>
      <c r="M5337" s="3"/>
    </row>
    <row r="5338" spans="1:13" s="4" customFormat="1" ht="14.25" customHeight="1" x14ac:dyDescent="0.25">
      <c r="A5338" s="4" t="s">
        <v>8956</v>
      </c>
      <c r="B5338" s="4" t="s">
        <v>50</v>
      </c>
      <c r="C5338" s="4" t="s">
        <v>14</v>
      </c>
      <c r="D5338" s="35">
        <v>1843</v>
      </c>
      <c r="E5338" s="4" t="s">
        <v>8957</v>
      </c>
      <c r="F5338" s="5">
        <v>39606</v>
      </c>
      <c r="G5338" s="5">
        <v>39679</v>
      </c>
      <c r="H5338" s="4" t="s">
        <v>40</v>
      </c>
      <c r="I5338" s="6">
        <v>38000</v>
      </c>
      <c r="J5338" s="6">
        <v>19000</v>
      </c>
      <c r="K5338" s="37" t="s">
        <v>8905</v>
      </c>
      <c r="L5338" s="120"/>
      <c r="M5338" s="3"/>
    </row>
    <row r="5339" spans="1:13" s="4" customFormat="1" ht="14.25" customHeight="1" x14ac:dyDescent="0.25">
      <c r="A5339" s="4" t="s">
        <v>8958</v>
      </c>
      <c r="B5339" s="4" t="s">
        <v>50</v>
      </c>
      <c r="C5339" s="4" t="s">
        <v>14</v>
      </c>
      <c r="D5339" s="35">
        <v>1845</v>
      </c>
      <c r="E5339" s="4" t="s">
        <v>8959</v>
      </c>
      <c r="F5339" s="5">
        <v>39552</v>
      </c>
      <c r="G5339" s="5">
        <v>40178</v>
      </c>
      <c r="H5339" s="4" t="s">
        <v>40</v>
      </c>
      <c r="I5339" s="6">
        <v>24787.14</v>
      </c>
      <c r="J5339" s="6">
        <v>12393.57</v>
      </c>
      <c r="K5339" s="37" t="s">
        <v>8905</v>
      </c>
      <c r="L5339" s="120"/>
      <c r="M5339" s="3"/>
    </row>
    <row r="5340" spans="1:13" s="4" customFormat="1" ht="14.25" customHeight="1" x14ac:dyDescent="0.25">
      <c r="A5340" s="4" t="s">
        <v>8960</v>
      </c>
      <c r="B5340" s="4" t="s">
        <v>50</v>
      </c>
      <c r="C5340" s="4" t="s">
        <v>14</v>
      </c>
      <c r="D5340" s="35">
        <v>1847</v>
      </c>
      <c r="E5340" s="4" t="s">
        <v>8961</v>
      </c>
      <c r="F5340" s="5">
        <v>39496</v>
      </c>
      <c r="G5340" s="5">
        <v>39749</v>
      </c>
      <c r="H5340" s="4" t="s">
        <v>40</v>
      </c>
      <c r="I5340" s="6">
        <v>60000</v>
      </c>
      <c r="J5340" s="6">
        <v>30000</v>
      </c>
      <c r="K5340" s="37" t="s">
        <v>8905</v>
      </c>
      <c r="L5340" s="120"/>
      <c r="M5340" s="3"/>
    </row>
    <row r="5341" spans="1:13" s="4" customFormat="1" ht="14.25" customHeight="1" x14ac:dyDescent="0.25">
      <c r="A5341" s="4" t="s">
        <v>8962</v>
      </c>
      <c r="B5341" s="4" t="s">
        <v>90</v>
      </c>
      <c r="C5341" s="4" t="s">
        <v>14</v>
      </c>
      <c r="D5341" s="35">
        <v>1849</v>
      </c>
      <c r="E5341" s="4" t="s">
        <v>8963</v>
      </c>
      <c r="F5341" s="5">
        <v>39244</v>
      </c>
      <c r="G5341" s="5">
        <v>39749</v>
      </c>
      <c r="H5341" s="4" t="s">
        <v>40</v>
      </c>
      <c r="I5341" s="6">
        <v>10000</v>
      </c>
      <c r="J5341" s="6">
        <v>5000</v>
      </c>
      <c r="K5341" s="37" t="s">
        <v>8905</v>
      </c>
      <c r="L5341" s="120"/>
      <c r="M5341" s="3"/>
    </row>
    <row r="5342" spans="1:13" s="4" customFormat="1" ht="14.25" customHeight="1" x14ac:dyDescent="0.25">
      <c r="A5342" s="4" t="s">
        <v>8964</v>
      </c>
      <c r="B5342" s="4" t="s">
        <v>50</v>
      </c>
      <c r="C5342" s="4" t="s">
        <v>14</v>
      </c>
      <c r="D5342" s="35">
        <v>1852</v>
      </c>
      <c r="E5342" s="4" t="s">
        <v>8965</v>
      </c>
      <c r="F5342" s="5">
        <v>39496</v>
      </c>
      <c r="G5342" s="5">
        <v>39813</v>
      </c>
      <c r="H5342" s="4" t="s">
        <v>40</v>
      </c>
      <c r="I5342" s="6">
        <v>28460.22</v>
      </c>
      <c r="J5342" s="6">
        <v>14230.11</v>
      </c>
      <c r="K5342" s="37" t="s">
        <v>8905</v>
      </c>
      <c r="L5342" s="120"/>
      <c r="M5342" s="3"/>
    </row>
    <row r="5343" spans="1:13" s="4" customFormat="1" ht="14.25" customHeight="1" x14ac:dyDescent="0.25">
      <c r="A5343" s="4" t="s">
        <v>8966</v>
      </c>
      <c r="B5343" s="4" t="s">
        <v>50</v>
      </c>
      <c r="C5343" s="4" t="s">
        <v>14</v>
      </c>
      <c r="D5343" s="35">
        <v>1855</v>
      </c>
      <c r="E5343" s="4" t="s">
        <v>8967</v>
      </c>
      <c r="F5343" s="5">
        <v>39492</v>
      </c>
      <c r="G5343" s="5">
        <v>39758</v>
      </c>
      <c r="H5343" s="4" t="s">
        <v>40</v>
      </c>
      <c r="I5343" s="6">
        <v>13084</v>
      </c>
      <c r="J5343" s="6">
        <v>6542</v>
      </c>
      <c r="K5343" s="37" t="s">
        <v>8905</v>
      </c>
      <c r="L5343" s="120"/>
      <c r="M5343" s="3"/>
    </row>
    <row r="5344" spans="1:13" s="4" customFormat="1" ht="14.25" customHeight="1" x14ac:dyDescent="0.25">
      <c r="A5344" s="4" t="s">
        <v>8968</v>
      </c>
      <c r="B5344" s="4" t="s">
        <v>50</v>
      </c>
      <c r="C5344" s="4" t="s">
        <v>14</v>
      </c>
      <c r="D5344" s="35">
        <v>1858</v>
      </c>
      <c r="E5344" s="4" t="s">
        <v>8969</v>
      </c>
      <c r="F5344" s="5">
        <v>39496</v>
      </c>
      <c r="G5344" s="5">
        <v>40178</v>
      </c>
      <c r="H5344" s="4" t="s">
        <v>40</v>
      </c>
      <c r="I5344" s="6">
        <v>66114.880000000005</v>
      </c>
      <c r="J5344" s="6">
        <v>33057.440000000002</v>
      </c>
      <c r="K5344" s="37" t="s">
        <v>8905</v>
      </c>
      <c r="L5344" s="120"/>
      <c r="M5344" s="3"/>
    </row>
    <row r="5345" spans="1:13" s="4" customFormat="1" ht="14.25" customHeight="1" x14ac:dyDescent="0.25">
      <c r="A5345" s="4" t="s">
        <v>8970</v>
      </c>
      <c r="B5345" s="4" t="s">
        <v>50</v>
      </c>
      <c r="C5345" s="4" t="s">
        <v>14</v>
      </c>
      <c r="D5345" s="35">
        <v>1860</v>
      </c>
      <c r="E5345" s="4" t="s">
        <v>8971</v>
      </c>
      <c r="F5345" s="5">
        <v>39188</v>
      </c>
      <c r="G5345" s="5">
        <v>39813</v>
      </c>
      <c r="H5345" s="4" t="s">
        <v>40</v>
      </c>
      <c r="I5345" s="6">
        <v>21640</v>
      </c>
      <c r="J5345" s="6">
        <v>10820</v>
      </c>
      <c r="K5345" s="37" t="s">
        <v>8905</v>
      </c>
      <c r="L5345" s="120"/>
      <c r="M5345" s="3"/>
    </row>
    <row r="5346" spans="1:13" s="4" customFormat="1" ht="14.25" customHeight="1" x14ac:dyDescent="0.25">
      <c r="A5346" s="4" t="s">
        <v>8972</v>
      </c>
      <c r="B5346" s="4" t="s">
        <v>50</v>
      </c>
      <c r="C5346" s="4" t="s">
        <v>14</v>
      </c>
      <c r="D5346" s="35">
        <v>1862</v>
      </c>
      <c r="E5346" s="4" t="s">
        <v>8973</v>
      </c>
      <c r="F5346" s="5">
        <v>39552</v>
      </c>
      <c r="G5346" s="5">
        <v>40178</v>
      </c>
      <c r="H5346" s="4" t="s">
        <v>40</v>
      </c>
      <c r="I5346" s="6">
        <v>28848.38</v>
      </c>
      <c r="J5346" s="6">
        <v>14422.19</v>
      </c>
      <c r="K5346" s="37" t="s">
        <v>8905</v>
      </c>
      <c r="L5346" s="120"/>
      <c r="M5346" s="3"/>
    </row>
    <row r="5347" spans="1:13" s="4" customFormat="1" ht="14.25" customHeight="1" x14ac:dyDescent="0.25">
      <c r="A5347" s="4" t="s">
        <v>2491</v>
      </c>
      <c r="B5347" s="4" t="s">
        <v>38</v>
      </c>
      <c r="C5347" s="4" t="s">
        <v>14</v>
      </c>
      <c r="D5347" s="35">
        <v>3093</v>
      </c>
      <c r="E5347" s="4" t="s">
        <v>8976</v>
      </c>
      <c r="F5347" s="5">
        <v>39462</v>
      </c>
      <c r="G5347" s="5">
        <v>39838</v>
      </c>
      <c r="H5347" s="4" t="s">
        <v>40</v>
      </c>
      <c r="I5347" s="6">
        <f>3333.64+5316.98+11.12</f>
        <v>8661.74</v>
      </c>
      <c r="J5347" s="6">
        <v>8661.74</v>
      </c>
      <c r="K5347" s="37" t="s">
        <v>8905</v>
      </c>
      <c r="L5347" s="120"/>
      <c r="M5347" s="3"/>
    </row>
    <row r="5348" spans="1:13" s="4" customFormat="1" ht="14.25" customHeight="1" x14ac:dyDescent="0.25">
      <c r="A5348" s="4" t="s">
        <v>8977</v>
      </c>
      <c r="B5348" s="4" t="s">
        <v>38</v>
      </c>
      <c r="C5348" s="4" t="s">
        <v>14</v>
      </c>
      <c r="D5348" s="35">
        <v>3094</v>
      </c>
      <c r="E5348" s="4" t="s">
        <v>8978</v>
      </c>
      <c r="F5348" s="5">
        <v>39083</v>
      </c>
      <c r="G5348" s="5">
        <v>40178</v>
      </c>
      <c r="H5348" s="4" t="s">
        <v>40</v>
      </c>
      <c r="I5348" s="6">
        <v>38344.35</v>
      </c>
      <c r="J5348" s="6">
        <v>29812.81</v>
      </c>
      <c r="K5348" s="37" t="s">
        <v>8905</v>
      </c>
      <c r="L5348" s="120"/>
      <c r="M5348" s="3"/>
    </row>
    <row r="5349" spans="1:13" s="4" customFormat="1" ht="14.25" customHeight="1" x14ac:dyDescent="0.25">
      <c r="A5349" s="4" t="s">
        <v>2282</v>
      </c>
      <c r="B5349" s="4" t="s">
        <v>38</v>
      </c>
      <c r="C5349" s="4" t="s">
        <v>14</v>
      </c>
      <c r="D5349" s="35">
        <v>3095</v>
      </c>
      <c r="E5349" s="4" t="s">
        <v>8979</v>
      </c>
      <c r="F5349" s="5">
        <v>39083</v>
      </c>
      <c r="H5349" s="4" t="s">
        <v>40</v>
      </c>
      <c r="I5349" s="6">
        <f>26125.37+17070.56+12396.93+10822.94+10592.94</f>
        <v>77008.740000000005</v>
      </c>
      <c r="J5349" s="6">
        <f>66185.8+10822.94</f>
        <v>77008.740000000005</v>
      </c>
      <c r="K5349" s="37" t="s">
        <v>8905</v>
      </c>
      <c r="L5349" s="120"/>
      <c r="M5349" s="3"/>
    </row>
    <row r="5350" spans="1:13" s="4" customFormat="1" ht="14.25" customHeight="1" x14ac:dyDescent="0.25">
      <c r="A5350" s="4" t="s">
        <v>8980</v>
      </c>
      <c r="B5350" s="4" t="s">
        <v>38</v>
      </c>
      <c r="C5350" s="4" t="s">
        <v>14</v>
      </c>
      <c r="D5350" s="35">
        <v>3096</v>
      </c>
      <c r="E5350" s="4" t="s">
        <v>8981</v>
      </c>
      <c r="F5350" s="5">
        <v>39083</v>
      </c>
      <c r="G5350" s="5">
        <v>40178</v>
      </c>
      <c r="H5350" s="4" t="s">
        <v>40</v>
      </c>
      <c r="I5350" s="6">
        <v>24721.18</v>
      </c>
      <c r="J5350" s="6">
        <v>24721.18</v>
      </c>
      <c r="K5350" s="37" t="s">
        <v>8905</v>
      </c>
      <c r="L5350" s="120"/>
      <c r="M5350" s="3"/>
    </row>
    <row r="5351" spans="1:13" s="4" customFormat="1" ht="14.25" customHeight="1" x14ac:dyDescent="0.25">
      <c r="A5351" s="4" t="s">
        <v>2284</v>
      </c>
      <c r="B5351" s="4" t="s">
        <v>38</v>
      </c>
      <c r="C5351" s="4" t="s">
        <v>14</v>
      </c>
      <c r="D5351" s="35">
        <v>3097</v>
      </c>
      <c r="E5351" s="4" t="s">
        <v>8982</v>
      </c>
      <c r="F5351" s="5">
        <v>39083</v>
      </c>
      <c r="H5351" s="4" t="s">
        <v>40</v>
      </c>
      <c r="I5351" s="6">
        <f>72349.1+126003.42+58680.09+83905.58+85778.78</f>
        <v>426716.97</v>
      </c>
      <c r="J5351" s="6">
        <f>368036.88+58680.09</f>
        <v>426716.97</v>
      </c>
      <c r="K5351" s="37" t="s">
        <v>8905</v>
      </c>
      <c r="L5351" s="120"/>
      <c r="M5351" s="3"/>
    </row>
    <row r="5352" spans="1:13" s="4" customFormat="1" ht="14.25" customHeight="1" x14ac:dyDescent="0.25">
      <c r="A5352" s="4" t="s">
        <v>8983</v>
      </c>
      <c r="B5352" s="4" t="s">
        <v>38</v>
      </c>
      <c r="C5352" s="4" t="s">
        <v>14</v>
      </c>
      <c r="D5352" s="35">
        <v>3098</v>
      </c>
      <c r="E5352" s="4" t="s">
        <v>8984</v>
      </c>
      <c r="F5352" s="5">
        <v>39083</v>
      </c>
      <c r="H5352" s="4" t="s">
        <v>40</v>
      </c>
      <c r="I5352" s="6">
        <f>6022.83+4712+6722.73+8092.65</f>
        <v>25550.21</v>
      </c>
      <c r="J5352" s="6">
        <v>20752.21</v>
      </c>
      <c r="K5352" s="37" t="s">
        <v>8905</v>
      </c>
      <c r="L5352" s="120"/>
      <c r="M5352" s="3"/>
    </row>
    <row r="5353" spans="1:13" s="4" customFormat="1" ht="14.25" customHeight="1" x14ac:dyDescent="0.25">
      <c r="A5353" s="4" t="s">
        <v>8985</v>
      </c>
      <c r="B5353" s="4" t="s">
        <v>38</v>
      </c>
      <c r="C5353" s="4" t="s">
        <v>14</v>
      </c>
      <c r="D5353" s="35">
        <v>3099</v>
      </c>
      <c r="E5353" s="4" t="s">
        <v>8986</v>
      </c>
      <c r="F5353" s="5">
        <v>39083</v>
      </c>
      <c r="G5353" s="5">
        <v>40178</v>
      </c>
      <c r="H5353" s="4" t="s">
        <v>40</v>
      </c>
      <c r="I5353" s="6">
        <v>144507.16</v>
      </c>
      <c r="J5353" s="6">
        <v>144507.16</v>
      </c>
      <c r="K5353" s="37" t="s">
        <v>8905</v>
      </c>
      <c r="L5353" s="120"/>
      <c r="M5353" s="3"/>
    </row>
    <row r="5354" spans="1:13" s="4" customFormat="1" ht="14.25" customHeight="1" x14ac:dyDescent="0.25">
      <c r="A5354" s="4" t="s">
        <v>8987</v>
      </c>
      <c r="B5354" s="4" t="s">
        <v>38</v>
      </c>
      <c r="C5354" s="4" t="s">
        <v>14</v>
      </c>
      <c r="D5354" s="35">
        <v>3100</v>
      </c>
      <c r="E5354" s="4" t="s">
        <v>8988</v>
      </c>
      <c r="F5354" s="5">
        <v>39083</v>
      </c>
      <c r="G5354" s="5">
        <v>39813</v>
      </c>
      <c r="H5354" s="4" t="s">
        <v>40</v>
      </c>
      <c r="I5354" s="6">
        <v>4100</v>
      </c>
      <c r="J5354" s="6">
        <v>4100</v>
      </c>
      <c r="K5354" s="37" t="s">
        <v>8905</v>
      </c>
      <c r="L5354" s="120"/>
      <c r="M5354" s="3"/>
    </row>
    <row r="5355" spans="1:13" s="4" customFormat="1" ht="14.25" customHeight="1" x14ac:dyDescent="0.25">
      <c r="A5355" s="4" t="s">
        <v>8989</v>
      </c>
      <c r="B5355" s="4" t="s">
        <v>38</v>
      </c>
      <c r="C5355" s="4" t="s">
        <v>14</v>
      </c>
      <c r="D5355" s="35">
        <v>3101</v>
      </c>
      <c r="E5355" s="4" t="s">
        <v>8990</v>
      </c>
      <c r="F5355" s="5">
        <v>39083</v>
      </c>
      <c r="G5355" s="5">
        <v>40543</v>
      </c>
      <c r="H5355" s="4" t="s">
        <v>40</v>
      </c>
      <c r="I5355" s="6">
        <v>26658.67</v>
      </c>
      <c r="J5355" s="6">
        <v>26658.67</v>
      </c>
      <c r="K5355" s="37" t="s">
        <v>8905</v>
      </c>
      <c r="L5355" s="120"/>
      <c r="M5355" s="3"/>
    </row>
    <row r="5356" spans="1:13" s="4" customFormat="1" ht="14.25" customHeight="1" x14ac:dyDescent="0.25">
      <c r="A5356" s="4" t="s">
        <v>8991</v>
      </c>
      <c r="B5356" s="4" t="s">
        <v>38</v>
      </c>
      <c r="C5356" s="4" t="s">
        <v>14</v>
      </c>
      <c r="D5356" s="35">
        <v>3102</v>
      </c>
      <c r="E5356" s="4" t="s">
        <v>8992</v>
      </c>
      <c r="F5356" s="5">
        <v>39083</v>
      </c>
      <c r="H5356" s="4" t="s">
        <v>40</v>
      </c>
      <c r="I5356" s="6">
        <v>6016.74</v>
      </c>
      <c r="J5356" s="6">
        <v>6016.74</v>
      </c>
      <c r="K5356" s="37" t="s">
        <v>8905</v>
      </c>
      <c r="L5356" s="120"/>
      <c r="M5356" s="3"/>
    </row>
    <row r="5357" spans="1:13" s="4" customFormat="1" ht="14.25" customHeight="1" x14ac:dyDescent="0.25">
      <c r="A5357" s="4" t="s">
        <v>8993</v>
      </c>
      <c r="B5357" s="4" t="s">
        <v>38</v>
      </c>
      <c r="C5357" s="4" t="s">
        <v>14</v>
      </c>
      <c r="D5357" s="35">
        <v>3103</v>
      </c>
      <c r="E5357" s="4" t="s">
        <v>8994</v>
      </c>
      <c r="F5357" s="5">
        <v>39083</v>
      </c>
      <c r="G5357" s="5">
        <v>39813</v>
      </c>
      <c r="H5357" s="4" t="s">
        <v>40</v>
      </c>
      <c r="I5357" s="6">
        <f>13622.75+27877.46+5968.5+12477.89</f>
        <v>59946.6</v>
      </c>
      <c r="J5357" s="6">
        <f>38775.14+3600</f>
        <v>42375.14</v>
      </c>
      <c r="K5357" s="37" t="s">
        <v>8905</v>
      </c>
      <c r="L5357" s="120"/>
      <c r="M5357" s="3"/>
    </row>
    <row r="5358" spans="1:13" s="4" customFormat="1" ht="14.25" customHeight="1" x14ac:dyDescent="0.25">
      <c r="A5358" s="4" t="s">
        <v>8019</v>
      </c>
      <c r="B5358" s="4" t="s">
        <v>38</v>
      </c>
      <c r="C5358" s="4" t="s">
        <v>14</v>
      </c>
      <c r="D5358" s="35">
        <v>3104</v>
      </c>
      <c r="E5358" s="4" t="s">
        <v>8995</v>
      </c>
      <c r="F5358" s="5">
        <v>39083</v>
      </c>
      <c r="H5358" s="4" t="s">
        <v>40</v>
      </c>
      <c r="I5358" s="6">
        <v>61109.86</v>
      </c>
      <c r="J5358" s="6">
        <f>55613.86+5496</f>
        <v>61109.86</v>
      </c>
      <c r="K5358" s="37" t="s">
        <v>8905</v>
      </c>
      <c r="L5358" s="120"/>
      <c r="M5358" s="3"/>
    </row>
    <row r="5359" spans="1:13" s="4" customFormat="1" ht="14.25" customHeight="1" x14ac:dyDescent="0.25">
      <c r="A5359" s="4" t="s">
        <v>8996</v>
      </c>
      <c r="B5359" s="4" t="s">
        <v>38</v>
      </c>
      <c r="C5359" s="4" t="s">
        <v>14</v>
      </c>
      <c r="D5359" s="35">
        <v>3105</v>
      </c>
      <c r="E5359" s="4" t="s">
        <v>8997</v>
      </c>
      <c r="F5359" s="5">
        <v>39083</v>
      </c>
      <c r="G5359" s="5">
        <v>39813</v>
      </c>
      <c r="H5359" s="4" t="s">
        <v>40</v>
      </c>
      <c r="I5359" s="6">
        <v>1554.9</v>
      </c>
      <c r="J5359" s="6">
        <v>1554.9</v>
      </c>
      <c r="K5359" s="37" t="s">
        <v>8905</v>
      </c>
      <c r="L5359" s="120"/>
      <c r="M5359" s="3"/>
    </row>
    <row r="5360" spans="1:13" s="4" customFormat="1" ht="14.25" customHeight="1" x14ac:dyDescent="0.25">
      <c r="A5360" s="4" t="s">
        <v>8998</v>
      </c>
      <c r="B5360" s="4" t="s">
        <v>38</v>
      </c>
      <c r="C5360" s="4" t="s">
        <v>14</v>
      </c>
      <c r="D5360" s="35">
        <v>3106</v>
      </c>
      <c r="E5360" s="4" t="s">
        <v>8999</v>
      </c>
      <c r="F5360" s="5">
        <v>39083</v>
      </c>
      <c r="H5360" s="4" t="s">
        <v>40</v>
      </c>
      <c r="I5360" s="6">
        <v>7750</v>
      </c>
      <c r="J5360" s="6">
        <v>7750</v>
      </c>
      <c r="K5360" s="37" t="s">
        <v>8905</v>
      </c>
      <c r="L5360" s="120"/>
      <c r="M5360" s="3"/>
    </row>
    <row r="5361" spans="1:13" s="4" customFormat="1" ht="14.25" customHeight="1" x14ac:dyDescent="0.25">
      <c r="A5361" s="4" t="s">
        <v>9000</v>
      </c>
      <c r="B5361" s="4" t="s">
        <v>38</v>
      </c>
      <c r="C5361" s="4" t="s">
        <v>14</v>
      </c>
      <c r="D5361" s="35">
        <v>3107</v>
      </c>
      <c r="E5361" s="4" t="s">
        <v>9001</v>
      </c>
      <c r="F5361" s="5">
        <v>39083</v>
      </c>
      <c r="G5361" s="5">
        <v>39113</v>
      </c>
      <c r="H5361" s="4" t="s">
        <v>40</v>
      </c>
      <c r="I5361" s="6">
        <v>1224.4000000000001</v>
      </c>
      <c r="J5361" s="6">
        <v>1224.4000000000001</v>
      </c>
      <c r="K5361" s="37" t="s">
        <v>8905</v>
      </c>
      <c r="L5361" s="120"/>
      <c r="M5361" s="3"/>
    </row>
    <row r="5362" spans="1:13" s="4" customFormat="1" ht="14.25" customHeight="1" x14ac:dyDescent="0.25">
      <c r="A5362" s="4" t="s">
        <v>9002</v>
      </c>
      <c r="B5362" s="4" t="s">
        <v>38</v>
      </c>
      <c r="C5362" s="4" t="s">
        <v>14</v>
      </c>
      <c r="D5362" s="35">
        <v>3108</v>
      </c>
      <c r="E5362" s="4" t="s">
        <v>9003</v>
      </c>
      <c r="F5362" s="5">
        <v>39083</v>
      </c>
      <c r="G5362" s="5">
        <v>39447</v>
      </c>
      <c r="H5362" s="4" t="s">
        <v>40</v>
      </c>
      <c r="I5362" s="6">
        <v>3000</v>
      </c>
      <c r="J5362" s="6">
        <v>3000</v>
      </c>
      <c r="K5362" s="37" t="s">
        <v>8905</v>
      </c>
      <c r="L5362" s="120"/>
      <c r="M5362" s="3"/>
    </row>
    <row r="5363" spans="1:13" s="4" customFormat="1" ht="14.25" customHeight="1" x14ac:dyDescent="0.25">
      <c r="A5363" s="4" t="s">
        <v>9004</v>
      </c>
      <c r="B5363" s="4" t="s">
        <v>38</v>
      </c>
      <c r="C5363" s="4" t="s">
        <v>14</v>
      </c>
      <c r="D5363" s="35">
        <v>3109</v>
      </c>
      <c r="E5363" s="4" t="s">
        <v>9004</v>
      </c>
      <c r="F5363" s="5">
        <v>39083</v>
      </c>
      <c r="G5363" s="5">
        <v>39447</v>
      </c>
      <c r="H5363" s="4" t="s">
        <v>40</v>
      </c>
      <c r="I5363" s="6">
        <v>5121.87</v>
      </c>
      <c r="J5363" s="6">
        <v>5121.87</v>
      </c>
      <c r="K5363" s="37" t="s">
        <v>8905</v>
      </c>
      <c r="L5363" s="120"/>
      <c r="M5363" s="3"/>
    </row>
    <row r="5364" spans="1:13" s="4" customFormat="1" ht="14.25" customHeight="1" x14ac:dyDescent="0.25">
      <c r="A5364" s="4" t="s">
        <v>9005</v>
      </c>
      <c r="B5364" s="4" t="s">
        <v>38</v>
      </c>
      <c r="C5364" s="4" t="s">
        <v>14</v>
      </c>
      <c r="D5364" s="35">
        <v>3110</v>
      </c>
      <c r="E5364" s="4" t="s">
        <v>9006</v>
      </c>
      <c r="F5364" s="5">
        <v>39083</v>
      </c>
      <c r="G5364" s="5">
        <v>39813</v>
      </c>
      <c r="H5364" s="4" t="s">
        <v>40</v>
      </c>
      <c r="I5364" s="6">
        <v>1089.8</v>
      </c>
      <c r="J5364" s="6">
        <v>1089.8</v>
      </c>
      <c r="K5364" s="37" t="s">
        <v>8905</v>
      </c>
      <c r="L5364" s="120"/>
      <c r="M5364" s="3"/>
    </row>
    <row r="5365" spans="1:13" s="4" customFormat="1" ht="14.25" customHeight="1" x14ac:dyDescent="0.25">
      <c r="A5365" s="4" t="s">
        <v>9007</v>
      </c>
      <c r="B5365" s="4" t="s">
        <v>38</v>
      </c>
      <c r="C5365" s="4" t="s">
        <v>14</v>
      </c>
      <c r="D5365" s="35">
        <v>3111</v>
      </c>
      <c r="E5365" s="4" t="s">
        <v>9008</v>
      </c>
      <c r="F5365" s="5">
        <v>39083</v>
      </c>
      <c r="H5365" s="4" t="s">
        <v>40</v>
      </c>
      <c r="I5365" s="6">
        <v>12010</v>
      </c>
      <c r="J5365" s="6">
        <v>12010</v>
      </c>
      <c r="K5365" s="37" t="s">
        <v>8905</v>
      </c>
      <c r="L5365" s="120"/>
      <c r="M5365" s="3"/>
    </row>
    <row r="5366" spans="1:13" s="4" customFormat="1" ht="14.25" customHeight="1" x14ac:dyDescent="0.25">
      <c r="A5366" s="4" t="s">
        <v>9009</v>
      </c>
      <c r="B5366" s="4" t="s">
        <v>38</v>
      </c>
      <c r="C5366" s="4" t="s">
        <v>14</v>
      </c>
      <c r="D5366" s="35">
        <v>3112</v>
      </c>
      <c r="E5366" s="4" t="s">
        <v>9010</v>
      </c>
      <c r="F5366" s="5">
        <v>39083</v>
      </c>
      <c r="G5366" s="5">
        <v>40178</v>
      </c>
      <c r="H5366" s="4" t="s">
        <v>40</v>
      </c>
      <c r="I5366" s="6">
        <v>9877.26</v>
      </c>
      <c r="J5366" s="6">
        <v>9877.26</v>
      </c>
      <c r="K5366" s="37" t="s">
        <v>8905</v>
      </c>
      <c r="L5366" s="120"/>
      <c r="M5366" s="3"/>
    </row>
    <row r="5367" spans="1:13" s="4" customFormat="1" ht="14.25" customHeight="1" x14ac:dyDescent="0.25">
      <c r="A5367" s="4" t="s">
        <v>9011</v>
      </c>
      <c r="B5367" s="4" t="s">
        <v>38</v>
      </c>
      <c r="C5367" s="4" t="s">
        <v>14</v>
      </c>
      <c r="D5367" s="35">
        <v>3113</v>
      </c>
      <c r="E5367" s="4" t="s">
        <v>9012</v>
      </c>
      <c r="F5367" s="5">
        <v>39083</v>
      </c>
      <c r="G5367" s="5">
        <v>39813</v>
      </c>
      <c r="H5367" s="4" t="s">
        <v>40</v>
      </c>
      <c r="I5367" s="6">
        <v>2018.75</v>
      </c>
      <c r="J5367" s="6">
        <v>2018.75</v>
      </c>
      <c r="K5367" s="37" t="s">
        <v>8905</v>
      </c>
      <c r="L5367" s="120"/>
      <c r="M5367" s="3"/>
    </row>
    <row r="5368" spans="1:13" s="4" customFormat="1" ht="14.25" customHeight="1" x14ac:dyDescent="0.25">
      <c r="A5368" s="4" t="s">
        <v>6255</v>
      </c>
      <c r="B5368" s="4" t="s">
        <v>38</v>
      </c>
      <c r="C5368" s="4" t="s">
        <v>14</v>
      </c>
      <c r="D5368" s="35">
        <v>3114</v>
      </c>
      <c r="E5368" s="4" t="s">
        <v>9013</v>
      </c>
      <c r="F5368" s="5">
        <v>39083</v>
      </c>
      <c r="G5368" s="5">
        <v>39813</v>
      </c>
      <c r="H5368" s="4" t="s">
        <v>40</v>
      </c>
      <c r="I5368" s="6">
        <v>115.8</v>
      </c>
      <c r="J5368" s="6">
        <v>115.8</v>
      </c>
      <c r="K5368" s="37" t="s">
        <v>8905</v>
      </c>
      <c r="L5368" s="120"/>
      <c r="M5368" s="3"/>
    </row>
    <row r="5369" spans="1:13" s="4" customFormat="1" ht="14.25" customHeight="1" x14ac:dyDescent="0.25">
      <c r="A5369" s="4" t="s">
        <v>9014</v>
      </c>
      <c r="B5369" s="4" t="s">
        <v>38</v>
      </c>
      <c r="C5369" s="4" t="s">
        <v>14</v>
      </c>
      <c r="D5369" s="35">
        <v>3115</v>
      </c>
      <c r="E5369" s="4" t="s">
        <v>9014</v>
      </c>
      <c r="F5369" s="5">
        <v>39083</v>
      </c>
      <c r="G5369" s="5">
        <v>39813</v>
      </c>
      <c r="H5369" s="4" t="s">
        <v>40</v>
      </c>
      <c r="I5369" s="6">
        <v>5353.8</v>
      </c>
      <c r="J5369" s="6">
        <v>5353.8</v>
      </c>
      <c r="K5369" s="37" t="s">
        <v>8905</v>
      </c>
      <c r="L5369" s="120"/>
      <c r="M5369" s="3"/>
    </row>
    <row r="5370" spans="1:13" s="4" customFormat="1" ht="14.25" customHeight="1" x14ac:dyDescent="0.25">
      <c r="A5370" s="4" t="s">
        <v>9015</v>
      </c>
      <c r="B5370" s="4" t="s">
        <v>38</v>
      </c>
      <c r="C5370" s="4" t="s">
        <v>14</v>
      </c>
      <c r="D5370" s="35">
        <v>3116</v>
      </c>
      <c r="E5370" s="4" t="s">
        <v>9016</v>
      </c>
      <c r="F5370" s="5">
        <v>39083</v>
      </c>
      <c r="G5370" s="5">
        <v>39447</v>
      </c>
      <c r="H5370" s="4" t="s">
        <v>40</v>
      </c>
      <c r="I5370" s="6">
        <v>210</v>
      </c>
      <c r="J5370" s="6">
        <v>210</v>
      </c>
      <c r="K5370" s="37" t="s">
        <v>8905</v>
      </c>
      <c r="L5370" s="120"/>
      <c r="M5370" s="3"/>
    </row>
    <row r="5371" spans="1:13" s="4" customFormat="1" ht="14.25" customHeight="1" x14ac:dyDescent="0.25">
      <c r="A5371" s="4" t="s">
        <v>9017</v>
      </c>
      <c r="B5371" s="4" t="s">
        <v>13</v>
      </c>
      <c r="C5371" s="4" t="s">
        <v>14</v>
      </c>
      <c r="D5371" s="35">
        <v>3117</v>
      </c>
      <c r="E5371" s="4" t="s">
        <v>9018</v>
      </c>
      <c r="F5371" s="5">
        <v>39083</v>
      </c>
      <c r="G5371" s="5">
        <v>39447</v>
      </c>
      <c r="H5371" s="4" t="s">
        <v>40</v>
      </c>
      <c r="I5371" s="6">
        <v>6085.6</v>
      </c>
      <c r="J5371" s="6">
        <v>6085.6</v>
      </c>
      <c r="K5371" s="37" t="s">
        <v>8905</v>
      </c>
      <c r="L5371" s="120"/>
      <c r="M5371" s="3"/>
    </row>
    <row r="5372" spans="1:13" s="4" customFormat="1" ht="14.25" customHeight="1" x14ac:dyDescent="0.25">
      <c r="A5372" s="4" t="s">
        <v>9019</v>
      </c>
      <c r="B5372" s="4" t="s">
        <v>38</v>
      </c>
      <c r="C5372" s="4" t="s">
        <v>14</v>
      </c>
      <c r="D5372" s="35">
        <v>3118</v>
      </c>
      <c r="E5372" s="4" t="s">
        <v>9020</v>
      </c>
      <c r="F5372" s="5">
        <v>39083</v>
      </c>
      <c r="G5372" s="5">
        <v>40178</v>
      </c>
      <c r="H5372" s="4" t="s">
        <v>40</v>
      </c>
      <c r="I5372" s="6">
        <v>31188.93</v>
      </c>
      <c r="J5372" s="6">
        <v>31188.93</v>
      </c>
      <c r="K5372" s="37" t="s">
        <v>8905</v>
      </c>
      <c r="L5372" s="120"/>
      <c r="M5372" s="3"/>
    </row>
    <row r="5373" spans="1:13" s="4" customFormat="1" ht="14.25" customHeight="1" x14ac:dyDescent="0.25">
      <c r="A5373" s="4" t="s">
        <v>9021</v>
      </c>
      <c r="B5373" s="4" t="s">
        <v>38</v>
      </c>
      <c r="C5373" s="4" t="s">
        <v>14</v>
      </c>
      <c r="D5373" s="35">
        <v>3119</v>
      </c>
      <c r="E5373" s="4" t="s">
        <v>9022</v>
      </c>
      <c r="F5373" s="5">
        <v>39083</v>
      </c>
      <c r="G5373" s="5">
        <v>39813</v>
      </c>
      <c r="H5373" s="4" t="s">
        <v>40</v>
      </c>
      <c r="I5373" s="6">
        <v>10890</v>
      </c>
      <c r="J5373" s="6">
        <v>10890</v>
      </c>
      <c r="K5373" s="37" t="s">
        <v>8905</v>
      </c>
      <c r="L5373" s="120"/>
      <c r="M5373" s="3"/>
    </row>
    <row r="5374" spans="1:13" s="4" customFormat="1" ht="14.25" customHeight="1" x14ac:dyDescent="0.25">
      <c r="A5374" s="4" t="s">
        <v>9023</v>
      </c>
      <c r="B5374" s="4" t="s">
        <v>38</v>
      </c>
      <c r="C5374" s="4" t="s">
        <v>14</v>
      </c>
      <c r="D5374" s="35">
        <v>3120</v>
      </c>
      <c r="E5374" s="4" t="s">
        <v>9024</v>
      </c>
      <c r="F5374" s="5">
        <v>39083</v>
      </c>
      <c r="G5374" s="5">
        <v>39813</v>
      </c>
      <c r="H5374" s="4" t="s">
        <v>40</v>
      </c>
      <c r="I5374" s="6">
        <v>207891.67</v>
      </c>
      <c r="J5374" s="6">
        <v>207891.67</v>
      </c>
      <c r="K5374" s="37" t="s">
        <v>8905</v>
      </c>
      <c r="L5374" s="120"/>
      <c r="M5374" s="3"/>
    </row>
    <row r="5375" spans="1:13" s="4" customFormat="1" ht="14.25" customHeight="1" x14ac:dyDescent="0.25">
      <c r="A5375" s="4" t="s">
        <v>9025</v>
      </c>
      <c r="B5375" s="4" t="s">
        <v>38</v>
      </c>
      <c r="C5375" s="4" t="s">
        <v>14</v>
      </c>
      <c r="D5375" s="35">
        <v>3121</v>
      </c>
      <c r="E5375" s="4" t="s">
        <v>9026</v>
      </c>
      <c r="F5375" s="5">
        <v>39083</v>
      </c>
      <c r="G5375" s="5">
        <v>39447</v>
      </c>
      <c r="H5375" s="4" t="s">
        <v>40</v>
      </c>
      <c r="I5375" s="6">
        <v>12000</v>
      </c>
      <c r="J5375" s="6">
        <v>12000</v>
      </c>
      <c r="K5375" s="37" t="s">
        <v>8905</v>
      </c>
      <c r="L5375" s="120"/>
      <c r="M5375" s="3"/>
    </row>
    <row r="5376" spans="1:13" s="4" customFormat="1" ht="14.25" customHeight="1" x14ac:dyDescent="0.25">
      <c r="A5376" s="4" t="s">
        <v>9027</v>
      </c>
      <c r="B5376" s="4" t="s">
        <v>38</v>
      </c>
      <c r="C5376" s="4" t="s">
        <v>14</v>
      </c>
      <c r="D5376" s="35">
        <v>3122</v>
      </c>
      <c r="E5376" s="4" t="s">
        <v>9028</v>
      </c>
      <c r="F5376" s="5">
        <v>39448</v>
      </c>
      <c r="G5376" s="5">
        <v>39813</v>
      </c>
      <c r="H5376" s="4" t="s">
        <v>40</v>
      </c>
      <c r="I5376" s="6">
        <v>1863.52</v>
      </c>
      <c r="J5376" s="6">
        <v>1863.52</v>
      </c>
      <c r="K5376" s="37" t="s">
        <v>8905</v>
      </c>
      <c r="L5376" s="120"/>
      <c r="M5376" s="3"/>
    </row>
    <row r="5377" spans="1:13" s="4" customFormat="1" ht="14.25" customHeight="1" x14ac:dyDescent="0.25">
      <c r="A5377" s="4" t="s">
        <v>9029</v>
      </c>
      <c r="B5377" s="4" t="s">
        <v>38</v>
      </c>
      <c r="C5377" s="4" t="s">
        <v>14</v>
      </c>
      <c r="D5377" s="35">
        <v>3123</v>
      </c>
      <c r="E5377" s="4" t="s">
        <v>9030</v>
      </c>
      <c r="F5377" s="5">
        <v>39448</v>
      </c>
      <c r="H5377" s="4" t="s">
        <v>40</v>
      </c>
      <c r="I5377" s="6">
        <f>35495.28-5000</f>
        <v>30495.279999999999</v>
      </c>
      <c r="J5377" s="6">
        <f>29495.28+6000-5000</f>
        <v>30495.279999999999</v>
      </c>
      <c r="K5377" s="37" t="s">
        <v>8905</v>
      </c>
      <c r="L5377" s="120"/>
      <c r="M5377" s="3"/>
    </row>
    <row r="5378" spans="1:13" s="4" customFormat="1" ht="14.25" customHeight="1" x14ac:dyDescent="0.25">
      <c r="A5378" s="4" t="s">
        <v>9031</v>
      </c>
      <c r="B5378" s="4" t="s">
        <v>38</v>
      </c>
      <c r="C5378" s="4" t="s">
        <v>14</v>
      </c>
      <c r="D5378" s="35">
        <v>3124</v>
      </c>
      <c r="E5378" s="4" t="s">
        <v>9032</v>
      </c>
      <c r="F5378" s="5">
        <v>39448</v>
      </c>
      <c r="G5378" s="5">
        <v>40178</v>
      </c>
      <c r="H5378" s="4" t="s">
        <v>40</v>
      </c>
      <c r="I5378" s="6">
        <f>34645-2628.8</f>
        <v>32016.2</v>
      </c>
      <c r="J5378" s="6">
        <f>34645-1314.39</f>
        <v>33330.61</v>
      </c>
      <c r="K5378" s="37" t="s">
        <v>8905</v>
      </c>
      <c r="L5378" s="120"/>
      <c r="M5378" s="3"/>
    </row>
    <row r="5379" spans="1:13" s="4" customFormat="1" ht="14.25" customHeight="1" x14ac:dyDescent="0.25">
      <c r="A5379" s="4" t="s">
        <v>9033</v>
      </c>
      <c r="B5379" s="4" t="s">
        <v>38</v>
      </c>
      <c r="C5379" s="4" t="s">
        <v>14</v>
      </c>
      <c r="D5379" s="35">
        <v>3125</v>
      </c>
      <c r="E5379" s="4" t="s">
        <v>9034</v>
      </c>
      <c r="F5379" s="5">
        <v>39448</v>
      </c>
      <c r="G5379" s="5">
        <v>39813</v>
      </c>
      <c r="H5379" s="4" t="s">
        <v>40</v>
      </c>
      <c r="I5379" s="6">
        <v>27953.84</v>
      </c>
      <c r="J5379" s="6">
        <v>27953.84</v>
      </c>
      <c r="K5379" s="37" t="s">
        <v>8905</v>
      </c>
      <c r="L5379" s="120"/>
      <c r="M5379" s="3"/>
    </row>
    <row r="5380" spans="1:13" s="4" customFormat="1" ht="14.25" customHeight="1" x14ac:dyDescent="0.25">
      <c r="A5380" s="4" t="s">
        <v>9035</v>
      </c>
      <c r="B5380" s="4" t="s">
        <v>38</v>
      </c>
      <c r="C5380" s="4" t="s">
        <v>14</v>
      </c>
      <c r="D5380" s="35">
        <v>3128</v>
      </c>
      <c r="E5380" s="4" t="s">
        <v>9036</v>
      </c>
      <c r="F5380" s="5">
        <v>39083</v>
      </c>
      <c r="H5380" s="4" t="s">
        <v>40</v>
      </c>
      <c r="I5380" s="6">
        <v>53158.9</v>
      </c>
      <c r="J5380" s="6">
        <v>53158.9</v>
      </c>
      <c r="K5380" s="37" t="s">
        <v>8905</v>
      </c>
      <c r="L5380" s="120"/>
      <c r="M5380" s="3"/>
    </row>
    <row r="5381" spans="1:13" s="4" customFormat="1" ht="14.25" customHeight="1" x14ac:dyDescent="0.25">
      <c r="A5381" s="4" t="s">
        <v>9037</v>
      </c>
      <c r="B5381" s="4" t="s">
        <v>38</v>
      </c>
      <c r="C5381" s="4" t="s">
        <v>14</v>
      </c>
      <c r="D5381" s="35">
        <v>3129</v>
      </c>
      <c r="E5381" s="4" t="s">
        <v>9038</v>
      </c>
      <c r="F5381" s="5">
        <v>39083</v>
      </c>
      <c r="G5381" s="5">
        <v>39813</v>
      </c>
      <c r="H5381" s="4" t="s">
        <v>40</v>
      </c>
      <c r="I5381" s="6">
        <v>2800</v>
      </c>
      <c r="J5381" s="6">
        <v>2800</v>
      </c>
      <c r="K5381" s="37" t="s">
        <v>8905</v>
      </c>
      <c r="L5381" s="120"/>
      <c r="M5381" s="3"/>
    </row>
    <row r="5382" spans="1:13" s="4" customFormat="1" ht="14.25" customHeight="1" x14ac:dyDescent="0.25">
      <c r="A5382" s="4" t="s">
        <v>3252</v>
      </c>
      <c r="B5382" s="4" t="s">
        <v>38</v>
      </c>
      <c r="C5382" s="4" t="s">
        <v>14</v>
      </c>
      <c r="D5382" s="35">
        <v>3130</v>
      </c>
      <c r="E5382" s="4" t="s">
        <v>9039</v>
      </c>
      <c r="F5382" s="5">
        <v>39083</v>
      </c>
      <c r="G5382" s="5">
        <v>39447</v>
      </c>
      <c r="H5382" s="4" t="s">
        <v>40</v>
      </c>
      <c r="I5382" s="6">
        <f>2719.93-2500</f>
        <v>219.92999999999984</v>
      </c>
      <c r="J5382" s="6">
        <f>2719.93-2500</f>
        <v>219.92999999999984</v>
      </c>
      <c r="K5382" s="37" t="s">
        <v>8905</v>
      </c>
      <c r="L5382" s="120"/>
      <c r="M5382" s="3"/>
    </row>
    <row r="5383" spans="1:13" s="4" customFormat="1" ht="14.25" customHeight="1" x14ac:dyDescent="0.25">
      <c r="A5383" s="4" t="s">
        <v>9040</v>
      </c>
      <c r="B5383" s="4" t="s">
        <v>50</v>
      </c>
      <c r="C5383" s="4" t="s">
        <v>14</v>
      </c>
      <c r="D5383" s="35">
        <v>3131</v>
      </c>
      <c r="E5383" s="4" t="s">
        <v>8935</v>
      </c>
      <c r="F5383" s="5">
        <v>39559</v>
      </c>
      <c r="G5383" s="5">
        <v>39813</v>
      </c>
      <c r="H5383" s="4" t="s">
        <v>40</v>
      </c>
      <c r="I5383" s="6">
        <v>17300</v>
      </c>
      <c r="J5383" s="6">
        <v>8650</v>
      </c>
      <c r="K5383" s="37" t="s">
        <v>8905</v>
      </c>
      <c r="L5383" s="120"/>
      <c r="M5383" s="3"/>
    </row>
    <row r="5384" spans="1:13" s="4" customFormat="1" ht="14.25" customHeight="1" x14ac:dyDescent="0.25">
      <c r="A5384" s="4" t="s">
        <v>9041</v>
      </c>
      <c r="B5384" s="4" t="s">
        <v>50</v>
      </c>
      <c r="C5384" s="4" t="s">
        <v>14</v>
      </c>
      <c r="D5384" s="35">
        <v>5721</v>
      </c>
      <c r="E5384" s="4" t="s">
        <v>9042</v>
      </c>
      <c r="F5384" s="5">
        <v>39342</v>
      </c>
      <c r="G5384" s="5">
        <v>40178</v>
      </c>
      <c r="H5384" s="4" t="s">
        <v>40</v>
      </c>
      <c r="I5384" s="6">
        <v>2800.6</v>
      </c>
      <c r="J5384" s="6">
        <v>1400.3</v>
      </c>
      <c r="K5384" s="37" t="s">
        <v>8905</v>
      </c>
      <c r="L5384" s="120"/>
      <c r="M5384" s="3"/>
    </row>
    <row r="5385" spans="1:13" s="4" customFormat="1" ht="14.25" customHeight="1" x14ac:dyDescent="0.25">
      <c r="A5385" s="4" t="s">
        <v>9043</v>
      </c>
      <c r="B5385" s="4" t="s">
        <v>59</v>
      </c>
      <c r="C5385" s="4" t="s">
        <v>14</v>
      </c>
      <c r="D5385" s="35">
        <v>5722</v>
      </c>
      <c r="E5385" s="4" t="s">
        <v>9044</v>
      </c>
      <c r="F5385" s="5">
        <v>39722</v>
      </c>
      <c r="G5385" s="5">
        <v>40178</v>
      </c>
      <c r="H5385" s="4" t="s">
        <v>40</v>
      </c>
      <c r="I5385" s="6">
        <v>3750</v>
      </c>
      <c r="J5385" s="6">
        <v>3750</v>
      </c>
      <c r="K5385" s="37" t="s">
        <v>8905</v>
      </c>
      <c r="L5385" s="120"/>
      <c r="M5385" s="3"/>
    </row>
    <row r="5386" spans="1:13" s="4" customFormat="1" ht="14.25" customHeight="1" x14ac:dyDescent="0.25">
      <c r="A5386" s="4" t="s">
        <v>9051</v>
      </c>
      <c r="B5386" s="4" t="s">
        <v>50</v>
      </c>
      <c r="C5386" s="4" t="s">
        <v>14</v>
      </c>
      <c r="D5386" s="35">
        <v>5726</v>
      </c>
      <c r="E5386" s="4" t="s">
        <v>9052</v>
      </c>
      <c r="F5386" s="5">
        <v>39814</v>
      </c>
      <c r="G5386" s="5">
        <v>40543</v>
      </c>
      <c r="H5386" s="4" t="s">
        <v>40</v>
      </c>
      <c r="I5386" s="6">
        <v>47671.24</v>
      </c>
      <c r="J5386" s="6">
        <v>23835.62</v>
      </c>
      <c r="K5386" s="37" t="s">
        <v>8905</v>
      </c>
      <c r="L5386" s="120"/>
      <c r="M5386" s="3"/>
    </row>
    <row r="5387" spans="1:13" s="4" customFormat="1" ht="14.25" customHeight="1" x14ac:dyDescent="0.25">
      <c r="A5387" s="4" t="s">
        <v>9053</v>
      </c>
      <c r="B5387" s="4" t="s">
        <v>50</v>
      </c>
      <c r="C5387" s="4" t="s">
        <v>14</v>
      </c>
      <c r="D5387" s="35">
        <v>5727</v>
      </c>
      <c r="E5387" s="4" t="s">
        <v>9054</v>
      </c>
      <c r="F5387" s="5">
        <v>39860</v>
      </c>
      <c r="G5387" s="5">
        <v>40178</v>
      </c>
      <c r="H5387" s="4" t="s">
        <v>40</v>
      </c>
      <c r="I5387" s="6">
        <v>60000</v>
      </c>
      <c r="J5387" s="6">
        <v>30000</v>
      </c>
      <c r="K5387" s="37" t="s">
        <v>8905</v>
      </c>
      <c r="L5387" s="120"/>
      <c r="M5387" s="3"/>
    </row>
    <row r="5388" spans="1:13" s="4" customFormat="1" ht="14.25" customHeight="1" x14ac:dyDescent="0.25">
      <c r="A5388" s="4" t="s">
        <v>9055</v>
      </c>
      <c r="B5388" s="4" t="s">
        <v>50</v>
      </c>
      <c r="C5388" s="4" t="s">
        <v>14</v>
      </c>
      <c r="D5388" s="35">
        <v>5728</v>
      </c>
      <c r="E5388" s="4" t="s">
        <v>9056</v>
      </c>
      <c r="F5388" s="5">
        <v>39860</v>
      </c>
      <c r="G5388" s="5">
        <v>40178</v>
      </c>
      <c r="H5388" s="4" t="s">
        <v>40</v>
      </c>
      <c r="I5388" s="6">
        <v>61887.42</v>
      </c>
      <c r="J5388" s="6">
        <v>30943.71</v>
      </c>
      <c r="K5388" s="37" t="s">
        <v>8905</v>
      </c>
      <c r="L5388" s="120"/>
      <c r="M5388" s="3"/>
    </row>
    <row r="5389" spans="1:13" s="4" customFormat="1" ht="14.25" customHeight="1" x14ac:dyDescent="0.25">
      <c r="A5389" s="4" t="s">
        <v>9057</v>
      </c>
      <c r="B5389" s="4" t="s">
        <v>59</v>
      </c>
      <c r="C5389" s="4" t="s">
        <v>14</v>
      </c>
      <c r="D5389" s="35">
        <v>5729</v>
      </c>
      <c r="E5389" s="4" t="s">
        <v>9058</v>
      </c>
      <c r="F5389" s="5">
        <v>39860</v>
      </c>
      <c r="G5389" s="5">
        <v>40178</v>
      </c>
      <c r="H5389" s="4" t="s">
        <v>40</v>
      </c>
      <c r="I5389" s="6">
        <v>11250</v>
      </c>
      <c r="J5389" s="6">
        <v>11250</v>
      </c>
      <c r="K5389" s="37" t="s">
        <v>8905</v>
      </c>
      <c r="L5389" s="120"/>
      <c r="M5389" s="3"/>
    </row>
    <row r="5390" spans="1:13" s="4" customFormat="1" ht="14.25" customHeight="1" x14ac:dyDescent="0.25">
      <c r="A5390" s="4" t="s">
        <v>9061</v>
      </c>
      <c r="B5390" s="4" t="s">
        <v>50</v>
      </c>
      <c r="C5390" s="4" t="s">
        <v>14</v>
      </c>
      <c r="D5390" s="35">
        <v>5731</v>
      </c>
      <c r="E5390" s="4" t="s">
        <v>9062</v>
      </c>
      <c r="F5390" s="5">
        <v>39990</v>
      </c>
      <c r="G5390" s="5">
        <v>40178</v>
      </c>
      <c r="H5390" s="4" t="s">
        <v>40</v>
      </c>
      <c r="I5390" s="6">
        <v>19500</v>
      </c>
      <c r="J5390" s="6">
        <v>9750</v>
      </c>
      <c r="K5390" s="37" t="s">
        <v>8905</v>
      </c>
      <c r="L5390" s="120"/>
      <c r="M5390" s="3"/>
    </row>
    <row r="5391" spans="1:13" s="4" customFormat="1" ht="14.25" customHeight="1" x14ac:dyDescent="0.25">
      <c r="A5391" s="4" t="s">
        <v>9063</v>
      </c>
      <c r="B5391" s="4" t="s">
        <v>59</v>
      </c>
      <c r="C5391" s="4" t="s">
        <v>14</v>
      </c>
      <c r="D5391" s="35">
        <v>5732</v>
      </c>
      <c r="E5391" s="4" t="s">
        <v>9064</v>
      </c>
      <c r="F5391" s="5">
        <v>39986</v>
      </c>
      <c r="G5391" s="5">
        <v>40178</v>
      </c>
      <c r="H5391" s="4" t="s">
        <v>40</v>
      </c>
      <c r="I5391" s="6">
        <v>3750</v>
      </c>
      <c r="J5391" s="6">
        <v>3750</v>
      </c>
      <c r="K5391" s="37" t="s">
        <v>8905</v>
      </c>
      <c r="L5391" s="120"/>
      <c r="M5391" s="3"/>
    </row>
    <row r="5392" spans="1:13" s="4" customFormat="1" ht="14.25" customHeight="1" x14ac:dyDescent="0.25">
      <c r="A5392" s="4" t="s">
        <v>9067</v>
      </c>
      <c r="B5392" s="4" t="s">
        <v>59</v>
      </c>
      <c r="C5392" s="4" t="s">
        <v>14</v>
      </c>
      <c r="D5392" s="35">
        <v>5735</v>
      </c>
      <c r="E5392" s="4" t="s">
        <v>9068</v>
      </c>
      <c r="F5392" s="5">
        <v>40070</v>
      </c>
      <c r="G5392" s="5">
        <v>40178</v>
      </c>
      <c r="H5392" s="4" t="s">
        <v>40</v>
      </c>
      <c r="I5392" s="6">
        <v>3750</v>
      </c>
      <c r="J5392" s="6">
        <v>3750</v>
      </c>
      <c r="K5392" s="37" t="s">
        <v>8905</v>
      </c>
      <c r="L5392" s="120"/>
      <c r="M5392" s="3"/>
    </row>
    <row r="5393" spans="1:14" s="4" customFormat="1" ht="14.25" customHeight="1" x14ac:dyDescent="0.25">
      <c r="A5393" s="4" t="s">
        <v>9069</v>
      </c>
      <c r="B5393" s="4" t="s">
        <v>50</v>
      </c>
      <c r="C5393" s="4" t="s">
        <v>14</v>
      </c>
      <c r="D5393" s="35">
        <v>5736</v>
      </c>
      <c r="E5393" s="4" t="s">
        <v>9070</v>
      </c>
      <c r="F5393" s="5">
        <v>40077</v>
      </c>
      <c r="G5393" s="5">
        <v>40178</v>
      </c>
      <c r="H5393" s="4" t="s">
        <v>40</v>
      </c>
      <c r="I5393" s="6">
        <v>18800</v>
      </c>
      <c r="J5393" s="6">
        <v>9400</v>
      </c>
      <c r="K5393" s="37" t="s">
        <v>8905</v>
      </c>
      <c r="L5393" s="120"/>
      <c r="M5393" s="3"/>
    </row>
    <row r="5394" spans="1:14" s="4" customFormat="1" ht="14.25" customHeight="1" x14ac:dyDescent="0.25">
      <c r="A5394" s="4" t="s">
        <v>9071</v>
      </c>
      <c r="B5394" s="4" t="s">
        <v>59</v>
      </c>
      <c r="C5394" s="4" t="s">
        <v>14</v>
      </c>
      <c r="D5394" s="35">
        <v>5737</v>
      </c>
      <c r="E5394" s="4" t="s">
        <v>9072</v>
      </c>
      <c r="F5394" s="5">
        <v>40077</v>
      </c>
      <c r="G5394" s="5">
        <v>40178</v>
      </c>
      <c r="H5394" s="4" t="s">
        <v>40</v>
      </c>
      <c r="I5394" s="6">
        <v>6000</v>
      </c>
      <c r="J5394" s="6">
        <v>6000</v>
      </c>
      <c r="K5394" s="37" t="s">
        <v>8905</v>
      </c>
      <c r="L5394" s="120"/>
      <c r="M5394" s="3"/>
    </row>
    <row r="5395" spans="1:14" s="4" customFormat="1" ht="14.25" customHeight="1" x14ac:dyDescent="0.25">
      <c r="A5395" s="4" t="s">
        <v>9073</v>
      </c>
      <c r="B5395" s="4" t="s">
        <v>59</v>
      </c>
      <c r="C5395" s="4" t="s">
        <v>14</v>
      </c>
      <c r="D5395" s="35">
        <v>5738</v>
      </c>
      <c r="E5395" s="4" t="s">
        <v>9074</v>
      </c>
      <c r="F5395" s="5">
        <v>40077</v>
      </c>
      <c r="G5395" s="5">
        <v>40178</v>
      </c>
      <c r="H5395" s="4" t="s">
        <v>40</v>
      </c>
      <c r="I5395" s="6">
        <v>7500</v>
      </c>
      <c r="J5395" s="6">
        <v>7500</v>
      </c>
      <c r="K5395" s="37" t="s">
        <v>8905</v>
      </c>
      <c r="L5395" s="120"/>
      <c r="M5395" s="3"/>
    </row>
    <row r="5396" spans="1:14" s="4" customFormat="1" ht="14.25" customHeight="1" x14ac:dyDescent="0.25">
      <c r="A5396" s="4" t="s">
        <v>9075</v>
      </c>
      <c r="B5396" s="4" t="s">
        <v>38</v>
      </c>
      <c r="C5396" s="4" t="s">
        <v>14</v>
      </c>
      <c r="D5396" s="35">
        <v>5779</v>
      </c>
      <c r="E5396" s="4" t="s">
        <v>9076</v>
      </c>
      <c r="F5396" s="5">
        <v>39814</v>
      </c>
      <c r="H5396" s="4" t="s">
        <v>40</v>
      </c>
      <c r="I5396" s="6">
        <v>49394.15</v>
      </c>
      <c r="J5396" s="6">
        <v>49394.15</v>
      </c>
      <c r="K5396" s="37" t="s">
        <v>8905</v>
      </c>
      <c r="L5396" s="120"/>
      <c r="M5396" s="3"/>
    </row>
    <row r="5397" spans="1:14" s="4" customFormat="1" ht="14.25" customHeight="1" x14ac:dyDescent="0.25">
      <c r="A5397" s="4" t="s">
        <v>9077</v>
      </c>
      <c r="B5397" s="4" t="s">
        <v>38</v>
      </c>
      <c r="C5397" s="4" t="s">
        <v>14</v>
      </c>
      <c r="D5397" s="35">
        <v>5780</v>
      </c>
      <c r="E5397" s="4" t="s">
        <v>9078</v>
      </c>
      <c r="F5397" s="5">
        <v>39934</v>
      </c>
      <c r="G5397" s="5">
        <v>40178</v>
      </c>
      <c r="H5397" s="4" t="s">
        <v>40</v>
      </c>
      <c r="I5397" s="6">
        <v>2351.0300000000002</v>
      </c>
      <c r="J5397" s="6">
        <v>2351.0300000000002</v>
      </c>
      <c r="K5397" s="37" t="s">
        <v>8905</v>
      </c>
      <c r="L5397" s="120"/>
      <c r="M5397" s="3"/>
    </row>
    <row r="5398" spans="1:14" s="4" customFormat="1" ht="14.25" customHeight="1" x14ac:dyDescent="0.25">
      <c r="A5398" s="4" t="s">
        <v>9079</v>
      </c>
      <c r="B5398" s="4" t="s">
        <v>38</v>
      </c>
      <c r="C5398" s="4" t="s">
        <v>14</v>
      </c>
      <c r="D5398" s="35">
        <v>5782</v>
      </c>
      <c r="E5398" s="4" t="s">
        <v>9080</v>
      </c>
      <c r="F5398" s="5">
        <v>39965</v>
      </c>
      <c r="G5398" s="5">
        <v>40178</v>
      </c>
      <c r="H5398" s="4" t="s">
        <v>40</v>
      </c>
      <c r="I5398" s="6">
        <v>500</v>
      </c>
      <c r="J5398" s="6">
        <v>500</v>
      </c>
      <c r="K5398" s="37" t="s">
        <v>8905</v>
      </c>
      <c r="L5398" s="120"/>
      <c r="M5398" s="3"/>
    </row>
    <row r="5399" spans="1:14" s="4" customFormat="1" ht="14.25" customHeight="1" x14ac:dyDescent="0.25">
      <c r="A5399" s="4" t="s">
        <v>9081</v>
      </c>
      <c r="B5399" s="4" t="s">
        <v>38</v>
      </c>
      <c r="C5399" s="4" t="s">
        <v>14</v>
      </c>
      <c r="D5399" s="35">
        <v>5783</v>
      </c>
      <c r="E5399" s="4" t="s">
        <v>9082</v>
      </c>
      <c r="F5399" s="5">
        <v>39814</v>
      </c>
      <c r="G5399" s="5">
        <v>40178</v>
      </c>
      <c r="H5399" s="4" t="s">
        <v>40</v>
      </c>
      <c r="I5399" s="6">
        <v>10603.2</v>
      </c>
      <c r="J5399" s="6">
        <v>10603.2</v>
      </c>
      <c r="K5399" s="37" t="s">
        <v>8905</v>
      </c>
      <c r="L5399" s="120"/>
      <c r="M5399" s="3"/>
    </row>
    <row r="5400" spans="1:14" s="4" customFormat="1" ht="14.25" customHeight="1" x14ac:dyDescent="0.25">
      <c r="A5400" s="4" t="s">
        <v>9083</v>
      </c>
      <c r="B5400" s="4" t="s">
        <v>38</v>
      </c>
      <c r="C5400" s="4" t="s">
        <v>14</v>
      </c>
      <c r="D5400" s="35">
        <v>5785</v>
      </c>
      <c r="E5400" s="4" t="s">
        <v>9084</v>
      </c>
      <c r="F5400" s="5">
        <v>39814</v>
      </c>
      <c r="G5400" s="5">
        <v>40178</v>
      </c>
      <c r="H5400" s="4" t="s">
        <v>40</v>
      </c>
      <c r="I5400" s="6">
        <v>3401.59</v>
      </c>
      <c r="J5400" s="6">
        <v>3401.59</v>
      </c>
      <c r="K5400" s="37" t="s">
        <v>8905</v>
      </c>
      <c r="L5400" s="120"/>
      <c r="M5400" s="3"/>
    </row>
    <row r="5401" spans="1:14" s="4" customFormat="1" ht="14.25" customHeight="1" x14ac:dyDescent="0.25">
      <c r="A5401" s="4" t="s">
        <v>9085</v>
      </c>
      <c r="B5401" s="4" t="s">
        <v>38</v>
      </c>
      <c r="C5401" s="4" t="s">
        <v>14</v>
      </c>
      <c r="D5401" s="35">
        <v>5786</v>
      </c>
      <c r="E5401" s="4" t="s">
        <v>9086</v>
      </c>
      <c r="F5401" s="5">
        <v>40026</v>
      </c>
      <c r="G5401" s="5">
        <v>40178</v>
      </c>
      <c r="H5401" s="4" t="s">
        <v>40</v>
      </c>
      <c r="I5401" s="6">
        <v>2972.31</v>
      </c>
      <c r="J5401" s="6">
        <v>2972.31</v>
      </c>
      <c r="K5401" s="37" t="s">
        <v>8905</v>
      </c>
      <c r="L5401" s="120"/>
      <c r="M5401" s="3"/>
    </row>
    <row r="5402" spans="1:14" s="4" customFormat="1" ht="14.25" customHeight="1" x14ac:dyDescent="0.25">
      <c r="A5402" s="4" t="s">
        <v>9087</v>
      </c>
      <c r="B5402" s="4" t="s">
        <v>38</v>
      </c>
      <c r="C5402" s="4" t="s">
        <v>14</v>
      </c>
      <c r="D5402" s="35">
        <v>5788</v>
      </c>
      <c r="E5402" s="4" t="s">
        <v>9088</v>
      </c>
      <c r="F5402" s="5">
        <v>39814</v>
      </c>
      <c r="G5402" s="5">
        <v>40543</v>
      </c>
      <c r="H5402" s="4" t="s">
        <v>40</v>
      </c>
      <c r="I5402" s="6">
        <v>4133.3</v>
      </c>
      <c r="J5402" s="6">
        <v>4133.3</v>
      </c>
      <c r="K5402" s="37" t="s">
        <v>8905</v>
      </c>
      <c r="L5402" s="120"/>
      <c r="M5402" s="3"/>
    </row>
    <row r="5403" spans="1:14" s="4" customFormat="1" ht="14.25" customHeight="1" x14ac:dyDescent="0.25">
      <c r="A5403" s="4" t="s">
        <v>9089</v>
      </c>
      <c r="B5403" s="4" t="s">
        <v>38</v>
      </c>
      <c r="C5403" s="4" t="s">
        <v>14</v>
      </c>
      <c r="D5403" s="35">
        <v>5789</v>
      </c>
      <c r="E5403" s="4" t="s">
        <v>9090</v>
      </c>
      <c r="F5403" s="5">
        <v>39814</v>
      </c>
      <c r="G5403" s="5">
        <v>40178</v>
      </c>
      <c r="H5403" s="4" t="s">
        <v>40</v>
      </c>
      <c r="I5403" s="6">
        <v>6000</v>
      </c>
      <c r="J5403" s="6">
        <v>6000</v>
      </c>
      <c r="K5403" s="37" t="s">
        <v>8905</v>
      </c>
      <c r="L5403" s="120"/>
      <c r="M5403" s="3"/>
    </row>
    <row r="5404" spans="1:14" s="21" customFormat="1" ht="14.25" customHeight="1" x14ac:dyDescent="0.25">
      <c r="A5404" s="21" t="s">
        <v>11641</v>
      </c>
      <c r="B5404" s="4" t="s">
        <v>38</v>
      </c>
      <c r="C5404" s="21" t="s">
        <v>14</v>
      </c>
      <c r="D5404" s="36">
        <v>5791</v>
      </c>
      <c r="E5404" s="4" t="s">
        <v>11642</v>
      </c>
      <c r="F5404" s="22">
        <v>39814</v>
      </c>
      <c r="G5404" s="22">
        <v>40543</v>
      </c>
      <c r="H5404" s="21" t="s">
        <v>40</v>
      </c>
      <c r="I5404" s="23">
        <v>-770.36</v>
      </c>
      <c r="J5404" s="23">
        <v>-770.36</v>
      </c>
      <c r="K5404" s="37" t="s">
        <v>8905</v>
      </c>
      <c r="L5404" s="120"/>
      <c r="M5404" s="24"/>
      <c r="N5404" s="24"/>
    </row>
    <row r="5405" spans="1:14" s="4" customFormat="1" ht="14.25" customHeight="1" x14ac:dyDescent="0.25">
      <c r="A5405" s="4" t="s">
        <v>9091</v>
      </c>
      <c r="B5405" s="4" t="s">
        <v>50</v>
      </c>
      <c r="C5405" s="4" t="s">
        <v>14</v>
      </c>
      <c r="D5405" s="35">
        <v>7335</v>
      </c>
      <c r="E5405" s="4" t="s">
        <v>9092</v>
      </c>
      <c r="F5405" s="5">
        <v>40179</v>
      </c>
      <c r="G5405" s="5">
        <v>40543</v>
      </c>
      <c r="H5405" s="4" t="s">
        <v>40</v>
      </c>
      <c r="I5405" s="6">
        <v>15000</v>
      </c>
      <c r="J5405" s="6">
        <v>7500</v>
      </c>
      <c r="K5405" s="37" t="s">
        <v>8905</v>
      </c>
      <c r="L5405" s="120"/>
      <c r="M5405" s="3"/>
    </row>
    <row r="5406" spans="1:14" s="4" customFormat="1" ht="14.25" customHeight="1" x14ac:dyDescent="0.25">
      <c r="A5406" s="4" t="s">
        <v>9093</v>
      </c>
      <c r="B5406" s="4" t="s">
        <v>59</v>
      </c>
      <c r="C5406" s="4" t="s">
        <v>14</v>
      </c>
      <c r="D5406" s="35">
        <v>7338</v>
      </c>
      <c r="E5406" s="4" t="s">
        <v>9094</v>
      </c>
      <c r="F5406" s="5">
        <v>40147</v>
      </c>
      <c r="H5406" s="4" t="s">
        <v>40</v>
      </c>
      <c r="I5406" s="6">
        <v>7500</v>
      </c>
      <c r="J5406" s="6">
        <v>7500</v>
      </c>
      <c r="K5406" s="37" t="s">
        <v>8905</v>
      </c>
      <c r="L5406" s="120"/>
      <c r="M5406" s="3"/>
    </row>
    <row r="5407" spans="1:14" s="4" customFormat="1" ht="14.25" customHeight="1" x14ac:dyDescent="0.25">
      <c r="A5407" s="4" t="s">
        <v>9095</v>
      </c>
      <c r="B5407" s="4" t="s">
        <v>50</v>
      </c>
      <c r="C5407" s="4" t="s">
        <v>14</v>
      </c>
      <c r="D5407" s="35">
        <v>7339</v>
      </c>
      <c r="E5407" s="4" t="s">
        <v>9094</v>
      </c>
      <c r="F5407" s="5">
        <v>40140</v>
      </c>
      <c r="G5407" s="5">
        <v>40543</v>
      </c>
      <c r="H5407" s="4" t="s">
        <v>40</v>
      </c>
      <c r="I5407" s="6">
        <v>18679.84</v>
      </c>
      <c r="J5407" s="6">
        <v>9339.92</v>
      </c>
      <c r="K5407" s="37" t="s">
        <v>8905</v>
      </c>
      <c r="L5407" s="120"/>
      <c r="M5407" s="3"/>
    </row>
    <row r="5408" spans="1:14" s="4" customFormat="1" ht="14.25" customHeight="1" x14ac:dyDescent="0.25">
      <c r="A5408" s="4" t="s">
        <v>9096</v>
      </c>
      <c r="B5408" s="4" t="s">
        <v>183</v>
      </c>
      <c r="C5408" s="4" t="s">
        <v>14</v>
      </c>
      <c r="D5408" s="35">
        <v>7340</v>
      </c>
      <c r="E5408" s="4" t="s">
        <v>9097</v>
      </c>
      <c r="F5408" s="5">
        <v>40224</v>
      </c>
      <c r="G5408" s="5">
        <v>40543</v>
      </c>
      <c r="H5408" s="4" t="s">
        <v>40</v>
      </c>
      <c r="I5408" s="6">
        <v>7500</v>
      </c>
      <c r="J5408" s="6">
        <v>7500</v>
      </c>
      <c r="K5408" s="37" t="s">
        <v>8905</v>
      </c>
      <c r="L5408" s="120"/>
      <c r="M5408" s="3"/>
    </row>
    <row r="5409" spans="1:13" s="4" customFormat="1" ht="14.25" customHeight="1" x14ac:dyDescent="0.25">
      <c r="A5409" s="4" t="s">
        <v>9098</v>
      </c>
      <c r="B5409" s="4" t="s">
        <v>183</v>
      </c>
      <c r="C5409" s="4" t="s">
        <v>14</v>
      </c>
      <c r="D5409" s="35">
        <v>7341</v>
      </c>
      <c r="E5409" s="4" t="s">
        <v>9099</v>
      </c>
      <c r="F5409" s="5">
        <v>40441</v>
      </c>
      <c r="G5409" s="5">
        <v>40682</v>
      </c>
      <c r="H5409" s="4" t="s">
        <v>40</v>
      </c>
      <c r="I5409" s="6">
        <v>7500</v>
      </c>
      <c r="J5409" s="6">
        <v>7500</v>
      </c>
      <c r="K5409" s="37" t="s">
        <v>8905</v>
      </c>
      <c r="L5409" s="120"/>
      <c r="M5409" s="3"/>
    </row>
    <row r="5410" spans="1:13" s="4" customFormat="1" ht="14.25" customHeight="1" x14ac:dyDescent="0.25">
      <c r="A5410" s="4" t="s">
        <v>9100</v>
      </c>
      <c r="B5410" s="4" t="s">
        <v>190</v>
      </c>
      <c r="C5410" s="4" t="s">
        <v>14</v>
      </c>
      <c r="D5410" s="35">
        <v>7343</v>
      </c>
      <c r="E5410" s="4" t="s">
        <v>9101</v>
      </c>
      <c r="F5410" s="5">
        <v>40228</v>
      </c>
      <c r="H5410" s="4" t="s">
        <v>40</v>
      </c>
      <c r="I5410" s="6">
        <v>13531.96</v>
      </c>
      <c r="J5410" s="6">
        <v>8640.98</v>
      </c>
      <c r="K5410" s="37" t="s">
        <v>8905</v>
      </c>
      <c r="L5410" s="120"/>
      <c r="M5410" s="3"/>
    </row>
    <row r="5411" spans="1:13" s="4" customFormat="1" ht="14.25" customHeight="1" x14ac:dyDescent="0.25">
      <c r="A5411" s="4" t="s">
        <v>9102</v>
      </c>
      <c r="B5411" s="4" t="s">
        <v>183</v>
      </c>
      <c r="C5411" s="4" t="s">
        <v>14</v>
      </c>
      <c r="D5411" s="35">
        <v>7344</v>
      </c>
      <c r="E5411" s="4" t="s">
        <v>9103</v>
      </c>
      <c r="F5411" s="5">
        <v>40350</v>
      </c>
      <c r="H5411" s="4" t="s">
        <v>40</v>
      </c>
      <c r="I5411" s="6">
        <v>49331.58</v>
      </c>
      <c r="J5411" s="6">
        <v>24667</v>
      </c>
      <c r="K5411" s="37" t="s">
        <v>8905</v>
      </c>
      <c r="L5411" s="120"/>
      <c r="M5411" s="3"/>
    </row>
    <row r="5412" spans="1:13" s="4" customFormat="1" ht="14.25" customHeight="1" x14ac:dyDescent="0.25">
      <c r="A5412" s="4" t="s">
        <v>9104</v>
      </c>
      <c r="B5412" s="4" t="s">
        <v>183</v>
      </c>
      <c r="C5412" s="4" t="s">
        <v>14</v>
      </c>
      <c r="D5412" s="35">
        <v>7345</v>
      </c>
      <c r="E5412" s="4" t="s">
        <v>9105</v>
      </c>
      <c r="F5412" s="5">
        <v>40350</v>
      </c>
      <c r="H5412" s="4" t="s">
        <v>40</v>
      </c>
      <c r="I5412" s="6">
        <v>7500</v>
      </c>
      <c r="J5412" s="6">
        <v>7500</v>
      </c>
      <c r="K5412" s="37" t="s">
        <v>8905</v>
      </c>
      <c r="L5412" s="120"/>
      <c r="M5412" s="3"/>
    </row>
    <row r="5413" spans="1:13" s="4" customFormat="1" ht="14.25" customHeight="1" x14ac:dyDescent="0.25">
      <c r="A5413" s="4" t="s">
        <v>9106</v>
      </c>
      <c r="B5413" s="4" t="s">
        <v>183</v>
      </c>
      <c r="C5413" s="4" t="s">
        <v>14</v>
      </c>
      <c r="D5413" s="35">
        <v>7346</v>
      </c>
      <c r="E5413" s="4" t="s">
        <v>9107</v>
      </c>
      <c r="F5413" s="5">
        <v>40224</v>
      </c>
      <c r="H5413" s="4" t="s">
        <v>40</v>
      </c>
      <c r="I5413" s="6">
        <v>7500</v>
      </c>
      <c r="J5413" s="6">
        <v>7500</v>
      </c>
      <c r="K5413" s="37" t="s">
        <v>8905</v>
      </c>
      <c r="L5413" s="120"/>
      <c r="M5413" s="3"/>
    </row>
    <row r="5414" spans="1:13" s="4" customFormat="1" ht="14.25" customHeight="1" x14ac:dyDescent="0.25">
      <c r="A5414" s="4" t="s">
        <v>9110</v>
      </c>
      <c r="B5414" s="4" t="s">
        <v>183</v>
      </c>
      <c r="C5414" s="4" t="s">
        <v>14</v>
      </c>
      <c r="D5414" s="35">
        <v>7348</v>
      </c>
      <c r="E5414" s="4" t="s">
        <v>9111</v>
      </c>
      <c r="F5414" s="5">
        <v>40441</v>
      </c>
      <c r="H5414" s="4" t="s">
        <v>40</v>
      </c>
      <c r="I5414" s="6">
        <v>7500</v>
      </c>
      <c r="J5414" s="6">
        <v>7500</v>
      </c>
      <c r="K5414" s="37" t="s">
        <v>8905</v>
      </c>
      <c r="L5414" s="120"/>
      <c r="M5414" s="3"/>
    </row>
    <row r="5415" spans="1:13" s="4" customFormat="1" ht="14.25" customHeight="1" x14ac:dyDescent="0.25">
      <c r="A5415" s="4" t="s">
        <v>9112</v>
      </c>
      <c r="B5415" s="4" t="s">
        <v>183</v>
      </c>
      <c r="C5415" s="4" t="s">
        <v>14</v>
      </c>
      <c r="D5415" s="35">
        <v>7349</v>
      </c>
      <c r="E5415" s="4" t="s">
        <v>9113</v>
      </c>
      <c r="F5415" s="5">
        <v>40441</v>
      </c>
      <c r="H5415" s="4" t="s">
        <v>40</v>
      </c>
      <c r="I5415" s="6">
        <v>3750</v>
      </c>
      <c r="J5415" s="6">
        <v>3750</v>
      </c>
      <c r="K5415" s="37" t="s">
        <v>8905</v>
      </c>
      <c r="L5415" s="120"/>
      <c r="M5415" s="3"/>
    </row>
    <row r="5416" spans="1:13" s="4" customFormat="1" ht="14.25" customHeight="1" x14ac:dyDescent="0.25">
      <c r="A5416" s="4" t="s">
        <v>9114</v>
      </c>
      <c r="B5416" s="4" t="s">
        <v>183</v>
      </c>
      <c r="C5416" s="4" t="s">
        <v>14</v>
      </c>
      <c r="D5416" s="35">
        <v>7350</v>
      </c>
      <c r="E5416" s="4" t="s">
        <v>9115</v>
      </c>
      <c r="F5416" s="5">
        <v>40140</v>
      </c>
      <c r="H5416" s="4" t="s">
        <v>40</v>
      </c>
      <c r="I5416" s="6">
        <v>9200</v>
      </c>
      <c r="J5416" s="6">
        <v>4600</v>
      </c>
      <c r="K5416" s="37" t="s">
        <v>8905</v>
      </c>
      <c r="L5416" s="120"/>
      <c r="M5416" s="3"/>
    </row>
    <row r="5417" spans="1:13" s="4" customFormat="1" ht="14.25" customHeight="1" x14ac:dyDescent="0.25">
      <c r="A5417" s="4" t="s">
        <v>9116</v>
      </c>
      <c r="B5417" s="4" t="s">
        <v>183</v>
      </c>
      <c r="C5417" s="4" t="s">
        <v>14</v>
      </c>
      <c r="D5417" s="35">
        <v>7352</v>
      </c>
      <c r="E5417" s="4" t="s">
        <v>9117</v>
      </c>
      <c r="F5417" s="5">
        <v>40287</v>
      </c>
      <c r="H5417" s="4" t="s">
        <v>40</v>
      </c>
      <c r="I5417" s="6">
        <v>8708.36</v>
      </c>
      <c r="J5417" s="6">
        <v>4354.18</v>
      </c>
      <c r="K5417" s="37" t="s">
        <v>8905</v>
      </c>
      <c r="L5417" s="120"/>
      <c r="M5417" s="3"/>
    </row>
    <row r="5418" spans="1:13" s="4" customFormat="1" ht="14.25" customHeight="1" x14ac:dyDescent="0.25">
      <c r="A5418" s="4" t="s">
        <v>9118</v>
      </c>
      <c r="B5418" s="4" t="s">
        <v>190</v>
      </c>
      <c r="C5418" s="4" t="s">
        <v>14</v>
      </c>
      <c r="D5418" s="35">
        <v>7353</v>
      </c>
      <c r="E5418" s="4" t="s">
        <v>9119</v>
      </c>
      <c r="F5418" s="5">
        <v>40070</v>
      </c>
      <c r="H5418" s="4" t="s">
        <v>40</v>
      </c>
      <c r="I5418" s="6">
        <v>56250</v>
      </c>
      <c r="J5418" s="6">
        <f>41250+15000</f>
        <v>56250</v>
      </c>
      <c r="K5418" s="37" t="s">
        <v>8905</v>
      </c>
      <c r="L5418" s="120"/>
      <c r="M5418" s="3"/>
    </row>
    <row r="5419" spans="1:13" s="4" customFormat="1" ht="14.25" customHeight="1" x14ac:dyDescent="0.25">
      <c r="A5419" s="4" t="s">
        <v>9120</v>
      </c>
      <c r="B5419" s="4" t="s">
        <v>183</v>
      </c>
      <c r="C5419" s="4" t="s">
        <v>14</v>
      </c>
      <c r="D5419" s="35">
        <v>7354</v>
      </c>
      <c r="E5419" s="4" t="s">
        <v>9121</v>
      </c>
      <c r="F5419" s="5">
        <v>40287</v>
      </c>
      <c r="H5419" s="4" t="s">
        <v>40</v>
      </c>
      <c r="I5419" s="6">
        <v>7500</v>
      </c>
      <c r="J5419" s="6">
        <v>7500</v>
      </c>
      <c r="K5419" s="37" t="s">
        <v>8905</v>
      </c>
      <c r="L5419" s="120"/>
      <c r="M5419" s="3"/>
    </row>
    <row r="5420" spans="1:13" s="4" customFormat="1" ht="14.25" customHeight="1" x14ac:dyDescent="0.25">
      <c r="A5420" s="4" t="s">
        <v>9122</v>
      </c>
      <c r="B5420" s="4" t="s">
        <v>183</v>
      </c>
      <c r="C5420" s="4" t="s">
        <v>14</v>
      </c>
      <c r="D5420" s="35">
        <v>7355</v>
      </c>
      <c r="E5420" s="4" t="s">
        <v>9123</v>
      </c>
      <c r="F5420" s="5">
        <v>40441</v>
      </c>
      <c r="H5420" s="4" t="s">
        <v>40</v>
      </c>
      <c r="I5420" s="6">
        <f>35418.46+47850+11250+11250</f>
        <v>105768.45999999999</v>
      </c>
      <c r="J5420" s="6">
        <f>43959.23+29550</f>
        <v>73509.23000000001</v>
      </c>
      <c r="K5420" s="37" t="s">
        <v>8905</v>
      </c>
      <c r="L5420" s="120"/>
      <c r="M5420" s="3"/>
    </row>
    <row r="5421" spans="1:13" s="4" customFormat="1" ht="14.25" customHeight="1" x14ac:dyDescent="0.25">
      <c r="A5421" s="4" t="s">
        <v>9124</v>
      </c>
      <c r="B5421" s="4" t="s">
        <v>38</v>
      </c>
      <c r="C5421" s="4" t="s">
        <v>14</v>
      </c>
      <c r="D5421" s="35">
        <v>7603</v>
      </c>
      <c r="E5421" s="4" t="s">
        <v>9125</v>
      </c>
      <c r="F5421" s="5">
        <v>39814</v>
      </c>
      <c r="H5421" s="4" t="s">
        <v>40</v>
      </c>
      <c r="I5421" s="6">
        <v>4000</v>
      </c>
      <c r="J5421" s="6">
        <v>4000</v>
      </c>
      <c r="K5421" s="37" t="s">
        <v>8905</v>
      </c>
      <c r="L5421" s="120"/>
      <c r="M5421" s="3"/>
    </row>
    <row r="5422" spans="1:13" s="4" customFormat="1" ht="14.25" customHeight="1" x14ac:dyDescent="0.25">
      <c r="A5422" s="4" t="s">
        <v>9126</v>
      </c>
      <c r="B5422" s="4" t="s">
        <v>38</v>
      </c>
      <c r="C5422" s="4" t="s">
        <v>14</v>
      </c>
      <c r="D5422" s="35">
        <v>7604</v>
      </c>
      <c r="E5422" s="4" t="s">
        <v>9127</v>
      </c>
      <c r="F5422" s="5">
        <v>40179</v>
      </c>
      <c r="H5422" s="4" t="s">
        <v>40</v>
      </c>
      <c r="I5422" s="6">
        <v>6130.35</v>
      </c>
      <c r="J5422" s="6">
        <v>6130.35</v>
      </c>
      <c r="K5422" s="37" t="s">
        <v>8905</v>
      </c>
      <c r="L5422" s="120"/>
      <c r="M5422" s="3"/>
    </row>
    <row r="5423" spans="1:13" s="4" customFormat="1" ht="14.25" customHeight="1" x14ac:dyDescent="0.25">
      <c r="A5423" s="4" t="s">
        <v>9128</v>
      </c>
      <c r="B5423" s="4" t="s">
        <v>38</v>
      </c>
      <c r="C5423" s="4" t="s">
        <v>14</v>
      </c>
      <c r="D5423" s="35">
        <v>7605</v>
      </c>
      <c r="E5423" s="4" t="s">
        <v>9129</v>
      </c>
      <c r="F5423" s="5">
        <v>40179</v>
      </c>
      <c r="H5423" s="4" t="s">
        <v>40</v>
      </c>
      <c r="I5423" s="6">
        <f>2428.4+3750+1600</f>
        <v>7778.4</v>
      </c>
      <c r="J5423" s="6">
        <v>7778.4</v>
      </c>
      <c r="K5423" s="37" t="s">
        <v>8905</v>
      </c>
      <c r="L5423" s="120"/>
      <c r="M5423" s="3"/>
    </row>
    <row r="5424" spans="1:13" s="4" customFormat="1" ht="14.25" customHeight="1" x14ac:dyDescent="0.25">
      <c r="A5424" s="4" t="s">
        <v>9130</v>
      </c>
      <c r="B5424" s="4" t="s">
        <v>38</v>
      </c>
      <c r="C5424" s="4" t="s">
        <v>14</v>
      </c>
      <c r="D5424" s="35">
        <v>7606</v>
      </c>
      <c r="E5424" s="4" t="s">
        <v>9131</v>
      </c>
      <c r="F5424" s="5">
        <v>40179</v>
      </c>
      <c r="G5424" s="5">
        <v>40543</v>
      </c>
      <c r="H5424" s="4" t="s">
        <v>40</v>
      </c>
      <c r="I5424" s="6">
        <v>899.65</v>
      </c>
      <c r="J5424" s="6">
        <v>899.65</v>
      </c>
      <c r="K5424" s="37" t="s">
        <v>8905</v>
      </c>
      <c r="L5424" s="120"/>
      <c r="M5424" s="3"/>
    </row>
    <row r="5425" spans="1:13" s="4" customFormat="1" ht="14.25" customHeight="1" x14ac:dyDescent="0.25">
      <c r="A5425" s="4" t="s">
        <v>9132</v>
      </c>
      <c r="B5425" s="4" t="s">
        <v>38</v>
      </c>
      <c r="C5425" s="4" t="s">
        <v>14</v>
      </c>
      <c r="D5425" s="35">
        <v>7607</v>
      </c>
      <c r="E5425" s="4" t="s">
        <v>9133</v>
      </c>
      <c r="F5425" s="5">
        <v>40179</v>
      </c>
      <c r="H5425" s="4" t="s">
        <v>40</v>
      </c>
      <c r="I5425" s="6">
        <v>11295.75</v>
      </c>
      <c r="J5425" s="6">
        <v>11295.75</v>
      </c>
      <c r="K5425" s="37" t="s">
        <v>8905</v>
      </c>
      <c r="L5425" s="120"/>
      <c r="M5425" s="3"/>
    </row>
    <row r="5426" spans="1:13" s="4" customFormat="1" ht="14.25" customHeight="1" x14ac:dyDescent="0.25">
      <c r="A5426" s="4" t="s">
        <v>9134</v>
      </c>
      <c r="B5426" s="4" t="s">
        <v>183</v>
      </c>
      <c r="C5426" s="4" t="s">
        <v>14</v>
      </c>
      <c r="D5426" s="35">
        <v>8487</v>
      </c>
      <c r="E5426" s="4" t="s">
        <v>9135</v>
      </c>
      <c r="F5426" s="5">
        <v>40595</v>
      </c>
      <c r="H5426" s="4" t="s">
        <v>40</v>
      </c>
      <c r="I5426" s="6">
        <v>45000</v>
      </c>
      <c r="J5426" s="6">
        <v>45000</v>
      </c>
      <c r="K5426" s="37" t="s">
        <v>8905</v>
      </c>
      <c r="L5426" s="120"/>
      <c r="M5426" s="3"/>
    </row>
    <row r="5427" spans="1:13" s="4" customFormat="1" ht="14.25" customHeight="1" x14ac:dyDescent="0.25">
      <c r="A5427" s="4" t="s">
        <v>9138</v>
      </c>
      <c r="B5427" s="4" t="s">
        <v>183</v>
      </c>
      <c r="C5427" s="4" t="s">
        <v>14</v>
      </c>
      <c r="D5427" s="35">
        <v>8489</v>
      </c>
      <c r="E5427" s="4" t="s">
        <v>9139</v>
      </c>
      <c r="F5427" s="5">
        <v>40350</v>
      </c>
      <c r="H5427" s="4" t="s">
        <v>40</v>
      </c>
      <c r="I5427" s="6">
        <v>3750</v>
      </c>
      <c r="J5427" s="6">
        <v>3750</v>
      </c>
      <c r="K5427" s="37" t="s">
        <v>8905</v>
      </c>
      <c r="L5427" s="120"/>
      <c r="M5427" s="3"/>
    </row>
    <row r="5428" spans="1:13" s="4" customFormat="1" ht="14.25" customHeight="1" x14ac:dyDescent="0.25">
      <c r="A5428" s="4" t="s">
        <v>9140</v>
      </c>
      <c r="B5428" s="4" t="s">
        <v>183</v>
      </c>
      <c r="C5428" s="4" t="s">
        <v>14</v>
      </c>
      <c r="D5428" s="35">
        <v>8490</v>
      </c>
      <c r="E5428" s="4" t="s">
        <v>9141</v>
      </c>
      <c r="F5428" s="5">
        <v>40504</v>
      </c>
      <c r="G5428" s="5">
        <v>40758</v>
      </c>
      <c r="H5428" s="4" t="s">
        <v>40</v>
      </c>
      <c r="I5428" s="6">
        <v>7600.74</v>
      </c>
      <c r="J5428" s="6">
        <v>3800.37</v>
      </c>
      <c r="K5428" s="37" t="s">
        <v>8905</v>
      </c>
      <c r="L5428" s="120"/>
      <c r="M5428" s="3"/>
    </row>
    <row r="5429" spans="1:13" s="4" customFormat="1" ht="14.25" customHeight="1" x14ac:dyDescent="0.25">
      <c r="A5429" s="4" t="s">
        <v>9142</v>
      </c>
      <c r="B5429" s="4" t="s">
        <v>59</v>
      </c>
      <c r="C5429" s="4" t="s">
        <v>14</v>
      </c>
      <c r="D5429" s="35">
        <v>8491</v>
      </c>
      <c r="E5429" s="4" t="s">
        <v>9143</v>
      </c>
      <c r="F5429" s="5">
        <v>40504</v>
      </c>
      <c r="G5429" s="5">
        <v>40737</v>
      </c>
      <c r="H5429" s="4" t="s">
        <v>40</v>
      </c>
      <c r="I5429" s="6">
        <v>7500</v>
      </c>
      <c r="J5429" s="6">
        <v>7500</v>
      </c>
      <c r="K5429" s="37" t="s">
        <v>8905</v>
      </c>
      <c r="L5429" s="120"/>
      <c r="M5429" s="3"/>
    </row>
    <row r="5430" spans="1:13" s="4" customFormat="1" ht="14.25" customHeight="1" x14ac:dyDescent="0.25">
      <c r="A5430" s="4" t="s">
        <v>9144</v>
      </c>
      <c r="B5430" s="4" t="s">
        <v>50</v>
      </c>
      <c r="C5430" s="4" t="s">
        <v>14</v>
      </c>
      <c r="D5430" s="35">
        <v>8492</v>
      </c>
      <c r="E5430" s="4" t="s">
        <v>9145</v>
      </c>
      <c r="F5430" s="5">
        <v>40728</v>
      </c>
      <c r="G5430" s="5">
        <v>40737</v>
      </c>
      <c r="H5430" s="4" t="s">
        <v>40</v>
      </c>
      <c r="I5430" s="6">
        <v>2475</v>
      </c>
      <c r="J5430" s="6">
        <v>1237.5</v>
      </c>
      <c r="K5430" s="37" t="s">
        <v>8905</v>
      </c>
      <c r="L5430" s="120"/>
      <c r="M5430" s="3"/>
    </row>
    <row r="5431" spans="1:13" s="4" customFormat="1" ht="14.25" customHeight="1" x14ac:dyDescent="0.25">
      <c r="A5431" s="4" t="s">
        <v>9146</v>
      </c>
      <c r="B5431" s="4" t="s">
        <v>183</v>
      </c>
      <c r="C5431" s="4" t="s">
        <v>14</v>
      </c>
      <c r="D5431" s="35">
        <v>8493</v>
      </c>
      <c r="E5431" s="4" t="s">
        <v>9147</v>
      </c>
      <c r="F5431" s="5">
        <v>40868</v>
      </c>
      <c r="H5431" s="4" t="s">
        <v>40</v>
      </c>
      <c r="I5431" s="6">
        <v>18750</v>
      </c>
      <c r="J5431" s="6">
        <v>18750</v>
      </c>
      <c r="K5431" s="37" t="s">
        <v>8905</v>
      </c>
      <c r="L5431" s="120"/>
      <c r="M5431" s="3"/>
    </row>
    <row r="5432" spans="1:13" s="4" customFormat="1" ht="14.25" customHeight="1" x14ac:dyDescent="0.25">
      <c r="A5432" s="4" t="s">
        <v>9148</v>
      </c>
      <c r="B5432" s="4" t="s">
        <v>183</v>
      </c>
      <c r="C5432" s="4" t="s">
        <v>14</v>
      </c>
      <c r="D5432" s="35">
        <v>8494</v>
      </c>
      <c r="E5432" s="4" t="s">
        <v>9149</v>
      </c>
      <c r="F5432" s="5">
        <v>40504</v>
      </c>
      <c r="H5432" s="4" t="s">
        <v>40</v>
      </c>
      <c r="I5432" s="6">
        <v>8450</v>
      </c>
      <c r="J5432" s="6">
        <v>2112.5</v>
      </c>
      <c r="K5432" s="37" t="s">
        <v>8905</v>
      </c>
      <c r="L5432" s="120"/>
      <c r="M5432" s="3"/>
    </row>
    <row r="5433" spans="1:13" s="4" customFormat="1" ht="14.25" customHeight="1" x14ac:dyDescent="0.25">
      <c r="A5433" s="4" t="s">
        <v>9150</v>
      </c>
      <c r="B5433" s="4" t="s">
        <v>59</v>
      </c>
      <c r="C5433" s="4" t="s">
        <v>14</v>
      </c>
      <c r="D5433" s="35">
        <v>8495</v>
      </c>
      <c r="E5433" s="4" t="s">
        <v>9151</v>
      </c>
      <c r="F5433" s="5">
        <v>40869</v>
      </c>
      <c r="H5433" s="4" t="s">
        <v>40</v>
      </c>
      <c r="I5433" s="6">
        <f>3750+6203.92+6250</f>
        <v>16203.92</v>
      </c>
      <c r="J5433" s="6">
        <f>8113.48+6250</f>
        <v>14363.48</v>
      </c>
      <c r="K5433" s="37" t="s">
        <v>8905</v>
      </c>
      <c r="L5433" s="120"/>
      <c r="M5433" s="3"/>
    </row>
    <row r="5434" spans="1:13" s="4" customFormat="1" ht="14.25" customHeight="1" x14ac:dyDescent="0.25">
      <c r="A5434" s="4" t="s">
        <v>9152</v>
      </c>
      <c r="B5434" s="4" t="s">
        <v>50</v>
      </c>
      <c r="C5434" s="4" t="s">
        <v>14</v>
      </c>
      <c r="D5434" s="35">
        <v>8496</v>
      </c>
      <c r="E5434" s="4" t="s">
        <v>9153</v>
      </c>
      <c r="F5434" s="5">
        <v>40504</v>
      </c>
      <c r="H5434" s="4" t="s">
        <v>40</v>
      </c>
      <c r="I5434" s="6">
        <v>24000</v>
      </c>
      <c r="J5434" s="6">
        <v>6000</v>
      </c>
      <c r="K5434" s="37" t="s">
        <v>8905</v>
      </c>
      <c r="L5434" s="120"/>
      <c r="M5434" s="3"/>
    </row>
    <row r="5435" spans="1:13" s="4" customFormat="1" ht="14.25" customHeight="1" x14ac:dyDescent="0.25">
      <c r="A5435" s="4" t="s">
        <v>9154</v>
      </c>
      <c r="B5435" s="4" t="s">
        <v>59</v>
      </c>
      <c r="C5435" s="4" t="s">
        <v>14</v>
      </c>
      <c r="D5435" s="35">
        <v>8497</v>
      </c>
      <c r="E5435" s="4" t="s">
        <v>9153</v>
      </c>
      <c r="F5435" s="5">
        <v>40596</v>
      </c>
      <c r="H5435" s="4" t="s">
        <v>40</v>
      </c>
      <c r="I5435" s="6">
        <v>7500</v>
      </c>
      <c r="J5435" s="6">
        <v>7500</v>
      </c>
      <c r="K5435" s="37" t="s">
        <v>8905</v>
      </c>
      <c r="L5435" s="120"/>
      <c r="M5435" s="3"/>
    </row>
    <row r="5436" spans="1:13" s="4" customFormat="1" ht="14.25" customHeight="1" x14ac:dyDescent="0.25">
      <c r="A5436" s="4" t="s">
        <v>9157</v>
      </c>
      <c r="B5436" s="4" t="s">
        <v>183</v>
      </c>
      <c r="C5436" s="4" t="s">
        <v>14</v>
      </c>
      <c r="D5436" s="35">
        <v>8499</v>
      </c>
      <c r="E5436" s="4" t="s">
        <v>9158</v>
      </c>
      <c r="F5436" s="5">
        <v>40651</v>
      </c>
      <c r="G5436" s="5">
        <v>40893</v>
      </c>
      <c r="H5436" s="4" t="s">
        <v>40</v>
      </c>
      <c r="I5436" s="6">
        <v>7500</v>
      </c>
      <c r="J5436" s="6">
        <v>7500</v>
      </c>
      <c r="K5436" s="37" t="s">
        <v>8905</v>
      </c>
      <c r="L5436" s="120"/>
      <c r="M5436" s="3"/>
    </row>
    <row r="5437" spans="1:13" s="4" customFormat="1" ht="14.25" customHeight="1" x14ac:dyDescent="0.25">
      <c r="A5437" s="4" t="s">
        <v>9161</v>
      </c>
      <c r="B5437" s="4" t="s">
        <v>190</v>
      </c>
      <c r="C5437" s="4" t="s">
        <v>14</v>
      </c>
      <c r="D5437" s="35">
        <v>8501</v>
      </c>
      <c r="E5437" s="4" t="s">
        <v>9162</v>
      </c>
      <c r="F5437" s="5">
        <v>40651</v>
      </c>
      <c r="G5437" s="5">
        <v>40868</v>
      </c>
      <c r="H5437" s="4" t="s">
        <v>40</v>
      </c>
      <c r="I5437" s="6">
        <v>11400</v>
      </c>
      <c r="J5437" s="6">
        <v>9450</v>
      </c>
      <c r="K5437" s="37" t="s">
        <v>8905</v>
      </c>
      <c r="L5437" s="120"/>
      <c r="M5437" s="3"/>
    </row>
    <row r="5438" spans="1:13" s="4" customFormat="1" ht="14.25" customHeight="1" x14ac:dyDescent="0.25">
      <c r="A5438" s="4" t="s">
        <v>9163</v>
      </c>
      <c r="B5438" s="4" t="s">
        <v>183</v>
      </c>
      <c r="C5438" s="4" t="s">
        <v>14</v>
      </c>
      <c r="D5438" s="35">
        <v>8502</v>
      </c>
      <c r="E5438" s="4" t="s">
        <v>9164</v>
      </c>
      <c r="F5438" s="5">
        <v>40868</v>
      </c>
      <c r="H5438" s="4" t="s">
        <v>40</v>
      </c>
      <c r="I5438" s="6">
        <v>11250</v>
      </c>
      <c r="J5438" s="6">
        <v>11250</v>
      </c>
      <c r="K5438" s="37" t="s">
        <v>8905</v>
      </c>
      <c r="L5438" s="120"/>
      <c r="M5438" s="3"/>
    </row>
    <row r="5439" spans="1:13" s="4" customFormat="1" ht="14.25" customHeight="1" x14ac:dyDescent="0.25">
      <c r="A5439" s="4" t="s">
        <v>9167</v>
      </c>
      <c r="B5439" s="4" t="s">
        <v>183</v>
      </c>
      <c r="C5439" s="4" t="s">
        <v>14</v>
      </c>
      <c r="D5439" s="35">
        <v>8504</v>
      </c>
      <c r="E5439" s="4" t="s">
        <v>9168</v>
      </c>
      <c r="F5439" s="5">
        <v>40728</v>
      </c>
      <c r="H5439" s="4" t="s">
        <v>40</v>
      </c>
      <c r="I5439" s="6">
        <v>7500</v>
      </c>
      <c r="J5439" s="6">
        <v>7500</v>
      </c>
      <c r="K5439" s="37" t="s">
        <v>8905</v>
      </c>
      <c r="L5439" s="120"/>
      <c r="M5439" s="3"/>
    </row>
    <row r="5440" spans="1:13" s="4" customFormat="1" ht="14.25" customHeight="1" x14ac:dyDescent="0.25">
      <c r="A5440" s="4" t="s">
        <v>9171</v>
      </c>
      <c r="B5440" s="4" t="s">
        <v>183</v>
      </c>
      <c r="C5440" s="4" t="s">
        <v>14</v>
      </c>
      <c r="D5440" s="35">
        <v>8506</v>
      </c>
      <c r="E5440" s="4" t="s">
        <v>9172</v>
      </c>
      <c r="F5440" s="5">
        <v>40728</v>
      </c>
      <c r="H5440" s="4" t="s">
        <v>40</v>
      </c>
      <c r="I5440" s="6">
        <v>3750</v>
      </c>
      <c r="J5440" s="6">
        <v>3750</v>
      </c>
      <c r="K5440" s="37" t="s">
        <v>8905</v>
      </c>
      <c r="L5440" s="120"/>
      <c r="M5440" s="3"/>
    </row>
    <row r="5441" spans="1:13" s="4" customFormat="1" ht="14.25" customHeight="1" x14ac:dyDescent="0.25">
      <c r="A5441" s="4" t="s">
        <v>9175</v>
      </c>
      <c r="B5441" s="4" t="s">
        <v>190</v>
      </c>
      <c r="C5441" s="4" t="s">
        <v>14</v>
      </c>
      <c r="D5441" s="35">
        <v>8508</v>
      </c>
      <c r="E5441" s="4" t="s">
        <v>9176</v>
      </c>
      <c r="F5441" s="5">
        <v>40595</v>
      </c>
      <c r="G5441" s="5">
        <v>40737</v>
      </c>
      <c r="H5441" s="4" t="s">
        <v>40</v>
      </c>
      <c r="I5441" s="6">
        <v>7966.5</v>
      </c>
      <c r="J5441" s="6">
        <v>3983.25</v>
      </c>
      <c r="K5441" s="37" t="s">
        <v>8905</v>
      </c>
      <c r="L5441" s="120"/>
      <c r="M5441" s="3"/>
    </row>
    <row r="5442" spans="1:13" s="4" customFormat="1" ht="14.25" customHeight="1" x14ac:dyDescent="0.25">
      <c r="A5442" s="4" t="s">
        <v>9177</v>
      </c>
      <c r="B5442" s="4" t="s">
        <v>183</v>
      </c>
      <c r="C5442" s="4" t="s">
        <v>14</v>
      </c>
      <c r="D5442" s="35">
        <v>8509</v>
      </c>
      <c r="E5442" s="4" t="s">
        <v>9178</v>
      </c>
      <c r="F5442" s="5">
        <v>40503</v>
      </c>
      <c r="H5442" s="4" t="s">
        <v>40</v>
      </c>
      <c r="I5442" s="6">
        <v>27721.95</v>
      </c>
      <c r="J5442" s="6">
        <f>13975.98+3635</f>
        <v>17610.98</v>
      </c>
      <c r="K5442" s="37" t="s">
        <v>8905</v>
      </c>
      <c r="L5442" s="120"/>
      <c r="M5442" s="3"/>
    </row>
    <row r="5443" spans="1:13" s="4" customFormat="1" ht="14.25" customHeight="1" x14ac:dyDescent="0.25">
      <c r="A5443" s="4" t="s">
        <v>9181</v>
      </c>
      <c r="B5443" s="4" t="s">
        <v>183</v>
      </c>
      <c r="C5443" s="4" t="s">
        <v>14</v>
      </c>
      <c r="D5443" s="35">
        <v>8511</v>
      </c>
      <c r="E5443" s="4" t="s">
        <v>9182</v>
      </c>
      <c r="F5443" s="5">
        <v>40651</v>
      </c>
      <c r="G5443" s="5">
        <v>40841</v>
      </c>
      <c r="H5443" s="4" t="s">
        <v>40</v>
      </c>
      <c r="I5443" s="6">
        <v>15000</v>
      </c>
      <c r="J5443" s="6">
        <v>15000</v>
      </c>
      <c r="K5443" s="37" t="s">
        <v>8905</v>
      </c>
      <c r="L5443" s="120"/>
      <c r="M5443" s="3"/>
    </row>
    <row r="5444" spans="1:13" s="4" customFormat="1" ht="14.25" customHeight="1" x14ac:dyDescent="0.25">
      <c r="A5444" s="4" t="s">
        <v>9183</v>
      </c>
      <c r="B5444" s="4" t="s">
        <v>90</v>
      </c>
      <c r="C5444" s="4" t="s">
        <v>14</v>
      </c>
      <c r="D5444" s="35">
        <v>8512</v>
      </c>
      <c r="E5444" s="4" t="s">
        <v>9184</v>
      </c>
      <c r="F5444" s="5">
        <v>40504</v>
      </c>
      <c r="G5444" s="5">
        <v>40737</v>
      </c>
      <c r="H5444" s="4" t="s">
        <v>40</v>
      </c>
      <c r="I5444" s="6">
        <v>17625.7</v>
      </c>
      <c r="J5444" s="6">
        <v>8812.85</v>
      </c>
      <c r="K5444" s="37" t="s">
        <v>8905</v>
      </c>
      <c r="L5444" s="120"/>
      <c r="M5444" s="3"/>
    </row>
    <row r="5445" spans="1:13" s="4" customFormat="1" ht="14.25" customHeight="1" x14ac:dyDescent="0.25">
      <c r="A5445" s="4" t="s">
        <v>9185</v>
      </c>
      <c r="B5445" s="4" t="s">
        <v>183</v>
      </c>
      <c r="C5445" s="4" t="s">
        <v>14</v>
      </c>
      <c r="D5445" s="35">
        <v>8513</v>
      </c>
      <c r="E5445" s="4" t="s">
        <v>9186</v>
      </c>
      <c r="F5445" s="5">
        <v>40868</v>
      </c>
      <c r="H5445" s="4" t="s">
        <v>40</v>
      </c>
      <c r="I5445" s="6">
        <v>7500</v>
      </c>
      <c r="J5445" s="6">
        <v>7500</v>
      </c>
      <c r="K5445" s="37" t="s">
        <v>8905</v>
      </c>
      <c r="L5445" s="120"/>
      <c r="M5445" s="3"/>
    </row>
    <row r="5446" spans="1:13" s="4" customFormat="1" ht="14.25" customHeight="1" x14ac:dyDescent="0.25">
      <c r="A5446" s="4" t="s">
        <v>9187</v>
      </c>
      <c r="B5446" s="4" t="s">
        <v>38</v>
      </c>
      <c r="C5446" s="4" t="s">
        <v>14</v>
      </c>
      <c r="D5446" s="35">
        <v>8514</v>
      </c>
      <c r="E5446" s="4" t="s">
        <v>9188</v>
      </c>
      <c r="F5446" s="5">
        <v>40544</v>
      </c>
      <c r="H5446" s="4" t="s">
        <v>40</v>
      </c>
      <c r="I5446" s="6">
        <v>12956.25</v>
      </c>
      <c r="J5446" s="6">
        <f>6806.25+6150</f>
        <v>12956.25</v>
      </c>
      <c r="K5446" s="37" t="s">
        <v>8905</v>
      </c>
      <c r="L5446" s="120"/>
      <c r="M5446" s="3"/>
    </row>
    <row r="5447" spans="1:13" s="4" customFormat="1" ht="14.25" customHeight="1" x14ac:dyDescent="0.25">
      <c r="A5447" s="4" t="s">
        <v>9189</v>
      </c>
      <c r="B5447" s="4" t="s">
        <v>38</v>
      </c>
      <c r="C5447" s="4" t="s">
        <v>14</v>
      </c>
      <c r="D5447" s="35">
        <v>8515</v>
      </c>
      <c r="E5447" s="4" t="s">
        <v>9190</v>
      </c>
      <c r="F5447" s="5">
        <v>40544</v>
      </c>
      <c r="H5447" s="4" t="s">
        <v>40</v>
      </c>
      <c r="I5447" s="6">
        <v>1296.8599999999999</v>
      </c>
      <c r="J5447" s="6">
        <v>1296.8599999999999</v>
      </c>
      <c r="K5447" s="37" t="s">
        <v>8905</v>
      </c>
      <c r="L5447" s="120"/>
      <c r="M5447" s="3"/>
    </row>
    <row r="5448" spans="1:13" s="4" customFormat="1" ht="14.25" customHeight="1" x14ac:dyDescent="0.25">
      <c r="A5448" s="4" t="s">
        <v>9191</v>
      </c>
      <c r="B5448" s="4" t="s">
        <v>38</v>
      </c>
      <c r="C5448" s="4" t="s">
        <v>14</v>
      </c>
      <c r="D5448" s="35">
        <v>8516</v>
      </c>
      <c r="E5448" s="4" t="s">
        <v>9192</v>
      </c>
      <c r="F5448" s="5">
        <v>40544</v>
      </c>
      <c r="H5448" s="4" t="s">
        <v>40</v>
      </c>
      <c r="I5448" s="6">
        <v>4304.24</v>
      </c>
      <c r="J5448" s="6">
        <f>2652.44+1651.8</f>
        <v>4304.24</v>
      </c>
      <c r="K5448" s="37" t="s">
        <v>8905</v>
      </c>
      <c r="L5448" s="120"/>
      <c r="M5448" s="3"/>
    </row>
    <row r="5449" spans="1:13" s="4" customFormat="1" ht="14.25" customHeight="1" x14ac:dyDescent="0.25">
      <c r="A5449" s="4" t="s">
        <v>9193</v>
      </c>
      <c r="B5449" s="4" t="s">
        <v>183</v>
      </c>
      <c r="C5449" s="4" t="s">
        <v>14</v>
      </c>
      <c r="D5449" s="35">
        <v>8549</v>
      </c>
      <c r="E5449" s="4" t="s">
        <v>9194</v>
      </c>
      <c r="F5449" s="5">
        <v>40868</v>
      </c>
      <c r="H5449" s="4" t="s">
        <v>40</v>
      </c>
      <c r="I5449" s="6">
        <v>30250</v>
      </c>
      <c r="J5449" s="6">
        <f>15000+15250</f>
        <v>30250</v>
      </c>
      <c r="K5449" s="37" t="s">
        <v>8905</v>
      </c>
      <c r="L5449" s="120"/>
      <c r="M5449" s="3"/>
    </row>
    <row r="5450" spans="1:13" s="4" customFormat="1" ht="14.25" customHeight="1" x14ac:dyDescent="0.25">
      <c r="A5450" s="4" t="s">
        <v>9195</v>
      </c>
      <c r="B5450" s="4" t="s">
        <v>190</v>
      </c>
      <c r="C5450" s="4" t="s">
        <v>14</v>
      </c>
      <c r="D5450" s="35">
        <v>8550</v>
      </c>
      <c r="E5450" s="4" t="s">
        <v>9196</v>
      </c>
      <c r="F5450" s="5">
        <v>40595</v>
      </c>
      <c r="H5450" s="4" t="s">
        <v>40</v>
      </c>
      <c r="I5450" s="6">
        <v>7500</v>
      </c>
      <c r="J5450" s="6">
        <v>7500</v>
      </c>
      <c r="K5450" s="37" t="s">
        <v>8905</v>
      </c>
      <c r="L5450" s="120"/>
      <c r="M5450" s="3"/>
    </row>
    <row r="5451" spans="1:13" s="4" customFormat="1" ht="14.25" customHeight="1" x14ac:dyDescent="0.25">
      <c r="A5451" s="4" t="s">
        <v>9197</v>
      </c>
      <c r="B5451" s="4" t="s">
        <v>38</v>
      </c>
      <c r="C5451" s="4" t="s">
        <v>14</v>
      </c>
      <c r="D5451" s="35">
        <v>8553</v>
      </c>
      <c r="E5451" s="4" t="s">
        <v>9198</v>
      </c>
      <c r="F5451" s="5">
        <v>40544</v>
      </c>
      <c r="H5451" s="4" t="s">
        <v>40</v>
      </c>
      <c r="I5451" s="6">
        <v>19978.52</v>
      </c>
      <c r="J5451" s="6">
        <v>13411.8</v>
      </c>
      <c r="K5451" s="37" t="s">
        <v>8905</v>
      </c>
      <c r="L5451" s="120"/>
      <c r="M5451" s="3"/>
    </row>
    <row r="5452" spans="1:13" s="4" customFormat="1" ht="14.25" customHeight="1" x14ac:dyDescent="0.25">
      <c r="A5452" s="4" t="s">
        <v>9199</v>
      </c>
      <c r="B5452" s="4" t="s">
        <v>38</v>
      </c>
      <c r="C5452" s="4" t="s">
        <v>14</v>
      </c>
      <c r="D5452" s="35">
        <v>8554</v>
      </c>
      <c r="E5452" s="4" t="s">
        <v>9200</v>
      </c>
      <c r="F5452" s="5">
        <v>40544</v>
      </c>
      <c r="H5452" s="4" t="s">
        <v>40</v>
      </c>
      <c r="I5452" s="6">
        <v>13946.01</v>
      </c>
      <c r="J5452" s="6">
        <v>5168.76</v>
      </c>
      <c r="K5452" s="37" t="s">
        <v>8905</v>
      </c>
      <c r="L5452" s="120"/>
      <c r="M5452" s="3"/>
    </row>
    <row r="5453" spans="1:13" s="4" customFormat="1" ht="14.25" customHeight="1" x14ac:dyDescent="0.25">
      <c r="A5453" s="4" t="s">
        <v>9201</v>
      </c>
      <c r="B5453" s="4" t="s">
        <v>38</v>
      </c>
      <c r="C5453" s="4" t="s">
        <v>14</v>
      </c>
      <c r="D5453" s="35">
        <v>8555</v>
      </c>
      <c r="E5453" s="4" t="s">
        <v>9202</v>
      </c>
      <c r="F5453" s="5">
        <v>40544</v>
      </c>
      <c r="H5453" s="4" t="s">
        <v>40</v>
      </c>
      <c r="I5453" s="6">
        <v>18378.7</v>
      </c>
      <c r="J5453" s="6">
        <v>7430.28</v>
      </c>
      <c r="K5453" s="37" t="s">
        <v>8905</v>
      </c>
      <c r="L5453" s="120"/>
      <c r="M5453" s="3"/>
    </row>
    <row r="5454" spans="1:13" s="4" customFormat="1" ht="14.25" customHeight="1" x14ac:dyDescent="0.25">
      <c r="A5454" s="4" t="s">
        <v>9203</v>
      </c>
      <c r="B5454" s="4" t="s">
        <v>190</v>
      </c>
      <c r="C5454" s="4" t="s">
        <v>14</v>
      </c>
      <c r="D5454" s="35">
        <v>10413</v>
      </c>
      <c r="E5454" s="4" t="s">
        <v>9204</v>
      </c>
      <c r="F5454" s="5">
        <v>40728</v>
      </c>
      <c r="H5454" s="4" t="s">
        <v>40</v>
      </c>
      <c r="I5454" s="6">
        <v>3750</v>
      </c>
      <c r="J5454" s="6">
        <v>3750</v>
      </c>
      <c r="K5454" s="37" t="s">
        <v>8905</v>
      </c>
      <c r="L5454" s="120"/>
      <c r="M5454" s="3"/>
    </row>
    <row r="5455" spans="1:13" s="4" customFormat="1" ht="14.25" customHeight="1" x14ac:dyDescent="0.25">
      <c r="A5455" s="4" t="s">
        <v>9205</v>
      </c>
      <c r="B5455" s="4" t="s">
        <v>190</v>
      </c>
      <c r="C5455" s="4" t="s">
        <v>14</v>
      </c>
      <c r="D5455" s="35">
        <v>10416</v>
      </c>
      <c r="E5455" s="4" t="s">
        <v>9206</v>
      </c>
      <c r="F5455" s="5">
        <v>41183</v>
      </c>
      <c r="H5455" s="4" t="s">
        <v>40</v>
      </c>
      <c r="I5455" s="6">
        <v>31380</v>
      </c>
      <c r="J5455" s="6">
        <f>8876+6814</f>
        <v>15690</v>
      </c>
      <c r="K5455" s="37" t="s">
        <v>8905</v>
      </c>
      <c r="L5455" s="120"/>
      <c r="M5455" s="3"/>
    </row>
    <row r="5456" spans="1:13" s="4" customFormat="1" ht="14.25" customHeight="1" x14ac:dyDescent="0.25">
      <c r="A5456" s="4" t="s">
        <v>9207</v>
      </c>
      <c r="B5456" s="4" t="s">
        <v>183</v>
      </c>
      <c r="C5456" s="4" t="s">
        <v>14</v>
      </c>
      <c r="D5456" s="35">
        <v>10418</v>
      </c>
      <c r="E5456" s="4" t="s">
        <v>9208</v>
      </c>
      <c r="F5456" s="5">
        <v>40966</v>
      </c>
      <c r="H5456" s="4" t="s">
        <v>40</v>
      </c>
      <c r="I5456" s="6">
        <v>16902.82</v>
      </c>
      <c r="J5456" s="6">
        <f>4054.01+8147.4</f>
        <v>12201.41</v>
      </c>
      <c r="K5456" s="37" t="s">
        <v>8905</v>
      </c>
      <c r="L5456" s="120"/>
      <c r="M5456" s="3"/>
    </row>
    <row r="5457" spans="1:13" s="4" customFormat="1" ht="14.25" customHeight="1" x14ac:dyDescent="0.25">
      <c r="A5457" s="4" t="s">
        <v>9209</v>
      </c>
      <c r="B5457" s="4" t="s">
        <v>190</v>
      </c>
      <c r="C5457" s="4" t="s">
        <v>14</v>
      </c>
      <c r="D5457" s="35">
        <v>10419</v>
      </c>
      <c r="E5457" s="4" t="s">
        <v>9210</v>
      </c>
      <c r="F5457" s="5">
        <v>40868</v>
      </c>
      <c r="H5457" s="4" t="s">
        <v>40</v>
      </c>
      <c r="I5457" s="6">
        <v>7500</v>
      </c>
      <c r="J5457" s="6">
        <v>7500</v>
      </c>
      <c r="K5457" s="37" t="s">
        <v>8905</v>
      </c>
      <c r="L5457" s="120"/>
      <c r="M5457" s="3"/>
    </row>
    <row r="5458" spans="1:13" s="4" customFormat="1" ht="14.25" customHeight="1" x14ac:dyDescent="0.25">
      <c r="A5458" s="4" t="s">
        <v>9211</v>
      </c>
      <c r="B5458" s="4" t="s">
        <v>190</v>
      </c>
      <c r="C5458" s="4" t="s">
        <v>14</v>
      </c>
      <c r="D5458" s="35">
        <v>10420</v>
      </c>
      <c r="E5458" s="4" t="s">
        <v>9212</v>
      </c>
      <c r="F5458" s="5">
        <v>40651</v>
      </c>
      <c r="H5458" s="4" t="s">
        <v>40</v>
      </c>
      <c r="I5458" s="6">
        <v>7500</v>
      </c>
      <c r="J5458" s="6">
        <v>7500</v>
      </c>
      <c r="K5458" s="37" t="s">
        <v>8905</v>
      </c>
      <c r="L5458" s="120"/>
      <c r="M5458" s="3"/>
    </row>
    <row r="5459" spans="1:13" s="4" customFormat="1" ht="14.25" customHeight="1" x14ac:dyDescent="0.25">
      <c r="A5459" s="4" t="s">
        <v>9213</v>
      </c>
      <c r="B5459" s="4" t="s">
        <v>190</v>
      </c>
      <c r="C5459" s="4" t="s">
        <v>14</v>
      </c>
      <c r="D5459" s="35">
        <v>10423</v>
      </c>
      <c r="E5459" s="4" t="s">
        <v>9214</v>
      </c>
      <c r="F5459" s="5">
        <v>40728</v>
      </c>
      <c r="H5459" s="4" t="s">
        <v>40</v>
      </c>
      <c r="I5459" s="6">
        <v>3750</v>
      </c>
      <c r="J5459" s="6">
        <v>3750</v>
      </c>
      <c r="K5459" s="37" t="s">
        <v>8905</v>
      </c>
      <c r="L5459" s="120"/>
      <c r="M5459" s="3"/>
    </row>
    <row r="5460" spans="1:13" s="4" customFormat="1" ht="14.25" customHeight="1" x14ac:dyDescent="0.25">
      <c r="A5460" s="4" t="s">
        <v>9217</v>
      </c>
      <c r="B5460" s="4" t="s">
        <v>183</v>
      </c>
      <c r="C5460" s="4" t="s">
        <v>14</v>
      </c>
      <c r="D5460" s="35">
        <v>10426</v>
      </c>
      <c r="E5460" s="4" t="s">
        <v>9218</v>
      </c>
      <c r="F5460" s="5">
        <v>40728</v>
      </c>
      <c r="H5460" s="4" t="s">
        <v>40</v>
      </c>
      <c r="I5460" s="6">
        <v>7500</v>
      </c>
      <c r="J5460" s="6">
        <v>7500</v>
      </c>
      <c r="K5460" s="37" t="s">
        <v>8905</v>
      </c>
      <c r="L5460" s="120"/>
      <c r="M5460" s="3"/>
    </row>
    <row r="5461" spans="1:13" s="4" customFormat="1" ht="14.25" customHeight="1" x14ac:dyDescent="0.25">
      <c r="A5461" s="4" t="s">
        <v>9219</v>
      </c>
      <c r="B5461" s="4" t="s">
        <v>190</v>
      </c>
      <c r="C5461" s="4" t="s">
        <v>14</v>
      </c>
      <c r="D5461" s="35">
        <v>10428</v>
      </c>
      <c r="E5461" s="4" t="s">
        <v>9220</v>
      </c>
      <c r="F5461" s="5">
        <v>40868</v>
      </c>
      <c r="H5461" s="4" t="s">
        <v>40</v>
      </c>
      <c r="I5461" s="6">
        <v>19449.64</v>
      </c>
      <c r="J5461" s="6">
        <f>7500+5974.82</f>
        <v>13474.82</v>
      </c>
      <c r="K5461" s="37" t="s">
        <v>8905</v>
      </c>
      <c r="L5461" s="120"/>
      <c r="M5461" s="3"/>
    </row>
    <row r="5462" spans="1:13" s="4" customFormat="1" ht="14.25" customHeight="1" x14ac:dyDescent="0.25">
      <c r="A5462" s="4" t="s">
        <v>9221</v>
      </c>
      <c r="B5462" s="4" t="s">
        <v>183</v>
      </c>
      <c r="C5462" s="4" t="s">
        <v>14</v>
      </c>
      <c r="D5462" s="35">
        <v>10429</v>
      </c>
      <c r="E5462" s="4" t="s">
        <v>9222</v>
      </c>
      <c r="F5462" s="5">
        <v>41183</v>
      </c>
      <c r="H5462" s="4" t="s">
        <v>40</v>
      </c>
      <c r="I5462" s="6">
        <v>7500</v>
      </c>
      <c r="J5462" s="6">
        <f>3750+3750</f>
        <v>7500</v>
      </c>
      <c r="K5462" s="37" t="s">
        <v>8905</v>
      </c>
      <c r="L5462" s="120"/>
      <c r="M5462" s="3"/>
    </row>
    <row r="5463" spans="1:13" s="4" customFormat="1" ht="14.25" customHeight="1" x14ac:dyDescent="0.25">
      <c r="A5463" s="4" t="s">
        <v>9223</v>
      </c>
      <c r="B5463" s="4" t="s">
        <v>90</v>
      </c>
      <c r="C5463" s="4" t="s">
        <v>14</v>
      </c>
      <c r="D5463" s="35">
        <v>10431</v>
      </c>
      <c r="E5463" s="7" t="s">
        <v>9224</v>
      </c>
      <c r="F5463" s="5">
        <v>40595</v>
      </c>
      <c r="H5463" s="4" t="s">
        <v>40</v>
      </c>
      <c r="I5463" s="6">
        <v>37149.68</v>
      </c>
      <c r="J5463" s="6">
        <v>18574.84</v>
      </c>
      <c r="K5463" s="37" t="s">
        <v>8905</v>
      </c>
      <c r="L5463" s="120"/>
      <c r="M5463" s="3"/>
    </row>
    <row r="5464" spans="1:13" s="4" customFormat="1" ht="14.25" customHeight="1" x14ac:dyDescent="0.25">
      <c r="A5464" s="4" t="s">
        <v>9225</v>
      </c>
      <c r="B5464" s="4" t="s">
        <v>183</v>
      </c>
      <c r="C5464" s="4" t="s">
        <v>14</v>
      </c>
      <c r="D5464" s="35">
        <v>10432</v>
      </c>
      <c r="E5464" s="4" t="s">
        <v>9226</v>
      </c>
      <c r="F5464" s="5">
        <v>41246</v>
      </c>
      <c r="H5464" s="4" t="s">
        <v>40</v>
      </c>
      <c r="I5464" s="6">
        <v>6250</v>
      </c>
      <c r="J5464" s="6">
        <v>6250</v>
      </c>
      <c r="K5464" s="37" t="s">
        <v>8905</v>
      </c>
      <c r="L5464" s="120"/>
      <c r="M5464" s="3"/>
    </row>
    <row r="5465" spans="1:13" s="4" customFormat="1" ht="14.25" customHeight="1" x14ac:dyDescent="0.25">
      <c r="A5465" s="4" t="s">
        <v>9227</v>
      </c>
      <c r="B5465" s="4" t="s">
        <v>183</v>
      </c>
      <c r="C5465" s="4" t="s">
        <v>14</v>
      </c>
      <c r="D5465" s="35">
        <v>10433</v>
      </c>
      <c r="E5465" s="4" t="s">
        <v>9228</v>
      </c>
      <c r="F5465" s="5">
        <v>41050</v>
      </c>
      <c r="H5465" s="4" t="s">
        <v>40</v>
      </c>
      <c r="I5465" s="6">
        <v>7500</v>
      </c>
      <c r="J5465" s="6">
        <v>7500</v>
      </c>
      <c r="K5465" s="37" t="s">
        <v>8905</v>
      </c>
      <c r="L5465" s="120"/>
      <c r="M5465" s="3"/>
    </row>
    <row r="5466" spans="1:13" s="4" customFormat="1" ht="14.25" customHeight="1" x14ac:dyDescent="0.25">
      <c r="A5466" s="4" t="s">
        <v>9229</v>
      </c>
      <c r="B5466" s="4" t="s">
        <v>38</v>
      </c>
      <c r="C5466" s="4" t="s">
        <v>14</v>
      </c>
      <c r="D5466" s="35">
        <v>10444</v>
      </c>
      <c r="E5466" s="4" t="s">
        <v>9230</v>
      </c>
      <c r="F5466" s="5">
        <v>40909</v>
      </c>
      <c r="H5466" s="4" t="s">
        <v>40</v>
      </c>
      <c r="I5466" s="6">
        <v>25868.77</v>
      </c>
      <c r="J5466" s="6">
        <f>20948.77+4920</f>
        <v>25868.77</v>
      </c>
      <c r="K5466" s="37" t="s">
        <v>8905</v>
      </c>
      <c r="L5466" s="120"/>
      <c r="M5466" s="3"/>
    </row>
    <row r="5467" spans="1:13" s="4" customFormat="1" ht="14.25" customHeight="1" x14ac:dyDescent="0.25">
      <c r="A5467" s="4" t="s">
        <v>9231</v>
      </c>
      <c r="B5467" s="4" t="s">
        <v>38</v>
      </c>
      <c r="C5467" s="4" t="s">
        <v>14</v>
      </c>
      <c r="D5467" s="35">
        <v>10447</v>
      </c>
      <c r="E5467" s="4" t="s">
        <v>9232</v>
      </c>
      <c r="F5467" s="5">
        <v>40909</v>
      </c>
      <c r="H5467" s="4" t="s">
        <v>40</v>
      </c>
      <c r="I5467" s="6">
        <v>23270.1</v>
      </c>
      <c r="J5467" s="6">
        <f>15348+7922.1</f>
        <v>23270.1</v>
      </c>
      <c r="K5467" s="37" t="s">
        <v>8905</v>
      </c>
      <c r="L5467" s="120"/>
      <c r="M5467" s="3"/>
    </row>
    <row r="5468" spans="1:13" s="4" customFormat="1" ht="14.25" customHeight="1" x14ac:dyDescent="0.25">
      <c r="A5468" s="4" t="s">
        <v>9233</v>
      </c>
      <c r="B5468" s="4" t="s">
        <v>38</v>
      </c>
      <c r="C5468" s="4" t="s">
        <v>14</v>
      </c>
      <c r="D5468" s="35">
        <v>10448</v>
      </c>
      <c r="E5468" s="7" t="s">
        <v>9234</v>
      </c>
      <c r="F5468" s="5">
        <v>40909</v>
      </c>
      <c r="H5468" s="4" t="s">
        <v>40</v>
      </c>
      <c r="I5468" s="6">
        <v>772.97</v>
      </c>
      <c r="J5468" s="6">
        <v>772.97</v>
      </c>
      <c r="K5468" s="37" t="s">
        <v>8905</v>
      </c>
      <c r="L5468" s="120"/>
      <c r="M5468" s="3"/>
    </row>
    <row r="5469" spans="1:13" s="4" customFormat="1" ht="14.25" customHeight="1" x14ac:dyDescent="0.25">
      <c r="A5469" s="4" t="s">
        <v>9235</v>
      </c>
      <c r="B5469" s="4" t="s">
        <v>190</v>
      </c>
      <c r="C5469" s="4" t="s">
        <v>14</v>
      </c>
      <c r="D5469" s="35">
        <v>10533</v>
      </c>
      <c r="E5469" s="4" t="s">
        <v>9236</v>
      </c>
      <c r="F5469" s="5">
        <v>40868</v>
      </c>
      <c r="H5469" s="4" t="s">
        <v>40</v>
      </c>
      <c r="I5469" s="6">
        <v>134000</v>
      </c>
      <c r="J5469" s="6">
        <v>67000</v>
      </c>
      <c r="K5469" s="37" t="s">
        <v>8905</v>
      </c>
      <c r="L5469" s="120"/>
      <c r="M5469" s="3"/>
    </row>
    <row r="5470" spans="1:13" ht="14.25" customHeight="1" x14ac:dyDescent="0.25">
      <c r="A5470" s="13" t="s">
        <v>11205</v>
      </c>
      <c r="B5470" s="13" t="s">
        <v>10192</v>
      </c>
      <c r="C5470" s="13" t="s">
        <v>14</v>
      </c>
      <c r="D5470" s="19">
        <v>12440</v>
      </c>
      <c r="E5470" s="13" t="s">
        <v>11206</v>
      </c>
      <c r="F5470" s="14">
        <v>41246</v>
      </c>
      <c r="H5470" s="13" t="s">
        <v>651</v>
      </c>
      <c r="I5470" s="18">
        <v>12500</v>
      </c>
      <c r="J5470" s="18">
        <v>12500</v>
      </c>
      <c r="K5470" s="20" t="s">
        <v>8905</v>
      </c>
    </row>
    <row r="5471" spans="1:13" ht="14.25" customHeight="1" x14ac:dyDescent="0.25">
      <c r="A5471" s="13" t="s">
        <v>11207</v>
      </c>
      <c r="B5471" s="13" t="s">
        <v>10192</v>
      </c>
      <c r="C5471" s="13" t="s">
        <v>14</v>
      </c>
      <c r="D5471" s="19">
        <v>12441</v>
      </c>
      <c r="E5471" s="13" t="s">
        <v>11208</v>
      </c>
      <c r="F5471" s="14">
        <v>41597</v>
      </c>
      <c r="H5471" s="13" t="s">
        <v>651</v>
      </c>
      <c r="I5471" s="18">
        <v>3750</v>
      </c>
      <c r="J5471" s="18">
        <v>3750</v>
      </c>
      <c r="K5471" s="20" t="s">
        <v>8905</v>
      </c>
    </row>
    <row r="5472" spans="1:13" ht="14.25" customHeight="1" x14ac:dyDescent="0.25">
      <c r="A5472" s="13" t="s">
        <v>11209</v>
      </c>
      <c r="B5472" s="13" t="s">
        <v>10192</v>
      </c>
      <c r="C5472" s="13" t="s">
        <v>14</v>
      </c>
      <c r="D5472" s="19">
        <v>12442</v>
      </c>
      <c r="E5472" s="13" t="s">
        <v>11210</v>
      </c>
      <c r="F5472" s="14">
        <v>41540</v>
      </c>
      <c r="H5472" s="13" t="s">
        <v>651</v>
      </c>
      <c r="I5472" s="18">
        <v>1500</v>
      </c>
      <c r="J5472" s="18">
        <v>750</v>
      </c>
      <c r="K5472" s="20" t="s">
        <v>8905</v>
      </c>
    </row>
    <row r="5473" spans="1:11" ht="14.25" customHeight="1" x14ac:dyDescent="0.25">
      <c r="A5473" s="13" t="s">
        <v>11211</v>
      </c>
      <c r="B5473" s="13" t="s">
        <v>10195</v>
      </c>
      <c r="C5473" s="13" t="s">
        <v>14</v>
      </c>
      <c r="D5473" s="19">
        <v>12451</v>
      </c>
      <c r="E5473" s="13" t="s">
        <v>11212</v>
      </c>
      <c r="F5473" s="14">
        <v>41337</v>
      </c>
      <c r="H5473" s="13" t="s">
        <v>651</v>
      </c>
      <c r="I5473" s="18">
        <v>12500</v>
      </c>
      <c r="J5473" s="18">
        <v>12500</v>
      </c>
      <c r="K5473" s="20" t="s">
        <v>8905</v>
      </c>
    </row>
    <row r="5474" spans="1:11" ht="14.25" customHeight="1" x14ac:dyDescent="0.25">
      <c r="A5474" s="13" t="s">
        <v>11217</v>
      </c>
      <c r="B5474" s="13" t="s">
        <v>10192</v>
      </c>
      <c r="C5474" s="13" t="s">
        <v>14</v>
      </c>
      <c r="D5474" s="19">
        <v>12454</v>
      </c>
      <c r="E5474" s="13" t="s">
        <v>11218</v>
      </c>
      <c r="F5474" s="14">
        <v>41470</v>
      </c>
      <c r="H5474" s="13" t="s">
        <v>651</v>
      </c>
      <c r="I5474" s="18">
        <v>6250</v>
      </c>
      <c r="J5474" s="18">
        <v>6250</v>
      </c>
      <c r="K5474" s="20" t="s">
        <v>8905</v>
      </c>
    </row>
    <row r="5475" spans="1:11" ht="14.25" customHeight="1" x14ac:dyDescent="0.25">
      <c r="A5475" s="13" t="s">
        <v>11219</v>
      </c>
      <c r="B5475" s="13" t="s">
        <v>10192</v>
      </c>
      <c r="C5475" s="13" t="s">
        <v>14</v>
      </c>
      <c r="D5475" s="19">
        <v>12455</v>
      </c>
      <c r="E5475" s="13" t="s">
        <v>11220</v>
      </c>
      <c r="F5475" s="14">
        <v>41470</v>
      </c>
      <c r="H5475" s="13" t="s">
        <v>651</v>
      </c>
      <c r="I5475" s="18">
        <v>6250</v>
      </c>
      <c r="J5475" s="18">
        <v>6250</v>
      </c>
      <c r="K5475" s="20" t="s">
        <v>8905</v>
      </c>
    </row>
    <row r="5476" spans="1:11" ht="14.25" customHeight="1" x14ac:dyDescent="0.25">
      <c r="A5476" s="13" t="s">
        <v>11221</v>
      </c>
      <c r="B5476" s="13" t="s">
        <v>10195</v>
      </c>
      <c r="C5476" s="13" t="s">
        <v>14</v>
      </c>
      <c r="D5476" s="19">
        <v>12456</v>
      </c>
      <c r="E5476" s="13" t="s">
        <v>11222</v>
      </c>
      <c r="F5476" s="14">
        <v>41246</v>
      </c>
      <c r="H5476" s="13" t="s">
        <v>651</v>
      </c>
      <c r="I5476" s="18">
        <v>54350</v>
      </c>
      <c r="J5476" s="18">
        <v>27175</v>
      </c>
      <c r="K5476" s="20" t="s">
        <v>8905</v>
      </c>
    </row>
    <row r="5477" spans="1:11" ht="14.25" customHeight="1" x14ac:dyDescent="0.25">
      <c r="A5477" s="13" t="s">
        <v>11223</v>
      </c>
      <c r="B5477" s="13" t="s">
        <v>10192</v>
      </c>
      <c r="C5477" s="13" t="s">
        <v>14</v>
      </c>
      <c r="D5477" s="19">
        <v>12457</v>
      </c>
      <c r="E5477" s="13" t="s">
        <v>11224</v>
      </c>
      <c r="F5477" s="14">
        <v>41597</v>
      </c>
      <c r="H5477" s="13" t="s">
        <v>651</v>
      </c>
      <c r="I5477" s="18">
        <v>27710.84</v>
      </c>
      <c r="J5477" s="18">
        <v>13855.42</v>
      </c>
      <c r="K5477" s="20" t="s">
        <v>8905</v>
      </c>
    </row>
    <row r="5478" spans="1:11" ht="14.25" customHeight="1" x14ac:dyDescent="0.25">
      <c r="A5478" s="13" t="s">
        <v>11227</v>
      </c>
      <c r="B5478" s="13" t="s">
        <v>10195</v>
      </c>
      <c r="C5478" s="13" t="s">
        <v>14</v>
      </c>
      <c r="D5478" s="19">
        <v>12460</v>
      </c>
      <c r="E5478" s="13" t="s">
        <v>11228</v>
      </c>
      <c r="F5478" s="14">
        <v>41246</v>
      </c>
      <c r="H5478" s="13" t="s">
        <v>651</v>
      </c>
      <c r="I5478" s="18">
        <v>5375</v>
      </c>
      <c r="J5478" s="18">
        <v>5375</v>
      </c>
      <c r="K5478" s="20" t="s">
        <v>8905</v>
      </c>
    </row>
    <row r="5479" spans="1:11" ht="14.25" customHeight="1" x14ac:dyDescent="0.25">
      <c r="A5479" s="13" t="s">
        <v>11229</v>
      </c>
      <c r="B5479" s="13" t="s">
        <v>10192</v>
      </c>
      <c r="C5479" s="13" t="s">
        <v>14</v>
      </c>
      <c r="D5479" s="19">
        <v>12461</v>
      </c>
      <c r="E5479" s="13" t="s">
        <v>11230</v>
      </c>
      <c r="F5479" s="14">
        <v>41470</v>
      </c>
      <c r="H5479" s="13" t="s">
        <v>651</v>
      </c>
      <c r="I5479" s="18">
        <v>6250</v>
      </c>
      <c r="J5479" s="18">
        <v>6250</v>
      </c>
      <c r="K5479" s="20" t="s">
        <v>8905</v>
      </c>
    </row>
    <row r="5480" spans="1:11" ht="14.25" customHeight="1" x14ac:dyDescent="0.25">
      <c r="A5480" s="13" t="s">
        <v>11231</v>
      </c>
      <c r="B5480" s="13" t="s">
        <v>10192</v>
      </c>
      <c r="C5480" s="13" t="s">
        <v>14</v>
      </c>
      <c r="D5480" s="19">
        <v>12462</v>
      </c>
      <c r="E5480" s="13" t="s">
        <v>11232</v>
      </c>
      <c r="F5480" s="14">
        <v>41256</v>
      </c>
      <c r="H5480" s="13" t="s">
        <v>651</v>
      </c>
      <c r="I5480" s="18">
        <v>17500</v>
      </c>
      <c r="J5480" s="18">
        <v>15000</v>
      </c>
      <c r="K5480" s="20" t="s">
        <v>8905</v>
      </c>
    </row>
    <row r="5481" spans="1:11" ht="14.25" customHeight="1" x14ac:dyDescent="0.25">
      <c r="A5481" s="13" t="s">
        <v>11233</v>
      </c>
      <c r="B5481" s="13" t="s">
        <v>10192</v>
      </c>
      <c r="C5481" s="13" t="s">
        <v>14</v>
      </c>
      <c r="D5481" s="19">
        <v>12463</v>
      </c>
      <c r="E5481" s="13" t="s">
        <v>11234</v>
      </c>
      <c r="F5481" s="14">
        <v>41393</v>
      </c>
      <c r="H5481" s="13" t="s">
        <v>651</v>
      </c>
      <c r="I5481" s="18">
        <v>6920</v>
      </c>
      <c r="J5481" s="18">
        <v>3460</v>
      </c>
      <c r="K5481" s="20" t="s">
        <v>8905</v>
      </c>
    </row>
    <row r="5482" spans="1:11" ht="14.25" customHeight="1" x14ac:dyDescent="0.25">
      <c r="A5482" s="13" t="s">
        <v>11235</v>
      </c>
      <c r="B5482" s="13" t="s">
        <v>10192</v>
      </c>
      <c r="C5482" s="13" t="s">
        <v>14</v>
      </c>
      <c r="D5482" s="19">
        <v>12464</v>
      </c>
      <c r="E5482" s="13" t="s">
        <v>11236</v>
      </c>
      <c r="F5482" s="14">
        <v>41540</v>
      </c>
      <c r="H5482" s="13" t="s">
        <v>651</v>
      </c>
      <c r="I5482" s="18">
        <v>6250</v>
      </c>
      <c r="J5482" s="18">
        <v>6250</v>
      </c>
      <c r="K5482" s="20" t="s">
        <v>8905</v>
      </c>
    </row>
    <row r="5483" spans="1:11" ht="14.25" customHeight="1" x14ac:dyDescent="0.25">
      <c r="A5483" s="13" t="s">
        <v>11237</v>
      </c>
      <c r="B5483" s="13" t="s">
        <v>10192</v>
      </c>
      <c r="C5483" s="13" t="s">
        <v>14</v>
      </c>
      <c r="D5483" s="19">
        <v>12465</v>
      </c>
      <c r="E5483" s="13" t="s">
        <v>11238</v>
      </c>
      <c r="F5483" s="14">
        <v>41050</v>
      </c>
      <c r="H5483" s="13" t="s">
        <v>651</v>
      </c>
      <c r="I5483" s="18">
        <v>7500</v>
      </c>
      <c r="J5483" s="18">
        <v>7500</v>
      </c>
      <c r="K5483" s="20" t="s">
        <v>8905</v>
      </c>
    </row>
    <row r="5484" spans="1:11" ht="14.25" customHeight="1" x14ac:dyDescent="0.25">
      <c r="A5484" s="13" t="s">
        <v>7446</v>
      </c>
      <c r="B5484" s="13" t="s">
        <v>38</v>
      </c>
      <c r="C5484" s="13" t="s">
        <v>14</v>
      </c>
      <c r="D5484" s="19">
        <v>12608</v>
      </c>
      <c r="E5484" s="13" t="s">
        <v>11239</v>
      </c>
      <c r="F5484" s="14">
        <v>41275</v>
      </c>
      <c r="H5484" s="13" t="s">
        <v>651</v>
      </c>
      <c r="I5484" s="18">
        <v>22778.91</v>
      </c>
      <c r="J5484" s="18">
        <v>12271.65</v>
      </c>
      <c r="K5484" s="20" t="s">
        <v>8905</v>
      </c>
    </row>
    <row r="5485" spans="1:11" ht="14.25" customHeight="1" x14ac:dyDescent="0.25">
      <c r="A5485" s="13" t="s">
        <v>11240</v>
      </c>
      <c r="B5485" s="13" t="s">
        <v>38</v>
      </c>
      <c r="C5485" s="13" t="s">
        <v>14</v>
      </c>
      <c r="D5485" s="19">
        <v>12609</v>
      </c>
      <c r="E5485" s="13" t="s">
        <v>11241</v>
      </c>
      <c r="F5485" s="14">
        <v>41275</v>
      </c>
      <c r="H5485" s="13" t="s">
        <v>651</v>
      </c>
      <c r="I5485" s="18">
        <v>600.5</v>
      </c>
      <c r="J5485" s="18">
        <v>600.5</v>
      </c>
      <c r="K5485" s="20" t="s">
        <v>8905</v>
      </c>
    </row>
    <row r="5486" spans="1:11" ht="14.25" customHeight="1" x14ac:dyDescent="0.25">
      <c r="A5486" s="13" t="s">
        <v>11242</v>
      </c>
      <c r="B5486" s="13" t="s">
        <v>38</v>
      </c>
      <c r="C5486" s="13" t="s">
        <v>14</v>
      </c>
      <c r="D5486" s="19">
        <v>12610</v>
      </c>
      <c r="E5486" s="13" t="s">
        <v>11243</v>
      </c>
      <c r="F5486" s="14">
        <v>41275</v>
      </c>
      <c r="H5486" s="13" t="s">
        <v>651</v>
      </c>
      <c r="I5486" s="18">
        <v>10000</v>
      </c>
      <c r="J5486" s="18">
        <v>10000</v>
      </c>
      <c r="K5486" s="20" t="s">
        <v>8905</v>
      </c>
    </row>
    <row r="5487" spans="1:11" ht="14.25" customHeight="1" x14ac:dyDescent="0.25">
      <c r="A5487" s="13" t="s">
        <v>11244</v>
      </c>
      <c r="B5487" s="13" t="s">
        <v>38</v>
      </c>
      <c r="C5487" s="13" t="s">
        <v>14</v>
      </c>
      <c r="D5487" s="19">
        <v>12611</v>
      </c>
      <c r="E5487" s="13" t="s">
        <v>11245</v>
      </c>
      <c r="F5487" s="14">
        <v>41410</v>
      </c>
      <c r="H5487" s="13" t="s">
        <v>651</v>
      </c>
      <c r="I5487" s="18">
        <f>752.25-0.33</f>
        <v>751.92</v>
      </c>
      <c r="J5487" s="18">
        <v>752.25</v>
      </c>
      <c r="K5487" s="20" t="s">
        <v>8905</v>
      </c>
    </row>
    <row r="5488" spans="1:11" ht="14.25" customHeight="1" x14ac:dyDescent="0.25">
      <c r="A5488" s="13" t="s">
        <v>11246</v>
      </c>
      <c r="B5488" s="13" t="s">
        <v>38</v>
      </c>
      <c r="C5488" s="13" t="s">
        <v>14</v>
      </c>
      <c r="D5488" s="19">
        <v>12612</v>
      </c>
      <c r="E5488" s="13" t="s">
        <v>11247</v>
      </c>
      <c r="F5488" s="14">
        <v>41275</v>
      </c>
      <c r="H5488" s="13" t="s">
        <v>651</v>
      </c>
      <c r="I5488" s="18">
        <v>28597.63</v>
      </c>
      <c r="J5488" s="18">
        <v>28597.63</v>
      </c>
      <c r="K5488" s="20" t="s">
        <v>8905</v>
      </c>
    </row>
    <row r="5489" spans="1:13" ht="14.25" customHeight="1" x14ac:dyDescent="0.25">
      <c r="A5489" s="13" t="s">
        <v>11376</v>
      </c>
      <c r="B5489" s="13" t="s">
        <v>13</v>
      </c>
      <c r="C5489" s="13" t="s">
        <v>14</v>
      </c>
      <c r="D5489" s="19">
        <v>12613</v>
      </c>
      <c r="E5489" s="13" t="s">
        <v>11377</v>
      </c>
      <c r="F5489" s="14">
        <v>41470</v>
      </c>
      <c r="H5489" s="13" t="s">
        <v>651</v>
      </c>
      <c r="I5489" s="18">
        <v>675</v>
      </c>
      <c r="J5489" s="18">
        <v>675</v>
      </c>
      <c r="K5489" s="20" t="s">
        <v>8905</v>
      </c>
    </row>
    <row r="5490" spans="1:13" ht="14.25" customHeight="1" x14ac:dyDescent="0.25">
      <c r="A5490" s="13" t="s">
        <v>11248</v>
      </c>
      <c r="B5490" s="13" t="s">
        <v>38</v>
      </c>
      <c r="C5490" s="13" t="s">
        <v>14</v>
      </c>
      <c r="D5490" s="19">
        <v>12614</v>
      </c>
      <c r="E5490" s="13" t="s">
        <v>11249</v>
      </c>
      <c r="F5490" s="14">
        <v>41455</v>
      </c>
      <c r="H5490" s="13" t="s">
        <v>651</v>
      </c>
      <c r="I5490" s="18">
        <v>1955.53</v>
      </c>
      <c r="J5490" s="18">
        <v>1955.53</v>
      </c>
      <c r="K5490" s="20" t="s">
        <v>8905</v>
      </c>
    </row>
    <row r="5491" spans="1:13" ht="14.25" customHeight="1" x14ac:dyDescent="0.25">
      <c r="A5491" s="13" t="s">
        <v>10311</v>
      </c>
      <c r="B5491" s="13" t="s">
        <v>38</v>
      </c>
      <c r="C5491" s="13" t="s">
        <v>14</v>
      </c>
      <c r="D5491" s="19">
        <v>12615</v>
      </c>
      <c r="E5491" s="13" t="s">
        <v>11250</v>
      </c>
      <c r="F5491" s="14">
        <v>41548</v>
      </c>
      <c r="H5491" s="13" t="s">
        <v>651</v>
      </c>
      <c r="I5491" s="18">
        <v>1500</v>
      </c>
      <c r="J5491" s="18">
        <v>1500</v>
      </c>
      <c r="K5491" s="20" t="s">
        <v>8905</v>
      </c>
    </row>
    <row r="5492" spans="1:13" ht="14.25" customHeight="1" x14ac:dyDescent="0.25">
      <c r="A5492" s="13" t="s">
        <v>11251</v>
      </c>
      <c r="B5492" s="13" t="s">
        <v>38</v>
      </c>
      <c r="C5492" s="13" t="s">
        <v>14</v>
      </c>
      <c r="D5492" s="19">
        <v>12616</v>
      </c>
      <c r="E5492" s="13" t="s">
        <v>11252</v>
      </c>
      <c r="F5492" s="14">
        <v>41536</v>
      </c>
      <c r="H5492" s="13" t="s">
        <v>651</v>
      </c>
      <c r="I5492" s="18">
        <v>2460</v>
      </c>
      <c r="J5492" s="18">
        <v>2460</v>
      </c>
      <c r="K5492" s="20" t="s">
        <v>8905</v>
      </c>
    </row>
    <row r="5493" spans="1:13" ht="14.25" customHeight="1" x14ac:dyDescent="0.25">
      <c r="A5493" s="13" t="s">
        <v>11179</v>
      </c>
      <c r="B5493" s="13" t="s">
        <v>38</v>
      </c>
      <c r="C5493" s="13" t="s">
        <v>14</v>
      </c>
      <c r="D5493" s="19">
        <v>12618</v>
      </c>
      <c r="E5493" s="13" t="s">
        <v>11253</v>
      </c>
      <c r="F5493" s="14">
        <v>41518</v>
      </c>
      <c r="H5493" s="13" t="s">
        <v>651</v>
      </c>
      <c r="I5493" s="18">
        <v>1410.75</v>
      </c>
      <c r="J5493" s="18">
        <v>1410.75</v>
      </c>
      <c r="K5493" s="20" t="s">
        <v>8905</v>
      </c>
    </row>
    <row r="5494" spans="1:13" ht="14.25" customHeight="1" x14ac:dyDescent="0.25">
      <c r="A5494" s="13" t="s">
        <v>11254</v>
      </c>
      <c r="B5494" s="13" t="s">
        <v>10195</v>
      </c>
      <c r="C5494" s="13" t="s">
        <v>14</v>
      </c>
      <c r="D5494" s="19">
        <v>12643</v>
      </c>
      <c r="E5494" s="13" t="s">
        <v>11255</v>
      </c>
      <c r="F5494" s="14">
        <v>41470</v>
      </c>
      <c r="H5494" s="13" t="s">
        <v>651</v>
      </c>
      <c r="I5494" s="18">
        <v>5000</v>
      </c>
      <c r="J5494" s="18">
        <v>5000</v>
      </c>
      <c r="K5494" s="20" t="s">
        <v>8905</v>
      </c>
    </row>
    <row r="5495" spans="1:13" s="4" customFormat="1" ht="14.25" customHeight="1" x14ac:dyDescent="0.25">
      <c r="A5495" s="4" t="s">
        <v>8353</v>
      </c>
      <c r="B5495" s="4" t="s">
        <v>13</v>
      </c>
      <c r="C5495" s="4" t="s">
        <v>14</v>
      </c>
      <c r="D5495" s="35">
        <v>9472</v>
      </c>
      <c r="E5495" s="4" t="s">
        <v>9237</v>
      </c>
      <c r="F5495" s="5">
        <v>40060</v>
      </c>
      <c r="G5495" s="5">
        <v>40532</v>
      </c>
      <c r="H5495" s="4" t="s">
        <v>2027</v>
      </c>
      <c r="I5495" s="6">
        <v>200000</v>
      </c>
      <c r="J5495" s="6">
        <v>73791.600000000006</v>
      </c>
      <c r="K5495" s="37" t="s">
        <v>8905</v>
      </c>
      <c r="L5495" s="119"/>
      <c r="M5495" s="3"/>
    </row>
    <row r="5496" spans="1:13" s="4" customFormat="1" ht="14.25" customHeight="1" x14ac:dyDescent="0.25">
      <c r="A5496" s="4" t="s">
        <v>9238</v>
      </c>
      <c r="B5496" s="4" t="s">
        <v>13</v>
      </c>
      <c r="C5496" s="4" t="s">
        <v>14</v>
      </c>
      <c r="D5496" s="35">
        <v>9482</v>
      </c>
      <c r="E5496" s="4" t="s">
        <v>9239</v>
      </c>
      <c r="F5496" s="5">
        <v>40052</v>
      </c>
      <c r="G5496" s="5">
        <v>40505</v>
      </c>
      <c r="H5496" s="4" t="s">
        <v>2027</v>
      </c>
      <c r="I5496" s="6">
        <v>44951.92</v>
      </c>
      <c r="J5496" s="6">
        <v>13640</v>
      </c>
      <c r="K5496" s="37" t="s">
        <v>8905</v>
      </c>
      <c r="L5496" s="119"/>
      <c r="M5496" s="3"/>
    </row>
    <row r="5497" spans="1:13" s="4" customFormat="1" ht="14.25" customHeight="1" x14ac:dyDescent="0.25">
      <c r="D5497" s="35"/>
      <c r="E5497" s="26" t="s">
        <v>351</v>
      </c>
      <c r="F5497" s="28"/>
      <c r="G5497" s="28"/>
      <c r="H5497" s="26"/>
      <c r="I5497" s="27">
        <f>SUM(I5314:I5323)</f>
        <v>498179.32000000007</v>
      </c>
      <c r="J5497" s="27">
        <f>SUM(J5314:J5323)</f>
        <v>137623.09</v>
      </c>
      <c r="K5497" s="37" t="s">
        <v>8905</v>
      </c>
      <c r="L5497" s="119"/>
      <c r="M5497" s="3"/>
    </row>
    <row r="5498" spans="1:13" s="4" customFormat="1" ht="14.25" customHeight="1" x14ac:dyDescent="0.25">
      <c r="D5498" s="35"/>
      <c r="E5498" s="26" t="s">
        <v>786</v>
      </c>
      <c r="F5498" s="28"/>
      <c r="G5498" s="28"/>
      <c r="H5498" s="26"/>
      <c r="I5498" s="27">
        <f>SUM(I5324:I5327)</f>
        <v>953047.11</v>
      </c>
      <c r="J5498" s="27">
        <f>SUM(J5324:J5327)</f>
        <v>321324.93</v>
      </c>
      <c r="K5498" s="37" t="s">
        <v>8905</v>
      </c>
      <c r="L5498" s="119"/>
      <c r="M5498" s="3"/>
    </row>
    <row r="5499" spans="1:13" s="4" customFormat="1" ht="14.25" customHeight="1" x14ac:dyDescent="0.25">
      <c r="D5499" s="35"/>
      <c r="E5499" s="26" t="s">
        <v>352</v>
      </c>
      <c r="F5499" s="28"/>
      <c r="G5499" s="28"/>
      <c r="H5499" s="26"/>
      <c r="I5499" s="27">
        <f>SUM(I5328:I5494)</f>
        <v>3547176.71</v>
      </c>
      <c r="J5499" s="27">
        <f>SUM(J5328:J5494)</f>
        <v>2813375.5299999993</v>
      </c>
      <c r="K5499" s="37" t="s">
        <v>8905</v>
      </c>
      <c r="L5499" s="119"/>
      <c r="M5499" s="3"/>
    </row>
    <row r="5500" spans="1:13" s="4" customFormat="1" ht="14.25" customHeight="1" x14ac:dyDescent="0.25">
      <c r="D5500" s="35"/>
      <c r="E5500" s="26" t="s">
        <v>2028</v>
      </c>
      <c r="F5500" s="28"/>
      <c r="G5500" s="28"/>
      <c r="H5500" s="26"/>
      <c r="I5500" s="27">
        <f>SUM(I5495:I5496)</f>
        <v>244951.91999999998</v>
      </c>
      <c r="J5500" s="27">
        <f>SUM(J5495:J5496)</f>
        <v>87431.6</v>
      </c>
      <c r="K5500" s="37" t="s">
        <v>8905</v>
      </c>
      <c r="L5500" s="119"/>
      <c r="M5500" s="3"/>
    </row>
    <row r="5501" spans="1:13" s="4" customFormat="1" ht="14.25" customHeight="1" x14ac:dyDescent="0.25">
      <c r="D5501" s="35"/>
      <c r="E5501" s="26" t="s">
        <v>9240</v>
      </c>
      <c r="F5501" s="28"/>
      <c r="G5501" s="28"/>
      <c r="H5501" s="26"/>
      <c r="I5501" s="27">
        <f>SUM(I5497:I5500)</f>
        <v>5243355.0600000005</v>
      </c>
      <c r="J5501" s="27">
        <f>SUM(J5497:J5500)</f>
        <v>3359755.1499999994</v>
      </c>
      <c r="K5501" s="37" t="s">
        <v>8905</v>
      </c>
      <c r="L5501" s="119"/>
      <c r="M5501" s="3"/>
    </row>
    <row r="5502" spans="1:13" s="4" customFormat="1" ht="14.25" customHeight="1" x14ac:dyDescent="0.25">
      <c r="D5502" s="35"/>
      <c r="F5502" s="5"/>
      <c r="G5502" s="5"/>
      <c r="I5502" s="6"/>
      <c r="J5502" s="6"/>
      <c r="K5502" s="37"/>
      <c r="L5502" s="119"/>
      <c r="M5502" s="3"/>
    </row>
    <row r="5503" spans="1:13" s="4" customFormat="1" ht="14.25" customHeight="1" x14ac:dyDescent="0.25">
      <c r="A5503" s="4" t="s">
        <v>9241</v>
      </c>
      <c r="B5503" s="4" t="s">
        <v>13</v>
      </c>
      <c r="C5503" s="4" t="s">
        <v>14</v>
      </c>
      <c r="D5503" s="35">
        <v>3810</v>
      </c>
      <c r="E5503" s="4" t="s">
        <v>9242</v>
      </c>
      <c r="F5503" s="5">
        <v>39545</v>
      </c>
      <c r="G5503" s="5">
        <v>39596</v>
      </c>
      <c r="H5503" s="4" t="s">
        <v>16</v>
      </c>
      <c r="I5503" s="6">
        <v>8650.2199999999993</v>
      </c>
      <c r="J5503" s="6">
        <v>2548</v>
      </c>
      <c r="K5503" s="37" t="s">
        <v>9243</v>
      </c>
      <c r="L5503" s="119"/>
      <c r="M5503" s="3"/>
    </row>
    <row r="5504" spans="1:13" s="4" customFormat="1" ht="14.25" customHeight="1" x14ac:dyDescent="0.25">
      <c r="A5504" s="4" t="s">
        <v>9244</v>
      </c>
      <c r="B5504" s="4" t="s">
        <v>13</v>
      </c>
      <c r="C5504" s="4" t="s">
        <v>14</v>
      </c>
      <c r="D5504" s="35">
        <v>3811</v>
      </c>
      <c r="E5504" s="4" t="s">
        <v>9245</v>
      </c>
      <c r="F5504" s="5">
        <v>39477</v>
      </c>
      <c r="G5504" s="5">
        <v>39871</v>
      </c>
      <c r="H5504" s="4" t="s">
        <v>16</v>
      </c>
      <c r="I5504" s="6">
        <v>87557.41</v>
      </c>
      <c r="J5504" s="6">
        <v>26267.22</v>
      </c>
      <c r="K5504" s="37" t="s">
        <v>9243</v>
      </c>
      <c r="L5504" s="119"/>
      <c r="M5504" s="3"/>
    </row>
    <row r="5505" spans="1:13" s="4" customFormat="1" ht="14.25" customHeight="1" x14ac:dyDescent="0.25">
      <c r="A5505" s="4" t="s">
        <v>9246</v>
      </c>
      <c r="B5505" s="4" t="s">
        <v>13</v>
      </c>
      <c r="C5505" s="4" t="s">
        <v>14</v>
      </c>
      <c r="D5505" s="35">
        <v>3813</v>
      </c>
      <c r="E5505" s="4" t="s">
        <v>9247</v>
      </c>
      <c r="F5505" s="5">
        <v>39793</v>
      </c>
      <c r="G5505" s="5">
        <v>39876</v>
      </c>
      <c r="H5505" s="4" t="s">
        <v>16</v>
      </c>
      <c r="I5505" s="6">
        <v>9600</v>
      </c>
      <c r="J5505" s="6">
        <v>2568</v>
      </c>
      <c r="K5505" s="37" t="s">
        <v>9243</v>
      </c>
      <c r="L5505" s="119"/>
      <c r="M5505" s="3"/>
    </row>
    <row r="5506" spans="1:13" s="4" customFormat="1" ht="14.25" customHeight="1" x14ac:dyDescent="0.25">
      <c r="A5506" s="4" t="s">
        <v>9248</v>
      </c>
      <c r="B5506" s="4" t="s">
        <v>13</v>
      </c>
      <c r="C5506" s="4" t="s">
        <v>14</v>
      </c>
      <c r="D5506" s="35">
        <v>3817</v>
      </c>
      <c r="E5506" s="4" t="s">
        <v>9249</v>
      </c>
      <c r="F5506" s="5">
        <v>39616</v>
      </c>
      <c r="G5506" s="5">
        <v>39812</v>
      </c>
      <c r="H5506" s="4" t="s">
        <v>16</v>
      </c>
      <c r="I5506" s="6">
        <v>17620</v>
      </c>
      <c r="J5506" s="6">
        <v>4358</v>
      </c>
      <c r="K5506" s="37" t="s">
        <v>9243</v>
      </c>
      <c r="L5506" s="119"/>
      <c r="M5506" s="3"/>
    </row>
    <row r="5507" spans="1:13" s="4" customFormat="1" ht="14.25" customHeight="1" x14ac:dyDescent="0.25">
      <c r="A5507" s="4" t="s">
        <v>9250</v>
      </c>
      <c r="B5507" s="4" t="s">
        <v>13</v>
      </c>
      <c r="C5507" s="4" t="s">
        <v>14</v>
      </c>
      <c r="D5507" s="35">
        <v>3819</v>
      </c>
      <c r="E5507" s="4" t="s">
        <v>9251</v>
      </c>
      <c r="F5507" s="5">
        <v>39197</v>
      </c>
      <c r="G5507" s="5">
        <v>39526</v>
      </c>
      <c r="H5507" s="4" t="s">
        <v>16</v>
      </c>
      <c r="I5507" s="6">
        <v>212529</v>
      </c>
      <c r="J5507" s="6">
        <v>60316</v>
      </c>
      <c r="K5507" s="37" t="s">
        <v>9243</v>
      </c>
      <c r="L5507" s="119"/>
      <c r="M5507" s="3"/>
    </row>
    <row r="5508" spans="1:13" s="4" customFormat="1" ht="14.25" customHeight="1" x14ac:dyDescent="0.25">
      <c r="A5508" s="4" t="s">
        <v>9252</v>
      </c>
      <c r="B5508" s="4" t="s">
        <v>13</v>
      </c>
      <c r="C5508" s="4" t="s">
        <v>14</v>
      </c>
      <c r="D5508" s="35">
        <v>3820</v>
      </c>
      <c r="E5508" s="4" t="s">
        <v>9253</v>
      </c>
      <c r="F5508" s="5">
        <v>39709</v>
      </c>
      <c r="G5508" s="5">
        <v>39797</v>
      </c>
      <c r="H5508" s="4" t="s">
        <v>16</v>
      </c>
      <c r="I5508" s="6">
        <v>101002.5</v>
      </c>
      <c r="J5508" s="6">
        <v>27176</v>
      </c>
      <c r="K5508" s="37" t="s">
        <v>9243</v>
      </c>
      <c r="L5508" s="119"/>
      <c r="M5508" s="3"/>
    </row>
    <row r="5509" spans="1:13" s="4" customFormat="1" ht="15" customHeight="1" x14ac:dyDescent="0.25">
      <c r="A5509" s="4" t="s">
        <v>9254</v>
      </c>
      <c r="B5509" s="4" t="s">
        <v>13</v>
      </c>
      <c r="C5509" s="4" t="s">
        <v>14</v>
      </c>
      <c r="D5509" s="35">
        <v>3822</v>
      </c>
      <c r="E5509" s="4" t="s">
        <v>9255</v>
      </c>
      <c r="F5509" s="5">
        <v>39562</v>
      </c>
      <c r="G5509" s="5">
        <v>39689</v>
      </c>
      <c r="H5509" s="4" t="s">
        <v>16</v>
      </c>
      <c r="I5509" s="6">
        <v>6321</v>
      </c>
      <c r="J5509" s="6">
        <v>1896</v>
      </c>
      <c r="K5509" s="37" t="s">
        <v>9243</v>
      </c>
      <c r="L5509" s="119"/>
      <c r="M5509" s="3"/>
    </row>
    <row r="5510" spans="1:13" s="4" customFormat="1" ht="14.25" customHeight="1" x14ac:dyDescent="0.25">
      <c r="A5510" s="4" t="s">
        <v>9256</v>
      </c>
      <c r="B5510" s="4" t="s">
        <v>13</v>
      </c>
      <c r="C5510" s="4" t="s">
        <v>14</v>
      </c>
      <c r="D5510" s="35">
        <v>3823</v>
      </c>
      <c r="E5510" s="7" t="s">
        <v>9257</v>
      </c>
      <c r="F5510" s="5">
        <v>39171</v>
      </c>
      <c r="G5510" s="5">
        <v>39293</v>
      </c>
      <c r="H5510" s="4" t="s">
        <v>16</v>
      </c>
      <c r="I5510" s="6">
        <v>156599.04999999999</v>
      </c>
      <c r="J5510" s="6">
        <v>46397</v>
      </c>
      <c r="K5510" s="37" t="s">
        <v>9243</v>
      </c>
      <c r="L5510" s="119"/>
      <c r="M5510" s="3"/>
    </row>
    <row r="5511" spans="1:13" s="4" customFormat="1" ht="14.25" customHeight="1" x14ac:dyDescent="0.25">
      <c r="A5511" s="4" t="s">
        <v>9258</v>
      </c>
      <c r="B5511" s="4" t="s">
        <v>13</v>
      </c>
      <c r="C5511" s="4" t="s">
        <v>14</v>
      </c>
      <c r="D5511" s="35">
        <v>3825</v>
      </c>
      <c r="E5511" s="4" t="s">
        <v>9259</v>
      </c>
      <c r="F5511" s="5">
        <v>39183</v>
      </c>
      <c r="G5511" s="5">
        <v>39538</v>
      </c>
      <c r="H5511" s="4" t="s">
        <v>16</v>
      </c>
      <c r="I5511" s="6">
        <v>243225.26</v>
      </c>
      <c r="J5511" s="6">
        <v>57447</v>
      </c>
      <c r="K5511" s="37" t="s">
        <v>9243</v>
      </c>
      <c r="L5511" s="119"/>
      <c r="M5511" s="3"/>
    </row>
    <row r="5512" spans="1:13" s="4" customFormat="1" ht="14.25" customHeight="1" x14ac:dyDescent="0.25">
      <c r="A5512" s="4" t="s">
        <v>9260</v>
      </c>
      <c r="B5512" s="4" t="s">
        <v>13</v>
      </c>
      <c r="C5512" s="4" t="s">
        <v>14</v>
      </c>
      <c r="D5512" s="35">
        <v>3827</v>
      </c>
      <c r="E5512" s="4" t="s">
        <v>7949</v>
      </c>
      <c r="F5512" s="5">
        <v>39825</v>
      </c>
      <c r="G5512" s="5">
        <v>40162</v>
      </c>
      <c r="H5512" s="4" t="s">
        <v>16</v>
      </c>
      <c r="I5512" s="6">
        <v>104500.79</v>
      </c>
      <c r="J5512" s="6">
        <v>30000</v>
      </c>
      <c r="K5512" s="37" t="s">
        <v>9243</v>
      </c>
      <c r="L5512" s="119"/>
      <c r="M5512" s="3"/>
    </row>
    <row r="5513" spans="1:13" s="4" customFormat="1" ht="14.25" customHeight="1" x14ac:dyDescent="0.25">
      <c r="A5513" s="4" t="s">
        <v>9261</v>
      </c>
      <c r="B5513" s="4" t="s">
        <v>13</v>
      </c>
      <c r="C5513" s="4" t="s">
        <v>14</v>
      </c>
      <c r="D5513" s="35">
        <v>3830</v>
      </c>
      <c r="E5513" s="4" t="s">
        <v>9262</v>
      </c>
      <c r="F5513" s="5">
        <v>39545</v>
      </c>
      <c r="G5513" s="5">
        <v>39752</v>
      </c>
      <c r="H5513" s="4" t="s">
        <v>16</v>
      </c>
      <c r="I5513" s="6">
        <v>18600</v>
      </c>
      <c r="J5513" s="6">
        <v>4875</v>
      </c>
      <c r="K5513" s="37" t="s">
        <v>9243</v>
      </c>
      <c r="L5513" s="119"/>
      <c r="M5513" s="3"/>
    </row>
    <row r="5514" spans="1:13" s="4" customFormat="1" ht="14.25" customHeight="1" x14ac:dyDescent="0.25">
      <c r="A5514" s="4" t="s">
        <v>9263</v>
      </c>
      <c r="B5514" s="4" t="s">
        <v>13</v>
      </c>
      <c r="C5514" s="4" t="s">
        <v>14</v>
      </c>
      <c r="D5514" s="35">
        <v>3836</v>
      </c>
      <c r="E5514" s="4" t="s">
        <v>9264</v>
      </c>
      <c r="F5514" s="5">
        <v>39972</v>
      </c>
      <c r="G5514" s="5">
        <v>40140</v>
      </c>
      <c r="H5514" s="4" t="s">
        <v>16</v>
      </c>
      <c r="I5514" s="6">
        <v>4680</v>
      </c>
      <c r="J5514" s="6">
        <v>1404</v>
      </c>
      <c r="K5514" s="37" t="s">
        <v>9243</v>
      </c>
      <c r="L5514" s="119"/>
      <c r="M5514" s="3"/>
    </row>
    <row r="5515" spans="1:13" s="4" customFormat="1" ht="14.25" customHeight="1" x14ac:dyDescent="0.25">
      <c r="A5515" s="4" t="s">
        <v>9265</v>
      </c>
      <c r="B5515" s="4" t="s">
        <v>13</v>
      </c>
      <c r="C5515" s="4" t="s">
        <v>14</v>
      </c>
      <c r="D5515" s="35">
        <v>3838</v>
      </c>
      <c r="E5515" s="4" t="s">
        <v>9266</v>
      </c>
      <c r="F5515" s="5">
        <v>39717</v>
      </c>
      <c r="G5515" s="5">
        <v>39843</v>
      </c>
      <c r="H5515" s="4" t="s">
        <v>16</v>
      </c>
      <c r="I5515" s="6">
        <v>11375</v>
      </c>
      <c r="J5515" s="6">
        <v>3412.5</v>
      </c>
      <c r="K5515" s="37" t="s">
        <v>9243</v>
      </c>
      <c r="L5515" s="119"/>
      <c r="M5515" s="3"/>
    </row>
    <row r="5516" spans="1:13" s="4" customFormat="1" ht="14.25" customHeight="1" x14ac:dyDescent="0.25">
      <c r="A5516" s="4" t="s">
        <v>9267</v>
      </c>
      <c r="B5516" s="4" t="s">
        <v>13</v>
      </c>
      <c r="C5516" s="4" t="s">
        <v>14</v>
      </c>
      <c r="D5516" s="35">
        <v>3839</v>
      </c>
      <c r="E5516" s="4" t="s">
        <v>9268</v>
      </c>
      <c r="F5516" s="5">
        <v>39521</v>
      </c>
      <c r="G5516" s="5">
        <v>39660</v>
      </c>
      <c r="H5516" s="4" t="s">
        <v>16</v>
      </c>
      <c r="I5516" s="6">
        <v>302452</v>
      </c>
      <c r="J5516" s="6">
        <v>84000</v>
      </c>
      <c r="K5516" s="37" t="s">
        <v>9243</v>
      </c>
      <c r="L5516" s="119"/>
      <c r="M5516" s="3"/>
    </row>
    <row r="5517" spans="1:13" s="4" customFormat="1" ht="14.25" customHeight="1" x14ac:dyDescent="0.25">
      <c r="A5517" s="4" t="s">
        <v>9269</v>
      </c>
      <c r="B5517" s="4" t="s">
        <v>13</v>
      </c>
      <c r="C5517" s="4" t="s">
        <v>14</v>
      </c>
      <c r="D5517" s="35">
        <v>3840</v>
      </c>
      <c r="E5517" s="4" t="s">
        <v>9270</v>
      </c>
      <c r="F5517" s="5">
        <v>39406</v>
      </c>
      <c r="G5517" s="5">
        <v>39721</v>
      </c>
      <c r="H5517" s="4" t="s">
        <v>16</v>
      </c>
      <c r="I5517" s="6">
        <v>10300</v>
      </c>
      <c r="J5517" s="6">
        <v>3090</v>
      </c>
      <c r="K5517" s="37" t="s">
        <v>9243</v>
      </c>
      <c r="L5517" s="119"/>
      <c r="M5517" s="3"/>
    </row>
    <row r="5518" spans="1:13" s="4" customFormat="1" ht="14.25" customHeight="1" x14ac:dyDescent="0.25">
      <c r="A5518" s="4" t="s">
        <v>9271</v>
      </c>
      <c r="B5518" s="4" t="s">
        <v>13</v>
      </c>
      <c r="C5518" s="4" t="s">
        <v>14</v>
      </c>
      <c r="D5518" s="35">
        <v>3842</v>
      </c>
      <c r="E5518" s="4" t="s">
        <v>9272</v>
      </c>
      <c r="F5518" s="5">
        <v>39736</v>
      </c>
      <c r="G5518" s="5">
        <v>39994</v>
      </c>
      <c r="H5518" s="4" t="s">
        <v>16</v>
      </c>
      <c r="I5518" s="6">
        <v>145970.44</v>
      </c>
      <c r="J5518" s="6">
        <v>43791.13</v>
      </c>
      <c r="K5518" s="37" t="s">
        <v>9243</v>
      </c>
      <c r="L5518" s="119"/>
      <c r="M5518" s="3"/>
    </row>
    <row r="5519" spans="1:13" s="4" customFormat="1" ht="14.25" customHeight="1" x14ac:dyDescent="0.25">
      <c r="A5519" s="4" t="s">
        <v>9273</v>
      </c>
      <c r="B5519" s="4" t="s">
        <v>13</v>
      </c>
      <c r="C5519" s="4" t="s">
        <v>14</v>
      </c>
      <c r="D5519" s="35">
        <v>3843</v>
      </c>
      <c r="E5519" s="4" t="s">
        <v>11759</v>
      </c>
      <c r="F5519" s="5">
        <v>39549</v>
      </c>
      <c r="G5519" s="5">
        <v>39797</v>
      </c>
      <c r="H5519" s="4" t="s">
        <v>16</v>
      </c>
      <c r="I5519" s="6">
        <v>225000</v>
      </c>
      <c r="J5519" s="6">
        <v>67500</v>
      </c>
      <c r="K5519" s="37" t="s">
        <v>9243</v>
      </c>
      <c r="L5519" s="119"/>
      <c r="M5519" s="3"/>
    </row>
    <row r="5520" spans="1:13" s="4" customFormat="1" ht="14.25" customHeight="1" x14ac:dyDescent="0.25">
      <c r="A5520" s="4" t="s">
        <v>9275</v>
      </c>
      <c r="B5520" s="4" t="s">
        <v>13</v>
      </c>
      <c r="C5520" s="4" t="s">
        <v>14</v>
      </c>
      <c r="D5520" s="35">
        <v>3847</v>
      </c>
      <c r="E5520" s="4" t="s">
        <v>9276</v>
      </c>
      <c r="F5520" s="5">
        <v>39415</v>
      </c>
      <c r="G5520" s="5">
        <v>39538</v>
      </c>
      <c r="H5520" s="4" t="s">
        <v>16</v>
      </c>
      <c r="I5520" s="6">
        <v>14000</v>
      </c>
      <c r="J5520" s="6">
        <v>4200</v>
      </c>
      <c r="K5520" s="37" t="s">
        <v>9243</v>
      </c>
      <c r="L5520" s="119"/>
      <c r="M5520" s="3"/>
    </row>
    <row r="5521" spans="1:13" s="4" customFormat="1" ht="14.25" customHeight="1" x14ac:dyDescent="0.25">
      <c r="A5521" s="4" t="s">
        <v>9277</v>
      </c>
      <c r="B5521" s="4" t="s">
        <v>13</v>
      </c>
      <c r="C5521" s="4" t="s">
        <v>14</v>
      </c>
      <c r="D5521" s="35">
        <v>3852</v>
      </c>
      <c r="E5521" s="4" t="s">
        <v>9278</v>
      </c>
      <c r="F5521" s="5">
        <v>39792</v>
      </c>
      <c r="G5521" s="5">
        <v>39933</v>
      </c>
      <c r="H5521" s="4" t="s">
        <v>16</v>
      </c>
      <c r="I5521" s="6">
        <v>12246</v>
      </c>
      <c r="J5521" s="6">
        <v>3674</v>
      </c>
      <c r="K5521" s="37" t="s">
        <v>9243</v>
      </c>
      <c r="L5521" s="119"/>
      <c r="M5521" s="3"/>
    </row>
    <row r="5522" spans="1:13" s="4" customFormat="1" ht="14.25" customHeight="1" x14ac:dyDescent="0.25">
      <c r="A5522" s="4" t="s">
        <v>9279</v>
      </c>
      <c r="B5522" s="4" t="s">
        <v>13</v>
      </c>
      <c r="C5522" s="4" t="s">
        <v>14</v>
      </c>
      <c r="D5522" s="35">
        <v>3855</v>
      </c>
      <c r="E5522" s="4" t="s">
        <v>9280</v>
      </c>
      <c r="F5522" s="5">
        <v>39477</v>
      </c>
      <c r="G5522" s="5">
        <v>39962</v>
      </c>
      <c r="H5522" s="4" t="s">
        <v>16</v>
      </c>
      <c r="I5522" s="6">
        <v>62153.25</v>
      </c>
      <c r="J5522" s="6">
        <v>16500</v>
      </c>
      <c r="K5522" s="37" t="s">
        <v>9243</v>
      </c>
      <c r="L5522" s="119"/>
      <c r="M5522" s="3"/>
    </row>
    <row r="5523" spans="1:13" s="4" customFormat="1" ht="14.25" customHeight="1" x14ac:dyDescent="0.25">
      <c r="A5523" s="4" t="s">
        <v>9281</v>
      </c>
      <c r="B5523" s="4" t="s">
        <v>13</v>
      </c>
      <c r="C5523" s="4" t="s">
        <v>14</v>
      </c>
      <c r="D5523" s="35">
        <v>3856</v>
      </c>
      <c r="E5523" s="4" t="s">
        <v>9282</v>
      </c>
      <c r="F5523" s="5">
        <v>39330</v>
      </c>
      <c r="G5523" s="5">
        <v>39538</v>
      </c>
      <c r="H5523" s="4" t="s">
        <v>16</v>
      </c>
      <c r="I5523" s="6">
        <v>5900</v>
      </c>
      <c r="J5523" s="6">
        <v>2360</v>
      </c>
      <c r="K5523" s="37" t="s">
        <v>9243</v>
      </c>
      <c r="L5523" s="119"/>
      <c r="M5523" s="3"/>
    </row>
    <row r="5524" spans="1:13" s="4" customFormat="1" ht="14.25" customHeight="1" x14ac:dyDescent="0.25">
      <c r="A5524" s="4" t="s">
        <v>9283</v>
      </c>
      <c r="B5524" s="4" t="s">
        <v>13</v>
      </c>
      <c r="C5524" s="4" t="s">
        <v>14</v>
      </c>
      <c r="D5524" s="35">
        <v>3857</v>
      </c>
      <c r="E5524" s="4" t="s">
        <v>9284</v>
      </c>
      <c r="F5524" s="5">
        <v>39275</v>
      </c>
      <c r="G5524" s="5">
        <v>39386</v>
      </c>
      <c r="H5524" s="4" t="s">
        <v>16</v>
      </c>
      <c r="I5524" s="6">
        <v>1875</v>
      </c>
      <c r="J5524" s="6">
        <v>750</v>
      </c>
      <c r="K5524" s="37" t="s">
        <v>9243</v>
      </c>
      <c r="L5524" s="119"/>
      <c r="M5524" s="3"/>
    </row>
    <row r="5525" spans="1:13" s="4" customFormat="1" ht="14.25" customHeight="1" x14ac:dyDescent="0.25">
      <c r="A5525" s="4" t="s">
        <v>9283</v>
      </c>
      <c r="B5525" s="4" t="s">
        <v>13</v>
      </c>
      <c r="C5525" s="4" t="s">
        <v>14</v>
      </c>
      <c r="D5525" s="35">
        <v>3859</v>
      </c>
      <c r="E5525" s="4" t="s">
        <v>9285</v>
      </c>
      <c r="F5525" s="5">
        <v>39477</v>
      </c>
      <c r="G5525" s="5">
        <v>39962</v>
      </c>
      <c r="H5525" s="4" t="s">
        <v>16</v>
      </c>
      <c r="I5525" s="6">
        <v>57300</v>
      </c>
      <c r="J5525" s="6">
        <v>8316</v>
      </c>
      <c r="K5525" s="37" t="s">
        <v>9243</v>
      </c>
      <c r="L5525" s="119"/>
      <c r="M5525" s="3"/>
    </row>
    <row r="5526" spans="1:13" s="4" customFormat="1" ht="14.25" customHeight="1" x14ac:dyDescent="0.25">
      <c r="A5526" s="4" t="s">
        <v>9286</v>
      </c>
      <c r="B5526" s="4" t="s">
        <v>13</v>
      </c>
      <c r="C5526" s="4" t="s">
        <v>14</v>
      </c>
      <c r="D5526" s="35">
        <v>3860</v>
      </c>
      <c r="E5526" s="4" t="s">
        <v>9287</v>
      </c>
      <c r="F5526" s="5">
        <v>39972</v>
      </c>
      <c r="G5526" s="5">
        <v>40221</v>
      </c>
      <c r="H5526" s="4" t="s">
        <v>16</v>
      </c>
      <c r="I5526" s="6">
        <v>13439.65</v>
      </c>
      <c r="J5526" s="6">
        <v>4032</v>
      </c>
      <c r="K5526" s="37" t="s">
        <v>9243</v>
      </c>
      <c r="L5526" s="119"/>
      <c r="M5526" s="3"/>
    </row>
    <row r="5527" spans="1:13" s="4" customFormat="1" ht="14.25" customHeight="1" x14ac:dyDescent="0.25">
      <c r="A5527" s="4" t="s">
        <v>9267</v>
      </c>
      <c r="B5527" s="4" t="s">
        <v>13</v>
      </c>
      <c r="C5527" s="4" t="s">
        <v>14</v>
      </c>
      <c r="D5527" s="35">
        <v>3861</v>
      </c>
      <c r="E5527" s="4" t="s">
        <v>9288</v>
      </c>
      <c r="F5527" s="5">
        <v>39770</v>
      </c>
      <c r="G5527" s="5">
        <v>40025</v>
      </c>
      <c r="H5527" s="4" t="s">
        <v>16</v>
      </c>
      <c r="I5527" s="6">
        <v>39248</v>
      </c>
      <c r="J5527" s="6">
        <v>11774.4</v>
      </c>
      <c r="K5527" s="37" t="s">
        <v>9243</v>
      </c>
      <c r="L5527" s="119"/>
      <c r="M5527" s="3"/>
    </row>
    <row r="5528" spans="1:13" s="4" customFormat="1" ht="14.25" customHeight="1" x14ac:dyDescent="0.25">
      <c r="A5528" s="4" t="s">
        <v>9289</v>
      </c>
      <c r="B5528" s="4" t="s">
        <v>13</v>
      </c>
      <c r="C5528" s="4" t="s">
        <v>14</v>
      </c>
      <c r="D5528" s="35">
        <v>3863</v>
      </c>
      <c r="E5528" s="4" t="s">
        <v>9290</v>
      </c>
      <c r="F5528" s="5">
        <v>39477</v>
      </c>
      <c r="G5528" s="5">
        <v>39805</v>
      </c>
      <c r="H5528" s="4" t="s">
        <v>16</v>
      </c>
      <c r="I5528" s="6">
        <v>15800</v>
      </c>
      <c r="J5528" s="6">
        <v>4740</v>
      </c>
      <c r="K5528" s="37" t="s">
        <v>9243</v>
      </c>
      <c r="L5528" s="119"/>
      <c r="M5528" s="3"/>
    </row>
    <row r="5529" spans="1:13" s="4" customFormat="1" ht="14.25" customHeight="1" x14ac:dyDescent="0.25">
      <c r="A5529" s="4" t="s">
        <v>9283</v>
      </c>
      <c r="B5529" s="4" t="s">
        <v>13</v>
      </c>
      <c r="C5529" s="4" t="s">
        <v>14</v>
      </c>
      <c r="D5529" s="35">
        <v>4131</v>
      </c>
      <c r="E5529" s="4" t="s">
        <v>9291</v>
      </c>
      <c r="F5529" s="5">
        <v>39314</v>
      </c>
      <c r="G5529" s="5">
        <v>39342</v>
      </c>
      <c r="H5529" s="4" t="s">
        <v>16</v>
      </c>
      <c r="I5529" s="6">
        <v>4500</v>
      </c>
      <c r="J5529" s="6">
        <v>1800</v>
      </c>
      <c r="K5529" s="37" t="s">
        <v>9243</v>
      </c>
      <c r="L5529" s="119"/>
      <c r="M5529" s="3"/>
    </row>
    <row r="5530" spans="1:13" s="4" customFormat="1" ht="14.25" customHeight="1" x14ac:dyDescent="0.25">
      <c r="A5530" s="4" t="s">
        <v>9248</v>
      </c>
      <c r="B5530" s="4" t="s">
        <v>13</v>
      </c>
      <c r="C5530" s="4" t="s">
        <v>14</v>
      </c>
      <c r="D5530" s="35">
        <v>4132</v>
      </c>
      <c r="E5530" s="4" t="s">
        <v>9292</v>
      </c>
      <c r="F5530" s="5">
        <v>39415</v>
      </c>
      <c r="G5530" s="5">
        <v>40087</v>
      </c>
      <c r="H5530" s="4" t="s">
        <v>16</v>
      </c>
      <c r="I5530" s="6">
        <v>23408</v>
      </c>
      <c r="J5530" s="6">
        <v>13800</v>
      </c>
      <c r="K5530" s="37" t="s">
        <v>9243</v>
      </c>
      <c r="L5530" s="119"/>
      <c r="M5530" s="3"/>
    </row>
    <row r="5531" spans="1:13" s="4" customFormat="1" ht="14.25" customHeight="1" x14ac:dyDescent="0.25">
      <c r="A5531" s="4" t="s">
        <v>9293</v>
      </c>
      <c r="B5531" s="4" t="s">
        <v>13</v>
      </c>
      <c r="C5531" s="4" t="s">
        <v>14</v>
      </c>
      <c r="D5531" s="35">
        <v>4133</v>
      </c>
      <c r="E5531" s="4" t="s">
        <v>9294</v>
      </c>
      <c r="F5531" s="5">
        <v>39629</v>
      </c>
      <c r="G5531" s="5">
        <v>40618</v>
      </c>
      <c r="H5531" s="4" t="s">
        <v>16</v>
      </c>
      <c r="I5531" s="6">
        <v>111251.19</v>
      </c>
      <c r="J5531" s="6">
        <v>33375.360000000001</v>
      </c>
      <c r="K5531" s="37" t="s">
        <v>9243</v>
      </c>
      <c r="L5531" s="119"/>
      <c r="M5531" s="3"/>
    </row>
    <row r="5532" spans="1:13" s="4" customFormat="1" ht="14.25" customHeight="1" x14ac:dyDescent="0.25">
      <c r="A5532" s="4" t="s">
        <v>9295</v>
      </c>
      <c r="B5532" s="4" t="s">
        <v>13</v>
      </c>
      <c r="C5532" s="4" t="s">
        <v>14</v>
      </c>
      <c r="D5532" s="35">
        <v>9452</v>
      </c>
      <c r="E5532" s="4" t="s">
        <v>9296</v>
      </c>
      <c r="F5532" s="5">
        <v>40039</v>
      </c>
      <c r="G5532" s="5">
        <v>40177</v>
      </c>
      <c r="H5532" s="4" t="s">
        <v>16</v>
      </c>
      <c r="I5532" s="6">
        <v>77358.649999999994</v>
      </c>
      <c r="J5532" s="6">
        <v>21900</v>
      </c>
      <c r="K5532" s="37" t="s">
        <v>9243</v>
      </c>
      <c r="L5532" s="119"/>
      <c r="M5532" s="3"/>
    </row>
    <row r="5533" spans="1:13" s="4" customFormat="1" ht="14.25" customHeight="1" x14ac:dyDescent="0.25">
      <c r="A5533" s="4" t="s">
        <v>9297</v>
      </c>
      <c r="B5533" s="4" t="s">
        <v>13</v>
      </c>
      <c r="C5533" s="4" t="s">
        <v>14</v>
      </c>
      <c r="D5533" s="35">
        <v>9883</v>
      </c>
      <c r="E5533" s="4" t="s">
        <v>9298</v>
      </c>
      <c r="F5533" s="5">
        <v>40318</v>
      </c>
      <c r="G5533" s="5">
        <v>40364</v>
      </c>
      <c r="H5533" s="4" t="s">
        <v>16</v>
      </c>
      <c r="I5533" s="6">
        <v>31900</v>
      </c>
      <c r="J5533" s="6">
        <v>9306</v>
      </c>
      <c r="K5533" s="37" t="s">
        <v>9243</v>
      </c>
      <c r="L5533" s="119"/>
      <c r="M5533" s="3"/>
    </row>
    <row r="5534" spans="1:13" s="4" customFormat="1" ht="14.25" customHeight="1" x14ac:dyDescent="0.25">
      <c r="A5534" s="4" t="s">
        <v>9299</v>
      </c>
      <c r="B5534" s="4" t="s">
        <v>13</v>
      </c>
      <c r="C5534" s="4" t="s">
        <v>14</v>
      </c>
      <c r="D5534" s="35">
        <v>9938</v>
      </c>
      <c r="E5534" s="4" t="s">
        <v>9300</v>
      </c>
      <c r="F5534" s="5">
        <v>40046</v>
      </c>
      <c r="G5534" s="5">
        <v>40452</v>
      </c>
      <c r="H5534" s="4" t="s">
        <v>16</v>
      </c>
      <c r="I5534" s="6">
        <v>9964</v>
      </c>
      <c r="J5534" s="6">
        <v>2989.2</v>
      </c>
      <c r="K5534" s="37" t="s">
        <v>9243</v>
      </c>
      <c r="L5534" s="119"/>
      <c r="M5534" s="3"/>
    </row>
    <row r="5535" spans="1:13" s="4" customFormat="1" ht="14.25" customHeight="1" x14ac:dyDescent="0.25">
      <c r="A5535" s="4" t="s">
        <v>9301</v>
      </c>
      <c r="B5535" s="4" t="s">
        <v>13</v>
      </c>
      <c r="C5535" s="4" t="s">
        <v>14</v>
      </c>
      <c r="D5535" s="35">
        <v>9988</v>
      </c>
      <c r="E5535" s="4" t="s">
        <v>9302</v>
      </c>
      <c r="F5535" s="5">
        <v>40240</v>
      </c>
      <c r="G5535" s="5">
        <v>40532</v>
      </c>
      <c r="H5535" s="4" t="s">
        <v>16</v>
      </c>
      <c r="I5535" s="6">
        <v>16236.07</v>
      </c>
      <c r="J5535" s="6">
        <v>4870.83</v>
      </c>
      <c r="K5535" s="37" t="s">
        <v>9243</v>
      </c>
      <c r="L5535" s="119"/>
      <c r="M5535" s="3"/>
    </row>
    <row r="5536" spans="1:13" s="4" customFormat="1" ht="14.25" customHeight="1" x14ac:dyDescent="0.25">
      <c r="A5536" s="4" t="s">
        <v>9303</v>
      </c>
      <c r="B5536" s="4" t="s">
        <v>13</v>
      </c>
      <c r="C5536" s="4" t="s">
        <v>14</v>
      </c>
      <c r="D5536" s="35">
        <v>10177</v>
      </c>
      <c r="E5536" s="4" t="s">
        <v>9304</v>
      </c>
      <c r="F5536" s="5">
        <v>40849</v>
      </c>
      <c r="G5536" s="5">
        <v>40897</v>
      </c>
      <c r="H5536" s="4" t="s">
        <v>392</v>
      </c>
      <c r="I5536" s="6">
        <v>107693</v>
      </c>
      <c r="J5536" s="6">
        <v>37693</v>
      </c>
      <c r="K5536" s="37" t="s">
        <v>9243</v>
      </c>
      <c r="L5536" s="119"/>
      <c r="M5536" s="3"/>
    </row>
    <row r="5537" spans="1:13" s="4" customFormat="1" ht="14.25" customHeight="1" x14ac:dyDescent="0.25">
      <c r="A5537" s="4" t="s">
        <v>9305</v>
      </c>
      <c r="B5537" s="4" t="s">
        <v>38</v>
      </c>
      <c r="C5537" s="4" t="s">
        <v>14</v>
      </c>
      <c r="D5537" s="35">
        <v>886</v>
      </c>
      <c r="E5537" s="4" t="s">
        <v>9306</v>
      </c>
      <c r="F5537" s="5">
        <v>39304</v>
      </c>
      <c r="G5537" s="5">
        <v>41639</v>
      </c>
      <c r="H5537" s="4" t="s">
        <v>40</v>
      </c>
      <c r="I5537" s="6">
        <f>56608.41+13050.23</f>
        <v>69658.64</v>
      </c>
      <c r="J5537" s="6">
        <f>56608.41+13050.23</f>
        <v>69658.64</v>
      </c>
      <c r="K5537" s="37" t="s">
        <v>9243</v>
      </c>
      <c r="L5537" s="119"/>
      <c r="M5537" s="3"/>
    </row>
    <row r="5538" spans="1:13" s="4" customFormat="1" ht="14.25" customHeight="1" x14ac:dyDescent="0.25">
      <c r="A5538" s="4" t="s">
        <v>9307</v>
      </c>
      <c r="B5538" s="4" t="s">
        <v>38</v>
      </c>
      <c r="C5538" s="4" t="s">
        <v>14</v>
      </c>
      <c r="D5538" s="35">
        <v>888</v>
      </c>
      <c r="E5538" s="4" t="s">
        <v>9308</v>
      </c>
      <c r="F5538" s="5">
        <v>39174</v>
      </c>
      <c r="G5538" s="5">
        <v>41639</v>
      </c>
      <c r="H5538" s="4" t="s">
        <v>40</v>
      </c>
      <c r="I5538" s="6">
        <v>5099.8999999999996</v>
      </c>
      <c r="J5538" s="6">
        <v>5099.8999999999996</v>
      </c>
      <c r="K5538" s="37" t="s">
        <v>9243</v>
      </c>
      <c r="L5538" s="119"/>
    </row>
    <row r="5539" spans="1:13" s="4" customFormat="1" ht="14.25" customHeight="1" x14ac:dyDescent="0.25">
      <c r="A5539" s="4" t="s">
        <v>9309</v>
      </c>
      <c r="B5539" s="4" t="s">
        <v>38</v>
      </c>
      <c r="C5539" s="4" t="s">
        <v>14</v>
      </c>
      <c r="D5539" s="35">
        <v>889</v>
      </c>
      <c r="E5539" s="4" t="s">
        <v>9310</v>
      </c>
      <c r="F5539" s="5">
        <v>39394</v>
      </c>
      <c r="G5539" s="5">
        <v>41639</v>
      </c>
      <c r="H5539" s="4" t="s">
        <v>40</v>
      </c>
      <c r="I5539" s="6">
        <v>7075</v>
      </c>
      <c r="J5539" s="6">
        <v>7075</v>
      </c>
      <c r="K5539" s="37" t="s">
        <v>9243</v>
      </c>
      <c r="L5539" s="119"/>
    </row>
    <row r="5540" spans="1:13" s="4" customFormat="1" ht="14.25" customHeight="1" x14ac:dyDescent="0.25">
      <c r="A5540" s="4" t="s">
        <v>9311</v>
      </c>
      <c r="B5540" s="4" t="s">
        <v>38</v>
      </c>
      <c r="C5540" s="4" t="s">
        <v>14</v>
      </c>
      <c r="D5540" s="35">
        <v>892</v>
      </c>
      <c r="E5540" s="4" t="s">
        <v>9312</v>
      </c>
      <c r="F5540" s="5">
        <v>39217</v>
      </c>
      <c r="G5540" s="5">
        <v>41639</v>
      </c>
      <c r="H5540" s="4" t="s">
        <v>40</v>
      </c>
      <c r="I5540" s="6">
        <v>4415.05</v>
      </c>
      <c r="J5540" s="6">
        <v>4415.05</v>
      </c>
      <c r="K5540" s="37" t="s">
        <v>9243</v>
      </c>
      <c r="L5540" s="119"/>
    </row>
    <row r="5541" spans="1:13" s="4" customFormat="1" ht="14.25" customHeight="1" x14ac:dyDescent="0.25">
      <c r="A5541" s="4" t="s">
        <v>9313</v>
      </c>
      <c r="B5541" s="4" t="s">
        <v>38</v>
      </c>
      <c r="C5541" s="4" t="s">
        <v>14</v>
      </c>
      <c r="D5541" s="35">
        <v>894</v>
      </c>
      <c r="E5541" s="4" t="s">
        <v>9314</v>
      </c>
      <c r="F5541" s="5">
        <v>39120</v>
      </c>
      <c r="G5541" s="5">
        <v>41639</v>
      </c>
      <c r="H5541" s="4" t="s">
        <v>40</v>
      </c>
      <c r="I5541" s="6">
        <v>8152.17</v>
      </c>
      <c r="J5541" s="6">
        <v>8152.17</v>
      </c>
      <c r="K5541" s="37" t="s">
        <v>9243</v>
      </c>
      <c r="L5541" s="119"/>
    </row>
    <row r="5542" spans="1:13" s="4" customFormat="1" ht="14.25" customHeight="1" x14ac:dyDescent="0.25">
      <c r="A5542" s="4" t="s">
        <v>9315</v>
      </c>
      <c r="B5542" s="4" t="s">
        <v>90</v>
      </c>
      <c r="C5542" s="4" t="s">
        <v>14</v>
      </c>
      <c r="D5542" s="35">
        <v>901</v>
      </c>
      <c r="E5542" s="4" t="s">
        <v>9316</v>
      </c>
      <c r="F5542" s="5">
        <v>39283</v>
      </c>
      <c r="G5542" s="5">
        <v>41639</v>
      </c>
      <c r="H5542" s="4" t="s">
        <v>40</v>
      </c>
      <c r="I5542" s="6">
        <v>5640.5</v>
      </c>
      <c r="J5542" s="6">
        <v>2820.25</v>
      </c>
      <c r="K5542" s="37" t="s">
        <v>9243</v>
      </c>
      <c r="L5542" s="119"/>
    </row>
    <row r="5543" spans="1:13" s="4" customFormat="1" ht="14.25" customHeight="1" x14ac:dyDescent="0.25">
      <c r="A5543" s="4" t="s">
        <v>9317</v>
      </c>
      <c r="B5543" s="4" t="s">
        <v>50</v>
      </c>
      <c r="C5543" s="4" t="s">
        <v>14</v>
      </c>
      <c r="D5543" s="35">
        <v>903</v>
      </c>
      <c r="E5543" s="4" t="s">
        <v>9318</v>
      </c>
      <c r="F5543" s="5">
        <v>39133</v>
      </c>
      <c r="G5543" s="5">
        <v>41639</v>
      </c>
      <c r="H5543" s="4" t="s">
        <v>40</v>
      </c>
      <c r="I5543" s="6">
        <v>100000</v>
      </c>
      <c r="J5543" s="6">
        <v>50000</v>
      </c>
      <c r="K5543" s="37" t="s">
        <v>9243</v>
      </c>
      <c r="L5543" s="119"/>
    </row>
    <row r="5544" spans="1:13" s="4" customFormat="1" ht="14.25" customHeight="1" x14ac:dyDescent="0.25">
      <c r="A5544" s="4" t="s">
        <v>9319</v>
      </c>
      <c r="B5544" s="4" t="s">
        <v>50</v>
      </c>
      <c r="C5544" s="4" t="s">
        <v>14</v>
      </c>
      <c r="D5544" s="35">
        <v>904</v>
      </c>
      <c r="E5544" s="4" t="s">
        <v>9320</v>
      </c>
      <c r="F5544" s="5">
        <v>39133</v>
      </c>
      <c r="G5544" s="5">
        <v>41639</v>
      </c>
      <c r="H5544" s="4" t="s">
        <v>40</v>
      </c>
      <c r="I5544" s="6">
        <v>11292.5</v>
      </c>
      <c r="J5544" s="6">
        <v>5646.25</v>
      </c>
      <c r="K5544" s="37" t="s">
        <v>9243</v>
      </c>
      <c r="L5544" s="119"/>
    </row>
    <row r="5545" spans="1:13" s="4" customFormat="1" ht="14.25" customHeight="1" x14ac:dyDescent="0.25">
      <c r="A5545" s="4" t="s">
        <v>9321</v>
      </c>
      <c r="B5545" s="4" t="s">
        <v>3197</v>
      </c>
      <c r="C5545" s="4" t="s">
        <v>14</v>
      </c>
      <c r="D5545" s="35">
        <v>905</v>
      </c>
      <c r="E5545" s="4" t="s">
        <v>9322</v>
      </c>
      <c r="F5545" s="5">
        <v>39133</v>
      </c>
      <c r="G5545" s="5">
        <v>41639</v>
      </c>
      <c r="H5545" s="4" t="s">
        <v>40</v>
      </c>
      <c r="I5545" s="6">
        <v>10200</v>
      </c>
      <c r="J5545" s="6">
        <v>5100</v>
      </c>
      <c r="K5545" s="37" t="s">
        <v>9243</v>
      </c>
      <c r="L5545" s="119"/>
    </row>
    <row r="5546" spans="1:13" s="4" customFormat="1" ht="14.25" customHeight="1" x14ac:dyDescent="0.25">
      <c r="A5546" s="4" t="s">
        <v>9323</v>
      </c>
      <c r="B5546" s="4" t="s">
        <v>50</v>
      </c>
      <c r="C5546" s="4" t="s">
        <v>14</v>
      </c>
      <c r="D5546" s="35">
        <v>906</v>
      </c>
      <c r="E5546" s="4" t="s">
        <v>9324</v>
      </c>
      <c r="F5546" s="5">
        <v>39133</v>
      </c>
      <c r="G5546" s="5">
        <v>41639</v>
      </c>
      <c r="H5546" s="4" t="s">
        <v>40</v>
      </c>
      <c r="I5546" s="6">
        <v>57400</v>
      </c>
      <c r="J5546" s="6">
        <v>28700</v>
      </c>
      <c r="K5546" s="37" t="s">
        <v>9243</v>
      </c>
      <c r="L5546" s="119"/>
    </row>
    <row r="5547" spans="1:13" s="4" customFormat="1" ht="14.25" customHeight="1" x14ac:dyDescent="0.25">
      <c r="A5547" s="4" t="s">
        <v>9325</v>
      </c>
      <c r="B5547" s="4" t="s">
        <v>50</v>
      </c>
      <c r="C5547" s="4" t="s">
        <v>14</v>
      </c>
      <c r="D5547" s="35">
        <v>907</v>
      </c>
      <c r="E5547" s="4" t="s">
        <v>9326</v>
      </c>
      <c r="F5547" s="5">
        <v>39133</v>
      </c>
      <c r="G5547" s="5">
        <v>41639</v>
      </c>
      <c r="H5547" s="4" t="s">
        <v>40</v>
      </c>
      <c r="I5547" s="6">
        <v>86718.24</v>
      </c>
      <c r="J5547" s="6">
        <v>43359.12</v>
      </c>
      <c r="K5547" s="37" t="s">
        <v>9243</v>
      </c>
      <c r="L5547" s="119"/>
    </row>
    <row r="5548" spans="1:13" s="4" customFormat="1" ht="14.25" customHeight="1" x14ac:dyDescent="0.25">
      <c r="A5548" s="4" t="s">
        <v>9327</v>
      </c>
      <c r="B5548" s="4" t="s">
        <v>38</v>
      </c>
      <c r="C5548" s="4" t="s">
        <v>14</v>
      </c>
      <c r="D5548" s="35">
        <v>908</v>
      </c>
      <c r="E5548" s="4" t="s">
        <v>9328</v>
      </c>
      <c r="F5548" s="5">
        <v>39146</v>
      </c>
      <c r="G5548" s="5">
        <v>41639</v>
      </c>
      <c r="H5548" s="4" t="s">
        <v>40</v>
      </c>
      <c r="I5548" s="6">
        <v>15480</v>
      </c>
      <c r="J5548" s="6">
        <v>15480</v>
      </c>
      <c r="K5548" s="37" t="s">
        <v>9243</v>
      </c>
      <c r="L5548" s="119"/>
    </row>
    <row r="5549" spans="1:13" s="4" customFormat="1" ht="14.25" customHeight="1" x14ac:dyDescent="0.25">
      <c r="A5549" s="4" t="s">
        <v>9329</v>
      </c>
      <c r="B5549" s="4" t="s">
        <v>50</v>
      </c>
      <c r="C5549" s="4" t="s">
        <v>14</v>
      </c>
      <c r="D5549" s="35">
        <v>911</v>
      </c>
      <c r="E5549" s="4" t="s">
        <v>9330</v>
      </c>
      <c r="F5549" s="5">
        <v>39497</v>
      </c>
      <c r="G5549" s="5">
        <v>41639</v>
      </c>
      <c r="H5549" s="4" t="s">
        <v>40</v>
      </c>
      <c r="I5549" s="6">
        <v>36558</v>
      </c>
      <c r="J5549" s="6">
        <v>18279</v>
      </c>
      <c r="K5549" s="37" t="s">
        <v>9243</v>
      </c>
      <c r="L5549" s="119"/>
    </row>
    <row r="5550" spans="1:13" s="4" customFormat="1" ht="14.25" customHeight="1" x14ac:dyDescent="0.25">
      <c r="A5550" s="4" t="s">
        <v>9331</v>
      </c>
      <c r="B5550" s="4" t="s">
        <v>90</v>
      </c>
      <c r="C5550" s="4" t="s">
        <v>14</v>
      </c>
      <c r="D5550" s="35">
        <v>912</v>
      </c>
      <c r="E5550" s="4" t="s">
        <v>9332</v>
      </c>
      <c r="F5550" s="5">
        <v>39196</v>
      </c>
      <c r="G5550" s="5">
        <v>41639</v>
      </c>
      <c r="H5550" s="4" t="s">
        <v>40</v>
      </c>
      <c r="I5550" s="6">
        <v>17254.64</v>
      </c>
      <c r="J5550" s="6">
        <v>8627.32</v>
      </c>
      <c r="K5550" s="37" t="s">
        <v>9243</v>
      </c>
      <c r="L5550" s="119"/>
    </row>
    <row r="5551" spans="1:13" s="4" customFormat="1" ht="14.25" customHeight="1" x14ac:dyDescent="0.25">
      <c r="A5551" s="4" t="s">
        <v>9333</v>
      </c>
      <c r="B5551" s="4" t="s">
        <v>50</v>
      </c>
      <c r="C5551" s="4" t="s">
        <v>14</v>
      </c>
      <c r="D5551" s="35">
        <v>913</v>
      </c>
      <c r="E5551" s="4" t="s">
        <v>9334</v>
      </c>
      <c r="F5551" s="5">
        <v>39196</v>
      </c>
      <c r="G5551" s="5">
        <v>41639</v>
      </c>
      <c r="H5551" s="4" t="s">
        <v>40</v>
      </c>
      <c r="I5551" s="6">
        <v>42587.12</v>
      </c>
      <c r="J5551" s="6">
        <v>21293.55</v>
      </c>
      <c r="K5551" s="37" t="s">
        <v>9243</v>
      </c>
      <c r="L5551" s="119"/>
    </row>
    <row r="5552" spans="1:13" s="4" customFormat="1" ht="14.25" customHeight="1" x14ac:dyDescent="0.25">
      <c r="A5552" s="4" t="s">
        <v>9335</v>
      </c>
      <c r="B5552" s="4" t="s">
        <v>50</v>
      </c>
      <c r="C5552" s="4" t="s">
        <v>14</v>
      </c>
      <c r="D5552" s="35">
        <v>932</v>
      </c>
      <c r="E5552" s="4" t="s">
        <v>9336</v>
      </c>
      <c r="F5552" s="5">
        <v>39252</v>
      </c>
      <c r="G5552" s="5">
        <v>41639</v>
      </c>
      <c r="H5552" s="4" t="s">
        <v>40</v>
      </c>
      <c r="I5552" s="6">
        <v>10127.68</v>
      </c>
      <c r="J5552" s="6">
        <v>5063.84</v>
      </c>
      <c r="K5552" s="37" t="s">
        <v>9243</v>
      </c>
      <c r="L5552" s="119"/>
    </row>
    <row r="5553" spans="1:12" s="4" customFormat="1" ht="14.25" customHeight="1" x14ac:dyDescent="0.25">
      <c r="A5553" s="4" t="s">
        <v>9337</v>
      </c>
      <c r="B5553" s="4" t="s">
        <v>59</v>
      </c>
      <c r="C5553" s="4" t="s">
        <v>14</v>
      </c>
      <c r="D5553" s="35">
        <v>933</v>
      </c>
      <c r="E5553" s="4" t="s">
        <v>9338</v>
      </c>
      <c r="F5553" s="5">
        <v>39252</v>
      </c>
      <c r="G5553" s="5">
        <v>41639</v>
      </c>
      <c r="H5553" s="4" t="s">
        <v>40</v>
      </c>
      <c r="I5553" s="6">
        <v>7500</v>
      </c>
      <c r="J5553" s="6">
        <v>7500</v>
      </c>
      <c r="K5553" s="37" t="s">
        <v>9243</v>
      </c>
      <c r="L5553" s="119"/>
    </row>
    <row r="5554" spans="1:12" s="4" customFormat="1" ht="14.25" customHeight="1" x14ac:dyDescent="0.25">
      <c r="A5554" s="4" t="s">
        <v>9339</v>
      </c>
      <c r="B5554" s="4" t="s">
        <v>50</v>
      </c>
      <c r="C5554" s="4" t="s">
        <v>14</v>
      </c>
      <c r="D5554" s="35">
        <v>934</v>
      </c>
      <c r="E5554" s="4" t="s">
        <v>9340</v>
      </c>
      <c r="F5554" s="5">
        <v>39280</v>
      </c>
      <c r="G5554" s="5">
        <v>41639</v>
      </c>
      <c r="H5554" s="4" t="s">
        <v>40</v>
      </c>
      <c r="I5554" s="6">
        <v>100000</v>
      </c>
      <c r="J5554" s="6">
        <v>50000</v>
      </c>
      <c r="K5554" s="37" t="s">
        <v>9243</v>
      </c>
      <c r="L5554" s="119"/>
    </row>
    <row r="5555" spans="1:12" s="4" customFormat="1" ht="14.25" customHeight="1" x14ac:dyDescent="0.25">
      <c r="A5555" s="4" t="s">
        <v>9341</v>
      </c>
      <c r="B5555" s="4" t="s">
        <v>90</v>
      </c>
      <c r="C5555" s="4" t="s">
        <v>14</v>
      </c>
      <c r="D5555" s="35">
        <v>938</v>
      </c>
      <c r="E5555" s="4" t="s">
        <v>9342</v>
      </c>
      <c r="F5555" s="5">
        <v>39196</v>
      </c>
      <c r="G5555" s="5">
        <v>41639</v>
      </c>
      <c r="H5555" s="4" t="s">
        <v>40</v>
      </c>
      <c r="I5555" s="6">
        <v>10200</v>
      </c>
      <c r="J5555" s="6">
        <v>5100</v>
      </c>
      <c r="K5555" s="37" t="s">
        <v>9243</v>
      </c>
      <c r="L5555" s="119"/>
    </row>
    <row r="5556" spans="1:12" s="4" customFormat="1" ht="14.25" customHeight="1" x14ac:dyDescent="0.25">
      <c r="A5556" s="4" t="s">
        <v>9343</v>
      </c>
      <c r="B5556" s="4" t="s">
        <v>90</v>
      </c>
      <c r="C5556" s="4" t="s">
        <v>14</v>
      </c>
      <c r="D5556" s="35">
        <v>939</v>
      </c>
      <c r="E5556" s="4" t="s">
        <v>9344</v>
      </c>
      <c r="F5556" s="5">
        <v>39252</v>
      </c>
      <c r="G5556" s="5">
        <v>41639</v>
      </c>
      <c r="H5556" s="4" t="s">
        <v>40</v>
      </c>
      <c r="I5556" s="6">
        <v>10200</v>
      </c>
      <c r="J5556" s="6">
        <v>5100</v>
      </c>
      <c r="K5556" s="37" t="s">
        <v>9243</v>
      </c>
      <c r="L5556" s="119"/>
    </row>
    <row r="5557" spans="1:12" s="4" customFormat="1" ht="14.25" customHeight="1" x14ac:dyDescent="0.25">
      <c r="A5557" s="4" t="s">
        <v>9345</v>
      </c>
      <c r="B5557" s="4" t="s">
        <v>50</v>
      </c>
      <c r="C5557" s="4" t="s">
        <v>14</v>
      </c>
      <c r="D5557" s="35">
        <v>954</v>
      </c>
      <c r="E5557" s="4" t="s">
        <v>9346</v>
      </c>
      <c r="F5557" s="5">
        <v>39350</v>
      </c>
      <c r="G5557" s="5">
        <v>41639</v>
      </c>
      <c r="H5557" s="4" t="s">
        <v>40</v>
      </c>
      <c r="I5557" s="6">
        <v>18040.96</v>
      </c>
      <c r="J5557" s="6">
        <v>9020.48</v>
      </c>
      <c r="K5557" s="37" t="s">
        <v>9243</v>
      </c>
      <c r="L5557" s="119"/>
    </row>
    <row r="5558" spans="1:12" s="4" customFormat="1" ht="14.25" customHeight="1" x14ac:dyDescent="0.25">
      <c r="A5558" s="4" t="s">
        <v>9347</v>
      </c>
      <c r="B5558" s="4" t="s">
        <v>50</v>
      </c>
      <c r="C5558" s="4" t="s">
        <v>14</v>
      </c>
      <c r="D5558" s="35">
        <v>955</v>
      </c>
      <c r="E5558" s="4" t="s">
        <v>9348</v>
      </c>
      <c r="F5558" s="5">
        <v>39133</v>
      </c>
      <c r="G5558" s="5">
        <v>41639</v>
      </c>
      <c r="H5558" s="4" t="s">
        <v>40</v>
      </c>
      <c r="I5558" s="6">
        <v>96892.19</v>
      </c>
      <c r="J5558" s="6">
        <v>48446.09</v>
      </c>
      <c r="K5558" s="37" t="s">
        <v>9243</v>
      </c>
      <c r="L5558" s="119"/>
    </row>
    <row r="5559" spans="1:12" s="4" customFormat="1" ht="14.25" customHeight="1" x14ac:dyDescent="0.25">
      <c r="A5559" s="4" t="s">
        <v>9351</v>
      </c>
      <c r="B5559" s="4" t="s">
        <v>50</v>
      </c>
      <c r="C5559" s="4" t="s">
        <v>14</v>
      </c>
      <c r="D5559" s="35">
        <v>958</v>
      </c>
      <c r="E5559" s="4" t="s">
        <v>9352</v>
      </c>
      <c r="F5559" s="5">
        <v>39196</v>
      </c>
      <c r="G5559" s="5">
        <v>41639</v>
      </c>
      <c r="H5559" s="4" t="s">
        <v>40</v>
      </c>
      <c r="I5559" s="6">
        <v>70000</v>
      </c>
      <c r="J5559" s="6">
        <v>35000</v>
      </c>
      <c r="K5559" s="37" t="s">
        <v>9243</v>
      </c>
      <c r="L5559" s="119"/>
    </row>
    <row r="5560" spans="1:12" s="4" customFormat="1" ht="14.25" customHeight="1" x14ac:dyDescent="0.25">
      <c r="A5560" s="4" t="s">
        <v>9353</v>
      </c>
      <c r="B5560" s="4" t="s">
        <v>50</v>
      </c>
      <c r="C5560" s="4" t="s">
        <v>14</v>
      </c>
      <c r="D5560" s="35">
        <v>959</v>
      </c>
      <c r="E5560" s="4" t="s">
        <v>9354</v>
      </c>
      <c r="F5560" s="5">
        <v>39350</v>
      </c>
      <c r="G5560" s="5">
        <v>41639</v>
      </c>
      <c r="H5560" s="4" t="s">
        <v>40</v>
      </c>
      <c r="I5560" s="6">
        <v>40000</v>
      </c>
      <c r="J5560" s="6">
        <v>20000</v>
      </c>
      <c r="K5560" s="37" t="s">
        <v>9243</v>
      </c>
      <c r="L5560" s="119"/>
    </row>
    <row r="5561" spans="1:12" s="4" customFormat="1" ht="14.25" customHeight="1" x14ac:dyDescent="0.25">
      <c r="A5561" s="4" t="s">
        <v>9357</v>
      </c>
      <c r="B5561" s="4" t="s">
        <v>50</v>
      </c>
      <c r="C5561" s="4" t="s">
        <v>14</v>
      </c>
      <c r="D5561" s="35">
        <v>973</v>
      </c>
      <c r="E5561" s="4" t="s">
        <v>9358</v>
      </c>
      <c r="F5561" s="5">
        <v>39406</v>
      </c>
      <c r="G5561" s="5">
        <v>41639</v>
      </c>
      <c r="H5561" s="4" t="s">
        <v>40</v>
      </c>
      <c r="I5561" s="6">
        <v>10933.14</v>
      </c>
      <c r="J5561" s="6">
        <v>5466.57</v>
      </c>
      <c r="K5561" s="37" t="s">
        <v>9243</v>
      </c>
      <c r="L5561" s="119"/>
    </row>
    <row r="5562" spans="1:12" s="4" customFormat="1" ht="14.25" customHeight="1" x14ac:dyDescent="0.25">
      <c r="A5562" s="4" t="s">
        <v>9359</v>
      </c>
      <c r="B5562" s="4" t="s">
        <v>59</v>
      </c>
      <c r="C5562" s="4" t="s">
        <v>14</v>
      </c>
      <c r="D5562" s="35">
        <v>977</v>
      </c>
      <c r="E5562" s="4" t="s">
        <v>9360</v>
      </c>
      <c r="F5562" s="5">
        <v>39280</v>
      </c>
      <c r="G5562" s="5">
        <v>41639</v>
      </c>
      <c r="H5562" s="4" t="s">
        <v>40</v>
      </c>
      <c r="I5562" s="6">
        <v>11250</v>
      </c>
      <c r="J5562" s="6">
        <v>11250</v>
      </c>
      <c r="K5562" s="37" t="s">
        <v>9243</v>
      </c>
      <c r="L5562" s="119"/>
    </row>
    <row r="5563" spans="1:12" s="4" customFormat="1" ht="14.25" customHeight="1" x14ac:dyDescent="0.25">
      <c r="A5563" s="4" t="s">
        <v>9361</v>
      </c>
      <c r="B5563" s="4" t="s">
        <v>50</v>
      </c>
      <c r="C5563" s="4" t="s">
        <v>14</v>
      </c>
      <c r="D5563" s="35">
        <v>981</v>
      </c>
      <c r="E5563" s="4" t="s">
        <v>9362</v>
      </c>
      <c r="F5563" s="5">
        <v>39469</v>
      </c>
      <c r="G5563" s="5">
        <v>41639</v>
      </c>
      <c r="H5563" s="4" t="s">
        <v>40</v>
      </c>
      <c r="I5563" s="6">
        <v>6500</v>
      </c>
      <c r="J5563" s="6">
        <v>3250</v>
      </c>
      <c r="K5563" s="37" t="s">
        <v>9243</v>
      </c>
      <c r="L5563" s="119"/>
    </row>
    <row r="5564" spans="1:12" s="4" customFormat="1" ht="14.25" customHeight="1" x14ac:dyDescent="0.25">
      <c r="A5564" s="4" t="s">
        <v>9363</v>
      </c>
      <c r="B5564" s="4" t="s">
        <v>50</v>
      </c>
      <c r="C5564" s="4" t="s">
        <v>14</v>
      </c>
      <c r="D5564" s="35">
        <v>987</v>
      </c>
      <c r="E5564" s="4" t="s">
        <v>9364</v>
      </c>
      <c r="F5564" s="5">
        <v>39406</v>
      </c>
      <c r="G5564" s="5">
        <v>41639</v>
      </c>
      <c r="H5564" s="4" t="s">
        <v>40</v>
      </c>
      <c r="I5564" s="6">
        <v>22500</v>
      </c>
      <c r="J5564" s="6">
        <v>11250</v>
      </c>
      <c r="K5564" s="37" t="s">
        <v>9243</v>
      </c>
      <c r="L5564" s="119"/>
    </row>
    <row r="5565" spans="1:12" s="4" customFormat="1" ht="14.25" customHeight="1" x14ac:dyDescent="0.25">
      <c r="A5565" s="4" t="s">
        <v>9365</v>
      </c>
      <c r="B5565" s="4" t="s">
        <v>59</v>
      </c>
      <c r="C5565" s="4" t="s">
        <v>14</v>
      </c>
      <c r="D5565" s="35">
        <v>1008</v>
      </c>
      <c r="E5565" s="4" t="s">
        <v>9366</v>
      </c>
      <c r="F5565" s="5">
        <v>39497</v>
      </c>
      <c r="G5565" s="5">
        <v>41639</v>
      </c>
      <c r="H5565" s="4" t="s">
        <v>40</v>
      </c>
      <c r="I5565" s="6">
        <v>30000</v>
      </c>
      <c r="J5565" s="6">
        <v>30000</v>
      </c>
      <c r="K5565" s="37" t="s">
        <v>9243</v>
      </c>
      <c r="L5565" s="119"/>
    </row>
    <row r="5566" spans="1:12" s="4" customFormat="1" ht="14.25" customHeight="1" x14ac:dyDescent="0.25">
      <c r="A5566" s="4" t="s">
        <v>9367</v>
      </c>
      <c r="B5566" s="4" t="s">
        <v>90</v>
      </c>
      <c r="C5566" s="4" t="s">
        <v>14</v>
      </c>
      <c r="D5566" s="35">
        <v>1009</v>
      </c>
      <c r="E5566" s="4" t="s">
        <v>9368</v>
      </c>
      <c r="F5566" s="5">
        <v>39469</v>
      </c>
      <c r="G5566" s="5">
        <v>41639</v>
      </c>
      <c r="H5566" s="4" t="s">
        <v>40</v>
      </c>
      <c r="I5566" s="6">
        <v>10200</v>
      </c>
      <c r="J5566" s="6">
        <v>5100</v>
      </c>
      <c r="K5566" s="37" t="s">
        <v>9243</v>
      </c>
      <c r="L5566" s="119"/>
    </row>
    <row r="5567" spans="1:12" s="4" customFormat="1" ht="14.25" customHeight="1" x14ac:dyDescent="0.25">
      <c r="A5567" s="4" t="s">
        <v>9369</v>
      </c>
      <c r="B5567" s="4" t="s">
        <v>50</v>
      </c>
      <c r="C5567" s="4" t="s">
        <v>14</v>
      </c>
      <c r="D5567" s="35">
        <v>1010</v>
      </c>
      <c r="E5567" s="4" t="s">
        <v>9370</v>
      </c>
      <c r="F5567" s="5">
        <v>39196</v>
      </c>
      <c r="G5567" s="5">
        <v>41639</v>
      </c>
      <c r="H5567" s="4" t="s">
        <v>40</v>
      </c>
      <c r="I5567" s="6">
        <v>60540</v>
      </c>
      <c r="J5567" s="6">
        <v>30270</v>
      </c>
      <c r="K5567" s="37" t="s">
        <v>9243</v>
      </c>
      <c r="L5567" s="119"/>
    </row>
    <row r="5568" spans="1:12" s="4" customFormat="1" ht="14.25" customHeight="1" x14ac:dyDescent="0.25">
      <c r="A5568" s="4" t="s">
        <v>9373</v>
      </c>
      <c r="B5568" s="4" t="s">
        <v>50</v>
      </c>
      <c r="C5568" s="4" t="s">
        <v>14</v>
      </c>
      <c r="D5568" s="35">
        <v>1012</v>
      </c>
      <c r="E5568" s="4" t="s">
        <v>9374</v>
      </c>
      <c r="F5568" s="5">
        <v>39588</v>
      </c>
      <c r="G5568" s="5">
        <v>41639</v>
      </c>
      <c r="H5568" s="4" t="s">
        <v>40</v>
      </c>
      <c r="I5568" s="6">
        <v>30000</v>
      </c>
      <c r="J5568" s="6">
        <v>15000</v>
      </c>
      <c r="K5568" s="37" t="s">
        <v>9243</v>
      </c>
      <c r="L5568" s="119"/>
    </row>
    <row r="5569" spans="1:12" s="4" customFormat="1" ht="14.25" customHeight="1" x14ac:dyDescent="0.25">
      <c r="A5569" s="4" t="s">
        <v>9377</v>
      </c>
      <c r="B5569" s="4" t="s">
        <v>50</v>
      </c>
      <c r="C5569" s="4" t="s">
        <v>14</v>
      </c>
      <c r="D5569" s="35">
        <v>1014</v>
      </c>
      <c r="E5569" s="4" t="s">
        <v>9378</v>
      </c>
      <c r="F5569" s="5">
        <v>39553</v>
      </c>
      <c r="G5569" s="5">
        <v>41639</v>
      </c>
      <c r="H5569" s="4" t="s">
        <v>40</v>
      </c>
      <c r="I5569" s="6">
        <v>30000</v>
      </c>
      <c r="J5569" s="6">
        <v>15000</v>
      </c>
      <c r="K5569" s="37" t="s">
        <v>9243</v>
      </c>
      <c r="L5569" s="119"/>
    </row>
    <row r="5570" spans="1:12" s="4" customFormat="1" ht="14.25" customHeight="1" x14ac:dyDescent="0.25">
      <c r="A5570" s="4" t="s">
        <v>9379</v>
      </c>
      <c r="B5570" s="4" t="s">
        <v>90</v>
      </c>
      <c r="C5570" s="4" t="s">
        <v>14</v>
      </c>
      <c r="D5570" s="35">
        <v>1015</v>
      </c>
      <c r="E5570" s="4" t="s">
        <v>9380</v>
      </c>
      <c r="F5570" s="5">
        <v>39497</v>
      </c>
      <c r="G5570" s="5">
        <v>41639</v>
      </c>
      <c r="H5570" s="4" t="s">
        <v>40</v>
      </c>
      <c r="I5570" s="6">
        <v>4501.3999999999996</v>
      </c>
      <c r="J5570" s="6">
        <v>2250.6999999999998</v>
      </c>
      <c r="K5570" s="37" t="s">
        <v>9243</v>
      </c>
      <c r="L5570" s="119"/>
    </row>
    <row r="5571" spans="1:12" s="4" customFormat="1" ht="14.25" customHeight="1" x14ac:dyDescent="0.25">
      <c r="A5571" s="4" t="s">
        <v>9381</v>
      </c>
      <c r="B5571" s="4" t="s">
        <v>59</v>
      </c>
      <c r="C5571" s="4" t="s">
        <v>14</v>
      </c>
      <c r="D5571" s="35">
        <v>1016</v>
      </c>
      <c r="E5571" s="4" t="s">
        <v>9382</v>
      </c>
      <c r="F5571" s="5">
        <v>39588</v>
      </c>
      <c r="G5571" s="5">
        <v>41639</v>
      </c>
      <c r="H5571" s="4" t="s">
        <v>40</v>
      </c>
      <c r="I5571" s="6">
        <v>7500</v>
      </c>
      <c r="J5571" s="6">
        <v>7500</v>
      </c>
      <c r="K5571" s="37" t="s">
        <v>9243</v>
      </c>
      <c r="L5571" s="119"/>
    </row>
    <row r="5572" spans="1:12" s="4" customFormat="1" ht="14.25" customHeight="1" x14ac:dyDescent="0.25">
      <c r="A5572" s="4" t="s">
        <v>9383</v>
      </c>
      <c r="B5572" s="4" t="s">
        <v>50</v>
      </c>
      <c r="C5572" s="4" t="s">
        <v>14</v>
      </c>
      <c r="D5572" s="35">
        <v>1017</v>
      </c>
      <c r="E5572" s="4" t="s">
        <v>9384</v>
      </c>
      <c r="F5572" s="5">
        <v>39588</v>
      </c>
      <c r="G5572" s="5">
        <v>41639</v>
      </c>
      <c r="H5572" s="4" t="s">
        <v>40</v>
      </c>
      <c r="I5572" s="6">
        <v>70000</v>
      </c>
      <c r="J5572" s="6">
        <v>35000</v>
      </c>
      <c r="K5572" s="37" t="s">
        <v>9243</v>
      </c>
      <c r="L5572" s="119"/>
    </row>
    <row r="5573" spans="1:12" s="4" customFormat="1" ht="14.25" customHeight="1" x14ac:dyDescent="0.25">
      <c r="A5573" s="4" t="s">
        <v>9385</v>
      </c>
      <c r="B5573" s="4" t="s">
        <v>50</v>
      </c>
      <c r="C5573" s="4" t="s">
        <v>14</v>
      </c>
      <c r="D5573" s="35">
        <v>1062</v>
      </c>
      <c r="E5573" s="4" t="s">
        <v>9386</v>
      </c>
      <c r="F5573" s="5">
        <v>39588</v>
      </c>
      <c r="G5573" s="5">
        <v>41639</v>
      </c>
      <c r="H5573" s="4" t="s">
        <v>40</v>
      </c>
      <c r="I5573" s="6">
        <v>6065</v>
      </c>
      <c r="J5573" s="6">
        <v>3032.5</v>
      </c>
      <c r="K5573" s="37" t="s">
        <v>9243</v>
      </c>
      <c r="L5573" s="119"/>
    </row>
    <row r="5574" spans="1:12" s="4" customFormat="1" ht="14.25" customHeight="1" x14ac:dyDescent="0.25">
      <c r="A5574" s="4" t="s">
        <v>9387</v>
      </c>
      <c r="B5574" s="4" t="s">
        <v>38</v>
      </c>
      <c r="C5574" s="4" t="s">
        <v>14</v>
      </c>
      <c r="D5574" s="35">
        <v>1124</v>
      </c>
      <c r="E5574" s="4" t="s">
        <v>9388</v>
      </c>
      <c r="F5574" s="5">
        <v>39174</v>
      </c>
      <c r="G5574" s="5">
        <v>41639</v>
      </c>
      <c r="H5574" s="4" t="s">
        <v>40</v>
      </c>
      <c r="I5574" s="6">
        <v>309.8</v>
      </c>
      <c r="J5574" s="6">
        <v>309.8</v>
      </c>
      <c r="K5574" s="37" t="s">
        <v>9243</v>
      </c>
      <c r="L5574" s="119"/>
    </row>
    <row r="5575" spans="1:12" s="4" customFormat="1" ht="14.25" customHeight="1" x14ac:dyDescent="0.25">
      <c r="A5575" s="4" t="s">
        <v>9389</v>
      </c>
      <c r="B5575" s="4" t="s">
        <v>38</v>
      </c>
      <c r="C5575" s="4" t="s">
        <v>14</v>
      </c>
      <c r="D5575" s="35">
        <v>1127</v>
      </c>
      <c r="E5575" s="4" t="s">
        <v>9390</v>
      </c>
      <c r="F5575" s="5">
        <v>39174</v>
      </c>
      <c r="G5575" s="5">
        <v>41639</v>
      </c>
      <c r="H5575" s="4" t="s">
        <v>40</v>
      </c>
      <c r="I5575" s="6">
        <v>1005.15</v>
      </c>
      <c r="J5575" s="6">
        <v>1005.15</v>
      </c>
      <c r="K5575" s="37" t="s">
        <v>9243</v>
      </c>
      <c r="L5575" s="119"/>
    </row>
    <row r="5576" spans="1:12" s="4" customFormat="1" ht="14.25" customHeight="1" x14ac:dyDescent="0.25">
      <c r="A5576" s="4" t="s">
        <v>9391</v>
      </c>
      <c r="B5576" s="4" t="s">
        <v>38</v>
      </c>
      <c r="C5576" s="4" t="s">
        <v>14</v>
      </c>
      <c r="D5576" s="35">
        <v>1128</v>
      </c>
      <c r="E5576" s="4" t="s">
        <v>9392</v>
      </c>
      <c r="F5576" s="5">
        <v>39097</v>
      </c>
      <c r="G5576" s="5">
        <v>41639</v>
      </c>
      <c r="H5576" s="4" t="s">
        <v>40</v>
      </c>
      <c r="I5576" s="6">
        <v>161870.01</v>
      </c>
      <c r="J5576" s="6">
        <v>161870.01</v>
      </c>
      <c r="K5576" s="37" t="s">
        <v>9243</v>
      </c>
      <c r="L5576" s="119"/>
    </row>
    <row r="5577" spans="1:12" s="4" customFormat="1" ht="14.25" customHeight="1" x14ac:dyDescent="0.25">
      <c r="A5577" s="4" t="s">
        <v>9393</v>
      </c>
      <c r="B5577" s="4" t="s">
        <v>38</v>
      </c>
      <c r="C5577" s="4" t="s">
        <v>14</v>
      </c>
      <c r="D5577" s="35">
        <v>1129</v>
      </c>
      <c r="E5577" s="4" t="s">
        <v>9394</v>
      </c>
      <c r="F5577" s="5">
        <v>39394</v>
      </c>
      <c r="G5577" s="5">
        <v>41639</v>
      </c>
      <c r="H5577" s="4" t="s">
        <v>40</v>
      </c>
      <c r="I5577" s="6">
        <v>1568.2</v>
      </c>
      <c r="J5577" s="6">
        <v>1568.2</v>
      </c>
      <c r="K5577" s="37" t="s">
        <v>9243</v>
      </c>
      <c r="L5577" s="119"/>
    </row>
    <row r="5578" spans="1:12" s="4" customFormat="1" ht="14.25" customHeight="1" x14ac:dyDescent="0.25">
      <c r="A5578" s="4" t="s">
        <v>9395</v>
      </c>
      <c r="B5578" s="4" t="s">
        <v>38</v>
      </c>
      <c r="C5578" s="4" t="s">
        <v>14</v>
      </c>
      <c r="D5578" s="35">
        <v>1130</v>
      </c>
      <c r="E5578" s="4" t="s">
        <v>9396</v>
      </c>
      <c r="F5578" s="5">
        <v>39174</v>
      </c>
      <c r="G5578" s="5">
        <v>41639</v>
      </c>
      <c r="H5578" s="4" t="s">
        <v>40</v>
      </c>
      <c r="I5578" s="6">
        <v>744.45</v>
      </c>
      <c r="J5578" s="6">
        <v>744.45</v>
      </c>
      <c r="K5578" s="37" t="s">
        <v>9243</v>
      </c>
      <c r="L5578" s="119"/>
    </row>
    <row r="5579" spans="1:12" s="4" customFormat="1" ht="14.25" customHeight="1" x14ac:dyDescent="0.25">
      <c r="A5579" s="4" t="s">
        <v>9397</v>
      </c>
      <c r="B5579" s="4" t="s">
        <v>38</v>
      </c>
      <c r="C5579" s="4" t="s">
        <v>14</v>
      </c>
      <c r="D5579" s="35">
        <v>1131</v>
      </c>
      <c r="E5579" s="4" t="s">
        <v>9398</v>
      </c>
      <c r="F5579" s="5">
        <v>39283</v>
      </c>
      <c r="G5579" s="5">
        <v>41639</v>
      </c>
      <c r="H5579" s="4" t="s">
        <v>40</v>
      </c>
      <c r="I5579" s="6">
        <v>27591.5</v>
      </c>
      <c r="J5579" s="6">
        <v>27591.5</v>
      </c>
      <c r="K5579" s="37" t="s">
        <v>9243</v>
      </c>
      <c r="L5579" s="119"/>
    </row>
    <row r="5580" spans="1:12" s="4" customFormat="1" ht="14.25" customHeight="1" x14ac:dyDescent="0.25">
      <c r="A5580" s="4" t="s">
        <v>9399</v>
      </c>
      <c r="B5580" s="4" t="s">
        <v>38</v>
      </c>
      <c r="C5580" s="4" t="s">
        <v>14</v>
      </c>
      <c r="D5580" s="35">
        <v>1132</v>
      </c>
      <c r="E5580" s="4" t="s">
        <v>9400</v>
      </c>
      <c r="F5580" s="5">
        <v>39433</v>
      </c>
      <c r="G5580" s="5">
        <v>41639</v>
      </c>
      <c r="H5580" s="4" t="s">
        <v>40</v>
      </c>
      <c r="I5580" s="6">
        <v>2988.57</v>
      </c>
      <c r="J5580" s="6">
        <f>2157.97+830.6</f>
        <v>2988.5699999999997</v>
      </c>
      <c r="K5580" s="37" t="s">
        <v>9243</v>
      </c>
      <c r="L5580" s="119"/>
    </row>
    <row r="5581" spans="1:12" s="4" customFormat="1" ht="14.25" customHeight="1" x14ac:dyDescent="0.25">
      <c r="A5581" s="4" t="s">
        <v>2372</v>
      </c>
      <c r="B5581" s="4" t="s">
        <v>38</v>
      </c>
      <c r="C5581" s="4" t="s">
        <v>14</v>
      </c>
      <c r="D5581" s="35">
        <v>1133</v>
      </c>
      <c r="E5581" s="4" t="s">
        <v>9401</v>
      </c>
      <c r="F5581" s="5">
        <v>39552</v>
      </c>
      <c r="G5581" s="5">
        <v>41639</v>
      </c>
      <c r="H5581" s="4" t="s">
        <v>40</v>
      </c>
      <c r="I5581" s="6">
        <v>14177.49</v>
      </c>
      <c r="J5581" s="6">
        <v>14177.49</v>
      </c>
      <c r="K5581" s="37" t="s">
        <v>9243</v>
      </c>
      <c r="L5581" s="119"/>
    </row>
    <row r="5582" spans="1:12" s="4" customFormat="1" ht="14.25" customHeight="1" x14ac:dyDescent="0.25">
      <c r="A5582" s="4" t="s">
        <v>9402</v>
      </c>
      <c r="B5582" s="4" t="s">
        <v>38</v>
      </c>
      <c r="C5582" s="4" t="s">
        <v>14</v>
      </c>
      <c r="D5582" s="35">
        <v>1134</v>
      </c>
      <c r="E5582" s="4" t="s">
        <v>9402</v>
      </c>
      <c r="F5582" s="5">
        <v>39616</v>
      </c>
      <c r="G5582" s="5">
        <v>39813</v>
      </c>
      <c r="H5582" s="4" t="s">
        <v>40</v>
      </c>
      <c r="I5582" s="6">
        <v>1675</v>
      </c>
      <c r="J5582" s="6">
        <v>1675</v>
      </c>
      <c r="K5582" s="37" t="s">
        <v>9243</v>
      </c>
      <c r="L5582" s="119"/>
    </row>
    <row r="5583" spans="1:12" s="4" customFormat="1" ht="14.25" customHeight="1" x14ac:dyDescent="0.25">
      <c r="A5583" s="4" t="s">
        <v>9403</v>
      </c>
      <c r="B5583" s="4" t="s">
        <v>38</v>
      </c>
      <c r="C5583" s="4" t="s">
        <v>14</v>
      </c>
      <c r="D5583" s="35">
        <v>1136</v>
      </c>
      <c r="E5583" s="4" t="s">
        <v>9404</v>
      </c>
      <c r="F5583" s="5">
        <v>39591</v>
      </c>
      <c r="G5583" s="5">
        <v>41639</v>
      </c>
      <c r="H5583" s="4" t="s">
        <v>40</v>
      </c>
      <c r="I5583" s="6">
        <v>2757.1</v>
      </c>
      <c r="J5583" s="6">
        <v>2757.1</v>
      </c>
      <c r="K5583" s="37" t="s">
        <v>9243</v>
      </c>
      <c r="L5583" s="119"/>
    </row>
    <row r="5584" spans="1:12" s="4" customFormat="1" ht="14.25" customHeight="1" x14ac:dyDescent="0.25">
      <c r="A5584" s="4" t="s">
        <v>9405</v>
      </c>
      <c r="B5584" s="4" t="s">
        <v>38</v>
      </c>
      <c r="C5584" s="4" t="s">
        <v>14</v>
      </c>
      <c r="D5584" s="35">
        <v>1137</v>
      </c>
      <c r="E5584" s="4" t="s">
        <v>9406</v>
      </c>
      <c r="F5584" s="5">
        <v>39416</v>
      </c>
      <c r="G5584" s="5">
        <v>41639</v>
      </c>
      <c r="H5584" s="4" t="s">
        <v>40</v>
      </c>
      <c r="I5584" s="6">
        <v>1008.5</v>
      </c>
      <c r="J5584" s="6">
        <v>1008.5</v>
      </c>
      <c r="K5584" s="37" t="s">
        <v>9243</v>
      </c>
      <c r="L5584" s="119"/>
    </row>
    <row r="5585" spans="1:12" s="4" customFormat="1" ht="14.25" customHeight="1" x14ac:dyDescent="0.25">
      <c r="A5585" s="4" t="s">
        <v>9407</v>
      </c>
      <c r="B5585" s="4" t="s">
        <v>38</v>
      </c>
      <c r="C5585" s="4" t="s">
        <v>14</v>
      </c>
      <c r="D5585" s="35">
        <v>1138</v>
      </c>
      <c r="E5585" s="4" t="s">
        <v>9408</v>
      </c>
      <c r="F5585" s="5">
        <v>39247</v>
      </c>
      <c r="G5585" s="5">
        <v>41639</v>
      </c>
      <c r="H5585" s="4" t="s">
        <v>40</v>
      </c>
      <c r="I5585" s="6">
        <v>1675</v>
      </c>
      <c r="J5585" s="6">
        <v>1675</v>
      </c>
      <c r="K5585" s="37" t="s">
        <v>9243</v>
      </c>
      <c r="L5585" s="119"/>
    </row>
    <row r="5586" spans="1:12" s="4" customFormat="1" ht="14.25" customHeight="1" x14ac:dyDescent="0.25">
      <c r="A5586" s="4" t="s">
        <v>9409</v>
      </c>
      <c r="B5586" s="4" t="s">
        <v>38</v>
      </c>
      <c r="C5586" s="4" t="s">
        <v>14</v>
      </c>
      <c r="D5586" s="35">
        <v>1141</v>
      </c>
      <c r="E5586" s="4" t="s">
        <v>9410</v>
      </c>
      <c r="F5586" s="5">
        <v>39120</v>
      </c>
      <c r="G5586" s="5">
        <v>41639</v>
      </c>
      <c r="H5586" s="4" t="s">
        <v>40</v>
      </c>
      <c r="I5586" s="6">
        <v>0</v>
      </c>
      <c r="J5586" s="6">
        <v>0</v>
      </c>
      <c r="K5586" s="37" t="s">
        <v>9243</v>
      </c>
      <c r="L5586" s="119"/>
    </row>
    <row r="5587" spans="1:12" s="4" customFormat="1" ht="14.25" customHeight="1" x14ac:dyDescent="0.25">
      <c r="A5587" s="4" t="s">
        <v>9411</v>
      </c>
      <c r="B5587" s="4" t="s">
        <v>38</v>
      </c>
      <c r="C5587" s="4" t="s">
        <v>14</v>
      </c>
      <c r="D5587" s="35">
        <v>1142</v>
      </c>
      <c r="E5587" s="4" t="s">
        <v>2285</v>
      </c>
      <c r="F5587" s="5">
        <v>39097</v>
      </c>
      <c r="G5587" s="5">
        <v>41639</v>
      </c>
      <c r="H5587" s="4" t="s">
        <v>40</v>
      </c>
      <c r="I5587" s="6">
        <f>228000.86+94764.9+61861.8+69940.9</f>
        <v>454568.45999999996</v>
      </c>
      <c r="J5587" s="6">
        <f>359803.56+94764.9</f>
        <v>454568.45999999996</v>
      </c>
      <c r="K5587" s="37" t="s">
        <v>9243</v>
      </c>
      <c r="L5587" s="119"/>
    </row>
    <row r="5588" spans="1:12" s="4" customFormat="1" ht="14.25" customHeight="1" x14ac:dyDescent="0.25">
      <c r="A5588" s="4" t="s">
        <v>9412</v>
      </c>
      <c r="B5588" s="4" t="s">
        <v>38</v>
      </c>
      <c r="C5588" s="4" t="s">
        <v>14</v>
      </c>
      <c r="D5588" s="35">
        <v>1146</v>
      </c>
      <c r="E5588" s="4" t="s">
        <v>9413</v>
      </c>
      <c r="F5588" s="5">
        <v>39097</v>
      </c>
      <c r="G5588" s="5">
        <v>41639</v>
      </c>
      <c r="H5588" s="4" t="s">
        <v>40</v>
      </c>
      <c r="I5588" s="6">
        <v>167479.28</v>
      </c>
      <c r="J5588" s="6">
        <f>159767.29+7711.99</f>
        <v>167479.28</v>
      </c>
      <c r="K5588" s="37" t="s">
        <v>9243</v>
      </c>
      <c r="L5588" s="119"/>
    </row>
    <row r="5589" spans="1:12" s="4" customFormat="1" ht="14.25" customHeight="1" x14ac:dyDescent="0.25">
      <c r="A5589" s="4" t="s">
        <v>9414</v>
      </c>
      <c r="B5589" s="4" t="s">
        <v>38</v>
      </c>
      <c r="C5589" s="4" t="s">
        <v>14</v>
      </c>
      <c r="D5589" s="35">
        <v>1147</v>
      </c>
      <c r="E5589" s="7" t="s">
        <v>9415</v>
      </c>
      <c r="F5589" s="5">
        <v>39174</v>
      </c>
      <c r="G5589" s="5">
        <v>41639</v>
      </c>
      <c r="H5589" s="4" t="s">
        <v>40</v>
      </c>
      <c r="I5589" s="6">
        <v>33568.93</v>
      </c>
      <c r="J5589" s="6">
        <v>33568.93</v>
      </c>
      <c r="K5589" s="37" t="s">
        <v>9243</v>
      </c>
      <c r="L5589" s="119"/>
    </row>
    <row r="5590" spans="1:12" s="4" customFormat="1" ht="14.25" customHeight="1" x14ac:dyDescent="0.25">
      <c r="A5590" s="4" t="s">
        <v>9416</v>
      </c>
      <c r="B5590" s="4" t="s">
        <v>38</v>
      </c>
      <c r="C5590" s="4" t="s">
        <v>14</v>
      </c>
      <c r="D5590" s="35">
        <v>1150</v>
      </c>
      <c r="E5590" s="4" t="s">
        <v>9417</v>
      </c>
      <c r="F5590" s="5">
        <v>39433</v>
      </c>
      <c r="G5590" s="5">
        <v>41639</v>
      </c>
      <c r="H5590" s="4" t="s">
        <v>40</v>
      </c>
      <c r="I5590" s="6">
        <v>1242.47</v>
      </c>
      <c r="J5590" s="6">
        <v>1242.47</v>
      </c>
      <c r="K5590" s="37" t="s">
        <v>9243</v>
      </c>
      <c r="L5590" s="119"/>
    </row>
    <row r="5591" spans="1:12" s="4" customFormat="1" ht="14.25" customHeight="1" x14ac:dyDescent="0.25">
      <c r="A5591" s="4" t="s">
        <v>6335</v>
      </c>
      <c r="B5591" s="4" t="s">
        <v>38</v>
      </c>
      <c r="C5591" s="4" t="s">
        <v>14</v>
      </c>
      <c r="D5591" s="35">
        <v>1153</v>
      </c>
      <c r="E5591" s="4" t="s">
        <v>9418</v>
      </c>
      <c r="F5591" s="5">
        <v>39519</v>
      </c>
      <c r="G5591" s="5">
        <v>41639</v>
      </c>
      <c r="H5591" s="4" t="s">
        <v>40</v>
      </c>
      <c r="I5591" s="6">
        <v>812.05</v>
      </c>
      <c r="J5591" s="6">
        <f>242.05+570</f>
        <v>812.05</v>
      </c>
      <c r="K5591" s="37" t="s">
        <v>9243</v>
      </c>
      <c r="L5591" s="119"/>
    </row>
    <row r="5592" spans="1:12" s="4" customFormat="1" ht="14.25" customHeight="1" x14ac:dyDescent="0.25">
      <c r="A5592" s="4" t="s">
        <v>3262</v>
      </c>
      <c r="B5592" s="4" t="s">
        <v>38</v>
      </c>
      <c r="C5592" s="4" t="s">
        <v>14</v>
      </c>
      <c r="D5592" s="35">
        <v>1154</v>
      </c>
      <c r="E5592" s="4" t="s">
        <v>9419</v>
      </c>
      <c r="F5592" s="5">
        <v>39097</v>
      </c>
      <c r="G5592" s="5">
        <v>41639</v>
      </c>
      <c r="H5592" s="4" t="s">
        <v>40</v>
      </c>
      <c r="I5592" s="6">
        <v>8117.95</v>
      </c>
      <c r="J5592" s="6">
        <v>8117.95</v>
      </c>
      <c r="K5592" s="37" t="s">
        <v>9243</v>
      </c>
      <c r="L5592" s="119"/>
    </row>
    <row r="5593" spans="1:12" s="4" customFormat="1" ht="14.25" customHeight="1" x14ac:dyDescent="0.25">
      <c r="A5593" s="4" t="s">
        <v>9420</v>
      </c>
      <c r="B5593" s="4" t="s">
        <v>38</v>
      </c>
      <c r="C5593" s="4" t="s">
        <v>14</v>
      </c>
      <c r="D5593" s="35">
        <v>1157</v>
      </c>
      <c r="E5593" s="4" t="s">
        <v>9421</v>
      </c>
      <c r="F5593" s="5">
        <v>39217</v>
      </c>
      <c r="G5593" s="5">
        <v>41639</v>
      </c>
      <c r="H5593" s="4" t="s">
        <v>40</v>
      </c>
      <c r="I5593" s="6">
        <v>7682.4</v>
      </c>
      <c r="J5593" s="6">
        <v>7682.4</v>
      </c>
      <c r="K5593" s="37" t="s">
        <v>9243</v>
      </c>
      <c r="L5593" s="119"/>
    </row>
    <row r="5594" spans="1:12" s="4" customFormat="1" ht="14.25" customHeight="1" x14ac:dyDescent="0.25">
      <c r="A5594" s="4" t="s">
        <v>9422</v>
      </c>
      <c r="B5594" s="4" t="s">
        <v>38</v>
      </c>
      <c r="C5594" s="4" t="s">
        <v>14</v>
      </c>
      <c r="D5594" s="35">
        <v>1159</v>
      </c>
      <c r="E5594" s="4" t="s">
        <v>9423</v>
      </c>
      <c r="F5594" s="5">
        <v>39283</v>
      </c>
      <c r="G5594" s="5">
        <v>41639</v>
      </c>
      <c r="H5594" s="4" t="s">
        <v>40</v>
      </c>
      <c r="I5594" s="6">
        <v>184845.11</v>
      </c>
      <c r="J5594" s="6">
        <f>163845.11+21000</f>
        <v>184845.11</v>
      </c>
      <c r="K5594" s="37" t="s">
        <v>9243</v>
      </c>
      <c r="L5594" s="119"/>
    </row>
    <row r="5595" spans="1:12" s="4" customFormat="1" ht="14.25" customHeight="1" x14ac:dyDescent="0.25">
      <c r="A5595" s="4" t="s">
        <v>9424</v>
      </c>
      <c r="B5595" s="4" t="s">
        <v>38</v>
      </c>
      <c r="C5595" s="4" t="s">
        <v>14</v>
      </c>
      <c r="D5595" s="35">
        <v>1161</v>
      </c>
      <c r="E5595" s="7" t="s">
        <v>9425</v>
      </c>
      <c r="F5595" s="5">
        <v>39174</v>
      </c>
      <c r="G5595" s="5">
        <v>41639</v>
      </c>
      <c r="H5595" s="4" t="s">
        <v>40</v>
      </c>
      <c r="I5595" s="6">
        <v>17509</v>
      </c>
      <c r="J5595" s="6">
        <v>17509</v>
      </c>
      <c r="K5595" s="37" t="s">
        <v>9243</v>
      </c>
      <c r="L5595" s="119"/>
    </row>
    <row r="5596" spans="1:12" s="4" customFormat="1" ht="14.25" customHeight="1" x14ac:dyDescent="0.25">
      <c r="A5596" s="4" t="s">
        <v>9426</v>
      </c>
      <c r="B5596" s="4" t="s">
        <v>38</v>
      </c>
      <c r="C5596" s="4" t="s">
        <v>14</v>
      </c>
      <c r="D5596" s="35">
        <v>1162</v>
      </c>
      <c r="E5596" s="4" t="s">
        <v>9427</v>
      </c>
      <c r="F5596" s="5">
        <v>39097</v>
      </c>
      <c r="G5596" s="5">
        <v>41639</v>
      </c>
      <c r="H5596" s="4" t="s">
        <v>40</v>
      </c>
      <c r="I5596" s="6">
        <v>23453.66</v>
      </c>
      <c r="J5596" s="6">
        <f>20528.52+2925.14</f>
        <v>23453.66</v>
      </c>
      <c r="K5596" s="37" t="s">
        <v>9243</v>
      </c>
      <c r="L5596" s="119"/>
    </row>
    <row r="5597" spans="1:12" s="4" customFormat="1" ht="14.25" customHeight="1" x14ac:dyDescent="0.25">
      <c r="A5597" s="4" t="s">
        <v>9428</v>
      </c>
      <c r="B5597" s="4" t="s">
        <v>38</v>
      </c>
      <c r="C5597" s="4" t="s">
        <v>14</v>
      </c>
      <c r="D5597" s="35">
        <v>1163</v>
      </c>
      <c r="E5597" s="7" t="s">
        <v>9429</v>
      </c>
      <c r="F5597" s="5">
        <v>39433</v>
      </c>
      <c r="G5597" s="5">
        <v>41639</v>
      </c>
      <c r="H5597" s="4" t="s">
        <v>40</v>
      </c>
      <c r="I5597" s="6">
        <v>2275.86</v>
      </c>
      <c r="J5597" s="6">
        <v>2275.86</v>
      </c>
      <c r="K5597" s="37" t="s">
        <v>9243</v>
      </c>
      <c r="L5597" s="119"/>
    </row>
    <row r="5598" spans="1:12" s="4" customFormat="1" ht="14.25" customHeight="1" x14ac:dyDescent="0.25">
      <c r="A5598" s="4" t="s">
        <v>9430</v>
      </c>
      <c r="B5598" s="4" t="s">
        <v>38</v>
      </c>
      <c r="C5598" s="4" t="s">
        <v>14</v>
      </c>
      <c r="D5598" s="35">
        <v>1164</v>
      </c>
      <c r="E5598" s="4" t="s">
        <v>9431</v>
      </c>
      <c r="F5598" s="5">
        <v>39120</v>
      </c>
      <c r="G5598" s="5">
        <v>41639</v>
      </c>
      <c r="H5598" s="4" t="s">
        <v>40</v>
      </c>
      <c r="I5598" s="6">
        <v>1463</v>
      </c>
      <c r="J5598" s="6">
        <v>1463</v>
      </c>
      <c r="K5598" s="37" t="s">
        <v>9243</v>
      </c>
      <c r="L5598" s="119"/>
    </row>
    <row r="5599" spans="1:12" s="4" customFormat="1" ht="14.25" customHeight="1" x14ac:dyDescent="0.25">
      <c r="A5599" s="4" t="s">
        <v>9432</v>
      </c>
      <c r="B5599" s="4" t="s">
        <v>38</v>
      </c>
      <c r="C5599" s="4" t="s">
        <v>14</v>
      </c>
      <c r="D5599" s="35">
        <v>1165</v>
      </c>
      <c r="E5599" s="4" t="s">
        <v>9433</v>
      </c>
      <c r="F5599" s="5">
        <v>39097</v>
      </c>
      <c r="G5599" s="5">
        <v>41639</v>
      </c>
      <c r="H5599" s="4" t="s">
        <v>40</v>
      </c>
      <c r="I5599" s="6">
        <f>224060.57+49450.79+34321.07+48005.75</f>
        <v>355838.18</v>
      </c>
      <c r="J5599" s="6">
        <f>321517.11+34321.07</f>
        <v>355838.18</v>
      </c>
      <c r="K5599" s="37" t="s">
        <v>9243</v>
      </c>
      <c r="L5599" s="119"/>
    </row>
    <row r="5600" spans="1:12" s="4" customFormat="1" ht="14.25" customHeight="1" x14ac:dyDescent="0.25">
      <c r="A5600" s="4" t="s">
        <v>9434</v>
      </c>
      <c r="B5600" s="4" t="s">
        <v>38</v>
      </c>
      <c r="C5600" s="4" t="s">
        <v>14</v>
      </c>
      <c r="D5600" s="35">
        <v>1167</v>
      </c>
      <c r="E5600" s="4" t="s">
        <v>9435</v>
      </c>
      <c r="F5600" s="5">
        <v>39749</v>
      </c>
      <c r="G5600" s="5">
        <v>41639</v>
      </c>
      <c r="H5600" s="4" t="s">
        <v>40</v>
      </c>
      <c r="I5600" s="6">
        <v>1546.7</v>
      </c>
      <c r="J5600" s="6">
        <v>1546.7</v>
      </c>
      <c r="K5600" s="37" t="s">
        <v>9243</v>
      </c>
      <c r="L5600" s="119"/>
    </row>
    <row r="5601" spans="1:12" s="4" customFormat="1" ht="14.25" customHeight="1" x14ac:dyDescent="0.25">
      <c r="A5601" s="4" t="s">
        <v>9436</v>
      </c>
      <c r="B5601" s="4" t="s">
        <v>38</v>
      </c>
      <c r="C5601" s="4" t="s">
        <v>14</v>
      </c>
      <c r="D5601" s="35">
        <v>1168</v>
      </c>
      <c r="E5601" s="4" t="s">
        <v>9437</v>
      </c>
      <c r="F5601" s="5">
        <v>39083</v>
      </c>
      <c r="G5601" s="5">
        <v>41639</v>
      </c>
      <c r="H5601" s="4" t="s">
        <v>40</v>
      </c>
      <c r="I5601" s="6">
        <f>263151.53+63475.74+63455.33+63747.97</f>
        <v>453830.57000000007</v>
      </c>
      <c r="J5601" s="6">
        <f>390375.24+63455.33</f>
        <v>453830.57</v>
      </c>
      <c r="K5601" s="37" t="s">
        <v>9243</v>
      </c>
      <c r="L5601" s="119"/>
    </row>
    <row r="5602" spans="1:12" s="4" customFormat="1" ht="14.25" customHeight="1" x14ac:dyDescent="0.25">
      <c r="A5602" s="4" t="s">
        <v>5489</v>
      </c>
      <c r="B5602" s="4" t="s">
        <v>13</v>
      </c>
      <c r="C5602" s="4" t="s">
        <v>14</v>
      </c>
      <c r="D5602" s="35">
        <v>1169</v>
      </c>
      <c r="E5602" s="4" t="s">
        <v>9438</v>
      </c>
      <c r="F5602" s="5">
        <v>39146</v>
      </c>
      <c r="G5602" s="5">
        <v>40543</v>
      </c>
      <c r="H5602" s="4" t="s">
        <v>40</v>
      </c>
      <c r="I5602" s="6">
        <v>1143.3499999999999</v>
      </c>
      <c r="J5602" s="6">
        <v>1143.3499999999999</v>
      </c>
      <c r="K5602" s="37" t="s">
        <v>9243</v>
      </c>
      <c r="L5602" s="119"/>
    </row>
    <row r="5603" spans="1:12" s="4" customFormat="1" ht="14.25" customHeight="1" x14ac:dyDescent="0.25">
      <c r="A5603" s="4" t="s">
        <v>9439</v>
      </c>
      <c r="B5603" s="4" t="s">
        <v>13</v>
      </c>
      <c r="C5603" s="4" t="s">
        <v>14</v>
      </c>
      <c r="D5603" s="35">
        <v>1170</v>
      </c>
      <c r="E5603" s="4" t="s">
        <v>9440</v>
      </c>
      <c r="F5603" s="5">
        <v>39097</v>
      </c>
      <c r="G5603" s="5">
        <v>41639</v>
      </c>
      <c r="H5603" s="4" t="s">
        <v>40</v>
      </c>
      <c r="I5603" s="6">
        <v>38153.47</v>
      </c>
      <c r="J5603" s="6">
        <v>38153.47</v>
      </c>
      <c r="K5603" s="37" t="s">
        <v>9243</v>
      </c>
      <c r="L5603" s="119"/>
    </row>
    <row r="5604" spans="1:12" s="4" customFormat="1" ht="14.25" customHeight="1" x14ac:dyDescent="0.25">
      <c r="A5604" s="4" t="s">
        <v>9441</v>
      </c>
      <c r="B5604" s="4" t="s">
        <v>13</v>
      </c>
      <c r="C5604" s="4" t="s">
        <v>14</v>
      </c>
      <c r="D5604" s="35">
        <v>1171</v>
      </c>
      <c r="E5604" s="4" t="s">
        <v>9442</v>
      </c>
      <c r="F5604" s="5">
        <v>39356</v>
      </c>
      <c r="G5604" s="5">
        <v>41639</v>
      </c>
      <c r="H5604" s="4" t="s">
        <v>40</v>
      </c>
      <c r="I5604" s="6">
        <v>12571.18</v>
      </c>
      <c r="J5604" s="6">
        <v>12571.18</v>
      </c>
      <c r="K5604" s="37" t="s">
        <v>9243</v>
      </c>
      <c r="L5604" s="119"/>
    </row>
    <row r="5605" spans="1:12" s="4" customFormat="1" ht="14.25" customHeight="1" x14ac:dyDescent="0.25">
      <c r="A5605" s="4" t="s">
        <v>9443</v>
      </c>
      <c r="B5605" s="4" t="s">
        <v>38</v>
      </c>
      <c r="C5605" s="4" t="s">
        <v>14</v>
      </c>
      <c r="D5605" s="35">
        <v>1172</v>
      </c>
      <c r="E5605" s="4" t="s">
        <v>9444</v>
      </c>
      <c r="F5605" s="5">
        <v>39097</v>
      </c>
      <c r="G5605" s="5">
        <v>41639</v>
      </c>
      <c r="H5605" s="4" t="s">
        <v>40</v>
      </c>
      <c r="I5605" s="6">
        <v>15879.59</v>
      </c>
      <c r="J5605" s="6">
        <f>13162.89+2716.7</f>
        <v>15879.59</v>
      </c>
      <c r="K5605" s="37" t="s">
        <v>9243</v>
      </c>
      <c r="L5605" s="119"/>
    </row>
    <row r="5606" spans="1:12" s="4" customFormat="1" ht="14.25" customHeight="1" x14ac:dyDescent="0.25">
      <c r="A5606" s="4" t="s">
        <v>9445</v>
      </c>
      <c r="B5606" s="4" t="s">
        <v>38</v>
      </c>
      <c r="C5606" s="4" t="s">
        <v>14</v>
      </c>
      <c r="D5606" s="35">
        <v>1174</v>
      </c>
      <c r="E5606" s="4" t="s">
        <v>9446</v>
      </c>
      <c r="F5606" s="5">
        <v>39519</v>
      </c>
      <c r="G5606" s="5">
        <v>41639</v>
      </c>
      <c r="H5606" s="4" t="s">
        <v>40</v>
      </c>
      <c r="I5606" s="6">
        <v>150</v>
      </c>
      <c r="J5606" s="6">
        <v>150</v>
      </c>
      <c r="K5606" s="37" t="s">
        <v>9243</v>
      </c>
      <c r="L5606" s="119"/>
    </row>
    <row r="5607" spans="1:12" s="4" customFormat="1" ht="14.25" customHeight="1" x14ac:dyDescent="0.25">
      <c r="A5607" s="4" t="s">
        <v>3252</v>
      </c>
      <c r="B5607" s="4" t="s">
        <v>38</v>
      </c>
      <c r="C5607" s="4" t="s">
        <v>14</v>
      </c>
      <c r="D5607" s="35">
        <v>1176</v>
      </c>
      <c r="E5607" s="4" t="s">
        <v>3252</v>
      </c>
      <c r="F5607" s="5">
        <v>39373</v>
      </c>
      <c r="G5607" s="5">
        <v>41639</v>
      </c>
      <c r="H5607" s="4" t="s">
        <v>40</v>
      </c>
      <c r="I5607" s="6">
        <v>300</v>
      </c>
      <c r="J5607" s="6">
        <v>300</v>
      </c>
      <c r="K5607" s="37" t="s">
        <v>9243</v>
      </c>
      <c r="L5607" s="119"/>
    </row>
    <row r="5608" spans="1:12" s="4" customFormat="1" ht="14.25" customHeight="1" x14ac:dyDescent="0.25">
      <c r="A5608" s="4" t="s">
        <v>9447</v>
      </c>
      <c r="B5608" s="4" t="s">
        <v>13</v>
      </c>
      <c r="C5608" s="4" t="s">
        <v>14</v>
      </c>
      <c r="D5608" s="35">
        <v>1178</v>
      </c>
      <c r="E5608" s="4" t="s">
        <v>9448</v>
      </c>
      <c r="F5608" s="5">
        <v>39674</v>
      </c>
      <c r="G5608" s="5">
        <v>41639</v>
      </c>
      <c r="H5608" s="4" t="s">
        <v>40</v>
      </c>
      <c r="I5608" s="6">
        <v>698.88</v>
      </c>
      <c r="J5608" s="6">
        <v>698.88</v>
      </c>
      <c r="K5608" s="37" t="s">
        <v>9243</v>
      </c>
      <c r="L5608" s="119"/>
    </row>
    <row r="5609" spans="1:12" s="4" customFormat="1" ht="14.25" customHeight="1" x14ac:dyDescent="0.25">
      <c r="A5609" s="4" t="s">
        <v>9449</v>
      </c>
      <c r="B5609" s="4" t="s">
        <v>38</v>
      </c>
      <c r="C5609" s="4" t="s">
        <v>14</v>
      </c>
      <c r="D5609" s="35">
        <v>1179</v>
      </c>
      <c r="E5609" s="7" t="s">
        <v>9450</v>
      </c>
      <c r="F5609" s="5">
        <v>39217</v>
      </c>
      <c r="G5609" s="5">
        <v>41639</v>
      </c>
      <c r="H5609" s="4" t="s">
        <v>40</v>
      </c>
      <c r="I5609" s="6">
        <v>2500</v>
      </c>
      <c r="J5609" s="6">
        <v>2500</v>
      </c>
      <c r="K5609" s="37" t="s">
        <v>9243</v>
      </c>
      <c r="L5609" s="119"/>
    </row>
    <row r="5610" spans="1:12" s="4" customFormat="1" ht="14.25" customHeight="1" x14ac:dyDescent="0.25">
      <c r="A5610" s="4" t="s">
        <v>9451</v>
      </c>
      <c r="B5610" s="4" t="s">
        <v>38</v>
      </c>
      <c r="C5610" s="4" t="s">
        <v>14</v>
      </c>
      <c r="D5610" s="35">
        <v>1181</v>
      </c>
      <c r="E5610" s="4" t="s">
        <v>9452</v>
      </c>
      <c r="F5610" s="5">
        <v>39786</v>
      </c>
      <c r="G5610" s="5">
        <v>41639</v>
      </c>
      <c r="H5610" s="4" t="s">
        <v>40</v>
      </c>
      <c r="I5610" s="6">
        <v>545.20000000000005</v>
      </c>
      <c r="J5610" s="6">
        <v>545.20000000000005</v>
      </c>
      <c r="K5610" s="37" t="s">
        <v>9243</v>
      </c>
      <c r="L5610" s="119"/>
    </row>
    <row r="5611" spans="1:12" s="4" customFormat="1" ht="14.25" customHeight="1" x14ac:dyDescent="0.25">
      <c r="A5611" s="4" t="s">
        <v>9453</v>
      </c>
      <c r="B5611" s="4" t="s">
        <v>38</v>
      </c>
      <c r="C5611" s="4" t="s">
        <v>14</v>
      </c>
      <c r="D5611" s="35">
        <v>1193</v>
      </c>
      <c r="E5611" s="4" t="s">
        <v>9454</v>
      </c>
      <c r="F5611" s="5">
        <v>39591</v>
      </c>
      <c r="G5611" s="5">
        <v>41639</v>
      </c>
      <c r="H5611" s="4" t="s">
        <v>40</v>
      </c>
      <c r="I5611" s="6">
        <v>1493.7</v>
      </c>
      <c r="J5611" s="6">
        <v>1493.7</v>
      </c>
      <c r="K5611" s="37" t="s">
        <v>9243</v>
      </c>
      <c r="L5611" s="119"/>
    </row>
    <row r="5612" spans="1:12" s="4" customFormat="1" ht="14.25" customHeight="1" x14ac:dyDescent="0.25">
      <c r="A5612" s="4" t="s">
        <v>9457</v>
      </c>
      <c r="B5612" s="4" t="s">
        <v>38</v>
      </c>
      <c r="C5612" s="4" t="s">
        <v>14</v>
      </c>
      <c r="D5612" s="35">
        <v>4253</v>
      </c>
      <c r="E5612" s="4" t="s">
        <v>9458</v>
      </c>
      <c r="F5612" s="5">
        <v>39520</v>
      </c>
      <c r="G5612" s="5">
        <v>41639</v>
      </c>
      <c r="H5612" s="4" t="s">
        <v>40</v>
      </c>
      <c r="I5612" s="6">
        <v>313.52</v>
      </c>
      <c r="J5612" s="6">
        <v>313.52</v>
      </c>
      <c r="K5612" s="37" t="s">
        <v>9243</v>
      </c>
      <c r="L5612" s="119"/>
    </row>
    <row r="5613" spans="1:12" s="4" customFormat="1" ht="14.25" customHeight="1" x14ac:dyDescent="0.25">
      <c r="A5613" s="4" t="s">
        <v>9459</v>
      </c>
      <c r="B5613" s="4" t="s">
        <v>38</v>
      </c>
      <c r="C5613" s="4" t="s">
        <v>14</v>
      </c>
      <c r="D5613" s="35">
        <v>4371</v>
      </c>
      <c r="E5613" s="4" t="s">
        <v>9460</v>
      </c>
      <c r="F5613" s="5">
        <v>39174</v>
      </c>
      <c r="G5613" s="5">
        <v>41639</v>
      </c>
      <c r="H5613" s="4" t="s">
        <v>40</v>
      </c>
      <c r="I5613" s="6">
        <v>1076.6500000000001</v>
      </c>
      <c r="J5613" s="6">
        <v>1076.6500000000001</v>
      </c>
      <c r="K5613" s="37" t="s">
        <v>9243</v>
      </c>
      <c r="L5613" s="119"/>
    </row>
    <row r="5614" spans="1:12" s="4" customFormat="1" ht="14.25" customHeight="1" x14ac:dyDescent="0.25">
      <c r="A5614" s="4" t="s">
        <v>9461</v>
      </c>
      <c r="B5614" s="4" t="s">
        <v>50</v>
      </c>
      <c r="C5614" s="4" t="s">
        <v>14</v>
      </c>
      <c r="D5614" s="35">
        <v>5244</v>
      </c>
      <c r="E5614" s="4" t="s">
        <v>9462</v>
      </c>
      <c r="F5614" s="5">
        <v>40095</v>
      </c>
      <c r="G5614" s="5">
        <v>40095</v>
      </c>
      <c r="H5614" s="4" t="s">
        <v>40</v>
      </c>
      <c r="I5614" s="6">
        <v>50000</v>
      </c>
      <c r="J5614" s="6">
        <v>25000</v>
      </c>
      <c r="K5614" s="37" t="s">
        <v>9243</v>
      </c>
      <c r="L5614" s="119"/>
    </row>
    <row r="5615" spans="1:12" s="4" customFormat="1" ht="14.25" customHeight="1" x14ac:dyDescent="0.25">
      <c r="A5615" s="4" t="s">
        <v>9463</v>
      </c>
      <c r="B5615" s="4" t="s">
        <v>59</v>
      </c>
      <c r="C5615" s="4" t="s">
        <v>14</v>
      </c>
      <c r="D5615" s="35">
        <v>5245</v>
      </c>
      <c r="E5615" s="4" t="s">
        <v>9464</v>
      </c>
      <c r="F5615" s="5">
        <v>39976</v>
      </c>
      <c r="G5615" s="5">
        <v>40154</v>
      </c>
      <c r="H5615" s="4" t="s">
        <v>40</v>
      </c>
      <c r="I5615" s="6">
        <v>7500</v>
      </c>
      <c r="J5615" s="6">
        <v>7500</v>
      </c>
      <c r="K5615" s="37" t="s">
        <v>9243</v>
      </c>
      <c r="L5615" s="119"/>
    </row>
    <row r="5616" spans="1:12" s="4" customFormat="1" ht="14.25" customHeight="1" x14ac:dyDescent="0.25">
      <c r="A5616" s="4" t="s">
        <v>9465</v>
      </c>
      <c r="B5616" s="4" t="s">
        <v>50</v>
      </c>
      <c r="C5616" s="4" t="s">
        <v>14</v>
      </c>
      <c r="D5616" s="35">
        <v>5247</v>
      </c>
      <c r="E5616" s="4" t="s">
        <v>9466</v>
      </c>
      <c r="F5616" s="5">
        <v>40115</v>
      </c>
      <c r="G5616" s="5">
        <v>40115</v>
      </c>
      <c r="H5616" s="4" t="s">
        <v>40</v>
      </c>
      <c r="I5616" s="6">
        <v>80000</v>
      </c>
      <c r="J5616" s="6">
        <v>40000</v>
      </c>
      <c r="K5616" s="37" t="s">
        <v>9243</v>
      </c>
      <c r="L5616" s="119"/>
    </row>
    <row r="5617" spans="1:12" s="4" customFormat="1" ht="14.25" customHeight="1" x14ac:dyDescent="0.25">
      <c r="A5617" s="4" t="s">
        <v>9467</v>
      </c>
      <c r="B5617" s="4" t="s">
        <v>50</v>
      </c>
      <c r="C5617" s="4" t="s">
        <v>14</v>
      </c>
      <c r="D5617" s="35">
        <v>5251</v>
      </c>
      <c r="E5617" s="4" t="s">
        <v>9468</v>
      </c>
      <c r="F5617" s="5">
        <v>40140</v>
      </c>
      <c r="G5617" s="5">
        <v>40451</v>
      </c>
      <c r="H5617" s="4" t="s">
        <v>40</v>
      </c>
      <c r="I5617" s="6">
        <v>6762.96</v>
      </c>
      <c r="J5617" s="6">
        <v>3381.48</v>
      </c>
      <c r="K5617" s="37" t="s">
        <v>9243</v>
      </c>
      <c r="L5617" s="119"/>
    </row>
    <row r="5618" spans="1:12" s="4" customFormat="1" ht="14.25" customHeight="1" x14ac:dyDescent="0.25">
      <c r="A5618" s="4" t="s">
        <v>9469</v>
      </c>
      <c r="B5618" s="4" t="s">
        <v>59</v>
      </c>
      <c r="C5618" s="4" t="s">
        <v>14</v>
      </c>
      <c r="D5618" s="35">
        <v>5253</v>
      </c>
      <c r="E5618" s="4" t="s">
        <v>9470</v>
      </c>
      <c r="F5618" s="5">
        <v>40052</v>
      </c>
      <c r="G5618" s="5">
        <v>40267</v>
      </c>
      <c r="H5618" s="4" t="s">
        <v>40</v>
      </c>
      <c r="I5618" s="6">
        <v>15000</v>
      </c>
      <c r="J5618" s="6">
        <v>15000</v>
      </c>
      <c r="K5618" s="37" t="s">
        <v>9243</v>
      </c>
      <c r="L5618" s="119"/>
    </row>
    <row r="5619" spans="1:12" s="4" customFormat="1" ht="14.25" customHeight="1" x14ac:dyDescent="0.25">
      <c r="A5619" s="4" t="s">
        <v>9471</v>
      </c>
      <c r="B5619" s="4" t="s">
        <v>90</v>
      </c>
      <c r="C5619" s="4" t="s">
        <v>14</v>
      </c>
      <c r="D5619" s="35">
        <v>5256</v>
      </c>
      <c r="E5619" s="4" t="s">
        <v>9472</v>
      </c>
      <c r="F5619" s="5">
        <v>40011</v>
      </c>
      <c r="G5619" s="5">
        <v>40011</v>
      </c>
      <c r="H5619" s="4" t="s">
        <v>40</v>
      </c>
      <c r="I5619" s="6">
        <v>9899.16</v>
      </c>
      <c r="J5619" s="6">
        <v>4949.58</v>
      </c>
      <c r="K5619" s="37" t="s">
        <v>9243</v>
      </c>
      <c r="L5619" s="119"/>
    </row>
    <row r="5620" spans="1:12" s="4" customFormat="1" ht="14.25" customHeight="1" x14ac:dyDescent="0.25">
      <c r="A5620" s="4" t="s">
        <v>9473</v>
      </c>
      <c r="B5620" s="4" t="s">
        <v>50</v>
      </c>
      <c r="C5620" s="4" t="s">
        <v>14</v>
      </c>
      <c r="D5620" s="35">
        <v>5260</v>
      </c>
      <c r="E5620" s="4" t="s">
        <v>9474</v>
      </c>
      <c r="F5620" s="5">
        <v>39961</v>
      </c>
      <c r="G5620" s="5">
        <v>39961</v>
      </c>
      <c r="H5620" s="4" t="s">
        <v>40</v>
      </c>
      <c r="I5620" s="6">
        <v>51430</v>
      </c>
      <c r="J5620" s="6">
        <v>25715</v>
      </c>
      <c r="K5620" s="37" t="s">
        <v>9243</v>
      </c>
      <c r="L5620" s="119"/>
    </row>
    <row r="5621" spans="1:12" s="4" customFormat="1" ht="14.25" customHeight="1" x14ac:dyDescent="0.25">
      <c r="A5621" s="4" t="s">
        <v>9477</v>
      </c>
      <c r="B5621" s="4" t="s">
        <v>50</v>
      </c>
      <c r="C5621" s="4" t="s">
        <v>14</v>
      </c>
      <c r="D5621" s="35">
        <v>5264</v>
      </c>
      <c r="E5621" s="4" t="s">
        <v>9478</v>
      </c>
      <c r="F5621" s="5">
        <v>39877</v>
      </c>
      <c r="G5621" s="5">
        <v>39877</v>
      </c>
      <c r="H5621" s="4" t="s">
        <v>40</v>
      </c>
      <c r="I5621" s="6">
        <v>40000</v>
      </c>
      <c r="J5621" s="6">
        <v>20000</v>
      </c>
      <c r="K5621" s="37" t="s">
        <v>9243</v>
      </c>
      <c r="L5621" s="119"/>
    </row>
    <row r="5622" spans="1:12" s="4" customFormat="1" ht="14.25" customHeight="1" x14ac:dyDescent="0.25">
      <c r="A5622" s="4" t="s">
        <v>9479</v>
      </c>
      <c r="B5622" s="4" t="s">
        <v>50</v>
      </c>
      <c r="C5622" s="4" t="s">
        <v>14</v>
      </c>
      <c r="D5622" s="35">
        <v>5265</v>
      </c>
      <c r="E5622" s="4" t="s">
        <v>9480</v>
      </c>
      <c r="F5622" s="5">
        <v>39877</v>
      </c>
      <c r="G5622" s="5">
        <v>39877</v>
      </c>
      <c r="H5622" s="4" t="s">
        <v>40</v>
      </c>
      <c r="I5622" s="6">
        <v>40000</v>
      </c>
      <c r="J5622" s="6">
        <v>20000</v>
      </c>
      <c r="K5622" s="37" t="s">
        <v>9243</v>
      </c>
      <c r="L5622" s="119"/>
    </row>
    <row r="5623" spans="1:12" s="4" customFormat="1" ht="14.25" customHeight="1" x14ac:dyDescent="0.25">
      <c r="A5623" s="4" t="s">
        <v>9481</v>
      </c>
      <c r="B5623" s="4" t="s">
        <v>90</v>
      </c>
      <c r="C5623" s="4" t="s">
        <v>14</v>
      </c>
      <c r="D5623" s="35">
        <v>5267</v>
      </c>
      <c r="E5623" s="4" t="s">
        <v>9482</v>
      </c>
      <c r="F5623" s="5">
        <v>40115</v>
      </c>
      <c r="G5623" s="5">
        <v>40115</v>
      </c>
      <c r="H5623" s="4" t="s">
        <v>40</v>
      </c>
      <c r="I5623" s="6">
        <v>10200</v>
      </c>
      <c r="J5623" s="6">
        <v>5100</v>
      </c>
      <c r="K5623" s="37" t="s">
        <v>9243</v>
      </c>
      <c r="L5623" s="119"/>
    </row>
    <row r="5624" spans="1:12" s="4" customFormat="1" ht="14.25" customHeight="1" x14ac:dyDescent="0.25">
      <c r="A5624" s="4" t="s">
        <v>9485</v>
      </c>
      <c r="B5624" s="4" t="s">
        <v>50</v>
      </c>
      <c r="C5624" s="4" t="s">
        <v>14</v>
      </c>
      <c r="D5624" s="35">
        <v>5269</v>
      </c>
      <c r="E5624" s="4" t="s">
        <v>9486</v>
      </c>
      <c r="F5624" s="5">
        <v>40008</v>
      </c>
      <c r="G5624" s="5">
        <v>40154</v>
      </c>
      <c r="H5624" s="4" t="s">
        <v>40</v>
      </c>
      <c r="I5624" s="6">
        <v>11031.2</v>
      </c>
      <c r="J5624" s="6">
        <v>5515.6</v>
      </c>
      <c r="K5624" s="37" t="s">
        <v>9243</v>
      </c>
      <c r="L5624" s="119"/>
    </row>
    <row r="5625" spans="1:12" s="4" customFormat="1" ht="14.25" customHeight="1" x14ac:dyDescent="0.25">
      <c r="A5625" s="4" t="s">
        <v>9487</v>
      </c>
      <c r="B5625" s="4" t="s">
        <v>190</v>
      </c>
      <c r="C5625" s="4" t="s">
        <v>14</v>
      </c>
      <c r="D5625" s="35">
        <v>5270</v>
      </c>
      <c r="E5625" s="4" t="s">
        <v>9488</v>
      </c>
      <c r="F5625" s="5">
        <v>40052</v>
      </c>
      <c r="G5625" s="5">
        <v>41639</v>
      </c>
      <c r="H5625" s="4" t="s">
        <v>40</v>
      </c>
      <c r="I5625" s="6">
        <v>6323</v>
      </c>
      <c r="J5625" s="6">
        <v>3161.5</v>
      </c>
      <c r="K5625" s="37" t="s">
        <v>9243</v>
      </c>
      <c r="L5625" s="119"/>
    </row>
    <row r="5626" spans="1:12" s="4" customFormat="1" ht="14.25" customHeight="1" x14ac:dyDescent="0.25">
      <c r="A5626" s="4" t="s">
        <v>9489</v>
      </c>
      <c r="B5626" s="4" t="s">
        <v>59</v>
      </c>
      <c r="C5626" s="4" t="s">
        <v>14</v>
      </c>
      <c r="D5626" s="35">
        <v>5271</v>
      </c>
      <c r="E5626" s="4" t="s">
        <v>9490</v>
      </c>
      <c r="F5626" s="5">
        <v>39976</v>
      </c>
      <c r="G5626" s="5">
        <v>40154</v>
      </c>
      <c r="H5626" s="4" t="s">
        <v>40</v>
      </c>
      <c r="I5626" s="6">
        <v>7500</v>
      </c>
      <c r="J5626" s="6">
        <v>7500</v>
      </c>
      <c r="K5626" s="37" t="s">
        <v>9243</v>
      </c>
      <c r="L5626" s="119"/>
    </row>
    <row r="5627" spans="1:12" s="4" customFormat="1" ht="14.25" customHeight="1" x14ac:dyDescent="0.25">
      <c r="A5627" s="4" t="s">
        <v>9491</v>
      </c>
      <c r="B5627" s="4" t="s">
        <v>59</v>
      </c>
      <c r="C5627" s="4" t="s">
        <v>14</v>
      </c>
      <c r="D5627" s="35">
        <v>5272</v>
      </c>
      <c r="E5627" s="4" t="s">
        <v>9492</v>
      </c>
      <c r="F5627" s="5">
        <v>40011</v>
      </c>
      <c r="G5627" s="5">
        <v>40095</v>
      </c>
      <c r="H5627" s="4" t="s">
        <v>40</v>
      </c>
      <c r="I5627" s="6">
        <v>11250</v>
      </c>
      <c r="J5627" s="6">
        <v>11250</v>
      </c>
      <c r="K5627" s="37" t="s">
        <v>9243</v>
      </c>
      <c r="L5627" s="119"/>
    </row>
    <row r="5628" spans="1:12" s="4" customFormat="1" ht="14.25" customHeight="1" x14ac:dyDescent="0.25">
      <c r="A5628" s="4" t="s">
        <v>9493</v>
      </c>
      <c r="B5628" s="4" t="s">
        <v>59</v>
      </c>
      <c r="C5628" s="4" t="s">
        <v>14</v>
      </c>
      <c r="D5628" s="35">
        <v>5274</v>
      </c>
      <c r="E5628" s="4" t="s">
        <v>9494</v>
      </c>
      <c r="F5628" s="5">
        <v>40052</v>
      </c>
      <c r="G5628" s="5">
        <v>40267</v>
      </c>
      <c r="H5628" s="4" t="s">
        <v>40</v>
      </c>
      <c r="I5628" s="6">
        <v>3750</v>
      </c>
      <c r="J5628" s="6">
        <v>3750</v>
      </c>
      <c r="K5628" s="37" t="s">
        <v>9243</v>
      </c>
      <c r="L5628" s="119"/>
    </row>
    <row r="5629" spans="1:12" s="4" customFormat="1" ht="14.25" customHeight="1" x14ac:dyDescent="0.25">
      <c r="A5629" s="4" t="s">
        <v>9495</v>
      </c>
      <c r="B5629" s="4" t="s">
        <v>3197</v>
      </c>
      <c r="C5629" s="4" t="s">
        <v>14</v>
      </c>
      <c r="D5629" s="35">
        <v>5275</v>
      </c>
      <c r="E5629" s="4" t="s">
        <v>9496</v>
      </c>
      <c r="F5629" s="5">
        <v>40140</v>
      </c>
      <c r="G5629" s="5">
        <v>40140</v>
      </c>
      <c r="H5629" s="4" t="s">
        <v>40</v>
      </c>
      <c r="I5629" s="6">
        <v>10200</v>
      </c>
      <c r="J5629" s="6">
        <v>5100</v>
      </c>
      <c r="K5629" s="37" t="s">
        <v>9243</v>
      </c>
      <c r="L5629" s="119"/>
    </row>
    <row r="5630" spans="1:12" s="4" customFormat="1" ht="14.25" customHeight="1" x14ac:dyDescent="0.25">
      <c r="A5630" s="4" t="s">
        <v>9497</v>
      </c>
      <c r="B5630" s="4" t="s">
        <v>3197</v>
      </c>
      <c r="C5630" s="4" t="s">
        <v>14</v>
      </c>
      <c r="D5630" s="35">
        <v>5276</v>
      </c>
      <c r="E5630" s="4" t="s">
        <v>9498</v>
      </c>
      <c r="F5630" s="5">
        <v>40140</v>
      </c>
      <c r="G5630" s="5">
        <v>40140</v>
      </c>
      <c r="H5630" s="4" t="s">
        <v>40</v>
      </c>
      <c r="I5630" s="6">
        <v>932</v>
      </c>
      <c r="J5630" s="6">
        <v>466</v>
      </c>
      <c r="K5630" s="37" t="s">
        <v>9243</v>
      </c>
      <c r="L5630" s="119"/>
    </row>
    <row r="5631" spans="1:12" s="4" customFormat="1" ht="14.25" customHeight="1" x14ac:dyDescent="0.25">
      <c r="A5631" s="4" t="s">
        <v>9499</v>
      </c>
      <c r="B5631" s="4" t="s">
        <v>90</v>
      </c>
      <c r="C5631" s="4" t="s">
        <v>14</v>
      </c>
      <c r="D5631" s="35">
        <v>5277</v>
      </c>
      <c r="E5631" s="4" t="s">
        <v>9500</v>
      </c>
      <c r="F5631" s="5">
        <v>40162</v>
      </c>
      <c r="G5631" s="5">
        <v>40162</v>
      </c>
      <c r="H5631" s="4" t="s">
        <v>40</v>
      </c>
      <c r="I5631" s="6">
        <v>8000</v>
      </c>
      <c r="J5631" s="6">
        <v>4000</v>
      </c>
      <c r="K5631" s="37" t="s">
        <v>9243</v>
      </c>
      <c r="L5631" s="119"/>
    </row>
    <row r="5632" spans="1:12" s="4" customFormat="1" ht="14.25" customHeight="1" x14ac:dyDescent="0.25">
      <c r="A5632" s="4" t="s">
        <v>9503</v>
      </c>
      <c r="B5632" s="4" t="s">
        <v>90</v>
      </c>
      <c r="C5632" s="4" t="s">
        <v>14</v>
      </c>
      <c r="D5632" s="35">
        <v>5280</v>
      </c>
      <c r="E5632" s="4" t="s">
        <v>9504</v>
      </c>
      <c r="F5632" s="5">
        <v>40162</v>
      </c>
      <c r="G5632" s="5">
        <v>40162</v>
      </c>
      <c r="H5632" s="4" t="s">
        <v>40</v>
      </c>
      <c r="I5632" s="6">
        <v>1740.96</v>
      </c>
      <c r="J5632" s="6">
        <v>870.48</v>
      </c>
      <c r="K5632" s="37" t="s">
        <v>9243</v>
      </c>
      <c r="L5632" s="119"/>
    </row>
    <row r="5633" spans="1:12" s="4" customFormat="1" ht="14.25" customHeight="1" x14ac:dyDescent="0.25">
      <c r="A5633" s="4" t="s">
        <v>9505</v>
      </c>
      <c r="B5633" s="4" t="s">
        <v>59</v>
      </c>
      <c r="C5633" s="4" t="s">
        <v>14</v>
      </c>
      <c r="D5633" s="35">
        <v>5284</v>
      </c>
      <c r="E5633" s="4" t="s">
        <v>9506</v>
      </c>
      <c r="F5633" s="5">
        <v>39925</v>
      </c>
      <c r="G5633" s="5">
        <v>39925</v>
      </c>
      <c r="H5633" s="4" t="s">
        <v>40</v>
      </c>
      <c r="I5633" s="6">
        <v>3750</v>
      </c>
      <c r="J5633" s="6">
        <v>3750</v>
      </c>
      <c r="K5633" s="37" t="s">
        <v>9243</v>
      </c>
      <c r="L5633" s="119"/>
    </row>
    <row r="5634" spans="1:12" s="4" customFormat="1" ht="14.25" customHeight="1" x14ac:dyDescent="0.25">
      <c r="A5634" s="4" t="s">
        <v>9509</v>
      </c>
      <c r="B5634" s="4" t="s">
        <v>59</v>
      </c>
      <c r="C5634" s="4" t="s">
        <v>14</v>
      </c>
      <c r="D5634" s="35">
        <v>5287</v>
      </c>
      <c r="E5634" s="4" t="s">
        <v>9510</v>
      </c>
      <c r="F5634" s="5">
        <v>39925</v>
      </c>
      <c r="G5634" s="5">
        <v>39925</v>
      </c>
      <c r="H5634" s="4" t="s">
        <v>40</v>
      </c>
      <c r="I5634" s="6">
        <v>3750</v>
      </c>
      <c r="J5634" s="6">
        <v>3750</v>
      </c>
      <c r="K5634" s="37" t="s">
        <v>9243</v>
      </c>
      <c r="L5634" s="119"/>
    </row>
    <row r="5635" spans="1:12" s="4" customFormat="1" ht="14.25" customHeight="1" x14ac:dyDescent="0.25">
      <c r="A5635" s="4" t="s">
        <v>9511</v>
      </c>
      <c r="B5635" s="4" t="s">
        <v>38</v>
      </c>
      <c r="C5635" s="4" t="s">
        <v>14</v>
      </c>
      <c r="D5635" s="35">
        <v>5297</v>
      </c>
      <c r="E5635" s="4" t="s">
        <v>9511</v>
      </c>
      <c r="F5635" s="5">
        <v>39881</v>
      </c>
      <c r="G5635" s="5">
        <v>41359</v>
      </c>
      <c r="H5635" s="4" t="s">
        <v>40</v>
      </c>
      <c r="I5635" s="6">
        <v>300</v>
      </c>
      <c r="J5635" s="6">
        <v>300</v>
      </c>
      <c r="K5635" s="37" t="s">
        <v>9243</v>
      </c>
      <c r="L5635" s="119"/>
    </row>
    <row r="5636" spans="1:12" s="4" customFormat="1" ht="14.25" customHeight="1" x14ac:dyDescent="0.25">
      <c r="A5636" s="4" t="s">
        <v>9512</v>
      </c>
      <c r="B5636" s="4" t="s">
        <v>38</v>
      </c>
      <c r="C5636" s="4" t="s">
        <v>14</v>
      </c>
      <c r="D5636" s="35">
        <v>5302</v>
      </c>
      <c r="E5636" s="4" t="s">
        <v>9513</v>
      </c>
      <c r="F5636" s="5">
        <v>39875</v>
      </c>
      <c r="G5636" s="5">
        <v>41639</v>
      </c>
      <c r="H5636" s="4" t="s">
        <v>40</v>
      </c>
      <c r="I5636" s="6">
        <v>1810</v>
      </c>
      <c r="J5636" s="6">
        <v>1810</v>
      </c>
      <c r="K5636" s="37" t="s">
        <v>9243</v>
      </c>
      <c r="L5636" s="119"/>
    </row>
    <row r="5637" spans="1:12" s="4" customFormat="1" ht="14.25" customHeight="1" x14ac:dyDescent="0.25">
      <c r="A5637" s="4" t="s">
        <v>9514</v>
      </c>
      <c r="B5637" s="4" t="s">
        <v>38</v>
      </c>
      <c r="C5637" s="4" t="s">
        <v>14</v>
      </c>
      <c r="D5637" s="35">
        <v>5306</v>
      </c>
      <c r="E5637" s="4" t="s">
        <v>9515</v>
      </c>
      <c r="F5637" s="5">
        <v>39854</v>
      </c>
      <c r="G5637" s="5">
        <v>41639</v>
      </c>
      <c r="H5637" s="4" t="s">
        <v>40</v>
      </c>
      <c r="I5637" s="6">
        <v>987.65</v>
      </c>
      <c r="J5637" s="6">
        <f>258.8+728.85</f>
        <v>987.65000000000009</v>
      </c>
      <c r="K5637" s="37" t="s">
        <v>9243</v>
      </c>
      <c r="L5637" s="119"/>
    </row>
    <row r="5638" spans="1:12" s="4" customFormat="1" ht="14.25" customHeight="1" x14ac:dyDescent="0.25">
      <c r="A5638" s="4" t="s">
        <v>9516</v>
      </c>
      <c r="B5638" s="4" t="s">
        <v>38</v>
      </c>
      <c r="C5638" s="4" t="s">
        <v>14</v>
      </c>
      <c r="D5638" s="35">
        <v>5308</v>
      </c>
      <c r="E5638" s="4" t="s">
        <v>9517</v>
      </c>
      <c r="F5638" s="5">
        <v>40078</v>
      </c>
      <c r="G5638" s="5">
        <v>41639</v>
      </c>
      <c r="H5638" s="4" t="s">
        <v>40</v>
      </c>
      <c r="I5638" s="6">
        <v>2063</v>
      </c>
      <c r="J5638" s="6">
        <v>2063</v>
      </c>
      <c r="K5638" s="37" t="s">
        <v>9243</v>
      </c>
      <c r="L5638" s="119"/>
    </row>
    <row r="5639" spans="1:12" s="4" customFormat="1" ht="14.25" customHeight="1" x14ac:dyDescent="0.25">
      <c r="A5639" s="4" t="s">
        <v>9518</v>
      </c>
      <c r="B5639" s="4" t="s">
        <v>38</v>
      </c>
      <c r="C5639" s="4" t="s">
        <v>14</v>
      </c>
      <c r="D5639" s="35">
        <v>5311</v>
      </c>
      <c r="E5639" s="4" t="s">
        <v>9519</v>
      </c>
      <c r="F5639" s="5">
        <v>40078</v>
      </c>
      <c r="G5639" s="5">
        <v>41639</v>
      </c>
      <c r="H5639" s="4" t="s">
        <v>40</v>
      </c>
      <c r="I5639" s="6">
        <v>212</v>
      </c>
      <c r="J5639" s="6">
        <v>212</v>
      </c>
      <c r="K5639" s="37" t="s">
        <v>9243</v>
      </c>
      <c r="L5639" s="119"/>
    </row>
    <row r="5640" spans="1:12" s="4" customFormat="1" ht="14.25" customHeight="1" x14ac:dyDescent="0.25">
      <c r="A5640" s="4" t="s">
        <v>9520</v>
      </c>
      <c r="B5640" s="4" t="s">
        <v>38</v>
      </c>
      <c r="C5640" s="4" t="s">
        <v>14</v>
      </c>
      <c r="D5640" s="35">
        <v>5313</v>
      </c>
      <c r="E5640" s="4" t="s">
        <v>9521</v>
      </c>
      <c r="F5640" s="5">
        <v>40077</v>
      </c>
      <c r="G5640" s="5">
        <v>40908</v>
      </c>
      <c r="H5640" s="4" t="s">
        <v>40</v>
      </c>
      <c r="I5640" s="6">
        <v>1086.4000000000001</v>
      </c>
      <c r="J5640" s="6">
        <v>1083.4000000000001</v>
      </c>
      <c r="K5640" s="37" t="s">
        <v>9243</v>
      </c>
      <c r="L5640" s="119"/>
    </row>
    <row r="5641" spans="1:12" s="4" customFormat="1" ht="14.25" customHeight="1" x14ac:dyDescent="0.25">
      <c r="A5641" s="4" t="s">
        <v>9522</v>
      </c>
      <c r="B5641" s="4" t="s">
        <v>13</v>
      </c>
      <c r="C5641" s="4" t="s">
        <v>14</v>
      </c>
      <c r="D5641" s="35">
        <v>5352</v>
      </c>
      <c r="E5641" s="4" t="s">
        <v>9523</v>
      </c>
      <c r="F5641" s="5">
        <v>40085</v>
      </c>
      <c r="G5641" s="5">
        <v>41639</v>
      </c>
      <c r="H5641" s="4" t="s">
        <v>40</v>
      </c>
      <c r="I5641" s="6">
        <v>2632.45</v>
      </c>
      <c r="J5641" s="6">
        <v>2632.45</v>
      </c>
      <c r="K5641" s="37" t="s">
        <v>9243</v>
      </c>
      <c r="L5641" s="119"/>
    </row>
    <row r="5642" spans="1:12" s="4" customFormat="1" ht="14.25" customHeight="1" x14ac:dyDescent="0.25">
      <c r="A5642" s="4" t="s">
        <v>9524</v>
      </c>
      <c r="B5642" s="4" t="s">
        <v>38</v>
      </c>
      <c r="C5642" s="4" t="s">
        <v>14</v>
      </c>
      <c r="D5642" s="35">
        <v>5354</v>
      </c>
      <c r="E5642" s="4" t="s">
        <v>9525</v>
      </c>
      <c r="F5642" s="5">
        <v>40044</v>
      </c>
      <c r="G5642" s="5">
        <v>41639</v>
      </c>
      <c r="H5642" s="4" t="s">
        <v>40</v>
      </c>
      <c r="I5642" s="6">
        <v>10777.5</v>
      </c>
      <c r="J5642" s="6">
        <f>7123.5+3654</f>
        <v>10777.5</v>
      </c>
      <c r="K5642" s="37" t="s">
        <v>9243</v>
      </c>
      <c r="L5642" s="119"/>
    </row>
    <row r="5643" spans="1:12" s="4" customFormat="1" ht="14.25" customHeight="1" x14ac:dyDescent="0.25">
      <c r="A5643" s="4" t="s">
        <v>9526</v>
      </c>
      <c r="B5643" s="4" t="s">
        <v>38</v>
      </c>
      <c r="C5643" s="4" t="s">
        <v>14</v>
      </c>
      <c r="D5643" s="35">
        <v>5355</v>
      </c>
      <c r="E5643" s="4" t="s">
        <v>9527</v>
      </c>
      <c r="F5643" s="5">
        <v>39814</v>
      </c>
      <c r="G5643" s="5">
        <v>41639</v>
      </c>
      <c r="H5643" s="4" t="s">
        <v>40</v>
      </c>
      <c r="I5643" s="6">
        <v>1197.5999999999999</v>
      </c>
      <c r="J5643" s="6">
        <v>1197.5999999999999</v>
      </c>
      <c r="K5643" s="37" t="s">
        <v>9243</v>
      </c>
      <c r="L5643" s="119"/>
    </row>
    <row r="5644" spans="1:12" s="4" customFormat="1" ht="14.25" customHeight="1" x14ac:dyDescent="0.25">
      <c r="A5644" s="4" t="s">
        <v>9528</v>
      </c>
      <c r="B5644" s="4" t="s">
        <v>38</v>
      </c>
      <c r="C5644" s="4" t="s">
        <v>14</v>
      </c>
      <c r="D5644" s="35">
        <v>5362</v>
      </c>
      <c r="E5644" s="4" t="s">
        <v>9529</v>
      </c>
      <c r="F5644" s="5">
        <v>39877</v>
      </c>
      <c r="G5644" s="5">
        <v>41639</v>
      </c>
      <c r="H5644" s="4" t="s">
        <v>40</v>
      </c>
      <c r="I5644" s="6">
        <v>1000</v>
      </c>
      <c r="J5644" s="6">
        <v>1000</v>
      </c>
      <c r="K5644" s="37" t="s">
        <v>9243</v>
      </c>
      <c r="L5644" s="119"/>
    </row>
    <row r="5645" spans="1:12" s="4" customFormat="1" ht="14.25" customHeight="1" x14ac:dyDescent="0.25">
      <c r="A5645" s="4" t="s">
        <v>9532</v>
      </c>
      <c r="B5645" s="4" t="s">
        <v>190</v>
      </c>
      <c r="C5645" s="4" t="s">
        <v>14</v>
      </c>
      <c r="D5645" s="35">
        <v>7636</v>
      </c>
      <c r="E5645" s="4" t="s">
        <v>9533</v>
      </c>
      <c r="F5645" s="5">
        <v>40344</v>
      </c>
      <c r="G5645" s="5">
        <v>40709</v>
      </c>
      <c r="H5645" s="4" t="s">
        <v>40</v>
      </c>
      <c r="I5645" s="6">
        <v>20000</v>
      </c>
      <c r="J5645" s="6">
        <v>10000</v>
      </c>
      <c r="K5645" s="37" t="s">
        <v>9243</v>
      </c>
      <c r="L5645" s="119"/>
    </row>
    <row r="5646" spans="1:12" s="4" customFormat="1" ht="14.25" customHeight="1" x14ac:dyDescent="0.25">
      <c r="A5646" s="4" t="s">
        <v>9534</v>
      </c>
      <c r="B5646" s="4" t="s">
        <v>183</v>
      </c>
      <c r="C5646" s="4" t="s">
        <v>14</v>
      </c>
      <c r="D5646" s="35">
        <v>7637</v>
      </c>
      <c r="E5646" s="4" t="s">
        <v>9535</v>
      </c>
      <c r="F5646" s="5">
        <v>40087</v>
      </c>
      <c r="G5646" s="5">
        <v>40452</v>
      </c>
      <c r="H5646" s="4" t="s">
        <v>40</v>
      </c>
      <c r="I5646" s="6">
        <v>21512.68</v>
      </c>
      <c r="J5646" s="6">
        <v>10756.34</v>
      </c>
      <c r="K5646" s="37" t="s">
        <v>9243</v>
      </c>
      <c r="L5646" s="119"/>
    </row>
    <row r="5647" spans="1:12" s="4" customFormat="1" ht="14.25" customHeight="1" x14ac:dyDescent="0.25">
      <c r="A5647" s="4" t="s">
        <v>9536</v>
      </c>
      <c r="B5647" s="4" t="s">
        <v>183</v>
      </c>
      <c r="C5647" s="4" t="s">
        <v>14</v>
      </c>
      <c r="D5647" s="35">
        <v>7638</v>
      </c>
      <c r="E5647" s="4" t="s">
        <v>9537</v>
      </c>
      <c r="F5647" s="5">
        <v>40470</v>
      </c>
      <c r="G5647" s="5">
        <v>40835</v>
      </c>
      <c r="H5647" s="4" t="s">
        <v>40</v>
      </c>
      <c r="I5647" s="6">
        <v>6255.78</v>
      </c>
      <c r="J5647" s="6">
        <v>5003.3900000000003</v>
      </c>
      <c r="K5647" s="37" t="s">
        <v>9243</v>
      </c>
      <c r="L5647" s="119"/>
    </row>
    <row r="5648" spans="1:12" s="4" customFormat="1" ht="14.25" customHeight="1" x14ac:dyDescent="0.25">
      <c r="A5648" s="4" t="s">
        <v>9538</v>
      </c>
      <c r="B5648" s="4" t="s">
        <v>183</v>
      </c>
      <c r="C5648" s="4" t="s">
        <v>14</v>
      </c>
      <c r="D5648" s="35">
        <v>7639</v>
      </c>
      <c r="E5648" s="4" t="s">
        <v>9539</v>
      </c>
      <c r="F5648" s="5">
        <v>40497</v>
      </c>
      <c r="G5648" s="5">
        <v>40954</v>
      </c>
      <c r="H5648" s="4" t="s">
        <v>40</v>
      </c>
      <c r="I5648" s="6">
        <v>4250</v>
      </c>
      <c r="J5648" s="6">
        <v>4000</v>
      </c>
      <c r="K5648" s="37" t="s">
        <v>9243</v>
      </c>
      <c r="L5648" s="119"/>
    </row>
    <row r="5649" spans="1:12" s="4" customFormat="1" ht="14.25" customHeight="1" x14ac:dyDescent="0.25">
      <c r="A5649" s="4" t="s">
        <v>9540</v>
      </c>
      <c r="B5649" s="4" t="s">
        <v>183</v>
      </c>
      <c r="C5649" s="4" t="s">
        <v>14</v>
      </c>
      <c r="D5649" s="35">
        <v>7640</v>
      </c>
      <c r="E5649" s="4" t="s">
        <v>9541</v>
      </c>
      <c r="F5649" s="5">
        <v>40344</v>
      </c>
      <c r="G5649" s="5">
        <v>40710</v>
      </c>
      <c r="H5649" s="4" t="s">
        <v>40</v>
      </c>
      <c r="I5649" s="6">
        <v>7500</v>
      </c>
      <c r="J5649" s="6">
        <v>7500</v>
      </c>
      <c r="K5649" s="37" t="s">
        <v>9243</v>
      </c>
      <c r="L5649" s="119"/>
    </row>
    <row r="5650" spans="1:12" s="4" customFormat="1" ht="14.25" customHeight="1" x14ac:dyDescent="0.25">
      <c r="A5650" s="4" t="s">
        <v>9544</v>
      </c>
      <c r="B5650" s="4" t="s">
        <v>183</v>
      </c>
      <c r="C5650" s="4" t="s">
        <v>14</v>
      </c>
      <c r="D5650" s="35">
        <v>7642</v>
      </c>
      <c r="E5650" s="4" t="s">
        <v>9545</v>
      </c>
      <c r="F5650" s="5">
        <v>40344</v>
      </c>
      <c r="G5650" s="5">
        <v>40709</v>
      </c>
      <c r="H5650" s="4" t="s">
        <v>40</v>
      </c>
      <c r="I5650" s="6">
        <v>3750</v>
      </c>
      <c r="J5650" s="6">
        <v>3750</v>
      </c>
      <c r="K5650" s="37" t="s">
        <v>9243</v>
      </c>
      <c r="L5650" s="119"/>
    </row>
    <row r="5651" spans="1:12" s="4" customFormat="1" ht="14.25" customHeight="1" x14ac:dyDescent="0.25">
      <c r="A5651" s="4" t="s">
        <v>9546</v>
      </c>
      <c r="B5651" s="4" t="s">
        <v>183</v>
      </c>
      <c r="C5651" s="4" t="s">
        <v>14</v>
      </c>
      <c r="D5651" s="35">
        <v>7643</v>
      </c>
      <c r="E5651" s="4" t="s">
        <v>9547</v>
      </c>
      <c r="F5651" s="5">
        <v>40252</v>
      </c>
      <c r="G5651" s="5">
        <v>40617</v>
      </c>
      <c r="H5651" s="4" t="s">
        <v>40</v>
      </c>
      <c r="I5651" s="6">
        <v>30000</v>
      </c>
      <c r="J5651" s="6">
        <v>30000</v>
      </c>
      <c r="K5651" s="37" t="s">
        <v>9243</v>
      </c>
      <c r="L5651" s="119"/>
    </row>
    <row r="5652" spans="1:12" s="4" customFormat="1" ht="14.25" customHeight="1" x14ac:dyDescent="0.25">
      <c r="A5652" s="4" t="s">
        <v>9548</v>
      </c>
      <c r="B5652" s="4" t="s">
        <v>183</v>
      </c>
      <c r="C5652" s="4" t="s">
        <v>14</v>
      </c>
      <c r="D5652" s="35">
        <v>7644</v>
      </c>
      <c r="E5652" s="4" t="s">
        <v>9549</v>
      </c>
      <c r="F5652" s="5">
        <v>40344</v>
      </c>
      <c r="G5652" s="5">
        <v>40709</v>
      </c>
      <c r="H5652" s="4" t="s">
        <v>40</v>
      </c>
      <c r="I5652" s="6">
        <v>18750</v>
      </c>
      <c r="J5652" s="6">
        <v>18750</v>
      </c>
      <c r="K5652" s="37" t="s">
        <v>9243</v>
      </c>
      <c r="L5652" s="119"/>
    </row>
    <row r="5653" spans="1:12" s="4" customFormat="1" ht="14.25" customHeight="1" x14ac:dyDescent="0.25">
      <c r="A5653" s="4" t="s">
        <v>9552</v>
      </c>
      <c r="B5653" s="4" t="s">
        <v>183</v>
      </c>
      <c r="C5653" s="4" t="s">
        <v>14</v>
      </c>
      <c r="D5653" s="35">
        <v>7646</v>
      </c>
      <c r="E5653" s="4" t="s">
        <v>9553</v>
      </c>
      <c r="F5653" s="5">
        <v>40344</v>
      </c>
      <c r="G5653" s="5">
        <v>40709</v>
      </c>
      <c r="H5653" s="4" t="s">
        <v>40</v>
      </c>
      <c r="I5653" s="6">
        <v>3750</v>
      </c>
      <c r="J5653" s="6">
        <v>3750</v>
      </c>
      <c r="K5653" s="37" t="s">
        <v>9243</v>
      </c>
      <c r="L5653" s="119"/>
    </row>
    <row r="5654" spans="1:12" s="4" customFormat="1" ht="14.25" customHeight="1" x14ac:dyDescent="0.25">
      <c r="A5654" s="4" t="s">
        <v>9554</v>
      </c>
      <c r="B5654" s="4" t="s">
        <v>183</v>
      </c>
      <c r="C5654" s="4" t="s">
        <v>14</v>
      </c>
      <c r="D5654" s="35">
        <v>7647</v>
      </c>
      <c r="E5654" s="4" t="s">
        <v>9555</v>
      </c>
      <c r="F5654" s="5">
        <v>40471</v>
      </c>
      <c r="G5654" s="5">
        <v>40836</v>
      </c>
      <c r="H5654" s="4" t="s">
        <v>40</v>
      </c>
      <c r="I5654" s="6">
        <v>7500</v>
      </c>
      <c r="J5654" s="6">
        <v>7500</v>
      </c>
      <c r="K5654" s="37" t="s">
        <v>9243</v>
      </c>
      <c r="L5654" s="119"/>
    </row>
    <row r="5655" spans="1:12" s="4" customFormat="1" ht="14.25" customHeight="1" x14ac:dyDescent="0.25">
      <c r="A5655" s="4" t="s">
        <v>9558</v>
      </c>
      <c r="B5655" s="4" t="s">
        <v>183</v>
      </c>
      <c r="C5655" s="4" t="s">
        <v>14</v>
      </c>
      <c r="D5655" s="35">
        <v>7653</v>
      </c>
      <c r="E5655" s="4" t="s">
        <v>9559</v>
      </c>
      <c r="F5655" s="5">
        <v>40252</v>
      </c>
      <c r="G5655" s="5">
        <v>40617</v>
      </c>
      <c r="H5655" s="4" t="s">
        <v>40</v>
      </c>
      <c r="I5655" s="6">
        <v>3750</v>
      </c>
      <c r="J5655" s="6">
        <v>3750</v>
      </c>
      <c r="K5655" s="37" t="s">
        <v>9243</v>
      </c>
      <c r="L5655" s="119"/>
    </row>
    <row r="5656" spans="1:12" s="4" customFormat="1" ht="14.25" customHeight="1" x14ac:dyDescent="0.25">
      <c r="A5656" s="4" t="s">
        <v>9560</v>
      </c>
      <c r="B5656" s="4" t="s">
        <v>90</v>
      </c>
      <c r="C5656" s="4" t="s">
        <v>14</v>
      </c>
      <c r="D5656" s="35">
        <v>7655</v>
      </c>
      <c r="E5656" s="4" t="s">
        <v>9561</v>
      </c>
      <c r="F5656" s="5">
        <v>40225</v>
      </c>
      <c r="G5656" s="5">
        <v>40590</v>
      </c>
      <c r="H5656" s="4" t="s">
        <v>40</v>
      </c>
      <c r="I5656" s="6">
        <v>5030</v>
      </c>
      <c r="J5656" s="6">
        <v>2515</v>
      </c>
      <c r="K5656" s="37" t="s">
        <v>9243</v>
      </c>
      <c r="L5656" s="119"/>
    </row>
    <row r="5657" spans="1:12" s="4" customFormat="1" ht="14.25" customHeight="1" x14ac:dyDescent="0.25">
      <c r="A5657" s="4" t="s">
        <v>9562</v>
      </c>
      <c r="B5657" s="4" t="s">
        <v>90</v>
      </c>
      <c r="C5657" s="4" t="s">
        <v>14</v>
      </c>
      <c r="D5657" s="35">
        <v>7661</v>
      </c>
      <c r="E5657" s="4" t="s">
        <v>9563</v>
      </c>
      <c r="F5657" s="5">
        <v>40288</v>
      </c>
      <c r="G5657" s="5">
        <v>40653</v>
      </c>
      <c r="H5657" s="4" t="s">
        <v>40</v>
      </c>
      <c r="I5657" s="6">
        <v>20000</v>
      </c>
      <c r="J5657" s="6">
        <v>10000</v>
      </c>
      <c r="K5657" s="37" t="s">
        <v>9243</v>
      </c>
      <c r="L5657" s="119"/>
    </row>
    <row r="5658" spans="1:12" s="4" customFormat="1" ht="14.25" customHeight="1" x14ac:dyDescent="0.25">
      <c r="A5658" s="4" t="s">
        <v>9564</v>
      </c>
      <c r="B5658" s="4" t="s">
        <v>190</v>
      </c>
      <c r="C5658" s="4" t="s">
        <v>14</v>
      </c>
      <c r="D5658" s="35">
        <v>7662</v>
      </c>
      <c r="E5658" s="4" t="s">
        <v>9565</v>
      </c>
      <c r="F5658" s="5">
        <v>40225</v>
      </c>
      <c r="G5658" s="5">
        <v>40590</v>
      </c>
      <c r="H5658" s="4" t="s">
        <v>40</v>
      </c>
      <c r="I5658" s="6">
        <v>3500</v>
      </c>
      <c r="J5658" s="6">
        <v>3500</v>
      </c>
      <c r="K5658" s="37" t="s">
        <v>9243</v>
      </c>
      <c r="L5658" s="119"/>
    </row>
    <row r="5659" spans="1:12" s="4" customFormat="1" ht="14.25" customHeight="1" x14ac:dyDescent="0.25">
      <c r="A5659" s="4" t="s">
        <v>9566</v>
      </c>
      <c r="B5659" s="4" t="s">
        <v>90</v>
      </c>
      <c r="C5659" s="4" t="s">
        <v>14</v>
      </c>
      <c r="D5659" s="35">
        <v>7663</v>
      </c>
      <c r="E5659" s="4" t="s">
        <v>9567</v>
      </c>
      <c r="F5659" s="5">
        <v>40441</v>
      </c>
      <c r="G5659" s="5">
        <v>40806</v>
      </c>
      <c r="H5659" s="4" t="s">
        <v>40</v>
      </c>
      <c r="I5659" s="6">
        <v>24000</v>
      </c>
      <c r="J5659" s="6">
        <v>12000</v>
      </c>
      <c r="K5659" s="37" t="s">
        <v>9243</v>
      </c>
      <c r="L5659" s="119"/>
    </row>
    <row r="5660" spans="1:12" s="4" customFormat="1" ht="14.25" customHeight="1" x14ac:dyDescent="0.25">
      <c r="A5660" s="4" t="s">
        <v>9568</v>
      </c>
      <c r="B5660" s="4" t="s">
        <v>190</v>
      </c>
      <c r="C5660" s="4" t="s">
        <v>14</v>
      </c>
      <c r="D5660" s="35">
        <v>7664</v>
      </c>
      <c r="E5660" s="4" t="s">
        <v>9569</v>
      </c>
      <c r="F5660" s="5">
        <v>40197</v>
      </c>
      <c r="G5660" s="5">
        <v>40562</v>
      </c>
      <c r="H5660" s="4" t="s">
        <v>40</v>
      </c>
      <c r="I5660" s="6">
        <v>3750</v>
      </c>
      <c r="J5660" s="6">
        <v>3750</v>
      </c>
      <c r="K5660" s="37" t="s">
        <v>9243</v>
      </c>
      <c r="L5660" s="119"/>
    </row>
    <row r="5661" spans="1:12" s="4" customFormat="1" ht="14.25" customHeight="1" x14ac:dyDescent="0.25">
      <c r="A5661" s="4" t="s">
        <v>9570</v>
      </c>
      <c r="B5661" s="4" t="s">
        <v>190</v>
      </c>
      <c r="C5661" s="4" t="s">
        <v>14</v>
      </c>
      <c r="D5661" s="35">
        <v>7665</v>
      </c>
      <c r="E5661" s="4" t="s">
        <v>9571</v>
      </c>
      <c r="F5661" s="5">
        <v>40197</v>
      </c>
      <c r="G5661" s="5">
        <v>40562</v>
      </c>
      <c r="H5661" s="4" t="s">
        <v>40</v>
      </c>
      <c r="I5661" s="6">
        <v>15000</v>
      </c>
      <c r="J5661" s="6">
        <v>7500</v>
      </c>
      <c r="K5661" s="37" t="s">
        <v>9243</v>
      </c>
      <c r="L5661" s="119"/>
    </row>
    <row r="5662" spans="1:12" s="4" customFormat="1" ht="14.25" customHeight="1" x14ac:dyDescent="0.25">
      <c r="A5662" s="4" t="s">
        <v>9572</v>
      </c>
      <c r="B5662" s="4" t="s">
        <v>90</v>
      </c>
      <c r="C5662" s="4" t="s">
        <v>14</v>
      </c>
      <c r="D5662" s="35">
        <v>7666</v>
      </c>
      <c r="E5662" s="4" t="s">
        <v>9573</v>
      </c>
      <c r="F5662" s="5">
        <v>40225</v>
      </c>
      <c r="G5662" s="5">
        <v>40590</v>
      </c>
      <c r="H5662" s="4" t="s">
        <v>40</v>
      </c>
      <c r="I5662" s="6">
        <v>20000</v>
      </c>
      <c r="J5662" s="6">
        <v>10000</v>
      </c>
      <c r="K5662" s="37" t="s">
        <v>9243</v>
      </c>
      <c r="L5662" s="119"/>
    </row>
    <row r="5663" spans="1:12" s="4" customFormat="1" ht="14.25" customHeight="1" x14ac:dyDescent="0.25">
      <c r="A5663" s="4" t="s">
        <v>9574</v>
      </c>
      <c r="B5663" s="4" t="s">
        <v>190</v>
      </c>
      <c r="C5663" s="4" t="s">
        <v>14</v>
      </c>
      <c r="D5663" s="35">
        <v>7667</v>
      </c>
      <c r="E5663" s="4" t="s">
        <v>9575</v>
      </c>
      <c r="F5663" s="5">
        <v>40253</v>
      </c>
      <c r="G5663" s="5">
        <v>40618</v>
      </c>
      <c r="H5663" s="4" t="s">
        <v>40</v>
      </c>
      <c r="I5663" s="6">
        <v>34988</v>
      </c>
      <c r="J5663" s="6">
        <v>17494</v>
      </c>
      <c r="K5663" s="37" t="s">
        <v>9243</v>
      </c>
      <c r="L5663" s="119"/>
    </row>
    <row r="5664" spans="1:12" s="4" customFormat="1" ht="14.25" customHeight="1" x14ac:dyDescent="0.25">
      <c r="A5664" s="4" t="s">
        <v>9576</v>
      </c>
      <c r="B5664" s="4" t="s">
        <v>90</v>
      </c>
      <c r="C5664" s="4" t="s">
        <v>14</v>
      </c>
      <c r="D5664" s="35">
        <v>7668</v>
      </c>
      <c r="E5664" s="4" t="s">
        <v>9577</v>
      </c>
      <c r="F5664" s="5">
        <v>40225</v>
      </c>
      <c r="G5664" s="5">
        <v>40590</v>
      </c>
      <c r="H5664" s="4" t="s">
        <v>40</v>
      </c>
      <c r="I5664" s="6">
        <v>14673.94</v>
      </c>
      <c r="J5664" s="6">
        <v>7336.97</v>
      </c>
      <c r="K5664" s="37" t="s">
        <v>9243</v>
      </c>
      <c r="L5664" s="119"/>
    </row>
    <row r="5665" spans="1:12" s="4" customFormat="1" ht="14.25" customHeight="1" x14ac:dyDescent="0.25">
      <c r="A5665" s="4" t="s">
        <v>9578</v>
      </c>
      <c r="B5665" s="4" t="s">
        <v>190</v>
      </c>
      <c r="C5665" s="4" t="s">
        <v>14</v>
      </c>
      <c r="D5665" s="35">
        <v>7670</v>
      </c>
      <c r="E5665" s="4" t="s">
        <v>9579</v>
      </c>
      <c r="F5665" s="5">
        <v>40344</v>
      </c>
      <c r="G5665" s="5">
        <v>40709</v>
      </c>
      <c r="H5665" s="4" t="s">
        <v>40</v>
      </c>
      <c r="I5665" s="6">
        <v>3000</v>
      </c>
      <c r="J5665" s="6">
        <v>1500</v>
      </c>
      <c r="K5665" s="37" t="s">
        <v>9243</v>
      </c>
      <c r="L5665" s="119"/>
    </row>
    <row r="5666" spans="1:12" s="4" customFormat="1" ht="14.25" customHeight="1" x14ac:dyDescent="0.25">
      <c r="A5666" s="4" t="s">
        <v>9580</v>
      </c>
      <c r="B5666" s="4" t="s">
        <v>190</v>
      </c>
      <c r="C5666" s="4" t="s">
        <v>14</v>
      </c>
      <c r="D5666" s="35">
        <v>7671</v>
      </c>
      <c r="E5666" s="4" t="s">
        <v>9581</v>
      </c>
      <c r="F5666" s="5">
        <v>40253</v>
      </c>
      <c r="G5666" s="5">
        <v>40618</v>
      </c>
      <c r="H5666" s="4" t="s">
        <v>40</v>
      </c>
      <c r="I5666" s="6">
        <v>11250</v>
      </c>
      <c r="J5666" s="6">
        <v>11250</v>
      </c>
      <c r="K5666" s="37" t="s">
        <v>9243</v>
      </c>
      <c r="L5666" s="119"/>
    </row>
    <row r="5667" spans="1:12" s="4" customFormat="1" ht="14.25" customHeight="1" x14ac:dyDescent="0.25">
      <c r="A5667" s="4" t="s">
        <v>9584</v>
      </c>
      <c r="B5667" s="4" t="s">
        <v>190</v>
      </c>
      <c r="C5667" s="4" t="s">
        <v>14</v>
      </c>
      <c r="D5667" s="35">
        <v>7677</v>
      </c>
      <c r="E5667" s="4" t="s">
        <v>9585</v>
      </c>
      <c r="F5667" s="5">
        <v>40225</v>
      </c>
      <c r="G5667" s="5">
        <v>40590</v>
      </c>
      <c r="H5667" s="4" t="s">
        <v>40</v>
      </c>
      <c r="I5667" s="6">
        <v>14327.33</v>
      </c>
      <c r="J5667" s="6">
        <v>7163.61</v>
      </c>
      <c r="K5667" s="37" t="s">
        <v>9243</v>
      </c>
      <c r="L5667" s="119"/>
    </row>
    <row r="5668" spans="1:12" s="4" customFormat="1" ht="14.25" customHeight="1" x14ac:dyDescent="0.25">
      <c r="A5668" s="4" t="s">
        <v>9586</v>
      </c>
      <c r="B5668" s="4" t="s">
        <v>90</v>
      </c>
      <c r="C5668" s="4" t="s">
        <v>14</v>
      </c>
      <c r="D5668" s="35">
        <v>7680</v>
      </c>
      <c r="E5668" s="4" t="s">
        <v>9587</v>
      </c>
      <c r="F5668" s="5">
        <v>40344</v>
      </c>
      <c r="G5668" s="5">
        <v>40709</v>
      </c>
      <c r="H5668" s="4" t="s">
        <v>40</v>
      </c>
      <c r="I5668" s="6">
        <v>12999.99</v>
      </c>
      <c r="J5668" s="6">
        <v>6499.95</v>
      </c>
      <c r="K5668" s="37" t="s">
        <v>9243</v>
      </c>
      <c r="L5668" s="119"/>
    </row>
    <row r="5669" spans="1:12" s="4" customFormat="1" ht="14.25" customHeight="1" x14ac:dyDescent="0.25">
      <c r="A5669" s="4" t="s">
        <v>9588</v>
      </c>
      <c r="B5669" s="4" t="s">
        <v>183</v>
      </c>
      <c r="C5669" s="4" t="s">
        <v>14</v>
      </c>
      <c r="D5669" s="35">
        <v>7681</v>
      </c>
      <c r="E5669" s="4" t="s">
        <v>9589</v>
      </c>
      <c r="F5669" s="5">
        <v>40225</v>
      </c>
      <c r="G5669" s="5">
        <v>40590</v>
      </c>
      <c r="H5669" s="4" t="s">
        <v>40</v>
      </c>
      <c r="I5669" s="6">
        <v>27500</v>
      </c>
      <c r="J5669" s="6">
        <v>27500</v>
      </c>
      <c r="K5669" s="37" t="s">
        <v>9243</v>
      </c>
      <c r="L5669" s="119"/>
    </row>
    <row r="5670" spans="1:12" s="4" customFormat="1" ht="14.25" customHeight="1" x14ac:dyDescent="0.25">
      <c r="A5670" s="4" t="s">
        <v>9590</v>
      </c>
      <c r="B5670" s="4" t="s">
        <v>38</v>
      </c>
      <c r="C5670" s="4" t="s">
        <v>14</v>
      </c>
      <c r="D5670" s="35">
        <v>7718</v>
      </c>
      <c r="E5670" s="4" t="s">
        <v>9591</v>
      </c>
      <c r="F5670" s="5">
        <v>40290</v>
      </c>
      <c r="G5670" s="5">
        <v>41639</v>
      </c>
      <c r="H5670" s="4" t="s">
        <v>40</v>
      </c>
      <c r="I5670" s="6">
        <v>520</v>
      </c>
      <c r="J5670" s="6">
        <v>520</v>
      </c>
      <c r="K5670" s="37" t="s">
        <v>9243</v>
      </c>
      <c r="L5670" s="119"/>
    </row>
    <row r="5671" spans="1:12" s="4" customFormat="1" ht="14.25" customHeight="1" x14ac:dyDescent="0.25">
      <c r="A5671" s="4" t="s">
        <v>9592</v>
      </c>
      <c r="B5671" s="4" t="s">
        <v>38</v>
      </c>
      <c r="C5671" s="4" t="s">
        <v>14</v>
      </c>
      <c r="D5671" s="35">
        <v>7719</v>
      </c>
      <c r="E5671" s="4" t="s">
        <v>9593</v>
      </c>
      <c r="F5671" s="5">
        <v>40234</v>
      </c>
      <c r="G5671" s="5">
        <v>41639</v>
      </c>
      <c r="H5671" s="4" t="s">
        <v>40</v>
      </c>
      <c r="I5671" s="6">
        <v>1060</v>
      </c>
      <c r="J5671" s="6">
        <v>1060</v>
      </c>
      <c r="K5671" s="37" t="s">
        <v>9243</v>
      </c>
      <c r="L5671" s="119"/>
    </row>
    <row r="5672" spans="1:12" s="4" customFormat="1" ht="14.25" customHeight="1" x14ac:dyDescent="0.25">
      <c r="A5672" s="4" t="s">
        <v>9594</v>
      </c>
      <c r="B5672" s="4" t="s">
        <v>38</v>
      </c>
      <c r="C5672" s="4" t="s">
        <v>14</v>
      </c>
      <c r="D5672" s="35">
        <v>7720</v>
      </c>
      <c r="E5672" s="4" t="s">
        <v>9595</v>
      </c>
      <c r="F5672" s="5">
        <v>40262</v>
      </c>
      <c r="G5672" s="5">
        <v>41639</v>
      </c>
      <c r="H5672" s="4" t="s">
        <v>40</v>
      </c>
      <c r="I5672" s="6">
        <v>1235</v>
      </c>
      <c r="J5672" s="6">
        <v>1235</v>
      </c>
      <c r="K5672" s="37" t="s">
        <v>9243</v>
      </c>
      <c r="L5672" s="119"/>
    </row>
    <row r="5673" spans="1:12" s="4" customFormat="1" ht="14.25" customHeight="1" x14ac:dyDescent="0.25">
      <c r="A5673" s="4" t="s">
        <v>9596</v>
      </c>
      <c r="B5673" s="4" t="s">
        <v>190</v>
      </c>
      <c r="C5673" s="4" t="s">
        <v>14</v>
      </c>
      <c r="D5673" s="35">
        <v>7721</v>
      </c>
      <c r="E5673" s="4" t="s">
        <v>9597</v>
      </c>
      <c r="F5673" s="5">
        <v>40497</v>
      </c>
      <c r="G5673" s="5">
        <v>40862</v>
      </c>
      <c r="H5673" s="4" t="s">
        <v>40</v>
      </c>
      <c r="I5673" s="6">
        <v>7500</v>
      </c>
      <c r="J5673" s="6">
        <v>7500</v>
      </c>
      <c r="K5673" s="37" t="s">
        <v>9243</v>
      </c>
      <c r="L5673" s="119"/>
    </row>
    <row r="5674" spans="1:12" s="4" customFormat="1" ht="14.25" customHeight="1" x14ac:dyDescent="0.25">
      <c r="A5674" s="4" t="s">
        <v>9598</v>
      </c>
      <c r="B5674" s="4" t="s">
        <v>38</v>
      </c>
      <c r="C5674" s="4" t="s">
        <v>14</v>
      </c>
      <c r="D5674" s="35">
        <v>7722</v>
      </c>
      <c r="E5674" s="4" t="s">
        <v>9599</v>
      </c>
      <c r="F5674" s="5">
        <v>40318</v>
      </c>
      <c r="G5674" s="5">
        <v>41639</v>
      </c>
      <c r="H5674" s="4" t="s">
        <v>40</v>
      </c>
      <c r="I5674" s="6">
        <v>548.29999999999995</v>
      </c>
      <c r="J5674" s="6">
        <v>548.29999999999995</v>
      </c>
      <c r="K5674" s="37" t="s">
        <v>9243</v>
      </c>
      <c r="L5674" s="119"/>
    </row>
    <row r="5675" spans="1:12" ht="14.25" customHeight="1" x14ac:dyDescent="0.25">
      <c r="A5675" s="13" t="s">
        <v>11256</v>
      </c>
      <c r="B5675" s="13" t="s">
        <v>38</v>
      </c>
      <c r="C5675" s="13" t="s">
        <v>14</v>
      </c>
      <c r="D5675" s="19">
        <v>7724</v>
      </c>
      <c r="E5675" s="13" t="s">
        <v>11257</v>
      </c>
      <c r="F5675" s="14">
        <v>41275</v>
      </c>
      <c r="G5675" s="14">
        <v>41639</v>
      </c>
      <c r="H5675" s="13" t="s">
        <v>651</v>
      </c>
      <c r="I5675" s="18">
        <v>1960.11</v>
      </c>
      <c r="J5675" s="18">
        <v>1960.11</v>
      </c>
      <c r="K5675" s="20" t="s">
        <v>9243</v>
      </c>
      <c r="L5675" s="119"/>
    </row>
    <row r="5676" spans="1:12" s="4" customFormat="1" ht="14.25" customHeight="1" x14ac:dyDescent="0.25">
      <c r="A5676" s="4" t="s">
        <v>9600</v>
      </c>
      <c r="B5676" s="4" t="s">
        <v>38</v>
      </c>
      <c r="C5676" s="4" t="s">
        <v>14</v>
      </c>
      <c r="D5676" s="35">
        <v>7725</v>
      </c>
      <c r="E5676" s="4" t="s">
        <v>9601</v>
      </c>
      <c r="F5676" s="5">
        <v>40179</v>
      </c>
      <c r="G5676" s="5">
        <v>41639</v>
      </c>
      <c r="H5676" s="4" t="s">
        <v>40</v>
      </c>
      <c r="I5676" s="6">
        <v>15316.95</v>
      </c>
      <c r="J5676" s="6">
        <f>12118.95+3198</f>
        <v>15316.95</v>
      </c>
      <c r="K5676" s="37" t="s">
        <v>9243</v>
      </c>
      <c r="L5676" s="119"/>
    </row>
    <row r="5677" spans="1:12" s="4" customFormat="1" ht="14.25" customHeight="1" x14ac:dyDescent="0.25">
      <c r="A5677" s="4" t="s">
        <v>9602</v>
      </c>
      <c r="B5677" s="4" t="s">
        <v>90</v>
      </c>
      <c r="C5677" s="4" t="s">
        <v>14</v>
      </c>
      <c r="D5677" s="35">
        <v>8556</v>
      </c>
      <c r="E5677" s="4" t="s">
        <v>9603</v>
      </c>
      <c r="F5677" s="5">
        <v>40568</v>
      </c>
      <c r="G5677" s="5">
        <v>41274</v>
      </c>
      <c r="H5677" s="4" t="s">
        <v>40</v>
      </c>
      <c r="I5677" s="6">
        <v>30000</v>
      </c>
      <c r="J5677" s="6">
        <v>15000</v>
      </c>
      <c r="K5677" s="37" t="s">
        <v>9243</v>
      </c>
      <c r="L5677" s="119"/>
    </row>
    <row r="5678" spans="1:12" s="4" customFormat="1" ht="14.25" customHeight="1" x14ac:dyDescent="0.25">
      <c r="A5678" s="4" t="s">
        <v>9604</v>
      </c>
      <c r="B5678" s="4" t="s">
        <v>183</v>
      </c>
      <c r="C5678" s="4" t="s">
        <v>14</v>
      </c>
      <c r="D5678" s="35">
        <v>8557</v>
      </c>
      <c r="E5678" s="4" t="s">
        <v>9605</v>
      </c>
      <c r="F5678" s="5">
        <v>40687</v>
      </c>
      <c r="G5678" s="5">
        <v>41639</v>
      </c>
      <c r="H5678" s="4" t="s">
        <v>40</v>
      </c>
      <c r="I5678" s="6">
        <v>11250</v>
      </c>
      <c r="J5678" s="6">
        <v>11250</v>
      </c>
      <c r="K5678" s="37" t="s">
        <v>9243</v>
      </c>
      <c r="L5678" s="119"/>
    </row>
    <row r="5679" spans="1:12" s="4" customFormat="1" ht="14.25" customHeight="1" x14ac:dyDescent="0.25">
      <c r="A5679" s="4" t="s">
        <v>9606</v>
      </c>
      <c r="B5679" s="4" t="s">
        <v>183</v>
      </c>
      <c r="C5679" s="4" t="s">
        <v>14</v>
      </c>
      <c r="D5679" s="35">
        <v>8558</v>
      </c>
      <c r="E5679" s="4" t="s">
        <v>9607</v>
      </c>
      <c r="F5679" s="5">
        <v>40841</v>
      </c>
      <c r="G5679" s="5">
        <v>41639</v>
      </c>
      <c r="H5679" s="4" t="s">
        <v>40</v>
      </c>
      <c r="I5679" s="6">
        <v>3750</v>
      </c>
      <c r="J5679" s="6">
        <v>3750</v>
      </c>
      <c r="K5679" s="37" t="s">
        <v>9243</v>
      </c>
      <c r="L5679" s="119"/>
    </row>
    <row r="5680" spans="1:12" s="4" customFormat="1" ht="14.25" customHeight="1" x14ac:dyDescent="0.25">
      <c r="A5680" s="4" t="s">
        <v>9608</v>
      </c>
      <c r="B5680" s="4" t="s">
        <v>190</v>
      </c>
      <c r="C5680" s="4" t="s">
        <v>14</v>
      </c>
      <c r="D5680" s="35">
        <v>8573</v>
      </c>
      <c r="E5680" s="4" t="s">
        <v>9609</v>
      </c>
      <c r="F5680" s="5">
        <v>40659</v>
      </c>
      <c r="G5680" s="5">
        <v>41639</v>
      </c>
      <c r="H5680" s="4" t="s">
        <v>40</v>
      </c>
      <c r="I5680" s="6">
        <v>9996</v>
      </c>
      <c r="J5680" s="6">
        <v>4998</v>
      </c>
      <c r="K5680" s="37" t="s">
        <v>9243</v>
      </c>
      <c r="L5680" s="119"/>
    </row>
    <row r="5681" spans="1:13" s="4" customFormat="1" ht="14.25" customHeight="1" x14ac:dyDescent="0.25">
      <c r="A5681" s="4" t="s">
        <v>9610</v>
      </c>
      <c r="B5681" s="4" t="s">
        <v>183</v>
      </c>
      <c r="C5681" s="4" t="s">
        <v>14</v>
      </c>
      <c r="D5681" s="35">
        <v>8574</v>
      </c>
      <c r="E5681" s="4" t="s">
        <v>9611</v>
      </c>
      <c r="F5681" s="5">
        <v>40841</v>
      </c>
      <c r="G5681" s="5">
        <v>41639</v>
      </c>
      <c r="H5681" s="4" t="s">
        <v>40</v>
      </c>
      <c r="I5681" s="6">
        <v>3750</v>
      </c>
      <c r="J5681" s="6">
        <v>3750</v>
      </c>
      <c r="K5681" s="37" t="s">
        <v>9243</v>
      </c>
      <c r="L5681" s="119"/>
    </row>
    <row r="5682" spans="1:13" s="4" customFormat="1" ht="14.25" customHeight="1" x14ac:dyDescent="0.25">
      <c r="A5682" s="4" t="s">
        <v>9612</v>
      </c>
      <c r="B5682" s="4" t="s">
        <v>190</v>
      </c>
      <c r="C5682" s="4" t="s">
        <v>14</v>
      </c>
      <c r="D5682" s="35">
        <v>8575</v>
      </c>
      <c r="E5682" s="4" t="s">
        <v>9613</v>
      </c>
      <c r="F5682" s="5">
        <v>40568</v>
      </c>
      <c r="G5682" s="5">
        <v>41639</v>
      </c>
      <c r="H5682" s="4" t="s">
        <v>40</v>
      </c>
      <c r="I5682" s="6">
        <v>30000</v>
      </c>
      <c r="J5682" s="6">
        <v>30000</v>
      </c>
      <c r="K5682" s="37" t="s">
        <v>9243</v>
      </c>
      <c r="L5682" s="119"/>
    </row>
    <row r="5683" spans="1:13" s="4" customFormat="1" ht="14.25" customHeight="1" x14ac:dyDescent="0.25">
      <c r="A5683" s="4" t="s">
        <v>9614</v>
      </c>
      <c r="B5683" s="4" t="s">
        <v>183</v>
      </c>
      <c r="C5683" s="4" t="s">
        <v>14</v>
      </c>
      <c r="D5683" s="35">
        <v>8577</v>
      </c>
      <c r="E5683" s="4" t="s">
        <v>9615</v>
      </c>
      <c r="F5683" s="5">
        <v>40841</v>
      </c>
      <c r="G5683" s="5">
        <v>41639</v>
      </c>
      <c r="H5683" s="4" t="s">
        <v>40</v>
      </c>
      <c r="I5683" s="6">
        <v>3750</v>
      </c>
      <c r="J5683" s="6">
        <v>3750</v>
      </c>
      <c r="K5683" s="37" t="s">
        <v>9243</v>
      </c>
      <c r="L5683" s="119"/>
    </row>
    <row r="5684" spans="1:13" s="4" customFormat="1" ht="14.25" customHeight="1" x14ac:dyDescent="0.25">
      <c r="A5684" s="4" t="s">
        <v>9616</v>
      </c>
      <c r="B5684" s="4" t="s">
        <v>190</v>
      </c>
      <c r="C5684" s="4" t="s">
        <v>14</v>
      </c>
      <c r="D5684" s="35">
        <v>8578</v>
      </c>
      <c r="E5684" s="4" t="s">
        <v>9617</v>
      </c>
      <c r="F5684" s="5">
        <v>40869</v>
      </c>
      <c r="G5684" s="5">
        <v>41639</v>
      </c>
      <c r="H5684" s="4" t="s">
        <v>40</v>
      </c>
      <c r="I5684" s="6">
        <v>7500</v>
      </c>
      <c r="J5684" s="6">
        <v>7500</v>
      </c>
      <c r="K5684" s="37" t="s">
        <v>9243</v>
      </c>
      <c r="L5684" s="119"/>
    </row>
    <row r="5685" spans="1:13" s="4" customFormat="1" ht="14.25" customHeight="1" x14ac:dyDescent="0.25">
      <c r="A5685" s="4" t="s">
        <v>9618</v>
      </c>
      <c r="B5685" s="4" t="s">
        <v>190</v>
      </c>
      <c r="C5685" s="4" t="s">
        <v>14</v>
      </c>
      <c r="D5685" s="35">
        <v>8579</v>
      </c>
      <c r="E5685" s="4" t="s">
        <v>9619</v>
      </c>
      <c r="F5685" s="5">
        <v>40750</v>
      </c>
      <c r="G5685" s="5">
        <v>41639</v>
      </c>
      <c r="H5685" s="4" t="s">
        <v>40</v>
      </c>
      <c r="I5685" s="6">
        <v>3750</v>
      </c>
      <c r="J5685" s="6">
        <v>3750</v>
      </c>
      <c r="K5685" s="37" t="s">
        <v>9243</v>
      </c>
      <c r="L5685" s="119"/>
    </row>
    <row r="5686" spans="1:13" s="4" customFormat="1" ht="14.25" customHeight="1" x14ac:dyDescent="0.25">
      <c r="A5686" s="4" t="s">
        <v>9620</v>
      </c>
      <c r="B5686" s="4" t="s">
        <v>90</v>
      </c>
      <c r="C5686" s="4" t="s">
        <v>14</v>
      </c>
      <c r="D5686" s="35">
        <v>8581</v>
      </c>
      <c r="E5686" s="4" t="s">
        <v>9621</v>
      </c>
      <c r="F5686" s="5">
        <v>40599</v>
      </c>
      <c r="G5686" s="5">
        <v>41639</v>
      </c>
      <c r="H5686" s="4" t="s">
        <v>40</v>
      </c>
      <c r="I5686" s="6">
        <v>11140.5</v>
      </c>
      <c r="J5686" s="6">
        <v>5570.25</v>
      </c>
      <c r="K5686" s="37" t="s">
        <v>9243</v>
      </c>
      <c r="L5686" s="119"/>
    </row>
    <row r="5687" spans="1:13" s="4" customFormat="1" ht="14.25" customHeight="1" x14ac:dyDescent="0.25">
      <c r="A5687" s="4" t="s">
        <v>9622</v>
      </c>
      <c r="B5687" s="4" t="s">
        <v>90</v>
      </c>
      <c r="C5687" s="4" t="s">
        <v>14</v>
      </c>
      <c r="D5687" s="35">
        <v>8582</v>
      </c>
      <c r="E5687" s="4" t="s">
        <v>9623</v>
      </c>
      <c r="F5687" s="5">
        <v>40659</v>
      </c>
      <c r="G5687" s="5">
        <v>41639</v>
      </c>
      <c r="H5687" s="4" t="s">
        <v>40</v>
      </c>
      <c r="I5687" s="6">
        <v>9400</v>
      </c>
      <c r="J5687" s="6">
        <v>4700</v>
      </c>
      <c r="K5687" s="37" t="s">
        <v>9243</v>
      </c>
      <c r="L5687" s="119"/>
    </row>
    <row r="5688" spans="1:13" s="4" customFormat="1" ht="14.25" customHeight="1" x14ac:dyDescent="0.25">
      <c r="A5688" s="4" t="s">
        <v>9624</v>
      </c>
      <c r="B5688" s="4" t="s">
        <v>183</v>
      </c>
      <c r="C5688" s="4" t="s">
        <v>14</v>
      </c>
      <c r="D5688" s="35">
        <v>8583</v>
      </c>
      <c r="E5688" s="4" t="s">
        <v>9625</v>
      </c>
      <c r="F5688" s="5">
        <v>40687</v>
      </c>
      <c r="G5688" s="5">
        <v>41639</v>
      </c>
      <c r="H5688" s="4" t="s">
        <v>40</v>
      </c>
      <c r="I5688" s="6">
        <v>11250</v>
      </c>
      <c r="J5688" s="6">
        <v>11250</v>
      </c>
      <c r="K5688" s="37" t="s">
        <v>9243</v>
      </c>
      <c r="L5688" s="119"/>
    </row>
    <row r="5689" spans="1:13" s="4" customFormat="1" ht="14.25" customHeight="1" x14ac:dyDescent="0.25">
      <c r="A5689" s="4" t="s">
        <v>9626</v>
      </c>
      <c r="B5689" s="4" t="s">
        <v>90</v>
      </c>
      <c r="C5689" s="4" t="s">
        <v>14</v>
      </c>
      <c r="D5689" s="35">
        <v>8585</v>
      </c>
      <c r="E5689" s="4" t="s">
        <v>9627</v>
      </c>
      <c r="F5689" s="5">
        <v>40659</v>
      </c>
      <c r="G5689" s="5">
        <v>41639</v>
      </c>
      <c r="H5689" s="4" t="s">
        <v>40</v>
      </c>
      <c r="I5689" s="6">
        <v>9000</v>
      </c>
      <c r="J5689" s="6">
        <v>4500</v>
      </c>
      <c r="K5689" s="37" t="s">
        <v>9243</v>
      </c>
      <c r="L5689" s="119"/>
    </row>
    <row r="5690" spans="1:13" s="4" customFormat="1" ht="14.25" customHeight="1" x14ac:dyDescent="0.25">
      <c r="A5690" s="4" t="s">
        <v>9628</v>
      </c>
      <c r="B5690" s="4" t="s">
        <v>90</v>
      </c>
      <c r="C5690" s="4" t="s">
        <v>14</v>
      </c>
      <c r="D5690" s="35">
        <v>8586</v>
      </c>
      <c r="E5690" s="4" t="s">
        <v>9629</v>
      </c>
      <c r="F5690" s="5">
        <v>40568</v>
      </c>
      <c r="G5690" s="5">
        <v>41639</v>
      </c>
      <c r="H5690" s="4" t="s">
        <v>40</v>
      </c>
      <c r="I5690" s="6">
        <v>18923.36</v>
      </c>
      <c r="J5690" s="6">
        <v>9461.68</v>
      </c>
      <c r="K5690" s="37" t="s">
        <v>9243</v>
      </c>
      <c r="L5690" s="119"/>
    </row>
    <row r="5691" spans="1:13" s="4" customFormat="1" ht="14.25" customHeight="1" x14ac:dyDescent="0.25">
      <c r="A5691" s="4" t="s">
        <v>9630</v>
      </c>
      <c r="B5691" s="4" t="s">
        <v>190</v>
      </c>
      <c r="C5691" s="4" t="s">
        <v>14</v>
      </c>
      <c r="D5691" s="35">
        <v>8589</v>
      </c>
      <c r="E5691" s="4" t="s">
        <v>9631</v>
      </c>
      <c r="F5691" s="5">
        <v>40470</v>
      </c>
      <c r="G5691" s="5">
        <v>41639</v>
      </c>
      <c r="H5691" s="4" t="s">
        <v>40</v>
      </c>
      <c r="I5691" s="6">
        <v>30000</v>
      </c>
      <c r="J5691" s="6">
        <v>15000</v>
      </c>
      <c r="K5691" s="37" t="s">
        <v>9243</v>
      </c>
      <c r="L5691" s="119"/>
    </row>
    <row r="5692" spans="1:13" s="4" customFormat="1" ht="14.25" customHeight="1" x14ac:dyDescent="0.25">
      <c r="A5692" s="4" t="s">
        <v>9632</v>
      </c>
      <c r="B5692" s="4" t="s">
        <v>90</v>
      </c>
      <c r="C5692" s="4" t="s">
        <v>14</v>
      </c>
      <c r="D5692" s="35">
        <v>8590</v>
      </c>
      <c r="E5692" s="4" t="s">
        <v>9633</v>
      </c>
      <c r="F5692" s="5">
        <v>40659</v>
      </c>
      <c r="G5692" s="5">
        <v>41639</v>
      </c>
      <c r="H5692" s="4" t="s">
        <v>40</v>
      </c>
      <c r="I5692" s="6">
        <v>14900</v>
      </c>
      <c r="J5692" s="6">
        <v>7450</v>
      </c>
      <c r="K5692" s="37" t="s">
        <v>9243</v>
      </c>
      <c r="L5692" s="119"/>
      <c r="M5692" s="3"/>
    </row>
    <row r="5693" spans="1:13" s="4" customFormat="1" ht="14.25" customHeight="1" x14ac:dyDescent="0.25">
      <c r="A5693" s="4" t="s">
        <v>9634</v>
      </c>
      <c r="B5693" s="4" t="s">
        <v>190</v>
      </c>
      <c r="C5693" s="4" t="s">
        <v>14</v>
      </c>
      <c r="D5693" s="35">
        <v>8610</v>
      </c>
      <c r="E5693" s="4" t="s">
        <v>9635</v>
      </c>
      <c r="F5693" s="5">
        <v>40568</v>
      </c>
      <c r="G5693" s="5">
        <v>41639</v>
      </c>
      <c r="H5693" s="4" t="s">
        <v>40</v>
      </c>
      <c r="I5693" s="6">
        <v>19713.54</v>
      </c>
      <c r="J5693" s="6">
        <v>13606.77</v>
      </c>
      <c r="K5693" s="37" t="s">
        <v>9243</v>
      </c>
      <c r="L5693" s="119"/>
    </row>
    <row r="5694" spans="1:13" s="4" customFormat="1" ht="14.25" customHeight="1" x14ac:dyDescent="0.25">
      <c r="A5694" s="4" t="s">
        <v>9564</v>
      </c>
      <c r="B5694" s="4" t="s">
        <v>190</v>
      </c>
      <c r="C5694" s="4" t="s">
        <v>14</v>
      </c>
      <c r="D5694" s="35">
        <v>8612</v>
      </c>
      <c r="E5694" s="4" t="s">
        <v>9638</v>
      </c>
      <c r="F5694" s="5">
        <v>40497</v>
      </c>
      <c r="G5694" s="5">
        <v>41639</v>
      </c>
      <c r="H5694" s="4" t="s">
        <v>40</v>
      </c>
      <c r="I5694" s="6">
        <v>62500</v>
      </c>
      <c r="J5694" s="6">
        <f>7500+35000</f>
        <v>42500</v>
      </c>
      <c r="K5694" s="37" t="s">
        <v>9243</v>
      </c>
      <c r="L5694" s="119"/>
    </row>
    <row r="5695" spans="1:13" s="4" customFormat="1" ht="14.25" customHeight="1" x14ac:dyDescent="0.25">
      <c r="A5695" s="4" t="s">
        <v>9639</v>
      </c>
      <c r="B5695" s="4" t="s">
        <v>190</v>
      </c>
      <c r="C5695" s="4" t="s">
        <v>14</v>
      </c>
      <c r="D5695" s="35">
        <v>8614</v>
      </c>
      <c r="E5695" s="4" t="s">
        <v>9640</v>
      </c>
      <c r="F5695" s="5">
        <v>40815</v>
      </c>
      <c r="G5695" s="5">
        <v>41639</v>
      </c>
      <c r="H5695" s="4" t="s">
        <v>40</v>
      </c>
      <c r="I5695" s="6">
        <v>79086.14</v>
      </c>
      <c r="J5695" s="6">
        <v>39543.07</v>
      </c>
      <c r="K5695" s="37" t="s">
        <v>9243</v>
      </c>
      <c r="L5695" s="119"/>
    </row>
    <row r="5696" spans="1:13" s="4" customFormat="1" ht="14.25" customHeight="1" x14ac:dyDescent="0.25">
      <c r="A5696" s="4" t="s">
        <v>9643</v>
      </c>
      <c r="B5696" s="4" t="s">
        <v>190</v>
      </c>
      <c r="C5696" s="4" t="s">
        <v>14</v>
      </c>
      <c r="D5696" s="35">
        <v>8617</v>
      </c>
      <c r="E5696" s="4" t="s">
        <v>9644</v>
      </c>
      <c r="F5696" s="5">
        <v>40750</v>
      </c>
      <c r="G5696" s="5">
        <v>41639</v>
      </c>
      <c r="H5696" s="4" t="s">
        <v>40</v>
      </c>
      <c r="I5696" s="6">
        <v>6000</v>
      </c>
      <c r="J5696" s="6">
        <v>3000</v>
      </c>
      <c r="K5696" s="37" t="s">
        <v>9243</v>
      </c>
      <c r="L5696" s="119"/>
    </row>
    <row r="5697" spans="1:12" s="4" customFormat="1" ht="14.25" customHeight="1" x14ac:dyDescent="0.25">
      <c r="A5697" s="4" t="s">
        <v>9645</v>
      </c>
      <c r="B5697" s="4" t="s">
        <v>190</v>
      </c>
      <c r="C5697" s="4" t="s">
        <v>14</v>
      </c>
      <c r="D5697" s="35">
        <v>8618</v>
      </c>
      <c r="E5697" s="4" t="s">
        <v>9646</v>
      </c>
      <c r="F5697" s="5">
        <v>40869</v>
      </c>
      <c r="G5697" s="5">
        <v>41639</v>
      </c>
      <c r="H5697" s="4" t="s">
        <v>40</v>
      </c>
      <c r="I5697" s="6">
        <v>15000</v>
      </c>
      <c r="J5697" s="6">
        <v>15000</v>
      </c>
      <c r="K5697" s="37" t="s">
        <v>9243</v>
      </c>
      <c r="L5697" s="119"/>
    </row>
    <row r="5698" spans="1:12" s="4" customFormat="1" ht="14.25" customHeight="1" x14ac:dyDescent="0.25">
      <c r="A5698" s="4" t="s">
        <v>9647</v>
      </c>
      <c r="B5698" s="4" t="s">
        <v>38</v>
      </c>
      <c r="C5698" s="4" t="s">
        <v>14</v>
      </c>
      <c r="D5698" s="35">
        <v>9073</v>
      </c>
      <c r="E5698" s="4" t="s">
        <v>9648</v>
      </c>
      <c r="F5698" s="5">
        <v>40544</v>
      </c>
      <c r="G5698" s="5">
        <v>41639</v>
      </c>
      <c r="H5698" s="4" t="s">
        <v>40</v>
      </c>
      <c r="I5698" s="6">
        <v>4546</v>
      </c>
      <c r="J5698" s="6">
        <f>3325+1221</f>
        <v>4546</v>
      </c>
      <c r="K5698" s="37" t="s">
        <v>9243</v>
      </c>
      <c r="L5698" s="119"/>
    </row>
    <row r="5699" spans="1:12" s="4" customFormat="1" ht="14.25" customHeight="1" x14ac:dyDescent="0.25">
      <c r="A5699" s="4" t="s">
        <v>9649</v>
      </c>
      <c r="B5699" s="4" t="s">
        <v>38</v>
      </c>
      <c r="C5699" s="4" t="s">
        <v>14</v>
      </c>
      <c r="D5699" s="35">
        <v>9075</v>
      </c>
      <c r="E5699" s="4" t="s">
        <v>9650</v>
      </c>
      <c r="F5699" s="5">
        <v>40909</v>
      </c>
      <c r="G5699" s="5">
        <v>41274</v>
      </c>
      <c r="H5699" s="4" t="s">
        <v>40</v>
      </c>
      <c r="I5699" s="6">
        <v>254.9</v>
      </c>
      <c r="J5699" s="6">
        <v>254.9</v>
      </c>
      <c r="K5699" s="37" t="s">
        <v>9243</v>
      </c>
      <c r="L5699" s="119"/>
    </row>
    <row r="5700" spans="1:12" s="4" customFormat="1" ht="14.25" customHeight="1" x14ac:dyDescent="0.25">
      <c r="A5700" s="4" t="s">
        <v>9651</v>
      </c>
      <c r="B5700" s="4" t="s">
        <v>38</v>
      </c>
      <c r="C5700" s="4" t="s">
        <v>14</v>
      </c>
      <c r="D5700" s="35">
        <v>9077</v>
      </c>
      <c r="E5700" s="4" t="s">
        <v>9652</v>
      </c>
      <c r="F5700" s="5">
        <v>40544</v>
      </c>
      <c r="G5700" s="5">
        <v>41639</v>
      </c>
      <c r="H5700" s="4" t="s">
        <v>40</v>
      </c>
      <c r="I5700" s="6">
        <v>300</v>
      </c>
      <c r="J5700" s="6">
        <v>300</v>
      </c>
      <c r="K5700" s="37" t="s">
        <v>9243</v>
      </c>
      <c r="L5700" s="119"/>
    </row>
    <row r="5701" spans="1:12" s="4" customFormat="1" ht="14.25" customHeight="1" x14ac:dyDescent="0.25">
      <c r="A5701" s="4" t="s">
        <v>9653</v>
      </c>
      <c r="B5701" s="4" t="s">
        <v>38</v>
      </c>
      <c r="C5701" s="4" t="s">
        <v>14</v>
      </c>
      <c r="D5701" s="35">
        <v>9078</v>
      </c>
      <c r="E5701" s="4" t="s">
        <v>9654</v>
      </c>
      <c r="F5701" s="5">
        <v>40544</v>
      </c>
      <c r="G5701" s="5">
        <v>41639</v>
      </c>
      <c r="H5701" s="4" t="s">
        <v>40</v>
      </c>
      <c r="I5701" s="6">
        <v>845</v>
      </c>
      <c r="J5701" s="6">
        <v>845</v>
      </c>
      <c r="K5701" s="37" t="s">
        <v>9243</v>
      </c>
      <c r="L5701" s="119"/>
    </row>
    <row r="5702" spans="1:12" s="4" customFormat="1" ht="14.25" customHeight="1" x14ac:dyDescent="0.25">
      <c r="A5702" s="4" t="s">
        <v>9655</v>
      </c>
      <c r="B5702" s="4" t="s">
        <v>38</v>
      </c>
      <c r="C5702" s="4" t="s">
        <v>14</v>
      </c>
      <c r="D5702" s="35">
        <v>9079</v>
      </c>
      <c r="E5702" s="4" t="s">
        <v>9656</v>
      </c>
      <c r="F5702" s="5">
        <v>40909</v>
      </c>
      <c r="G5702" s="5">
        <v>41639</v>
      </c>
      <c r="H5702" s="4" t="s">
        <v>40</v>
      </c>
      <c r="I5702" s="6">
        <v>5571</v>
      </c>
      <c r="J5702" s="6">
        <f>3855+1716</f>
        <v>5571</v>
      </c>
      <c r="K5702" s="37" t="s">
        <v>9243</v>
      </c>
      <c r="L5702" s="119"/>
    </row>
    <row r="5703" spans="1:12" s="4" customFormat="1" ht="14.25" customHeight="1" x14ac:dyDescent="0.25">
      <c r="A5703" s="4" t="s">
        <v>9657</v>
      </c>
      <c r="B5703" s="4" t="s">
        <v>38</v>
      </c>
      <c r="C5703" s="4" t="s">
        <v>14</v>
      </c>
      <c r="D5703" s="35">
        <v>9080</v>
      </c>
      <c r="E5703" s="4" t="s">
        <v>9658</v>
      </c>
      <c r="F5703" s="5">
        <v>40544</v>
      </c>
      <c r="G5703" s="5">
        <v>41639</v>
      </c>
      <c r="H5703" s="4" t="s">
        <v>40</v>
      </c>
      <c r="I5703" s="6">
        <v>359.5</v>
      </c>
      <c r="J5703" s="6">
        <v>359.5</v>
      </c>
      <c r="K5703" s="37" t="s">
        <v>9243</v>
      </c>
      <c r="L5703" s="119"/>
    </row>
    <row r="5704" spans="1:12" s="4" customFormat="1" ht="14.25" customHeight="1" x14ac:dyDescent="0.25">
      <c r="A5704" s="4" t="s">
        <v>9659</v>
      </c>
      <c r="B5704" s="4" t="s">
        <v>38</v>
      </c>
      <c r="C5704" s="4" t="s">
        <v>14</v>
      </c>
      <c r="D5704" s="35">
        <v>9081</v>
      </c>
      <c r="E5704" s="4" t="s">
        <v>9660</v>
      </c>
      <c r="F5704" s="5">
        <v>40544</v>
      </c>
      <c r="G5704" s="5">
        <v>41274</v>
      </c>
      <c r="H5704" s="4" t="s">
        <v>40</v>
      </c>
      <c r="I5704" s="6">
        <v>1150</v>
      </c>
      <c r="J5704" s="6">
        <v>1150</v>
      </c>
      <c r="K5704" s="37" t="s">
        <v>9243</v>
      </c>
      <c r="L5704" s="119"/>
    </row>
    <row r="5705" spans="1:12" s="4" customFormat="1" ht="14.25" customHeight="1" x14ac:dyDescent="0.25">
      <c r="A5705" s="4" t="s">
        <v>9661</v>
      </c>
      <c r="B5705" s="4" t="s">
        <v>38</v>
      </c>
      <c r="C5705" s="4" t="s">
        <v>14</v>
      </c>
      <c r="D5705" s="35">
        <v>9082</v>
      </c>
      <c r="E5705" s="4" t="s">
        <v>9662</v>
      </c>
      <c r="F5705" s="5">
        <v>40544</v>
      </c>
      <c r="G5705" s="5">
        <v>41639</v>
      </c>
      <c r="H5705" s="4" t="s">
        <v>40</v>
      </c>
      <c r="I5705" s="6">
        <v>300</v>
      </c>
      <c r="J5705" s="6">
        <v>300</v>
      </c>
      <c r="K5705" s="37" t="s">
        <v>9243</v>
      </c>
      <c r="L5705" s="119"/>
    </row>
    <row r="5706" spans="1:12" s="4" customFormat="1" ht="14.25" customHeight="1" x14ac:dyDescent="0.25">
      <c r="A5706" s="4" t="s">
        <v>9663</v>
      </c>
      <c r="B5706" s="4" t="s">
        <v>38</v>
      </c>
      <c r="C5706" s="4" t="s">
        <v>14</v>
      </c>
      <c r="D5706" s="35">
        <v>9083</v>
      </c>
      <c r="E5706" s="4" t="s">
        <v>9664</v>
      </c>
      <c r="F5706" s="5">
        <v>40544</v>
      </c>
      <c r="G5706" s="5">
        <v>41639</v>
      </c>
      <c r="H5706" s="4" t="s">
        <v>40</v>
      </c>
      <c r="I5706" s="6">
        <v>1088</v>
      </c>
      <c r="J5706" s="6">
        <f>865+223</f>
        <v>1088</v>
      </c>
      <c r="K5706" s="37" t="s">
        <v>9243</v>
      </c>
      <c r="L5706" s="119"/>
    </row>
    <row r="5707" spans="1:12" s="4" customFormat="1" ht="14.25" customHeight="1" x14ac:dyDescent="0.25">
      <c r="A5707" s="4" t="s">
        <v>9665</v>
      </c>
      <c r="B5707" s="4" t="s">
        <v>38</v>
      </c>
      <c r="C5707" s="4" t="s">
        <v>14</v>
      </c>
      <c r="D5707" s="35">
        <v>9086</v>
      </c>
      <c r="E5707" s="4" t="s">
        <v>9666</v>
      </c>
      <c r="F5707" s="5">
        <v>40544</v>
      </c>
      <c r="G5707" s="5">
        <v>41609</v>
      </c>
      <c r="H5707" s="4" t="s">
        <v>40</v>
      </c>
      <c r="I5707" s="6">
        <v>1897.2</v>
      </c>
      <c r="J5707" s="6">
        <f>1256.2+641</f>
        <v>1897.2</v>
      </c>
      <c r="K5707" s="37" t="s">
        <v>9243</v>
      </c>
      <c r="L5707" s="119"/>
    </row>
    <row r="5708" spans="1:12" s="4" customFormat="1" ht="14.25" customHeight="1" x14ac:dyDescent="0.25">
      <c r="A5708" s="4" t="s">
        <v>9667</v>
      </c>
      <c r="B5708" s="4" t="s">
        <v>38</v>
      </c>
      <c r="C5708" s="4" t="s">
        <v>14</v>
      </c>
      <c r="D5708" s="35">
        <v>9089</v>
      </c>
      <c r="E5708" s="4" t="s">
        <v>9668</v>
      </c>
      <c r="F5708" s="5">
        <v>40544</v>
      </c>
      <c r="G5708" s="5">
        <v>41639</v>
      </c>
      <c r="H5708" s="4" t="s">
        <v>40</v>
      </c>
      <c r="I5708" s="6">
        <v>675</v>
      </c>
      <c r="J5708" s="6">
        <v>675</v>
      </c>
      <c r="K5708" s="37" t="s">
        <v>9243</v>
      </c>
      <c r="L5708" s="119"/>
    </row>
    <row r="5709" spans="1:12" s="4" customFormat="1" ht="14.25" customHeight="1" x14ac:dyDescent="0.25">
      <c r="A5709" s="4" t="s">
        <v>9669</v>
      </c>
      <c r="B5709" s="4" t="s">
        <v>38</v>
      </c>
      <c r="C5709" s="4" t="s">
        <v>14</v>
      </c>
      <c r="D5709" s="35">
        <v>9092</v>
      </c>
      <c r="E5709" s="4" t="s">
        <v>9670</v>
      </c>
      <c r="F5709" s="5">
        <v>40544</v>
      </c>
      <c r="G5709" s="5">
        <v>41274</v>
      </c>
      <c r="H5709" s="4" t="s">
        <v>40</v>
      </c>
      <c r="I5709" s="6">
        <v>1222.4000000000001</v>
      </c>
      <c r="J5709" s="6">
        <v>1222.4000000000001</v>
      </c>
      <c r="K5709" s="37" t="s">
        <v>9243</v>
      </c>
      <c r="L5709" s="119"/>
    </row>
    <row r="5710" spans="1:12" s="4" customFormat="1" ht="14.25" customHeight="1" x14ac:dyDescent="0.25">
      <c r="A5710" s="4" t="s">
        <v>9671</v>
      </c>
      <c r="B5710" s="4" t="s">
        <v>38</v>
      </c>
      <c r="C5710" s="4" t="s">
        <v>14</v>
      </c>
      <c r="D5710" s="35">
        <v>9095</v>
      </c>
      <c r="E5710" s="4" t="s">
        <v>9672</v>
      </c>
      <c r="F5710" s="5">
        <v>40544</v>
      </c>
      <c r="G5710" s="5">
        <v>41639</v>
      </c>
      <c r="H5710" s="4" t="s">
        <v>40</v>
      </c>
      <c r="I5710" s="6">
        <v>439.1</v>
      </c>
      <c r="J5710" s="6">
        <v>439.1</v>
      </c>
      <c r="K5710" s="37" t="s">
        <v>9243</v>
      </c>
      <c r="L5710" s="119"/>
    </row>
    <row r="5711" spans="1:12" s="4" customFormat="1" ht="14.25" customHeight="1" x14ac:dyDescent="0.25">
      <c r="A5711" s="4" t="s">
        <v>9673</v>
      </c>
      <c r="B5711" s="4" t="s">
        <v>38</v>
      </c>
      <c r="C5711" s="4" t="s">
        <v>14</v>
      </c>
      <c r="D5711" s="35">
        <v>9100</v>
      </c>
      <c r="E5711" s="4" t="s">
        <v>9674</v>
      </c>
      <c r="F5711" s="5">
        <v>40544</v>
      </c>
      <c r="G5711" s="5">
        <v>41639</v>
      </c>
      <c r="H5711" s="4" t="s">
        <v>40</v>
      </c>
      <c r="I5711" s="6">
        <v>2167</v>
      </c>
      <c r="J5711" s="6">
        <f>421+1746</f>
        <v>2167</v>
      </c>
      <c r="K5711" s="37" t="s">
        <v>9243</v>
      </c>
      <c r="L5711" s="119"/>
    </row>
    <row r="5712" spans="1:12" s="4" customFormat="1" ht="14.25" customHeight="1" x14ac:dyDescent="0.25">
      <c r="A5712" s="4" t="s">
        <v>9675</v>
      </c>
      <c r="B5712" s="4" t="s">
        <v>38</v>
      </c>
      <c r="C5712" s="4" t="s">
        <v>14</v>
      </c>
      <c r="D5712" s="35">
        <v>9201</v>
      </c>
      <c r="E5712" s="4" t="s">
        <v>9676</v>
      </c>
      <c r="F5712" s="5">
        <v>40544</v>
      </c>
      <c r="G5712" s="5">
        <v>41639</v>
      </c>
      <c r="H5712" s="4" t="s">
        <v>40</v>
      </c>
      <c r="I5712" s="6">
        <v>5804</v>
      </c>
      <c r="J5712" s="6">
        <f>1484+4320</f>
        <v>5804</v>
      </c>
      <c r="K5712" s="37" t="s">
        <v>9243</v>
      </c>
      <c r="L5712" s="119"/>
    </row>
    <row r="5713" spans="1:13" s="4" customFormat="1" ht="14.25" customHeight="1" x14ac:dyDescent="0.25">
      <c r="A5713" s="4" t="s">
        <v>6353</v>
      </c>
      <c r="B5713" s="4" t="s">
        <v>38</v>
      </c>
      <c r="C5713" s="4" t="s">
        <v>14</v>
      </c>
      <c r="D5713" s="35">
        <v>9202</v>
      </c>
      <c r="E5713" s="4" t="s">
        <v>9677</v>
      </c>
      <c r="F5713" s="5">
        <v>40544</v>
      </c>
      <c r="G5713" s="5">
        <v>41639</v>
      </c>
      <c r="H5713" s="4" t="s">
        <v>40</v>
      </c>
      <c r="I5713" s="6">
        <v>1936</v>
      </c>
      <c r="J5713" s="6">
        <v>1936</v>
      </c>
      <c r="K5713" s="37" t="s">
        <v>9243</v>
      </c>
      <c r="L5713" s="119"/>
    </row>
    <row r="5714" spans="1:13" s="4" customFormat="1" ht="14.25" customHeight="1" x14ac:dyDescent="0.25">
      <c r="A5714" s="4" t="s">
        <v>9678</v>
      </c>
      <c r="B5714" s="4" t="s">
        <v>38</v>
      </c>
      <c r="C5714" s="4" t="s">
        <v>14</v>
      </c>
      <c r="D5714" s="35">
        <v>9213</v>
      </c>
      <c r="E5714" s="4" t="s">
        <v>9679</v>
      </c>
      <c r="F5714" s="5">
        <v>40544</v>
      </c>
      <c r="G5714" s="5">
        <v>41639</v>
      </c>
      <c r="H5714" s="4" t="s">
        <v>40</v>
      </c>
      <c r="I5714" s="6">
        <v>58727</v>
      </c>
      <c r="J5714" s="6">
        <v>29363.5</v>
      </c>
      <c r="K5714" s="37" t="s">
        <v>9243</v>
      </c>
      <c r="L5714" s="119"/>
      <c r="M5714" s="3"/>
    </row>
    <row r="5715" spans="1:13" s="4" customFormat="1" ht="14.25" customHeight="1" x14ac:dyDescent="0.25">
      <c r="A5715" s="4" t="s">
        <v>9680</v>
      </c>
      <c r="B5715" s="4" t="s">
        <v>38</v>
      </c>
      <c r="C5715" s="4" t="s">
        <v>14</v>
      </c>
      <c r="D5715" s="35">
        <v>9214</v>
      </c>
      <c r="E5715" s="4" t="s">
        <v>9681</v>
      </c>
      <c r="F5715" s="5">
        <v>40544</v>
      </c>
      <c r="G5715" s="5">
        <v>41639</v>
      </c>
      <c r="H5715" s="4" t="s">
        <v>40</v>
      </c>
      <c r="I5715" s="6">
        <v>25145.54</v>
      </c>
      <c r="J5715" s="6">
        <v>12572.77</v>
      </c>
      <c r="K5715" s="37" t="s">
        <v>9243</v>
      </c>
      <c r="L5715" s="119"/>
    </row>
    <row r="5716" spans="1:13" s="4" customFormat="1" ht="14.25" customHeight="1" x14ac:dyDescent="0.25">
      <c r="A5716" s="4" t="s">
        <v>9682</v>
      </c>
      <c r="B5716" s="4" t="s">
        <v>38</v>
      </c>
      <c r="C5716" s="4" t="s">
        <v>14</v>
      </c>
      <c r="D5716" s="35">
        <v>10483</v>
      </c>
      <c r="E5716" s="4" t="s">
        <v>9683</v>
      </c>
      <c r="F5716" s="5">
        <v>40909</v>
      </c>
      <c r="G5716" s="5">
        <v>41639</v>
      </c>
      <c r="H5716" s="4" t="s">
        <v>40</v>
      </c>
      <c r="I5716" s="6">
        <v>1181</v>
      </c>
      <c r="J5716" s="6">
        <f>850+331.1</f>
        <v>1181.0999999999999</v>
      </c>
      <c r="K5716" s="37" t="s">
        <v>9243</v>
      </c>
      <c r="L5716" s="119"/>
    </row>
    <row r="5717" spans="1:13" s="4" customFormat="1" ht="14.25" customHeight="1" x14ac:dyDescent="0.25">
      <c r="A5717" s="4" t="s">
        <v>9684</v>
      </c>
      <c r="B5717" s="4" t="s">
        <v>38</v>
      </c>
      <c r="C5717" s="4" t="s">
        <v>14</v>
      </c>
      <c r="D5717" s="35">
        <v>10488</v>
      </c>
      <c r="E5717" s="4" t="s">
        <v>9685</v>
      </c>
      <c r="F5717" s="5">
        <v>40909</v>
      </c>
      <c r="G5717" s="5">
        <v>41244</v>
      </c>
      <c r="H5717" s="4" t="s">
        <v>40</v>
      </c>
      <c r="I5717" s="6">
        <v>2852.65</v>
      </c>
      <c r="J5717" s="6">
        <v>2852.65</v>
      </c>
      <c r="K5717" s="37" t="s">
        <v>9243</v>
      </c>
      <c r="L5717" s="119"/>
    </row>
    <row r="5718" spans="1:13" s="4" customFormat="1" ht="14.25" customHeight="1" x14ac:dyDescent="0.25">
      <c r="A5718" s="4" t="s">
        <v>9686</v>
      </c>
      <c r="B5718" s="4" t="s">
        <v>38</v>
      </c>
      <c r="C5718" s="4" t="s">
        <v>14</v>
      </c>
      <c r="D5718" s="35">
        <v>10490</v>
      </c>
      <c r="E5718" s="4" t="s">
        <v>9687</v>
      </c>
      <c r="F5718" s="5">
        <v>40909</v>
      </c>
      <c r="G5718" s="5">
        <v>41609</v>
      </c>
      <c r="H5718" s="4" t="s">
        <v>40</v>
      </c>
      <c r="I5718" s="6">
        <v>707.6</v>
      </c>
      <c r="J5718" s="6">
        <f>142.51+565.09</f>
        <v>707.6</v>
      </c>
      <c r="K5718" s="37" t="s">
        <v>9243</v>
      </c>
      <c r="L5718" s="119"/>
    </row>
    <row r="5719" spans="1:13" s="4" customFormat="1" ht="14.25" customHeight="1" x14ac:dyDescent="0.25">
      <c r="A5719" s="4" t="s">
        <v>9688</v>
      </c>
      <c r="B5719" s="4" t="s">
        <v>38</v>
      </c>
      <c r="C5719" s="4" t="s">
        <v>14</v>
      </c>
      <c r="D5719" s="35">
        <v>10492</v>
      </c>
      <c r="E5719" s="7" t="s">
        <v>9689</v>
      </c>
      <c r="F5719" s="5">
        <v>40909</v>
      </c>
      <c r="G5719" s="5">
        <v>41639</v>
      </c>
      <c r="H5719" s="4" t="s">
        <v>40</v>
      </c>
      <c r="I5719" s="6">
        <v>5272.5</v>
      </c>
      <c r="J5719" s="6">
        <f>2952+2320.5</f>
        <v>5272.5</v>
      </c>
      <c r="K5719" s="37" t="s">
        <v>9243</v>
      </c>
      <c r="L5719" s="119"/>
    </row>
    <row r="5720" spans="1:13" s="4" customFormat="1" ht="14.25" customHeight="1" x14ac:dyDescent="0.25">
      <c r="A5720" s="4" t="s">
        <v>9690</v>
      </c>
      <c r="B5720" s="4" t="s">
        <v>38</v>
      </c>
      <c r="C5720" s="4" t="s">
        <v>14</v>
      </c>
      <c r="D5720" s="35">
        <v>10493</v>
      </c>
      <c r="E5720" s="4" t="s">
        <v>9679</v>
      </c>
      <c r="F5720" s="5">
        <v>40909</v>
      </c>
      <c r="G5720" s="5">
        <v>41274</v>
      </c>
      <c r="H5720" s="4" t="s">
        <v>40</v>
      </c>
      <c r="I5720" s="6">
        <v>65709.600000000006</v>
      </c>
      <c r="J5720" s="6">
        <v>32854.800000000003</v>
      </c>
      <c r="K5720" s="37" t="s">
        <v>9243</v>
      </c>
      <c r="L5720" s="119"/>
    </row>
    <row r="5721" spans="1:13" s="4" customFormat="1" ht="14.25" customHeight="1" x14ac:dyDescent="0.25">
      <c r="A5721" s="4" t="s">
        <v>9691</v>
      </c>
      <c r="B5721" s="4" t="s">
        <v>38</v>
      </c>
      <c r="C5721" s="4" t="s">
        <v>14</v>
      </c>
      <c r="D5721" s="35">
        <v>10499</v>
      </c>
      <c r="E5721" s="4" t="s">
        <v>9692</v>
      </c>
      <c r="F5721" s="5">
        <v>40909</v>
      </c>
      <c r="G5721" s="5">
        <v>41639</v>
      </c>
      <c r="H5721" s="4" t="s">
        <v>40</v>
      </c>
      <c r="I5721" s="6">
        <v>10543.64</v>
      </c>
      <c r="J5721" s="6">
        <v>10543.64</v>
      </c>
      <c r="K5721" s="37" t="s">
        <v>9243</v>
      </c>
      <c r="L5721" s="119"/>
    </row>
    <row r="5722" spans="1:13" s="4" customFormat="1" ht="14.25" customHeight="1" x14ac:dyDescent="0.25">
      <c r="A5722" s="4" t="s">
        <v>9693</v>
      </c>
      <c r="B5722" s="4" t="s">
        <v>38</v>
      </c>
      <c r="C5722" s="4" t="s">
        <v>14</v>
      </c>
      <c r="D5722" s="35">
        <v>10500</v>
      </c>
      <c r="E5722" s="4" t="s">
        <v>9694</v>
      </c>
      <c r="F5722" s="5">
        <v>40909</v>
      </c>
      <c r="G5722" s="5">
        <v>41274</v>
      </c>
      <c r="H5722" s="4" t="s">
        <v>40</v>
      </c>
      <c r="I5722" s="6">
        <v>1294</v>
      </c>
      <c r="J5722" s="6">
        <v>1294</v>
      </c>
      <c r="K5722" s="37" t="s">
        <v>9243</v>
      </c>
      <c r="L5722" s="119"/>
    </row>
    <row r="5723" spans="1:13" s="4" customFormat="1" ht="14.25" customHeight="1" x14ac:dyDescent="0.25">
      <c r="A5723" s="4" t="s">
        <v>9695</v>
      </c>
      <c r="B5723" s="4" t="s">
        <v>38</v>
      </c>
      <c r="C5723" s="4" t="s">
        <v>14</v>
      </c>
      <c r="D5723" s="35">
        <v>10503</v>
      </c>
      <c r="E5723" s="4" t="s">
        <v>9696</v>
      </c>
      <c r="F5723" s="5">
        <v>40909</v>
      </c>
      <c r="G5723" s="5">
        <v>41609</v>
      </c>
      <c r="H5723" s="4" t="s">
        <v>40</v>
      </c>
      <c r="I5723" s="6">
        <v>3537.73</v>
      </c>
      <c r="J5723" s="6">
        <f>2270.45+1267.28</f>
        <v>3537.7299999999996</v>
      </c>
      <c r="K5723" s="37" t="s">
        <v>9243</v>
      </c>
      <c r="L5723" s="119"/>
    </row>
    <row r="5724" spans="1:13" s="4" customFormat="1" ht="14.25" customHeight="1" x14ac:dyDescent="0.25">
      <c r="A5724" s="4" t="s">
        <v>9697</v>
      </c>
      <c r="B5724" s="4" t="s">
        <v>38</v>
      </c>
      <c r="C5724" s="4" t="s">
        <v>14</v>
      </c>
      <c r="D5724" s="35">
        <v>10508</v>
      </c>
      <c r="E5724" s="4" t="s">
        <v>9698</v>
      </c>
      <c r="F5724" s="5">
        <v>40909</v>
      </c>
      <c r="G5724" s="5">
        <v>41639</v>
      </c>
      <c r="H5724" s="4" t="s">
        <v>40</v>
      </c>
      <c r="I5724" s="6">
        <v>3444.5</v>
      </c>
      <c r="J5724" s="6">
        <f>1930.25+1514.25</f>
        <v>3444.5</v>
      </c>
      <c r="K5724" s="37" t="s">
        <v>9243</v>
      </c>
      <c r="L5724" s="119"/>
    </row>
    <row r="5725" spans="1:13" s="4" customFormat="1" ht="14.25" customHeight="1" x14ac:dyDescent="0.25">
      <c r="A5725" s="4" t="s">
        <v>9699</v>
      </c>
      <c r="B5725" s="4" t="s">
        <v>38</v>
      </c>
      <c r="C5725" s="4" t="s">
        <v>14</v>
      </c>
      <c r="D5725" s="35">
        <v>10518</v>
      </c>
      <c r="E5725" s="4" t="s">
        <v>9700</v>
      </c>
      <c r="F5725" s="5">
        <v>40909</v>
      </c>
      <c r="G5725" s="5">
        <v>41274</v>
      </c>
      <c r="H5725" s="4" t="s">
        <v>40</v>
      </c>
      <c r="I5725" s="6">
        <v>1081.5</v>
      </c>
      <c r="J5725" s="6">
        <v>1081.5</v>
      </c>
      <c r="K5725" s="37" t="s">
        <v>9243</v>
      </c>
      <c r="L5725" s="119"/>
    </row>
    <row r="5726" spans="1:13" s="4" customFormat="1" ht="14.25" customHeight="1" x14ac:dyDescent="0.25">
      <c r="A5726" s="4" t="s">
        <v>9701</v>
      </c>
      <c r="B5726" s="4" t="s">
        <v>38</v>
      </c>
      <c r="C5726" s="4" t="s">
        <v>14</v>
      </c>
      <c r="D5726" s="35">
        <v>10520</v>
      </c>
      <c r="E5726" s="4" t="s">
        <v>9702</v>
      </c>
      <c r="F5726" s="5">
        <v>40909</v>
      </c>
      <c r="G5726" s="5">
        <v>41639</v>
      </c>
      <c r="H5726" s="4" t="s">
        <v>40</v>
      </c>
      <c r="I5726" s="6">
        <v>3310.24</v>
      </c>
      <c r="J5726" s="6">
        <v>3310.24</v>
      </c>
      <c r="K5726" s="37" t="s">
        <v>9243</v>
      </c>
      <c r="L5726" s="119"/>
    </row>
    <row r="5727" spans="1:13" s="4" customFormat="1" ht="14.25" customHeight="1" x14ac:dyDescent="0.25">
      <c r="A5727" s="4" t="s">
        <v>9703</v>
      </c>
      <c r="B5727" s="4" t="s">
        <v>38</v>
      </c>
      <c r="C5727" s="4" t="s">
        <v>14</v>
      </c>
      <c r="D5727" s="35">
        <v>10522</v>
      </c>
      <c r="E5727" s="4" t="s">
        <v>9681</v>
      </c>
      <c r="F5727" s="5">
        <v>40909</v>
      </c>
      <c r="G5727" s="5">
        <v>41639</v>
      </c>
      <c r="H5727" s="4" t="s">
        <v>40</v>
      </c>
      <c r="I5727" s="6">
        <v>48940.800000000003</v>
      </c>
      <c r="J5727" s="6">
        <f>9490.42+14979.98</f>
        <v>24470.400000000001</v>
      </c>
      <c r="K5727" s="37" t="s">
        <v>9243</v>
      </c>
      <c r="L5727" s="119"/>
    </row>
    <row r="5728" spans="1:13" s="4" customFormat="1" ht="14.25" customHeight="1" x14ac:dyDescent="0.25">
      <c r="A5728" s="4" t="s">
        <v>9704</v>
      </c>
      <c r="B5728" s="4" t="s">
        <v>38</v>
      </c>
      <c r="C5728" s="4" t="s">
        <v>14</v>
      </c>
      <c r="D5728" s="35">
        <v>10524</v>
      </c>
      <c r="E5728" s="4" t="s">
        <v>9705</v>
      </c>
      <c r="F5728" s="5">
        <v>40909</v>
      </c>
      <c r="G5728" s="5">
        <v>41274</v>
      </c>
      <c r="H5728" s="4" t="s">
        <v>40</v>
      </c>
      <c r="I5728" s="6">
        <v>18233</v>
      </c>
      <c r="J5728" s="6">
        <v>18233</v>
      </c>
      <c r="K5728" s="37" t="s">
        <v>9243</v>
      </c>
      <c r="L5728" s="119"/>
    </row>
    <row r="5729" spans="1:13" s="4" customFormat="1" ht="14.25" customHeight="1" x14ac:dyDescent="0.25">
      <c r="A5729" s="4" t="s">
        <v>9708</v>
      </c>
      <c r="B5729" s="4" t="s">
        <v>183</v>
      </c>
      <c r="C5729" s="4" t="s">
        <v>14</v>
      </c>
      <c r="D5729" s="35">
        <v>10526</v>
      </c>
      <c r="E5729" s="4" t="s">
        <v>9709</v>
      </c>
      <c r="F5729" s="5">
        <v>40939</v>
      </c>
      <c r="G5729" s="5">
        <v>41274</v>
      </c>
      <c r="H5729" s="4" t="s">
        <v>40</v>
      </c>
      <c r="I5729" s="6">
        <v>15000</v>
      </c>
      <c r="J5729" s="6">
        <v>15000</v>
      </c>
      <c r="K5729" s="37" t="s">
        <v>9243</v>
      </c>
      <c r="L5729" s="119"/>
    </row>
    <row r="5730" spans="1:13" s="4" customFormat="1" ht="14.25" customHeight="1" x14ac:dyDescent="0.25">
      <c r="A5730" s="4" t="s">
        <v>9712</v>
      </c>
      <c r="B5730" s="4" t="s">
        <v>190</v>
      </c>
      <c r="C5730" s="4" t="s">
        <v>14</v>
      </c>
      <c r="D5730" s="35">
        <v>10528</v>
      </c>
      <c r="E5730" s="4" t="s">
        <v>9713</v>
      </c>
      <c r="F5730" s="5">
        <v>40939</v>
      </c>
      <c r="G5730" s="5">
        <v>41274</v>
      </c>
      <c r="H5730" s="4" t="s">
        <v>40</v>
      </c>
      <c r="I5730" s="6">
        <v>55994.080000000002</v>
      </c>
      <c r="J5730" s="6">
        <v>27997.040000000001</v>
      </c>
      <c r="K5730" s="37" t="s">
        <v>9243</v>
      </c>
      <c r="L5730" s="119"/>
    </row>
    <row r="5731" spans="1:13" s="4" customFormat="1" ht="14.25" customHeight="1" x14ac:dyDescent="0.25">
      <c r="A5731" s="4" t="s">
        <v>9714</v>
      </c>
      <c r="B5731" s="4" t="s">
        <v>90</v>
      </c>
      <c r="C5731" s="4" t="s">
        <v>14</v>
      </c>
      <c r="D5731" s="35">
        <v>10530</v>
      </c>
      <c r="E5731" s="4" t="s">
        <v>9715</v>
      </c>
      <c r="F5731" s="5">
        <v>40939</v>
      </c>
      <c r="G5731" s="5">
        <v>41274</v>
      </c>
      <c r="H5731" s="4" t="s">
        <v>40</v>
      </c>
      <c r="I5731" s="6">
        <v>4850</v>
      </c>
      <c r="J5731" s="6">
        <v>2425</v>
      </c>
      <c r="K5731" s="37" t="s">
        <v>9243</v>
      </c>
      <c r="L5731" s="119"/>
      <c r="M5731" s="3"/>
    </row>
    <row r="5732" spans="1:13" s="4" customFormat="1" ht="14.25" customHeight="1" x14ac:dyDescent="0.25">
      <c r="A5732" s="4" t="s">
        <v>9716</v>
      </c>
      <c r="B5732" s="4" t="s">
        <v>190</v>
      </c>
      <c r="C5732" s="4" t="s">
        <v>14</v>
      </c>
      <c r="D5732" s="35">
        <v>10531</v>
      </c>
      <c r="E5732" s="4" t="s">
        <v>9617</v>
      </c>
      <c r="F5732" s="5">
        <v>40967</v>
      </c>
      <c r="G5732" s="5">
        <v>41274</v>
      </c>
      <c r="H5732" s="4" t="s">
        <v>40</v>
      </c>
      <c r="I5732" s="6">
        <v>15000</v>
      </c>
      <c r="J5732" s="6">
        <v>15000</v>
      </c>
      <c r="K5732" s="37" t="s">
        <v>9243</v>
      </c>
      <c r="L5732" s="119"/>
      <c r="M5732" s="3"/>
    </row>
    <row r="5733" spans="1:13" s="4" customFormat="1" ht="14.25" customHeight="1" x14ac:dyDescent="0.25">
      <c r="A5733" s="4" t="s">
        <v>9717</v>
      </c>
      <c r="B5733" s="4" t="s">
        <v>183</v>
      </c>
      <c r="C5733" s="4" t="s">
        <v>14</v>
      </c>
      <c r="D5733" s="35">
        <v>10532</v>
      </c>
      <c r="E5733" s="4" t="s">
        <v>9718</v>
      </c>
      <c r="F5733" s="5">
        <v>41170</v>
      </c>
      <c r="G5733" s="5">
        <v>41274</v>
      </c>
      <c r="H5733" s="4" t="s">
        <v>40</v>
      </c>
      <c r="I5733" s="6">
        <v>1247.26</v>
      </c>
      <c r="J5733" s="6">
        <v>623.63</v>
      </c>
      <c r="K5733" s="37" t="s">
        <v>9243</v>
      </c>
      <c r="L5733" s="119"/>
      <c r="M5733" s="3"/>
    </row>
    <row r="5734" spans="1:13" s="4" customFormat="1" ht="14.25" customHeight="1" x14ac:dyDescent="0.25">
      <c r="A5734" s="4" t="s">
        <v>9719</v>
      </c>
      <c r="B5734" s="4" t="s">
        <v>183</v>
      </c>
      <c r="C5734" s="4" t="s">
        <v>14</v>
      </c>
      <c r="D5734" s="35">
        <v>10534</v>
      </c>
      <c r="E5734" s="4" t="s">
        <v>9720</v>
      </c>
      <c r="F5734" s="5">
        <v>40939</v>
      </c>
      <c r="G5734" s="5">
        <v>41274</v>
      </c>
      <c r="H5734" s="4" t="s">
        <v>40</v>
      </c>
      <c r="I5734" s="6">
        <v>17152.52</v>
      </c>
      <c r="J5734" s="6">
        <v>16076.29</v>
      </c>
      <c r="K5734" s="37" t="s">
        <v>9243</v>
      </c>
      <c r="L5734" s="119"/>
      <c r="M5734" s="3"/>
    </row>
    <row r="5735" spans="1:13" s="4" customFormat="1" ht="14.25" customHeight="1" x14ac:dyDescent="0.25">
      <c r="A5735" s="4" t="s">
        <v>9721</v>
      </c>
      <c r="B5735" s="4" t="s">
        <v>190</v>
      </c>
      <c r="C5735" s="4" t="s">
        <v>14</v>
      </c>
      <c r="D5735" s="35">
        <v>10536</v>
      </c>
      <c r="E5735" s="4" t="s">
        <v>9722</v>
      </c>
      <c r="F5735" s="5">
        <v>41205</v>
      </c>
      <c r="G5735" s="5">
        <v>41274</v>
      </c>
      <c r="H5735" s="4" t="s">
        <v>40</v>
      </c>
      <c r="I5735" s="6">
        <v>200000</v>
      </c>
      <c r="J5735" s="6">
        <v>100000</v>
      </c>
      <c r="K5735" s="37" t="s">
        <v>9243</v>
      </c>
      <c r="L5735" s="119"/>
      <c r="M5735" s="3"/>
    </row>
    <row r="5736" spans="1:13" s="4" customFormat="1" ht="14.25" customHeight="1" x14ac:dyDescent="0.25">
      <c r="A5736" s="4" t="s">
        <v>9723</v>
      </c>
      <c r="B5736" s="4" t="s">
        <v>190</v>
      </c>
      <c r="C5736" s="4" t="s">
        <v>14</v>
      </c>
      <c r="D5736" s="35">
        <v>10537</v>
      </c>
      <c r="E5736" s="4" t="s">
        <v>9724</v>
      </c>
      <c r="F5736" s="5">
        <v>41170</v>
      </c>
      <c r="G5736" s="5">
        <v>41274</v>
      </c>
      <c r="H5736" s="4" t="s">
        <v>40</v>
      </c>
      <c r="I5736" s="6">
        <v>800</v>
      </c>
      <c r="J5736" s="6">
        <v>400</v>
      </c>
      <c r="K5736" s="37" t="s">
        <v>9243</v>
      </c>
      <c r="L5736" s="119"/>
      <c r="M5736" s="3"/>
    </row>
    <row r="5737" spans="1:13" s="4" customFormat="1" ht="14.25" customHeight="1" x14ac:dyDescent="0.25">
      <c r="A5737" s="4" t="s">
        <v>9727</v>
      </c>
      <c r="B5737" s="4" t="s">
        <v>90</v>
      </c>
      <c r="C5737" s="4" t="s">
        <v>14</v>
      </c>
      <c r="D5737" s="35">
        <v>10539</v>
      </c>
      <c r="E5737" s="4" t="s">
        <v>9728</v>
      </c>
      <c r="F5737" s="5">
        <v>40967</v>
      </c>
      <c r="G5737" s="5">
        <v>41274</v>
      </c>
      <c r="H5737" s="4" t="s">
        <v>40</v>
      </c>
      <c r="I5737" s="6">
        <v>4000</v>
      </c>
      <c r="J5737" s="6">
        <v>2000</v>
      </c>
      <c r="K5737" s="37" t="s">
        <v>9243</v>
      </c>
      <c r="L5737" s="119"/>
      <c r="M5737" s="3"/>
    </row>
    <row r="5738" spans="1:13" s="4" customFormat="1" ht="14.25" customHeight="1" x14ac:dyDescent="0.25">
      <c r="A5738" s="4" t="s">
        <v>9729</v>
      </c>
      <c r="B5738" s="4" t="s">
        <v>190</v>
      </c>
      <c r="C5738" s="4" t="s">
        <v>14</v>
      </c>
      <c r="D5738" s="35">
        <v>10540</v>
      </c>
      <c r="E5738" s="4" t="s">
        <v>9730</v>
      </c>
      <c r="F5738" s="5">
        <v>40939</v>
      </c>
      <c r="G5738" s="5">
        <v>41274</v>
      </c>
      <c r="H5738" s="4" t="s">
        <v>40</v>
      </c>
      <c r="I5738" s="6">
        <v>17566</v>
      </c>
      <c r="J5738" s="6">
        <v>12533</v>
      </c>
      <c r="K5738" s="37" t="s">
        <v>9243</v>
      </c>
      <c r="L5738" s="119"/>
      <c r="M5738" s="3"/>
    </row>
    <row r="5739" spans="1:13" s="4" customFormat="1" ht="14.25" customHeight="1" x14ac:dyDescent="0.25">
      <c r="A5739" s="4" t="s">
        <v>9731</v>
      </c>
      <c r="B5739" s="4" t="s">
        <v>190</v>
      </c>
      <c r="C5739" s="4" t="s">
        <v>14</v>
      </c>
      <c r="D5739" s="35">
        <v>10548</v>
      </c>
      <c r="E5739" s="4" t="s">
        <v>9732</v>
      </c>
      <c r="F5739" s="5">
        <v>41086</v>
      </c>
      <c r="G5739" s="5">
        <v>41274</v>
      </c>
      <c r="H5739" s="4" t="s">
        <v>40</v>
      </c>
      <c r="I5739" s="6">
        <v>5000</v>
      </c>
      <c r="J5739" s="6">
        <v>5000</v>
      </c>
      <c r="K5739" s="37" t="s">
        <v>9243</v>
      </c>
      <c r="L5739" s="119"/>
      <c r="M5739" s="3"/>
    </row>
    <row r="5740" spans="1:13" s="4" customFormat="1" ht="14.25" customHeight="1" x14ac:dyDescent="0.25">
      <c r="A5740" s="4" t="s">
        <v>9735</v>
      </c>
      <c r="B5740" s="4" t="s">
        <v>190</v>
      </c>
      <c r="C5740" s="4" t="s">
        <v>14</v>
      </c>
      <c r="D5740" s="35">
        <v>10550</v>
      </c>
      <c r="E5740" s="4" t="s">
        <v>9736</v>
      </c>
      <c r="F5740" s="5">
        <v>41002</v>
      </c>
      <c r="G5740" s="5">
        <v>41274</v>
      </c>
      <c r="H5740" s="4" t="s">
        <v>40</v>
      </c>
      <c r="I5740" s="6">
        <v>4150</v>
      </c>
      <c r="J5740" s="6">
        <v>3950</v>
      </c>
      <c r="K5740" s="37" t="s">
        <v>9243</v>
      </c>
      <c r="L5740" s="119"/>
      <c r="M5740" s="3"/>
    </row>
    <row r="5741" spans="1:13" s="4" customFormat="1" ht="14.25" customHeight="1" x14ac:dyDescent="0.25">
      <c r="A5741" s="4" t="s">
        <v>9737</v>
      </c>
      <c r="B5741" s="4" t="s">
        <v>190</v>
      </c>
      <c r="C5741" s="4" t="s">
        <v>14</v>
      </c>
      <c r="D5741" s="35">
        <v>10551</v>
      </c>
      <c r="E5741" s="4" t="s">
        <v>9738</v>
      </c>
      <c r="F5741" s="5">
        <v>40939</v>
      </c>
      <c r="G5741" s="5">
        <v>41274</v>
      </c>
      <c r="H5741" s="4" t="s">
        <v>40</v>
      </c>
      <c r="I5741" s="6">
        <v>3800</v>
      </c>
      <c r="J5741" s="6">
        <v>1900</v>
      </c>
      <c r="K5741" s="37" t="s">
        <v>9243</v>
      </c>
      <c r="L5741" s="119"/>
      <c r="M5741" s="3"/>
    </row>
    <row r="5742" spans="1:13" s="4" customFormat="1" ht="14.25" customHeight="1" x14ac:dyDescent="0.25">
      <c r="A5742" s="4" t="s">
        <v>9739</v>
      </c>
      <c r="B5742" s="4" t="s">
        <v>190</v>
      </c>
      <c r="C5742" s="4" t="s">
        <v>14</v>
      </c>
      <c r="D5742" s="35">
        <v>10552</v>
      </c>
      <c r="E5742" s="4" t="s">
        <v>9740</v>
      </c>
      <c r="F5742" s="5">
        <v>40967</v>
      </c>
      <c r="G5742" s="5">
        <v>41274</v>
      </c>
      <c r="H5742" s="4" t="s">
        <v>40</v>
      </c>
      <c r="I5742" s="6">
        <v>22500</v>
      </c>
      <c r="J5742" s="6">
        <v>22500</v>
      </c>
      <c r="K5742" s="37" t="s">
        <v>9243</v>
      </c>
      <c r="L5742" s="119"/>
      <c r="M5742" s="3"/>
    </row>
    <row r="5743" spans="1:13" s="4" customFormat="1" ht="14.25" customHeight="1" x14ac:dyDescent="0.25">
      <c r="A5743" s="4" t="s">
        <v>9741</v>
      </c>
      <c r="B5743" s="4" t="s">
        <v>90</v>
      </c>
      <c r="C5743" s="4" t="s">
        <v>14</v>
      </c>
      <c r="D5743" s="35">
        <v>10553</v>
      </c>
      <c r="E5743" s="4" t="s">
        <v>9742</v>
      </c>
      <c r="F5743" s="5">
        <v>40659</v>
      </c>
      <c r="G5743" s="5">
        <v>41274</v>
      </c>
      <c r="H5743" s="4" t="s">
        <v>40</v>
      </c>
      <c r="I5743" s="6">
        <v>7243.74</v>
      </c>
      <c r="J5743" s="6">
        <v>3621.8</v>
      </c>
      <c r="K5743" s="37" t="s">
        <v>9243</v>
      </c>
      <c r="L5743" s="119"/>
      <c r="M5743" s="3"/>
    </row>
    <row r="5744" spans="1:13" s="4" customFormat="1" ht="14.25" customHeight="1" x14ac:dyDescent="0.25">
      <c r="A5744" s="4" t="s">
        <v>9743</v>
      </c>
      <c r="B5744" s="4" t="s">
        <v>190</v>
      </c>
      <c r="C5744" s="4" t="s">
        <v>14</v>
      </c>
      <c r="D5744" s="35">
        <v>10554</v>
      </c>
      <c r="E5744" s="4" t="s">
        <v>9744</v>
      </c>
      <c r="F5744" s="5">
        <v>41240</v>
      </c>
      <c r="G5744" s="5">
        <v>41274</v>
      </c>
      <c r="H5744" s="4" t="s">
        <v>40</v>
      </c>
      <c r="I5744" s="6">
        <v>43370</v>
      </c>
      <c r="J5744" s="6">
        <v>21685</v>
      </c>
      <c r="K5744" s="37" t="s">
        <v>9243</v>
      </c>
      <c r="L5744" s="119"/>
      <c r="M5744" s="3"/>
    </row>
    <row r="5745" spans="1:13" s="4" customFormat="1" ht="14.25" customHeight="1" x14ac:dyDescent="0.25">
      <c r="A5745" s="4" t="s">
        <v>9745</v>
      </c>
      <c r="B5745" s="4" t="s">
        <v>190</v>
      </c>
      <c r="C5745" s="4" t="s">
        <v>14</v>
      </c>
      <c r="D5745" s="35">
        <v>10555</v>
      </c>
      <c r="E5745" s="4" t="s">
        <v>9746</v>
      </c>
      <c r="F5745" s="5">
        <v>41051</v>
      </c>
      <c r="G5745" s="5">
        <v>41274</v>
      </c>
      <c r="H5745" s="4" t="s">
        <v>40</v>
      </c>
      <c r="I5745" s="6">
        <v>10129.379999999999</v>
      </c>
      <c r="J5745" s="6">
        <v>8814.69</v>
      </c>
      <c r="K5745" s="37" t="s">
        <v>9243</v>
      </c>
      <c r="L5745" s="119"/>
      <c r="M5745" s="3"/>
    </row>
    <row r="5746" spans="1:13" s="4" customFormat="1" ht="14.25" customHeight="1" x14ac:dyDescent="0.25">
      <c r="A5746" s="4" t="s">
        <v>9747</v>
      </c>
      <c r="B5746" s="4" t="s">
        <v>38</v>
      </c>
      <c r="C5746" s="4" t="s">
        <v>14</v>
      </c>
      <c r="D5746" s="35">
        <v>10571</v>
      </c>
      <c r="E5746" s="4" t="s">
        <v>9438</v>
      </c>
      <c r="F5746" s="5">
        <v>40909</v>
      </c>
      <c r="G5746" s="5">
        <v>41244</v>
      </c>
      <c r="H5746" s="4" t="s">
        <v>40</v>
      </c>
      <c r="I5746" s="6">
        <v>955.4</v>
      </c>
      <c r="J5746" s="6">
        <v>955.4</v>
      </c>
      <c r="K5746" s="37" t="s">
        <v>9243</v>
      </c>
      <c r="L5746" s="119"/>
      <c r="M5746" s="3"/>
    </row>
    <row r="5747" spans="1:13" s="4" customFormat="1" ht="14.25" customHeight="1" x14ac:dyDescent="0.25">
      <c r="A5747" s="4" t="s">
        <v>9520</v>
      </c>
      <c r="B5747" s="4" t="s">
        <v>38</v>
      </c>
      <c r="C5747" s="4" t="s">
        <v>14</v>
      </c>
      <c r="D5747" s="35">
        <v>10572</v>
      </c>
      <c r="E5747" s="4" t="s">
        <v>9521</v>
      </c>
      <c r="F5747" s="5">
        <v>40909</v>
      </c>
      <c r="G5747" s="5">
        <v>41639</v>
      </c>
      <c r="H5747" s="4" t="s">
        <v>40</v>
      </c>
      <c r="I5747" s="6">
        <v>864.19</v>
      </c>
      <c r="J5747" s="6">
        <f>533.3+330.89</f>
        <v>864.18999999999994</v>
      </c>
      <c r="K5747" s="37" t="s">
        <v>9243</v>
      </c>
      <c r="L5747" s="119"/>
      <c r="M5747" s="3"/>
    </row>
    <row r="5748" spans="1:13" ht="14.25" customHeight="1" x14ac:dyDescent="0.25">
      <c r="A5748" s="13" t="s">
        <v>11258</v>
      </c>
      <c r="B5748" s="13" t="s">
        <v>10195</v>
      </c>
      <c r="C5748" s="13" t="s">
        <v>14</v>
      </c>
      <c r="D5748" s="19">
        <v>12192</v>
      </c>
      <c r="E5748" s="13" t="s">
        <v>11259</v>
      </c>
      <c r="F5748" s="14">
        <v>40994</v>
      </c>
      <c r="G5748" s="14">
        <v>41359</v>
      </c>
      <c r="H5748" s="13" t="s">
        <v>651</v>
      </c>
      <c r="I5748" s="18">
        <v>8248.6200000000008</v>
      </c>
      <c r="J5748" s="18">
        <v>7874.31</v>
      </c>
      <c r="K5748" s="20" t="s">
        <v>9243</v>
      </c>
      <c r="L5748" s="119"/>
    </row>
    <row r="5749" spans="1:13" ht="14.25" customHeight="1" x14ac:dyDescent="0.25">
      <c r="A5749" s="13" t="s">
        <v>11260</v>
      </c>
      <c r="B5749" s="13" t="s">
        <v>10192</v>
      </c>
      <c r="C5749" s="13" t="s">
        <v>14</v>
      </c>
      <c r="D5749" s="19">
        <v>12193</v>
      </c>
      <c r="E5749" s="13" t="s">
        <v>11261</v>
      </c>
      <c r="F5749" s="14">
        <v>41569</v>
      </c>
      <c r="G5749" s="14">
        <v>41639</v>
      </c>
      <c r="H5749" s="13" t="s">
        <v>651</v>
      </c>
      <c r="I5749" s="18">
        <v>3750</v>
      </c>
      <c r="J5749" s="18">
        <v>3750</v>
      </c>
      <c r="K5749" s="20" t="s">
        <v>9243</v>
      </c>
      <c r="L5749" s="119"/>
    </row>
    <row r="5750" spans="1:13" ht="14.25" customHeight="1" x14ac:dyDescent="0.25">
      <c r="A5750" s="13" t="s">
        <v>11262</v>
      </c>
      <c r="B5750" s="13" t="s">
        <v>10192</v>
      </c>
      <c r="C5750" s="13" t="s">
        <v>14</v>
      </c>
      <c r="D5750" s="19">
        <v>12194</v>
      </c>
      <c r="E5750" s="13" t="s">
        <v>11263</v>
      </c>
      <c r="F5750" s="14">
        <v>41387</v>
      </c>
      <c r="G5750" s="14">
        <v>41639</v>
      </c>
      <c r="H5750" s="13" t="s">
        <v>651</v>
      </c>
      <c r="I5750" s="18">
        <v>7500</v>
      </c>
      <c r="J5750" s="18">
        <v>7500</v>
      </c>
      <c r="K5750" s="20" t="s">
        <v>9243</v>
      </c>
      <c r="L5750" s="119"/>
    </row>
    <row r="5751" spans="1:13" ht="14.25" customHeight="1" x14ac:dyDescent="0.25">
      <c r="A5751" s="13" t="s">
        <v>11266</v>
      </c>
      <c r="B5751" s="13" t="s">
        <v>10195</v>
      </c>
      <c r="C5751" s="13" t="s">
        <v>14</v>
      </c>
      <c r="D5751" s="19">
        <v>12196</v>
      </c>
      <c r="E5751" s="13" t="s">
        <v>11267</v>
      </c>
      <c r="F5751" s="14">
        <v>41541</v>
      </c>
      <c r="G5751" s="14">
        <v>41639</v>
      </c>
      <c r="H5751" s="13" t="s">
        <v>651</v>
      </c>
      <c r="I5751" s="18">
        <v>3750</v>
      </c>
      <c r="J5751" s="18">
        <v>3750</v>
      </c>
      <c r="K5751" s="20" t="s">
        <v>9243</v>
      </c>
      <c r="L5751" s="119"/>
    </row>
    <row r="5752" spans="1:13" ht="14.25" customHeight="1" x14ac:dyDescent="0.25">
      <c r="A5752" s="13" t="s">
        <v>11374</v>
      </c>
      <c r="B5752" s="13" t="s">
        <v>13</v>
      </c>
      <c r="C5752" s="13" t="s">
        <v>14</v>
      </c>
      <c r="D5752" s="19">
        <v>12197</v>
      </c>
      <c r="E5752" s="13" t="s">
        <v>11375</v>
      </c>
      <c r="F5752" s="14">
        <v>41513</v>
      </c>
      <c r="G5752" s="14">
        <v>41639</v>
      </c>
      <c r="H5752" s="13" t="s">
        <v>651</v>
      </c>
      <c r="I5752" s="18">
        <v>11134.58</v>
      </c>
      <c r="J5752" s="18">
        <v>7442.29</v>
      </c>
      <c r="K5752" s="20" t="s">
        <v>9243</v>
      </c>
      <c r="L5752" s="119"/>
    </row>
    <row r="5753" spans="1:13" ht="14.25" customHeight="1" x14ac:dyDescent="0.25">
      <c r="A5753" s="13" t="s">
        <v>11268</v>
      </c>
      <c r="B5753" s="13" t="s">
        <v>10220</v>
      </c>
      <c r="C5753" s="13" t="s">
        <v>14</v>
      </c>
      <c r="D5753" s="19">
        <v>12198</v>
      </c>
      <c r="E5753" s="13" t="s">
        <v>11269</v>
      </c>
      <c r="F5753" s="14">
        <v>41331</v>
      </c>
      <c r="G5753" s="14">
        <v>41639</v>
      </c>
      <c r="H5753" s="13" t="s">
        <v>651</v>
      </c>
      <c r="I5753" s="18">
        <v>7348.56</v>
      </c>
      <c r="J5753" s="18">
        <v>3674.28</v>
      </c>
      <c r="K5753" s="20" t="s">
        <v>9243</v>
      </c>
      <c r="L5753" s="119"/>
    </row>
    <row r="5754" spans="1:13" ht="14.25" customHeight="1" x14ac:dyDescent="0.25">
      <c r="A5754" s="13" t="s">
        <v>11270</v>
      </c>
      <c r="B5754" s="13" t="s">
        <v>10192</v>
      </c>
      <c r="C5754" s="13" t="s">
        <v>14</v>
      </c>
      <c r="D5754" s="19">
        <v>12199</v>
      </c>
      <c r="E5754" s="13" t="s">
        <v>11271</v>
      </c>
      <c r="F5754" s="14">
        <v>41541</v>
      </c>
      <c r="G5754" s="14">
        <v>41639</v>
      </c>
      <c r="H5754" s="13" t="s">
        <v>651</v>
      </c>
      <c r="I5754" s="18">
        <v>6378.14</v>
      </c>
      <c r="J5754" s="18">
        <v>5064.07</v>
      </c>
      <c r="K5754" s="20" t="s">
        <v>9243</v>
      </c>
      <c r="L5754" s="119"/>
    </row>
    <row r="5755" spans="1:13" ht="14.25" customHeight="1" x14ac:dyDescent="0.25">
      <c r="A5755" s="13" t="s">
        <v>11272</v>
      </c>
      <c r="B5755" s="13" t="s">
        <v>10220</v>
      </c>
      <c r="C5755" s="13" t="s">
        <v>14</v>
      </c>
      <c r="D5755" s="19">
        <v>12200</v>
      </c>
      <c r="E5755" s="13" t="s">
        <v>11273</v>
      </c>
      <c r="F5755" s="14">
        <v>41331</v>
      </c>
      <c r="G5755" s="14">
        <v>41639</v>
      </c>
      <c r="H5755" s="13" t="s">
        <v>651</v>
      </c>
      <c r="I5755" s="18">
        <v>40000</v>
      </c>
      <c r="J5755" s="18">
        <v>20000</v>
      </c>
      <c r="K5755" s="20" t="s">
        <v>9243</v>
      </c>
      <c r="L5755" s="119"/>
    </row>
    <row r="5756" spans="1:13" ht="14.25" customHeight="1" x14ac:dyDescent="0.25">
      <c r="A5756" s="13" t="s">
        <v>11274</v>
      </c>
      <c r="B5756" s="13" t="s">
        <v>10195</v>
      </c>
      <c r="C5756" s="13" t="s">
        <v>14</v>
      </c>
      <c r="D5756" s="19">
        <v>12201</v>
      </c>
      <c r="E5756" s="13" t="s">
        <v>11275</v>
      </c>
      <c r="F5756" s="14">
        <v>41303</v>
      </c>
      <c r="G5756" s="14">
        <v>41639</v>
      </c>
      <c r="H5756" s="13" t="s">
        <v>651</v>
      </c>
      <c r="I5756" s="18">
        <v>17500</v>
      </c>
      <c r="J5756" s="18">
        <v>8750</v>
      </c>
      <c r="K5756" s="20" t="s">
        <v>9243</v>
      </c>
      <c r="L5756" s="119"/>
    </row>
    <row r="5757" spans="1:13" ht="14.25" customHeight="1" x14ac:dyDescent="0.25">
      <c r="A5757" s="13" t="s">
        <v>11276</v>
      </c>
      <c r="B5757" s="13" t="s">
        <v>10192</v>
      </c>
      <c r="C5757" s="13" t="s">
        <v>14</v>
      </c>
      <c r="D5757" s="19">
        <v>12202</v>
      </c>
      <c r="E5757" s="13" t="s">
        <v>11275</v>
      </c>
      <c r="F5757" s="14">
        <v>41359</v>
      </c>
      <c r="G5757" s="14">
        <v>41639</v>
      </c>
      <c r="H5757" s="13" t="s">
        <v>651</v>
      </c>
      <c r="I5757" s="18">
        <f>23391.63-3.1</f>
        <v>23388.530000000002</v>
      </c>
      <c r="J5757" s="18">
        <v>19195.75</v>
      </c>
      <c r="K5757" s="20" t="s">
        <v>9243</v>
      </c>
      <c r="L5757" s="119"/>
    </row>
    <row r="5758" spans="1:13" ht="14.25" customHeight="1" x14ac:dyDescent="0.25">
      <c r="A5758" s="13" t="s">
        <v>11277</v>
      </c>
      <c r="B5758" s="13" t="s">
        <v>10195</v>
      </c>
      <c r="C5758" s="13" t="s">
        <v>14</v>
      </c>
      <c r="D5758" s="19">
        <v>12203</v>
      </c>
      <c r="E5758" s="13" t="s">
        <v>11278</v>
      </c>
      <c r="F5758" s="14">
        <v>41422</v>
      </c>
      <c r="G5758" s="14">
        <v>41639</v>
      </c>
      <c r="H5758" s="13" t="s">
        <v>651</v>
      </c>
      <c r="I5758" s="18">
        <v>3430.48</v>
      </c>
      <c r="J5758" s="18">
        <v>1715.24</v>
      </c>
      <c r="K5758" s="20" t="s">
        <v>9243</v>
      </c>
      <c r="L5758" s="119"/>
    </row>
    <row r="5759" spans="1:13" ht="14.25" customHeight="1" x14ac:dyDescent="0.25">
      <c r="A5759" s="13" t="s">
        <v>11279</v>
      </c>
      <c r="B5759" s="13" t="s">
        <v>10192</v>
      </c>
      <c r="C5759" s="13" t="s">
        <v>14</v>
      </c>
      <c r="D5759" s="19">
        <v>12204</v>
      </c>
      <c r="E5759" s="13" t="s">
        <v>11280</v>
      </c>
      <c r="F5759" s="14">
        <v>41303</v>
      </c>
      <c r="G5759" s="14">
        <v>41639</v>
      </c>
      <c r="H5759" s="13" t="s">
        <v>651</v>
      </c>
      <c r="I5759" s="18">
        <v>7500</v>
      </c>
      <c r="J5759" s="18">
        <v>7500</v>
      </c>
      <c r="K5759" s="20" t="s">
        <v>9243</v>
      </c>
      <c r="L5759" s="119"/>
    </row>
    <row r="5760" spans="1:13" ht="14.25" customHeight="1" x14ac:dyDescent="0.25">
      <c r="A5760" s="13" t="s">
        <v>11281</v>
      </c>
      <c r="B5760" s="13" t="s">
        <v>10192</v>
      </c>
      <c r="C5760" s="13" t="s">
        <v>14</v>
      </c>
      <c r="D5760" s="19">
        <v>12205</v>
      </c>
      <c r="E5760" s="13" t="s">
        <v>11282</v>
      </c>
      <c r="F5760" s="14">
        <v>41387</v>
      </c>
      <c r="G5760" s="14">
        <v>41639</v>
      </c>
      <c r="H5760" s="13" t="s">
        <v>651</v>
      </c>
      <c r="I5760" s="18">
        <v>7500</v>
      </c>
      <c r="J5760" s="18">
        <v>7500</v>
      </c>
      <c r="K5760" s="20" t="s">
        <v>9243</v>
      </c>
      <c r="L5760" s="119"/>
    </row>
    <row r="5761" spans="1:12" ht="14.25" customHeight="1" x14ac:dyDescent="0.25">
      <c r="A5761" s="13" t="s">
        <v>11283</v>
      </c>
      <c r="B5761" s="13" t="s">
        <v>10192</v>
      </c>
      <c r="C5761" s="13" t="s">
        <v>14</v>
      </c>
      <c r="D5761" s="19">
        <v>12206</v>
      </c>
      <c r="E5761" s="13" t="s">
        <v>11284</v>
      </c>
      <c r="F5761" s="14">
        <v>41303</v>
      </c>
      <c r="G5761" s="14">
        <v>41639</v>
      </c>
      <c r="H5761" s="13" t="s">
        <v>651</v>
      </c>
      <c r="I5761" s="18">
        <v>62086</v>
      </c>
      <c r="J5761" s="18">
        <v>34793</v>
      </c>
      <c r="K5761" s="20" t="s">
        <v>9243</v>
      </c>
      <c r="L5761" s="119"/>
    </row>
    <row r="5762" spans="1:12" ht="14.25" customHeight="1" x14ac:dyDescent="0.25">
      <c r="A5762" s="13" t="s">
        <v>11285</v>
      </c>
      <c r="B5762" s="13" t="s">
        <v>10192</v>
      </c>
      <c r="C5762" s="13" t="s">
        <v>14</v>
      </c>
      <c r="D5762" s="19">
        <v>12208</v>
      </c>
      <c r="E5762" s="13" t="s">
        <v>11286</v>
      </c>
      <c r="F5762" s="14">
        <v>41482</v>
      </c>
      <c r="G5762" s="14">
        <v>41639</v>
      </c>
      <c r="H5762" s="13" t="s">
        <v>651</v>
      </c>
      <c r="I5762" s="18">
        <v>7500</v>
      </c>
      <c r="J5762" s="18">
        <v>7500</v>
      </c>
      <c r="K5762" s="20" t="s">
        <v>9243</v>
      </c>
      <c r="L5762" s="119"/>
    </row>
    <row r="5763" spans="1:12" ht="14.25" customHeight="1" x14ac:dyDescent="0.25">
      <c r="A5763" s="13" t="s">
        <v>11287</v>
      </c>
      <c r="B5763" s="13" t="s">
        <v>10192</v>
      </c>
      <c r="C5763" s="13" t="s">
        <v>14</v>
      </c>
      <c r="D5763" s="19">
        <v>12209</v>
      </c>
      <c r="E5763" s="13" t="s">
        <v>11288</v>
      </c>
      <c r="F5763" s="14">
        <v>41541</v>
      </c>
      <c r="G5763" s="14">
        <v>41639</v>
      </c>
      <c r="H5763" s="13" t="s">
        <v>651</v>
      </c>
      <c r="I5763" s="18">
        <v>3750</v>
      </c>
      <c r="J5763" s="18">
        <v>3750</v>
      </c>
      <c r="K5763" s="20" t="s">
        <v>9243</v>
      </c>
      <c r="L5763" s="119"/>
    </row>
    <row r="5764" spans="1:12" ht="14.25" customHeight="1" x14ac:dyDescent="0.25">
      <c r="A5764" s="13" t="s">
        <v>11289</v>
      </c>
      <c r="B5764" s="13" t="s">
        <v>10195</v>
      </c>
      <c r="C5764" s="13" t="s">
        <v>14</v>
      </c>
      <c r="D5764" s="19">
        <v>12210</v>
      </c>
      <c r="E5764" s="13" t="s">
        <v>11290</v>
      </c>
      <c r="F5764" s="14">
        <v>41303</v>
      </c>
      <c r="G5764" s="14">
        <v>41639</v>
      </c>
      <c r="H5764" s="13" t="s">
        <v>651</v>
      </c>
      <c r="I5764" s="18">
        <v>7500</v>
      </c>
      <c r="J5764" s="18">
        <v>7500</v>
      </c>
      <c r="K5764" s="20" t="s">
        <v>9243</v>
      </c>
      <c r="L5764" s="119"/>
    </row>
    <row r="5765" spans="1:12" ht="14.25" customHeight="1" x14ac:dyDescent="0.25">
      <c r="A5765" s="13" t="s">
        <v>11291</v>
      </c>
      <c r="B5765" s="13" t="s">
        <v>10195</v>
      </c>
      <c r="C5765" s="13" t="s">
        <v>14</v>
      </c>
      <c r="D5765" s="19">
        <v>12211</v>
      </c>
      <c r="E5765" s="13" t="s">
        <v>11292</v>
      </c>
      <c r="F5765" s="14">
        <v>41541</v>
      </c>
      <c r="G5765" s="14">
        <v>41639</v>
      </c>
      <c r="H5765" s="13" t="s">
        <v>651</v>
      </c>
      <c r="I5765" s="18">
        <v>3750</v>
      </c>
      <c r="J5765" s="18">
        <v>3750</v>
      </c>
      <c r="K5765" s="20" t="s">
        <v>9243</v>
      </c>
      <c r="L5765" s="119"/>
    </row>
    <row r="5766" spans="1:12" ht="14.25" customHeight="1" x14ac:dyDescent="0.25">
      <c r="A5766" s="13" t="s">
        <v>11295</v>
      </c>
      <c r="B5766" s="13" t="s">
        <v>10195</v>
      </c>
      <c r="C5766" s="13" t="s">
        <v>14</v>
      </c>
      <c r="D5766" s="19">
        <v>12213</v>
      </c>
      <c r="E5766" s="13" t="s">
        <v>11296</v>
      </c>
      <c r="F5766" s="14">
        <v>41450</v>
      </c>
      <c r="G5766" s="14">
        <v>41639</v>
      </c>
      <c r="H5766" s="13" t="s">
        <v>651</v>
      </c>
      <c r="I5766" s="18">
        <v>7500</v>
      </c>
      <c r="J5766" s="18">
        <v>7500</v>
      </c>
      <c r="K5766" s="20" t="s">
        <v>9243</v>
      </c>
      <c r="L5766" s="119"/>
    </row>
    <row r="5767" spans="1:12" ht="14.25" customHeight="1" x14ac:dyDescent="0.25">
      <c r="A5767" s="13" t="s">
        <v>11297</v>
      </c>
      <c r="B5767" s="13" t="s">
        <v>10195</v>
      </c>
      <c r="C5767" s="13" t="s">
        <v>14</v>
      </c>
      <c r="D5767" s="19">
        <v>12214</v>
      </c>
      <c r="E5767" s="13" t="s">
        <v>11298</v>
      </c>
      <c r="F5767" s="14">
        <v>41331</v>
      </c>
      <c r="G5767" s="14">
        <v>41639</v>
      </c>
      <c r="H5767" s="13" t="s">
        <v>651</v>
      </c>
      <c r="I5767" s="18">
        <v>8750</v>
      </c>
      <c r="J5767" s="18">
        <v>6250</v>
      </c>
      <c r="K5767" s="20" t="s">
        <v>9243</v>
      </c>
      <c r="L5767" s="119"/>
    </row>
    <row r="5768" spans="1:12" ht="14.25" customHeight="1" x14ac:dyDescent="0.25">
      <c r="A5768" s="13" t="s">
        <v>11299</v>
      </c>
      <c r="B5768" s="13" t="s">
        <v>10195</v>
      </c>
      <c r="C5768" s="13" t="s">
        <v>14</v>
      </c>
      <c r="D5768" s="19">
        <v>12216</v>
      </c>
      <c r="E5768" s="13" t="s">
        <v>11300</v>
      </c>
      <c r="F5768" s="14">
        <v>41450</v>
      </c>
      <c r="G5768" s="14">
        <v>41639</v>
      </c>
      <c r="H5768" s="13" t="s">
        <v>651</v>
      </c>
      <c r="I5768" s="18">
        <v>11125</v>
      </c>
      <c r="J5768" s="18">
        <v>9312.5</v>
      </c>
      <c r="K5768" s="20" t="s">
        <v>9243</v>
      </c>
      <c r="L5768" s="119"/>
    </row>
    <row r="5769" spans="1:12" ht="14.25" customHeight="1" x14ac:dyDescent="0.25">
      <c r="A5769" s="13" t="s">
        <v>11301</v>
      </c>
      <c r="B5769" s="13" t="s">
        <v>10195</v>
      </c>
      <c r="C5769" s="13" t="s">
        <v>14</v>
      </c>
      <c r="D5769" s="19">
        <v>12218</v>
      </c>
      <c r="E5769" s="13" t="s">
        <v>11302</v>
      </c>
      <c r="F5769" s="14">
        <v>41387</v>
      </c>
      <c r="G5769" s="14">
        <v>41639</v>
      </c>
      <c r="H5769" s="13" t="s">
        <v>651</v>
      </c>
      <c r="I5769" s="18">
        <v>49999.08</v>
      </c>
      <c r="J5769" s="18">
        <v>24999.54</v>
      </c>
      <c r="K5769" s="20" t="s">
        <v>9243</v>
      </c>
      <c r="L5769" s="119"/>
    </row>
    <row r="5770" spans="1:12" ht="14.25" customHeight="1" x14ac:dyDescent="0.25">
      <c r="A5770" s="13" t="s">
        <v>11303</v>
      </c>
      <c r="B5770" s="13" t="s">
        <v>10195</v>
      </c>
      <c r="C5770" s="13" t="s">
        <v>14</v>
      </c>
      <c r="D5770" s="19">
        <v>12219</v>
      </c>
      <c r="E5770" s="13" t="s">
        <v>11304</v>
      </c>
      <c r="F5770" s="14">
        <v>41359</v>
      </c>
      <c r="G5770" s="14">
        <v>41639</v>
      </c>
      <c r="H5770" s="13" t="s">
        <v>651</v>
      </c>
      <c r="I5770" s="18">
        <v>7500</v>
      </c>
      <c r="J5770" s="18">
        <v>7500</v>
      </c>
      <c r="K5770" s="20" t="s">
        <v>9243</v>
      </c>
      <c r="L5770" s="119"/>
    </row>
    <row r="5771" spans="1:12" ht="14.25" customHeight="1" x14ac:dyDescent="0.25">
      <c r="A5771" s="13" t="s">
        <v>11307</v>
      </c>
      <c r="B5771" s="13" t="s">
        <v>10192</v>
      </c>
      <c r="C5771" s="13" t="s">
        <v>14</v>
      </c>
      <c r="D5771" s="19">
        <v>12223</v>
      </c>
      <c r="E5771" s="13" t="s">
        <v>11308</v>
      </c>
      <c r="F5771" s="14">
        <v>41569</v>
      </c>
      <c r="G5771" s="14">
        <v>41639</v>
      </c>
      <c r="H5771" s="13" t="s">
        <v>651</v>
      </c>
      <c r="I5771" s="18">
        <v>4000</v>
      </c>
      <c r="J5771" s="18">
        <v>4000</v>
      </c>
      <c r="K5771" s="20" t="s">
        <v>9243</v>
      </c>
      <c r="L5771" s="119"/>
    </row>
    <row r="5772" spans="1:12" ht="14.25" customHeight="1" x14ac:dyDescent="0.25">
      <c r="A5772" s="13" t="s">
        <v>11309</v>
      </c>
      <c r="B5772" s="13" t="s">
        <v>38</v>
      </c>
      <c r="C5772" s="13" t="s">
        <v>14</v>
      </c>
      <c r="D5772" s="19">
        <v>12352</v>
      </c>
      <c r="E5772" s="13" t="s">
        <v>11310</v>
      </c>
      <c r="F5772" s="14">
        <v>41275</v>
      </c>
      <c r="G5772" s="14">
        <v>41639</v>
      </c>
      <c r="H5772" s="13" t="s">
        <v>651</v>
      </c>
      <c r="I5772" s="18">
        <v>781.05</v>
      </c>
      <c r="J5772" s="18">
        <v>781.05</v>
      </c>
      <c r="K5772" s="20" t="s">
        <v>9243</v>
      </c>
      <c r="L5772" s="119"/>
    </row>
    <row r="5773" spans="1:12" ht="14.25" customHeight="1" x14ac:dyDescent="0.25">
      <c r="A5773" s="13" t="s">
        <v>11311</v>
      </c>
      <c r="B5773" s="13" t="s">
        <v>38</v>
      </c>
      <c r="C5773" s="13" t="s">
        <v>14</v>
      </c>
      <c r="D5773" s="19">
        <v>12353</v>
      </c>
      <c r="E5773" s="13" t="s">
        <v>11312</v>
      </c>
      <c r="F5773" s="14">
        <v>41275</v>
      </c>
      <c r="G5773" s="14">
        <v>41639</v>
      </c>
      <c r="H5773" s="13" t="s">
        <v>651</v>
      </c>
      <c r="I5773" s="18">
        <v>601.25</v>
      </c>
      <c r="J5773" s="18">
        <v>601.25</v>
      </c>
      <c r="K5773" s="20" t="s">
        <v>9243</v>
      </c>
      <c r="L5773" s="119"/>
    </row>
    <row r="5774" spans="1:12" ht="14.25" customHeight="1" x14ac:dyDescent="0.25">
      <c r="A5774" s="13" t="s">
        <v>11313</v>
      </c>
      <c r="B5774" s="13" t="s">
        <v>38</v>
      </c>
      <c r="C5774" s="13" t="s">
        <v>14</v>
      </c>
      <c r="D5774" s="19">
        <v>12354</v>
      </c>
      <c r="E5774" s="13" t="s">
        <v>9679</v>
      </c>
      <c r="F5774" s="14">
        <v>41275</v>
      </c>
      <c r="G5774" s="14">
        <v>41639</v>
      </c>
      <c r="H5774" s="13" t="s">
        <v>651</v>
      </c>
      <c r="I5774" s="18">
        <v>58694.5</v>
      </c>
      <c r="J5774" s="18">
        <v>29347.25</v>
      </c>
      <c r="K5774" s="20" t="s">
        <v>9243</v>
      </c>
      <c r="L5774" s="119"/>
    </row>
    <row r="5775" spans="1:12" ht="14.25" customHeight="1" x14ac:dyDescent="0.25">
      <c r="A5775" s="13" t="s">
        <v>11314</v>
      </c>
      <c r="B5775" s="13" t="s">
        <v>38</v>
      </c>
      <c r="C5775" s="13" t="s">
        <v>14</v>
      </c>
      <c r="D5775" s="19">
        <v>12355</v>
      </c>
      <c r="E5775" s="13" t="s">
        <v>11315</v>
      </c>
      <c r="F5775" s="14">
        <v>41275</v>
      </c>
      <c r="G5775" s="14">
        <v>41639</v>
      </c>
      <c r="H5775" s="13" t="s">
        <v>651</v>
      </c>
      <c r="I5775" s="18">
        <v>297</v>
      </c>
      <c r="J5775" s="18">
        <v>297</v>
      </c>
      <c r="K5775" s="20" t="s">
        <v>9243</v>
      </c>
      <c r="L5775" s="119"/>
    </row>
    <row r="5776" spans="1:12" ht="14.25" customHeight="1" x14ac:dyDescent="0.25">
      <c r="A5776" s="13" t="s">
        <v>11316</v>
      </c>
      <c r="B5776" s="13" t="s">
        <v>38</v>
      </c>
      <c r="C5776" s="13" t="s">
        <v>14</v>
      </c>
      <c r="D5776" s="19">
        <v>12356</v>
      </c>
      <c r="E5776" s="13" t="s">
        <v>11317</v>
      </c>
      <c r="F5776" s="14">
        <v>41275</v>
      </c>
      <c r="G5776" s="14">
        <v>41639</v>
      </c>
      <c r="H5776" s="13" t="s">
        <v>651</v>
      </c>
      <c r="I5776" s="18">
        <v>27727.3</v>
      </c>
      <c r="J5776" s="18">
        <v>13863.65</v>
      </c>
      <c r="K5776" s="20" t="s">
        <v>9243</v>
      </c>
      <c r="L5776" s="119"/>
    </row>
    <row r="5777" spans="1:13" ht="14.25" customHeight="1" x14ac:dyDescent="0.25">
      <c r="A5777" s="13" t="s">
        <v>11318</v>
      </c>
      <c r="B5777" s="13" t="s">
        <v>38</v>
      </c>
      <c r="C5777" s="13" t="s">
        <v>14</v>
      </c>
      <c r="D5777" s="19">
        <v>12357</v>
      </c>
      <c r="E5777" s="13" t="s">
        <v>11319</v>
      </c>
      <c r="F5777" s="14">
        <v>41275</v>
      </c>
      <c r="G5777" s="14">
        <v>41639</v>
      </c>
      <c r="H5777" s="13" t="s">
        <v>651</v>
      </c>
      <c r="I5777" s="18">
        <v>32604.28</v>
      </c>
      <c r="J5777" s="18">
        <v>32604.28</v>
      </c>
      <c r="K5777" s="20" t="s">
        <v>9243</v>
      </c>
      <c r="L5777" s="119"/>
    </row>
    <row r="5778" spans="1:13" ht="14.25" customHeight="1" x14ac:dyDescent="0.25">
      <c r="A5778" s="13" t="s">
        <v>11320</v>
      </c>
      <c r="B5778" s="13" t="s">
        <v>38</v>
      </c>
      <c r="C5778" s="13" t="s">
        <v>14</v>
      </c>
      <c r="D5778" s="19">
        <v>12360</v>
      </c>
      <c r="E5778" s="13" t="s">
        <v>11321</v>
      </c>
      <c r="F5778" s="14">
        <v>41275</v>
      </c>
      <c r="G5778" s="14">
        <v>41639</v>
      </c>
      <c r="H5778" s="13" t="s">
        <v>651</v>
      </c>
      <c r="I5778" s="18">
        <v>214.5</v>
      </c>
      <c r="J5778" s="18">
        <v>214.5</v>
      </c>
      <c r="K5778" s="20" t="s">
        <v>9243</v>
      </c>
      <c r="L5778" s="119"/>
    </row>
    <row r="5779" spans="1:13" ht="14.25" customHeight="1" x14ac:dyDescent="0.25">
      <c r="A5779" s="13" t="s">
        <v>11322</v>
      </c>
      <c r="B5779" s="13" t="s">
        <v>38</v>
      </c>
      <c r="C5779" s="13" t="s">
        <v>14</v>
      </c>
      <c r="D5779" s="19">
        <v>12361</v>
      </c>
      <c r="E5779" s="13" t="s">
        <v>11323</v>
      </c>
      <c r="F5779" s="14">
        <v>41275</v>
      </c>
      <c r="G5779" s="14">
        <v>41639</v>
      </c>
      <c r="H5779" s="13" t="s">
        <v>651</v>
      </c>
      <c r="I5779" s="18">
        <v>550</v>
      </c>
      <c r="J5779" s="18">
        <v>550</v>
      </c>
      <c r="K5779" s="20" t="s">
        <v>9243</v>
      </c>
      <c r="L5779" s="119"/>
    </row>
    <row r="5780" spans="1:13" ht="14.25" customHeight="1" x14ac:dyDescent="0.25">
      <c r="A5780" s="13" t="s">
        <v>11324</v>
      </c>
      <c r="B5780" s="13" t="s">
        <v>38</v>
      </c>
      <c r="C5780" s="13" t="s">
        <v>14</v>
      </c>
      <c r="D5780" s="19">
        <v>12362</v>
      </c>
      <c r="E5780" s="13" t="s">
        <v>11325</v>
      </c>
      <c r="F5780" s="14">
        <v>41275</v>
      </c>
      <c r="G5780" s="14">
        <v>41639</v>
      </c>
      <c r="H5780" s="13" t="s">
        <v>651</v>
      </c>
      <c r="I5780" s="18">
        <v>1955.53</v>
      </c>
      <c r="J5780" s="18">
        <v>1955.53</v>
      </c>
      <c r="K5780" s="20" t="s">
        <v>9243</v>
      </c>
      <c r="L5780" s="119"/>
    </row>
    <row r="5781" spans="1:13" s="4" customFormat="1" ht="14.25" customHeight="1" x14ac:dyDescent="0.25">
      <c r="D5781" s="35"/>
      <c r="E5781" s="26" t="s">
        <v>351</v>
      </c>
      <c r="F5781" s="28"/>
      <c r="G5781" s="28"/>
      <c r="H5781" s="26"/>
      <c r="I5781" s="27">
        <f>SUM(I5503:I5535)</f>
        <v>2162562.4799999995</v>
      </c>
      <c r="J5781" s="27">
        <f>SUM(J5503:J5535)</f>
        <v>611433.6399999999</v>
      </c>
      <c r="K5781" s="20" t="s">
        <v>9243</v>
      </c>
      <c r="L5781" s="119"/>
      <c r="M5781" s="3"/>
    </row>
    <row r="5782" spans="1:13" s="4" customFormat="1" ht="14.25" customHeight="1" x14ac:dyDescent="0.25">
      <c r="D5782" s="35"/>
      <c r="E5782" s="26" t="s">
        <v>786</v>
      </c>
      <c r="F5782" s="28"/>
      <c r="G5782" s="28"/>
      <c r="H5782" s="26"/>
      <c r="I5782" s="27">
        <f>SUM(I5536)</f>
        <v>107693</v>
      </c>
      <c r="J5782" s="27">
        <f>SUM(J5536)</f>
        <v>37693</v>
      </c>
      <c r="K5782" s="20" t="s">
        <v>9243</v>
      </c>
      <c r="L5782" s="119"/>
      <c r="M5782" s="3"/>
    </row>
    <row r="5783" spans="1:13" s="4" customFormat="1" ht="14.25" customHeight="1" x14ac:dyDescent="0.25">
      <c r="D5783" s="35"/>
      <c r="E5783" s="26" t="s">
        <v>352</v>
      </c>
      <c r="F5783" s="28"/>
      <c r="G5783" s="28"/>
      <c r="H5783" s="26"/>
      <c r="I5783" s="27">
        <f>SUM(I5537:I5780)</f>
        <v>5456308.9300000025</v>
      </c>
      <c r="J5783" s="27">
        <f>SUM(J5537:J5780)</f>
        <v>4155205.55</v>
      </c>
      <c r="K5783" s="20" t="s">
        <v>9243</v>
      </c>
      <c r="L5783" s="119"/>
      <c r="M5783" s="3"/>
    </row>
    <row r="5784" spans="1:13" s="4" customFormat="1" ht="14.25" customHeight="1" x14ac:dyDescent="0.25">
      <c r="D5784" s="35"/>
      <c r="E5784" s="26" t="s">
        <v>9748</v>
      </c>
      <c r="F5784" s="28"/>
      <c r="G5784" s="28"/>
      <c r="H5784" s="26"/>
      <c r="I5784" s="27">
        <f>SUM(I5781:I5783)</f>
        <v>7726564.410000002</v>
      </c>
      <c r="J5784" s="27">
        <f>SUM(J5781:J5783)</f>
        <v>4804332.1899999995</v>
      </c>
      <c r="K5784" s="20" t="s">
        <v>9243</v>
      </c>
      <c r="L5784" s="119"/>
      <c r="M5784" s="3"/>
    </row>
    <row r="5785" spans="1:13" s="4" customFormat="1" ht="14.25" customHeight="1" x14ac:dyDescent="0.25">
      <c r="D5785" s="35"/>
      <c r="F5785" s="5"/>
      <c r="G5785" s="5"/>
      <c r="I5785" s="6"/>
      <c r="J5785" s="6"/>
      <c r="K5785" s="37"/>
      <c r="L5785" s="119"/>
      <c r="M5785" s="3"/>
    </row>
    <row r="5786" spans="1:13" s="4" customFormat="1" ht="14.25" customHeight="1" x14ac:dyDescent="0.25">
      <c r="A5786" s="4" t="s">
        <v>9749</v>
      </c>
      <c r="B5786" s="4" t="s">
        <v>13</v>
      </c>
      <c r="C5786" s="4" t="s">
        <v>14</v>
      </c>
      <c r="D5786" s="35">
        <v>3759</v>
      </c>
      <c r="E5786" s="4" t="s">
        <v>9750</v>
      </c>
      <c r="F5786" s="5">
        <v>39150</v>
      </c>
      <c r="G5786" s="5">
        <v>39598</v>
      </c>
      <c r="H5786" s="4" t="s">
        <v>16</v>
      </c>
      <c r="I5786" s="6">
        <v>47054.23</v>
      </c>
      <c r="J5786" s="6">
        <v>14116.27</v>
      </c>
      <c r="K5786" s="37" t="s">
        <v>9751</v>
      </c>
      <c r="L5786" s="119"/>
      <c r="M5786" s="3"/>
    </row>
    <row r="5787" spans="1:13" s="4" customFormat="1" ht="14.25" customHeight="1" x14ac:dyDescent="0.25">
      <c r="A5787" s="4" t="s">
        <v>9752</v>
      </c>
      <c r="B5787" s="4" t="s">
        <v>13</v>
      </c>
      <c r="C5787" s="4" t="s">
        <v>14</v>
      </c>
      <c r="D5787" s="35">
        <v>3770</v>
      </c>
      <c r="E5787" s="4" t="s">
        <v>9753</v>
      </c>
      <c r="F5787" s="5">
        <v>39759</v>
      </c>
      <c r="G5787" s="5">
        <v>39933</v>
      </c>
      <c r="H5787" s="4" t="s">
        <v>16</v>
      </c>
      <c r="I5787" s="6">
        <v>22150.89</v>
      </c>
      <c r="J5787" s="6">
        <v>6645.27</v>
      </c>
      <c r="K5787" s="37" t="s">
        <v>9751</v>
      </c>
      <c r="L5787" s="119"/>
      <c r="M5787" s="3"/>
    </row>
    <row r="5788" spans="1:13" s="4" customFormat="1" ht="14.25" customHeight="1" x14ac:dyDescent="0.25">
      <c r="A5788" s="4" t="s">
        <v>9754</v>
      </c>
      <c r="B5788" s="4" t="s">
        <v>13</v>
      </c>
      <c r="C5788" s="4" t="s">
        <v>14</v>
      </c>
      <c r="D5788" s="35">
        <v>3777</v>
      </c>
      <c r="E5788" s="4" t="s">
        <v>9755</v>
      </c>
      <c r="F5788" s="5">
        <v>39150</v>
      </c>
      <c r="G5788" s="5">
        <v>39447</v>
      </c>
      <c r="H5788" s="4" t="s">
        <v>16</v>
      </c>
      <c r="I5788" s="6">
        <v>209298.86</v>
      </c>
      <c r="J5788" s="6">
        <v>21375</v>
      </c>
      <c r="K5788" s="37" t="s">
        <v>9751</v>
      </c>
      <c r="L5788" s="119"/>
      <c r="M5788" s="3"/>
    </row>
    <row r="5789" spans="1:13" s="4" customFormat="1" ht="14.25" customHeight="1" x14ac:dyDescent="0.25">
      <c r="A5789" s="4" t="s">
        <v>9756</v>
      </c>
      <c r="B5789" s="4" t="s">
        <v>13</v>
      </c>
      <c r="C5789" s="4" t="s">
        <v>14</v>
      </c>
      <c r="D5789" s="35">
        <v>3797</v>
      </c>
      <c r="E5789" s="4" t="s">
        <v>9757</v>
      </c>
      <c r="F5789" s="5">
        <v>39770</v>
      </c>
      <c r="G5789" s="5">
        <v>40120</v>
      </c>
      <c r="H5789" s="4" t="s">
        <v>16</v>
      </c>
      <c r="I5789" s="6">
        <v>6546</v>
      </c>
      <c r="J5789" s="6">
        <v>1964</v>
      </c>
      <c r="K5789" s="37" t="s">
        <v>9751</v>
      </c>
      <c r="L5789" s="119"/>
      <c r="M5789" s="3"/>
    </row>
    <row r="5790" spans="1:13" s="4" customFormat="1" ht="14.25" customHeight="1" x14ac:dyDescent="0.25">
      <c r="A5790" s="4" t="s">
        <v>9758</v>
      </c>
      <c r="B5790" s="4" t="s">
        <v>13</v>
      </c>
      <c r="C5790" s="4" t="s">
        <v>14</v>
      </c>
      <c r="D5790" s="35">
        <v>3804</v>
      </c>
      <c r="E5790" s="4" t="s">
        <v>9759</v>
      </c>
      <c r="F5790" s="5">
        <v>39961</v>
      </c>
      <c r="G5790" s="5">
        <v>40598</v>
      </c>
      <c r="H5790" s="4" t="s">
        <v>16</v>
      </c>
      <c r="I5790" s="6">
        <v>10500</v>
      </c>
      <c r="J5790" s="6">
        <v>4000</v>
      </c>
      <c r="K5790" s="37" t="s">
        <v>9751</v>
      </c>
      <c r="L5790" s="119"/>
      <c r="M5790" s="3"/>
    </row>
    <row r="5791" spans="1:13" s="4" customFormat="1" ht="14.25" customHeight="1" x14ac:dyDescent="0.25">
      <c r="A5791" s="4" t="s">
        <v>9760</v>
      </c>
      <c r="B5791" s="4" t="s">
        <v>13</v>
      </c>
      <c r="C5791" s="4" t="s">
        <v>14</v>
      </c>
      <c r="D5791" s="35">
        <v>3807</v>
      </c>
      <c r="E5791" s="4" t="s">
        <v>9761</v>
      </c>
      <c r="F5791" s="5">
        <v>39709</v>
      </c>
      <c r="G5791" s="5">
        <v>39962</v>
      </c>
      <c r="H5791" s="4" t="s">
        <v>16</v>
      </c>
      <c r="I5791" s="6">
        <v>48058.68</v>
      </c>
      <c r="J5791" s="6">
        <v>14417.6</v>
      </c>
      <c r="K5791" s="37" t="s">
        <v>9751</v>
      </c>
      <c r="L5791" s="119"/>
      <c r="M5791" s="3"/>
    </row>
    <row r="5792" spans="1:13" s="4" customFormat="1" ht="14.25" customHeight="1" x14ac:dyDescent="0.25">
      <c r="A5792" s="4" t="s">
        <v>9762</v>
      </c>
      <c r="B5792" s="4" t="s">
        <v>13</v>
      </c>
      <c r="C5792" s="4" t="s">
        <v>14</v>
      </c>
      <c r="D5792" s="35">
        <v>3808</v>
      </c>
      <c r="E5792" s="4" t="s">
        <v>9763</v>
      </c>
      <c r="F5792" s="5">
        <v>39671</v>
      </c>
      <c r="G5792" s="5">
        <v>40116</v>
      </c>
      <c r="H5792" s="4" t="s">
        <v>16</v>
      </c>
      <c r="I5792" s="6">
        <v>81055.199999999997</v>
      </c>
      <c r="J5792" s="6">
        <v>19500</v>
      </c>
      <c r="K5792" s="37" t="s">
        <v>9751</v>
      </c>
      <c r="L5792" s="119"/>
      <c r="M5792" s="3"/>
    </row>
    <row r="5793" spans="1:13" s="4" customFormat="1" ht="14.25" customHeight="1" x14ac:dyDescent="0.25">
      <c r="A5793" s="4" t="s">
        <v>9764</v>
      </c>
      <c r="B5793" s="4" t="s">
        <v>13</v>
      </c>
      <c r="C5793" s="4" t="s">
        <v>14</v>
      </c>
      <c r="D5793" s="35">
        <v>4134</v>
      </c>
      <c r="E5793" s="4" t="s">
        <v>9765</v>
      </c>
      <c r="F5793" s="5">
        <v>39332</v>
      </c>
      <c r="G5793" s="5">
        <v>40170</v>
      </c>
      <c r="H5793" s="4" t="s">
        <v>16</v>
      </c>
      <c r="I5793" s="6">
        <v>183770</v>
      </c>
      <c r="J5793" s="6">
        <v>55131</v>
      </c>
      <c r="K5793" s="37" t="s">
        <v>9751</v>
      </c>
      <c r="L5793" s="119"/>
      <c r="M5793" s="3"/>
    </row>
    <row r="5794" spans="1:13" s="4" customFormat="1" ht="14.25" customHeight="1" x14ac:dyDescent="0.25">
      <c r="A5794" s="4" t="s">
        <v>3620</v>
      </c>
      <c r="B5794" s="4" t="s">
        <v>13</v>
      </c>
      <c r="C5794" s="4" t="s">
        <v>14</v>
      </c>
      <c r="D5794" s="35">
        <v>4135</v>
      </c>
      <c r="E5794" s="7" t="s">
        <v>9766</v>
      </c>
      <c r="F5794" s="5">
        <v>39735</v>
      </c>
      <c r="G5794" s="5">
        <v>40053</v>
      </c>
      <c r="H5794" s="4" t="s">
        <v>16</v>
      </c>
      <c r="I5794" s="6">
        <v>23420.2</v>
      </c>
      <c r="J5794" s="6">
        <v>7026.13</v>
      </c>
      <c r="K5794" s="37" t="s">
        <v>9751</v>
      </c>
      <c r="L5794" s="119"/>
      <c r="M5794" s="3"/>
    </row>
    <row r="5795" spans="1:13" s="4" customFormat="1" ht="14.25" customHeight="1" x14ac:dyDescent="0.25">
      <c r="A5795" s="4" t="s">
        <v>9767</v>
      </c>
      <c r="B5795" s="4" t="s">
        <v>13</v>
      </c>
      <c r="C5795" s="4" t="s">
        <v>14</v>
      </c>
      <c r="D5795" s="35">
        <v>4136</v>
      </c>
      <c r="E5795" s="4" t="s">
        <v>9768</v>
      </c>
      <c r="F5795" s="5">
        <v>39959</v>
      </c>
      <c r="G5795" s="5">
        <v>40305</v>
      </c>
      <c r="H5795" s="4" t="s">
        <v>16</v>
      </c>
      <c r="I5795" s="6">
        <v>102450</v>
      </c>
      <c r="J5795" s="6">
        <v>19977.75</v>
      </c>
      <c r="K5795" s="37" t="s">
        <v>9751</v>
      </c>
      <c r="L5795" s="119"/>
      <c r="M5795" s="3"/>
    </row>
    <row r="5796" spans="1:13" s="4" customFormat="1" ht="14.25" customHeight="1" x14ac:dyDescent="0.25">
      <c r="A5796" s="4" t="s">
        <v>9769</v>
      </c>
      <c r="B5796" s="4" t="s">
        <v>13</v>
      </c>
      <c r="C5796" s="4" t="s">
        <v>14</v>
      </c>
      <c r="D5796" s="35">
        <v>9945</v>
      </c>
      <c r="E5796" s="4" t="s">
        <v>9770</v>
      </c>
      <c r="F5796" s="5">
        <v>40204</v>
      </c>
      <c r="G5796" s="5">
        <v>40508</v>
      </c>
      <c r="H5796" s="4" t="s">
        <v>16</v>
      </c>
      <c r="I5796" s="6">
        <v>50000</v>
      </c>
      <c r="J5796" s="6">
        <v>15000</v>
      </c>
      <c r="K5796" s="37" t="s">
        <v>9751</v>
      </c>
      <c r="L5796" s="119"/>
      <c r="M5796" s="3"/>
    </row>
    <row r="5797" spans="1:13" s="4" customFormat="1" ht="14.25" customHeight="1" x14ac:dyDescent="0.25">
      <c r="A5797" s="4" t="s">
        <v>9769</v>
      </c>
      <c r="B5797" s="4" t="s">
        <v>13</v>
      </c>
      <c r="C5797" s="4" t="s">
        <v>14</v>
      </c>
      <c r="D5797" s="35">
        <v>9968</v>
      </c>
      <c r="E5797" s="4" t="s">
        <v>9771</v>
      </c>
      <c r="F5797" s="5">
        <v>40204</v>
      </c>
      <c r="G5797" s="5">
        <v>40508</v>
      </c>
      <c r="H5797" s="4" t="s">
        <v>16</v>
      </c>
      <c r="I5797" s="6">
        <v>15000</v>
      </c>
      <c r="J5797" s="6">
        <v>3100.32</v>
      </c>
      <c r="K5797" s="37" t="s">
        <v>9751</v>
      </c>
      <c r="L5797" s="119"/>
      <c r="M5797" s="3"/>
    </row>
    <row r="5798" spans="1:13" s="4" customFormat="1" ht="14.25" customHeight="1" x14ac:dyDescent="0.25">
      <c r="A5798" s="4" t="s">
        <v>9772</v>
      </c>
      <c r="B5798" s="4" t="s">
        <v>13</v>
      </c>
      <c r="C5798" s="4" t="s">
        <v>14</v>
      </c>
      <c r="D5798" s="35">
        <v>10141</v>
      </c>
      <c r="E5798" s="4" t="s">
        <v>9773</v>
      </c>
      <c r="F5798" s="5">
        <v>40526</v>
      </c>
      <c r="G5798" s="5">
        <v>40709</v>
      </c>
      <c r="H5798" s="4" t="s">
        <v>16</v>
      </c>
      <c r="I5798" s="6">
        <v>5800.47</v>
      </c>
      <c r="J5798" s="6">
        <v>1740.14</v>
      </c>
      <c r="K5798" s="37" t="s">
        <v>9751</v>
      </c>
      <c r="L5798" s="119"/>
      <c r="M5798" s="3"/>
    </row>
    <row r="5799" spans="1:13" s="4" customFormat="1" ht="14.25" customHeight="1" x14ac:dyDescent="0.25">
      <c r="A5799" s="4" t="s">
        <v>9774</v>
      </c>
      <c r="B5799" s="4" t="s">
        <v>13</v>
      </c>
      <c r="C5799" s="4" t="s">
        <v>14</v>
      </c>
      <c r="D5799" s="35">
        <v>9471</v>
      </c>
      <c r="E5799" s="4" t="s">
        <v>9775</v>
      </c>
      <c r="F5799" s="5">
        <v>40065</v>
      </c>
      <c r="G5799" s="5">
        <v>40170</v>
      </c>
      <c r="H5799" s="4" t="s">
        <v>389</v>
      </c>
      <c r="I5799" s="6">
        <v>36222.050000000003</v>
      </c>
      <c r="J5799" s="6">
        <v>9779.9500000000007</v>
      </c>
      <c r="K5799" s="37" t="s">
        <v>9751</v>
      </c>
      <c r="L5799" s="119"/>
      <c r="M5799" s="3"/>
    </row>
    <row r="5800" spans="1:13" s="4" customFormat="1" ht="14.25" customHeight="1" x14ac:dyDescent="0.25">
      <c r="A5800" s="4" t="s">
        <v>9776</v>
      </c>
      <c r="B5800" s="4" t="s">
        <v>13</v>
      </c>
      <c r="C5800" s="4" t="s">
        <v>14</v>
      </c>
      <c r="D5800" s="35">
        <v>10074</v>
      </c>
      <c r="E5800" s="4" t="s">
        <v>9777</v>
      </c>
      <c r="F5800" s="5">
        <v>40800</v>
      </c>
      <c r="G5800" s="5">
        <v>40886</v>
      </c>
      <c r="H5800" s="4" t="s">
        <v>392</v>
      </c>
      <c r="I5800" s="6">
        <v>25460</v>
      </c>
      <c r="J5800" s="6">
        <v>7637.9</v>
      </c>
      <c r="K5800" s="37" t="s">
        <v>9751</v>
      </c>
      <c r="L5800" s="119"/>
      <c r="M5800" s="3"/>
    </row>
    <row r="5801" spans="1:13" s="4" customFormat="1" ht="14.25" customHeight="1" x14ac:dyDescent="0.25">
      <c r="A5801" s="4" t="s">
        <v>9778</v>
      </c>
      <c r="B5801" s="4" t="s">
        <v>13</v>
      </c>
      <c r="C5801" s="4" t="s">
        <v>14</v>
      </c>
      <c r="D5801" s="35">
        <v>10152</v>
      </c>
      <c r="E5801" s="4" t="s">
        <v>9779</v>
      </c>
      <c r="F5801" s="5">
        <v>40828</v>
      </c>
      <c r="G5801" s="5">
        <v>40897</v>
      </c>
      <c r="H5801" s="4" t="s">
        <v>392</v>
      </c>
      <c r="I5801" s="6">
        <v>219120</v>
      </c>
      <c r="J5801" s="6">
        <v>76692</v>
      </c>
      <c r="K5801" s="37" t="s">
        <v>9751</v>
      </c>
      <c r="L5801" s="119"/>
      <c r="M5801" s="3"/>
    </row>
    <row r="5802" spans="1:13" s="4" customFormat="1" ht="14.25" customHeight="1" x14ac:dyDescent="0.25">
      <c r="A5802" s="4" t="s">
        <v>9780</v>
      </c>
      <c r="B5802" s="4" t="s">
        <v>13</v>
      </c>
      <c r="C5802" s="4" t="s">
        <v>14</v>
      </c>
      <c r="D5802" s="35">
        <v>10183</v>
      </c>
      <c r="E5802" s="4" t="s">
        <v>9781</v>
      </c>
      <c r="F5802" s="5">
        <v>41158</v>
      </c>
      <c r="G5802" s="5">
        <v>41253</v>
      </c>
      <c r="H5802" s="4" t="s">
        <v>392</v>
      </c>
      <c r="I5802" s="6">
        <v>263701</v>
      </c>
      <c r="J5802" s="6">
        <v>92295</v>
      </c>
      <c r="K5802" s="37" t="s">
        <v>9751</v>
      </c>
      <c r="L5802" s="119"/>
      <c r="M5802" s="3"/>
    </row>
    <row r="5803" spans="1:13" s="4" customFormat="1" ht="14.25" customHeight="1" x14ac:dyDescent="0.25">
      <c r="A5803" s="4" t="s">
        <v>9782</v>
      </c>
      <c r="B5803" s="4" t="s">
        <v>13</v>
      </c>
      <c r="C5803" s="4" t="s">
        <v>14</v>
      </c>
      <c r="D5803" s="35">
        <v>10188</v>
      </c>
      <c r="E5803" s="7" t="s">
        <v>9783</v>
      </c>
      <c r="F5803" s="5">
        <v>40828</v>
      </c>
      <c r="G5803" s="5">
        <v>40900</v>
      </c>
      <c r="H5803" s="4" t="s">
        <v>392</v>
      </c>
      <c r="I5803" s="6">
        <v>148898</v>
      </c>
      <c r="J5803" s="6">
        <v>29779.8</v>
      </c>
      <c r="K5803" s="37" t="s">
        <v>9751</v>
      </c>
      <c r="L5803" s="119"/>
      <c r="M5803" s="3"/>
    </row>
    <row r="5804" spans="1:13" s="4" customFormat="1" ht="14.25" customHeight="1" x14ac:dyDescent="0.25">
      <c r="A5804" s="4" t="s">
        <v>9784</v>
      </c>
      <c r="B5804" s="4" t="s">
        <v>13</v>
      </c>
      <c r="C5804" s="4" t="s">
        <v>14</v>
      </c>
      <c r="D5804" s="35">
        <v>10220</v>
      </c>
      <c r="E5804" s="4" t="s">
        <v>9785</v>
      </c>
      <c r="F5804" s="5">
        <v>40023</v>
      </c>
      <c r="G5804" s="5">
        <v>40239</v>
      </c>
      <c r="H5804" s="4" t="s">
        <v>392</v>
      </c>
      <c r="I5804" s="6">
        <v>11115</v>
      </c>
      <c r="J5804" s="6">
        <v>5557.5</v>
      </c>
      <c r="K5804" s="37" t="s">
        <v>9751</v>
      </c>
      <c r="L5804" s="119"/>
      <c r="M5804" s="3"/>
    </row>
    <row r="5805" spans="1:13" s="4" customFormat="1" ht="14.25" customHeight="1" x14ac:dyDescent="0.25">
      <c r="A5805" s="4" t="s">
        <v>9786</v>
      </c>
      <c r="B5805" s="4" t="s">
        <v>183</v>
      </c>
      <c r="C5805" s="4" t="s">
        <v>14</v>
      </c>
      <c r="D5805" s="35">
        <v>537</v>
      </c>
      <c r="E5805" s="4" t="s">
        <v>9787</v>
      </c>
      <c r="F5805" s="5">
        <v>39127</v>
      </c>
      <c r="H5805" s="4" t="s">
        <v>40</v>
      </c>
      <c r="I5805" s="6">
        <v>7500</v>
      </c>
      <c r="J5805" s="6">
        <v>7500</v>
      </c>
      <c r="K5805" s="37" t="s">
        <v>9751</v>
      </c>
      <c r="L5805" s="120"/>
      <c r="M5805" s="3"/>
    </row>
    <row r="5806" spans="1:13" s="4" customFormat="1" ht="14.25" customHeight="1" x14ac:dyDescent="0.25">
      <c r="A5806" s="4" t="s">
        <v>9788</v>
      </c>
      <c r="B5806" s="4" t="s">
        <v>183</v>
      </c>
      <c r="C5806" s="4" t="s">
        <v>14</v>
      </c>
      <c r="D5806" s="35">
        <v>538</v>
      </c>
      <c r="E5806" s="4" t="s">
        <v>9789</v>
      </c>
      <c r="F5806" s="5">
        <v>39140</v>
      </c>
      <c r="H5806" s="4" t="s">
        <v>40</v>
      </c>
      <c r="I5806" s="6">
        <v>100000</v>
      </c>
      <c r="J5806" s="6">
        <v>50000</v>
      </c>
      <c r="K5806" s="37" t="s">
        <v>9751</v>
      </c>
      <c r="L5806" s="120"/>
      <c r="M5806" s="3"/>
    </row>
    <row r="5807" spans="1:13" s="4" customFormat="1" ht="14.25" customHeight="1" x14ac:dyDescent="0.25">
      <c r="A5807" s="4" t="s">
        <v>9790</v>
      </c>
      <c r="B5807" s="4" t="s">
        <v>183</v>
      </c>
      <c r="C5807" s="4" t="s">
        <v>14</v>
      </c>
      <c r="D5807" s="35">
        <v>540</v>
      </c>
      <c r="E5807" s="4" t="s">
        <v>9791</v>
      </c>
      <c r="F5807" s="5">
        <v>39127</v>
      </c>
      <c r="H5807" s="4" t="s">
        <v>40</v>
      </c>
      <c r="I5807" s="6">
        <v>21553.18</v>
      </c>
      <c r="J5807" s="6">
        <v>10776.59</v>
      </c>
      <c r="K5807" s="37" t="s">
        <v>9751</v>
      </c>
      <c r="L5807" s="120"/>
      <c r="M5807" s="3"/>
    </row>
    <row r="5808" spans="1:13" s="4" customFormat="1" ht="14.25" customHeight="1" x14ac:dyDescent="0.25">
      <c r="A5808" s="4" t="s">
        <v>9792</v>
      </c>
      <c r="B5808" s="4" t="s">
        <v>183</v>
      </c>
      <c r="C5808" s="4" t="s">
        <v>14</v>
      </c>
      <c r="D5808" s="35">
        <v>542</v>
      </c>
      <c r="E5808" s="4" t="s">
        <v>9793</v>
      </c>
      <c r="F5808" s="5">
        <v>39127</v>
      </c>
      <c r="H5808" s="4" t="s">
        <v>40</v>
      </c>
      <c r="I5808" s="6">
        <v>15000</v>
      </c>
      <c r="J5808" s="6">
        <v>15000</v>
      </c>
      <c r="K5808" s="37" t="s">
        <v>9751</v>
      </c>
      <c r="L5808" s="120"/>
      <c r="M5808" s="3"/>
    </row>
    <row r="5809" spans="1:13" s="4" customFormat="1" ht="14.25" customHeight="1" x14ac:dyDescent="0.25">
      <c r="A5809" s="4" t="s">
        <v>9794</v>
      </c>
      <c r="B5809" s="4" t="s">
        <v>183</v>
      </c>
      <c r="C5809" s="4" t="s">
        <v>14</v>
      </c>
      <c r="D5809" s="35">
        <v>544</v>
      </c>
      <c r="E5809" s="4" t="s">
        <v>9795</v>
      </c>
      <c r="F5809" s="5">
        <v>39253</v>
      </c>
      <c r="H5809" s="4" t="s">
        <v>40</v>
      </c>
      <c r="I5809" s="6">
        <v>79500</v>
      </c>
      <c r="J5809" s="6">
        <v>39750</v>
      </c>
      <c r="K5809" s="37" t="s">
        <v>9751</v>
      </c>
      <c r="L5809" s="120"/>
      <c r="M5809" s="3"/>
    </row>
    <row r="5810" spans="1:13" s="4" customFormat="1" ht="14.25" customHeight="1" x14ac:dyDescent="0.25">
      <c r="A5810" s="4" t="s">
        <v>9796</v>
      </c>
      <c r="B5810" s="4" t="s">
        <v>183</v>
      </c>
      <c r="C5810" s="4" t="s">
        <v>14</v>
      </c>
      <c r="D5810" s="35">
        <v>545</v>
      </c>
      <c r="E5810" s="4" t="s">
        <v>9797</v>
      </c>
      <c r="F5810" s="5">
        <v>39190</v>
      </c>
      <c r="H5810" s="4" t="s">
        <v>40</v>
      </c>
      <c r="I5810" s="6">
        <v>3750</v>
      </c>
      <c r="J5810" s="6">
        <v>3750</v>
      </c>
      <c r="K5810" s="37" t="s">
        <v>9751</v>
      </c>
      <c r="L5810" s="120"/>
      <c r="M5810" s="3"/>
    </row>
    <row r="5811" spans="1:13" s="4" customFormat="1" ht="14.25" customHeight="1" x14ac:dyDescent="0.25">
      <c r="A5811" s="4" t="s">
        <v>9800</v>
      </c>
      <c r="B5811" s="4" t="s">
        <v>183</v>
      </c>
      <c r="C5811" s="4" t="s">
        <v>14</v>
      </c>
      <c r="D5811" s="35">
        <v>547</v>
      </c>
      <c r="E5811" s="4" t="s">
        <v>9801</v>
      </c>
      <c r="F5811" s="5">
        <v>39127</v>
      </c>
      <c r="H5811" s="4" t="s">
        <v>40</v>
      </c>
      <c r="I5811" s="6">
        <v>7500</v>
      </c>
      <c r="J5811" s="6">
        <v>7500</v>
      </c>
      <c r="K5811" s="37" t="s">
        <v>9751</v>
      </c>
      <c r="L5811" s="120"/>
      <c r="M5811" s="3"/>
    </row>
    <row r="5812" spans="1:13" s="4" customFormat="1" ht="14.25" customHeight="1" x14ac:dyDescent="0.25">
      <c r="A5812" s="4" t="s">
        <v>9802</v>
      </c>
      <c r="B5812" s="4" t="s">
        <v>183</v>
      </c>
      <c r="C5812" s="4" t="s">
        <v>14</v>
      </c>
      <c r="D5812" s="35">
        <v>548</v>
      </c>
      <c r="E5812" s="4" t="s">
        <v>9803</v>
      </c>
      <c r="F5812" s="5">
        <v>39337</v>
      </c>
      <c r="H5812" s="4" t="s">
        <v>40</v>
      </c>
      <c r="I5812" s="6">
        <v>7500</v>
      </c>
      <c r="J5812" s="6">
        <v>7500</v>
      </c>
      <c r="K5812" s="37" t="s">
        <v>9751</v>
      </c>
      <c r="L5812" s="120"/>
      <c r="M5812" s="3"/>
    </row>
    <row r="5813" spans="1:13" s="4" customFormat="1" ht="14.25" customHeight="1" x14ac:dyDescent="0.25">
      <c r="A5813" s="4" t="s">
        <v>9808</v>
      </c>
      <c r="B5813" s="4" t="s">
        <v>183</v>
      </c>
      <c r="C5813" s="4" t="s">
        <v>14</v>
      </c>
      <c r="D5813" s="35">
        <v>552</v>
      </c>
      <c r="E5813" s="4" t="s">
        <v>9809</v>
      </c>
      <c r="F5813" s="5">
        <v>39505</v>
      </c>
      <c r="H5813" s="4" t="s">
        <v>40</v>
      </c>
      <c r="I5813" s="6">
        <v>7500</v>
      </c>
      <c r="J5813" s="6">
        <v>7500</v>
      </c>
      <c r="K5813" s="37" t="s">
        <v>9751</v>
      </c>
      <c r="L5813" s="120"/>
      <c r="M5813" s="3"/>
    </row>
    <row r="5814" spans="1:13" s="4" customFormat="1" ht="14.25" customHeight="1" x14ac:dyDescent="0.25">
      <c r="A5814" s="4" t="s">
        <v>9810</v>
      </c>
      <c r="B5814" s="4" t="s">
        <v>183</v>
      </c>
      <c r="C5814" s="4" t="s">
        <v>14</v>
      </c>
      <c r="D5814" s="35">
        <v>553</v>
      </c>
      <c r="E5814" s="4" t="s">
        <v>9811</v>
      </c>
      <c r="F5814" s="5">
        <v>39505</v>
      </c>
      <c r="H5814" s="4" t="s">
        <v>40</v>
      </c>
      <c r="I5814" s="6">
        <v>150000</v>
      </c>
      <c r="J5814" s="6">
        <v>75000</v>
      </c>
      <c r="K5814" s="37" t="s">
        <v>9751</v>
      </c>
      <c r="L5814" s="120"/>
      <c r="M5814" s="3"/>
    </row>
    <row r="5815" spans="1:13" s="4" customFormat="1" ht="14.25" customHeight="1" x14ac:dyDescent="0.25">
      <c r="A5815" s="4" t="s">
        <v>9812</v>
      </c>
      <c r="B5815" s="4" t="s">
        <v>183</v>
      </c>
      <c r="C5815" s="4" t="s">
        <v>14</v>
      </c>
      <c r="D5815" s="35">
        <v>554</v>
      </c>
      <c r="E5815" s="4" t="s">
        <v>9813</v>
      </c>
      <c r="F5815" s="5">
        <v>39400</v>
      </c>
      <c r="H5815" s="4" t="s">
        <v>40</v>
      </c>
      <c r="I5815" s="6">
        <v>8991.82</v>
      </c>
      <c r="J5815" s="6">
        <v>4495.91</v>
      </c>
      <c r="K5815" s="37" t="s">
        <v>9751</v>
      </c>
      <c r="L5815" s="120"/>
      <c r="M5815" s="3"/>
    </row>
    <row r="5816" spans="1:13" s="4" customFormat="1" ht="14.25" customHeight="1" x14ac:dyDescent="0.25">
      <c r="A5816" s="4" t="s">
        <v>9814</v>
      </c>
      <c r="B5816" s="4" t="s">
        <v>183</v>
      </c>
      <c r="C5816" s="4" t="s">
        <v>14</v>
      </c>
      <c r="D5816" s="35">
        <v>555</v>
      </c>
      <c r="E5816" s="4" t="s">
        <v>9815</v>
      </c>
      <c r="F5816" s="5">
        <v>39505</v>
      </c>
      <c r="H5816" s="4" t="s">
        <v>40</v>
      </c>
      <c r="I5816" s="6">
        <v>80000</v>
      </c>
      <c r="J5816" s="6">
        <v>40000</v>
      </c>
      <c r="K5816" s="37" t="s">
        <v>9751</v>
      </c>
      <c r="L5816" s="120"/>
      <c r="M5816" s="3"/>
    </row>
    <row r="5817" spans="1:13" s="4" customFormat="1" ht="14.25" customHeight="1" x14ac:dyDescent="0.25">
      <c r="A5817" s="4" t="s">
        <v>9816</v>
      </c>
      <c r="B5817" s="4" t="s">
        <v>183</v>
      </c>
      <c r="C5817" s="4" t="s">
        <v>14</v>
      </c>
      <c r="D5817" s="35">
        <v>556</v>
      </c>
      <c r="E5817" s="4" t="s">
        <v>9817</v>
      </c>
      <c r="F5817" s="5">
        <v>39610</v>
      </c>
      <c r="G5817" s="5">
        <v>40178</v>
      </c>
      <c r="H5817" s="4" t="s">
        <v>40</v>
      </c>
      <c r="I5817" s="6">
        <v>55000</v>
      </c>
      <c r="J5817" s="6">
        <v>27500</v>
      </c>
      <c r="K5817" s="37" t="s">
        <v>9751</v>
      </c>
      <c r="L5817" s="120"/>
      <c r="M5817" s="3"/>
    </row>
    <row r="5818" spans="1:13" s="4" customFormat="1" ht="14.25" customHeight="1" x14ac:dyDescent="0.25">
      <c r="A5818" s="4" t="s">
        <v>9822</v>
      </c>
      <c r="B5818" s="4" t="s">
        <v>183</v>
      </c>
      <c r="C5818" s="4" t="s">
        <v>14</v>
      </c>
      <c r="D5818" s="35">
        <v>559</v>
      </c>
      <c r="E5818" s="4" t="s">
        <v>9823</v>
      </c>
      <c r="F5818" s="5">
        <v>39554</v>
      </c>
      <c r="H5818" s="4" t="s">
        <v>40</v>
      </c>
      <c r="I5818" s="6">
        <v>10200</v>
      </c>
      <c r="J5818" s="6">
        <v>5100</v>
      </c>
      <c r="K5818" s="37" t="s">
        <v>9751</v>
      </c>
      <c r="L5818" s="120"/>
      <c r="M5818" s="3"/>
    </row>
    <row r="5819" spans="1:13" s="4" customFormat="1" ht="14.25" customHeight="1" x14ac:dyDescent="0.25">
      <c r="A5819" s="4" t="s">
        <v>9824</v>
      </c>
      <c r="B5819" s="4" t="s">
        <v>183</v>
      </c>
      <c r="C5819" s="4" t="s">
        <v>14</v>
      </c>
      <c r="D5819" s="35">
        <v>560</v>
      </c>
      <c r="E5819" s="4" t="s">
        <v>9825</v>
      </c>
      <c r="F5819" s="5">
        <v>39554</v>
      </c>
      <c r="H5819" s="4" t="s">
        <v>40</v>
      </c>
      <c r="I5819" s="6">
        <v>10200</v>
      </c>
      <c r="J5819" s="6">
        <v>5100</v>
      </c>
      <c r="K5819" s="37" t="s">
        <v>9751</v>
      </c>
      <c r="L5819" s="120"/>
      <c r="M5819" s="3"/>
    </row>
    <row r="5820" spans="1:13" s="4" customFormat="1" ht="14.25" customHeight="1" x14ac:dyDescent="0.25">
      <c r="A5820" s="4" t="s">
        <v>9826</v>
      </c>
      <c r="B5820" s="4" t="s">
        <v>183</v>
      </c>
      <c r="C5820" s="4" t="s">
        <v>14</v>
      </c>
      <c r="D5820" s="35">
        <v>561</v>
      </c>
      <c r="E5820" s="4" t="s">
        <v>9827</v>
      </c>
      <c r="F5820" s="5">
        <v>39750</v>
      </c>
      <c r="H5820" s="4" t="s">
        <v>40</v>
      </c>
      <c r="I5820" s="6">
        <v>10200</v>
      </c>
      <c r="J5820" s="6">
        <v>5100</v>
      </c>
      <c r="K5820" s="37" t="s">
        <v>9751</v>
      </c>
      <c r="L5820" s="120"/>
      <c r="M5820" s="3"/>
    </row>
    <row r="5821" spans="1:13" s="4" customFormat="1" ht="14.25" customHeight="1" x14ac:dyDescent="0.25">
      <c r="A5821" s="4" t="s">
        <v>9828</v>
      </c>
      <c r="B5821" s="4" t="s">
        <v>183</v>
      </c>
      <c r="C5821" s="4" t="s">
        <v>14</v>
      </c>
      <c r="D5821" s="35">
        <v>562</v>
      </c>
      <c r="E5821" s="4" t="s">
        <v>9829</v>
      </c>
      <c r="F5821" s="5">
        <v>39750</v>
      </c>
      <c r="H5821" s="4" t="s">
        <v>40</v>
      </c>
      <c r="I5821" s="6">
        <v>24904.18</v>
      </c>
      <c r="J5821" s="6">
        <v>12452.09</v>
      </c>
      <c r="K5821" s="37" t="s">
        <v>9751</v>
      </c>
      <c r="L5821" s="120"/>
      <c r="M5821" s="3"/>
    </row>
    <row r="5822" spans="1:13" s="4" customFormat="1" ht="14.25" customHeight="1" x14ac:dyDescent="0.25">
      <c r="A5822" s="4" t="s">
        <v>5240</v>
      </c>
      <c r="B5822" s="4" t="s">
        <v>38</v>
      </c>
      <c r="C5822" s="4" t="s">
        <v>14</v>
      </c>
      <c r="D5822" s="35">
        <v>2029</v>
      </c>
      <c r="E5822" s="4" t="s">
        <v>9830</v>
      </c>
      <c r="F5822" s="5">
        <v>39083</v>
      </c>
      <c r="G5822" s="5">
        <v>41639</v>
      </c>
      <c r="H5822" s="4" t="s">
        <v>40</v>
      </c>
      <c r="I5822" s="6">
        <f>59922.34+66551.61+27059.48+15524.91+41148.25-367.06</f>
        <v>209839.53</v>
      </c>
      <c r="J5822" s="6">
        <f>194681.28+15524.91-367.06</f>
        <v>209839.13</v>
      </c>
      <c r="K5822" s="37" t="s">
        <v>9751</v>
      </c>
      <c r="L5822" s="120"/>
      <c r="M5822" s="3"/>
    </row>
    <row r="5823" spans="1:13" s="4" customFormat="1" ht="14.25" customHeight="1" x14ac:dyDescent="0.25">
      <c r="A5823" s="4" t="s">
        <v>9831</v>
      </c>
      <c r="B5823" s="4" t="s">
        <v>38</v>
      </c>
      <c r="C5823" s="4" t="s">
        <v>14</v>
      </c>
      <c r="D5823" s="35">
        <v>2325</v>
      </c>
      <c r="E5823" s="4" t="s">
        <v>9832</v>
      </c>
      <c r="F5823" s="5">
        <v>39083</v>
      </c>
      <c r="G5823" s="5">
        <v>41274</v>
      </c>
      <c r="H5823" s="4" t="s">
        <v>40</v>
      </c>
      <c r="I5823" s="6">
        <f>49842.15+31306.44+43921.36+28845.13+58483.68-183.53</f>
        <v>212215.22999999998</v>
      </c>
      <c r="J5823" s="6">
        <f>181092.32+31306.44-183.53</f>
        <v>212215.23</v>
      </c>
      <c r="K5823" s="37" t="s">
        <v>9751</v>
      </c>
      <c r="L5823" s="120"/>
      <c r="M5823" s="3"/>
    </row>
    <row r="5824" spans="1:13" s="4" customFormat="1" ht="14.25" customHeight="1" x14ac:dyDescent="0.25">
      <c r="A5824" s="4" t="s">
        <v>4077</v>
      </c>
      <c r="B5824" s="4" t="s">
        <v>38</v>
      </c>
      <c r="C5824" s="4" t="s">
        <v>14</v>
      </c>
      <c r="D5824" s="35">
        <v>2326</v>
      </c>
      <c r="E5824" s="4" t="s">
        <v>9833</v>
      </c>
      <c r="F5824" s="5">
        <v>39083</v>
      </c>
      <c r="G5824" s="5">
        <v>41639</v>
      </c>
      <c r="H5824" s="4" t="s">
        <v>40</v>
      </c>
      <c r="I5824" s="6">
        <f>12784.36+1252.52+2859.93+2524.8+10406.96-183.53</f>
        <v>29645.040000000001</v>
      </c>
      <c r="J5824" s="6">
        <f>28576.05+1252.52-183.53</f>
        <v>29645.040000000001</v>
      </c>
      <c r="K5824" s="37" t="s">
        <v>9751</v>
      </c>
      <c r="L5824" s="120"/>
      <c r="M5824" s="3"/>
    </row>
    <row r="5825" spans="1:13" s="4" customFormat="1" ht="14.25" customHeight="1" x14ac:dyDescent="0.25">
      <c r="A5825" s="4" t="s">
        <v>9834</v>
      </c>
      <c r="B5825" s="4" t="s">
        <v>38</v>
      </c>
      <c r="C5825" s="4" t="s">
        <v>14</v>
      </c>
      <c r="D5825" s="35">
        <v>2327</v>
      </c>
      <c r="E5825" s="4" t="s">
        <v>9835</v>
      </c>
      <c r="F5825" s="5">
        <v>39083</v>
      </c>
      <c r="G5825" s="5">
        <v>39813</v>
      </c>
      <c r="H5825" s="4" t="s">
        <v>40</v>
      </c>
      <c r="I5825" s="6">
        <v>5648.23</v>
      </c>
      <c r="J5825" s="6">
        <v>5648.23</v>
      </c>
      <c r="K5825" s="37" t="s">
        <v>9751</v>
      </c>
      <c r="L5825" s="120"/>
      <c r="M5825" s="3"/>
    </row>
    <row r="5826" spans="1:13" s="4" customFormat="1" ht="14.25" customHeight="1" x14ac:dyDescent="0.25">
      <c r="A5826" s="4" t="s">
        <v>9836</v>
      </c>
      <c r="B5826" s="4" t="s">
        <v>38</v>
      </c>
      <c r="C5826" s="4" t="s">
        <v>14</v>
      </c>
      <c r="D5826" s="35">
        <v>2328</v>
      </c>
      <c r="E5826" s="4" t="s">
        <v>9837</v>
      </c>
      <c r="F5826" s="5">
        <v>39083</v>
      </c>
      <c r="G5826" s="5">
        <v>39813</v>
      </c>
      <c r="H5826" s="4" t="s">
        <v>40</v>
      </c>
      <c r="I5826" s="6">
        <v>807.81</v>
      </c>
      <c r="J5826" s="6">
        <v>807.81</v>
      </c>
      <c r="K5826" s="37" t="s">
        <v>9751</v>
      </c>
      <c r="L5826" s="120"/>
      <c r="M5826" s="3"/>
    </row>
    <row r="5827" spans="1:13" s="4" customFormat="1" ht="14.25" customHeight="1" x14ac:dyDescent="0.25">
      <c r="A5827" s="4" t="s">
        <v>9838</v>
      </c>
      <c r="B5827" s="4" t="s">
        <v>38</v>
      </c>
      <c r="C5827" s="4" t="s">
        <v>14</v>
      </c>
      <c r="D5827" s="35">
        <v>2329</v>
      </c>
      <c r="E5827" s="4" t="s">
        <v>9839</v>
      </c>
      <c r="F5827" s="5">
        <v>39083</v>
      </c>
      <c r="G5827" s="5">
        <v>39813</v>
      </c>
      <c r="H5827" s="4" t="s">
        <v>40</v>
      </c>
      <c r="I5827" s="6">
        <v>522.80999999999995</v>
      </c>
      <c r="J5827" s="6">
        <v>522.80999999999995</v>
      </c>
      <c r="K5827" s="37" t="s">
        <v>9751</v>
      </c>
      <c r="L5827" s="120"/>
      <c r="M5827" s="3"/>
    </row>
    <row r="5828" spans="1:13" s="4" customFormat="1" ht="14.25" customHeight="1" x14ac:dyDescent="0.25">
      <c r="A5828" s="4" t="s">
        <v>9840</v>
      </c>
      <c r="B5828" s="4" t="s">
        <v>38</v>
      </c>
      <c r="C5828" s="4" t="s">
        <v>14</v>
      </c>
      <c r="D5828" s="35">
        <v>2330</v>
      </c>
      <c r="E5828" s="4" t="s">
        <v>9841</v>
      </c>
      <c r="F5828" s="5">
        <v>39083</v>
      </c>
      <c r="G5828" s="5">
        <v>41274</v>
      </c>
      <c r="H5828" s="4" t="s">
        <v>40</v>
      </c>
      <c r="I5828" s="6">
        <f>3304.31+1079.81+250+1280</f>
        <v>5914.12</v>
      </c>
      <c r="J5828" s="6">
        <v>5914.12</v>
      </c>
      <c r="K5828" s="37" t="s">
        <v>9751</v>
      </c>
      <c r="L5828" s="120"/>
      <c r="M5828" s="3"/>
    </row>
    <row r="5829" spans="1:13" s="4" customFormat="1" ht="14.25" customHeight="1" x14ac:dyDescent="0.25">
      <c r="A5829" s="4" t="s">
        <v>9842</v>
      </c>
      <c r="B5829" s="4" t="s">
        <v>38</v>
      </c>
      <c r="C5829" s="4" t="s">
        <v>14</v>
      </c>
      <c r="D5829" s="35">
        <v>2331</v>
      </c>
      <c r="E5829" s="4" t="s">
        <v>9843</v>
      </c>
      <c r="F5829" s="5">
        <v>39083</v>
      </c>
      <c r="G5829" s="5">
        <v>41639</v>
      </c>
      <c r="H5829" s="4" t="s">
        <v>40</v>
      </c>
      <c r="I5829" s="6">
        <f>29440.23-183.53</f>
        <v>29256.7</v>
      </c>
      <c r="J5829" s="6">
        <f>25247.42+4192.81-183.53</f>
        <v>29256.7</v>
      </c>
      <c r="K5829" s="37" t="s">
        <v>9751</v>
      </c>
      <c r="L5829" s="120"/>
      <c r="M5829" s="3"/>
    </row>
    <row r="5830" spans="1:13" s="4" customFormat="1" ht="14.25" customHeight="1" x14ac:dyDescent="0.25">
      <c r="A5830" s="4" t="s">
        <v>9844</v>
      </c>
      <c r="B5830" s="4" t="s">
        <v>38</v>
      </c>
      <c r="C5830" s="4" t="s">
        <v>14</v>
      </c>
      <c r="D5830" s="35">
        <v>2332</v>
      </c>
      <c r="E5830" s="4" t="s">
        <v>9845</v>
      </c>
      <c r="F5830" s="5">
        <v>39083</v>
      </c>
      <c r="G5830" s="5">
        <v>41274</v>
      </c>
      <c r="H5830" s="4" t="s">
        <v>40</v>
      </c>
      <c r="I5830" s="6">
        <v>24905.95</v>
      </c>
      <c r="J5830" s="6">
        <v>24905.95</v>
      </c>
      <c r="K5830" s="37" t="s">
        <v>9751</v>
      </c>
      <c r="L5830" s="120"/>
      <c r="M5830" s="3"/>
    </row>
    <row r="5831" spans="1:13" s="4" customFormat="1" ht="14.25" customHeight="1" x14ac:dyDescent="0.25">
      <c r="A5831" s="4" t="s">
        <v>9846</v>
      </c>
      <c r="B5831" s="4" t="s">
        <v>38</v>
      </c>
      <c r="C5831" s="4" t="s">
        <v>14</v>
      </c>
      <c r="D5831" s="35">
        <v>2333</v>
      </c>
      <c r="E5831" s="4" t="s">
        <v>9847</v>
      </c>
      <c r="F5831" s="5">
        <v>39083</v>
      </c>
      <c r="G5831" s="5">
        <v>40543</v>
      </c>
      <c r="H5831" s="4" t="s">
        <v>40</v>
      </c>
      <c r="I5831" s="6">
        <v>12058.43</v>
      </c>
      <c r="J5831" s="6">
        <v>12058.43</v>
      </c>
      <c r="K5831" s="37" t="s">
        <v>9751</v>
      </c>
      <c r="L5831" s="120"/>
      <c r="M5831" s="3"/>
    </row>
    <row r="5832" spans="1:13" s="4" customFormat="1" ht="14.25" customHeight="1" x14ac:dyDescent="0.25">
      <c r="A5832" s="4" t="s">
        <v>9309</v>
      </c>
      <c r="B5832" s="4" t="s">
        <v>38</v>
      </c>
      <c r="C5832" s="4" t="s">
        <v>14</v>
      </c>
      <c r="D5832" s="35">
        <v>2334</v>
      </c>
      <c r="E5832" s="4" t="s">
        <v>9848</v>
      </c>
      <c r="F5832" s="5">
        <v>39083</v>
      </c>
      <c r="G5832" s="5">
        <v>41274</v>
      </c>
      <c r="H5832" s="4" t="s">
        <v>40</v>
      </c>
      <c r="I5832" s="6">
        <v>6503.32</v>
      </c>
      <c r="J5832" s="6">
        <v>6503.32</v>
      </c>
      <c r="K5832" s="37" t="s">
        <v>9751</v>
      </c>
      <c r="L5832" s="120"/>
      <c r="M5832" s="3"/>
    </row>
    <row r="5833" spans="1:13" s="4" customFormat="1" ht="14.25" customHeight="1" x14ac:dyDescent="0.25">
      <c r="A5833" s="4" t="s">
        <v>9849</v>
      </c>
      <c r="B5833" s="4" t="s">
        <v>38</v>
      </c>
      <c r="C5833" s="4" t="s">
        <v>14</v>
      </c>
      <c r="D5833" s="35">
        <v>2335</v>
      </c>
      <c r="E5833" s="4" t="s">
        <v>9850</v>
      </c>
      <c r="F5833" s="5">
        <v>39083</v>
      </c>
      <c r="G5833" s="5">
        <v>40178</v>
      </c>
      <c r="H5833" s="4" t="s">
        <v>40</v>
      </c>
      <c r="I5833" s="6">
        <v>1306.46</v>
      </c>
      <c r="J5833" s="6">
        <v>1306.46</v>
      </c>
      <c r="K5833" s="37" t="s">
        <v>9751</v>
      </c>
      <c r="L5833" s="120"/>
      <c r="M5833" s="3"/>
    </row>
    <row r="5834" spans="1:13" s="4" customFormat="1" ht="14.25" customHeight="1" x14ac:dyDescent="0.25">
      <c r="A5834" s="4" t="s">
        <v>9851</v>
      </c>
      <c r="B5834" s="4" t="s">
        <v>38</v>
      </c>
      <c r="C5834" s="4" t="s">
        <v>14</v>
      </c>
      <c r="D5834" s="35">
        <v>2336</v>
      </c>
      <c r="E5834" s="4" t="s">
        <v>9852</v>
      </c>
      <c r="F5834" s="5">
        <v>39083</v>
      </c>
      <c r="G5834" s="5">
        <v>40178</v>
      </c>
      <c r="H5834" s="4" t="s">
        <v>40</v>
      </c>
      <c r="I5834" s="6">
        <v>1317.48</v>
      </c>
      <c r="J5834" s="6">
        <v>1317.48</v>
      </c>
      <c r="K5834" s="37" t="s">
        <v>9751</v>
      </c>
      <c r="L5834" s="120"/>
      <c r="M5834" s="3"/>
    </row>
    <row r="5835" spans="1:13" s="4" customFormat="1" ht="14.25" customHeight="1" x14ac:dyDescent="0.25">
      <c r="A5835" s="4" t="s">
        <v>9853</v>
      </c>
      <c r="B5835" s="4" t="s">
        <v>38</v>
      </c>
      <c r="C5835" s="4" t="s">
        <v>14</v>
      </c>
      <c r="D5835" s="35">
        <v>2337</v>
      </c>
      <c r="E5835" s="4" t="s">
        <v>9854</v>
      </c>
      <c r="F5835" s="5">
        <v>39083</v>
      </c>
      <c r="G5835" s="5">
        <v>40543</v>
      </c>
      <c r="H5835" s="4" t="s">
        <v>40</v>
      </c>
      <c r="I5835" s="6">
        <v>8148.6</v>
      </c>
      <c r="J5835" s="6">
        <v>8148.6</v>
      </c>
      <c r="K5835" s="37" t="s">
        <v>9751</v>
      </c>
      <c r="L5835" s="120"/>
      <c r="M5835" s="3"/>
    </row>
    <row r="5836" spans="1:13" s="4" customFormat="1" ht="14.25" customHeight="1" x14ac:dyDescent="0.25">
      <c r="A5836" s="4" t="s">
        <v>9855</v>
      </c>
      <c r="B5836" s="4" t="s">
        <v>38</v>
      </c>
      <c r="C5836" s="4" t="s">
        <v>14</v>
      </c>
      <c r="D5836" s="35">
        <v>2338</v>
      </c>
      <c r="E5836" s="4" t="s">
        <v>9856</v>
      </c>
      <c r="F5836" s="5">
        <v>39083</v>
      </c>
      <c r="G5836" s="5">
        <v>39813</v>
      </c>
      <c r="H5836" s="4" t="s">
        <v>40</v>
      </c>
      <c r="I5836" s="6">
        <v>897.81</v>
      </c>
      <c r="J5836" s="6">
        <v>897.81</v>
      </c>
      <c r="K5836" s="37" t="s">
        <v>9751</v>
      </c>
      <c r="L5836" s="120"/>
      <c r="M5836" s="3"/>
    </row>
    <row r="5837" spans="1:13" s="4" customFormat="1" ht="14.25" customHeight="1" x14ac:dyDescent="0.25">
      <c r="A5837" s="4" t="s">
        <v>9857</v>
      </c>
      <c r="B5837" s="4" t="s">
        <v>38</v>
      </c>
      <c r="C5837" s="4" t="s">
        <v>14</v>
      </c>
      <c r="D5837" s="35">
        <v>2339</v>
      </c>
      <c r="E5837" s="4" t="s">
        <v>9858</v>
      </c>
      <c r="F5837" s="5">
        <v>39083</v>
      </c>
      <c r="G5837" s="5">
        <v>39813</v>
      </c>
      <c r="H5837" s="4" t="s">
        <v>40</v>
      </c>
      <c r="I5837" s="6">
        <v>2522.81</v>
      </c>
      <c r="J5837" s="6">
        <v>2522.81</v>
      </c>
      <c r="K5837" s="37" t="s">
        <v>9751</v>
      </c>
      <c r="L5837" s="120"/>
      <c r="M5837" s="3"/>
    </row>
    <row r="5838" spans="1:13" s="4" customFormat="1" ht="14.25" customHeight="1" x14ac:dyDescent="0.25">
      <c r="A5838" s="4" t="s">
        <v>9859</v>
      </c>
      <c r="B5838" s="4" t="s">
        <v>38</v>
      </c>
      <c r="C5838" s="4" t="s">
        <v>14</v>
      </c>
      <c r="D5838" s="35">
        <v>2340</v>
      </c>
      <c r="E5838" s="4" t="s">
        <v>9860</v>
      </c>
      <c r="F5838" s="5">
        <v>39083</v>
      </c>
      <c r="G5838" s="5">
        <v>39813</v>
      </c>
      <c r="H5838" s="4" t="s">
        <v>40</v>
      </c>
      <c r="I5838" s="6">
        <v>5762.01</v>
      </c>
      <c r="J5838" s="6">
        <v>5762.01</v>
      </c>
      <c r="K5838" s="37" t="s">
        <v>9751</v>
      </c>
      <c r="L5838" s="120"/>
      <c r="M5838" s="3"/>
    </row>
    <row r="5839" spans="1:13" s="4" customFormat="1" ht="14.25" customHeight="1" x14ac:dyDescent="0.25">
      <c r="A5839" s="4" t="s">
        <v>9861</v>
      </c>
      <c r="B5839" s="4" t="s">
        <v>38</v>
      </c>
      <c r="C5839" s="4" t="s">
        <v>14</v>
      </c>
      <c r="D5839" s="35">
        <v>2343</v>
      </c>
      <c r="E5839" s="4" t="s">
        <v>9862</v>
      </c>
      <c r="F5839" s="5">
        <v>39083</v>
      </c>
      <c r="G5839" s="5">
        <v>40543</v>
      </c>
      <c r="H5839" s="4" t="s">
        <v>40</v>
      </c>
      <c r="I5839" s="6">
        <v>2135.91</v>
      </c>
      <c r="J5839" s="6">
        <v>2135.91</v>
      </c>
      <c r="K5839" s="37" t="s">
        <v>9751</v>
      </c>
      <c r="L5839" s="120"/>
      <c r="M5839" s="3"/>
    </row>
    <row r="5840" spans="1:13" s="4" customFormat="1" ht="14.25" customHeight="1" x14ac:dyDescent="0.25">
      <c r="A5840" s="4" t="s">
        <v>9863</v>
      </c>
      <c r="B5840" s="4" t="s">
        <v>38</v>
      </c>
      <c r="C5840" s="4" t="s">
        <v>14</v>
      </c>
      <c r="D5840" s="35">
        <v>2344</v>
      </c>
      <c r="E5840" s="4" t="s">
        <v>9864</v>
      </c>
      <c r="F5840" s="5">
        <v>39083</v>
      </c>
      <c r="G5840" s="5">
        <v>40178</v>
      </c>
      <c r="H5840" s="4" t="s">
        <v>40</v>
      </c>
      <c r="I5840" s="6">
        <v>395.64</v>
      </c>
      <c r="J5840" s="6">
        <v>395.64</v>
      </c>
      <c r="K5840" s="37" t="s">
        <v>9751</v>
      </c>
      <c r="L5840" s="120"/>
      <c r="M5840" s="3"/>
    </row>
    <row r="5841" spans="1:13" s="4" customFormat="1" ht="14.25" customHeight="1" x14ac:dyDescent="0.25">
      <c r="A5841" s="4" t="s">
        <v>8531</v>
      </c>
      <c r="B5841" s="4" t="s">
        <v>38</v>
      </c>
      <c r="C5841" s="4" t="s">
        <v>14</v>
      </c>
      <c r="D5841" s="35">
        <v>2345</v>
      </c>
      <c r="E5841" s="4" t="s">
        <v>9865</v>
      </c>
      <c r="F5841" s="5">
        <v>39083</v>
      </c>
      <c r="G5841" s="5">
        <v>41639</v>
      </c>
      <c r="H5841" s="4" t="s">
        <v>40</v>
      </c>
      <c r="I5841" s="6">
        <f>3382.27-183.53</f>
        <v>3198.74</v>
      </c>
      <c r="J5841" s="6">
        <f>2712.74+669.53-183.53</f>
        <v>3198.7399999999993</v>
      </c>
      <c r="K5841" s="37" t="s">
        <v>9751</v>
      </c>
      <c r="L5841" s="120"/>
      <c r="M5841" s="3"/>
    </row>
    <row r="5842" spans="1:13" s="4" customFormat="1" ht="14.25" customHeight="1" x14ac:dyDescent="0.25">
      <c r="A5842" s="4" t="s">
        <v>9866</v>
      </c>
      <c r="B5842" s="4" t="s">
        <v>38</v>
      </c>
      <c r="C5842" s="4" t="s">
        <v>14</v>
      </c>
      <c r="D5842" s="35">
        <v>2346</v>
      </c>
      <c r="E5842" s="4" t="s">
        <v>9867</v>
      </c>
      <c r="F5842" s="5">
        <v>39083</v>
      </c>
      <c r="G5842" s="5">
        <v>40543</v>
      </c>
      <c r="H5842" s="4" t="s">
        <v>40</v>
      </c>
      <c r="I5842" s="6">
        <v>1514.58</v>
      </c>
      <c r="J5842" s="6">
        <v>1514.58</v>
      </c>
      <c r="K5842" s="37" t="s">
        <v>9751</v>
      </c>
      <c r="L5842" s="120"/>
      <c r="M5842" s="3"/>
    </row>
    <row r="5843" spans="1:13" s="4" customFormat="1" ht="14.25" customHeight="1" x14ac:dyDescent="0.25">
      <c r="A5843" s="4" t="s">
        <v>9868</v>
      </c>
      <c r="B5843" s="4" t="s">
        <v>38</v>
      </c>
      <c r="C5843" s="4" t="s">
        <v>14</v>
      </c>
      <c r="D5843" s="35">
        <v>2347</v>
      </c>
      <c r="E5843" s="4" t="s">
        <v>9869</v>
      </c>
      <c r="F5843" s="5">
        <v>39083</v>
      </c>
      <c r="G5843" s="5">
        <v>39813</v>
      </c>
      <c r="H5843" s="4" t="s">
        <v>40</v>
      </c>
      <c r="I5843" s="6">
        <v>4115.9799999999996</v>
      </c>
      <c r="J5843" s="6">
        <v>4115.9799999999996</v>
      </c>
      <c r="K5843" s="37" t="s">
        <v>9751</v>
      </c>
      <c r="L5843" s="120"/>
      <c r="M5843" s="3"/>
    </row>
    <row r="5844" spans="1:13" s="4" customFormat="1" ht="14.25" customHeight="1" x14ac:dyDescent="0.25">
      <c r="A5844" s="4" t="s">
        <v>9870</v>
      </c>
      <c r="B5844" s="4" t="s">
        <v>38</v>
      </c>
      <c r="C5844" s="4" t="s">
        <v>14</v>
      </c>
      <c r="D5844" s="35">
        <v>2348</v>
      </c>
      <c r="E5844" s="4" t="s">
        <v>9871</v>
      </c>
      <c r="F5844" s="5">
        <v>39083</v>
      </c>
      <c r="G5844" s="5">
        <v>39813</v>
      </c>
      <c r="H5844" s="4" t="s">
        <v>40</v>
      </c>
      <c r="I5844" s="6">
        <v>3495.59</v>
      </c>
      <c r="J5844" s="6">
        <v>3495.59</v>
      </c>
      <c r="K5844" s="37" t="s">
        <v>9751</v>
      </c>
      <c r="L5844" s="120"/>
      <c r="M5844" s="3"/>
    </row>
    <row r="5845" spans="1:13" s="4" customFormat="1" ht="14.25" customHeight="1" x14ac:dyDescent="0.25">
      <c r="A5845" s="4" t="s">
        <v>9872</v>
      </c>
      <c r="B5845" s="4" t="s">
        <v>38</v>
      </c>
      <c r="C5845" s="4" t="s">
        <v>14</v>
      </c>
      <c r="D5845" s="35">
        <v>2350</v>
      </c>
      <c r="E5845" s="4" t="s">
        <v>9873</v>
      </c>
      <c r="F5845" s="5">
        <v>39083</v>
      </c>
      <c r="G5845" s="5">
        <v>41639</v>
      </c>
      <c r="H5845" s="4" t="s">
        <v>40</v>
      </c>
      <c r="I5845" s="6">
        <f>4027.6-183.53</f>
        <v>3844.0699999999997</v>
      </c>
      <c r="J5845" s="6">
        <f>3789.57+238.03-183.53</f>
        <v>3844.07</v>
      </c>
      <c r="K5845" s="37" t="s">
        <v>9751</v>
      </c>
      <c r="L5845" s="120"/>
      <c r="M5845" s="3"/>
    </row>
    <row r="5846" spans="1:13" s="4" customFormat="1" ht="14.25" customHeight="1" x14ac:dyDescent="0.25">
      <c r="A5846" s="4" t="s">
        <v>9874</v>
      </c>
      <c r="B5846" s="4" t="s">
        <v>38</v>
      </c>
      <c r="C5846" s="4" t="s">
        <v>14</v>
      </c>
      <c r="D5846" s="35">
        <v>2351</v>
      </c>
      <c r="E5846" s="4" t="s">
        <v>9875</v>
      </c>
      <c r="F5846" s="5">
        <v>39083</v>
      </c>
      <c r="G5846" s="5">
        <v>40178</v>
      </c>
      <c r="H5846" s="4" t="s">
        <v>40</v>
      </c>
      <c r="I5846" s="6">
        <v>2045.59</v>
      </c>
      <c r="J5846" s="6">
        <v>2045.59</v>
      </c>
      <c r="K5846" s="37" t="s">
        <v>9751</v>
      </c>
      <c r="L5846" s="120"/>
      <c r="M5846" s="3"/>
    </row>
    <row r="5847" spans="1:13" s="4" customFormat="1" ht="14.25" customHeight="1" x14ac:dyDescent="0.25">
      <c r="A5847" s="4" t="s">
        <v>9876</v>
      </c>
      <c r="B5847" s="4" t="s">
        <v>38</v>
      </c>
      <c r="C5847" s="4" t="s">
        <v>14</v>
      </c>
      <c r="D5847" s="35">
        <v>2352</v>
      </c>
      <c r="E5847" s="4" t="s">
        <v>9877</v>
      </c>
      <c r="F5847" s="5">
        <v>39083</v>
      </c>
      <c r="G5847" s="5">
        <v>40178</v>
      </c>
      <c r="H5847" s="4" t="s">
        <v>40</v>
      </c>
      <c r="I5847" s="6">
        <v>1830.59</v>
      </c>
      <c r="J5847" s="6">
        <v>1830.59</v>
      </c>
      <c r="K5847" s="37" t="s">
        <v>9751</v>
      </c>
      <c r="L5847" s="120"/>
      <c r="M5847" s="3"/>
    </row>
    <row r="5848" spans="1:13" s="4" customFormat="1" ht="14.25" customHeight="1" x14ac:dyDescent="0.25">
      <c r="A5848" s="4" t="s">
        <v>9878</v>
      </c>
      <c r="B5848" s="4" t="s">
        <v>38</v>
      </c>
      <c r="C5848" s="4" t="s">
        <v>14</v>
      </c>
      <c r="D5848" s="35">
        <v>2353</v>
      </c>
      <c r="E5848" s="4" t="s">
        <v>9879</v>
      </c>
      <c r="F5848" s="5">
        <v>39083</v>
      </c>
      <c r="G5848" s="5">
        <v>40178</v>
      </c>
      <c r="H5848" s="4" t="s">
        <v>40</v>
      </c>
      <c r="I5848" s="6">
        <v>3321.59</v>
      </c>
      <c r="J5848" s="6">
        <v>3321.59</v>
      </c>
      <c r="K5848" s="37" t="s">
        <v>9751</v>
      </c>
      <c r="L5848" s="120"/>
      <c r="M5848" s="3"/>
    </row>
    <row r="5849" spans="1:13" s="4" customFormat="1" ht="14.25" customHeight="1" x14ac:dyDescent="0.25">
      <c r="A5849" s="4" t="s">
        <v>9880</v>
      </c>
      <c r="B5849" s="4" t="s">
        <v>38</v>
      </c>
      <c r="C5849" s="4" t="s">
        <v>14</v>
      </c>
      <c r="D5849" s="35">
        <v>2354</v>
      </c>
      <c r="E5849" s="7" t="s">
        <v>9881</v>
      </c>
      <c r="F5849" s="5">
        <v>39083</v>
      </c>
      <c r="G5849" s="5">
        <v>40178</v>
      </c>
      <c r="H5849" s="4" t="s">
        <v>40</v>
      </c>
      <c r="I5849" s="6">
        <v>4046.46</v>
      </c>
      <c r="J5849" s="6">
        <v>4046.46</v>
      </c>
      <c r="K5849" s="37" t="s">
        <v>9751</v>
      </c>
      <c r="L5849" s="120"/>
      <c r="M5849" s="3"/>
    </row>
    <row r="5850" spans="1:13" s="4" customFormat="1" ht="14.25" customHeight="1" x14ac:dyDescent="0.25">
      <c r="A5850" s="4" t="s">
        <v>9307</v>
      </c>
      <c r="B5850" s="4" t="s">
        <v>38</v>
      </c>
      <c r="C5850" s="4" t="s">
        <v>14</v>
      </c>
      <c r="D5850" s="35">
        <v>2355</v>
      </c>
      <c r="E5850" s="4" t="s">
        <v>9882</v>
      </c>
      <c r="F5850" s="5">
        <v>39083</v>
      </c>
      <c r="G5850" s="5">
        <v>41639</v>
      </c>
      <c r="H5850" s="4" t="s">
        <v>40</v>
      </c>
      <c r="I5850" s="6">
        <f>14772.52-183.53</f>
        <v>14588.99</v>
      </c>
      <c r="J5850" s="6">
        <f>13267.74+1504.78-183.53</f>
        <v>14588.99</v>
      </c>
      <c r="K5850" s="37" t="s">
        <v>9751</v>
      </c>
      <c r="L5850" s="120"/>
      <c r="M5850" s="3"/>
    </row>
    <row r="5851" spans="1:13" s="4" customFormat="1" ht="14.25" customHeight="1" x14ac:dyDescent="0.25">
      <c r="A5851" s="4" t="s">
        <v>6268</v>
      </c>
      <c r="B5851" s="4" t="s">
        <v>38</v>
      </c>
      <c r="C5851" s="4" t="s">
        <v>14</v>
      </c>
      <c r="D5851" s="35">
        <v>2449</v>
      </c>
      <c r="E5851" s="4" t="s">
        <v>9883</v>
      </c>
      <c r="F5851" s="5">
        <v>39083</v>
      </c>
      <c r="G5851" s="5">
        <v>41639</v>
      </c>
      <c r="H5851" s="4" t="s">
        <v>40</v>
      </c>
      <c r="I5851" s="6">
        <v>11357.37</v>
      </c>
      <c r="J5851" s="6">
        <f>11121.6+235.77</f>
        <v>11357.37</v>
      </c>
      <c r="K5851" s="37" t="s">
        <v>9751</v>
      </c>
      <c r="L5851" s="120"/>
      <c r="M5851" s="3"/>
    </row>
    <row r="5852" spans="1:13" s="4" customFormat="1" ht="14.25" customHeight="1" x14ac:dyDescent="0.25">
      <c r="A5852" s="4" t="s">
        <v>9884</v>
      </c>
      <c r="B5852" s="4" t="s">
        <v>38</v>
      </c>
      <c r="C5852" s="4" t="s">
        <v>14</v>
      </c>
      <c r="D5852" s="35">
        <v>2451</v>
      </c>
      <c r="E5852" s="4" t="s">
        <v>9885</v>
      </c>
      <c r="F5852" s="5">
        <v>39083</v>
      </c>
      <c r="G5852" s="5">
        <v>41639</v>
      </c>
      <c r="H5852" s="4" t="s">
        <v>40</v>
      </c>
      <c r="I5852" s="6">
        <f>15029.36-183.53</f>
        <v>14845.83</v>
      </c>
      <c r="J5852" s="6">
        <f>15029.36-183.53</f>
        <v>14845.83</v>
      </c>
      <c r="K5852" s="37" t="s">
        <v>9751</v>
      </c>
      <c r="L5852" s="120"/>
      <c r="M5852" s="3"/>
    </row>
    <row r="5853" spans="1:13" s="4" customFormat="1" ht="14.25" customHeight="1" x14ac:dyDescent="0.25">
      <c r="A5853" s="4" t="s">
        <v>9886</v>
      </c>
      <c r="B5853" s="4" t="s">
        <v>38</v>
      </c>
      <c r="C5853" s="4" t="s">
        <v>14</v>
      </c>
      <c r="D5853" s="35">
        <v>2452</v>
      </c>
      <c r="E5853" s="4" t="s">
        <v>9887</v>
      </c>
      <c r="F5853" s="5">
        <v>39083</v>
      </c>
      <c r="G5853" s="5">
        <v>41639</v>
      </c>
      <c r="H5853" s="4" t="s">
        <v>40</v>
      </c>
      <c r="I5853" s="6">
        <v>3593.57</v>
      </c>
      <c r="J5853" s="6">
        <f>2570.29+1023.28</f>
        <v>3593.5699999999997</v>
      </c>
      <c r="K5853" s="37" t="s">
        <v>9751</v>
      </c>
      <c r="L5853" s="120"/>
      <c r="M5853" s="3"/>
    </row>
    <row r="5854" spans="1:13" s="4" customFormat="1" ht="14.25" customHeight="1" x14ac:dyDescent="0.25">
      <c r="A5854" s="4" t="s">
        <v>9888</v>
      </c>
      <c r="B5854" s="4" t="s">
        <v>38</v>
      </c>
      <c r="C5854" s="4" t="s">
        <v>14</v>
      </c>
      <c r="D5854" s="35">
        <v>2453</v>
      </c>
      <c r="E5854" s="4" t="s">
        <v>9889</v>
      </c>
      <c r="F5854" s="5">
        <v>39083</v>
      </c>
      <c r="G5854" s="5">
        <v>40178</v>
      </c>
      <c r="H5854" s="4" t="s">
        <v>40</v>
      </c>
      <c r="I5854" s="6">
        <v>886.46</v>
      </c>
      <c r="J5854" s="6">
        <v>886.46</v>
      </c>
      <c r="K5854" s="37" t="s">
        <v>9751</v>
      </c>
      <c r="L5854" s="120"/>
      <c r="M5854" s="3"/>
    </row>
    <row r="5855" spans="1:13" s="4" customFormat="1" ht="14.25" customHeight="1" x14ac:dyDescent="0.25">
      <c r="A5855" s="4" t="s">
        <v>9890</v>
      </c>
      <c r="B5855" s="4" t="s">
        <v>38</v>
      </c>
      <c r="C5855" s="4" t="s">
        <v>14</v>
      </c>
      <c r="D5855" s="35">
        <v>2454</v>
      </c>
      <c r="E5855" s="7" t="s">
        <v>9891</v>
      </c>
      <c r="F5855" s="5">
        <v>39083</v>
      </c>
      <c r="G5855" s="5">
        <v>39813</v>
      </c>
      <c r="H5855" s="4" t="s">
        <v>40</v>
      </c>
      <c r="I5855" s="6">
        <v>2721.45</v>
      </c>
      <c r="J5855" s="6">
        <v>2721.45</v>
      </c>
      <c r="K5855" s="37" t="s">
        <v>9751</v>
      </c>
      <c r="L5855" s="120"/>
      <c r="M5855" s="3"/>
    </row>
    <row r="5856" spans="1:13" s="4" customFormat="1" ht="14.25" customHeight="1" x14ac:dyDescent="0.25">
      <c r="A5856" s="4" t="s">
        <v>9892</v>
      </c>
      <c r="B5856" s="4" t="s">
        <v>38</v>
      </c>
      <c r="C5856" s="4" t="s">
        <v>14</v>
      </c>
      <c r="D5856" s="35">
        <v>2455</v>
      </c>
      <c r="E5856" s="4" t="s">
        <v>9893</v>
      </c>
      <c r="F5856" s="5">
        <v>39083</v>
      </c>
      <c r="G5856" s="5">
        <v>39813</v>
      </c>
      <c r="H5856" s="4" t="s">
        <v>40</v>
      </c>
      <c r="I5856" s="6">
        <v>1408.08</v>
      </c>
      <c r="J5856" s="6">
        <v>1408.08</v>
      </c>
      <c r="K5856" s="37" t="s">
        <v>9751</v>
      </c>
      <c r="L5856" s="120"/>
      <c r="M5856" s="3"/>
    </row>
    <row r="5857" spans="1:13" s="4" customFormat="1" ht="14.25" customHeight="1" x14ac:dyDescent="0.25">
      <c r="A5857" s="4" t="s">
        <v>9894</v>
      </c>
      <c r="B5857" s="4" t="s">
        <v>38</v>
      </c>
      <c r="C5857" s="4" t="s">
        <v>14</v>
      </c>
      <c r="D5857" s="35">
        <v>2456</v>
      </c>
      <c r="E5857" s="4" t="s">
        <v>9895</v>
      </c>
      <c r="F5857" s="5">
        <v>39083</v>
      </c>
      <c r="G5857" s="5">
        <v>40178</v>
      </c>
      <c r="H5857" s="4" t="s">
        <v>40</v>
      </c>
      <c r="I5857" s="6">
        <v>5237.59</v>
      </c>
      <c r="J5857" s="6">
        <v>5237.59</v>
      </c>
      <c r="K5857" s="37" t="s">
        <v>9751</v>
      </c>
      <c r="L5857" s="120"/>
      <c r="M5857" s="3"/>
    </row>
    <row r="5858" spans="1:13" s="4" customFormat="1" ht="14.25" customHeight="1" x14ac:dyDescent="0.25">
      <c r="A5858" s="4" t="s">
        <v>9896</v>
      </c>
      <c r="B5858" s="4" t="s">
        <v>38</v>
      </c>
      <c r="C5858" s="4" t="s">
        <v>14</v>
      </c>
      <c r="D5858" s="35">
        <v>2457</v>
      </c>
      <c r="E5858" s="4" t="s">
        <v>9897</v>
      </c>
      <c r="F5858" s="5">
        <v>39083</v>
      </c>
      <c r="G5858" s="5">
        <v>40178</v>
      </c>
      <c r="H5858" s="4" t="s">
        <v>40</v>
      </c>
      <c r="I5858" s="6">
        <v>7548.83</v>
      </c>
      <c r="J5858" s="6">
        <v>7548.83</v>
      </c>
      <c r="K5858" s="37" t="s">
        <v>9751</v>
      </c>
      <c r="L5858" s="120"/>
      <c r="M5858" s="3"/>
    </row>
    <row r="5859" spans="1:13" s="4" customFormat="1" ht="14.25" customHeight="1" x14ac:dyDescent="0.25">
      <c r="A5859" s="4" t="s">
        <v>9898</v>
      </c>
      <c r="B5859" s="4" t="s">
        <v>38</v>
      </c>
      <c r="C5859" s="4" t="s">
        <v>14</v>
      </c>
      <c r="D5859" s="35">
        <v>2458</v>
      </c>
      <c r="E5859" s="4" t="s">
        <v>9899</v>
      </c>
      <c r="F5859" s="5">
        <v>39083</v>
      </c>
      <c r="G5859" s="5">
        <v>40178</v>
      </c>
      <c r="H5859" s="4" t="s">
        <v>40</v>
      </c>
      <c r="I5859" s="6">
        <v>1345.48</v>
      </c>
      <c r="J5859" s="6">
        <v>1345.48</v>
      </c>
      <c r="K5859" s="37" t="s">
        <v>9751</v>
      </c>
      <c r="L5859" s="120"/>
      <c r="M5859" s="3"/>
    </row>
    <row r="5860" spans="1:13" s="4" customFormat="1" ht="14.25" customHeight="1" x14ac:dyDescent="0.25">
      <c r="A5860" s="4" t="s">
        <v>9451</v>
      </c>
      <c r="B5860" s="4" t="s">
        <v>38</v>
      </c>
      <c r="C5860" s="4" t="s">
        <v>14</v>
      </c>
      <c r="D5860" s="35">
        <v>2459</v>
      </c>
      <c r="E5860" s="4" t="s">
        <v>9900</v>
      </c>
      <c r="F5860" s="5">
        <v>39083</v>
      </c>
      <c r="G5860" s="5">
        <v>39813</v>
      </c>
      <c r="H5860" s="4" t="s">
        <v>40</v>
      </c>
      <c r="I5860" s="6">
        <v>1426.81</v>
      </c>
      <c r="J5860" s="6">
        <v>1426.81</v>
      </c>
      <c r="K5860" s="37" t="s">
        <v>9751</v>
      </c>
      <c r="L5860" s="120"/>
      <c r="M5860" s="3"/>
    </row>
    <row r="5861" spans="1:13" s="4" customFormat="1" ht="14.25" customHeight="1" x14ac:dyDescent="0.25">
      <c r="A5861" s="4" t="s">
        <v>9901</v>
      </c>
      <c r="B5861" s="4" t="s">
        <v>38</v>
      </c>
      <c r="C5861" s="4" t="s">
        <v>14</v>
      </c>
      <c r="D5861" s="35">
        <v>2461</v>
      </c>
      <c r="E5861" s="4" t="s">
        <v>9902</v>
      </c>
      <c r="F5861" s="5">
        <v>39083</v>
      </c>
      <c r="G5861" s="5">
        <v>41639</v>
      </c>
      <c r="H5861" s="4" t="s">
        <v>40</v>
      </c>
      <c r="I5861" s="6">
        <f>992.08+5260.99+1046+1185.77+78.75</f>
        <v>8563.59</v>
      </c>
      <c r="J5861" s="6">
        <f>7377.82+1185.77</f>
        <v>8563.59</v>
      </c>
      <c r="K5861" s="37" t="s">
        <v>9751</v>
      </c>
      <c r="L5861" s="120"/>
      <c r="M5861" s="3"/>
    </row>
    <row r="5862" spans="1:13" s="4" customFormat="1" ht="14.25" customHeight="1" x14ac:dyDescent="0.25">
      <c r="A5862" s="4" t="s">
        <v>9903</v>
      </c>
      <c r="B5862" s="4" t="s">
        <v>38</v>
      </c>
      <c r="C5862" s="4" t="s">
        <v>14</v>
      </c>
      <c r="D5862" s="35">
        <v>2462</v>
      </c>
      <c r="E5862" s="4" t="s">
        <v>9904</v>
      </c>
      <c r="F5862" s="5">
        <v>39083</v>
      </c>
      <c r="G5862" s="5">
        <v>39813</v>
      </c>
      <c r="H5862" s="4" t="s">
        <v>40</v>
      </c>
      <c r="I5862" s="6">
        <v>868.16</v>
      </c>
      <c r="J5862" s="6">
        <v>868.16</v>
      </c>
      <c r="K5862" s="37" t="s">
        <v>9751</v>
      </c>
      <c r="L5862" s="120"/>
      <c r="M5862" s="3"/>
    </row>
    <row r="5863" spans="1:13" s="4" customFormat="1" ht="14.25" customHeight="1" x14ac:dyDescent="0.25">
      <c r="A5863" s="4" t="s">
        <v>9905</v>
      </c>
      <c r="B5863" s="4" t="s">
        <v>38</v>
      </c>
      <c r="C5863" s="4" t="s">
        <v>14</v>
      </c>
      <c r="D5863" s="35">
        <v>2464</v>
      </c>
      <c r="E5863" s="4" t="s">
        <v>9906</v>
      </c>
      <c r="F5863" s="5">
        <v>39083</v>
      </c>
      <c r="G5863" s="5">
        <v>41639</v>
      </c>
      <c r="H5863" s="4" t="s">
        <v>40</v>
      </c>
      <c r="I5863" s="6">
        <f>21430.02+9282.6+5564.95+27734.88+10403.19</f>
        <v>74415.64</v>
      </c>
      <c r="J5863" s="6">
        <f>65133.04+9282.6</f>
        <v>74415.64</v>
      </c>
      <c r="K5863" s="37" t="s">
        <v>9751</v>
      </c>
      <c r="L5863" s="120"/>
      <c r="M5863" s="3"/>
    </row>
    <row r="5864" spans="1:13" s="4" customFormat="1" ht="14.25" customHeight="1" x14ac:dyDescent="0.25">
      <c r="A5864" s="4" t="s">
        <v>5796</v>
      </c>
      <c r="B5864" s="4" t="s">
        <v>38</v>
      </c>
      <c r="C5864" s="4" t="s">
        <v>14</v>
      </c>
      <c r="D5864" s="35">
        <v>2465</v>
      </c>
      <c r="E5864" s="4" t="s">
        <v>9907</v>
      </c>
      <c r="F5864" s="5">
        <v>39083</v>
      </c>
      <c r="G5864" s="5">
        <v>41274</v>
      </c>
      <c r="H5864" s="4" t="s">
        <v>40</v>
      </c>
      <c r="I5864" s="6">
        <v>10609.1</v>
      </c>
      <c r="J5864" s="6">
        <v>10609.1</v>
      </c>
      <c r="K5864" s="37" t="s">
        <v>9751</v>
      </c>
      <c r="L5864" s="120"/>
      <c r="M5864" s="3"/>
    </row>
    <row r="5865" spans="1:13" s="4" customFormat="1" ht="14.25" customHeight="1" x14ac:dyDescent="0.25">
      <c r="A5865" s="4" t="s">
        <v>9908</v>
      </c>
      <c r="B5865" s="4" t="s">
        <v>38</v>
      </c>
      <c r="C5865" s="4" t="s">
        <v>14</v>
      </c>
      <c r="D5865" s="35">
        <v>2466</v>
      </c>
      <c r="E5865" s="4" t="s">
        <v>9909</v>
      </c>
      <c r="F5865" s="5">
        <v>39083</v>
      </c>
      <c r="G5865" s="5">
        <v>41639</v>
      </c>
      <c r="H5865" s="4" t="s">
        <v>40</v>
      </c>
      <c r="I5865" s="6">
        <v>115996.99</v>
      </c>
      <c r="J5865" s="6">
        <f>80670.58+35326.41</f>
        <v>115996.99</v>
      </c>
      <c r="K5865" s="37" t="s">
        <v>9751</v>
      </c>
      <c r="L5865" s="120"/>
      <c r="M5865" s="3"/>
    </row>
    <row r="5866" spans="1:13" s="4" customFormat="1" ht="14.25" customHeight="1" x14ac:dyDescent="0.25">
      <c r="A5866" s="4" t="s">
        <v>2372</v>
      </c>
      <c r="B5866" s="4" t="s">
        <v>38</v>
      </c>
      <c r="C5866" s="4" t="s">
        <v>14</v>
      </c>
      <c r="D5866" s="35">
        <v>2467</v>
      </c>
      <c r="E5866" s="7" t="s">
        <v>9910</v>
      </c>
      <c r="F5866" s="5">
        <v>39083</v>
      </c>
      <c r="G5866" s="5">
        <v>40543</v>
      </c>
      <c r="H5866" s="4" t="s">
        <v>40</v>
      </c>
      <c r="I5866" s="6">
        <v>22041.24</v>
      </c>
      <c r="J5866" s="6">
        <v>22041.24</v>
      </c>
      <c r="K5866" s="37" t="s">
        <v>9751</v>
      </c>
      <c r="L5866" s="120"/>
      <c r="M5866" s="3"/>
    </row>
    <row r="5867" spans="1:13" s="4" customFormat="1" ht="14.25" customHeight="1" x14ac:dyDescent="0.25">
      <c r="A5867" s="4" t="s">
        <v>9911</v>
      </c>
      <c r="B5867" s="4" t="s">
        <v>38</v>
      </c>
      <c r="C5867" s="4" t="s">
        <v>14</v>
      </c>
      <c r="D5867" s="35">
        <v>2468</v>
      </c>
      <c r="E5867" s="7" t="s">
        <v>9912</v>
      </c>
      <c r="F5867" s="5">
        <v>39083</v>
      </c>
      <c r="G5867" s="5">
        <v>41274</v>
      </c>
      <c r="H5867" s="4" t="s">
        <v>40</v>
      </c>
      <c r="I5867" s="6">
        <v>22510.04</v>
      </c>
      <c r="J5867" s="6">
        <v>22510.04</v>
      </c>
      <c r="K5867" s="37" t="s">
        <v>9751</v>
      </c>
      <c r="L5867" s="120"/>
      <c r="M5867" s="3"/>
    </row>
    <row r="5868" spans="1:13" s="4" customFormat="1" ht="14.25" customHeight="1" x14ac:dyDescent="0.25">
      <c r="A5868" s="4" t="s">
        <v>9913</v>
      </c>
      <c r="B5868" s="4" t="s">
        <v>38</v>
      </c>
      <c r="C5868" s="4" t="s">
        <v>14</v>
      </c>
      <c r="D5868" s="35">
        <v>2469</v>
      </c>
      <c r="E5868" s="4" t="s">
        <v>9914</v>
      </c>
      <c r="F5868" s="5">
        <v>39083</v>
      </c>
      <c r="G5868" s="5">
        <v>41639</v>
      </c>
      <c r="H5868" s="4" t="s">
        <v>40</v>
      </c>
      <c r="I5868" s="6">
        <f>56502.07+29492.37+40457.86+30002.83+45863.05</f>
        <v>202318.18</v>
      </c>
      <c r="J5868" s="6">
        <f>161860.32+40457.86</f>
        <v>202318.18</v>
      </c>
      <c r="K5868" s="37" t="s">
        <v>9751</v>
      </c>
      <c r="L5868" s="120"/>
      <c r="M5868" s="3"/>
    </row>
    <row r="5869" spans="1:13" s="4" customFormat="1" ht="14.25" customHeight="1" x14ac:dyDescent="0.25">
      <c r="A5869" s="4" t="s">
        <v>4810</v>
      </c>
      <c r="B5869" s="4" t="s">
        <v>38</v>
      </c>
      <c r="C5869" s="4" t="s">
        <v>14</v>
      </c>
      <c r="D5869" s="35">
        <v>2470</v>
      </c>
      <c r="E5869" s="4" t="s">
        <v>9915</v>
      </c>
      <c r="F5869" s="5">
        <v>39083</v>
      </c>
      <c r="G5869" s="5">
        <v>40908</v>
      </c>
      <c r="H5869" s="4" t="s">
        <v>40</v>
      </c>
      <c r="I5869" s="6">
        <v>21775.97</v>
      </c>
      <c r="J5869" s="6">
        <v>21775.97</v>
      </c>
      <c r="K5869" s="37" t="s">
        <v>9751</v>
      </c>
      <c r="L5869" s="120"/>
      <c r="M5869" s="3"/>
    </row>
    <row r="5870" spans="1:13" s="4" customFormat="1" ht="14.25" customHeight="1" x14ac:dyDescent="0.25">
      <c r="A5870" s="4" t="s">
        <v>9916</v>
      </c>
      <c r="B5870" s="4" t="s">
        <v>38</v>
      </c>
      <c r="C5870" s="4" t="s">
        <v>14</v>
      </c>
      <c r="D5870" s="35">
        <v>2471</v>
      </c>
      <c r="E5870" s="4" t="s">
        <v>9917</v>
      </c>
      <c r="F5870" s="5">
        <v>39083</v>
      </c>
      <c r="G5870" s="5">
        <v>39813</v>
      </c>
      <c r="H5870" s="4" t="s">
        <v>40</v>
      </c>
      <c r="I5870" s="6">
        <v>16491.34</v>
      </c>
      <c r="J5870" s="6">
        <v>16491.34</v>
      </c>
      <c r="K5870" s="37" t="s">
        <v>9751</v>
      </c>
      <c r="L5870" s="120"/>
      <c r="M5870" s="3"/>
    </row>
    <row r="5871" spans="1:13" s="4" customFormat="1" ht="14.25" customHeight="1" x14ac:dyDescent="0.25">
      <c r="A5871" s="4" t="s">
        <v>9918</v>
      </c>
      <c r="B5871" s="4" t="s">
        <v>38</v>
      </c>
      <c r="C5871" s="4" t="s">
        <v>14</v>
      </c>
      <c r="D5871" s="35">
        <v>2472</v>
      </c>
      <c r="E5871" s="4" t="s">
        <v>9919</v>
      </c>
      <c r="F5871" s="5">
        <v>39083</v>
      </c>
      <c r="G5871" s="5">
        <v>41639</v>
      </c>
      <c r="H5871" s="4" t="s">
        <v>40</v>
      </c>
      <c r="I5871" s="6">
        <v>195027.43</v>
      </c>
      <c r="J5871" s="6">
        <f>168242.76+26784.67</f>
        <v>195027.43</v>
      </c>
      <c r="K5871" s="37" t="s">
        <v>9751</v>
      </c>
      <c r="L5871" s="120"/>
      <c r="M5871" s="3"/>
    </row>
    <row r="5872" spans="1:13" s="4" customFormat="1" ht="14.25" customHeight="1" x14ac:dyDescent="0.25">
      <c r="A5872" s="4" t="s">
        <v>9920</v>
      </c>
      <c r="B5872" s="4" t="s">
        <v>38</v>
      </c>
      <c r="C5872" s="4" t="s">
        <v>14</v>
      </c>
      <c r="D5872" s="35">
        <v>2474</v>
      </c>
      <c r="E5872" s="4" t="s">
        <v>9921</v>
      </c>
      <c r="F5872" s="5">
        <v>39083</v>
      </c>
      <c r="G5872" s="5">
        <v>40178</v>
      </c>
      <c r="H5872" s="4" t="s">
        <v>40</v>
      </c>
      <c r="I5872" s="6">
        <v>6362.74</v>
      </c>
      <c r="J5872" s="6">
        <v>6362.74</v>
      </c>
      <c r="K5872" s="37" t="s">
        <v>9751</v>
      </c>
      <c r="L5872" s="120"/>
      <c r="M5872" s="3"/>
    </row>
    <row r="5873" spans="1:13" s="4" customFormat="1" ht="14.25" customHeight="1" x14ac:dyDescent="0.25">
      <c r="A5873" s="4" t="s">
        <v>9922</v>
      </c>
      <c r="B5873" s="4" t="s">
        <v>38</v>
      </c>
      <c r="C5873" s="4" t="s">
        <v>14</v>
      </c>
      <c r="D5873" s="35">
        <v>2475</v>
      </c>
      <c r="E5873" s="4" t="s">
        <v>9923</v>
      </c>
      <c r="F5873" s="5">
        <v>39083</v>
      </c>
      <c r="G5873" s="5">
        <v>40178</v>
      </c>
      <c r="H5873" s="4" t="s">
        <v>40</v>
      </c>
      <c r="I5873" s="6">
        <v>17440.18</v>
      </c>
      <c r="J5873" s="6">
        <v>17440.18</v>
      </c>
      <c r="K5873" s="37" t="s">
        <v>9751</v>
      </c>
      <c r="L5873" s="120"/>
      <c r="M5873" s="3"/>
    </row>
    <row r="5874" spans="1:13" s="4" customFormat="1" ht="14.25" customHeight="1" x14ac:dyDescent="0.25">
      <c r="A5874" s="4" t="s">
        <v>7533</v>
      </c>
      <c r="B5874" s="4" t="s">
        <v>38</v>
      </c>
      <c r="C5874" s="4" t="s">
        <v>14</v>
      </c>
      <c r="D5874" s="35">
        <v>2476</v>
      </c>
      <c r="E5874" s="4" t="s">
        <v>9924</v>
      </c>
      <c r="F5874" s="5">
        <v>39083</v>
      </c>
      <c r="G5874" s="5">
        <v>40543</v>
      </c>
      <c r="H5874" s="4" t="s">
        <v>40</v>
      </c>
      <c r="I5874" s="6">
        <v>99997.49</v>
      </c>
      <c r="J5874" s="6">
        <v>99997.49</v>
      </c>
      <c r="K5874" s="37" t="s">
        <v>9751</v>
      </c>
      <c r="L5874" s="120"/>
      <c r="M5874" s="3"/>
    </row>
    <row r="5875" spans="1:13" s="4" customFormat="1" ht="14.25" customHeight="1" x14ac:dyDescent="0.25">
      <c r="A5875" s="4" t="s">
        <v>8527</v>
      </c>
      <c r="B5875" s="4" t="s">
        <v>38</v>
      </c>
      <c r="C5875" s="4" t="s">
        <v>14</v>
      </c>
      <c r="D5875" s="35">
        <v>2477</v>
      </c>
      <c r="E5875" s="4" t="s">
        <v>9925</v>
      </c>
      <c r="F5875" s="5">
        <v>39083</v>
      </c>
      <c r="G5875" s="5">
        <v>41639</v>
      </c>
      <c r="H5875" s="4" t="s">
        <v>40</v>
      </c>
      <c r="I5875" s="6">
        <f>18520+5130+8341.78+3998.4+9815</f>
        <v>45805.18</v>
      </c>
      <c r="J5875" s="6">
        <f>37463.4+8341.78</f>
        <v>45805.18</v>
      </c>
      <c r="K5875" s="37" t="s">
        <v>9751</v>
      </c>
      <c r="L5875" s="120"/>
      <c r="M5875" s="3"/>
    </row>
    <row r="5876" spans="1:13" s="4" customFormat="1" ht="14.25" customHeight="1" x14ac:dyDescent="0.25">
      <c r="A5876" s="4" t="s">
        <v>9926</v>
      </c>
      <c r="B5876" s="4" t="s">
        <v>38</v>
      </c>
      <c r="C5876" s="4" t="s">
        <v>14</v>
      </c>
      <c r="D5876" s="35">
        <v>2478</v>
      </c>
      <c r="E5876" s="4" t="s">
        <v>9927</v>
      </c>
      <c r="F5876" s="5">
        <v>39083</v>
      </c>
      <c r="G5876" s="5">
        <v>40908</v>
      </c>
      <c r="H5876" s="4" t="s">
        <v>40</v>
      </c>
      <c r="I5876" s="6">
        <v>86536.57</v>
      </c>
      <c r="J5876" s="6">
        <v>86536.57</v>
      </c>
      <c r="K5876" s="37" t="s">
        <v>9751</v>
      </c>
      <c r="L5876" s="120"/>
      <c r="M5876" s="3"/>
    </row>
    <row r="5877" spans="1:13" s="4" customFormat="1" ht="14.25" customHeight="1" x14ac:dyDescent="0.25">
      <c r="A5877" s="4" t="s">
        <v>9928</v>
      </c>
      <c r="B5877" s="4" t="s">
        <v>38</v>
      </c>
      <c r="C5877" s="4" t="s">
        <v>14</v>
      </c>
      <c r="D5877" s="35">
        <v>2481</v>
      </c>
      <c r="E5877" s="4" t="s">
        <v>9929</v>
      </c>
      <c r="F5877" s="5">
        <v>39083</v>
      </c>
      <c r="G5877" s="5">
        <v>39813</v>
      </c>
      <c r="H5877" s="4" t="s">
        <v>40</v>
      </c>
      <c r="I5877" s="6">
        <v>3098.6</v>
      </c>
      <c r="J5877" s="6">
        <v>3098.6</v>
      </c>
      <c r="K5877" s="37" t="s">
        <v>9751</v>
      </c>
      <c r="L5877" s="120"/>
      <c r="M5877" s="3"/>
    </row>
    <row r="5878" spans="1:13" s="4" customFormat="1" ht="14.25" customHeight="1" x14ac:dyDescent="0.25">
      <c r="A5878" s="4" t="s">
        <v>9930</v>
      </c>
      <c r="B5878" s="4" t="s">
        <v>38</v>
      </c>
      <c r="C5878" s="4" t="s">
        <v>14</v>
      </c>
      <c r="D5878" s="35">
        <v>2483</v>
      </c>
      <c r="E5878" s="4" t="s">
        <v>9931</v>
      </c>
      <c r="F5878" s="5">
        <v>39083</v>
      </c>
      <c r="G5878" s="5">
        <v>39813</v>
      </c>
      <c r="H5878" s="4" t="s">
        <v>40</v>
      </c>
      <c r="I5878" s="6">
        <v>1158.4000000000001</v>
      </c>
      <c r="J5878" s="6">
        <v>1158.4000000000001</v>
      </c>
      <c r="K5878" s="37" t="s">
        <v>9751</v>
      </c>
      <c r="L5878" s="120"/>
      <c r="M5878" s="3"/>
    </row>
    <row r="5879" spans="1:13" s="4" customFormat="1" ht="14.25" customHeight="1" x14ac:dyDescent="0.25">
      <c r="A5879" s="4" t="s">
        <v>9932</v>
      </c>
      <c r="B5879" s="4" t="s">
        <v>38</v>
      </c>
      <c r="C5879" s="4" t="s">
        <v>14</v>
      </c>
      <c r="D5879" s="35">
        <v>2484</v>
      </c>
      <c r="E5879" s="4" t="s">
        <v>9933</v>
      </c>
      <c r="F5879" s="5">
        <v>39083</v>
      </c>
      <c r="G5879" s="5">
        <v>40178</v>
      </c>
      <c r="H5879" s="4" t="s">
        <v>40</v>
      </c>
      <c r="I5879" s="6">
        <v>2750</v>
      </c>
      <c r="J5879" s="6">
        <v>2750</v>
      </c>
      <c r="K5879" s="37" t="s">
        <v>9751</v>
      </c>
      <c r="L5879" s="120"/>
      <c r="M5879" s="3"/>
    </row>
    <row r="5880" spans="1:13" s="4" customFormat="1" ht="14.25" customHeight="1" x14ac:dyDescent="0.25">
      <c r="A5880" s="4" t="s">
        <v>9934</v>
      </c>
      <c r="B5880" s="4" t="s">
        <v>38</v>
      </c>
      <c r="C5880" s="4" t="s">
        <v>14</v>
      </c>
      <c r="D5880" s="35">
        <v>2485</v>
      </c>
      <c r="E5880" s="4" t="s">
        <v>9934</v>
      </c>
      <c r="F5880" s="5">
        <v>39083</v>
      </c>
      <c r="G5880" s="5">
        <v>41274</v>
      </c>
      <c r="H5880" s="4" t="s">
        <v>40</v>
      </c>
      <c r="I5880" s="6">
        <f>80+12014.58+175</f>
        <v>12269.58</v>
      </c>
      <c r="J5880" s="6">
        <v>12269.58</v>
      </c>
      <c r="K5880" s="37" t="s">
        <v>9751</v>
      </c>
      <c r="L5880" s="120"/>
      <c r="M5880" s="3"/>
    </row>
    <row r="5881" spans="1:13" s="4" customFormat="1" ht="14.25" customHeight="1" x14ac:dyDescent="0.25">
      <c r="A5881" s="4" t="s">
        <v>9935</v>
      </c>
      <c r="B5881" s="4" t="s">
        <v>38</v>
      </c>
      <c r="C5881" s="4" t="s">
        <v>14</v>
      </c>
      <c r="D5881" s="35">
        <v>3316</v>
      </c>
      <c r="E5881" s="4" t="s">
        <v>9936</v>
      </c>
      <c r="F5881" s="5">
        <v>39083</v>
      </c>
      <c r="G5881" s="5">
        <v>39813</v>
      </c>
      <c r="H5881" s="4" t="s">
        <v>40</v>
      </c>
      <c r="I5881" s="6">
        <v>1293.2</v>
      </c>
      <c r="J5881" s="6">
        <v>1293.2</v>
      </c>
      <c r="K5881" s="37" t="s">
        <v>9751</v>
      </c>
      <c r="L5881" s="120"/>
      <c r="M5881" s="3"/>
    </row>
    <row r="5882" spans="1:13" s="4" customFormat="1" ht="14.25" customHeight="1" x14ac:dyDescent="0.25">
      <c r="A5882" s="4" t="s">
        <v>9937</v>
      </c>
      <c r="B5882" s="4" t="s">
        <v>38</v>
      </c>
      <c r="C5882" s="4" t="s">
        <v>14</v>
      </c>
      <c r="D5882" s="35">
        <v>5052</v>
      </c>
      <c r="E5882" s="4" t="s">
        <v>9938</v>
      </c>
      <c r="F5882" s="5">
        <v>39814</v>
      </c>
      <c r="G5882" s="5">
        <v>40178</v>
      </c>
      <c r="H5882" s="4" t="s">
        <v>40</v>
      </c>
      <c r="I5882" s="6">
        <v>3270.31</v>
      </c>
      <c r="J5882" s="6">
        <v>3270.31</v>
      </c>
      <c r="K5882" s="37" t="s">
        <v>9751</v>
      </c>
      <c r="L5882" s="120"/>
      <c r="M5882" s="3"/>
    </row>
    <row r="5883" spans="1:13" s="4" customFormat="1" ht="14.25" customHeight="1" x14ac:dyDescent="0.25">
      <c r="A5883" s="4" t="s">
        <v>9939</v>
      </c>
      <c r="B5883" s="4" t="s">
        <v>38</v>
      </c>
      <c r="C5883" s="4" t="s">
        <v>14</v>
      </c>
      <c r="D5883" s="35">
        <v>5056</v>
      </c>
      <c r="E5883" s="4" t="s">
        <v>9940</v>
      </c>
      <c r="F5883" s="5">
        <v>39814</v>
      </c>
      <c r="G5883" s="5">
        <v>40178</v>
      </c>
      <c r="H5883" s="4" t="s">
        <v>40</v>
      </c>
      <c r="I5883" s="6">
        <v>1747.02</v>
      </c>
      <c r="J5883" s="6">
        <v>1747.02</v>
      </c>
      <c r="K5883" s="37" t="s">
        <v>9751</v>
      </c>
      <c r="L5883" s="120"/>
      <c r="M5883" s="3"/>
    </row>
    <row r="5884" spans="1:13" s="4" customFormat="1" ht="14.25" customHeight="1" x14ac:dyDescent="0.25">
      <c r="A5884" s="4" t="s">
        <v>9941</v>
      </c>
      <c r="B5884" s="4" t="s">
        <v>38</v>
      </c>
      <c r="C5884" s="4" t="s">
        <v>14</v>
      </c>
      <c r="D5884" s="35">
        <v>5057</v>
      </c>
      <c r="E5884" s="4" t="s">
        <v>9942</v>
      </c>
      <c r="F5884" s="5">
        <v>39814</v>
      </c>
      <c r="G5884" s="5">
        <v>41639</v>
      </c>
      <c r="H5884" s="4" t="s">
        <v>40</v>
      </c>
      <c r="I5884" s="6">
        <f>10126.69-367.06</f>
        <v>9759.630000000001</v>
      </c>
      <c r="J5884" s="6">
        <f>9093.57+1033.12-367.06</f>
        <v>9759.6299999999992</v>
      </c>
      <c r="K5884" s="37" t="s">
        <v>9751</v>
      </c>
      <c r="L5884" s="120"/>
      <c r="M5884" s="3"/>
    </row>
    <row r="5885" spans="1:13" s="4" customFormat="1" ht="14.25" customHeight="1" x14ac:dyDescent="0.25">
      <c r="A5885" s="4" t="s">
        <v>9943</v>
      </c>
      <c r="B5885" s="4" t="s">
        <v>38</v>
      </c>
      <c r="C5885" s="4" t="s">
        <v>14</v>
      </c>
      <c r="D5885" s="35">
        <v>5060</v>
      </c>
      <c r="E5885" s="4" t="s">
        <v>9944</v>
      </c>
      <c r="F5885" s="5">
        <v>39814</v>
      </c>
      <c r="G5885" s="5">
        <v>40178</v>
      </c>
      <c r="H5885" s="4" t="s">
        <v>40</v>
      </c>
      <c r="I5885" s="6">
        <v>2430.0300000000002</v>
      </c>
      <c r="J5885" s="6">
        <v>2430.0300000000002</v>
      </c>
      <c r="K5885" s="37" t="s">
        <v>9751</v>
      </c>
      <c r="L5885" s="120"/>
      <c r="M5885" s="3"/>
    </row>
    <row r="5886" spans="1:13" s="4" customFormat="1" ht="14.25" customHeight="1" x14ac:dyDescent="0.25">
      <c r="A5886" s="4" t="s">
        <v>9945</v>
      </c>
      <c r="B5886" s="4" t="s">
        <v>38</v>
      </c>
      <c r="C5886" s="4" t="s">
        <v>14</v>
      </c>
      <c r="D5886" s="35">
        <v>5065</v>
      </c>
      <c r="E5886" s="4" t="s">
        <v>9946</v>
      </c>
      <c r="F5886" s="5">
        <v>39814</v>
      </c>
      <c r="G5886" s="5">
        <v>40178</v>
      </c>
      <c r="H5886" s="4" t="s">
        <v>40</v>
      </c>
      <c r="I5886" s="6">
        <v>300</v>
      </c>
      <c r="J5886" s="6">
        <v>300</v>
      </c>
      <c r="K5886" s="37" t="s">
        <v>9751</v>
      </c>
      <c r="L5886" s="120"/>
      <c r="M5886" s="3"/>
    </row>
    <row r="5887" spans="1:13" s="4" customFormat="1" ht="14.25" customHeight="1" x14ac:dyDescent="0.25">
      <c r="A5887" s="4" t="s">
        <v>9947</v>
      </c>
      <c r="B5887" s="4" t="s">
        <v>38</v>
      </c>
      <c r="C5887" s="4" t="s">
        <v>14</v>
      </c>
      <c r="D5887" s="35">
        <v>5067</v>
      </c>
      <c r="E5887" s="4" t="s">
        <v>9948</v>
      </c>
      <c r="F5887" s="5">
        <v>39814</v>
      </c>
      <c r="G5887" s="5">
        <v>41639</v>
      </c>
      <c r="H5887" s="4" t="s">
        <v>40</v>
      </c>
      <c r="I5887" s="6">
        <f>7020.52-183.53</f>
        <v>6836.9900000000007</v>
      </c>
      <c r="J5887" s="6">
        <f>6510.99+509.53-183.53</f>
        <v>6836.99</v>
      </c>
      <c r="K5887" s="37" t="s">
        <v>9751</v>
      </c>
      <c r="L5887" s="120"/>
      <c r="M5887" s="3"/>
    </row>
    <row r="5888" spans="1:13" s="4" customFormat="1" ht="14.25" customHeight="1" x14ac:dyDescent="0.25">
      <c r="A5888" s="4" t="s">
        <v>9949</v>
      </c>
      <c r="B5888" s="4" t="s">
        <v>38</v>
      </c>
      <c r="C5888" s="4" t="s">
        <v>14</v>
      </c>
      <c r="D5888" s="35">
        <v>5070</v>
      </c>
      <c r="E5888" s="4" t="s">
        <v>9950</v>
      </c>
      <c r="F5888" s="5">
        <v>39814</v>
      </c>
      <c r="G5888" s="5">
        <v>40178</v>
      </c>
      <c r="H5888" s="4" t="s">
        <v>40</v>
      </c>
      <c r="I5888" s="6">
        <v>3466.91</v>
      </c>
      <c r="J5888" s="6">
        <v>3466.91</v>
      </c>
      <c r="K5888" s="37" t="s">
        <v>9751</v>
      </c>
      <c r="L5888" s="120"/>
      <c r="M5888" s="3"/>
    </row>
    <row r="5889" spans="1:13" s="4" customFormat="1" ht="14.25" customHeight="1" x14ac:dyDescent="0.25">
      <c r="A5889" s="4" t="s">
        <v>9951</v>
      </c>
      <c r="B5889" s="4" t="s">
        <v>38</v>
      </c>
      <c r="C5889" s="4" t="s">
        <v>14</v>
      </c>
      <c r="D5889" s="35">
        <v>5071</v>
      </c>
      <c r="E5889" s="4" t="s">
        <v>9952</v>
      </c>
      <c r="F5889" s="5">
        <v>39814</v>
      </c>
      <c r="G5889" s="5">
        <v>40178</v>
      </c>
      <c r="H5889" s="4" t="s">
        <v>40</v>
      </c>
      <c r="I5889" s="6">
        <v>2297.33</v>
      </c>
      <c r="J5889" s="6">
        <v>2297.33</v>
      </c>
      <c r="K5889" s="37" t="s">
        <v>9751</v>
      </c>
      <c r="L5889" s="120"/>
      <c r="M5889" s="3"/>
    </row>
    <row r="5890" spans="1:13" s="4" customFormat="1" ht="14.25" customHeight="1" x14ac:dyDescent="0.25">
      <c r="A5890" s="4" t="s">
        <v>9953</v>
      </c>
      <c r="B5890" s="4" t="s">
        <v>38</v>
      </c>
      <c r="C5890" s="4" t="s">
        <v>14</v>
      </c>
      <c r="D5890" s="35">
        <v>5072</v>
      </c>
      <c r="E5890" s="4" t="s">
        <v>9954</v>
      </c>
      <c r="F5890" s="5">
        <v>39814</v>
      </c>
      <c r="G5890" s="5">
        <v>40178</v>
      </c>
      <c r="H5890" s="4" t="s">
        <v>40</v>
      </c>
      <c r="I5890" s="6">
        <v>92.33</v>
      </c>
      <c r="J5890" s="6">
        <v>92.33</v>
      </c>
      <c r="K5890" s="37" t="s">
        <v>9751</v>
      </c>
      <c r="L5890" s="120"/>
      <c r="M5890" s="3"/>
    </row>
    <row r="5891" spans="1:13" s="4" customFormat="1" ht="14.25" customHeight="1" x14ac:dyDescent="0.25">
      <c r="A5891" s="4" t="s">
        <v>9955</v>
      </c>
      <c r="B5891" s="4" t="s">
        <v>38</v>
      </c>
      <c r="C5891" s="4" t="s">
        <v>14</v>
      </c>
      <c r="D5891" s="35">
        <v>5073</v>
      </c>
      <c r="E5891" s="4" t="s">
        <v>9956</v>
      </c>
      <c r="F5891" s="5">
        <v>39814</v>
      </c>
      <c r="G5891" s="5">
        <v>40908</v>
      </c>
      <c r="H5891" s="4" t="s">
        <v>40</v>
      </c>
      <c r="I5891" s="6">
        <f>2630.19+1080</f>
        <v>3710.19</v>
      </c>
      <c r="J5891" s="6">
        <v>3710.19</v>
      </c>
      <c r="K5891" s="37" t="s">
        <v>9751</v>
      </c>
      <c r="L5891" s="120"/>
      <c r="M5891" s="3"/>
    </row>
    <row r="5892" spans="1:13" s="4" customFormat="1" ht="14.25" customHeight="1" x14ac:dyDescent="0.25">
      <c r="A5892" s="4" t="s">
        <v>9957</v>
      </c>
      <c r="B5892" s="4" t="s">
        <v>38</v>
      </c>
      <c r="C5892" s="4" t="s">
        <v>14</v>
      </c>
      <c r="D5892" s="35">
        <v>5074</v>
      </c>
      <c r="E5892" s="4" t="s">
        <v>9958</v>
      </c>
      <c r="F5892" s="5">
        <v>39814</v>
      </c>
      <c r="G5892" s="5">
        <v>40178</v>
      </c>
      <c r="H5892" s="4" t="s">
        <v>40</v>
      </c>
      <c r="I5892" s="6">
        <v>1008.32</v>
      </c>
      <c r="J5892" s="6">
        <v>1008.32</v>
      </c>
      <c r="K5892" s="37" t="s">
        <v>9751</v>
      </c>
      <c r="L5892" s="120"/>
      <c r="M5892" s="3"/>
    </row>
    <row r="5893" spans="1:13" s="4" customFormat="1" ht="14.25" customHeight="1" x14ac:dyDescent="0.25">
      <c r="A5893" s="4" t="s">
        <v>9959</v>
      </c>
      <c r="B5893" s="4" t="s">
        <v>38</v>
      </c>
      <c r="C5893" s="4" t="s">
        <v>14</v>
      </c>
      <c r="D5893" s="35">
        <v>5077</v>
      </c>
      <c r="E5893" s="4" t="s">
        <v>9960</v>
      </c>
      <c r="F5893" s="5">
        <v>39814</v>
      </c>
      <c r="G5893" s="5">
        <v>40178</v>
      </c>
      <c r="H5893" s="4" t="s">
        <v>40</v>
      </c>
      <c r="I5893" s="6">
        <v>1908.46</v>
      </c>
      <c r="J5893" s="6">
        <v>1908.46</v>
      </c>
      <c r="K5893" s="37" t="s">
        <v>9751</v>
      </c>
      <c r="L5893" s="120"/>
      <c r="M5893" s="3"/>
    </row>
    <row r="5894" spans="1:13" s="4" customFormat="1" ht="14.25" customHeight="1" x14ac:dyDescent="0.25">
      <c r="A5894" s="4" t="s">
        <v>9961</v>
      </c>
      <c r="B5894" s="4" t="s">
        <v>38</v>
      </c>
      <c r="C5894" s="4" t="s">
        <v>14</v>
      </c>
      <c r="D5894" s="35">
        <v>5113</v>
      </c>
      <c r="E5894" s="4" t="s">
        <v>9962</v>
      </c>
      <c r="F5894" s="5">
        <v>39814</v>
      </c>
      <c r="G5894" s="5">
        <v>40543</v>
      </c>
      <c r="H5894" s="4" t="s">
        <v>40</v>
      </c>
      <c r="I5894" s="6">
        <v>5089.5</v>
      </c>
      <c r="J5894" s="6">
        <v>5089.5</v>
      </c>
      <c r="K5894" s="37" t="s">
        <v>9751</v>
      </c>
      <c r="L5894" s="120"/>
      <c r="M5894" s="3"/>
    </row>
    <row r="5895" spans="1:13" s="4" customFormat="1" ht="14.25" customHeight="1" x14ac:dyDescent="0.25">
      <c r="A5895" s="4" t="s">
        <v>9963</v>
      </c>
      <c r="B5895" s="4" t="s">
        <v>38</v>
      </c>
      <c r="C5895" s="4" t="s">
        <v>14</v>
      </c>
      <c r="D5895" s="35">
        <v>5114</v>
      </c>
      <c r="E5895" s="4" t="s">
        <v>9964</v>
      </c>
      <c r="F5895" s="5">
        <v>39814</v>
      </c>
      <c r="G5895" s="5">
        <v>40543</v>
      </c>
      <c r="H5895" s="4" t="s">
        <v>40</v>
      </c>
      <c r="I5895" s="6">
        <v>1000</v>
      </c>
      <c r="J5895" s="6">
        <v>1000</v>
      </c>
      <c r="K5895" s="37" t="s">
        <v>9751</v>
      </c>
      <c r="L5895" s="120"/>
      <c r="M5895" s="3"/>
    </row>
    <row r="5896" spans="1:13" s="4" customFormat="1" ht="14.25" customHeight="1" x14ac:dyDescent="0.25">
      <c r="A5896" s="4" t="s">
        <v>9965</v>
      </c>
      <c r="B5896" s="4" t="s">
        <v>183</v>
      </c>
      <c r="C5896" s="4" t="s">
        <v>14</v>
      </c>
      <c r="D5896" s="35">
        <v>5122</v>
      </c>
      <c r="E5896" s="7" t="s">
        <v>9966</v>
      </c>
      <c r="F5896" s="5">
        <v>39610</v>
      </c>
      <c r="G5896" s="5">
        <v>39974</v>
      </c>
      <c r="H5896" s="4" t="s">
        <v>40</v>
      </c>
      <c r="I5896" s="6">
        <v>10200</v>
      </c>
      <c r="J5896" s="6">
        <v>5100</v>
      </c>
      <c r="K5896" s="37" t="s">
        <v>9751</v>
      </c>
      <c r="L5896" s="120"/>
      <c r="M5896" s="3"/>
    </row>
    <row r="5897" spans="1:13" s="4" customFormat="1" ht="14.25" customHeight="1" x14ac:dyDescent="0.25">
      <c r="A5897" s="4" t="s">
        <v>9967</v>
      </c>
      <c r="B5897" s="4" t="s">
        <v>183</v>
      </c>
      <c r="C5897" s="4" t="s">
        <v>14</v>
      </c>
      <c r="D5897" s="35">
        <v>5123</v>
      </c>
      <c r="E5897" s="4" t="s">
        <v>9968</v>
      </c>
      <c r="F5897" s="5">
        <v>39750</v>
      </c>
      <c r="G5897" s="5">
        <v>39931</v>
      </c>
      <c r="H5897" s="4" t="s">
        <v>40</v>
      </c>
      <c r="I5897" s="6">
        <v>10200</v>
      </c>
      <c r="J5897" s="6">
        <v>5100</v>
      </c>
      <c r="K5897" s="37" t="s">
        <v>9751</v>
      </c>
      <c r="L5897" s="120"/>
      <c r="M5897" s="3"/>
    </row>
    <row r="5898" spans="1:13" s="4" customFormat="1" ht="14.25" customHeight="1" x14ac:dyDescent="0.25">
      <c r="A5898" s="4" t="s">
        <v>9969</v>
      </c>
      <c r="B5898" s="4" t="s">
        <v>183</v>
      </c>
      <c r="C5898" s="4" t="s">
        <v>14</v>
      </c>
      <c r="D5898" s="35">
        <v>5126</v>
      </c>
      <c r="E5898" s="4" t="s">
        <v>9970</v>
      </c>
      <c r="F5898" s="5">
        <v>39988</v>
      </c>
      <c r="G5898" s="5">
        <v>40352</v>
      </c>
      <c r="H5898" s="4" t="s">
        <v>40</v>
      </c>
      <c r="I5898" s="6">
        <v>60000</v>
      </c>
      <c r="J5898" s="6">
        <v>30000</v>
      </c>
      <c r="K5898" s="37" t="s">
        <v>9751</v>
      </c>
      <c r="L5898" s="120"/>
      <c r="M5898" s="3"/>
    </row>
    <row r="5899" spans="1:13" s="4" customFormat="1" ht="14.25" customHeight="1" x14ac:dyDescent="0.25">
      <c r="A5899" s="4" t="s">
        <v>9971</v>
      </c>
      <c r="B5899" s="4" t="s">
        <v>183</v>
      </c>
      <c r="C5899" s="4" t="s">
        <v>14</v>
      </c>
      <c r="D5899" s="35">
        <v>5128</v>
      </c>
      <c r="E5899" s="4" t="s">
        <v>9972</v>
      </c>
      <c r="F5899" s="5">
        <v>39869</v>
      </c>
      <c r="G5899" s="5">
        <v>40233</v>
      </c>
      <c r="H5899" s="4" t="s">
        <v>40</v>
      </c>
      <c r="I5899" s="6">
        <v>5000</v>
      </c>
      <c r="J5899" s="6">
        <v>2500</v>
      </c>
      <c r="K5899" s="37" t="s">
        <v>9751</v>
      </c>
      <c r="L5899" s="120"/>
      <c r="M5899" s="3"/>
    </row>
    <row r="5900" spans="1:13" s="4" customFormat="1" ht="14.25" customHeight="1" x14ac:dyDescent="0.25">
      <c r="A5900" s="4" t="s">
        <v>9973</v>
      </c>
      <c r="B5900" s="4" t="s">
        <v>183</v>
      </c>
      <c r="C5900" s="4" t="s">
        <v>14</v>
      </c>
      <c r="D5900" s="35">
        <v>5132</v>
      </c>
      <c r="E5900" s="4" t="s">
        <v>9974</v>
      </c>
      <c r="F5900" s="5">
        <v>39750</v>
      </c>
      <c r="G5900" s="5">
        <v>39931</v>
      </c>
      <c r="H5900" s="4" t="s">
        <v>40</v>
      </c>
      <c r="I5900" s="6">
        <v>10200</v>
      </c>
      <c r="J5900" s="6">
        <v>5100</v>
      </c>
      <c r="K5900" s="37" t="s">
        <v>9751</v>
      </c>
      <c r="L5900" s="120"/>
      <c r="M5900" s="3"/>
    </row>
    <row r="5901" spans="1:13" s="4" customFormat="1" ht="14.25" customHeight="1" x14ac:dyDescent="0.25">
      <c r="A5901" s="4" t="s">
        <v>9979</v>
      </c>
      <c r="B5901" s="4" t="s">
        <v>183</v>
      </c>
      <c r="C5901" s="4" t="s">
        <v>14</v>
      </c>
      <c r="D5901" s="35">
        <v>5142</v>
      </c>
      <c r="E5901" s="4" t="s">
        <v>9980</v>
      </c>
      <c r="F5901" s="5">
        <v>39988</v>
      </c>
      <c r="G5901" s="5">
        <v>40352</v>
      </c>
      <c r="H5901" s="4" t="s">
        <v>40</v>
      </c>
      <c r="I5901" s="6">
        <v>7500</v>
      </c>
      <c r="J5901" s="6">
        <v>7500</v>
      </c>
      <c r="K5901" s="37" t="s">
        <v>9751</v>
      </c>
      <c r="L5901" s="120"/>
      <c r="M5901" s="3"/>
    </row>
    <row r="5902" spans="1:13" s="4" customFormat="1" ht="14.25" customHeight="1" x14ac:dyDescent="0.25">
      <c r="A5902" s="4" t="s">
        <v>9981</v>
      </c>
      <c r="B5902" s="4" t="s">
        <v>183</v>
      </c>
      <c r="C5902" s="4" t="s">
        <v>14</v>
      </c>
      <c r="D5902" s="35">
        <v>5144</v>
      </c>
      <c r="E5902" s="4" t="s">
        <v>9982</v>
      </c>
      <c r="F5902" s="5">
        <v>39918</v>
      </c>
      <c r="G5902" s="5">
        <v>40282</v>
      </c>
      <c r="H5902" s="4" t="s">
        <v>40</v>
      </c>
      <c r="I5902" s="6">
        <v>15667.76</v>
      </c>
      <c r="J5902" s="6">
        <v>7833.88</v>
      </c>
      <c r="K5902" s="37" t="s">
        <v>9751</v>
      </c>
      <c r="L5902" s="120"/>
      <c r="M5902" s="3"/>
    </row>
    <row r="5903" spans="1:13" s="4" customFormat="1" ht="14.25" customHeight="1" x14ac:dyDescent="0.25">
      <c r="A5903" s="4" t="s">
        <v>9984</v>
      </c>
      <c r="B5903" s="4" t="s">
        <v>183</v>
      </c>
      <c r="C5903" s="4" t="s">
        <v>14</v>
      </c>
      <c r="D5903" s="35">
        <v>5148</v>
      </c>
      <c r="E5903" s="4" t="s">
        <v>9985</v>
      </c>
      <c r="F5903" s="5">
        <v>40065</v>
      </c>
      <c r="G5903" s="5">
        <v>40429</v>
      </c>
      <c r="H5903" s="4" t="s">
        <v>40</v>
      </c>
      <c r="I5903" s="6">
        <v>4149.8</v>
      </c>
      <c r="J5903" s="6">
        <v>2074.9</v>
      </c>
      <c r="K5903" s="37" t="s">
        <v>9751</v>
      </c>
      <c r="L5903" s="120"/>
      <c r="M5903" s="3"/>
    </row>
    <row r="5904" spans="1:13" s="4" customFormat="1" ht="14.25" customHeight="1" x14ac:dyDescent="0.25">
      <c r="A5904" s="4" t="s">
        <v>9986</v>
      </c>
      <c r="B5904" s="4" t="s">
        <v>183</v>
      </c>
      <c r="C5904" s="4" t="s">
        <v>14</v>
      </c>
      <c r="D5904" s="35">
        <v>5151</v>
      </c>
      <c r="E5904" s="4" t="s">
        <v>9987</v>
      </c>
      <c r="F5904" s="5">
        <v>39918</v>
      </c>
      <c r="G5904" s="5">
        <v>40282</v>
      </c>
      <c r="H5904" s="4" t="s">
        <v>40</v>
      </c>
      <c r="I5904" s="6">
        <v>41544</v>
      </c>
      <c r="J5904" s="6">
        <v>20772</v>
      </c>
      <c r="K5904" s="37" t="s">
        <v>9751</v>
      </c>
      <c r="L5904" s="120"/>
      <c r="M5904" s="3"/>
    </row>
    <row r="5905" spans="1:13" s="4" customFormat="1" ht="14.25" customHeight="1" x14ac:dyDescent="0.25">
      <c r="A5905" s="4" t="s">
        <v>9988</v>
      </c>
      <c r="B5905" s="4" t="s">
        <v>183</v>
      </c>
      <c r="C5905" s="4" t="s">
        <v>14</v>
      </c>
      <c r="D5905" s="35">
        <v>5153</v>
      </c>
      <c r="E5905" s="4" t="s">
        <v>9970</v>
      </c>
      <c r="F5905" s="5">
        <v>39988</v>
      </c>
      <c r="G5905" s="5">
        <v>40170</v>
      </c>
      <c r="H5905" s="4" t="s">
        <v>40</v>
      </c>
      <c r="I5905" s="6">
        <v>10000</v>
      </c>
      <c r="J5905" s="6">
        <v>5000</v>
      </c>
      <c r="K5905" s="37" t="s">
        <v>9751</v>
      </c>
      <c r="L5905" s="120"/>
      <c r="M5905" s="3"/>
    </row>
    <row r="5906" spans="1:13" s="4" customFormat="1" ht="14.25" customHeight="1" x14ac:dyDescent="0.25">
      <c r="A5906" s="4" t="s">
        <v>9989</v>
      </c>
      <c r="B5906" s="4" t="s">
        <v>183</v>
      </c>
      <c r="C5906" s="4" t="s">
        <v>14</v>
      </c>
      <c r="D5906" s="35">
        <v>5155</v>
      </c>
      <c r="E5906" s="4" t="s">
        <v>9990</v>
      </c>
      <c r="F5906" s="5">
        <v>39750</v>
      </c>
      <c r="G5906" s="5">
        <v>40479</v>
      </c>
      <c r="H5906" s="4" t="s">
        <v>40</v>
      </c>
      <c r="I5906" s="6">
        <v>18342.14</v>
      </c>
      <c r="J5906" s="6">
        <v>9171.07</v>
      </c>
      <c r="K5906" s="37" t="s">
        <v>9751</v>
      </c>
      <c r="L5906" s="120"/>
      <c r="M5906" s="3"/>
    </row>
    <row r="5907" spans="1:13" s="4" customFormat="1" ht="14.25" customHeight="1" x14ac:dyDescent="0.25">
      <c r="A5907" s="4" t="s">
        <v>9991</v>
      </c>
      <c r="B5907" s="4" t="s">
        <v>183</v>
      </c>
      <c r="C5907" s="4" t="s">
        <v>14</v>
      </c>
      <c r="D5907" s="35">
        <v>5157</v>
      </c>
      <c r="E5907" s="4" t="s">
        <v>9992</v>
      </c>
      <c r="F5907" s="5">
        <v>39988</v>
      </c>
      <c r="G5907" s="5">
        <v>40170</v>
      </c>
      <c r="H5907" s="4" t="s">
        <v>40</v>
      </c>
      <c r="I5907" s="6">
        <v>6941</v>
      </c>
      <c r="J5907" s="6">
        <v>3470.5</v>
      </c>
      <c r="K5907" s="37" t="s">
        <v>9751</v>
      </c>
      <c r="L5907" s="120"/>
      <c r="M5907" s="3"/>
    </row>
    <row r="5908" spans="1:13" s="4" customFormat="1" ht="14.25" customHeight="1" x14ac:dyDescent="0.25">
      <c r="A5908" s="4" t="s">
        <v>9993</v>
      </c>
      <c r="B5908" s="4" t="s">
        <v>183</v>
      </c>
      <c r="C5908" s="4" t="s">
        <v>14</v>
      </c>
      <c r="D5908" s="35">
        <v>5160</v>
      </c>
      <c r="E5908" s="7" t="s">
        <v>9994</v>
      </c>
      <c r="F5908" s="5">
        <v>40065</v>
      </c>
      <c r="G5908" s="5">
        <v>40429</v>
      </c>
      <c r="H5908" s="4" t="s">
        <v>40</v>
      </c>
      <c r="I5908" s="6">
        <v>141900</v>
      </c>
      <c r="J5908" s="6">
        <v>70950</v>
      </c>
      <c r="K5908" s="37" t="s">
        <v>9751</v>
      </c>
      <c r="L5908" s="120"/>
      <c r="M5908" s="3"/>
    </row>
    <row r="5909" spans="1:13" s="4" customFormat="1" ht="14.25" customHeight="1" x14ac:dyDescent="0.25">
      <c r="A5909" s="4" t="s">
        <v>9995</v>
      </c>
      <c r="B5909" s="4" t="s">
        <v>183</v>
      </c>
      <c r="C5909" s="4" t="s">
        <v>14</v>
      </c>
      <c r="D5909" s="35">
        <v>5162</v>
      </c>
      <c r="E5909" s="4" t="s">
        <v>9996</v>
      </c>
      <c r="F5909" s="5">
        <v>40149</v>
      </c>
      <c r="G5909" s="5">
        <v>40170</v>
      </c>
      <c r="H5909" s="4" t="s">
        <v>40</v>
      </c>
      <c r="I5909" s="6">
        <v>7500</v>
      </c>
      <c r="J5909" s="6">
        <v>7500</v>
      </c>
      <c r="K5909" s="37" t="s">
        <v>9751</v>
      </c>
      <c r="L5909" s="120"/>
      <c r="M5909" s="3"/>
    </row>
    <row r="5910" spans="1:13" s="4" customFormat="1" ht="14.25" customHeight="1" x14ac:dyDescent="0.25">
      <c r="A5910" s="4" t="s">
        <v>9997</v>
      </c>
      <c r="B5910" s="4" t="s">
        <v>183</v>
      </c>
      <c r="C5910" s="4" t="s">
        <v>14</v>
      </c>
      <c r="D5910" s="35">
        <v>5164</v>
      </c>
      <c r="E5910" s="4" t="s">
        <v>9998</v>
      </c>
      <c r="F5910" s="5">
        <v>39988</v>
      </c>
      <c r="G5910" s="5">
        <v>40170</v>
      </c>
      <c r="H5910" s="4" t="s">
        <v>40</v>
      </c>
      <c r="I5910" s="6">
        <v>9174.74</v>
      </c>
      <c r="J5910" s="6">
        <v>4587.37</v>
      </c>
      <c r="K5910" s="37" t="s">
        <v>9751</v>
      </c>
      <c r="L5910" s="120"/>
      <c r="M5910" s="3"/>
    </row>
    <row r="5911" spans="1:13" s="4" customFormat="1" ht="14.25" customHeight="1" x14ac:dyDescent="0.25">
      <c r="A5911" s="4" t="s">
        <v>9997</v>
      </c>
      <c r="B5911" s="4" t="s">
        <v>183</v>
      </c>
      <c r="C5911" s="4" t="s">
        <v>14</v>
      </c>
      <c r="D5911" s="35">
        <v>5165</v>
      </c>
      <c r="E5911" s="7" t="s">
        <v>9999</v>
      </c>
      <c r="F5911" s="5">
        <v>40149</v>
      </c>
      <c r="G5911" s="5">
        <v>40170</v>
      </c>
      <c r="H5911" s="4" t="s">
        <v>40</v>
      </c>
      <c r="I5911" s="6">
        <v>10000</v>
      </c>
      <c r="J5911" s="6">
        <v>10000</v>
      </c>
      <c r="K5911" s="37" t="s">
        <v>9751</v>
      </c>
      <c r="L5911" s="120"/>
      <c r="M5911" s="3"/>
    </row>
    <row r="5912" spans="1:13" s="4" customFormat="1" ht="14.25" customHeight="1" x14ac:dyDescent="0.25">
      <c r="A5912" s="4" t="s">
        <v>10000</v>
      </c>
      <c r="B5912" s="4" t="s">
        <v>183</v>
      </c>
      <c r="C5912" s="4" t="s">
        <v>14</v>
      </c>
      <c r="D5912" s="35">
        <v>5167</v>
      </c>
      <c r="E5912" s="4" t="s">
        <v>10001</v>
      </c>
      <c r="F5912" s="5">
        <v>40114</v>
      </c>
      <c r="G5912" s="5">
        <v>40478</v>
      </c>
      <c r="H5912" s="4" t="s">
        <v>40</v>
      </c>
      <c r="I5912" s="6">
        <v>7500</v>
      </c>
      <c r="J5912" s="6">
        <v>7500</v>
      </c>
      <c r="K5912" s="37" t="s">
        <v>9751</v>
      </c>
      <c r="L5912" s="120"/>
      <c r="M5912" s="3"/>
    </row>
    <row r="5913" spans="1:13" s="4" customFormat="1" ht="14.25" customHeight="1" x14ac:dyDescent="0.25">
      <c r="A5913" s="4" t="s">
        <v>10002</v>
      </c>
      <c r="B5913" s="4" t="s">
        <v>183</v>
      </c>
      <c r="C5913" s="4" t="s">
        <v>14</v>
      </c>
      <c r="D5913" s="35">
        <v>5170</v>
      </c>
      <c r="E5913" s="4" t="s">
        <v>10003</v>
      </c>
      <c r="F5913" s="5">
        <v>40149</v>
      </c>
      <c r="G5913" s="5">
        <v>40170</v>
      </c>
      <c r="H5913" s="4" t="s">
        <v>40</v>
      </c>
      <c r="I5913" s="6">
        <v>17350</v>
      </c>
      <c r="J5913" s="6">
        <v>10550</v>
      </c>
      <c r="K5913" s="37" t="s">
        <v>9751</v>
      </c>
      <c r="L5913" s="120"/>
      <c r="M5913" s="3"/>
    </row>
    <row r="5914" spans="1:13" s="4" customFormat="1" ht="14.25" customHeight="1" x14ac:dyDescent="0.25">
      <c r="A5914" s="4" t="s">
        <v>3739</v>
      </c>
      <c r="B5914" s="4" t="s">
        <v>38</v>
      </c>
      <c r="C5914" s="4" t="s">
        <v>14</v>
      </c>
      <c r="D5914" s="35">
        <v>5171</v>
      </c>
      <c r="E5914" s="4" t="s">
        <v>10004</v>
      </c>
      <c r="F5914" s="5">
        <v>39814</v>
      </c>
      <c r="G5914" s="5">
        <v>41639</v>
      </c>
      <c r="H5914" s="4" t="s">
        <v>40</v>
      </c>
      <c r="I5914" s="6">
        <v>285650.21000000002</v>
      </c>
      <c r="J5914" s="6">
        <f>234490.25+51159.96</f>
        <v>285650.21000000002</v>
      </c>
      <c r="K5914" s="37" t="s">
        <v>9751</v>
      </c>
      <c r="L5914" s="120"/>
      <c r="M5914" s="3"/>
    </row>
    <row r="5915" spans="1:13" s="4" customFormat="1" ht="14.25" customHeight="1" x14ac:dyDescent="0.2">
      <c r="A5915" s="95" t="s">
        <v>11621</v>
      </c>
      <c r="C5915" s="4" t="s">
        <v>14</v>
      </c>
      <c r="D5915" s="35">
        <v>5901</v>
      </c>
      <c r="E5915" s="95" t="s">
        <v>11622</v>
      </c>
      <c r="F5915" s="96">
        <v>39814</v>
      </c>
      <c r="G5915" s="96">
        <v>40178</v>
      </c>
      <c r="H5915" s="4" t="s">
        <v>40</v>
      </c>
      <c r="I5915" s="6">
        <v>-300</v>
      </c>
      <c r="J5915" s="6">
        <v>-300</v>
      </c>
      <c r="K5915" s="37" t="s">
        <v>9751</v>
      </c>
      <c r="L5915" s="120"/>
      <c r="M5915" s="3"/>
    </row>
    <row r="5916" spans="1:13" s="4" customFormat="1" ht="14.25" customHeight="1" x14ac:dyDescent="0.2">
      <c r="A5916" s="95" t="s">
        <v>11623</v>
      </c>
      <c r="C5916" s="4" t="s">
        <v>14</v>
      </c>
      <c r="D5916" s="35">
        <v>5902</v>
      </c>
      <c r="E5916" s="95" t="s">
        <v>11624</v>
      </c>
      <c r="F5916" s="96">
        <v>39814</v>
      </c>
      <c r="G5916" s="96">
        <v>40178</v>
      </c>
      <c r="H5916" s="4" t="s">
        <v>40</v>
      </c>
      <c r="I5916" s="6">
        <v>-139.16999999999999</v>
      </c>
      <c r="J5916" s="6">
        <v>-139.16999999999999</v>
      </c>
      <c r="K5916" s="37" t="s">
        <v>9751</v>
      </c>
      <c r="L5916" s="120"/>
      <c r="M5916" s="3"/>
    </row>
    <row r="5917" spans="1:13" s="4" customFormat="1" ht="14.25" customHeight="1" x14ac:dyDescent="0.25">
      <c r="A5917" s="4" t="s">
        <v>9868</v>
      </c>
      <c r="B5917" s="4" t="s">
        <v>38</v>
      </c>
      <c r="C5917" s="4" t="s">
        <v>14</v>
      </c>
      <c r="D5917" s="35">
        <v>5903</v>
      </c>
      <c r="E5917" s="4" t="s">
        <v>10005</v>
      </c>
      <c r="F5917" s="5">
        <v>39814</v>
      </c>
      <c r="G5917" s="5">
        <v>40908</v>
      </c>
      <c r="H5917" s="4" t="s">
        <v>40</v>
      </c>
      <c r="I5917" s="6">
        <v>1681.66</v>
      </c>
      <c r="J5917" s="6">
        <v>1681.66</v>
      </c>
      <c r="K5917" s="37" t="s">
        <v>9751</v>
      </c>
      <c r="L5917" s="120"/>
      <c r="M5917" s="3"/>
    </row>
    <row r="5918" spans="1:13" s="4" customFormat="1" ht="14.25" customHeight="1" x14ac:dyDescent="0.2">
      <c r="A5918" s="95" t="s">
        <v>11625</v>
      </c>
      <c r="C5918" s="4" t="s">
        <v>14</v>
      </c>
      <c r="D5918" s="35">
        <v>5904</v>
      </c>
      <c r="E5918" s="95" t="s">
        <v>11626</v>
      </c>
      <c r="F5918" s="5">
        <v>39814</v>
      </c>
      <c r="G5918" s="5">
        <v>40908</v>
      </c>
      <c r="H5918" s="4" t="s">
        <v>40</v>
      </c>
      <c r="I5918" s="6">
        <v>-15</v>
      </c>
      <c r="J5918" s="6">
        <v>-15</v>
      </c>
      <c r="K5918" s="37" t="s">
        <v>9751</v>
      </c>
      <c r="L5918" s="120"/>
      <c r="M5918" s="3"/>
    </row>
    <row r="5919" spans="1:13" s="4" customFormat="1" ht="14.25" customHeight="1" x14ac:dyDescent="0.2">
      <c r="A5919" s="95" t="s">
        <v>11627</v>
      </c>
      <c r="C5919" s="4" t="s">
        <v>14</v>
      </c>
      <c r="D5919" s="35">
        <v>5905</v>
      </c>
      <c r="E5919" s="95" t="s">
        <v>11628</v>
      </c>
      <c r="F5919" s="5">
        <v>39814</v>
      </c>
      <c r="G5919" s="5">
        <v>40908</v>
      </c>
      <c r="H5919" s="4" t="s">
        <v>40</v>
      </c>
      <c r="I5919" s="6">
        <v>-162.91999999999999</v>
      </c>
      <c r="J5919" s="6">
        <v>-162.91</v>
      </c>
      <c r="K5919" s="37" t="s">
        <v>9751</v>
      </c>
      <c r="L5919" s="120"/>
      <c r="M5919" s="3"/>
    </row>
    <row r="5920" spans="1:13" s="4" customFormat="1" ht="14.25" customHeight="1" x14ac:dyDescent="0.25">
      <c r="A5920" s="4" t="s">
        <v>10006</v>
      </c>
      <c r="B5920" s="4" t="s">
        <v>183</v>
      </c>
      <c r="C5920" s="4" t="s">
        <v>14</v>
      </c>
      <c r="D5920" s="35">
        <v>6514</v>
      </c>
      <c r="E5920" s="4" t="s">
        <v>10007</v>
      </c>
      <c r="F5920" s="5">
        <v>39988</v>
      </c>
      <c r="G5920" s="5">
        <v>40209</v>
      </c>
      <c r="H5920" s="4" t="s">
        <v>40</v>
      </c>
      <c r="I5920" s="6">
        <v>10200</v>
      </c>
      <c r="J5920" s="6">
        <v>5100</v>
      </c>
      <c r="K5920" s="37" t="s">
        <v>9751</v>
      </c>
      <c r="L5920" s="120"/>
      <c r="M5920" s="3"/>
    </row>
    <row r="5921" spans="1:13" s="4" customFormat="1" ht="14.25" customHeight="1" x14ac:dyDescent="0.25">
      <c r="A5921" s="4" t="s">
        <v>10008</v>
      </c>
      <c r="B5921" s="4" t="s">
        <v>50</v>
      </c>
      <c r="C5921" s="4" t="s">
        <v>14</v>
      </c>
      <c r="D5921" s="35">
        <v>7193</v>
      </c>
      <c r="E5921" s="4" t="s">
        <v>10009</v>
      </c>
      <c r="F5921" s="5">
        <v>39918</v>
      </c>
      <c r="G5921" s="5">
        <v>40282</v>
      </c>
      <c r="H5921" s="4" t="s">
        <v>40</v>
      </c>
      <c r="I5921" s="6">
        <v>6370</v>
      </c>
      <c r="J5921" s="6">
        <v>3185</v>
      </c>
      <c r="K5921" s="37" t="s">
        <v>9751</v>
      </c>
      <c r="L5921" s="120"/>
      <c r="M5921" s="3"/>
    </row>
    <row r="5922" spans="1:13" s="4" customFormat="1" ht="14.25" customHeight="1" x14ac:dyDescent="0.25">
      <c r="A5922" s="4" t="s">
        <v>10010</v>
      </c>
      <c r="B5922" s="4" t="s">
        <v>183</v>
      </c>
      <c r="C5922" s="4" t="s">
        <v>14</v>
      </c>
      <c r="D5922" s="35">
        <v>7194</v>
      </c>
      <c r="E5922" s="7" t="s">
        <v>10011</v>
      </c>
      <c r="F5922" s="5">
        <v>40149</v>
      </c>
      <c r="G5922" s="5">
        <v>40514</v>
      </c>
      <c r="H5922" s="4" t="s">
        <v>40</v>
      </c>
      <c r="I5922" s="6">
        <v>94382.46</v>
      </c>
      <c r="J5922" s="6">
        <v>50941.23</v>
      </c>
      <c r="K5922" s="37" t="s">
        <v>9751</v>
      </c>
      <c r="L5922" s="120"/>
      <c r="M5922" s="3"/>
    </row>
    <row r="5923" spans="1:13" s="4" customFormat="1" ht="14.25" customHeight="1" x14ac:dyDescent="0.25">
      <c r="A5923" s="4" t="s">
        <v>10014</v>
      </c>
      <c r="B5923" s="4" t="s">
        <v>183</v>
      </c>
      <c r="C5923" s="4" t="s">
        <v>14</v>
      </c>
      <c r="D5923" s="35">
        <v>7196</v>
      </c>
      <c r="E5923" s="4" t="s">
        <v>10015</v>
      </c>
      <c r="F5923" s="5">
        <v>40233</v>
      </c>
      <c r="G5923" s="5">
        <v>40597</v>
      </c>
      <c r="H5923" s="4" t="s">
        <v>40</v>
      </c>
      <c r="I5923" s="6">
        <v>5000</v>
      </c>
      <c r="J5923" s="6">
        <v>5000</v>
      </c>
      <c r="K5923" s="37" t="s">
        <v>9751</v>
      </c>
      <c r="L5923" s="120"/>
      <c r="M5923" s="3"/>
    </row>
    <row r="5924" spans="1:13" s="4" customFormat="1" ht="14.25" customHeight="1" x14ac:dyDescent="0.25">
      <c r="A5924" s="4" t="s">
        <v>10016</v>
      </c>
      <c r="B5924" s="4" t="s">
        <v>183</v>
      </c>
      <c r="C5924" s="4" t="s">
        <v>14</v>
      </c>
      <c r="D5924" s="35">
        <v>7197</v>
      </c>
      <c r="E5924" s="4" t="s">
        <v>10017</v>
      </c>
      <c r="F5924" s="5">
        <v>40296</v>
      </c>
      <c r="G5924" s="5">
        <v>40660</v>
      </c>
      <c r="H5924" s="4" t="s">
        <v>40</v>
      </c>
      <c r="I5924" s="6">
        <v>20000</v>
      </c>
      <c r="J5924" s="6">
        <v>15000</v>
      </c>
      <c r="K5924" s="37" t="s">
        <v>9751</v>
      </c>
      <c r="L5924" s="120"/>
      <c r="M5924" s="3"/>
    </row>
    <row r="5925" spans="1:13" s="4" customFormat="1" ht="14.25" customHeight="1" x14ac:dyDescent="0.25">
      <c r="A5925" s="4" t="s">
        <v>10018</v>
      </c>
      <c r="B5925" s="4" t="s">
        <v>183</v>
      </c>
      <c r="C5925" s="4" t="s">
        <v>14</v>
      </c>
      <c r="D5925" s="35">
        <v>7198</v>
      </c>
      <c r="E5925" s="4" t="s">
        <v>10019</v>
      </c>
      <c r="F5925" s="5">
        <v>40296</v>
      </c>
      <c r="G5925" s="5">
        <v>40660</v>
      </c>
      <c r="H5925" s="4" t="s">
        <v>40</v>
      </c>
      <c r="I5925" s="6">
        <v>21000</v>
      </c>
      <c r="J5925" s="6">
        <v>21000</v>
      </c>
      <c r="K5925" s="37" t="s">
        <v>9751</v>
      </c>
      <c r="L5925" s="120"/>
      <c r="M5925" s="3"/>
    </row>
    <row r="5926" spans="1:13" s="4" customFormat="1" ht="14.25" customHeight="1" x14ac:dyDescent="0.25">
      <c r="A5926" s="4" t="s">
        <v>10020</v>
      </c>
      <c r="B5926" s="4" t="s">
        <v>90</v>
      </c>
      <c r="C5926" s="4" t="s">
        <v>14</v>
      </c>
      <c r="D5926" s="35">
        <v>7199</v>
      </c>
      <c r="E5926" s="4" t="s">
        <v>10021</v>
      </c>
      <c r="F5926" s="5">
        <v>40233</v>
      </c>
      <c r="G5926" s="5">
        <v>40597</v>
      </c>
      <c r="H5926" s="4" t="s">
        <v>40</v>
      </c>
      <c r="I5926" s="6">
        <v>4329.68</v>
      </c>
      <c r="J5926" s="6">
        <v>2164.84</v>
      </c>
      <c r="K5926" s="37" t="s">
        <v>9751</v>
      </c>
      <c r="L5926" s="120"/>
      <c r="M5926" s="3"/>
    </row>
    <row r="5927" spans="1:13" s="4" customFormat="1" ht="14.25" customHeight="1" x14ac:dyDescent="0.25">
      <c r="A5927" s="4" t="s">
        <v>10024</v>
      </c>
      <c r="B5927" s="4" t="s">
        <v>183</v>
      </c>
      <c r="C5927" s="4" t="s">
        <v>14</v>
      </c>
      <c r="D5927" s="35">
        <v>7201</v>
      </c>
      <c r="E5927" s="4" t="s">
        <v>10025</v>
      </c>
      <c r="F5927" s="5">
        <v>40233</v>
      </c>
      <c r="G5927" s="5">
        <v>40597</v>
      </c>
      <c r="H5927" s="4" t="s">
        <v>40</v>
      </c>
      <c r="I5927" s="6">
        <v>7500</v>
      </c>
      <c r="J5927" s="6">
        <v>7500</v>
      </c>
      <c r="K5927" s="37" t="s">
        <v>9751</v>
      </c>
      <c r="L5927" s="120"/>
      <c r="M5927" s="3"/>
    </row>
    <row r="5928" spans="1:13" s="4" customFormat="1" ht="14.25" customHeight="1" x14ac:dyDescent="0.25">
      <c r="A5928" s="4" t="s">
        <v>10028</v>
      </c>
      <c r="B5928" s="4" t="s">
        <v>183</v>
      </c>
      <c r="C5928" s="4" t="s">
        <v>14</v>
      </c>
      <c r="D5928" s="35">
        <v>7203</v>
      </c>
      <c r="E5928" s="4" t="s">
        <v>10029</v>
      </c>
      <c r="F5928" s="5">
        <v>40359</v>
      </c>
      <c r="G5928" s="5">
        <v>40723</v>
      </c>
      <c r="H5928" s="4" t="s">
        <v>40</v>
      </c>
      <c r="I5928" s="6">
        <v>7500</v>
      </c>
      <c r="J5928" s="6">
        <v>7500</v>
      </c>
      <c r="K5928" s="37" t="s">
        <v>9751</v>
      </c>
      <c r="L5928" s="120"/>
      <c r="M5928" s="3"/>
    </row>
    <row r="5929" spans="1:13" s="4" customFormat="1" ht="14.25" customHeight="1" x14ac:dyDescent="0.25">
      <c r="A5929" s="4" t="s">
        <v>10030</v>
      </c>
      <c r="B5929" s="4" t="s">
        <v>90</v>
      </c>
      <c r="C5929" s="4" t="s">
        <v>14</v>
      </c>
      <c r="D5929" s="35">
        <v>7230</v>
      </c>
      <c r="E5929" s="4" t="s">
        <v>10031</v>
      </c>
      <c r="F5929" s="5">
        <v>40233</v>
      </c>
      <c r="G5929" s="5">
        <v>40597</v>
      </c>
      <c r="H5929" s="4" t="s">
        <v>40</v>
      </c>
      <c r="I5929" s="6">
        <v>3913.32</v>
      </c>
      <c r="J5929" s="6">
        <v>1956.66</v>
      </c>
      <c r="K5929" s="37" t="s">
        <v>9751</v>
      </c>
      <c r="L5929" s="120"/>
      <c r="M5929" s="3"/>
    </row>
    <row r="5930" spans="1:13" s="4" customFormat="1" ht="14.25" customHeight="1" x14ac:dyDescent="0.25">
      <c r="A5930" s="4" t="s">
        <v>10032</v>
      </c>
      <c r="B5930" s="4" t="s">
        <v>90</v>
      </c>
      <c r="C5930" s="4" t="s">
        <v>14</v>
      </c>
      <c r="D5930" s="35">
        <v>7231</v>
      </c>
      <c r="E5930" s="4" t="s">
        <v>10033</v>
      </c>
      <c r="F5930" s="5">
        <v>40296</v>
      </c>
      <c r="G5930" s="5">
        <v>40660</v>
      </c>
      <c r="H5930" s="4" t="s">
        <v>40</v>
      </c>
      <c r="I5930" s="6">
        <v>20000</v>
      </c>
      <c r="J5930" s="6">
        <v>10000</v>
      </c>
      <c r="K5930" s="37" t="s">
        <v>9751</v>
      </c>
      <c r="L5930" s="120"/>
      <c r="M5930" s="3"/>
    </row>
    <row r="5931" spans="1:13" s="4" customFormat="1" ht="14.25" customHeight="1" x14ac:dyDescent="0.25">
      <c r="A5931" s="4" t="s">
        <v>10034</v>
      </c>
      <c r="B5931" s="4" t="s">
        <v>90</v>
      </c>
      <c r="C5931" s="4" t="s">
        <v>14</v>
      </c>
      <c r="D5931" s="35">
        <v>7232</v>
      </c>
      <c r="E5931" s="4" t="s">
        <v>10035</v>
      </c>
      <c r="F5931" s="5">
        <v>40114</v>
      </c>
      <c r="G5931" s="5">
        <v>40478</v>
      </c>
      <c r="H5931" s="4" t="s">
        <v>40</v>
      </c>
      <c r="I5931" s="6">
        <v>2960</v>
      </c>
      <c r="J5931" s="6">
        <v>1480</v>
      </c>
      <c r="K5931" s="37" t="s">
        <v>9751</v>
      </c>
      <c r="L5931" s="120"/>
      <c r="M5931" s="3"/>
    </row>
    <row r="5932" spans="1:13" s="4" customFormat="1" ht="14.25" customHeight="1" x14ac:dyDescent="0.25">
      <c r="A5932" s="4" t="s">
        <v>10038</v>
      </c>
      <c r="B5932" s="4" t="s">
        <v>90</v>
      </c>
      <c r="C5932" s="4" t="s">
        <v>14</v>
      </c>
      <c r="D5932" s="35">
        <v>7234</v>
      </c>
      <c r="E5932" s="4" t="s">
        <v>10039</v>
      </c>
      <c r="F5932" s="5">
        <v>40114</v>
      </c>
      <c r="G5932" s="5">
        <v>40478</v>
      </c>
      <c r="H5932" s="4" t="s">
        <v>40</v>
      </c>
      <c r="I5932" s="6">
        <v>8500</v>
      </c>
      <c r="J5932" s="6">
        <v>4250</v>
      </c>
      <c r="K5932" s="37" t="s">
        <v>9751</v>
      </c>
      <c r="L5932" s="120"/>
      <c r="M5932" s="3"/>
    </row>
    <row r="5933" spans="1:13" s="4" customFormat="1" ht="14.25" customHeight="1" x14ac:dyDescent="0.25">
      <c r="A5933" s="4" t="s">
        <v>10040</v>
      </c>
      <c r="B5933" s="4" t="s">
        <v>183</v>
      </c>
      <c r="C5933" s="4" t="s">
        <v>14</v>
      </c>
      <c r="D5933" s="35">
        <v>7235</v>
      </c>
      <c r="E5933" s="4" t="s">
        <v>10041</v>
      </c>
      <c r="F5933" s="5">
        <v>40233</v>
      </c>
      <c r="G5933" s="5">
        <v>40597</v>
      </c>
      <c r="H5933" s="4" t="s">
        <v>40</v>
      </c>
      <c r="I5933" s="6">
        <v>7500</v>
      </c>
      <c r="J5933" s="6">
        <v>7500</v>
      </c>
      <c r="K5933" s="37" t="s">
        <v>9751</v>
      </c>
      <c r="L5933" s="120"/>
      <c r="M5933" s="3"/>
    </row>
    <row r="5934" spans="1:13" s="4" customFormat="1" ht="14.25" customHeight="1" x14ac:dyDescent="0.25">
      <c r="A5934" s="4" t="s">
        <v>10042</v>
      </c>
      <c r="B5934" s="4" t="s">
        <v>183</v>
      </c>
      <c r="C5934" s="4" t="s">
        <v>14</v>
      </c>
      <c r="D5934" s="35">
        <v>7236</v>
      </c>
      <c r="E5934" s="4" t="s">
        <v>10043</v>
      </c>
      <c r="F5934" s="5">
        <v>40233</v>
      </c>
      <c r="G5934" s="5">
        <v>40597</v>
      </c>
      <c r="H5934" s="4" t="s">
        <v>40</v>
      </c>
      <c r="I5934" s="6">
        <v>20000</v>
      </c>
      <c r="J5934" s="6">
        <v>20000</v>
      </c>
      <c r="K5934" s="37" t="s">
        <v>9751</v>
      </c>
      <c r="L5934" s="120"/>
      <c r="M5934" s="3"/>
    </row>
    <row r="5935" spans="1:13" s="4" customFormat="1" ht="14.25" customHeight="1" x14ac:dyDescent="0.25">
      <c r="A5935" s="4" t="s">
        <v>10044</v>
      </c>
      <c r="B5935" s="4" t="s">
        <v>183</v>
      </c>
      <c r="C5935" s="4" t="s">
        <v>14</v>
      </c>
      <c r="D5935" s="35">
        <v>7237</v>
      </c>
      <c r="E5935" s="7" t="s">
        <v>10045</v>
      </c>
      <c r="F5935" s="5">
        <v>40359</v>
      </c>
      <c r="G5935" s="5">
        <v>40723</v>
      </c>
      <c r="H5935" s="4" t="s">
        <v>40</v>
      </c>
      <c r="I5935" s="6">
        <v>3750</v>
      </c>
      <c r="J5935" s="6">
        <v>3750</v>
      </c>
      <c r="K5935" s="37" t="s">
        <v>9751</v>
      </c>
      <c r="L5935" s="120"/>
      <c r="M5935" s="3"/>
    </row>
    <row r="5936" spans="1:13" s="4" customFormat="1" ht="14.25" customHeight="1" x14ac:dyDescent="0.25">
      <c r="A5936" s="4" t="s">
        <v>10046</v>
      </c>
      <c r="B5936" s="4" t="s">
        <v>183</v>
      </c>
      <c r="C5936" s="4" t="s">
        <v>14</v>
      </c>
      <c r="D5936" s="35">
        <v>7238</v>
      </c>
      <c r="E5936" s="4" t="s">
        <v>10047</v>
      </c>
      <c r="F5936" s="5">
        <v>40233</v>
      </c>
      <c r="G5936" s="5">
        <v>40597</v>
      </c>
      <c r="H5936" s="4" t="s">
        <v>40</v>
      </c>
      <c r="I5936" s="6">
        <v>11250</v>
      </c>
      <c r="J5936" s="6">
        <v>11250</v>
      </c>
      <c r="K5936" s="37" t="s">
        <v>9751</v>
      </c>
      <c r="L5936" s="120"/>
      <c r="M5936" s="3"/>
    </row>
    <row r="5937" spans="1:13" s="4" customFormat="1" ht="14.25" customHeight="1" x14ac:dyDescent="0.25">
      <c r="A5937" s="4" t="s">
        <v>10050</v>
      </c>
      <c r="B5937" s="4" t="s">
        <v>50</v>
      </c>
      <c r="C5937" s="4" t="s">
        <v>14</v>
      </c>
      <c r="D5937" s="35">
        <v>7240</v>
      </c>
      <c r="E5937" s="7" t="s">
        <v>10051</v>
      </c>
      <c r="F5937" s="5">
        <v>40114</v>
      </c>
      <c r="G5937" s="5">
        <v>40478</v>
      </c>
      <c r="H5937" s="4" t="s">
        <v>40</v>
      </c>
      <c r="I5937" s="6">
        <v>9963.34</v>
      </c>
      <c r="J5937" s="6">
        <v>4981.67</v>
      </c>
      <c r="K5937" s="37" t="s">
        <v>9751</v>
      </c>
      <c r="L5937" s="120"/>
      <c r="M5937" s="3"/>
    </row>
    <row r="5938" spans="1:13" s="4" customFormat="1" ht="14.25" customHeight="1" x14ac:dyDescent="0.25">
      <c r="A5938" s="4" t="s">
        <v>10054</v>
      </c>
      <c r="B5938" s="4" t="s">
        <v>90</v>
      </c>
      <c r="C5938" s="4" t="s">
        <v>14</v>
      </c>
      <c r="D5938" s="35">
        <v>7242</v>
      </c>
      <c r="E5938" s="4" t="s">
        <v>10055</v>
      </c>
      <c r="F5938" s="5">
        <v>40296</v>
      </c>
      <c r="G5938" s="5">
        <v>40660</v>
      </c>
      <c r="H5938" s="4" t="s">
        <v>40</v>
      </c>
      <c r="I5938" s="6">
        <v>8901.36</v>
      </c>
      <c r="J5938" s="6">
        <v>4450.68</v>
      </c>
      <c r="K5938" s="37" t="s">
        <v>9751</v>
      </c>
      <c r="L5938" s="120"/>
      <c r="M5938" s="3"/>
    </row>
    <row r="5939" spans="1:13" s="4" customFormat="1" ht="14.25" customHeight="1" x14ac:dyDescent="0.25">
      <c r="A5939" s="4" t="s">
        <v>10056</v>
      </c>
      <c r="B5939" s="4" t="s">
        <v>90</v>
      </c>
      <c r="C5939" s="4" t="s">
        <v>14</v>
      </c>
      <c r="D5939" s="35">
        <v>7243</v>
      </c>
      <c r="E5939" s="4" t="s">
        <v>10057</v>
      </c>
      <c r="F5939" s="5">
        <v>40359</v>
      </c>
      <c r="G5939" s="5">
        <v>40723</v>
      </c>
      <c r="H5939" s="4" t="s">
        <v>40</v>
      </c>
      <c r="I5939" s="6">
        <v>5889.58</v>
      </c>
      <c r="J5939" s="6">
        <v>2944.79</v>
      </c>
      <c r="K5939" s="37" t="s">
        <v>9751</v>
      </c>
      <c r="L5939" s="120"/>
      <c r="M5939" s="3"/>
    </row>
    <row r="5940" spans="1:13" s="4" customFormat="1" ht="14.25" customHeight="1" x14ac:dyDescent="0.25">
      <c r="A5940" s="4" t="s">
        <v>10058</v>
      </c>
      <c r="B5940" s="4" t="s">
        <v>183</v>
      </c>
      <c r="C5940" s="4" t="s">
        <v>14</v>
      </c>
      <c r="D5940" s="35">
        <v>7244</v>
      </c>
      <c r="E5940" s="7" t="s">
        <v>10059</v>
      </c>
      <c r="F5940" s="5">
        <v>40359</v>
      </c>
      <c r="G5940" s="5">
        <v>40723</v>
      </c>
      <c r="H5940" s="4" t="s">
        <v>40</v>
      </c>
      <c r="I5940" s="6">
        <v>62410.8</v>
      </c>
      <c r="J5940" s="6">
        <v>38705.4</v>
      </c>
      <c r="K5940" s="37" t="s">
        <v>9751</v>
      </c>
      <c r="L5940" s="120"/>
      <c r="M5940" s="3"/>
    </row>
    <row r="5941" spans="1:13" s="4" customFormat="1" ht="14.25" customHeight="1" x14ac:dyDescent="0.25">
      <c r="A5941" s="4" t="s">
        <v>10060</v>
      </c>
      <c r="B5941" s="4" t="s">
        <v>183</v>
      </c>
      <c r="C5941" s="4" t="s">
        <v>14</v>
      </c>
      <c r="D5941" s="35">
        <v>7245</v>
      </c>
      <c r="E5941" s="4" t="s">
        <v>10061</v>
      </c>
      <c r="F5941" s="5">
        <v>40233</v>
      </c>
      <c r="G5941" s="5">
        <v>40597</v>
      </c>
      <c r="H5941" s="4" t="s">
        <v>40</v>
      </c>
      <c r="I5941" s="6">
        <v>24940</v>
      </c>
      <c r="J5941" s="6">
        <v>12470</v>
      </c>
      <c r="K5941" s="37" t="s">
        <v>9751</v>
      </c>
      <c r="L5941" s="120"/>
      <c r="M5941" s="3"/>
    </row>
    <row r="5942" spans="1:13" s="4" customFormat="1" ht="14.25" customHeight="1" x14ac:dyDescent="0.25">
      <c r="A5942" s="4" t="s">
        <v>10064</v>
      </c>
      <c r="B5942" s="4" t="s">
        <v>183</v>
      </c>
      <c r="C5942" s="4" t="s">
        <v>14</v>
      </c>
      <c r="D5942" s="35">
        <v>7247</v>
      </c>
      <c r="E5942" s="7" t="s">
        <v>10065</v>
      </c>
      <c r="F5942" s="5">
        <v>40492</v>
      </c>
      <c r="G5942" s="5">
        <v>40856</v>
      </c>
      <c r="H5942" s="4" t="s">
        <v>40</v>
      </c>
      <c r="I5942" s="6">
        <v>10000</v>
      </c>
      <c r="J5942" s="6">
        <v>10000</v>
      </c>
      <c r="K5942" s="37" t="s">
        <v>9751</v>
      </c>
      <c r="L5942" s="120"/>
      <c r="M5942" s="3"/>
    </row>
    <row r="5943" spans="1:13" s="4" customFormat="1" ht="14.25" customHeight="1" x14ac:dyDescent="0.25">
      <c r="A5943" s="4" t="s">
        <v>10066</v>
      </c>
      <c r="B5943" s="4" t="s">
        <v>183</v>
      </c>
      <c r="C5943" s="4" t="s">
        <v>14</v>
      </c>
      <c r="D5943" s="35">
        <v>7248</v>
      </c>
      <c r="E5943" s="4" t="s">
        <v>10067</v>
      </c>
      <c r="F5943" s="5">
        <v>40492</v>
      </c>
      <c r="G5943" s="5">
        <v>40856</v>
      </c>
      <c r="H5943" s="4" t="s">
        <v>40</v>
      </c>
      <c r="I5943" s="6">
        <v>52754</v>
      </c>
      <c r="J5943" s="6">
        <v>29754</v>
      </c>
      <c r="K5943" s="37" t="s">
        <v>9751</v>
      </c>
      <c r="L5943" s="120"/>
      <c r="M5943" s="3"/>
    </row>
    <row r="5944" spans="1:13" s="4" customFormat="1" ht="14.25" customHeight="1" x14ac:dyDescent="0.25">
      <c r="A5944" s="4" t="s">
        <v>10068</v>
      </c>
      <c r="B5944" s="4" t="s">
        <v>38</v>
      </c>
      <c r="C5944" s="4" t="s">
        <v>14</v>
      </c>
      <c r="D5944" s="35">
        <v>7249</v>
      </c>
      <c r="E5944" s="4" t="s">
        <v>10069</v>
      </c>
      <c r="F5944" s="5">
        <v>40179</v>
      </c>
      <c r="G5944" s="5">
        <v>41639</v>
      </c>
      <c r="H5944" s="4" t="s">
        <v>40</v>
      </c>
      <c r="I5944" s="6">
        <v>12556.76</v>
      </c>
      <c r="J5944" s="6">
        <v>12556.76</v>
      </c>
      <c r="K5944" s="37" t="s">
        <v>9751</v>
      </c>
      <c r="L5944" s="120"/>
      <c r="M5944" s="3"/>
    </row>
    <row r="5945" spans="1:13" s="4" customFormat="1" ht="14.25" customHeight="1" x14ac:dyDescent="0.25">
      <c r="A5945" s="4" t="s">
        <v>10070</v>
      </c>
      <c r="B5945" s="4" t="s">
        <v>38</v>
      </c>
      <c r="C5945" s="4" t="s">
        <v>14</v>
      </c>
      <c r="D5945" s="35">
        <v>7250</v>
      </c>
      <c r="E5945" s="4" t="s">
        <v>10071</v>
      </c>
      <c r="F5945" s="5">
        <v>40179</v>
      </c>
      <c r="G5945" s="5">
        <v>41639</v>
      </c>
      <c r="H5945" s="4" t="s">
        <v>40</v>
      </c>
      <c r="I5945" s="6">
        <f>12961.63-367.06</f>
        <v>12594.57</v>
      </c>
      <c r="J5945" s="6">
        <f>6996.73+5964.9-367.06</f>
        <v>12594.57</v>
      </c>
      <c r="K5945" s="37" t="s">
        <v>9751</v>
      </c>
      <c r="L5945" s="120"/>
      <c r="M5945" s="3"/>
    </row>
    <row r="5946" spans="1:13" s="4" customFormat="1" ht="14.25" customHeight="1" x14ac:dyDescent="0.25">
      <c r="A5946" s="4" t="s">
        <v>10072</v>
      </c>
      <c r="B5946" s="4" t="s">
        <v>38</v>
      </c>
      <c r="C5946" s="4" t="s">
        <v>14</v>
      </c>
      <c r="D5946" s="35">
        <v>7251</v>
      </c>
      <c r="E5946" s="4" t="s">
        <v>10073</v>
      </c>
      <c r="F5946" s="5">
        <v>40179</v>
      </c>
      <c r="G5946" s="5">
        <v>41639</v>
      </c>
      <c r="H5946" s="4" t="s">
        <v>40</v>
      </c>
      <c r="I5946" s="6">
        <f>16358.81-367.06</f>
        <v>15991.75</v>
      </c>
      <c r="J5946" s="6">
        <f>12875.93+3482.88-367.06</f>
        <v>15991.750000000002</v>
      </c>
      <c r="K5946" s="37" t="s">
        <v>9751</v>
      </c>
      <c r="L5946" s="120"/>
      <c r="M5946" s="3"/>
    </row>
    <row r="5947" spans="1:13" s="4" customFormat="1" ht="14.25" customHeight="1" x14ac:dyDescent="0.25">
      <c r="A5947" s="4" t="s">
        <v>6282</v>
      </c>
      <c r="B5947" s="4" t="s">
        <v>38</v>
      </c>
      <c r="C5947" s="4" t="s">
        <v>14</v>
      </c>
      <c r="D5947" s="35">
        <v>7252</v>
      </c>
      <c r="E5947" s="4" t="s">
        <v>10074</v>
      </c>
      <c r="F5947" s="5">
        <v>40179</v>
      </c>
      <c r="G5947" s="5">
        <v>40908</v>
      </c>
      <c r="H5947" s="4" t="s">
        <v>40</v>
      </c>
      <c r="I5947" s="6">
        <v>2797.88</v>
      </c>
      <c r="J5947" s="6">
        <v>2797.88</v>
      </c>
      <c r="K5947" s="37" t="s">
        <v>9751</v>
      </c>
      <c r="L5947" s="120"/>
      <c r="M5947" s="3"/>
    </row>
    <row r="5948" spans="1:13" s="4" customFormat="1" ht="14.25" customHeight="1" x14ac:dyDescent="0.25">
      <c r="A5948" s="4" t="s">
        <v>10075</v>
      </c>
      <c r="B5948" s="4" t="s">
        <v>38</v>
      </c>
      <c r="C5948" s="4" t="s">
        <v>14</v>
      </c>
      <c r="D5948" s="35">
        <v>7253</v>
      </c>
      <c r="E5948" s="4" t="s">
        <v>10076</v>
      </c>
      <c r="F5948" s="5">
        <v>40179</v>
      </c>
      <c r="G5948" s="5">
        <v>41639</v>
      </c>
      <c r="H5948" s="4" t="s">
        <v>40</v>
      </c>
      <c r="I5948" s="6">
        <f>231.01+440.77+78.75+1980.6</f>
        <v>2731.13</v>
      </c>
      <c r="J5948" s="6">
        <f>2290.36+440.77</f>
        <v>2731.13</v>
      </c>
      <c r="K5948" s="37" t="s">
        <v>9751</v>
      </c>
      <c r="L5948" s="120"/>
      <c r="M5948" s="3"/>
    </row>
    <row r="5949" spans="1:13" s="4" customFormat="1" ht="14.25" customHeight="1" x14ac:dyDescent="0.25">
      <c r="A5949" s="4" t="s">
        <v>10077</v>
      </c>
      <c r="B5949" s="4" t="s">
        <v>38</v>
      </c>
      <c r="C5949" s="4" t="s">
        <v>14</v>
      </c>
      <c r="D5949" s="35">
        <v>7254</v>
      </c>
      <c r="E5949" s="4" t="s">
        <v>10078</v>
      </c>
      <c r="F5949" s="5">
        <v>40179</v>
      </c>
      <c r="G5949" s="5">
        <v>40543</v>
      </c>
      <c r="H5949" s="4" t="s">
        <v>40</v>
      </c>
      <c r="I5949" s="6">
        <v>265.01</v>
      </c>
      <c r="J5949" s="6">
        <v>265.01</v>
      </c>
      <c r="K5949" s="37" t="s">
        <v>9751</v>
      </c>
      <c r="L5949" s="120"/>
      <c r="M5949" s="3"/>
    </row>
    <row r="5950" spans="1:13" s="4" customFormat="1" ht="14.25" customHeight="1" x14ac:dyDescent="0.25">
      <c r="A5950" s="4" t="s">
        <v>10079</v>
      </c>
      <c r="B5950" s="4" t="s">
        <v>38</v>
      </c>
      <c r="C5950" s="4" t="s">
        <v>14</v>
      </c>
      <c r="D5950" s="35">
        <v>8517</v>
      </c>
      <c r="E5950" s="4" t="s">
        <v>10080</v>
      </c>
      <c r="F5950" s="5">
        <v>40544</v>
      </c>
      <c r="G5950" s="5">
        <v>40908</v>
      </c>
      <c r="H5950" s="4" t="s">
        <v>40</v>
      </c>
      <c r="I5950" s="6">
        <v>1080</v>
      </c>
      <c r="J5950" s="6">
        <v>1080</v>
      </c>
      <c r="K5950" s="37" t="s">
        <v>9751</v>
      </c>
      <c r="L5950" s="120"/>
      <c r="M5950" s="3"/>
    </row>
    <row r="5951" spans="1:13" s="4" customFormat="1" ht="14.25" customHeight="1" x14ac:dyDescent="0.25">
      <c r="A5951" s="4" t="s">
        <v>10081</v>
      </c>
      <c r="B5951" s="4" t="s">
        <v>38</v>
      </c>
      <c r="C5951" s="4" t="s">
        <v>14</v>
      </c>
      <c r="D5951" s="35">
        <v>8518</v>
      </c>
      <c r="E5951" s="4" t="s">
        <v>10082</v>
      </c>
      <c r="F5951" s="5">
        <v>40544</v>
      </c>
      <c r="G5951" s="5">
        <v>40908</v>
      </c>
      <c r="H5951" s="4" t="s">
        <v>40</v>
      </c>
      <c r="I5951" s="6">
        <v>1101.25</v>
      </c>
      <c r="J5951" s="6">
        <v>1101.25</v>
      </c>
      <c r="K5951" s="37" t="s">
        <v>9751</v>
      </c>
      <c r="L5951" s="120"/>
      <c r="M5951" s="3"/>
    </row>
    <row r="5952" spans="1:13" s="4" customFormat="1" ht="14.25" customHeight="1" x14ac:dyDescent="0.25">
      <c r="A5952" s="4" t="s">
        <v>10083</v>
      </c>
      <c r="B5952" s="4" t="s">
        <v>38</v>
      </c>
      <c r="C5952" s="4" t="s">
        <v>14</v>
      </c>
      <c r="D5952" s="35">
        <v>8519</v>
      </c>
      <c r="E5952" s="4" t="s">
        <v>10084</v>
      </c>
      <c r="F5952" s="5">
        <v>40544</v>
      </c>
      <c r="G5952" s="5">
        <v>40908</v>
      </c>
      <c r="H5952" s="4" t="s">
        <v>40</v>
      </c>
      <c r="I5952" s="6">
        <v>606</v>
      </c>
      <c r="J5952" s="6">
        <v>606</v>
      </c>
      <c r="K5952" s="37" t="s">
        <v>9751</v>
      </c>
      <c r="L5952" s="120"/>
      <c r="M5952" s="3"/>
    </row>
    <row r="5953" spans="1:13" s="4" customFormat="1" ht="14.25" customHeight="1" x14ac:dyDescent="0.25">
      <c r="A5953" s="4" t="s">
        <v>10085</v>
      </c>
      <c r="B5953" s="4" t="s">
        <v>38</v>
      </c>
      <c r="C5953" s="4" t="s">
        <v>14</v>
      </c>
      <c r="D5953" s="35">
        <v>8520</v>
      </c>
      <c r="E5953" s="4" t="s">
        <v>10086</v>
      </c>
      <c r="F5953" s="5">
        <v>40544</v>
      </c>
      <c r="G5953" s="5">
        <v>40908</v>
      </c>
      <c r="H5953" s="4" t="s">
        <v>40</v>
      </c>
      <c r="I5953" s="6">
        <v>400</v>
      </c>
      <c r="J5953" s="6">
        <v>400</v>
      </c>
      <c r="K5953" s="37" t="s">
        <v>9751</v>
      </c>
      <c r="L5953" s="120"/>
      <c r="M5953" s="3"/>
    </row>
    <row r="5954" spans="1:13" s="4" customFormat="1" ht="14.25" customHeight="1" x14ac:dyDescent="0.25">
      <c r="A5954" s="4" t="s">
        <v>10087</v>
      </c>
      <c r="B5954" s="4" t="s">
        <v>190</v>
      </c>
      <c r="C5954" s="4" t="s">
        <v>14</v>
      </c>
      <c r="D5954" s="35">
        <v>8521</v>
      </c>
      <c r="E5954" s="7" t="s">
        <v>10088</v>
      </c>
      <c r="F5954" s="5">
        <v>40443</v>
      </c>
      <c r="G5954" s="5">
        <v>40808</v>
      </c>
      <c r="H5954" s="4" t="s">
        <v>40</v>
      </c>
      <c r="I5954" s="6">
        <v>7500</v>
      </c>
      <c r="J5954" s="6">
        <v>7500</v>
      </c>
      <c r="K5954" s="37" t="s">
        <v>9751</v>
      </c>
      <c r="L5954" s="120"/>
      <c r="M5954" s="3"/>
    </row>
    <row r="5955" spans="1:13" s="4" customFormat="1" ht="14.25" customHeight="1" x14ac:dyDescent="0.25">
      <c r="A5955" s="4" t="s">
        <v>10089</v>
      </c>
      <c r="B5955" s="4" t="s">
        <v>190</v>
      </c>
      <c r="C5955" s="4" t="s">
        <v>14</v>
      </c>
      <c r="D5955" s="35">
        <v>8522</v>
      </c>
      <c r="E5955" s="4" t="s">
        <v>10090</v>
      </c>
      <c r="F5955" s="5">
        <v>40814</v>
      </c>
      <c r="G5955" s="5">
        <v>41180</v>
      </c>
      <c r="H5955" s="4" t="s">
        <v>40</v>
      </c>
      <c r="I5955" s="6">
        <v>11250</v>
      </c>
      <c r="J5955" s="6">
        <v>11250</v>
      </c>
      <c r="K5955" s="37" t="s">
        <v>9751</v>
      </c>
      <c r="L5955" s="120"/>
      <c r="M5955" s="3"/>
    </row>
    <row r="5956" spans="1:13" s="4" customFormat="1" ht="14.25" customHeight="1" x14ac:dyDescent="0.25">
      <c r="A5956" s="4" t="s">
        <v>10091</v>
      </c>
      <c r="B5956" s="4" t="s">
        <v>90</v>
      </c>
      <c r="C5956" s="4" t="s">
        <v>14</v>
      </c>
      <c r="D5956" s="35">
        <v>8523</v>
      </c>
      <c r="E5956" s="4" t="s">
        <v>10092</v>
      </c>
      <c r="F5956" s="5">
        <v>40359</v>
      </c>
      <c r="G5956" s="5">
        <v>40724</v>
      </c>
      <c r="H5956" s="4" t="s">
        <v>40</v>
      </c>
      <c r="I5956" s="6">
        <v>2600</v>
      </c>
      <c r="J5956" s="6">
        <v>1300</v>
      </c>
      <c r="K5956" s="37" t="s">
        <v>9751</v>
      </c>
      <c r="L5956" s="120"/>
      <c r="M5956" s="3"/>
    </row>
    <row r="5957" spans="1:13" s="4" customFormat="1" ht="14.25" customHeight="1" x14ac:dyDescent="0.25">
      <c r="A5957" s="4" t="s">
        <v>10093</v>
      </c>
      <c r="B5957" s="4" t="s">
        <v>190</v>
      </c>
      <c r="C5957" s="4" t="s">
        <v>14</v>
      </c>
      <c r="D5957" s="35">
        <v>8524</v>
      </c>
      <c r="E5957" s="4" t="s">
        <v>10094</v>
      </c>
      <c r="F5957" s="5">
        <v>40610</v>
      </c>
      <c r="G5957" s="5">
        <v>40976</v>
      </c>
      <c r="H5957" s="4" t="s">
        <v>40</v>
      </c>
      <c r="I5957" s="6">
        <v>3750</v>
      </c>
      <c r="J5957" s="6">
        <v>3750</v>
      </c>
      <c r="K5957" s="37" t="s">
        <v>9751</v>
      </c>
      <c r="L5957" s="120"/>
      <c r="M5957" s="3"/>
    </row>
    <row r="5958" spans="1:13" s="4" customFormat="1" ht="14.25" customHeight="1" x14ac:dyDescent="0.25">
      <c r="A5958" s="4" t="s">
        <v>10095</v>
      </c>
      <c r="B5958" s="4" t="s">
        <v>190</v>
      </c>
      <c r="C5958" s="4" t="s">
        <v>14</v>
      </c>
      <c r="D5958" s="35">
        <v>8525</v>
      </c>
      <c r="E5958" s="4" t="s">
        <v>10094</v>
      </c>
      <c r="F5958" s="5">
        <v>40842</v>
      </c>
      <c r="G5958" s="5">
        <v>41239</v>
      </c>
      <c r="H5958" s="4" t="s">
        <v>40</v>
      </c>
      <c r="I5958" s="6">
        <v>18811.04</v>
      </c>
      <c r="J5958" s="6">
        <v>9405.52</v>
      </c>
      <c r="K5958" s="37" t="s">
        <v>9751</v>
      </c>
      <c r="L5958" s="120"/>
      <c r="M5958" s="3"/>
    </row>
    <row r="5959" spans="1:13" s="4" customFormat="1" ht="14.25" customHeight="1" x14ac:dyDescent="0.25">
      <c r="A5959" s="4" t="s">
        <v>10098</v>
      </c>
      <c r="B5959" s="4" t="s">
        <v>183</v>
      </c>
      <c r="C5959" s="4" t="s">
        <v>14</v>
      </c>
      <c r="D5959" s="35">
        <v>8527</v>
      </c>
      <c r="E5959" s="4" t="s">
        <v>10099</v>
      </c>
      <c r="F5959" s="5">
        <v>40842</v>
      </c>
      <c r="G5959" s="5">
        <v>41208</v>
      </c>
      <c r="H5959" s="4" t="s">
        <v>40</v>
      </c>
      <c r="I5959" s="6">
        <v>9018.42</v>
      </c>
      <c r="J5959" s="6">
        <v>4509.21</v>
      </c>
      <c r="K5959" s="37" t="s">
        <v>9751</v>
      </c>
      <c r="L5959" s="120"/>
      <c r="M5959" s="3"/>
    </row>
    <row r="5960" spans="1:13" s="4" customFormat="1" ht="14.25" customHeight="1" x14ac:dyDescent="0.25">
      <c r="A5960" s="4" t="s">
        <v>10104</v>
      </c>
      <c r="B5960" s="4" t="s">
        <v>190</v>
      </c>
      <c r="C5960" s="4" t="s">
        <v>14</v>
      </c>
      <c r="D5960" s="35">
        <v>8530</v>
      </c>
      <c r="E5960" s="7" t="s">
        <v>10105</v>
      </c>
      <c r="F5960" s="5">
        <v>40610</v>
      </c>
      <c r="G5960" s="5">
        <v>40976</v>
      </c>
      <c r="H5960" s="4" t="s">
        <v>40</v>
      </c>
      <c r="I5960" s="6">
        <v>13958.94</v>
      </c>
      <c r="J5960" s="6">
        <v>11979.47</v>
      </c>
      <c r="K5960" s="37" t="s">
        <v>9751</v>
      </c>
      <c r="L5960" s="120"/>
      <c r="M5960" s="3"/>
    </row>
    <row r="5961" spans="1:13" s="4" customFormat="1" ht="14.25" customHeight="1" x14ac:dyDescent="0.25">
      <c r="A5961" s="4" t="s">
        <v>10106</v>
      </c>
      <c r="B5961" s="4" t="s">
        <v>183</v>
      </c>
      <c r="C5961" s="4" t="s">
        <v>14</v>
      </c>
      <c r="D5961" s="35">
        <v>8531</v>
      </c>
      <c r="E5961" s="7" t="s">
        <v>10107</v>
      </c>
      <c r="F5961" s="5">
        <v>40610</v>
      </c>
      <c r="G5961" s="5">
        <v>40976</v>
      </c>
      <c r="H5961" s="4" t="s">
        <v>40</v>
      </c>
      <c r="I5961" s="6">
        <v>43665.440000000002</v>
      </c>
      <c r="J5961" s="6">
        <v>29332.720000000001</v>
      </c>
      <c r="K5961" s="37" t="s">
        <v>9751</v>
      </c>
      <c r="L5961" s="120"/>
      <c r="M5961" s="3"/>
    </row>
    <row r="5962" spans="1:13" s="4" customFormat="1" ht="14.25" customHeight="1" x14ac:dyDescent="0.25">
      <c r="A5962" s="4" t="s">
        <v>10108</v>
      </c>
      <c r="B5962" s="4" t="s">
        <v>183</v>
      </c>
      <c r="C5962" s="4" t="s">
        <v>14</v>
      </c>
      <c r="D5962" s="35">
        <v>8532</v>
      </c>
      <c r="E5962" s="4" t="s">
        <v>10109</v>
      </c>
      <c r="F5962" s="5">
        <v>40443</v>
      </c>
      <c r="G5962" s="5">
        <v>40808</v>
      </c>
      <c r="H5962" s="4" t="s">
        <v>40</v>
      </c>
      <c r="I5962" s="6">
        <v>3750</v>
      </c>
      <c r="J5962" s="6">
        <v>3750</v>
      </c>
      <c r="K5962" s="37" t="s">
        <v>9751</v>
      </c>
      <c r="L5962" s="120"/>
      <c r="M5962" s="3"/>
    </row>
    <row r="5963" spans="1:13" s="4" customFormat="1" ht="14.25" customHeight="1" x14ac:dyDescent="0.25">
      <c r="A5963" s="4" t="s">
        <v>10110</v>
      </c>
      <c r="B5963" s="4" t="s">
        <v>183</v>
      </c>
      <c r="C5963" s="4" t="s">
        <v>14</v>
      </c>
      <c r="D5963" s="35">
        <v>8533</v>
      </c>
      <c r="E5963" s="7" t="s">
        <v>10111</v>
      </c>
      <c r="F5963" s="5">
        <v>40610</v>
      </c>
      <c r="G5963" s="5">
        <v>40976</v>
      </c>
      <c r="H5963" s="4" t="s">
        <v>40</v>
      </c>
      <c r="I5963" s="6">
        <v>15000</v>
      </c>
      <c r="J5963" s="6">
        <v>15000</v>
      </c>
      <c r="K5963" s="37" t="s">
        <v>9751</v>
      </c>
      <c r="L5963" s="120"/>
      <c r="M5963" s="3"/>
    </row>
    <row r="5964" spans="1:13" s="4" customFormat="1" ht="14.25" customHeight="1" x14ac:dyDescent="0.25">
      <c r="A5964" s="4" t="s">
        <v>10112</v>
      </c>
      <c r="B5964" s="4" t="s">
        <v>183</v>
      </c>
      <c r="C5964" s="4" t="s">
        <v>14</v>
      </c>
      <c r="D5964" s="35">
        <v>8534</v>
      </c>
      <c r="E5964" s="4" t="s">
        <v>10113</v>
      </c>
      <c r="F5964" s="5">
        <v>40610</v>
      </c>
      <c r="G5964" s="5">
        <v>40976</v>
      </c>
      <c r="H5964" s="4" t="s">
        <v>40</v>
      </c>
      <c r="I5964" s="6">
        <v>10445.620000000001</v>
      </c>
      <c r="J5964" s="6">
        <v>5222.8100000000004</v>
      </c>
      <c r="K5964" s="37" t="s">
        <v>9751</v>
      </c>
      <c r="L5964" s="120"/>
      <c r="M5964" s="3"/>
    </row>
    <row r="5965" spans="1:13" s="4" customFormat="1" ht="14.25" customHeight="1" x14ac:dyDescent="0.25">
      <c r="A5965" s="4" t="s">
        <v>10114</v>
      </c>
      <c r="B5965" s="4" t="s">
        <v>190</v>
      </c>
      <c r="C5965" s="4" t="s">
        <v>14</v>
      </c>
      <c r="D5965" s="35">
        <v>8535</v>
      </c>
      <c r="E5965" s="7" t="s">
        <v>10115</v>
      </c>
      <c r="F5965" s="5">
        <v>40555</v>
      </c>
      <c r="G5965" s="5">
        <v>40920</v>
      </c>
      <c r="H5965" s="4" t="s">
        <v>40</v>
      </c>
      <c r="I5965" s="6">
        <v>120000</v>
      </c>
      <c r="J5965" s="6">
        <v>60000</v>
      </c>
      <c r="K5965" s="37" t="s">
        <v>9751</v>
      </c>
      <c r="L5965" s="120"/>
      <c r="M5965" s="3"/>
    </row>
    <row r="5966" spans="1:13" s="4" customFormat="1" ht="14.25" customHeight="1" x14ac:dyDescent="0.25">
      <c r="A5966" s="4" t="s">
        <v>10116</v>
      </c>
      <c r="B5966" s="4" t="s">
        <v>90</v>
      </c>
      <c r="C5966" s="4" t="s">
        <v>14</v>
      </c>
      <c r="D5966" s="35">
        <v>8536</v>
      </c>
      <c r="E5966" s="4" t="s">
        <v>10117</v>
      </c>
      <c r="F5966" s="5">
        <v>40667</v>
      </c>
      <c r="G5966" s="5">
        <v>41033</v>
      </c>
      <c r="H5966" s="4" t="s">
        <v>40</v>
      </c>
      <c r="I5966" s="6">
        <v>10000</v>
      </c>
      <c r="J5966" s="6">
        <v>5000</v>
      </c>
      <c r="K5966" s="37" t="s">
        <v>9751</v>
      </c>
      <c r="L5966" s="120"/>
      <c r="M5966" s="3"/>
    </row>
    <row r="5967" spans="1:13" s="4" customFormat="1" ht="14.25" customHeight="1" x14ac:dyDescent="0.25">
      <c r="A5967" s="4" t="s">
        <v>10118</v>
      </c>
      <c r="B5967" s="4" t="s">
        <v>90</v>
      </c>
      <c r="C5967" s="4" t="s">
        <v>14</v>
      </c>
      <c r="D5967" s="35">
        <v>8537</v>
      </c>
      <c r="E5967" s="4" t="s">
        <v>10119</v>
      </c>
      <c r="F5967" s="5">
        <v>40667</v>
      </c>
      <c r="G5967" s="5">
        <v>41033</v>
      </c>
      <c r="H5967" s="4" t="s">
        <v>40</v>
      </c>
      <c r="I5967" s="6">
        <v>29400</v>
      </c>
      <c r="J5967" s="6">
        <v>14700</v>
      </c>
      <c r="K5967" s="37" t="s">
        <v>9751</v>
      </c>
      <c r="L5967" s="120"/>
      <c r="M5967" s="3"/>
    </row>
    <row r="5968" spans="1:13" s="4" customFormat="1" ht="14.25" customHeight="1" x14ac:dyDescent="0.25">
      <c r="A5968" s="4" t="s">
        <v>10120</v>
      </c>
      <c r="B5968" s="4" t="s">
        <v>90</v>
      </c>
      <c r="C5968" s="4" t="s">
        <v>14</v>
      </c>
      <c r="D5968" s="35">
        <v>8538</v>
      </c>
      <c r="E5968" s="4" t="s">
        <v>10121</v>
      </c>
      <c r="F5968" s="5">
        <v>40667</v>
      </c>
      <c r="G5968" s="5">
        <v>41033</v>
      </c>
      <c r="H5968" s="4" t="s">
        <v>40</v>
      </c>
      <c r="I5968" s="6">
        <v>6192.56</v>
      </c>
      <c r="J5968" s="6">
        <v>3096.28</v>
      </c>
      <c r="K5968" s="37" t="s">
        <v>9751</v>
      </c>
      <c r="L5968" s="120"/>
      <c r="M5968" s="3"/>
    </row>
    <row r="5969" spans="1:13" s="4" customFormat="1" ht="14.25" customHeight="1" x14ac:dyDescent="0.25">
      <c r="A5969" s="4" t="s">
        <v>10122</v>
      </c>
      <c r="B5969" s="4" t="s">
        <v>190</v>
      </c>
      <c r="C5969" s="4" t="s">
        <v>14</v>
      </c>
      <c r="D5969" s="35">
        <v>8540</v>
      </c>
      <c r="E5969" s="4" t="s">
        <v>10123</v>
      </c>
      <c r="F5969" s="5">
        <v>40667</v>
      </c>
      <c r="G5969" s="5">
        <v>41033</v>
      </c>
      <c r="H5969" s="4" t="s">
        <v>40</v>
      </c>
      <c r="I5969" s="6">
        <v>33055.339999999997</v>
      </c>
      <c r="J5969" s="6">
        <v>16527.669999999998</v>
      </c>
      <c r="K5969" s="37" t="s">
        <v>9751</v>
      </c>
      <c r="L5969" s="120"/>
      <c r="M5969" s="3"/>
    </row>
    <row r="5970" spans="1:13" s="4" customFormat="1" ht="14.25" customHeight="1" x14ac:dyDescent="0.25">
      <c r="A5970" s="4" t="s">
        <v>10124</v>
      </c>
      <c r="B5970" s="4" t="s">
        <v>90</v>
      </c>
      <c r="C5970" s="4" t="s">
        <v>14</v>
      </c>
      <c r="D5970" s="35">
        <v>8541</v>
      </c>
      <c r="E5970" s="4" t="s">
        <v>10125</v>
      </c>
      <c r="F5970" s="5">
        <v>40667</v>
      </c>
      <c r="G5970" s="5">
        <v>41033</v>
      </c>
      <c r="H5970" s="4" t="s">
        <v>40</v>
      </c>
      <c r="I5970" s="6">
        <v>22800</v>
      </c>
      <c r="J5970" s="6">
        <v>11400</v>
      </c>
      <c r="K5970" s="37" t="s">
        <v>9751</v>
      </c>
      <c r="L5970" s="120"/>
      <c r="M5970" s="3"/>
    </row>
    <row r="5971" spans="1:13" s="4" customFormat="1" ht="14.25" customHeight="1" x14ac:dyDescent="0.25">
      <c r="A5971" s="4" t="s">
        <v>10126</v>
      </c>
      <c r="B5971" s="4" t="s">
        <v>38</v>
      </c>
      <c r="C5971" s="4" t="s">
        <v>14</v>
      </c>
      <c r="D5971" s="35">
        <v>8552</v>
      </c>
      <c r="E5971" s="4" t="s">
        <v>10127</v>
      </c>
      <c r="F5971" s="5">
        <v>40544</v>
      </c>
      <c r="G5971" s="5">
        <v>41639</v>
      </c>
      <c r="H5971" s="4" t="s">
        <v>40</v>
      </c>
      <c r="I5971" s="6">
        <f>136160.26+61436.86+43242.52</f>
        <v>240839.63999999998</v>
      </c>
      <c r="J5971" s="6">
        <f>89701.39+30718.43</f>
        <v>120419.82</v>
      </c>
      <c r="K5971" s="37" t="s">
        <v>9751</v>
      </c>
      <c r="L5971" s="120"/>
      <c r="M5971" s="3"/>
    </row>
    <row r="5972" spans="1:13" s="4" customFormat="1" ht="14.25" customHeight="1" x14ac:dyDescent="0.25">
      <c r="A5972" s="4" t="s">
        <v>10130</v>
      </c>
      <c r="B5972" s="4" t="s">
        <v>183</v>
      </c>
      <c r="C5972" s="4" t="s">
        <v>14</v>
      </c>
      <c r="D5972" s="35">
        <v>10329</v>
      </c>
      <c r="E5972" s="4" t="s">
        <v>10131</v>
      </c>
      <c r="F5972" s="5">
        <v>40737</v>
      </c>
      <c r="G5972" s="5">
        <v>41102</v>
      </c>
      <c r="H5972" s="4" t="s">
        <v>40</v>
      </c>
      <c r="I5972" s="6">
        <v>50375.360000000001</v>
      </c>
      <c r="J5972" s="6">
        <v>28937.68</v>
      </c>
      <c r="K5972" s="37" t="s">
        <v>9751</v>
      </c>
      <c r="L5972" s="120"/>
      <c r="M5972" s="3"/>
    </row>
    <row r="5973" spans="1:13" s="4" customFormat="1" ht="14.25" customHeight="1" x14ac:dyDescent="0.25">
      <c r="A5973" s="4" t="s">
        <v>10132</v>
      </c>
      <c r="B5973" s="4" t="s">
        <v>183</v>
      </c>
      <c r="C5973" s="4" t="s">
        <v>14</v>
      </c>
      <c r="D5973" s="35">
        <v>10330</v>
      </c>
      <c r="E5973" s="4" t="s">
        <v>10133</v>
      </c>
      <c r="F5973" s="5">
        <v>40961</v>
      </c>
      <c r="G5973" s="5">
        <v>41326</v>
      </c>
      <c r="H5973" s="4" t="s">
        <v>40</v>
      </c>
      <c r="I5973" s="6">
        <v>51191.66</v>
      </c>
      <c r="J5973" s="6">
        <f>29345.83+3750</f>
        <v>33095.83</v>
      </c>
      <c r="K5973" s="37" t="s">
        <v>9751</v>
      </c>
      <c r="L5973" s="120"/>
      <c r="M5973" s="3"/>
    </row>
    <row r="5974" spans="1:13" s="4" customFormat="1" ht="14.25" customHeight="1" x14ac:dyDescent="0.25">
      <c r="A5974" s="4" t="s">
        <v>10134</v>
      </c>
      <c r="B5974" s="4" t="s">
        <v>183</v>
      </c>
      <c r="C5974" s="4" t="s">
        <v>14</v>
      </c>
      <c r="D5974" s="35">
        <v>10331</v>
      </c>
      <c r="E5974" s="4" t="s">
        <v>10135</v>
      </c>
      <c r="F5974" s="5">
        <v>40961</v>
      </c>
      <c r="G5974" s="5">
        <v>41326</v>
      </c>
      <c r="H5974" s="4" t="s">
        <v>40</v>
      </c>
      <c r="I5974" s="6">
        <v>11700</v>
      </c>
      <c r="J5974" s="6">
        <v>9600</v>
      </c>
      <c r="K5974" s="37" t="s">
        <v>9751</v>
      </c>
      <c r="L5974" s="120"/>
      <c r="M5974" s="3"/>
    </row>
    <row r="5975" spans="1:13" s="4" customFormat="1" ht="14.25" customHeight="1" x14ac:dyDescent="0.25">
      <c r="A5975" s="4" t="s">
        <v>10136</v>
      </c>
      <c r="B5975" s="4" t="s">
        <v>183</v>
      </c>
      <c r="C5975" s="4" t="s">
        <v>14</v>
      </c>
      <c r="D5975" s="35">
        <v>10332</v>
      </c>
      <c r="E5975" s="7" t="s">
        <v>10137</v>
      </c>
      <c r="F5975" s="5">
        <v>41087</v>
      </c>
      <c r="G5975" s="5">
        <v>41451</v>
      </c>
      <c r="H5975" s="4" t="s">
        <v>40</v>
      </c>
      <c r="I5975" s="6">
        <f>9875+3750</f>
        <v>13625</v>
      </c>
      <c r="J5975" s="6">
        <f>6812.5+3750</f>
        <v>10562.5</v>
      </c>
      <c r="K5975" s="37" t="s">
        <v>9751</v>
      </c>
      <c r="L5975" s="120"/>
      <c r="M5975" s="3"/>
    </row>
    <row r="5976" spans="1:13" s="4" customFormat="1" ht="14.25" customHeight="1" x14ac:dyDescent="0.25">
      <c r="A5976" s="4" t="s">
        <v>10140</v>
      </c>
      <c r="B5976" s="4" t="s">
        <v>190</v>
      </c>
      <c r="C5976" s="4" t="s">
        <v>14</v>
      </c>
      <c r="D5976" s="35">
        <v>10334</v>
      </c>
      <c r="E5976" s="4" t="s">
        <v>10141</v>
      </c>
      <c r="F5976" s="5">
        <v>41087</v>
      </c>
      <c r="G5976" s="5">
        <v>41451</v>
      </c>
      <c r="H5976" s="4" t="s">
        <v>40</v>
      </c>
      <c r="I5976" s="6">
        <v>45394</v>
      </c>
      <c r="J5976" s="6">
        <f>22697+3750</f>
        <v>26447</v>
      </c>
      <c r="K5976" s="37" t="s">
        <v>9751</v>
      </c>
      <c r="L5976" s="120"/>
      <c r="M5976" s="3"/>
    </row>
    <row r="5977" spans="1:13" s="4" customFormat="1" ht="14.25" customHeight="1" x14ac:dyDescent="0.25">
      <c r="A5977" s="4" t="s">
        <v>10142</v>
      </c>
      <c r="B5977" s="4" t="s">
        <v>190</v>
      </c>
      <c r="C5977" s="4" t="s">
        <v>14</v>
      </c>
      <c r="D5977" s="35">
        <v>10335</v>
      </c>
      <c r="E5977" s="4" t="s">
        <v>10143</v>
      </c>
      <c r="F5977" s="5">
        <v>40961</v>
      </c>
      <c r="G5977" s="5">
        <v>41326</v>
      </c>
      <c r="H5977" s="4" t="s">
        <v>40</v>
      </c>
      <c r="I5977" s="6">
        <v>20900</v>
      </c>
      <c r="J5977" s="6">
        <f>10450+5500</f>
        <v>15950</v>
      </c>
      <c r="K5977" s="37" t="s">
        <v>9751</v>
      </c>
      <c r="L5977" s="120"/>
      <c r="M5977" s="3"/>
    </row>
    <row r="5978" spans="1:13" s="4" customFormat="1" ht="14.25" customHeight="1" x14ac:dyDescent="0.25">
      <c r="A5978" s="4" t="s">
        <v>10148</v>
      </c>
      <c r="B5978" s="4" t="s">
        <v>183</v>
      </c>
      <c r="C5978" s="4" t="s">
        <v>14</v>
      </c>
      <c r="D5978" s="35">
        <v>10338</v>
      </c>
      <c r="E5978" s="4" t="s">
        <v>10149</v>
      </c>
      <c r="F5978" s="5">
        <v>41087</v>
      </c>
      <c r="G5978" s="5">
        <v>41451</v>
      </c>
      <c r="H5978" s="4" t="s">
        <v>40</v>
      </c>
      <c r="I5978" s="6">
        <v>16654.240000000002</v>
      </c>
      <c r="J5978" s="6">
        <v>12077.12</v>
      </c>
      <c r="K5978" s="37" t="s">
        <v>9751</v>
      </c>
      <c r="L5978" s="120"/>
      <c r="M5978" s="3"/>
    </row>
    <row r="5979" spans="1:13" s="4" customFormat="1" ht="14.25" customHeight="1" x14ac:dyDescent="0.25">
      <c r="A5979" s="4" t="s">
        <v>10150</v>
      </c>
      <c r="B5979" s="4" t="s">
        <v>190</v>
      </c>
      <c r="C5979" s="4" t="s">
        <v>14</v>
      </c>
      <c r="D5979" s="35">
        <v>10339</v>
      </c>
      <c r="E5979" s="4" t="s">
        <v>10151</v>
      </c>
      <c r="F5979" s="5">
        <v>40961</v>
      </c>
      <c r="G5979" s="5">
        <v>41326</v>
      </c>
      <c r="H5979" s="4" t="s">
        <v>40</v>
      </c>
      <c r="I5979" s="6">
        <v>18375</v>
      </c>
      <c r="J5979" s="6">
        <f>9187.5+3750</f>
        <v>12937.5</v>
      </c>
      <c r="K5979" s="37" t="s">
        <v>9751</v>
      </c>
      <c r="L5979" s="120"/>
      <c r="M5979" s="3"/>
    </row>
    <row r="5980" spans="1:13" s="4" customFormat="1" ht="14.25" customHeight="1" x14ac:dyDescent="0.25">
      <c r="A5980" s="4" t="s">
        <v>10152</v>
      </c>
      <c r="B5980" s="4" t="s">
        <v>90</v>
      </c>
      <c r="C5980" s="4" t="s">
        <v>14</v>
      </c>
      <c r="D5980" s="35">
        <v>10340</v>
      </c>
      <c r="E5980" s="4" t="s">
        <v>10153</v>
      </c>
      <c r="F5980" s="5">
        <v>40961</v>
      </c>
      <c r="G5980" s="5">
        <v>41326</v>
      </c>
      <c r="H5980" s="4" t="s">
        <v>40</v>
      </c>
      <c r="I5980" s="6">
        <v>10000</v>
      </c>
      <c r="J5980" s="6">
        <v>5000</v>
      </c>
      <c r="K5980" s="37" t="s">
        <v>9751</v>
      </c>
      <c r="L5980" s="120"/>
      <c r="M5980" s="3"/>
    </row>
    <row r="5981" spans="1:13" s="4" customFormat="1" ht="14.25" customHeight="1" x14ac:dyDescent="0.25">
      <c r="A5981" s="4" t="s">
        <v>10154</v>
      </c>
      <c r="B5981" s="4" t="s">
        <v>183</v>
      </c>
      <c r="C5981" s="4" t="s">
        <v>14</v>
      </c>
      <c r="D5981" s="35">
        <v>10341</v>
      </c>
      <c r="E5981" s="4" t="s">
        <v>10155</v>
      </c>
      <c r="F5981" s="5">
        <v>41157</v>
      </c>
      <c r="G5981" s="5">
        <v>41521</v>
      </c>
      <c r="H5981" s="4" t="s">
        <v>40</v>
      </c>
      <c r="I5981" s="6">
        <v>26090.98</v>
      </c>
      <c r="J5981" s="6">
        <v>20545.490000000002</v>
      </c>
      <c r="K5981" s="37" t="s">
        <v>9751</v>
      </c>
      <c r="L5981" s="120"/>
      <c r="M5981" s="3"/>
    </row>
    <row r="5982" spans="1:13" s="4" customFormat="1" ht="14.25" customHeight="1" x14ac:dyDescent="0.25">
      <c r="A5982" s="4" t="s">
        <v>10156</v>
      </c>
      <c r="B5982" s="4" t="s">
        <v>183</v>
      </c>
      <c r="C5982" s="4" t="s">
        <v>14</v>
      </c>
      <c r="D5982" s="35">
        <v>10342</v>
      </c>
      <c r="E5982" s="7" t="s">
        <v>10157</v>
      </c>
      <c r="F5982" s="5">
        <v>41157</v>
      </c>
      <c r="G5982" s="5">
        <v>41521</v>
      </c>
      <c r="H5982" s="4" t="s">
        <v>40</v>
      </c>
      <c r="I5982" s="6">
        <v>15000</v>
      </c>
      <c r="J5982" s="6">
        <f>7500+7500</f>
        <v>15000</v>
      </c>
      <c r="K5982" s="37" t="s">
        <v>9751</v>
      </c>
      <c r="L5982" s="120"/>
      <c r="M5982" s="3"/>
    </row>
    <row r="5983" spans="1:13" s="4" customFormat="1" ht="14.25" customHeight="1" x14ac:dyDescent="0.25">
      <c r="A5983" s="4" t="s">
        <v>10160</v>
      </c>
      <c r="B5983" s="4" t="s">
        <v>190</v>
      </c>
      <c r="C5983" s="4" t="s">
        <v>14</v>
      </c>
      <c r="D5983" s="35">
        <v>10344</v>
      </c>
      <c r="E5983" s="4" t="s">
        <v>10161</v>
      </c>
      <c r="F5983" s="5">
        <v>41087</v>
      </c>
      <c r="G5983" s="5">
        <v>41451</v>
      </c>
      <c r="H5983" s="4" t="s">
        <v>40</v>
      </c>
      <c r="I5983" s="6">
        <v>16697.64</v>
      </c>
      <c r="J5983" s="6">
        <f>8348.82+3750</f>
        <v>12098.82</v>
      </c>
      <c r="K5983" s="37" t="s">
        <v>9751</v>
      </c>
      <c r="L5983" s="120"/>
      <c r="M5983" s="3"/>
    </row>
    <row r="5984" spans="1:13" s="4" customFormat="1" ht="14.25" customHeight="1" x14ac:dyDescent="0.25">
      <c r="A5984" s="4" t="s">
        <v>10162</v>
      </c>
      <c r="B5984" s="4" t="s">
        <v>190</v>
      </c>
      <c r="C5984" s="4" t="s">
        <v>14</v>
      </c>
      <c r="D5984" s="35">
        <v>10345</v>
      </c>
      <c r="E5984" s="7" t="s">
        <v>10163</v>
      </c>
      <c r="F5984" s="5">
        <v>41024</v>
      </c>
      <c r="G5984" s="5">
        <v>41388</v>
      </c>
      <c r="H5984" s="4" t="s">
        <v>40</v>
      </c>
      <c r="I5984" s="6">
        <v>12446.18</v>
      </c>
      <c r="J5984" s="6">
        <f>6223.09+3750</f>
        <v>9973.09</v>
      </c>
      <c r="K5984" s="37" t="s">
        <v>9751</v>
      </c>
      <c r="L5984" s="120"/>
      <c r="M5984" s="3"/>
    </row>
    <row r="5985" spans="1:13" s="4" customFormat="1" ht="14.25" customHeight="1" x14ac:dyDescent="0.25">
      <c r="A5985" s="4" t="s">
        <v>10164</v>
      </c>
      <c r="B5985" s="4" t="s">
        <v>90</v>
      </c>
      <c r="C5985" s="4" t="s">
        <v>14</v>
      </c>
      <c r="D5985" s="35">
        <v>10346</v>
      </c>
      <c r="E5985" s="4" t="s">
        <v>10165</v>
      </c>
      <c r="F5985" s="5">
        <v>41087</v>
      </c>
      <c r="G5985" s="5">
        <v>41451</v>
      </c>
      <c r="H5985" s="4" t="s">
        <v>40</v>
      </c>
      <c r="I5985" s="6">
        <v>10220</v>
      </c>
      <c r="J5985" s="6">
        <v>5110</v>
      </c>
      <c r="K5985" s="37" t="s">
        <v>9751</v>
      </c>
      <c r="L5985" s="120"/>
      <c r="M5985" s="3"/>
    </row>
    <row r="5986" spans="1:13" s="4" customFormat="1" ht="14.25" customHeight="1" x14ac:dyDescent="0.25">
      <c r="A5986" s="4" t="s">
        <v>10166</v>
      </c>
      <c r="B5986" s="4" t="s">
        <v>183</v>
      </c>
      <c r="C5986" s="4" t="s">
        <v>14</v>
      </c>
      <c r="D5986" s="35">
        <v>10347</v>
      </c>
      <c r="E5986" s="7" t="s">
        <v>10167</v>
      </c>
      <c r="F5986" s="5">
        <v>41024</v>
      </c>
      <c r="G5986" s="5">
        <v>41388</v>
      </c>
      <c r="H5986" s="4" t="s">
        <v>40</v>
      </c>
      <c r="I5986" s="6">
        <v>28589.4</v>
      </c>
      <c r="J5986" s="6">
        <f>14294.7+9375</f>
        <v>23669.7</v>
      </c>
      <c r="K5986" s="37" t="s">
        <v>9751</v>
      </c>
      <c r="L5986" s="120"/>
      <c r="M5986" s="3"/>
    </row>
    <row r="5987" spans="1:13" s="4" customFormat="1" ht="14.25" customHeight="1" x14ac:dyDescent="0.25">
      <c r="A5987" s="4" t="s">
        <v>10168</v>
      </c>
      <c r="B5987" s="4" t="s">
        <v>190</v>
      </c>
      <c r="C5987" s="4" t="s">
        <v>14</v>
      </c>
      <c r="D5987" s="35">
        <v>10349</v>
      </c>
      <c r="E5987" s="7" t="s">
        <v>10169</v>
      </c>
      <c r="F5987" s="5">
        <v>41087</v>
      </c>
      <c r="G5987" s="5">
        <v>41451</v>
      </c>
      <c r="H5987" s="4" t="s">
        <v>40</v>
      </c>
      <c r="I5987" s="6">
        <v>19918.62</v>
      </c>
      <c r="J5987" s="6">
        <f>5430+6404.31</f>
        <v>11834.310000000001</v>
      </c>
      <c r="K5987" s="37" t="s">
        <v>9751</v>
      </c>
      <c r="L5987" s="120"/>
      <c r="M5987" s="3"/>
    </row>
    <row r="5988" spans="1:13" s="4" customFormat="1" ht="14.25" customHeight="1" x14ac:dyDescent="0.25">
      <c r="A5988" s="4" t="s">
        <v>10170</v>
      </c>
      <c r="B5988" s="4" t="s">
        <v>190</v>
      </c>
      <c r="C5988" s="4" t="s">
        <v>14</v>
      </c>
      <c r="D5988" s="35">
        <v>10350</v>
      </c>
      <c r="E5988" s="4" t="s">
        <v>10171</v>
      </c>
      <c r="F5988" s="5">
        <v>41157</v>
      </c>
      <c r="G5988" s="5">
        <v>41521</v>
      </c>
      <c r="H5988" s="4" t="s">
        <v>40</v>
      </c>
      <c r="I5988" s="6">
        <v>27505</v>
      </c>
      <c r="J5988" s="6">
        <f>5625+10940</f>
        <v>16565</v>
      </c>
      <c r="K5988" s="37" t="s">
        <v>9751</v>
      </c>
      <c r="L5988" s="120"/>
      <c r="M5988" s="3"/>
    </row>
    <row r="5989" spans="1:13" s="4" customFormat="1" ht="14.25" customHeight="1" x14ac:dyDescent="0.25">
      <c r="A5989" s="4" t="s">
        <v>10172</v>
      </c>
      <c r="B5989" s="4" t="s">
        <v>190</v>
      </c>
      <c r="C5989" s="4" t="s">
        <v>14</v>
      </c>
      <c r="D5989" s="35">
        <v>10351</v>
      </c>
      <c r="E5989" s="4" t="s">
        <v>10173</v>
      </c>
      <c r="F5989" s="5">
        <v>41087</v>
      </c>
      <c r="G5989" s="5">
        <v>41451</v>
      </c>
      <c r="H5989" s="4" t="s">
        <v>40</v>
      </c>
      <c r="I5989" s="6">
        <v>1335</v>
      </c>
      <c r="J5989" s="6">
        <v>667.5</v>
      </c>
      <c r="K5989" s="37" t="s">
        <v>9751</v>
      </c>
      <c r="L5989" s="120"/>
      <c r="M5989" s="3"/>
    </row>
    <row r="5990" spans="1:13" s="4" customFormat="1" ht="14.25" customHeight="1" x14ac:dyDescent="0.25">
      <c r="A5990" s="4" t="s">
        <v>10174</v>
      </c>
      <c r="B5990" s="4" t="s">
        <v>90</v>
      </c>
      <c r="C5990" s="4" t="s">
        <v>14</v>
      </c>
      <c r="D5990" s="35">
        <v>10352</v>
      </c>
      <c r="E5990" s="4" t="s">
        <v>10175</v>
      </c>
      <c r="F5990" s="5">
        <v>41024</v>
      </c>
      <c r="G5990" s="5">
        <v>41388</v>
      </c>
      <c r="H5990" s="4" t="s">
        <v>40</v>
      </c>
      <c r="I5990" s="6">
        <v>9655.6</v>
      </c>
      <c r="J5990" s="6">
        <v>4827.8</v>
      </c>
      <c r="K5990" s="37" t="s">
        <v>9751</v>
      </c>
      <c r="L5990" s="120"/>
      <c r="M5990" s="3"/>
    </row>
    <row r="5991" spans="1:13" s="4" customFormat="1" ht="14.25" customHeight="1" x14ac:dyDescent="0.25">
      <c r="A5991" s="4" t="s">
        <v>10176</v>
      </c>
      <c r="B5991" s="4" t="s">
        <v>190</v>
      </c>
      <c r="C5991" s="4" t="s">
        <v>14</v>
      </c>
      <c r="D5991" s="35">
        <v>10353</v>
      </c>
      <c r="E5991" s="4" t="s">
        <v>10177</v>
      </c>
      <c r="F5991" s="5">
        <v>41227</v>
      </c>
      <c r="G5991" s="5">
        <v>41591</v>
      </c>
      <c r="H5991" s="4" t="s">
        <v>40</v>
      </c>
      <c r="I5991" s="6">
        <v>15000</v>
      </c>
      <c r="J5991" s="6">
        <v>15000</v>
      </c>
      <c r="K5991" s="37" t="s">
        <v>9751</v>
      </c>
      <c r="L5991" s="120"/>
      <c r="M5991" s="3"/>
    </row>
    <row r="5992" spans="1:13" s="4" customFormat="1" ht="14.25" customHeight="1" x14ac:dyDescent="0.25">
      <c r="A5992" s="4" t="s">
        <v>10180</v>
      </c>
      <c r="B5992" s="4" t="s">
        <v>190</v>
      </c>
      <c r="C5992" s="4" t="s">
        <v>14</v>
      </c>
      <c r="D5992" s="35">
        <v>10355</v>
      </c>
      <c r="E5992" s="4" t="s">
        <v>10181</v>
      </c>
      <c r="F5992" s="5">
        <v>41255</v>
      </c>
      <c r="G5992" s="5">
        <v>41619</v>
      </c>
      <c r="H5992" s="4" t="s">
        <v>40</v>
      </c>
      <c r="I5992" s="6">
        <v>11750</v>
      </c>
      <c r="J5992" s="6">
        <v>11750</v>
      </c>
      <c r="K5992" s="37" t="s">
        <v>9751</v>
      </c>
      <c r="L5992" s="120"/>
      <c r="M5992" s="3"/>
    </row>
    <row r="5993" spans="1:13" s="4" customFormat="1" ht="14.25" customHeight="1" x14ac:dyDescent="0.25">
      <c r="A5993" s="4" t="s">
        <v>10182</v>
      </c>
      <c r="B5993" s="4" t="s">
        <v>38</v>
      </c>
      <c r="C5993" s="4" t="s">
        <v>14</v>
      </c>
      <c r="D5993" s="35">
        <v>10358</v>
      </c>
      <c r="E5993" s="4" t="s">
        <v>10183</v>
      </c>
      <c r="F5993" s="5">
        <v>40909</v>
      </c>
      <c r="G5993" s="5">
        <v>41274</v>
      </c>
      <c r="H5993" s="4" t="s">
        <v>40</v>
      </c>
      <c r="I5993" s="6">
        <v>250.44</v>
      </c>
      <c r="J5993" s="6">
        <v>250.42</v>
      </c>
      <c r="K5993" s="37" t="s">
        <v>9751</v>
      </c>
      <c r="L5993" s="120"/>
      <c r="M5993" s="3"/>
    </row>
    <row r="5994" spans="1:13" s="4" customFormat="1" ht="14.25" customHeight="1" x14ac:dyDescent="0.25">
      <c r="A5994" s="4" t="s">
        <v>10184</v>
      </c>
      <c r="B5994" s="4" t="s">
        <v>38</v>
      </c>
      <c r="C5994" s="4" t="s">
        <v>14</v>
      </c>
      <c r="D5994" s="35">
        <v>10394</v>
      </c>
      <c r="E5994" s="4" t="s">
        <v>10185</v>
      </c>
      <c r="F5994" s="5">
        <v>40909</v>
      </c>
      <c r="G5994" s="5">
        <v>41639</v>
      </c>
      <c r="H5994" s="4" t="s">
        <v>40</v>
      </c>
      <c r="I5994" s="6">
        <v>752.5</v>
      </c>
      <c r="J5994" s="6">
        <v>752.5</v>
      </c>
      <c r="K5994" s="37" t="s">
        <v>9751</v>
      </c>
      <c r="L5994" s="120"/>
      <c r="M5994" s="3"/>
    </row>
    <row r="5995" spans="1:13" s="4" customFormat="1" ht="14.25" customHeight="1" x14ac:dyDescent="0.25">
      <c r="A5995" s="4" t="s">
        <v>10186</v>
      </c>
      <c r="B5995" s="4" t="s">
        <v>38</v>
      </c>
      <c r="C5995" s="4" t="s">
        <v>14</v>
      </c>
      <c r="D5995" s="35">
        <v>10395</v>
      </c>
      <c r="E5995" s="4" t="s">
        <v>10187</v>
      </c>
      <c r="F5995" s="5">
        <v>40909</v>
      </c>
      <c r="G5995" s="5">
        <v>40939</v>
      </c>
      <c r="H5995" s="4" t="s">
        <v>40</v>
      </c>
      <c r="I5995" s="6">
        <v>410</v>
      </c>
      <c r="J5995" s="6">
        <v>410</v>
      </c>
      <c r="K5995" s="37" t="s">
        <v>9751</v>
      </c>
      <c r="L5995" s="120"/>
      <c r="M5995" s="3"/>
    </row>
    <row r="5996" spans="1:13" s="4" customFormat="1" ht="14.25" customHeight="1" x14ac:dyDescent="0.25">
      <c r="A5996" s="4" t="s">
        <v>10188</v>
      </c>
      <c r="B5996" s="4" t="s">
        <v>38</v>
      </c>
      <c r="C5996" s="4" t="s">
        <v>14</v>
      </c>
      <c r="D5996" s="35">
        <v>10396</v>
      </c>
      <c r="E5996" s="4" t="s">
        <v>10189</v>
      </c>
      <c r="F5996" s="5">
        <v>40909</v>
      </c>
      <c r="G5996" s="5">
        <v>41274</v>
      </c>
      <c r="H5996" s="4" t="s">
        <v>40</v>
      </c>
      <c r="I5996" s="6">
        <v>1261.93</v>
      </c>
      <c r="J5996" s="6">
        <v>1261.93</v>
      </c>
      <c r="K5996" s="37" t="s">
        <v>9751</v>
      </c>
      <c r="L5996" s="120"/>
      <c r="M5996" s="3"/>
    </row>
    <row r="5997" spans="1:13" ht="14.25" customHeight="1" x14ac:dyDescent="0.25">
      <c r="A5997" s="13" t="s">
        <v>11326</v>
      </c>
      <c r="B5997" s="13" t="s">
        <v>10195</v>
      </c>
      <c r="C5997" s="13" t="s">
        <v>14</v>
      </c>
      <c r="D5997" s="19">
        <v>12481</v>
      </c>
      <c r="E5997" s="13" t="s">
        <v>11327</v>
      </c>
      <c r="F5997" s="14">
        <v>41227</v>
      </c>
      <c r="G5997" s="14">
        <v>41592</v>
      </c>
      <c r="H5997" s="13" t="s">
        <v>651</v>
      </c>
      <c r="I5997" s="18">
        <v>38629.96</v>
      </c>
      <c r="J5997" s="18">
        <v>24939.98</v>
      </c>
      <c r="K5997" s="20" t="s">
        <v>9751</v>
      </c>
    </row>
    <row r="5998" spans="1:13" ht="14.25" customHeight="1" x14ac:dyDescent="0.25">
      <c r="A5998" s="13" t="s">
        <v>11330</v>
      </c>
      <c r="B5998" s="13" t="s">
        <v>10192</v>
      </c>
      <c r="C5998" s="13" t="s">
        <v>14</v>
      </c>
      <c r="D5998" s="19">
        <v>12502</v>
      </c>
      <c r="E5998" s="13" t="s">
        <v>11331</v>
      </c>
      <c r="F5998" s="14">
        <v>41255</v>
      </c>
      <c r="G5998" s="14">
        <v>41619</v>
      </c>
      <c r="H5998" s="13" t="s">
        <v>651</v>
      </c>
      <c r="I5998" s="18">
        <v>7500</v>
      </c>
      <c r="J5998" s="18">
        <v>7500</v>
      </c>
      <c r="K5998" s="20" t="s">
        <v>9751</v>
      </c>
    </row>
    <row r="5999" spans="1:13" ht="14.25" customHeight="1" x14ac:dyDescent="0.25">
      <c r="A5999" s="13" t="s">
        <v>11332</v>
      </c>
      <c r="B5999" s="13" t="s">
        <v>10220</v>
      </c>
      <c r="C5999" s="13" t="s">
        <v>14</v>
      </c>
      <c r="D5999" s="19">
        <v>12503</v>
      </c>
      <c r="E5999" s="13" t="s">
        <v>11333</v>
      </c>
      <c r="F5999" s="14">
        <v>41157</v>
      </c>
      <c r="G5999" s="14">
        <v>41521</v>
      </c>
      <c r="H5999" s="13" t="s">
        <v>651</v>
      </c>
      <c r="I5999" s="18">
        <v>8000</v>
      </c>
      <c r="J5999" s="18">
        <v>4000</v>
      </c>
      <c r="K5999" s="20" t="s">
        <v>9751</v>
      </c>
    </row>
    <row r="6000" spans="1:13" ht="14.25" customHeight="1" x14ac:dyDescent="0.25">
      <c r="A6000" s="13" t="s">
        <v>11334</v>
      </c>
      <c r="B6000" s="13" t="s">
        <v>10192</v>
      </c>
      <c r="C6000" s="13" t="s">
        <v>14</v>
      </c>
      <c r="D6000" s="19">
        <v>12504</v>
      </c>
      <c r="E6000" s="13" t="s">
        <v>11335</v>
      </c>
      <c r="F6000" s="14">
        <v>41332</v>
      </c>
      <c r="G6000" s="14">
        <v>41696</v>
      </c>
      <c r="H6000" s="13" t="s">
        <v>651</v>
      </c>
      <c r="I6000" s="18">
        <v>12564.68</v>
      </c>
      <c r="J6000" s="18">
        <v>10032.34</v>
      </c>
      <c r="K6000" s="20" t="s">
        <v>9751</v>
      </c>
    </row>
    <row r="6001" spans="1:11" ht="14.25" customHeight="1" x14ac:dyDescent="0.25">
      <c r="A6001" s="13" t="s">
        <v>11336</v>
      </c>
      <c r="B6001" s="13" t="s">
        <v>10195</v>
      </c>
      <c r="C6001" s="13" t="s">
        <v>14</v>
      </c>
      <c r="D6001" s="19">
        <v>12505</v>
      </c>
      <c r="E6001" s="13" t="s">
        <v>11337</v>
      </c>
      <c r="F6001" s="14">
        <v>41521</v>
      </c>
      <c r="G6001" s="14">
        <v>41885</v>
      </c>
      <c r="H6001" s="13" t="s">
        <v>651</v>
      </c>
      <c r="I6001" s="18">
        <v>19016.419999999998</v>
      </c>
      <c r="J6001" s="18">
        <v>12320.71</v>
      </c>
      <c r="K6001" s="20" t="s">
        <v>9751</v>
      </c>
    </row>
    <row r="6002" spans="1:11" ht="14.25" customHeight="1" x14ac:dyDescent="0.25">
      <c r="A6002" s="13" t="s">
        <v>11338</v>
      </c>
      <c r="B6002" s="13" t="s">
        <v>10192</v>
      </c>
      <c r="C6002" s="13" t="s">
        <v>14</v>
      </c>
      <c r="D6002" s="19">
        <v>12506</v>
      </c>
      <c r="E6002" s="13" t="s">
        <v>11339</v>
      </c>
      <c r="F6002" s="14">
        <v>41332</v>
      </c>
      <c r="G6002" s="14">
        <v>41696</v>
      </c>
      <c r="H6002" s="13" t="s">
        <v>651</v>
      </c>
      <c r="I6002" s="18">
        <v>38123</v>
      </c>
      <c r="J6002" s="18">
        <v>30311.5</v>
      </c>
      <c r="K6002" s="20" t="s">
        <v>9751</v>
      </c>
    </row>
    <row r="6003" spans="1:11" ht="14.25" customHeight="1" x14ac:dyDescent="0.25">
      <c r="A6003" s="13" t="s">
        <v>11340</v>
      </c>
      <c r="B6003" s="13" t="s">
        <v>10192</v>
      </c>
      <c r="C6003" s="13" t="s">
        <v>14</v>
      </c>
      <c r="D6003" s="19">
        <v>12507</v>
      </c>
      <c r="E6003" s="13" t="s">
        <v>11341</v>
      </c>
      <c r="F6003" s="14">
        <v>41332</v>
      </c>
      <c r="G6003" s="14">
        <v>41696</v>
      </c>
      <c r="H6003" s="13" t="s">
        <v>651</v>
      </c>
      <c r="I6003" s="18">
        <v>22901.919999999998</v>
      </c>
      <c r="J6003" s="18">
        <v>18950.96</v>
      </c>
      <c r="K6003" s="20" t="s">
        <v>9751</v>
      </c>
    </row>
    <row r="6004" spans="1:11" ht="14.25" customHeight="1" x14ac:dyDescent="0.25">
      <c r="A6004" s="13" t="s">
        <v>11342</v>
      </c>
      <c r="B6004" s="13" t="s">
        <v>10192</v>
      </c>
      <c r="C6004" s="13" t="s">
        <v>14</v>
      </c>
      <c r="D6004" s="19">
        <v>12521</v>
      </c>
      <c r="E6004" s="13" t="s">
        <v>11343</v>
      </c>
      <c r="F6004" s="14">
        <v>41332</v>
      </c>
      <c r="G6004" s="14">
        <v>41696</v>
      </c>
      <c r="H6004" s="13" t="s">
        <v>651</v>
      </c>
      <c r="I6004" s="18">
        <v>49550</v>
      </c>
      <c r="J6004" s="18">
        <v>26650</v>
      </c>
      <c r="K6004" s="20" t="s">
        <v>9751</v>
      </c>
    </row>
    <row r="6005" spans="1:11" ht="14.25" customHeight="1" x14ac:dyDescent="0.25">
      <c r="A6005" s="13" t="s">
        <v>11344</v>
      </c>
      <c r="B6005" s="13" t="s">
        <v>10192</v>
      </c>
      <c r="C6005" s="13" t="s">
        <v>14</v>
      </c>
      <c r="D6005" s="19">
        <v>12522</v>
      </c>
      <c r="E6005" s="13" t="s">
        <v>11345</v>
      </c>
      <c r="F6005" s="14">
        <v>41332</v>
      </c>
      <c r="G6005" s="14">
        <v>41696</v>
      </c>
      <c r="H6005" s="13" t="s">
        <v>651</v>
      </c>
      <c r="I6005" s="18">
        <v>16048</v>
      </c>
      <c r="J6005" s="18">
        <v>11774</v>
      </c>
      <c r="K6005" s="20" t="s">
        <v>9751</v>
      </c>
    </row>
    <row r="6006" spans="1:11" ht="14.25" customHeight="1" x14ac:dyDescent="0.25">
      <c r="A6006" s="13" t="s">
        <v>11348</v>
      </c>
      <c r="B6006" s="13" t="s">
        <v>10192</v>
      </c>
      <c r="C6006" s="13" t="s">
        <v>14</v>
      </c>
      <c r="D6006" s="19">
        <v>12524</v>
      </c>
      <c r="E6006" s="13" t="s">
        <v>11349</v>
      </c>
      <c r="F6006" s="14">
        <v>41443</v>
      </c>
      <c r="G6006" s="14">
        <v>41807</v>
      </c>
      <c r="H6006" s="13" t="s">
        <v>651</v>
      </c>
      <c r="I6006" s="18">
        <v>16562.740000000002</v>
      </c>
      <c r="J6006" s="18">
        <v>12031.37</v>
      </c>
      <c r="K6006" s="20" t="s">
        <v>9751</v>
      </c>
    </row>
    <row r="6007" spans="1:11" ht="14.25" customHeight="1" x14ac:dyDescent="0.25">
      <c r="A6007" s="13" t="s">
        <v>11350</v>
      </c>
      <c r="B6007" s="13" t="s">
        <v>10220</v>
      </c>
      <c r="C6007" s="13" t="s">
        <v>14</v>
      </c>
      <c r="D6007" s="19">
        <v>12525</v>
      </c>
      <c r="E6007" s="13" t="s">
        <v>11351</v>
      </c>
      <c r="F6007" s="14">
        <v>41087</v>
      </c>
      <c r="G6007" s="14">
        <v>41451</v>
      </c>
      <c r="H6007" s="13" t="s">
        <v>651</v>
      </c>
      <c r="I6007" s="18">
        <v>21080.62</v>
      </c>
      <c r="J6007" s="18">
        <v>10540.31</v>
      </c>
      <c r="K6007" s="20" t="s">
        <v>9751</v>
      </c>
    </row>
    <row r="6008" spans="1:11" ht="14.25" customHeight="1" x14ac:dyDescent="0.25">
      <c r="A6008" s="13" t="s">
        <v>11352</v>
      </c>
      <c r="B6008" s="13" t="s">
        <v>10192</v>
      </c>
      <c r="C6008" s="13" t="s">
        <v>14</v>
      </c>
      <c r="D6008" s="19">
        <v>12526</v>
      </c>
      <c r="E6008" s="13" t="s">
        <v>11353</v>
      </c>
      <c r="F6008" s="14">
        <v>41332</v>
      </c>
      <c r="G6008" s="14">
        <v>41696</v>
      </c>
      <c r="H6008" s="13" t="s">
        <v>651</v>
      </c>
      <c r="I6008" s="18">
        <v>15370.3</v>
      </c>
      <c r="J6008" s="18">
        <v>11435.15</v>
      </c>
      <c r="K6008" s="20" t="s">
        <v>9751</v>
      </c>
    </row>
    <row r="6009" spans="1:11" ht="14.25" customHeight="1" x14ac:dyDescent="0.25">
      <c r="A6009" s="13" t="s">
        <v>11354</v>
      </c>
      <c r="B6009" s="13" t="s">
        <v>10220</v>
      </c>
      <c r="C6009" s="13" t="s">
        <v>14</v>
      </c>
      <c r="D6009" s="19">
        <v>12527</v>
      </c>
      <c r="E6009" s="13" t="s">
        <v>11355</v>
      </c>
      <c r="F6009" s="14">
        <v>41157</v>
      </c>
      <c r="G6009" s="14">
        <v>41521</v>
      </c>
      <c r="H6009" s="13" t="s">
        <v>651</v>
      </c>
      <c r="I6009" s="18">
        <v>32100</v>
      </c>
      <c r="J6009" s="18">
        <v>16050</v>
      </c>
      <c r="K6009" s="20" t="s">
        <v>9751</v>
      </c>
    </row>
    <row r="6010" spans="1:11" ht="14.25" customHeight="1" x14ac:dyDescent="0.25">
      <c r="A6010" s="13" t="s">
        <v>11356</v>
      </c>
      <c r="B6010" s="13" t="s">
        <v>10192</v>
      </c>
      <c r="C6010" s="13" t="s">
        <v>14</v>
      </c>
      <c r="D6010" s="19">
        <v>12528</v>
      </c>
      <c r="E6010" s="13" t="s">
        <v>11357</v>
      </c>
      <c r="F6010" s="14">
        <v>41388</v>
      </c>
      <c r="G6010" s="14">
        <v>41752</v>
      </c>
      <c r="H6010" s="13" t="s">
        <v>651</v>
      </c>
      <c r="I6010" s="18">
        <v>42314.64</v>
      </c>
      <c r="J6010" s="18">
        <v>23844.82</v>
      </c>
      <c r="K6010" s="20" t="s">
        <v>9751</v>
      </c>
    </row>
    <row r="6011" spans="1:11" ht="14.25" customHeight="1" x14ac:dyDescent="0.25">
      <c r="A6011" s="13" t="s">
        <v>11358</v>
      </c>
      <c r="B6011" s="13" t="s">
        <v>10192</v>
      </c>
      <c r="C6011" s="13" t="s">
        <v>14</v>
      </c>
      <c r="D6011" s="19">
        <v>12529</v>
      </c>
      <c r="E6011" s="13" t="s">
        <v>11359</v>
      </c>
      <c r="F6011" s="14">
        <v>41443</v>
      </c>
      <c r="G6011" s="14">
        <v>41807</v>
      </c>
      <c r="H6011" s="13" t="s">
        <v>651</v>
      </c>
      <c r="I6011" s="18">
        <v>37213.300000000003</v>
      </c>
      <c r="J6011" s="18">
        <v>33606.65</v>
      </c>
      <c r="K6011" s="20" t="s">
        <v>9751</v>
      </c>
    </row>
    <row r="6012" spans="1:11" ht="14.25" customHeight="1" x14ac:dyDescent="0.25">
      <c r="A6012" s="13" t="s">
        <v>11360</v>
      </c>
      <c r="B6012" s="13" t="s">
        <v>10192</v>
      </c>
      <c r="C6012" s="13" t="s">
        <v>14</v>
      </c>
      <c r="D6012" s="19">
        <v>12530</v>
      </c>
      <c r="E6012" s="13" t="s">
        <v>11361</v>
      </c>
      <c r="F6012" s="14">
        <v>41388</v>
      </c>
      <c r="G6012" s="14">
        <v>41752</v>
      </c>
      <c r="H6012" s="13" t="s">
        <v>651</v>
      </c>
      <c r="I6012" s="18">
        <v>5952.72</v>
      </c>
      <c r="J6012" s="18">
        <v>2976.37</v>
      </c>
      <c r="K6012" s="20" t="s">
        <v>9751</v>
      </c>
    </row>
    <row r="6013" spans="1:11" ht="14.25" customHeight="1" x14ac:dyDescent="0.25">
      <c r="A6013" s="13" t="s">
        <v>11362</v>
      </c>
      <c r="B6013" s="13" t="s">
        <v>10192</v>
      </c>
      <c r="C6013" s="13" t="s">
        <v>14</v>
      </c>
      <c r="D6013" s="19">
        <v>12531</v>
      </c>
      <c r="E6013" s="13" t="s">
        <v>11363</v>
      </c>
      <c r="F6013" s="14">
        <v>41388</v>
      </c>
      <c r="G6013" s="14">
        <v>41752</v>
      </c>
      <c r="H6013" s="13" t="s">
        <v>651</v>
      </c>
      <c r="I6013" s="18">
        <v>57679.98</v>
      </c>
      <c r="J6013" s="18">
        <v>30714.99</v>
      </c>
      <c r="K6013" s="20" t="s">
        <v>9751</v>
      </c>
    </row>
    <row r="6014" spans="1:11" ht="14.25" customHeight="1" x14ac:dyDescent="0.25">
      <c r="A6014" s="13" t="s">
        <v>11364</v>
      </c>
      <c r="B6014" s="13" t="s">
        <v>10192</v>
      </c>
      <c r="C6014" s="13" t="s">
        <v>14</v>
      </c>
      <c r="D6014" s="19">
        <v>12532</v>
      </c>
      <c r="E6014" s="13" t="s">
        <v>11365</v>
      </c>
      <c r="F6014" s="14">
        <v>41521</v>
      </c>
      <c r="G6014" s="14">
        <v>41885</v>
      </c>
      <c r="H6014" s="13" t="s">
        <v>651</v>
      </c>
      <c r="I6014" s="18">
        <v>7500</v>
      </c>
      <c r="J6014" s="18">
        <v>7500</v>
      </c>
      <c r="K6014" s="20" t="s">
        <v>9751</v>
      </c>
    </row>
    <row r="6015" spans="1:11" ht="14.25" customHeight="1" x14ac:dyDescent="0.25">
      <c r="A6015" s="13" t="s">
        <v>11366</v>
      </c>
      <c r="B6015" s="13" t="s">
        <v>10192</v>
      </c>
      <c r="C6015" s="13" t="s">
        <v>14</v>
      </c>
      <c r="D6015" s="19">
        <v>12533</v>
      </c>
      <c r="E6015" s="13" t="s">
        <v>11367</v>
      </c>
      <c r="F6015" s="14">
        <v>41443</v>
      </c>
      <c r="G6015" s="14">
        <v>41807</v>
      </c>
      <c r="H6015" s="13" t="s">
        <v>651</v>
      </c>
      <c r="I6015" s="18">
        <v>7500</v>
      </c>
      <c r="J6015" s="18">
        <v>7500</v>
      </c>
      <c r="K6015" s="20" t="s">
        <v>9751</v>
      </c>
    </row>
    <row r="6016" spans="1:11" ht="14.25" customHeight="1" x14ac:dyDescent="0.25">
      <c r="A6016" s="13" t="s">
        <v>11368</v>
      </c>
      <c r="B6016" s="13" t="s">
        <v>10195</v>
      </c>
      <c r="C6016" s="13" t="s">
        <v>14</v>
      </c>
      <c r="D6016" s="19">
        <v>12534</v>
      </c>
      <c r="E6016" s="13" t="s">
        <v>11369</v>
      </c>
      <c r="F6016" s="14">
        <v>41443</v>
      </c>
      <c r="G6016" s="14">
        <v>41807</v>
      </c>
      <c r="H6016" s="13" t="s">
        <v>651</v>
      </c>
      <c r="I6016" s="18">
        <v>60000</v>
      </c>
      <c r="J6016" s="18">
        <v>30000</v>
      </c>
      <c r="K6016" s="20" t="s">
        <v>9751</v>
      </c>
    </row>
    <row r="6017" spans="1:13" ht="14.25" customHeight="1" x14ac:dyDescent="0.25">
      <c r="A6017" s="13" t="s">
        <v>11370</v>
      </c>
      <c r="B6017" s="13" t="s">
        <v>10192</v>
      </c>
      <c r="C6017" s="13" t="s">
        <v>14</v>
      </c>
      <c r="D6017" s="19">
        <v>12535</v>
      </c>
      <c r="E6017" s="13" t="s">
        <v>11371</v>
      </c>
      <c r="F6017" s="14">
        <v>41443</v>
      </c>
      <c r="G6017" s="14">
        <v>41807</v>
      </c>
      <c r="H6017" s="13" t="s">
        <v>651</v>
      </c>
      <c r="I6017" s="18">
        <v>8348.32</v>
      </c>
      <c r="J6017" s="18">
        <v>6049.16</v>
      </c>
      <c r="K6017" s="20" t="s">
        <v>9751</v>
      </c>
    </row>
    <row r="6018" spans="1:13" ht="14.25" customHeight="1" x14ac:dyDescent="0.25">
      <c r="A6018" s="13" t="s">
        <v>11372</v>
      </c>
      <c r="B6018" s="13" t="s">
        <v>10220</v>
      </c>
      <c r="C6018" s="13" t="s">
        <v>14</v>
      </c>
      <c r="D6018" s="19">
        <v>12536</v>
      </c>
      <c r="E6018" s="13" t="s">
        <v>11373</v>
      </c>
      <c r="F6018" s="14">
        <v>41327</v>
      </c>
      <c r="G6018" s="14">
        <v>41691</v>
      </c>
      <c r="H6018" s="13" t="s">
        <v>651</v>
      </c>
      <c r="I6018" s="18">
        <v>8941.36</v>
      </c>
      <c r="J6018" s="18">
        <v>4470.68</v>
      </c>
      <c r="K6018" s="20" t="s">
        <v>9751</v>
      </c>
    </row>
    <row r="6019" spans="1:13" s="4" customFormat="1" ht="14.25" customHeight="1" x14ac:dyDescent="0.25">
      <c r="D6019" s="35"/>
      <c r="E6019" s="26" t="s">
        <v>351</v>
      </c>
      <c r="F6019" s="28"/>
      <c r="G6019" s="28"/>
      <c r="H6019" s="26"/>
      <c r="I6019" s="27">
        <f>SUM(I5786:I5798)</f>
        <v>805104.52999999991</v>
      </c>
      <c r="J6019" s="27">
        <f>SUM(J5786:J5798)</f>
        <v>183993.48000000004</v>
      </c>
      <c r="K6019" s="20" t="s">
        <v>9751</v>
      </c>
      <c r="L6019" s="119"/>
      <c r="M6019" s="3"/>
    </row>
    <row r="6020" spans="1:13" s="4" customFormat="1" ht="14.25" customHeight="1" x14ac:dyDescent="0.25">
      <c r="D6020" s="35"/>
      <c r="E6020" s="26" t="s">
        <v>786</v>
      </c>
      <c r="F6020" s="28"/>
      <c r="G6020" s="28"/>
      <c r="H6020" s="26"/>
      <c r="I6020" s="27">
        <f>SUM(I5799:I5804)</f>
        <v>704516.05</v>
      </c>
      <c r="J6020" s="27">
        <f>SUM(J5799:IK5804)</f>
        <v>221742.15</v>
      </c>
      <c r="K6020" s="20" t="s">
        <v>9751</v>
      </c>
      <c r="L6020" s="119"/>
      <c r="M6020" s="3"/>
    </row>
    <row r="6021" spans="1:13" s="4" customFormat="1" ht="14.25" customHeight="1" x14ac:dyDescent="0.25">
      <c r="D6021" s="35"/>
      <c r="E6021" s="26" t="s">
        <v>352</v>
      </c>
      <c r="F6021" s="28"/>
      <c r="G6021" s="28"/>
      <c r="H6021" s="26"/>
      <c r="I6021" s="27">
        <f>SUM(I5805:I6018)</f>
        <v>4990779.9800000004</v>
      </c>
      <c r="J6021" s="27">
        <f>SUM(J5805:J6018)</f>
        <v>3800548.1799999992</v>
      </c>
      <c r="K6021" s="20" t="s">
        <v>9751</v>
      </c>
      <c r="L6021" s="119"/>
      <c r="M6021" s="3"/>
    </row>
    <row r="6022" spans="1:13" s="4" customFormat="1" ht="14.25" customHeight="1" x14ac:dyDescent="0.25">
      <c r="D6022" s="35"/>
      <c r="E6022" s="26" t="s">
        <v>10190</v>
      </c>
      <c r="F6022" s="28"/>
      <c r="G6022" s="28"/>
      <c r="H6022" s="26"/>
      <c r="I6022" s="27">
        <f>SUM(I6019:I6021)</f>
        <v>6500400.5600000005</v>
      </c>
      <c r="J6022" s="27">
        <f>SUM(J6019:J6021)</f>
        <v>4206283.8099999996</v>
      </c>
      <c r="K6022" s="20" t="s">
        <v>9751</v>
      </c>
      <c r="L6022" s="119"/>
      <c r="M6022" s="3"/>
    </row>
    <row r="6024" spans="1:13" s="40" customFormat="1" ht="14.25" customHeight="1" x14ac:dyDescent="0.25">
      <c r="D6024" s="115"/>
      <c r="I6024" s="40">
        <f>SUM(I168+I406+I1152+I1544+I2193+I2436+I2602+I2804+I3007+I3559+I3768+I4129+I4350+I4542+I4549+I4789+I4987+I5312+I5501+I5784+I6022)</f>
        <v>443870886.3599999</v>
      </c>
      <c r="J6024" s="40">
        <f>SUM(J168+J406+J1152+J1544+J2193+J2436+J2602+J2804+J3007+J3559+J3768+J4129+J4350+J4542+J4549+J4789+J4987+J5312+J5501+J5784+J6022)</f>
        <v>374908912.90600002</v>
      </c>
      <c r="K6024" s="116"/>
      <c r="L6024" s="120"/>
    </row>
    <row r="6028" spans="1:13" ht="14.25" customHeight="1" x14ac:dyDescent="0.25">
      <c r="I6028" s="40"/>
      <c r="J6028" s="40"/>
    </row>
  </sheetData>
  <pageMargins left="0.16" right="0.16" top="0.25" bottom="0.28000000000000003" header="0.16" footer="0.16"/>
  <pageSetup paperSize="9"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2"/>
  <sheetViews>
    <sheetView topLeftCell="A2" workbookViewId="0">
      <selection activeCell="M27" sqref="M27"/>
    </sheetView>
  </sheetViews>
  <sheetFormatPr defaultRowHeight="15" x14ac:dyDescent="0.25"/>
  <cols>
    <col min="1" max="1" width="14.5703125" bestFit="1" customWidth="1"/>
    <col min="2" max="2" width="14.85546875" bestFit="1" customWidth="1"/>
  </cols>
  <sheetData>
    <row r="2" spans="1:4" x14ac:dyDescent="0.25">
      <c r="A2" t="s">
        <v>11767</v>
      </c>
      <c r="B2" s="136">
        <v>6460341.4400000004</v>
      </c>
      <c r="C2" s="136"/>
      <c r="D2" s="136"/>
    </row>
    <row r="3" spans="1:4" x14ac:dyDescent="0.25">
      <c r="A3" t="s">
        <v>11741</v>
      </c>
      <c r="B3" s="136">
        <v>54505534.270000026</v>
      </c>
      <c r="C3" s="136"/>
      <c r="D3" s="136"/>
    </row>
    <row r="4" spans="1:4" x14ac:dyDescent="0.25">
      <c r="A4" t="s">
        <v>11742</v>
      </c>
      <c r="B4" s="136">
        <v>7042150.0800000001</v>
      </c>
      <c r="C4" s="136"/>
      <c r="D4" s="136"/>
    </row>
    <row r="5" spans="1:4" x14ac:dyDescent="0.25">
      <c r="A5" t="s">
        <v>11743</v>
      </c>
      <c r="B5" s="136">
        <v>95709703.280000001</v>
      </c>
      <c r="C5" s="136"/>
      <c r="D5" s="136"/>
    </row>
    <row r="6" spans="1:4" x14ac:dyDescent="0.25">
      <c r="A6" t="s">
        <v>11744</v>
      </c>
      <c r="B6" s="136">
        <v>33583825.219999999</v>
      </c>
      <c r="C6" s="136"/>
      <c r="D6" s="136"/>
    </row>
    <row r="7" spans="1:4" x14ac:dyDescent="0.25">
      <c r="A7" t="s">
        <v>11745</v>
      </c>
      <c r="B7" s="136">
        <v>101229342.13</v>
      </c>
      <c r="C7" s="136"/>
      <c r="D7" s="136"/>
    </row>
    <row r="8" spans="1:4" x14ac:dyDescent="0.25">
      <c r="A8" t="s">
        <v>11746</v>
      </c>
      <c r="B8" s="136">
        <v>18427012.700000003</v>
      </c>
      <c r="C8" s="136"/>
      <c r="D8" s="136"/>
    </row>
    <row r="9" spans="1:4" x14ac:dyDescent="0.25">
      <c r="A9" t="s">
        <v>11747</v>
      </c>
      <c r="B9" s="136">
        <v>25379109.139999993</v>
      </c>
      <c r="C9" s="136"/>
      <c r="D9" s="136"/>
    </row>
    <row r="10" spans="1:4" x14ac:dyDescent="0.25">
      <c r="A10" t="s">
        <v>11654</v>
      </c>
      <c r="B10" s="136">
        <v>31331472.93</v>
      </c>
      <c r="C10" s="136"/>
      <c r="D10" s="136"/>
    </row>
    <row r="11" spans="1:4" x14ac:dyDescent="0.25">
      <c r="A11" t="s">
        <v>11748</v>
      </c>
      <c r="B11" s="136">
        <v>6220105.9199999999</v>
      </c>
      <c r="C11" s="136"/>
      <c r="D11" s="136"/>
    </row>
    <row r="12" spans="1:4" x14ac:dyDescent="0.25">
      <c r="A12" t="s">
        <v>7442</v>
      </c>
      <c r="B12" s="136">
        <v>38349239.659999996</v>
      </c>
      <c r="C12" s="136"/>
      <c r="D12" s="136"/>
    </row>
    <row r="13" spans="1:4" x14ac:dyDescent="0.25">
      <c r="A13" t="s">
        <v>11749</v>
      </c>
      <c r="B13" s="136">
        <v>5526378.29</v>
      </c>
      <c r="C13" s="136"/>
      <c r="D13" s="136"/>
    </row>
    <row r="14" spans="1:4" x14ac:dyDescent="0.25">
      <c r="A14" t="s">
        <v>11655</v>
      </c>
      <c r="B14" s="136">
        <v>20179286.600000001</v>
      </c>
      <c r="C14" s="136"/>
      <c r="D14" s="136"/>
    </row>
    <row r="15" spans="1:4" x14ac:dyDescent="0.25">
      <c r="A15" t="s">
        <v>11750</v>
      </c>
      <c r="B15" s="136">
        <v>2173743.37</v>
      </c>
      <c r="C15" s="136"/>
      <c r="D15" s="136"/>
    </row>
    <row r="16" spans="1:4" x14ac:dyDescent="0.25">
      <c r="B16" s="136">
        <v>446117245.02999997</v>
      </c>
      <c r="C16" s="136"/>
      <c r="D16" s="136"/>
    </row>
    <row r="17" spans="2:4" x14ac:dyDescent="0.25">
      <c r="B17" s="136"/>
      <c r="C17" s="136"/>
      <c r="D17" s="136"/>
    </row>
    <row r="18" spans="2:4" x14ac:dyDescent="0.25">
      <c r="B18" s="136"/>
      <c r="C18" s="136"/>
      <c r="D18" s="136"/>
    </row>
    <row r="19" spans="2:4" x14ac:dyDescent="0.25">
      <c r="B19" s="136"/>
      <c r="C19" s="136"/>
      <c r="D19" s="136"/>
    </row>
    <row r="20" spans="2:4" x14ac:dyDescent="0.25">
      <c r="B20" s="136"/>
      <c r="C20" s="136"/>
      <c r="D20" s="136"/>
    </row>
    <row r="21" spans="2:4" x14ac:dyDescent="0.25">
      <c r="B21" s="136"/>
      <c r="C21" s="136"/>
      <c r="D21" s="136"/>
    </row>
    <row r="22" spans="2:4" x14ac:dyDescent="0.25">
      <c r="B22" s="136"/>
      <c r="C22" s="136"/>
      <c r="D22" s="136"/>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983"/>
  <sheetViews>
    <sheetView tabSelected="1" topLeftCell="D1" zoomScale="110" zoomScaleNormal="110" workbookViewId="0">
      <pane ySplit="1" topLeftCell="A5978" activePane="bottomLeft" state="frozen"/>
      <selection pane="bottomLeft" activeCell="M1" sqref="M1"/>
    </sheetView>
  </sheetViews>
  <sheetFormatPr defaultRowHeight="12.75" x14ac:dyDescent="0.25"/>
  <cols>
    <col min="1" max="1" width="41.7109375" style="13" customWidth="1"/>
    <col min="2" max="2" width="22.7109375" style="13" customWidth="1"/>
    <col min="3" max="3" width="12.28515625" style="20" customWidth="1"/>
    <col min="4" max="4" width="15.140625" style="19" customWidth="1"/>
    <col min="5" max="5" width="39" style="13" customWidth="1"/>
    <col min="6" max="6" width="15.140625" style="13" customWidth="1"/>
    <col min="7" max="7" width="14.140625" style="13" customWidth="1"/>
    <col min="8" max="8" width="14.5703125" style="13" customWidth="1"/>
    <col min="9" max="9" width="18.85546875" style="13" customWidth="1"/>
    <col min="10" max="10" width="18" style="13" customWidth="1"/>
    <col min="11" max="11" width="12.28515625" style="20" customWidth="1"/>
    <col min="12" max="12" width="20.7109375" style="120" customWidth="1"/>
    <col min="13" max="13" width="18.5703125" style="13" customWidth="1"/>
    <col min="14" max="14" width="24.42578125" style="13" customWidth="1"/>
    <col min="15" max="16384" width="9.140625" style="13"/>
  </cols>
  <sheetData>
    <row r="1" spans="1:13" s="4" customFormat="1" ht="63.75" x14ac:dyDescent="0.25">
      <c r="A1" s="1" t="s">
        <v>0</v>
      </c>
      <c r="B1" s="1" t="s">
        <v>1</v>
      </c>
      <c r="C1" s="111" t="s">
        <v>2</v>
      </c>
      <c r="D1" s="1" t="s">
        <v>3</v>
      </c>
      <c r="E1" s="1" t="s">
        <v>4</v>
      </c>
      <c r="F1" s="1" t="s">
        <v>5</v>
      </c>
      <c r="G1" s="1" t="s">
        <v>6</v>
      </c>
      <c r="H1" s="1" t="s">
        <v>7</v>
      </c>
      <c r="I1" s="2" t="s">
        <v>8</v>
      </c>
      <c r="J1" s="2" t="s">
        <v>9</v>
      </c>
      <c r="K1" s="111" t="s">
        <v>10</v>
      </c>
      <c r="L1" s="118" t="s">
        <v>11</v>
      </c>
      <c r="M1" s="160" t="s">
        <v>11781</v>
      </c>
    </row>
    <row r="2" spans="1:13" s="4" customFormat="1" ht="48.75" customHeight="1" x14ac:dyDescent="0.25">
      <c r="A2" s="4" t="s">
        <v>12</v>
      </c>
      <c r="B2" s="4" t="s">
        <v>13</v>
      </c>
      <c r="C2" s="37" t="s">
        <v>17</v>
      </c>
      <c r="D2" s="35">
        <v>3605</v>
      </c>
      <c r="E2" s="4" t="s">
        <v>15</v>
      </c>
      <c r="F2" s="5">
        <v>39562</v>
      </c>
      <c r="G2" s="5">
        <v>39721</v>
      </c>
      <c r="H2" s="4" t="s">
        <v>16</v>
      </c>
      <c r="I2" s="6">
        <v>10863</v>
      </c>
      <c r="J2" s="6">
        <v>2700</v>
      </c>
      <c r="K2" s="37" t="s">
        <v>17</v>
      </c>
      <c r="L2" s="119"/>
      <c r="M2" s="3"/>
    </row>
    <row r="3" spans="1:13" s="4" customFormat="1" ht="96.75" customHeight="1" x14ac:dyDescent="0.25">
      <c r="A3" s="4" t="s">
        <v>18</v>
      </c>
      <c r="B3" s="4" t="s">
        <v>13</v>
      </c>
      <c r="C3" s="37" t="s">
        <v>17</v>
      </c>
      <c r="D3" s="35">
        <v>3606</v>
      </c>
      <c r="E3" s="7" t="s">
        <v>19</v>
      </c>
      <c r="F3" s="5">
        <v>39380</v>
      </c>
      <c r="G3" s="5">
        <v>39507</v>
      </c>
      <c r="H3" s="4" t="s">
        <v>16</v>
      </c>
      <c r="I3" s="6">
        <v>10389</v>
      </c>
      <c r="J3" s="6">
        <v>3116.7</v>
      </c>
      <c r="K3" s="37" t="s">
        <v>17</v>
      </c>
      <c r="L3" s="119"/>
      <c r="M3" s="3"/>
    </row>
    <row r="4" spans="1:13" s="4" customFormat="1" ht="99" customHeight="1" x14ac:dyDescent="0.25">
      <c r="A4" s="4" t="s">
        <v>20</v>
      </c>
      <c r="B4" s="4" t="s">
        <v>13</v>
      </c>
      <c r="C4" s="37" t="s">
        <v>17</v>
      </c>
      <c r="D4" s="35">
        <v>3607</v>
      </c>
      <c r="E4" s="7" t="s">
        <v>21</v>
      </c>
      <c r="F4" s="5">
        <v>39342</v>
      </c>
      <c r="G4" s="5">
        <v>39624</v>
      </c>
      <c r="H4" s="4" t="s">
        <v>16</v>
      </c>
      <c r="I4" s="6">
        <v>58950</v>
      </c>
      <c r="J4" s="6">
        <v>15000</v>
      </c>
      <c r="K4" s="37" t="s">
        <v>17</v>
      </c>
      <c r="L4" s="119"/>
      <c r="M4" s="3"/>
    </row>
    <row r="5" spans="1:13" s="4" customFormat="1" ht="25.5" x14ac:dyDescent="0.25">
      <c r="A5" s="4" t="s">
        <v>22</v>
      </c>
      <c r="B5" s="4" t="s">
        <v>13</v>
      </c>
      <c r="C5" s="37" t="s">
        <v>17</v>
      </c>
      <c r="D5" s="35">
        <v>3619</v>
      </c>
      <c r="E5" s="4" t="s">
        <v>23</v>
      </c>
      <c r="F5" s="5">
        <v>39583</v>
      </c>
      <c r="G5" s="5">
        <v>39721</v>
      </c>
      <c r="H5" s="4" t="s">
        <v>16</v>
      </c>
      <c r="I5" s="6">
        <v>274534.5</v>
      </c>
      <c r="J5" s="6">
        <v>54000</v>
      </c>
      <c r="K5" s="37" t="s">
        <v>17</v>
      </c>
      <c r="L5" s="119"/>
      <c r="M5" s="3"/>
    </row>
    <row r="6" spans="1:13" s="4" customFormat="1" ht="76.5" x14ac:dyDescent="0.25">
      <c r="A6" s="4" t="s">
        <v>24</v>
      </c>
      <c r="B6" s="4" t="s">
        <v>13</v>
      </c>
      <c r="C6" s="37" t="s">
        <v>17</v>
      </c>
      <c r="D6" s="35">
        <v>3625</v>
      </c>
      <c r="E6" s="4" t="s">
        <v>25</v>
      </c>
      <c r="F6" s="5">
        <v>39206</v>
      </c>
      <c r="G6" s="5">
        <v>39508</v>
      </c>
      <c r="H6" s="4" t="s">
        <v>16</v>
      </c>
      <c r="I6" s="6">
        <v>73940</v>
      </c>
      <c r="J6" s="6">
        <v>15000</v>
      </c>
      <c r="K6" s="37" t="s">
        <v>17</v>
      </c>
      <c r="L6" s="119"/>
      <c r="M6" s="3"/>
    </row>
    <row r="7" spans="1:13" s="4" customFormat="1" x14ac:dyDescent="0.25">
      <c r="A7" s="4" t="s">
        <v>26</v>
      </c>
      <c r="B7" s="4" t="s">
        <v>13</v>
      </c>
      <c r="C7" s="37" t="s">
        <v>17</v>
      </c>
      <c r="D7" s="35">
        <v>3626</v>
      </c>
      <c r="E7" s="4" t="s">
        <v>27</v>
      </c>
      <c r="F7" s="5">
        <v>39636</v>
      </c>
      <c r="G7" s="5">
        <v>39791</v>
      </c>
      <c r="H7" s="4" t="s">
        <v>16</v>
      </c>
      <c r="I7" s="6">
        <v>194215.4</v>
      </c>
      <c r="J7" s="6">
        <v>50970</v>
      </c>
      <c r="K7" s="37" t="s">
        <v>17</v>
      </c>
      <c r="L7" s="119"/>
      <c r="M7" s="3"/>
    </row>
    <row r="8" spans="1:13" s="4" customFormat="1" ht="63.75" x14ac:dyDescent="0.25">
      <c r="A8" s="4" t="s">
        <v>28</v>
      </c>
      <c r="B8" s="4" t="s">
        <v>13</v>
      </c>
      <c r="C8" s="37" t="s">
        <v>17</v>
      </c>
      <c r="D8" s="35">
        <v>3638</v>
      </c>
      <c r="E8" s="4" t="s">
        <v>29</v>
      </c>
      <c r="F8" s="5">
        <v>39694</v>
      </c>
      <c r="G8" s="5">
        <v>39933</v>
      </c>
      <c r="H8" s="4" t="s">
        <v>16</v>
      </c>
      <c r="I8" s="6">
        <v>62037</v>
      </c>
      <c r="J8" s="6">
        <v>18611.099999999999</v>
      </c>
      <c r="K8" s="37" t="s">
        <v>17</v>
      </c>
      <c r="L8" s="119"/>
      <c r="M8" s="3"/>
    </row>
    <row r="9" spans="1:13" s="4" customFormat="1" ht="51" x14ac:dyDescent="0.25">
      <c r="A9" s="4" t="s">
        <v>30</v>
      </c>
      <c r="B9" s="4" t="s">
        <v>13</v>
      </c>
      <c r="C9" s="37" t="s">
        <v>17</v>
      </c>
      <c r="D9" s="35">
        <v>3639</v>
      </c>
      <c r="E9" s="4" t="s">
        <v>31</v>
      </c>
      <c r="F9" s="5">
        <v>39832</v>
      </c>
      <c r="G9" s="5">
        <v>39994</v>
      </c>
      <c r="H9" s="4" t="s">
        <v>16</v>
      </c>
      <c r="I9" s="6">
        <v>7034.2</v>
      </c>
      <c r="J9" s="6">
        <v>2110.2600000000002</v>
      </c>
      <c r="K9" s="37" t="s">
        <v>17</v>
      </c>
      <c r="L9" s="119"/>
      <c r="M9" s="3"/>
    </row>
    <row r="10" spans="1:13" s="4" customFormat="1" ht="25.5" x14ac:dyDescent="0.25">
      <c r="A10" s="4" t="s">
        <v>32</v>
      </c>
      <c r="B10" s="4" t="s">
        <v>13</v>
      </c>
      <c r="C10" s="37" t="s">
        <v>17</v>
      </c>
      <c r="D10" s="35">
        <v>10046</v>
      </c>
      <c r="E10" s="4" t="s">
        <v>33</v>
      </c>
      <c r="F10" s="5">
        <v>40470</v>
      </c>
      <c r="G10" s="5">
        <v>40533</v>
      </c>
      <c r="H10" s="4" t="s">
        <v>16</v>
      </c>
      <c r="I10" s="6">
        <v>9614.6</v>
      </c>
      <c r="J10" s="6">
        <v>2884.2</v>
      </c>
      <c r="K10" s="37" t="s">
        <v>17</v>
      </c>
      <c r="L10" s="119"/>
      <c r="M10" s="3"/>
    </row>
    <row r="11" spans="1:13" s="4" customFormat="1" x14ac:dyDescent="0.25">
      <c r="A11" s="4" t="s">
        <v>32</v>
      </c>
      <c r="B11" s="4" t="s">
        <v>13</v>
      </c>
      <c r="C11" s="37" t="s">
        <v>17</v>
      </c>
      <c r="D11" s="35">
        <v>10052</v>
      </c>
      <c r="E11" s="4" t="s">
        <v>34</v>
      </c>
      <c r="F11" s="5">
        <v>40448</v>
      </c>
      <c r="G11" s="5">
        <v>40513</v>
      </c>
      <c r="H11" s="4" t="s">
        <v>16</v>
      </c>
      <c r="I11" s="6">
        <v>18010</v>
      </c>
      <c r="J11" s="6">
        <v>5403</v>
      </c>
      <c r="K11" s="37" t="s">
        <v>17</v>
      </c>
      <c r="L11" s="119"/>
      <c r="M11" s="3"/>
    </row>
    <row r="12" spans="1:13" s="4" customFormat="1" ht="25.5" x14ac:dyDescent="0.25">
      <c r="A12" s="4" t="s">
        <v>35</v>
      </c>
      <c r="B12" s="4" t="s">
        <v>13</v>
      </c>
      <c r="C12" s="37" t="s">
        <v>17</v>
      </c>
      <c r="D12" s="35">
        <v>10214</v>
      </c>
      <c r="E12" s="4" t="s">
        <v>36</v>
      </c>
      <c r="F12" s="5">
        <v>40470</v>
      </c>
      <c r="G12" s="5">
        <v>40598</v>
      </c>
      <c r="H12" s="4" t="s">
        <v>16</v>
      </c>
      <c r="I12" s="6">
        <v>7800</v>
      </c>
      <c r="J12" s="6">
        <v>2340</v>
      </c>
      <c r="K12" s="37" t="s">
        <v>17</v>
      </c>
      <c r="L12" s="119"/>
      <c r="M12" s="3"/>
    </row>
    <row r="13" spans="1:13" s="4" customFormat="1" ht="51" x14ac:dyDescent="0.25">
      <c r="A13" s="4" t="s">
        <v>37</v>
      </c>
      <c r="B13" s="4" t="s">
        <v>38</v>
      </c>
      <c r="C13" s="37" t="s">
        <v>17</v>
      </c>
      <c r="D13" s="35">
        <v>388</v>
      </c>
      <c r="E13" s="4" t="s">
        <v>39</v>
      </c>
      <c r="F13" s="5">
        <v>40179</v>
      </c>
      <c r="G13" s="5">
        <v>41639</v>
      </c>
      <c r="H13" s="4" t="s">
        <v>40</v>
      </c>
      <c r="I13" s="6">
        <v>255712.4</v>
      </c>
      <c r="J13" s="6">
        <v>255712.4</v>
      </c>
      <c r="K13" s="37" t="s">
        <v>17</v>
      </c>
      <c r="L13" s="119"/>
      <c r="M13" s="3"/>
    </row>
    <row r="14" spans="1:13" s="4" customFormat="1" ht="51" x14ac:dyDescent="0.25">
      <c r="A14" s="4" t="s">
        <v>41</v>
      </c>
      <c r="B14" s="4" t="s">
        <v>38</v>
      </c>
      <c r="C14" s="37" t="s">
        <v>17</v>
      </c>
      <c r="D14" s="35">
        <v>914</v>
      </c>
      <c r="E14" s="4" t="s">
        <v>42</v>
      </c>
      <c r="F14" s="5">
        <v>39083</v>
      </c>
      <c r="G14" s="5">
        <v>39813</v>
      </c>
      <c r="H14" s="4" t="s">
        <v>40</v>
      </c>
      <c r="I14" s="6">
        <v>73853.63</v>
      </c>
      <c r="J14" s="6">
        <v>73853.63</v>
      </c>
      <c r="K14" s="37" t="s">
        <v>17</v>
      </c>
      <c r="L14" s="119"/>
      <c r="M14" s="3"/>
    </row>
    <row r="15" spans="1:13" s="4" customFormat="1" ht="25.5" x14ac:dyDescent="0.25">
      <c r="A15" s="4" t="s">
        <v>43</v>
      </c>
      <c r="B15" s="4" t="s">
        <v>38</v>
      </c>
      <c r="C15" s="37" t="s">
        <v>17</v>
      </c>
      <c r="D15" s="35">
        <v>915</v>
      </c>
      <c r="E15" s="4" t="s">
        <v>44</v>
      </c>
      <c r="F15" s="5">
        <v>39083</v>
      </c>
      <c r="G15" s="5">
        <v>39813</v>
      </c>
      <c r="H15" s="4" t="s">
        <v>40</v>
      </c>
      <c r="I15" s="6">
        <v>169094.62</v>
      </c>
      <c r="J15" s="6">
        <v>169094.62</v>
      </c>
      <c r="K15" s="37" t="s">
        <v>17</v>
      </c>
      <c r="L15" s="119"/>
      <c r="M15" s="3"/>
    </row>
    <row r="16" spans="1:13" s="4" customFormat="1" ht="25.5" x14ac:dyDescent="0.25">
      <c r="A16" s="4" t="s">
        <v>45</v>
      </c>
      <c r="B16" s="4" t="s">
        <v>38</v>
      </c>
      <c r="C16" s="37" t="s">
        <v>17</v>
      </c>
      <c r="D16" s="35">
        <v>916</v>
      </c>
      <c r="E16" s="4" t="s">
        <v>46</v>
      </c>
      <c r="F16" s="5">
        <v>40179</v>
      </c>
      <c r="G16" s="5">
        <v>41639</v>
      </c>
      <c r="H16" s="4" t="s">
        <v>40</v>
      </c>
      <c r="I16" s="6">
        <v>123312.07</v>
      </c>
      <c r="J16" s="6">
        <v>123312.07</v>
      </c>
      <c r="K16" s="37" t="s">
        <v>17</v>
      </c>
      <c r="L16" s="119"/>
      <c r="M16" s="3"/>
    </row>
    <row r="17" spans="1:13" s="4" customFormat="1" ht="114.75" x14ac:dyDescent="0.25">
      <c r="A17" s="4" t="s">
        <v>47</v>
      </c>
      <c r="B17" s="4" t="s">
        <v>38</v>
      </c>
      <c r="C17" s="37" t="s">
        <v>17</v>
      </c>
      <c r="D17" s="35">
        <v>956</v>
      </c>
      <c r="E17" s="7" t="s">
        <v>48</v>
      </c>
      <c r="F17" s="5">
        <v>39083</v>
      </c>
      <c r="G17" s="5">
        <v>39813</v>
      </c>
      <c r="H17" s="4" t="s">
        <v>40</v>
      </c>
      <c r="I17" s="6">
        <v>91062.57</v>
      </c>
      <c r="J17" s="6">
        <v>91062.57</v>
      </c>
      <c r="K17" s="37" t="s">
        <v>17</v>
      </c>
      <c r="L17" s="119"/>
      <c r="M17" s="3"/>
    </row>
    <row r="18" spans="1:13" s="4" customFormat="1" ht="25.5" x14ac:dyDescent="0.25">
      <c r="A18" s="4" t="s">
        <v>49</v>
      </c>
      <c r="B18" s="4" t="s">
        <v>50</v>
      </c>
      <c r="C18" s="37" t="s">
        <v>17</v>
      </c>
      <c r="D18" s="35">
        <v>1020</v>
      </c>
      <c r="E18" s="4" t="s">
        <v>51</v>
      </c>
      <c r="F18" s="5">
        <v>39132</v>
      </c>
      <c r="G18" s="5">
        <v>39435</v>
      </c>
      <c r="H18" s="4" t="s">
        <v>40</v>
      </c>
      <c r="I18" s="6">
        <v>47641.24</v>
      </c>
      <c r="J18" s="6">
        <v>23820.62</v>
      </c>
      <c r="K18" s="37" t="s">
        <v>17</v>
      </c>
      <c r="L18" s="119"/>
      <c r="M18" s="3"/>
    </row>
    <row r="19" spans="1:13" s="4" customFormat="1" ht="51" x14ac:dyDescent="0.25">
      <c r="A19" s="4" t="s">
        <v>52</v>
      </c>
      <c r="B19" s="4" t="s">
        <v>50</v>
      </c>
      <c r="C19" s="37" t="s">
        <v>17</v>
      </c>
      <c r="D19" s="35">
        <v>1023</v>
      </c>
      <c r="E19" s="4" t="s">
        <v>53</v>
      </c>
      <c r="F19" s="5">
        <v>39132</v>
      </c>
      <c r="G19" s="5">
        <v>39287</v>
      </c>
      <c r="H19" s="4" t="s">
        <v>40</v>
      </c>
      <c r="I19" s="6">
        <v>60000</v>
      </c>
      <c r="J19" s="6">
        <v>30000</v>
      </c>
      <c r="K19" s="37" t="s">
        <v>17</v>
      </c>
      <c r="L19" s="119"/>
      <c r="M19" s="3"/>
    </row>
    <row r="20" spans="1:13" s="4" customFormat="1" ht="51" x14ac:dyDescent="0.25">
      <c r="A20" s="4" t="s">
        <v>56</v>
      </c>
      <c r="B20" s="4" t="s">
        <v>50</v>
      </c>
      <c r="C20" s="37" t="s">
        <v>17</v>
      </c>
      <c r="D20" s="35">
        <v>1042</v>
      </c>
      <c r="E20" s="4" t="s">
        <v>57</v>
      </c>
      <c r="F20" s="5">
        <v>39132</v>
      </c>
      <c r="G20" s="5">
        <v>39385</v>
      </c>
      <c r="H20" s="4" t="s">
        <v>40</v>
      </c>
      <c r="I20" s="6">
        <v>26312</v>
      </c>
      <c r="J20" s="6">
        <v>13156</v>
      </c>
      <c r="K20" s="37" t="s">
        <v>17</v>
      </c>
      <c r="L20" s="119"/>
      <c r="M20" s="3"/>
    </row>
    <row r="21" spans="1:13" s="4" customFormat="1" ht="63.75" x14ac:dyDescent="0.25">
      <c r="A21" s="4" t="s">
        <v>58</v>
      </c>
      <c r="B21" s="4" t="s">
        <v>59</v>
      </c>
      <c r="C21" s="37" t="s">
        <v>17</v>
      </c>
      <c r="D21" s="35">
        <v>1046</v>
      </c>
      <c r="E21" s="4" t="s">
        <v>60</v>
      </c>
      <c r="F21" s="5">
        <v>39343</v>
      </c>
      <c r="G21" s="5"/>
      <c r="H21" s="4" t="s">
        <v>40</v>
      </c>
      <c r="I21" s="6">
        <v>7000</v>
      </c>
      <c r="J21" s="6">
        <v>7000</v>
      </c>
      <c r="K21" s="37" t="s">
        <v>17</v>
      </c>
      <c r="L21" s="119"/>
      <c r="M21" s="3"/>
    </row>
    <row r="22" spans="1:13" s="4" customFormat="1" ht="63.75" x14ac:dyDescent="0.25">
      <c r="A22" s="4" t="s">
        <v>61</v>
      </c>
      <c r="B22" s="4" t="s">
        <v>50</v>
      </c>
      <c r="C22" s="37" t="s">
        <v>17</v>
      </c>
      <c r="D22" s="35">
        <v>1503</v>
      </c>
      <c r="E22" s="4" t="s">
        <v>62</v>
      </c>
      <c r="F22" s="5">
        <v>39132</v>
      </c>
      <c r="G22" s="4">
        <v>39328</v>
      </c>
      <c r="H22" s="4" t="s">
        <v>40</v>
      </c>
      <c r="I22" s="6">
        <v>35288</v>
      </c>
      <c r="J22" s="6">
        <v>17644</v>
      </c>
      <c r="K22" s="37" t="s">
        <v>17</v>
      </c>
      <c r="L22" s="119"/>
      <c r="M22" s="3"/>
    </row>
    <row r="23" spans="1:13" s="4" customFormat="1" ht="102" x14ac:dyDescent="0.25">
      <c r="A23" s="4" t="s">
        <v>63</v>
      </c>
      <c r="B23" s="4" t="s">
        <v>59</v>
      </c>
      <c r="C23" s="37" t="s">
        <v>17</v>
      </c>
      <c r="D23" s="35">
        <v>1514</v>
      </c>
      <c r="E23" s="4" t="s">
        <v>64</v>
      </c>
      <c r="F23" s="5">
        <v>39343</v>
      </c>
      <c r="G23" s="5">
        <v>39709</v>
      </c>
      <c r="H23" s="4" t="s">
        <v>40</v>
      </c>
      <c r="I23" s="6">
        <v>14000</v>
      </c>
      <c r="J23" s="6">
        <v>14000</v>
      </c>
      <c r="K23" s="37" t="s">
        <v>17</v>
      </c>
      <c r="L23" s="119"/>
      <c r="M23" s="3"/>
    </row>
    <row r="24" spans="1:13" s="4" customFormat="1" ht="102" x14ac:dyDescent="0.25">
      <c r="A24" s="4" t="s">
        <v>65</v>
      </c>
      <c r="B24" s="4" t="s">
        <v>50</v>
      </c>
      <c r="C24" s="37" t="s">
        <v>17</v>
      </c>
      <c r="D24" s="35">
        <v>1532</v>
      </c>
      <c r="E24" s="7" t="s">
        <v>66</v>
      </c>
      <c r="F24" s="5">
        <v>39490</v>
      </c>
      <c r="G24" s="5">
        <v>39797</v>
      </c>
      <c r="H24" s="4" t="s">
        <v>40</v>
      </c>
      <c r="I24" s="6">
        <v>39685.18</v>
      </c>
      <c r="J24" s="6">
        <v>19842.59</v>
      </c>
      <c r="K24" s="37" t="s">
        <v>17</v>
      </c>
      <c r="L24" s="119"/>
      <c r="M24" s="3"/>
    </row>
    <row r="25" spans="1:13" s="4" customFormat="1" ht="51" x14ac:dyDescent="0.25">
      <c r="A25" s="4" t="s">
        <v>67</v>
      </c>
      <c r="B25" s="4" t="s">
        <v>59</v>
      </c>
      <c r="C25" s="37" t="s">
        <v>17</v>
      </c>
      <c r="D25" s="35">
        <v>1540</v>
      </c>
      <c r="E25" s="7" t="s">
        <v>68</v>
      </c>
      <c r="F25" s="5">
        <v>39261</v>
      </c>
      <c r="G25" s="5">
        <v>39533</v>
      </c>
      <c r="H25" s="4" t="s">
        <v>40</v>
      </c>
      <c r="I25" s="6">
        <v>5000</v>
      </c>
      <c r="J25" s="6">
        <v>5000</v>
      </c>
      <c r="K25" s="37" t="s">
        <v>17</v>
      </c>
      <c r="L25" s="119"/>
      <c r="M25" s="3"/>
    </row>
    <row r="26" spans="1:13" s="4" customFormat="1" ht="25.5" x14ac:dyDescent="0.25">
      <c r="A26" s="4" t="s">
        <v>69</v>
      </c>
      <c r="B26" s="4" t="s">
        <v>59</v>
      </c>
      <c r="C26" s="37" t="s">
        <v>17</v>
      </c>
      <c r="D26" s="35">
        <v>1542</v>
      </c>
      <c r="E26" s="4" t="s">
        <v>70</v>
      </c>
      <c r="F26" s="5">
        <v>39490</v>
      </c>
      <c r="G26" s="5">
        <v>39734</v>
      </c>
      <c r="H26" s="4" t="s">
        <v>40</v>
      </c>
      <c r="I26" s="6">
        <v>5000</v>
      </c>
      <c r="J26" s="6">
        <v>5000</v>
      </c>
      <c r="K26" s="37" t="s">
        <v>17</v>
      </c>
      <c r="L26" s="119"/>
      <c r="M26" s="3"/>
    </row>
    <row r="27" spans="1:13" s="4" customFormat="1" x14ac:dyDescent="0.25">
      <c r="A27" s="4" t="s">
        <v>71</v>
      </c>
      <c r="B27" s="4" t="s">
        <v>59</v>
      </c>
      <c r="C27" s="37" t="s">
        <v>17</v>
      </c>
      <c r="D27" s="35">
        <v>1546</v>
      </c>
      <c r="E27" s="4" t="s">
        <v>72</v>
      </c>
      <c r="F27" s="5">
        <v>39343</v>
      </c>
      <c r="G27" s="5">
        <v>39567</v>
      </c>
      <c r="H27" s="4" t="s">
        <v>40</v>
      </c>
      <c r="I27" s="6">
        <v>5000</v>
      </c>
      <c r="J27" s="6">
        <v>5000</v>
      </c>
      <c r="K27" s="37" t="s">
        <v>17</v>
      </c>
      <c r="L27" s="119"/>
      <c r="M27" s="3"/>
    </row>
    <row r="28" spans="1:13" s="4" customFormat="1" x14ac:dyDescent="0.25">
      <c r="A28" s="4" t="s">
        <v>73</v>
      </c>
      <c r="B28" s="4" t="s">
        <v>59</v>
      </c>
      <c r="C28" s="37" t="s">
        <v>17</v>
      </c>
      <c r="D28" s="35">
        <v>1547</v>
      </c>
      <c r="E28" s="4" t="s">
        <v>74</v>
      </c>
      <c r="F28" s="5">
        <v>39654</v>
      </c>
      <c r="G28" s="5">
        <v>39681</v>
      </c>
      <c r="H28" s="4" t="s">
        <v>40</v>
      </c>
      <c r="I28" s="6">
        <v>3000</v>
      </c>
      <c r="J28" s="6">
        <v>3000</v>
      </c>
      <c r="K28" s="37" t="s">
        <v>17</v>
      </c>
      <c r="L28" s="119"/>
      <c r="M28" s="3"/>
    </row>
    <row r="29" spans="1:13" s="4" customFormat="1" ht="38.25" x14ac:dyDescent="0.25">
      <c r="A29" s="4" t="s">
        <v>75</v>
      </c>
      <c r="B29" s="4" t="s">
        <v>50</v>
      </c>
      <c r="C29" s="37" t="s">
        <v>17</v>
      </c>
      <c r="D29" s="35">
        <v>1554</v>
      </c>
      <c r="E29" s="4" t="s">
        <v>76</v>
      </c>
      <c r="F29" s="5">
        <v>39184</v>
      </c>
      <c r="G29" s="5">
        <v>39435</v>
      </c>
      <c r="H29" s="4" t="s">
        <v>40</v>
      </c>
      <c r="I29" s="6">
        <v>30000</v>
      </c>
      <c r="J29" s="6">
        <v>15000</v>
      </c>
      <c r="K29" s="37" t="s">
        <v>17</v>
      </c>
      <c r="L29" s="119"/>
      <c r="M29" s="3"/>
    </row>
    <row r="30" spans="1:13" s="4" customFormat="1" ht="51" x14ac:dyDescent="0.25">
      <c r="A30" s="4" t="s">
        <v>79</v>
      </c>
      <c r="B30" s="4" t="s">
        <v>59</v>
      </c>
      <c r="C30" s="37" t="s">
        <v>17</v>
      </c>
      <c r="D30" s="35">
        <v>1569</v>
      </c>
      <c r="E30" s="4" t="s">
        <v>80</v>
      </c>
      <c r="F30" s="5">
        <v>39184</v>
      </c>
      <c r="G30" s="5">
        <v>39688</v>
      </c>
      <c r="H30" s="4" t="s">
        <v>40</v>
      </c>
      <c r="I30" s="6">
        <v>2884</v>
      </c>
      <c r="J30" s="6">
        <v>2884</v>
      </c>
      <c r="K30" s="37" t="s">
        <v>17</v>
      </c>
      <c r="L30" s="119"/>
      <c r="M30" s="3"/>
    </row>
    <row r="31" spans="1:13" s="4" customFormat="1" x14ac:dyDescent="0.25">
      <c r="A31" s="4" t="s">
        <v>81</v>
      </c>
      <c r="B31" s="4" t="s">
        <v>59</v>
      </c>
      <c r="C31" s="37" t="s">
        <v>17</v>
      </c>
      <c r="D31" s="35">
        <v>1577</v>
      </c>
      <c r="E31" s="4" t="s">
        <v>82</v>
      </c>
      <c r="F31" s="5">
        <v>39490</v>
      </c>
      <c r="G31" s="5">
        <v>39856</v>
      </c>
      <c r="H31" s="4" t="s">
        <v>40</v>
      </c>
      <c r="I31" s="6">
        <v>3000</v>
      </c>
      <c r="J31" s="6">
        <v>3000</v>
      </c>
      <c r="K31" s="37" t="s">
        <v>17</v>
      </c>
      <c r="L31" s="119"/>
      <c r="M31" s="3"/>
    </row>
    <row r="32" spans="1:13" s="4" customFormat="1" ht="38.25" x14ac:dyDescent="0.25">
      <c r="A32" s="4" t="s">
        <v>83</v>
      </c>
      <c r="B32" s="4" t="s">
        <v>59</v>
      </c>
      <c r="C32" s="37" t="s">
        <v>17</v>
      </c>
      <c r="D32" s="35">
        <v>1600</v>
      </c>
      <c r="E32" s="4" t="s">
        <v>84</v>
      </c>
      <c r="F32" s="5">
        <v>39490</v>
      </c>
      <c r="G32" s="5">
        <v>39856</v>
      </c>
      <c r="H32" s="4" t="s">
        <v>40</v>
      </c>
      <c r="I32" s="6">
        <v>10000</v>
      </c>
      <c r="J32" s="6">
        <v>10000</v>
      </c>
      <c r="K32" s="37" t="s">
        <v>17</v>
      </c>
      <c r="L32" s="119"/>
      <c r="M32" s="3"/>
    </row>
    <row r="33" spans="1:13" s="4" customFormat="1" x14ac:dyDescent="0.25">
      <c r="A33" s="4" t="s">
        <v>85</v>
      </c>
      <c r="B33" s="4" t="s">
        <v>59</v>
      </c>
      <c r="C33" s="37" t="s">
        <v>17</v>
      </c>
      <c r="D33" s="35">
        <v>1642</v>
      </c>
      <c r="E33" s="4" t="s">
        <v>86</v>
      </c>
      <c r="F33" s="5">
        <v>39490</v>
      </c>
      <c r="G33" s="5">
        <v>39791</v>
      </c>
      <c r="H33" s="4" t="s">
        <v>40</v>
      </c>
      <c r="I33" s="6">
        <v>9000</v>
      </c>
      <c r="J33" s="6">
        <v>9000</v>
      </c>
      <c r="K33" s="37" t="s">
        <v>17</v>
      </c>
      <c r="L33" s="119"/>
      <c r="M33" s="3"/>
    </row>
    <row r="34" spans="1:13" s="4" customFormat="1" ht="38.25" x14ac:dyDescent="0.25">
      <c r="A34" s="4" t="s">
        <v>87</v>
      </c>
      <c r="B34" s="4" t="s">
        <v>50</v>
      </c>
      <c r="C34" s="37" t="s">
        <v>17</v>
      </c>
      <c r="D34" s="35">
        <v>1643</v>
      </c>
      <c r="E34" s="4" t="s">
        <v>88</v>
      </c>
      <c r="F34" s="5">
        <v>39343</v>
      </c>
      <c r="G34" s="5">
        <v>39645</v>
      </c>
      <c r="H34" s="4" t="s">
        <v>40</v>
      </c>
      <c r="I34" s="6">
        <v>20000</v>
      </c>
      <c r="J34" s="6">
        <v>10000</v>
      </c>
      <c r="K34" s="37" t="s">
        <v>17</v>
      </c>
      <c r="L34" s="119"/>
      <c r="M34" s="3"/>
    </row>
    <row r="35" spans="1:13" s="4" customFormat="1" ht="38.25" x14ac:dyDescent="0.25">
      <c r="A35" s="4" t="s">
        <v>89</v>
      </c>
      <c r="B35" s="4" t="s">
        <v>90</v>
      </c>
      <c r="C35" s="37" t="s">
        <v>17</v>
      </c>
      <c r="D35" s="35">
        <v>1644</v>
      </c>
      <c r="E35" s="4" t="s">
        <v>91</v>
      </c>
      <c r="F35" s="5">
        <v>39490</v>
      </c>
      <c r="G35" s="5">
        <v>39668</v>
      </c>
      <c r="H35" s="4" t="s">
        <v>40</v>
      </c>
      <c r="I35" s="6">
        <v>5093.96</v>
      </c>
      <c r="J35" s="6">
        <v>2546.98</v>
      </c>
      <c r="K35" s="37" t="s">
        <v>17</v>
      </c>
      <c r="L35" s="119"/>
      <c r="M35" s="3"/>
    </row>
    <row r="36" spans="1:13" s="4" customFormat="1" x14ac:dyDescent="0.25">
      <c r="A36" s="4" t="s">
        <v>92</v>
      </c>
      <c r="B36" s="4" t="s">
        <v>59</v>
      </c>
      <c r="C36" s="37" t="s">
        <v>17</v>
      </c>
      <c r="D36" s="35">
        <v>1645</v>
      </c>
      <c r="E36" s="4" t="s">
        <v>93</v>
      </c>
      <c r="F36" s="5">
        <v>39343</v>
      </c>
      <c r="G36" s="5">
        <v>39681</v>
      </c>
      <c r="H36" s="4" t="s">
        <v>40</v>
      </c>
      <c r="I36" s="6">
        <v>2500</v>
      </c>
      <c r="J36" s="6">
        <v>2500</v>
      </c>
      <c r="K36" s="37" t="s">
        <v>17</v>
      </c>
      <c r="L36" s="119"/>
      <c r="M36" s="3"/>
    </row>
    <row r="37" spans="1:13" s="4" customFormat="1" ht="25.5" x14ac:dyDescent="0.25">
      <c r="A37" s="4" t="s">
        <v>94</v>
      </c>
      <c r="B37" s="4" t="s">
        <v>50</v>
      </c>
      <c r="C37" s="37" t="s">
        <v>17</v>
      </c>
      <c r="D37" s="35">
        <v>1649</v>
      </c>
      <c r="E37" s="4" t="s">
        <v>95</v>
      </c>
      <c r="F37" s="5">
        <v>39654</v>
      </c>
      <c r="G37" s="5">
        <v>39791</v>
      </c>
      <c r="H37" s="4" t="s">
        <v>40</v>
      </c>
      <c r="I37" s="6">
        <v>8449.64</v>
      </c>
      <c r="J37" s="6">
        <v>4224.82</v>
      </c>
      <c r="K37" s="37" t="s">
        <v>17</v>
      </c>
      <c r="L37" s="119"/>
      <c r="M37" s="3"/>
    </row>
    <row r="38" spans="1:13" s="4" customFormat="1" ht="38.25" x14ac:dyDescent="0.25">
      <c r="A38" s="4" t="s">
        <v>96</v>
      </c>
      <c r="B38" s="4" t="s">
        <v>50</v>
      </c>
      <c r="C38" s="37" t="s">
        <v>17</v>
      </c>
      <c r="D38" s="35">
        <v>1653</v>
      </c>
      <c r="E38" s="4" t="s">
        <v>97</v>
      </c>
      <c r="F38" s="5">
        <v>39569</v>
      </c>
      <c r="G38" s="5">
        <v>39769</v>
      </c>
      <c r="H38" s="4" t="s">
        <v>40</v>
      </c>
      <c r="I38" s="6">
        <v>98170.32</v>
      </c>
      <c r="J38" s="6">
        <v>49085.16</v>
      </c>
      <c r="K38" s="37" t="s">
        <v>17</v>
      </c>
      <c r="L38" s="119"/>
      <c r="M38" s="3"/>
    </row>
    <row r="39" spans="1:13" s="4" customFormat="1" ht="51" x14ac:dyDescent="0.25">
      <c r="A39" s="4" t="s">
        <v>98</v>
      </c>
      <c r="B39" s="4" t="s">
        <v>90</v>
      </c>
      <c r="C39" s="37" t="s">
        <v>17</v>
      </c>
      <c r="D39" s="35">
        <v>1659</v>
      </c>
      <c r="E39" s="4" t="s">
        <v>99</v>
      </c>
      <c r="F39" s="5">
        <v>39569</v>
      </c>
      <c r="G39" s="5">
        <v>39790</v>
      </c>
      <c r="H39" s="4" t="s">
        <v>40</v>
      </c>
      <c r="I39" s="6">
        <v>10200</v>
      </c>
      <c r="J39" s="6">
        <v>5100</v>
      </c>
      <c r="K39" s="37" t="s">
        <v>17</v>
      </c>
      <c r="L39" s="119"/>
      <c r="M39" s="3"/>
    </row>
    <row r="40" spans="1:13" s="4" customFormat="1" ht="38.25" x14ac:dyDescent="0.25">
      <c r="A40" s="4" t="s">
        <v>100</v>
      </c>
      <c r="B40" s="4" t="s">
        <v>50</v>
      </c>
      <c r="C40" s="37" t="s">
        <v>17</v>
      </c>
      <c r="D40" s="35">
        <v>1662</v>
      </c>
      <c r="E40" s="4" t="s">
        <v>101</v>
      </c>
      <c r="F40" s="5">
        <v>39569</v>
      </c>
      <c r="G40" s="5">
        <v>39790</v>
      </c>
      <c r="H40" s="4" t="s">
        <v>40</v>
      </c>
      <c r="I40" s="6">
        <v>8489</v>
      </c>
      <c r="J40" s="6">
        <v>4244.5</v>
      </c>
      <c r="K40" s="37" t="s">
        <v>17</v>
      </c>
      <c r="L40" s="119"/>
      <c r="M40" s="3"/>
    </row>
    <row r="41" spans="1:13" s="4" customFormat="1" ht="25.5" x14ac:dyDescent="0.25">
      <c r="A41" s="4" t="s">
        <v>102</v>
      </c>
      <c r="B41" s="4" t="s">
        <v>59</v>
      </c>
      <c r="C41" s="37" t="s">
        <v>17</v>
      </c>
      <c r="D41" s="35">
        <v>1667</v>
      </c>
      <c r="E41" s="4" t="s">
        <v>103</v>
      </c>
      <c r="F41" s="5">
        <v>39490</v>
      </c>
      <c r="G41" s="5">
        <v>39813</v>
      </c>
      <c r="H41" s="4" t="s">
        <v>40</v>
      </c>
      <c r="I41" s="6">
        <v>3000</v>
      </c>
      <c r="J41" s="6">
        <v>3000</v>
      </c>
      <c r="K41" s="37" t="s">
        <v>17</v>
      </c>
      <c r="L41" s="119"/>
      <c r="M41" s="3"/>
    </row>
    <row r="42" spans="1:13" s="4" customFormat="1" ht="25.5" x14ac:dyDescent="0.25">
      <c r="A42" s="4" t="s">
        <v>104</v>
      </c>
      <c r="B42" s="4" t="s">
        <v>38</v>
      </c>
      <c r="C42" s="37" t="s">
        <v>17</v>
      </c>
      <c r="D42" s="35">
        <v>1724</v>
      </c>
      <c r="E42" s="4" t="s">
        <v>105</v>
      </c>
      <c r="F42" s="5">
        <v>40179</v>
      </c>
      <c r="G42" s="5">
        <v>40908</v>
      </c>
      <c r="H42" s="4" t="s">
        <v>40</v>
      </c>
      <c r="I42" s="6">
        <v>263748.88</v>
      </c>
      <c r="J42" s="6">
        <v>263748.88</v>
      </c>
      <c r="K42" s="37" t="s">
        <v>17</v>
      </c>
      <c r="L42" s="119"/>
      <c r="M42" s="3"/>
    </row>
    <row r="43" spans="1:13" s="4" customFormat="1" ht="25.5" x14ac:dyDescent="0.25">
      <c r="A43" s="4" t="s">
        <v>106</v>
      </c>
      <c r="B43" s="4" t="s">
        <v>38</v>
      </c>
      <c r="C43" s="37" t="s">
        <v>17</v>
      </c>
      <c r="D43" s="35">
        <v>3269</v>
      </c>
      <c r="E43" s="4" t="s">
        <v>107</v>
      </c>
      <c r="F43" s="5">
        <v>39083</v>
      </c>
      <c r="G43" s="5">
        <v>39813</v>
      </c>
      <c r="H43" s="4" t="s">
        <v>40</v>
      </c>
      <c r="I43" s="6">
        <v>3794.9</v>
      </c>
      <c r="J43" s="6">
        <v>3794.9</v>
      </c>
      <c r="K43" s="37" t="s">
        <v>17</v>
      </c>
      <c r="L43" s="119"/>
      <c r="M43" s="3"/>
    </row>
    <row r="44" spans="1:13" s="4" customFormat="1" ht="25.5" x14ac:dyDescent="0.25">
      <c r="A44" s="4" t="s">
        <v>108</v>
      </c>
      <c r="B44" s="4" t="s">
        <v>38</v>
      </c>
      <c r="C44" s="37" t="s">
        <v>17</v>
      </c>
      <c r="D44" s="35">
        <v>3270</v>
      </c>
      <c r="E44" s="4" t="s">
        <v>108</v>
      </c>
      <c r="F44" s="5">
        <v>39083</v>
      </c>
      <c r="G44" s="5">
        <v>39813</v>
      </c>
      <c r="H44" s="4" t="s">
        <v>40</v>
      </c>
      <c r="I44" s="6">
        <v>48639.65</v>
      </c>
      <c r="J44" s="6">
        <v>48639.65</v>
      </c>
      <c r="K44" s="37" t="s">
        <v>17</v>
      </c>
      <c r="L44" s="119"/>
      <c r="M44" s="3"/>
    </row>
    <row r="45" spans="1:13" s="4" customFormat="1" ht="25.5" x14ac:dyDescent="0.25">
      <c r="A45" s="4" t="s">
        <v>109</v>
      </c>
      <c r="B45" s="4" t="s">
        <v>38</v>
      </c>
      <c r="C45" s="37" t="s">
        <v>17</v>
      </c>
      <c r="D45" s="35">
        <v>3271</v>
      </c>
      <c r="E45" s="4" t="s">
        <v>109</v>
      </c>
      <c r="F45" s="5">
        <v>40179</v>
      </c>
      <c r="G45" s="5">
        <v>40543</v>
      </c>
      <c r="H45" s="4" t="s">
        <v>40</v>
      </c>
      <c r="I45" s="6">
        <v>17742.900000000001</v>
      </c>
      <c r="J45" s="6">
        <v>17742.900000000001</v>
      </c>
      <c r="K45" s="37" t="s">
        <v>17</v>
      </c>
      <c r="L45" s="119"/>
      <c r="M45" s="3"/>
    </row>
    <row r="46" spans="1:13" s="4" customFormat="1" ht="140.25" x14ac:dyDescent="0.25">
      <c r="A46" s="4" t="s">
        <v>110</v>
      </c>
      <c r="B46" s="4" t="s">
        <v>50</v>
      </c>
      <c r="C46" s="37" t="s">
        <v>17</v>
      </c>
      <c r="D46" s="35">
        <v>3272</v>
      </c>
      <c r="E46" s="4" t="s">
        <v>111</v>
      </c>
      <c r="F46" s="5">
        <v>39744</v>
      </c>
      <c r="G46" s="5">
        <v>39892</v>
      </c>
      <c r="H46" s="4" t="s">
        <v>40</v>
      </c>
      <c r="I46" s="6">
        <v>30000</v>
      </c>
      <c r="J46" s="6">
        <v>15000</v>
      </c>
      <c r="K46" s="37" t="s">
        <v>17</v>
      </c>
      <c r="L46" s="119"/>
      <c r="M46" s="3"/>
    </row>
    <row r="47" spans="1:13" s="4" customFormat="1" ht="25.5" x14ac:dyDescent="0.25">
      <c r="A47" s="4" t="s">
        <v>112</v>
      </c>
      <c r="B47" s="4" t="s">
        <v>38</v>
      </c>
      <c r="C47" s="37" t="s">
        <v>17</v>
      </c>
      <c r="D47" s="35">
        <v>3273</v>
      </c>
      <c r="E47" s="4" t="s">
        <v>113</v>
      </c>
      <c r="F47" s="5">
        <v>39083</v>
      </c>
      <c r="G47" s="5">
        <v>39813</v>
      </c>
      <c r="H47" s="4" t="s">
        <v>40</v>
      </c>
      <c r="I47" s="6">
        <v>6460.06</v>
      </c>
      <c r="J47" s="6">
        <v>6460.06</v>
      </c>
      <c r="K47" s="37" t="s">
        <v>17</v>
      </c>
      <c r="L47" s="119"/>
      <c r="M47" s="3"/>
    </row>
    <row r="48" spans="1:13" s="4" customFormat="1" ht="25.5" x14ac:dyDescent="0.25">
      <c r="A48" s="4" t="s">
        <v>116</v>
      </c>
      <c r="B48" s="4" t="s">
        <v>38</v>
      </c>
      <c r="C48" s="37" t="s">
        <v>17</v>
      </c>
      <c r="D48" s="35">
        <v>3275</v>
      </c>
      <c r="E48" s="4" t="s">
        <v>117</v>
      </c>
      <c r="F48" s="5">
        <v>39083</v>
      </c>
      <c r="G48" s="5">
        <v>39813</v>
      </c>
      <c r="H48" s="4" t="s">
        <v>40</v>
      </c>
      <c r="I48" s="6">
        <v>9441.33</v>
      </c>
      <c r="J48" s="6">
        <v>9441.33</v>
      </c>
      <c r="K48" s="37" t="s">
        <v>17</v>
      </c>
      <c r="L48" s="119"/>
      <c r="M48" s="3"/>
    </row>
    <row r="49" spans="1:13" s="4" customFormat="1" ht="25.5" x14ac:dyDescent="0.25">
      <c r="A49" s="4" t="s">
        <v>118</v>
      </c>
      <c r="B49" s="4" t="s">
        <v>38</v>
      </c>
      <c r="C49" s="37" t="s">
        <v>17</v>
      </c>
      <c r="D49" s="35">
        <v>3276</v>
      </c>
      <c r="E49" s="4" t="s">
        <v>119</v>
      </c>
      <c r="F49" s="5">
        <v>39083</v>
      </c>
      <c r="G49" s="5">
        <v>39813</v>
      </c>
      <c r="H49" s="4" t="s">
        <v>40</v>
      </c>
      <c r="I49" s="6">
        <v>11158.05</v>
      </c>
      <c r="J49" s="6">
        <v>11158.05</v>
      </c>
      <c r="K49" s="37" t="s">
        <v>17</v>
      </c>
      <c r="L49" s="119"/>
      <c r="M49" s="3"/>
    </row>
    <row r="50" spans="1:13" s="4" customFormat="1" ht="25.5" x14ac:dyDescent="0.25">
      <c r="A50" s="4" t="s">
        <v>120</v>
      </c>
      <c r="B50" s="4" t="s">
        <v>38</v>
      </c>
      <c r="C50" s="37" t="s">
        <v>17</v>
      </c>
      <c r="D50" s="35">
        <v>3277</v>
      </c>
      <c r="E50" s="4" t="s">
        <v>121</v>
      </c>
      <c r="F50" s="5">
        <v>39083</v>
      </c>
      <c r="G50" s="5">
        <v>39813</v>
      </c>
      <c r="H50" s="4" t="s">
        <v>40</v>
      </c>
      <c r="I50" s="6">
        <v>22334.92</v>
      </c>
      <c r="J50" s="6">
        <v>22334.92</v>
      </c>
      <c r="K50" s="37" t="s">
        <v>17</v>
      </c>
      <c r="L50" s="119"/>
      <c r="M50" s="3"/>
    </row>
    <row r="51" spans="1:13" s="4" customFormat="1" ht="153" x14ac:dyDescent="0.25">
      <c r="A51" s="4" t="s">
        <v>122</v>
      </c>
      <c r="B51" s="4" t="s">
        <v>50</v>
      </c>
      <c r="C51" s="37" t="s">
        <v>17</v>
      </c>
      <c r="D51" s="35">
        <v>4725</v>
      </c>
      <c r="E51" s="4" t="s">
        <v>123</v>
      </c>
      <c r="F51" s="5">
        <v>39834</v>
      </c>
      <c r="G51" s="5">
        <v>39868</v>
      </c>
      <c r="H51" s="4" t="s">
        <v>40</v>
      </c>
      <c r="I51" s="6">
        <v>50000</v>
      </c>
      <c r="J51" s="6">
        <v>25000</v>
      </c>
      <c r="K51" s="37" t="s">
        <v>17</v>
      </c>
      <c r="L51" s="119"/>
      <c r="M51" s="3"/>
    </row>
    <row r="52" spans="1:13" s="4" customFormat="1" ht="114.75" x14ac:dyDescent="0.25">
      <c r="A52" s="4" t="s">
        <v>124</v>
      </c>
      <c r="B52" s="4" t="s">
        <v>59</v>
      </c>
      <c r="C52" s="37" t="s">
        <v>17</v>
      </c>
      <c r="D52" s="35">
        <v>4726</v>
      </c>
      <c r="E52" s="4" t="s">
        <v>125</v>
      </c>
      <c r="F52" s="5">
        <v>39654</v>
      </c>
      <c r="G52" s="5">
        <v>39884</v>
      </c>
      <c r="H52" s="4" t="s">
        <v>40</v>
      </c>
      <c r="I52" s="6">
        <v>6000</v>
      </c>
      <c r="J52" s="6">
        <v>6000</v>
      </c>
      <c r="K52" s="37" t="s">
        <v>17</v>
      </c>
      <c r="L52" s="119"/>
      <c r="M52" s="3"/>
    </row>
    <row r="53" spans="1:13" s="4" customFormat="1" ht="63.75" x14ac:dyDescent="0.25">
      <c r="A53" s="4" t="s">
        <v>126</v>
      </c>
      <c r="B53" s="4" t="s">
        <v>50</v>
      </c>
      <c r="C53" s="37" t="s">
        <v>17</v>
      </c>
      <c r="D53" s="35">
        <v>4729</v>
      </c>
      <c r="E53" s="7" t="s">
        <v>127</v>
      </c>
      <c r="F53" s="5">
        <v>39569</v>
      </c>
      <c r="G53" s="5">
        <v>39953</v>
      </c>
      <c r="H53" s="4" t="s">
        <v>40</v>
      </c>
      <c r="I53" s="6">
        <v>8300.68</v>
      </c>
      <c r="J53" s="6">
        <v>4150.34</v>
      </c>
      <c r="K53" s="37" t="s">
        <v>17</v>
      </c>
      <c r="L53" s="119"/>
      <c r="M53" s="3"/>
    </row>
    <row r="54" spans="1:13" s="4" customFormat="1" ht="127.5" x14ac:dyDescent="0.25">
      <c r="A54" s="4" t="s">
        <v>128</v>
      </c>
      <c r="B54" s="4" t="s">
        <v>59</v>
      </c>
      <c r="C54" s="37" t="s">
        <v>17</v>
      </c>
      <c r="D54" s="35">
        <v>5225</v>
      </c>
      <c r="E54" s="7" t="s">
        <v>129</v>
      </c>
      <c r="F54" s="5">
        <v>40179</v>
      </c>
      <c r="G54" s="5">
        <v>40543</v>
      </c>
      <c r="H54" s="4" t="s">
        <v>40</v>
      </c>
      <c r="I54" s="6">
        <v>13500</v>
      </c>
      <c r="J54" s="6">
        <v>13500</v>
      </c>
      <c r="K54" s="37" t="s">
        <v>17</v>
      </c>
      <c r="L54" s="119"/>
      <c r="M54" s="3"/>
    </row>
    <row r="55" spans="1:13" s="4" customFormat="1" ht="76.5" x14ac:dyDescent="0.25">
      <c r="A55" s="4" t="s">
        <v>130</v>
      </c>
      <c r="B55" s="4" t="s">
        <v>59</v>
      </c>
      <c r="C55" s="37" t="s">
        <v>17</v>
      </c>
      <c r="D55" s="35">
        <v>5248</v>
      </c>
      <c r="E55" s="4" t="s">
        <v>131</v>
      </c>
      <c r="F55" s="5">
        <v>39897</v>
      </c>
      <c r="G55" s="5">
        <v>40121</v>
      </c>
      <c r="H55" s="4" t="s">
        <v>40</v>
      </c>
      <c r="I55" s="6">
        <v>8000</v>
      </c>
      <c r="J55" s="6">
        <v>8000</v>
      </c>
      <c r="K55" s="37" t="s">
        <v>17</v>
      </c>
      <c r="L55" s="119"/>
      <c r="M55" s="3"/>
    </row>
    <row r="56" spans="1:13" s="4" customFormat="1" ht="89.25" x14ac:dyDescent="0.25">
      <c r="A56" s="4" t="s">
        <v>132</v>
      </c>
      <c r="B56" s="4" t="s">
        <v>50</v>
      </c>
      <c r="C56" s="37" t="s">
        <v>17</v>
      </c>
      <c r="D56" s="35">
        <v>5278</v>
      </c>
      <c r="E56" s="7" t="s">
        <v>133</v>
      </c>
      <c r="F56" s="5">
        <v>39744</v>
      </c>
      <c r="G56" s="5">
        <v>40109</v>
      </c>
      <c r="H56" s="4" t="s">
        <v>40</v>
      </c>
      <c r="I56" s="6">
        <v>14000</v>
      </c>
      <c r="J56" s="6">
        <v>7000</v>
      </c>
      <c r="K56" s="37" t="s">
        <v>17</v>
      </c>
      <c r="L56" s="119"/>
      <c r="M56" s="3"/>
    </row>
    <row r="57" spans="1:13" s="4" customFormat="1" ht="89.25" x14ac:dyDescent="0.25">
      <c r="A57" s="4" t="s">
        <v>134</v>
      </c>
      <c r="B57" s="4" t="s">
        <v>50</v>
      </c>
      <c r="C57" s="37" t="s">
        <v>17</v>
      </c>
      <c r="D57" s="35">
        <v>5285</v>
      </c>
      <c r="E57" s="7" t="s">
        <v>135</v>
      </c>
      <c r="F57" s="5">
        <v>39828</v>
      </c>
      <c r="G57" s="5">
        <v>40009</v>
      </c>
      <c r="H57" s="4" t="s">
        <v>40</v>
      </c>
      <c r="I57" s="6">
        <v>140000</v>
      </c>
      <c r="J57" s="6">
        <v>70000</v>
      </c>
      <c r="K57" s="37" t="s">
        <v>17</v>
      </c>
      <c r="L57" s="119"/>
      <c r="M57" s="3"/>
    </row>
    <row r="58" spans="1:13" s="4" customFormat="1" ht="102" x14ac:dyDescent="0.25">
      <c r="A58" s="4" t="s">
        <v>136</v>
      </c>
      <c r="B58" s="4" t="s">
        <v>50</v>
      </c>
      <c r="C58" s="37" t="s">
        <v>17</v>
      </c>
      <c r="D58" s="35">
        <v>5288</v>
      </c>
      <c r="E58" s="7" t="s">
        <v>137</v>
      </c>
      <c r="F58" s="5">
        <v>39654</v>
      </c>
      <c r="G58" s="5">
        <v>40019</v>
      </c>
      <c r="H58" s="4" t="s">
        <v>40</v>
      </c>
      <c r="I58" s="6">
        <v>13364.92</v>
      </c>
      <c r="J58" s="6">
        <v>6682.46</v>
      </c>
      <c r="K58" s="37" t="s">
        <v>17</v>
      </c>
      <c r="L58" s="119"/>
      <c r="M58" s="3"/>
    </row>
    <row r="59" spans="1:13" s="4" customFormat="1" ht="25.5" x14ac:dyDescent="0.25">
      <c r="A59" s="4" t="s">
        <v>138</v>
      </c>
      <c r="B59" s="4" t="s">
        <v>59</v>
      </c>
      <c r="C59" s="37" t="s">
        <v>17</v>
      </c>
      <c r="D59" s="35">
        <v>5289</v>
      </c>
      <c r="E59" s="7" t="s">
        <v>139</v>
      </c>
      <c r="F59" s="5">
        <v>39897</v>
      </c>
      <c r="G59" s="5">
        <v>40262</v>
      </c>
      <c r="H59" s="4" t="s">
        <v>40</v>
      </c>
      <c r="I59" s="6">
        <v>2000</v>
      </c>
      <c r="J59" s="6">
        <v>2000</v>
      </c>
      <c r="K59" s="37" t="s">
        <v>17</v>
      </c>
      <c r="L59" s="119"/>
      <c r="M59" s="3"/>
    </row>
    <row r="60" spans="1:13" s="4" customFormat="1" ht="89.25" x14ac:dyDescent="0.25">
      <c r="A60" s="4" t="s">
        <v>140</v>
      </c>
      <c r="B60" s="4" t="s">
        <v>90</v>
      </c>
      <c r="C60" s="37" t="s">
        <v>17</v>
      </c>
      <c r="D60" s="35">
        <v>5291</v>
      </c>
      <c r="E60" s="7" t="s">
        <v>141</v>
      </c>
      <c r="F60" s="5">
        <v>39988</v>
      </c>
      <c r="G60" s="5">
        <v>40049</v>
      </c>
      <c r="H60" s="4" t="s">
        <v>40</v>
      </c>
      <c r="I60" s="6">
        <v>6000</v>
      </c>
      <c r="J60" s="6">
        <v>3000</v>
      </c>
      <c r="K60" s="37" t="s">
        <v>17</v>
      </c>
      <c r="L60" s="119"/>
      <c r="M60" s="3"/>
    </row>
    <row r="61" spans="1:13" s="4" customFormat="1" ht="140.25" x14ac:dyDescent="0.25">
      <c r="A61" s="4" t="s">
        <v>142</v>
      </c>
      <c r="B61" s="4" t="s">
        <v>59</v>
      </c>
      <c r="C61" s="37" t="s">
        <v>17</v>
      </c>
      <c r="D61" s="35">
        <v>5303</v>
      </c>
      <c r="E61" s="4" t="s">
        <v>143</v>
      </c>
      <c r="F61" s="5">
        <v>39988</v>
      </c>
      <c r="G61" s="5">
        <v>40543</v>
      </c>
      <c r="H61" s="4" t="s">
        <v>40</v>
      </c>
      <c r="I61" s="6">
        <v>7500</v>
      </c>
      <c r="J61" s="6">
        <v>7500</v>
      </c>
      <c r="K61" s="37" t="s">
        <v>17</v>
      </c>
      <c r="L61" s="119"/>
      <c r="M61" s="3"/>
    </row>
    <row r="62" spans="1:13" s="4" customFormat="1" ht="51" x14ac:dyDescent="0.25">
      <c r="A62" s="4" t="s">
        <v>144</v>
      </c>
      <c r="B62" s="4" t="s">
        <v>59</v>
      </c>
      <c r="C62" s="37" t="s">
        <v>17</v>
      </c>
      <c r="D62" s="35">
        <v>5307</v>
      </c>
      <c r="E62" s="7" t="s">
        <v>145</v>
      </c>
      <c r="F62" s="5">
        <v>39988</v>
      </c>
      <c r="G62" s="5">
        <v>40543</v>
      </c>
      <c r="H62" s="4" t="s">
        <v>40</v>
      </c>
      <c r="I62" s="6">
        <v>3000</v>
      </c>
      <c r="J62" s="6">
        <v>3000</v>
      </c>
      <c r="K62" s="37" t="s">
        <v>17</v>
      </c>
      <c r="L62" s="119"/>
      <c r="M62" s="3"/>
    </row>
    <row r="63" spans="1:13" s="4" customFormat="1" ht="114.75" x14ac:dyDescent="0.25">
      <c r="A63" s="4" t="s">
        <v>148</v>
      </c>
      <c r="B63" s="4" t="s">
        <v>50</v>
      </c>
      <c r="C63" s="37" t="s">
        <v>17</v>
      </c>
      <c r="D63" s="35">
        <v>5339</v>
      </c>
      <c r="E63" s="7" t="s">
        <v>149</v>
      </c>
      <c r="F63" s="5">
        <v>39744</v>
      </c>
      <c r="G63" s="5">
        <v>40163</v>
      </c>
      <c r="H63" s="4" t="s">
        <v>40</v>
      </c>
      <c r="I63" s="6">
        <v>19448.14</v>
      </c>
      <c r="J63" s="6">
        <v>9724.07</v>
      </c>
      <c r="K63" s="37" t="s">
        <v>17</v>
      </c>
      <c r="L63" s="119"/>
      <c r="M63" s="3"/>
    </row>
    <row r="64" spans="1:13" s="4" customFormat="1" ht="140.25" x14ac:dyDescent="0.25">
      <c r="A64" s="4" t="s">
        <v>150</v>
      </c>
      <c r="B64" s="4" t="s">
        <v>59</v>
      </c>
      <c r="C64" s="37" t="s">
        <v>17</v>
      </c>
      <c r="D64" s="35">
        <v>5340</v>
      </c>
      <c r="E64" s="4" t="s">
        <v>151</v>
      </c>
      <c r="F64" s="5">
        <v>40155</v>
      </c>
      <c r="G64" s="5"/>
      <c r="H64" s="4" t="s">
        <v>40</v>
      </c>
      <c r="I64" s="6">
        <v>10000</v>
      </c>
      <c r="J64" s="6">
        <v>10000</v>
      </c>
      <c r="K64" s="37" t="s">
        <v>17</v>
      </c>
      <c r="L64" s="119"/>
      <c r="M64" s="3"/>
    </row>
    <row r="65" spans="1:13" s="4" customFormat="1" ht="102" x14ac:dyDescent="0.25">
      <c r="A65" s="4" t="s">
        <v>152</v>
      </c>
      <c r="B65" s="4" t="s">
        <v>50</v>
      </c>
      <c r="C65" s="37" t="s">
        <v>17</v>
      </c>
      <c r="D65" s="35">
        <v>5341</v>
      </c>
      <c r="E65" s="4" t="s">
        <v>153</v>
      </c>
      <c r="F65" s="5">
        <v>40179</v>
      </c>
      <c r="G65" s="5">
        <v>40543</v>
      </c>
      <c r="H65" s="4" t="s">
        <v>40</v>
      </c>
      <c r="I65" s="6">
        <v>40021.82</v>
      </c>
      <c r="J65" s="6">
        <v>20010.91</v>
      </c>
      <c r="K65" s="37" t="s">
        <v>17</v>
      </c>
      <c r="L65" s="119"/>
      <c r="M65" s="3"/>
    </row>
    <row r="66" spans="1:13" s="4" customFormat="1" ht="114.75" x14ac:dyDescent="0.25">
      <c r="A66" s="4" t="s">
        <v>156</v>
      </c>
      <c r="B66" s="4" t="s">
        <v>59</v>
      </c>
      <c r="C66" s="37" t="s">
        <v>17</v>
      </c>
      <c r="D66" s="35">
        <v>5343</v>
      </c>
      <c r="E66" s="7" t="s">
        <v>157</v>
      </c>
      <c r="F66" s="5">
        <v>40155</v>
      </c>
      <c r="G66" s="5">
        <v>40178</v>
      </c>
      <c r="H66" s="4" t="s">
        <v>40</v>
      </c>
      <c r="I66" s="6">
        <v>2000</v>
      </c>
      <c r="J66" s="6">
        <v>2000</v>
      </c>
      <c r="K66" s="37" t="s">
        <v>17</v>
      </c>
      <c r="L66" s="119"/>
      <c r="M66" s="3"/>
    </row>
    <row r="67" spans="1:13" s="4" customFormat="1" ht="76.5" x14ac:dyDescent="0.25">
      <c r="A67" s="4" t="s">
        <v>158</v>
      </c>
      <c r="B67" s="4" t="s">
        <v>59</v>
      </c>
      <c r="C67" s="37" t="s">
        <v>17</v>
      </c>
      <c r="D67" s="35">
        <v>5344</v>
      </c>
      <c r="E67" s="7" t="s">
        <v>159</v>
      </c>
      <c r="F67" s="5">
        <v>40073</v>
      </c>
      <c r="G67" s="4">
        <v>40438</v>
      </c>
      <c r="H67" s="4" t="s">
        <v>40</v>
      </c>
      <c r="I67" s="6">
        <v>5000</v>
      </c>
      <c r="J67" s="6">
        <v>5000</v>
      </c>
      <c r="K67" s="37" t="s">
        <v>17</v>
      </c>
      <c r="L67" s="119"/>
      <c r="M67" s="3"/>
    </row>
    <row r="68" spans="1:13" s="4" customFormat="1" ht="102" x14ac:dyDescent="0.25">
      <c r="A68" s="4" t="s">
        <v>160</v>
      </c>
      <c r="B68" s="4" t="s">
        <v>38</v>
      </c>
      <c r="C68" s="37" t="s">
        <v>17</v>
      </c>
      <c r="D68" s="35">
        <v>5356</v>
      </c>
      <c r="E68" s="7" t="s">
        <v>161</v>
      </c>
      <c r="F68" s="5">
        <v>40179</v>
      </c>
      <c r="G68" s="5">
        <v>41639</v>
      </c>
      <c r="H68" s="4" t="s">
        <v>40</v>
      </c>
      <c r="I68" s="6">
        <v>273785.27</v>
      </c>
      <c r="J68" s="6">
        <v>273785.27</v>
      </c>
      <c r="K68" s="37" t="s">
        <v>17</v>
      </c>
      <c r="L68" s="119"/>
      <c r="M68" s="3"/>
    </row>
    <row r="69" spans="1:13" s="4" customFormat="1" ht="51" x14ac:dyDescent="0.25">
      <c r="A69" s="4" t="s">
        <v>162</v>
      </c>
      <c r="B69" s="4" t="s">
        <v>38</v>
      </c>
      <c r="C69" s="37" t="s">
        <v>17</v>
      </c>
      <c r="D69" s="35">
        <v>5357</v>
      </c>
      <c r="E69" s="4" t="s">
        <v>163</v>
      </c>
      <c r="F69" s="5">
        <v>40179</v>
      </c>
      <c r="G69" s="5">
        <v>41639</v>
      </c>
      <c r="H69" s="4" t="s">
        <v>40</v>
      </c>
      <c r="I69" s="6">
        <v>177462.92</v>
      </c>
      <c r="J69" s="6">
        <v>177462.92</v>
      </c>
      <c r="K69" s="37" t="s">
        <v>17</v>
      </c>
      <c r="L69" s="119"/>
      <c r="M69" s="3"/>
    </row>
    <row r="70" spans="1:13" s="4" customFormat="1" ht="51" x14ac:dyDescent="0.25">
      <c r="A70" s="4" t="s">
        <v>164</v>
      </c>
      <c r="B70" s="4" t="s">
        <v>38</v>
      </c>
      <c r="C70" s="37" t="s">
        <v>17</v>
      </c>
      <c r="D70" s="35">
        <v>5358</v>
      </c>
      <c r="E70" s="7" t="s">
        <v>165</v>
      </c>
      <c r="F70" s="5">
        <v>40179</v>
      </c>
      <c r="G70" s="5">
        <v>40543</v>
      </c>
      <c r="H70" s="4" t="s">
        <v>40</v>
      </c>
      <c r="I70" s="6">
        <v>10829.08</v>
      </c>
      <c r="J70" s="6">
        <v>10829.08</v>
      </c>
      <c r="K70" s="37" t="s">
        <v>17</v>
      </c>
      <c r="L70" s="119"/>
      <c r="M70" s="3"/>
    </row>
    <row r="71" spans="1:13" s="4" customFormat="1" ht="114.75" x14ac:dyDescent="0.25">
      <c r="A71" s="4" t="s">
        <v>166</v>
      </c>
      <c r="B71" s="4" t="s">
        <v>38</v>
      </c>
      <c r="C71" s="37" t="s">
        <v>17</v>
      </c>
      <c r="D71" s="35">
        <v>5359</v>
      </c>
      <c r="E71" s="7" t="s">
        <v>167</v>
      </c>
      <c r="F71" s="5">
        <v>40179</v>
      </c>
      <c r="G71" s="5">
        <v>40908</v>
      </c>
      <c r="H71" s="4" t="s">
        <v>40</v>
      </c>
      <c r="I71" s="6">
        <v>49925.35</v>
      </c>
      <c r="J71" s="6">
        <v>49925.35</v>
      </c>
      <c r="K71" s="37" t="s">
        <v>17</v>
      </c>
      <c r="L71" s="119"/>
      <c r="M71" s="3"/>
    </row>
    <row r="72" spans="1:13" s="4" customFormat="1" ht="38.25" x14ac:dyDescent="0.25">
      <c r="A72" s="4" t="s">
        <v>168</v>
      </c>
      <c r="B72" s="4" t="s">
        <v>38</v>
      </c>
      <c r="C72" s="37" t="s">
        <v>17</v>
      </c>
      <c r="D72" s="35">
        <v>5360</v>
      </c>
      <c r="E72" s="7" t="s">
        <v>169</v>
      </c>
      <c r="F72" s="5">
        <v>39814</v>
      </c>
      <c r="G72" s="5">
        <v>40543</v>
      </c>
      <c r="H72" s="4" t="s">
        <v>40</v>
      </c>
      <c r="I72" s="6">
        <v>20605.009999999998</v>
      </c>
      <c r="J72" s="6">
        <v>20605.009999999998</v>
      </c>
      <c r="K72" s="37" t="s">
        <v>17</v>
      </c>
      <c r="L72" s="119"/>
      <c r="M72" s="3"/>
    </row>
    <row r="73" spans="1:13" s="4" customFormat="1" ht="63.75" x14ac:dyDescent="0.25">
      <c r="A73" s="4" t="s">
        <v>170</v>
      </c>
      <c r="B73" s="4" t="s">
        <v>38</v>
      </c>
      <c r="C73" s="37" t="s">
        <v>17</v>
      </c>
      <c r="D73" s="35">
        <v>5361</v>
      </c>
      <c r="E73" s="4" t="s">
        <v>171</v>
      </c>
      <c r="F73" s="5">
        <v>40087</v>
      </c>
      <c r="G73" s="5">
        <v>41639</v>
      </c>
      <c r="H73" s="4" t="s">
        <v>40</v>
      </c>
      <c r="I73" s="6">
        <v>58035.53</v>
      </c>
      <c r="J73" s="6">
        <v>58035.53</v>
      </c>
      <c r="K73" s="37" t="s">
        <v>17</v>
      </c>
      <c r="L73" s="119"/>
      <c r="M73" s="3"/>
    </row>
    <row r="74" spans="1:13" s="4" customFormat="1" ht="51" x14ac:dyDescent="0.25">
      <c r="A74" s="4" t="s">
        <v>172</v>
      </c>
      <c r="B74" s="4" t="s">
        <v>38</v>
      </c>
      <c r="C74" s="37" t="s">
        <v>17</v>
      </c>
      <c r="D74" s="35">
        <v>5363</v>
      </c>
      <c r="E74" s="4" t="s">
        <v>173</v>
      </c>
      <c r="F74" s="5">
        <v>39814</v>
      </c>
      <c r="G74" s="5">
        <v>40543</v>
      </c>
      <c r="H74" s="4" t="s">
        <v>40</v>
      </c>
      <c r="I74" s="6">
        <v>16013.15</v>
      </c>
      <c r="J74" s="6">
        <v>16013.15</v>
      </c>
      <c r="K74" s="37" t="s">
        <v>17</v>
      </c>
      <c r="L74" s="119"/>
      <c r="M74" s="3"/>
    </row>
    <row r="75" spans="1:13" s="4" customFormat="1" ht="38.25" x14ac:dyDescent="0.25">
      <c r="A75" s="4" t="s">
        <v>174</v>
      </c>
      <c r="B75" s="4" t="s">
        <v>38</v>
      </c>
      <c r="C75" s="37" t="s">
        <v>17</v>
      </c>
      <c r="D75" s="35">
        <v>5367</v>
      </c>
      <c r="E75" s="7" t="s">
        <v>175</v>
      </c>
      <c r="F75" s="5">
        <v>40179</v>
      </c>
      <c r="G75" s="5">
        <v>41639</v>
      </c>
      <c r="H75" s="4" t="s">
        <v>40</v>
      </c>
      <c r="I75" s="6">
        <v>38285.75</v>
      </c>
      <c r="J75" s="6">
        <v>38285.75</v>
      </c>
      <c r="K75" s="37" t="s">
        <v>17</v>
      </c>
      <c r="L75" s="119"/>
      <c r="M75" s="3"/>
    </row>
    <row r="76" spans="1:13" s="4" customFormat="1" ht="63.75" x14ac:dyDescent="0.25">
      <c r="A76" s="4" t="s">
        <v>176</v>
      </c>
      <c r="B76" s="4" t="s">
        <v>38</v>
      </c>
      <c r="C76" s="37" t="s">
        <v>17</v>
      </c>
      <c r="D76" s="35">
        <v>5372</v>
      </c>
      <c r="E76" s="4" t="s">
        <v>177</v>
      </c>
      <c r="F76" s="5">
        <v>40179</v>
      </c>
      <c r="G76" s="5">
        <v>41639</v>
      </c>
      <c r="H76" s="4" t="s">
        <v>40</v>
      </c>
      <c r="I76" s="6">
        <v>37064.15</v>
      </c>
      <c r="J76" s="6">
        <v>37064.15</v>
      </c>
      <c r="K76" s="37" t="s">
        <v>17</v>
      </c>
      <c r="L76" s="119"/>
      <c r="M76" s="3"/>
    </row>
    <row r="77" spans="1:13" s="4" customFormat="1" ht="89.25" x14ac:dyDescent="0.25">
      <c r="A77" s="4" t="s">
        <v>178</v>
      </c>
      <c r="B77" s="4" t="s">
        <v>38</v>
      </c>
      <c r="C77" s="37" t="s">
        <v>17</v>
      </c>
      <c r="D77" s="35">
        <v>5376</v>
      </c>
      <c r="E77" s="4" t="s">
        <v>179</v>
      </c>
      <c r="F77" s="5">
        <v>39814</v>
      </c>
      <c r="G77" s="5">
        <v>41639</v>
      </c>
      <c r="H77" s="4" t="s">
        <v>40</v>
      </c>
      <c r="I77" s="6">
        <v>59765.06</v>
      </c>
      <c r="J77" s="6">
        <v>59765.06</v>
      </c>
      <c r="K77" s="37" t="s">
        <v>17</v>
      </c>
      <c r="L77" s="119"/>
      <c r="M77" s="3"/>
    </row>
    <row r="78" spans="1:13" s="4" customFormat="1" ht="102" x14ac:dyDescent="0.25">
      <c r="A78" s="4" t="s">
        <v>180</v>
      </c>
      <c r="B78" s="4" t="s">
        <v>38</v>
      </c>
      <c r="C78" s="37" t="s">
        <v>17</v>
      </c>
      <c r="D78" s="35">
        <v>5380</v>
      </c>
      <c r="E78" s="4" t="s">
        <v>181</v>
      </c>
      <c r="F78" s="5">
        <v>40179</v>
      </c>
      <c r="G78" s="5">
        <v>40543</v>
      </c>
      <c r="H78" s="4" t="s">
        <v>40</v>
      </c>
      <c r="I78" s="6">
        <v>10223.459999999999</v>
      </c>
      <c r="J78" s="6">
        <v>10223.459999999999</v>
      </c>
      <c r="K78" s="37" t="s">
        <v>17</v>
      </c>
      <c r="L78" s="119"/>
      <c r="M78" s="3"/>
    </row>
    <row r="79" spans="1:13" s="4" customFormat="1" ht="25.5" x14ac:dyDescent="0.25">
      <c r="A79" s="4" t="s">
        <v>182</v>
      </c>
      <c r="B79" s="4" t="s">
        <v>183</v>
      </c>
      <c r="C79" s="37" t="s">
        <v>17</v>
      </c>
      <c r="D79" s="35">
        <v>7384</v>
      </c>
      <c r="E79" s="4" t="s">
        <v>184</v>
      </c>
      <c r="F79" s="5">
        <v>40374</v>
      </c>
      <c r="G79" s="5">
        <v>40908</v>
      </c>
      <c r="H79" s="4" t="s">
        <v>40</v>
      </c>
      <c r="I79" s="6">
        <v>9000</v>
      </c>
      <c r="J79" s="6">
        <v>9000</v>
      </c>
      <c r="K79" s="37" t="s">
        <v>17</v>
      </c>
      <c r="L79" s="119"/>
      <c r="M79" s="3"/>
    </row>
    <row r="80" spans="1:13" s="4" customFormat="1" ht="63.75" x14ac:dyDescent="0.25">
      <c r="A80" s="4" t="s">
        <v>185</v>
      </c>
      <c r="B80" s="4" t="s">
        <v>50</v>
      </c>
      <c r="C80" s="37" t="s">
        <v>17</v>
      </c>
      <c r="D80" s="35">
        <v>7385</v>
      </c>
      <c r="E80" s="4" t="s">
        <v>186</v>
      </c>
      <c r="F80" s="5">
        <v>40179</v>
      </c>
      <c r="G80" s="5">
        <v>40543</v>
      </c>
      <c r="H80" s="4" t="s">
        <v>40</v>
      </c>
      <c r="I80" s="6">
        <v>20000</v>
      </c>
      <c r="J80" s="6">
        <v>10000</v>
      </c>
      <c r="K80" s="37" t="s">
        <v>17</v>
      </c>
      <c r="L80" s="119"/>
      <c r="M80" s="3"/>
    </row>
    <row r="81" spans="1:13" s="4" customFormat="1" ht="25.5" x14ac:dyDescent="0.25">
      <c r="A81" s="4" t="s">
        <v>187</v>
      </c>
      <c r="B81" s="4" t="s">
        <v>183</v>
      </c>
      <c r="C81" s="37" t="s">
        <v>17</v>
      </c>
      <c r="D81" s="35">
        <v>7386</v>
      </c>
      <c r="E81" s="7" t="s">
        <v>188</v>
      </c>
      <c r="F81" s="5">
        <v>40284</v>
      </c>
      <c r="G81" s="5">
        <v>40543</v>
      </c>
      <c r="H81" s="4" t="s">
        <v>40</v>
      </c>
      <c r="I81" s="6">
        <v>7532.78</v>
      </c>
      <c r="J81" s="6">
        <v>7532.78</v>
      </c>
      <c r="K81" s="37" t="s">
        <v>17</v>
      </c>
      <c r="L81" s="119"/>
      <c r="M81" s="3"/>
    </row>
    <row r="82" spans="1:13" s="4" customFormat="1" ht="51" x14ac:dyDescent="0.25">
      <c r="A82" s="4" t="s">
        <v>189</v>
      </c>
      <c r="B82" s="4" t="s">
        <v>190</v>
      </c>
      <c r="C82" s="37" t="s">
        <v>17</v>
      </c>
      <c r="D82" s="35">
        <v>7388</v>
      </c>
      <c r="E82" s="7" t="s">
        <v>191</v>
      </c>
      <c r="F82" s="5">
        <v>40284</v>
      </c>
      <c r="G82" s="5">
        <v>40543</v>
      </c>
      <c r="H82" s="4" t="s">
        <v>40</v>
      </c>
      <c r="I82" s="6">
        <v>15000</v>
      </c>
      <c r="J82" s="6">
        <v>10000</v>
      </c>
      <c r="K82" s="37" t="s">
        <v>17</v>
      </c>
      <c r="L82" s="119"/>
      <c r="M82" s="3"/>
    </row>
    <row r="83" spans="1:13" s="4" customFormat="1" ht="51" x14ac:dyDescent="0.25">
      <c r="A83" s="4" t="s">
        <v>192</v>
      </c>
      <c r="B83" s="4" t="s">
        <v>190</v>
      </c>
      <c r="C83" s="37" t="s">
        <v>17</v>
      </c>
      <c r="D83" s="35">
        <v>7392</v>
      </c>
      <c r="E83" s="4" t="s">
        <v>193</v>
      </c>
      <c r="F83" s="5">
        <v>40179</v>
      </c>
      <c r="G83" s="5">
        <v>40543</v>
      </c>
      <c r="H83" s="4" t="s">
        <v>40</v>
      </c>
      <c r="I83" s="6">
        <v>8000</v>
      </c>
      <c r="J83" s="6">
        <v>8000</v>
      </c>
      <c r="K83" s="37" t="s">
        <v>17</v>
      </c>
      <c r="L83" s="119"/>
      <c r="M83" s="3"/>
    </row>
    <row r="84" spans="1:13" s="4" customFormat="1" ht="51" x14ac:dyDescent="0.25">
      <c r="A84" s="4" t="s">
        <v>194</v>
      </c>
      <c r="B84" s="4" t="s">
        <v>90</v>
      </c>
      <c r="C84" s="37" t="s">
        <v>17</v>
      </c>
      <c r="D84" s="35">
        <v>7394</v>
      </c>
      <c r="E84" s="4" t="s">
        <v>195</v>
      </c>
      <c r="F84" s="5">
        <v>40374</v>
      </c>
      <c r="G84" s="5">
        <v>40543</v>
      </c>
      <c r="H84" s="4" t="s">
        <v>40</v>
      </c>
      <c r="I84" s="6">
        <v>15000</v>
      </c>
      <c r="J84" s="6">
        <v>7500</v>
      </c>
      <c r="K84" s="37" t="s">
        <v>17</v>
      </c>
      <c r="L84" s="119"/>
      <c r="M84" s="3"/>
    </row>
    <row r="85" spans="1:13" s="4" customFormat="1" ht="25.5" x14ac:dyDescent="0.25">
      <c r="A85" s="4" t="s">
        <v>196</v>
      </c>
      <c r="B85" s="4" t="s">
        <v>50</v>
      </c>
      <c r="C85" s="37" t="s">
        <v>17</v>
      </c>
      <c r="D85" s="35">
        <v>7408</v>
      </c>
      <c r="E85" s="4" t="s">
        <v>197</v>
      </c>
      <c r="F85" s="5">
        <v>40179</v>
      </c>
      <c r="G85" s="5">
        <v>40543</v>
      </c>
      <c r="H85" s="4" t="s">
        <v>40</v>
      </c>
      <c r="I85" s="6">
        <v>20000</v>
      </c>
      <c r="J85" s="6">
        <v>10000</v>
      </c>
      <c r="K85" s="37" t="s">
        <v>17</v>
      </c>
      <c r="L85" s="119"/>
      <c r="M85" s="3"/>
    </row>
    <row r="86" spans="1:13" s="4" customFormat="1" ht="51" x14ac:dyDescent="0.25">
      <c r="A86" s="4" t="s">
        <v>198</v>
      </c>
      <c r="B86" s="4" t="s">
        <v>190</v>
      </c>
      <c r="C86" s="37" t="s">
        <v>17</v>
      </c>
      <c r="D86" s="35">
        <v>7411</v>
      </c>
      <c r="E86" s="4" t="s">
        <v>199</v>
      </c>
      <c r="F86" s="5">
        <v>40179</v>
      </c>
      <c r="G86" s="5">
        <v>40908</v>
      </c>
      <c r="H86" s="4" t="s">
        <v>40</v>
      </c>
      <c r="I86" s="6">
        <v>10000</v>
      </c>
      <c r="J86" s="6">
        <v>10000</v>
      </c>
      <c r="K86" s="37" t="s">
        <v>17</v>
      </c>
      <c r="L86" s="119"/>
      <c r="M86" s="3"/>
    </row>
    <row r="87" spans="1:13" s="4" customFormat="1" ht="38.25" x14ac:dyDescent="0.25">
      <c r="A87" s="4" t="s">
        <v>200</v>
      </c>
      <c r="B87" s="4" t="s">
        <v>190</v>
      </c>
      <c r="C87" s="37" t="s">
        <v>17</v>
      </c>
      <c r="D87" s="35">
        <v>7427</v>
      </c>
      <c r="E87" s="4" t="s">
        <v>201</v>
      </c>
      <c r="F87" s="5">
        <v>40179</v>
      </c>
      <c r="G87" s="5">
        <v>40543</v>
      </c>
      <c r="H87" s="4" t="s">
        <v>40</v>
      </c>
      <c r="I87" s="6">
        <v>38350</v>
      </c>
      <c r="J87" s="6">
        <v>19250</v>
      </c>
      <c r="K87" s="37" t="s">
        <v>17</v>
      </c>
      <c r="L87" s="119"/>
      <c r="M87" s="3"/>
    </row>
    <row r="88" spans="1:13" s="4" customFormat="1" ht="102" x14ac:dyDescent="0.25">
      <c r="A88" s="4" t="s">
        <v>202</v>
      </c>
      <c r="B88" s="4" t="s">
        <v>190</v>
      </c>
      <c r="C88" s="37" t="s">
        <v>17</v>
      </c>
      <c r="D88" s="35">
        <v>7450</v>
      </c>
      <c r="E88" s="4" t="s">
        <v>203</v>
      </c>
      <c r="F88" s="5">
        <v>40179</v>
      </c>
      <c r="G88" s="5">
        <v>40543</v>
      </c>
      <c r="H88" s="4" t="s">
        <v>40</v>
      </c>
      <c r="I88" s="6">
        <v>35000</v>
      </c>
      <c r="J88" s="6">
        <v>17500</v>
      </c>
      <c r="K88" s="37" t="s">
        <v>17</v>
      </c>
      <c r="L88" s="119"/>
      <c r="M88" s="3"/>
    </row>
    <row r="89" spans="1:13" s="4" customFormat="1" ht="51" x14ac:dyDescent="0.25">
      <c r="A89" s="4" t="s">
        <v>204</v>
      </c>
      <c r="B89" s="4" t="s">
        <v>183</v>
      </c>
      <c r="C89" s="37" t="s">
        <v>17</v>
      </c>
      <c r="D89" s="35">
        <v>7451</v>
      </c>
      <c r="E89" s="4" t="s">
        <v>205</v>
      </c>
      <c r="F89" s="5">
        <v>40179</v>
      </c>
      <c r="G89" s="5"/>
      <c r="H89" s="4" t="s">
        <v>40</v>
      </c>
      <c r="I89" s="6">
        <v>4000</v>
      </c>
      <c r="J89" s="6">
        <v>4000</v>
      </c>
      <c r="K89" s="37" t="s">
        <v>17</v>
      </c>
      <c r="L89" s="119"/>
      <c r="M89" s="3"/>
    </row>
    <row r="90" spans="1:13" s="4" customFormat="1" ht="38.25" x14ac:dyDescent="0.25">
      <c r="A90" s="4" t="s">
        <v>206</v>
      </c>
      <c r="B90" s="4" t="s">
        <v>190</v>
      </c>
      <c r="C90" s="37" t="s">
        <v>17</v>
      </c>
      <c r="D90" s="35">
        <v>7458</v>
      </c>
      <c r="E90" s="4" t="s">
        <v>207</v>
      </c>
      <c r="F90" s="5">
        <v>40179</v>
      </c>
      <c r="G90" s="5"/>
      <c r="H90" s="4" t="s">
        <v>40</v>
      </c>
      <c r="I90" s="6">
        <v>13663.36</v>
      </c>
      <c r="J90" s="6">
        <v>8081.68</v>
      </c>
      <c r="K90" s="37" t="s">
        <v>17</v>
      </c>
      <c r="L90" s="119"/>
      <c r="M90" s="3"/>
    </row>
    <row r="91" spans="1:13" s="4" customFormat="1" ht="63.75" x14ac:dyDescent="0.25">
      <c r="A91" s="4" t="s">
        <v>208</v>
      </c>
      <c r="B91" s="4" t="s">
        <v>190</v>
      </c>
      <c r="C91" s="37" t="s">
        <v>17</v>
      </c>
      <c r="D91" s="35">
        <v>7459</v>
      </c>
      <c r="E91" s="4" t="s">
        <v>209</v>
      </c>
      <c r="F91" s="5">
        <v>40514</v>
      </c>
      <c r="G91" s="5">
        <v>40908</v>
      </c>
      <c r="H91" s="4" t="s">
        <v>40</v>
      </c>
      <c r="I91" s="6">
        <v>5000</v>
      </c>
      <c r="J91" s="6">
        <v>5000</v>
      </c>
      <c r="K91" s="37" t="s">
        <v>17</v>
      </c>
      <c r="L91" s="119"/>
      <c r="M91" s="3"/>
    </row>
    <row r="92" spans="1:13" s="4" customFormat="1" ht="25.5" x14ac:dyDescent="0.25">
      <c r="A92" s="4" t="s">
        <v>210</v>
      </c>
      <c r="B92" s="4" t="s">
        <v>50</v>
      </c>
      <c r="C92" s="37" t="s">
        <v>17</v>
      </c>
      <c r="D92" s="35">
        <v>7460</v>
      </c>
      <c r="E92" s="7" t="s">
        <v>211</v>
      </c>
      <c r="F92" s="5">
        <v>40374</v>
      </c>
      <c r="G92" s="5">
        <v>40543</v>
      </c>
      <c r="H92" s="4" t="s">
        <v>40</v>
      </c>
      <c r="I92" s="6">
        <v>28005.38</v>
      </c>
      <c r="J92" s="6">
        <v>14002.69</v>
      </c>
      <c r="K92" s="37" t="s">
        <v>17</v>
      </c>
      <c r="L92" s="119"/>
      <c r="M92" s="3"/>
    </row>
    <row r="93" spans="1:13" s="4" customFormat="1" ht="38.25" x14ac:dyDescent="0.25">
      <c r="A93" s="4" t="s">
        <v>212</v>
      </c>
      <c r="B93" s="4" t="s">
        <v>183</v>
      </c>
      <c r="C93" s="37" t="s">
        <v>17</v>
      </c>
      <c r="D93" s="35">
        <v>7461</v>
      </c>
      <c r="E93" s="4" t="s">
        <v>213</v>
      </c>
      <c r="F93" s="5">
        <v>40221</v>
      </c>
      <c r="G93" s="4">
        <v>40543</v>
      </c>
      <c r="H93" s="4" t="s">
        <v>40</v>
      </c>
      <c r="I93" s="6">
        <v>4992.63</v>
      </c>
      <c r="J93" s="6">
        <v>4992.63</v>
      </c>
      <c r="K93" s="37" t="s">
        <v>17</v>
      </c>
      <c r="L93" s="119"/>
      <c r="M93" s="3"/>
    </row>
    <row r="94" spans="1:13" s="4" customFormat="1" ht="25.5" x14ac:dyDescent="0.25">
      <c r="A94" s="4" t="s">
        <v>216</v>
      </c>
      <c r="B94" s="4" t="s">
        <v>190</v>
      </c>
      <c r="C94" s="37" t="s">
        <v>17</v>
      </c>
      <c r="D94" s="35">
        <v>7463</v>
      </c>
      <c r="E94" s="4" t="s">
        <v>217</v>
      </c>
      <c r="F94" s="5">
        <v>40221</v>
      </c>
      <c r="G94" s="4">
        <v>40543</v>
      </c>
      <c r="H94" s="4" t="s">
        <v>40</v>
      </c>
      <c r="I94" s="6">
        <v>13427.28</v>
      </c>
      <c r="J94" s="6">
        <v>7963.64</v>
      </c>
      <c r="K94" s="37" t="s">
        <v>17</v>
      </c>
      <c r="L94" s="119"/>
      <c r="M94" s="3"/>
    </row>
    <row r="95" spans="1:13" s="4" customFormat="1" ht="51" x14ac:dyDescent="0.25">
      <c r="A95" s="4" t="s">
        <v>218</v>
      </c>
      <c r="B95" s="4" t="s">
        <v>183</v>
      </c>
      <c r="C95" s="37" t="s">
        <v>17</v>
      </c>
      <c r="D95" s="35">
        <v>7465</v>
      </c>
      <c r="E95" s="4" t="s">
        <v>219</v>
      </c>
      <c r="F95" s="5">
        <v>40221</v>
      </c>
      <c r="G95" s="5">
        <v>40543</v>
      </c>
      <c r="H95" s="4" t="s">
        <v>40</v>
      </c>
      <c r="I95" s="6">
        <v>5000</v>
      </c>
      <c r="J95" s="6">
        <v>5000</v>
      </c>
      <c r="K95" s="37" t="s">
        <v>17</v>
      </c>
      <c r="L95" s="119"/>
      <c r="M95" s="3"/>
    </row>
    <row r="96" spans="1:13" s="4" customFormat="1" ht="102" x14ac:dyDescent="0.25">
      <c r="A96" s="4" t="s">
        <v>222</v>
      </c>
      <c r="B96" s="4" t="s">
        <v>183</v>
      </c>
      <c r="C96" s="37" t="s">
        <v>17</v>
      </c>
      <c r="D96" s="35">
        <v>7467</v>
      </c>
      <c r="E96" s="4" t="s">
        <v>223</v>
      </c>
      <c r="F96" s="5">
        <v>40514</v>
      </c>
      <c r="G96" s="5">
        <v>40908</v>
      </c>
      <c r="H96" s="4" t="s">
        <v>40</v>
      </c>
      <c r="I96" s="6">
        <v>5000</v>
      </c>
      <c r="J96" s="6">
        <v>5000</v>
      </c>
      <c r="K96" s="37" t="s">
        <v>17</v>
      </c>
      <c r="L96" s="119"/>
      <c r="M96" s="3"/>
    </row>
    <row r="97" spans="1:13" s="4" customFormat="1" ht="38.25" x14ac:dyDescent="0.25">
      <c r="A97" s="4" t="s">
        <v>224</v>
      </c>
      <c r="B97" s="4" t="s">
        <v>183</v>
      </c>
      <c r="C97" s="37" t="s">
        <v>17</v>
      </c>
      <c r="D97" s="35">
        <v>7468</v>
      </c>
      <c r="E97" s="4" t="s">
        <v>225</v>
      </c>
      <c r="F97" s="5">
        <v>40221</v>
      </c>
      <c r="G97" s="5"/>
      <c r="H97" s="4" t="s">
        <v>40</v>
      </c>
      <c r="I97" s="6">
        <v>4285.7</v>
      </c>
      <c r="J97" s="6">
        <v>4285.7</v>
      </c>
      <c r="K97" s="37" t="s">
        <v>17</v>
      </c>
      <c r="L97" s="119"/>
      <c r="M97" s="3"/>
    </row>
    <row r="98" spans="1:13" s="4" customFormat="1" ht="25.5" x14ac:dyDescent="0.25">
      <c r="A98" s="4" t="s">
        <v>226</v>
      </c>
      <c r="B98" s="4" t="s">
        <v>38</v>
      </c>
      <c r="C98" s="37" t="s">
        <v>17</v>
      </c>
      <c r="D98" s="35">
        <v>7470</v>
      </c>
      <c r="E98" s="4" t="s">
        <v>227</v>
      </c>
      <c r="F98" s="5">
        <v>40284</v>
      </c>
      <c r="G98" s="4">
        <v>40543</v>
      </c>
      <c r="H98" s="4" t="s">
        <v>40</v>
      </c>
      <c r="I98" s="6">
        <v>10974.6</v>
      </c>
      <c r="J98" s="6">
        <v>5487.3</v>
      </c>
      <c r="K98" s="37" t="s">
        <v>17</v>
      </c>
      <c r="L98" s="119"/>
      <c r="M98" s="3"/>
    </row>
    <row r="99" spans="1:13" s="4" customFormat="1" ht="153" x14ac:dyDescent="0.25">
      <c r="A99" s="4" t="s">
        <v>228</v>
      </c>
      <c r="B99" s="4" t="s">
        <v>38</v>
      </c>
      <c r="C99" s="37" t="s">
        <v>17</v>
      </c>
      <c r="D99" s="35">
        <v>7527</v>
      </c>
      <c r="E99" s="4" t="s">
        <v>229</v>
      </c>
      <c r="F99" s="5">
        <v>40179</v>
      </c>
      <c r="G99" s="5">
        <v>40543</v>
      </c>
      <c r="H99" s="4" t="s">
        <v>40</v>
      </c>
      <c r="I99" s="6">
        <v>8000</v>
      </c>
      <c r="J99" s="6">
        <v>8000</v>
      </c>
      <c r="K99" s="37" t="s">
        <v>17</v>
      </c>
      <c r="L99" s="119"/>
      <c r="M99" s="3"/>
    </row>
    <row r="100" spans="1:13" s="4" customFormat="1" ht="51" x14ac:dyDescent="0.25">
      <c r="A100" s="4" t="s">
        <v>230</v>
      </c>
      <c r="B100" s="4" t="s">
        <v>38</v>
      </c>
      <c r="C100" s="37" t="s">
        <v>17</v>
      </c>
      <c r="D100" s="35">
        <v>7528</v>
      </c>
      <c r="E100" s="4" t="s">
        <v>231</v>
      </c>
      <c r="F100" s="5">
        <v>40179</v>
      </c>
      <c r="G100" s="5">
        <v>40908</v>
      </c>
      <c r="H100" s="4" t="s">
        <v>40</v>
      </c>
      <c r="I100" s="6">
        <v>36089.279999999999</v>
      </c>
      <c r="J100" s="6">
        <v>36089.279999999999</v>
      </c>
      <c r="K100" s="37" t="s">
        <v>17</v>
      </c>
      <c r="L100" s="119"/>
      <c r="M100" s="3"/>
    </row>
    <row r="101" spans="1:13" s="4" customFormat="1" ht="25.5" x14ac:dyDescent="0.25">
      <c r="A101" s="4" t="s">
        <v>232</v>
      </c>
      <c r="B101" s="4" t="s">
        <v>38</v>
      </c>
      <c r="C101" s="37" t="s">
        <v>17</v>
      </c>
      <c r="D101" s="35">
        <v>7529</v>
      </c>
      <c r="E101" s="4" t="s">
        <v>233</v>
      </c>
      <c r="F101" s="5">
        <v>40179</v>
      </c>
      <c r="G101" s="5">
        <v>40543</v>
      </c>
      <c r="H101" s="4" t="s">
        <v>40</v>
      </c>
      <c r="I101" s="6">
        <v>3325.22</v>
      </c>
      <c r="J101" s="6">
        <v>3325.22</v>
      </c>
      <c r="K101" s="37" t="s">
        <v>17</v>
      </c>
      <c r="L101" s="119"/>
      <c r="M101" s="3"/>
    </row>
    <row r="102" spans="1:13" s="4" customFormat="1" ht="114.75" x14ac:dyDescent="0.25">
      <c r="A102" s="4" t="s">
        <v>234</v>
      </c>
      <c r="B102" s="4" t="s">
        <v>190</v>
      </c>
      <c r="C102" s="37" t="s">
        <v>17</v>
      </c>
      <c r="D102" s="35">
        <v>7553</v>
      </c>
      <c r="E102" s="7" t="s">
        <v>235</v>
      </c>
      <c r="F102" s="5">
        <v>40514</v>
      </c>
      <c r="G102" s="5">
        <v>40543</v>
      </c>
      <c r="H102" s="4" t="s">
        <v>40</v>
      </c>
      <c r="I102" s="6">
        <v>28350</v>
      </c>
      <c r="J102" s="6">
        <v>14175</v>
      </c>
      <c r="K102" s="37" t="s">
        <v>17</v>
      </c>
      <c r="L102" s="119"/>
      <c r="M102" s="3"/>
    </row>
    <row r="103" spans="1:13" s="4" customFormat="1" ht="51" x14ac:dyDescent="0.25">
      <c r="A103" s="4" t="s">
        <v>236</v>
      </c>
      <c r="B103" s="4" t="s">
        <v>190</v>
      </c>
      <c r="C103" s="37" t="s">
        <v>17</v>
      </c>
      <c r="D103" s="35">
        <v>7554</v>
      </c>
      <c r="E103" s="4" t="s">
        <v>237</v>
      </c>
      <c r="F103" s="5">
        <v>40451</v>
      </c>
      <c r="G103" s="4">
        <v>40543</v>
      </c>
      <c r="H103" s="4" t="s">
        <v>40</v>
      </c>
      <c r="I103" s="6">
        <v>40000</v>
      </c>
      <c r="J103" s="6">
        <v>22500</v>
      </c>
      <c r="K103" s="37" t="s">
        <v>17</v>
      </c>
      <c r="L103" s="119"/>
      <c r="M103" s="3"/>
    </row>
    <row r="104" spans="1:13" s="4" customFormat="1" ht="38.25" x14ac:dyDescent="0.25">
      <c r="A104" s="4" t="s">
        <v>238</v>
      </c>
      <c r="B104" s="4" t="s">
        <v>38</v>
      </c>
      <c r="C104" s="37" t="s">
        <v>17</v>
      </c>
      <c r="D104" s="35">
        <v>7853</v>
      </c>
      <c r="E104" s="4" t="s">
        <v>239</v>
      </c>
      <c r="F104" s="5">
        <v>40179</v>
      </c>
      <c r="G104" s="5">
        <v>40543</v>
      </c>
      <c r="H104" s="4" t="s">
        <v>40</v>
      </c>
      <c r="I104" s="6">
        <v>4398.3599999999997</v>
      </c>
      <c r="J104" s="6">
        <v>4398.3599999999997</v>
      </c>
      <c r="K104" s="37" t="s">
        <v>17</v>
      </c>
      <c r="L104" s="119"/>
      <c r="M104" s="3"/>
    </row>
    <row r="105" spans="1:13" s="4" customFormat="1" ht="51" x14ac:dyDescent="0.25">
      <c r="A105" s="4" t="s">
        <v>240</v>
      </c>
      <c r="B105" s="4" t="s">
        <v>38</v>
      </c>
      <c r="C105" s="37" t="s">
        <v>17</v>
      </c>
      <c r="D105" s="35">
        <v>7854</v>
      </c>
      <c r="E105" s="7" t="s">
        <v>241</v>
      </c>
      <c r="F105" s="5">
        <v>40179</v>
      </c>
      <c r="G105" s="5">
        <v>41639</v>
      </c>
      <c r="H105" s="4" t="s">
        <v>40</v>
      </c>
      <c r="I105" s="6">
        <v>75011.679999999993</v>
      </c>
      <c r="J105" s="6">
        <v>75011.679999999993</v>
      </c>
      <c r="K105" s="37" t="s">
        <v>17</v>
      </c>
      <c r="L105" s="119"/>
      <c r="M105" s="3"/>
    </row>
    <row r="106" spans="1:13" s="4" customFormat="1" ht="51" x14ac:dyDescent="0.25">
      <c r="A106" s="4" t="s">
        <v>242</v>
      </c>
      <c r="B106" s="4" t="s">
        <v>90</v>
      </c>
      <c r="C106" s="37" t="s">
        <v>17</v>
      </c>
      <c r="D106" s="35">
        <v>8644</v>
      </c>
      <c r="E106" s="4" t="s">
        <v>243</v>
      </c>
      <c r="F106" s="5">
        <v>40514</v>
      </c>
      <c r="G106" s="5">
        <v>40908</v>
      </c>
      <c r="H106" s="4" t="s">
        <v>40</v>
      </c>
      <c r="I106" s="6">
        <v>11732</v>
      </c>
      <c r="J106" s="6">
        <v>5866</v>
      </c>
      <c r="K106" s="37" t="s">
        <v>17</v>
      </c>
      <c r="L106" s="119"/>
      <c r="M106" s="3"/>
    </row>
    <row r="107" spans="1:13" s="4" customFormat="1" ht="51" x14ac:dyDescent="0.25">
      <c r="A107" s="4" t="s">
        <v>244</v>
      </c>
      <c r="B107" s="4" t="s">
        <v>183</v>
      </c>
      <c r="C107" s="37" t="s">
        <v>17</v>
      </c>
      <c r="D107" s="35">
        <v>8645</v>
      </c>
      <c r="E107" s="4" t="s">
        <v>245</v>
      </c>
      <c r="F107" s="5">
        <v>40809</v>
      </c>
      <c r="G107" s="5">
        <v>41274</v>
      </c>
      <c r="H107" s="4" t="s">
        <v>40</v>
      </c>
      <c r="I107" s="6">
        <v>9000</v>
      </c>
      <c r="J107" s="6">
        <v>7000</v>
      </c>
      <c r="K107" s="37" t="s">
        <v>17</v>
      </c>
      <c r="L107" s="119"/>
      <c r="M107" s="3"/>
    </row>
    <row r="108" spans="1:13" s="4" customFormat="1" ht="51" x14ac:dyDescent="0.25">
      <c r="A108" s="4" t="s">
        <v>246</v>
      </c>
      <c r="B108" s="4" t="s">
        <v>190</v>
      </c>
      <c r="C108" s="37" t="s">
        <v>17</v>
      </c>
      <c r="D108" s="35">
        <v>8658</v>
      </c>
      <c r="E108" s="7" t="s">
        <v>247</v>
      </c>
      <c r="F108" s="5">
        <v>40809</v>
      </c>
      <c r="G108" s="5">
        <v>41274</v>
      </c>
      <c r="H108" s="4" t="s">
        <v>40</v>
      </c>
      <c r="I108" s="6">
        <v>20000</v>
      </c>
      <c r="J108" s="6">
        <v>10000</v>
      </c>
      <c r="K108" s="37" t="s">
        <v>17</v>
      </c>
      <c r="L108" s="119"/>
      <c r="M108" s="3"/>
    </row>
    <row r="109" spans="1:13" s="4" customFormat="1" ht="102" x14ac:dyDescent="0.25">
      <c r="A109" s="4" t="s">
        <v>248</v>
      </c>
      <c r="B109" s="4" t="s">
        <v>190</v>
      </c>
      <c r="C109" s="37" t="s">
        <v>17</v>
      </c>
      <c r="D109" s="35">
        <v>8664</v>
      </c>
      <c r="E109" s="4" t="s">
        <v>249</v>
      </c>
      <c r="F109" s="5">
        <v>40724</v>
      </c>
      <c r="G109" s="5">
        <v>40898</v>
      </c>
      <c r="H109" s="4" t="s">
        <v>40</v>
      </c>
      <c r="I109" s="6">
        <v>5000</v>
      </c>
      <c r="J109" s="6">
        <v>5000</v>
      </c>
      <c r="K109" s="37" t="s">
        <v>17</v>
      </c>
      <c r="L109" s="119"/>
      <c r="M109" s="3"/>
    </row>
    <row r="110" spans="1:13" s="4" customFormat="1" ht="51" x14ac:dyDescent="0.25">
      <c r="A110" s="4" t="s">
        <v>250</v>
      </c>
      <c r="B110" s="4" t="s">
        <v>190</v>
      </c>
      <c r="C110" s="37" t="s">
        <v>17</v>
      </c>
      <c r="D110" s="35">
        <v>8665</v>
      </c>
      <c r="E110" s="4" t="s">
        <v>251</v>
      </c>
      <c r="F110" s="5">
        <v>40724</v>
      </c>
      <c r="G110" s="5">
        <v>41274</v>
      </c>
      <c r="H110" s="4" t="s">
        <v>40</v>
      </c>
      <c r="I110" s="6">
        <v>30000</v>
      </c>
      <c r="J110" s="6">
        <v>20000</v>
      </c>
      <c r="K110" s="37" t="s">
        <v>17</v>
      </c>
      <c r="L110" s="119"/>
      <c r="M110" s="3"/>
    </row>
    <row r="111" spans="1:13" s="4" customFormat="1" ht="38.25" x14ac:dyDescent="0.25">
      <c r="A111" s="4" t="s">
        <v>252</v>
      </c>
      <c r="B111" s="4" t="s">
        <v>183</v>
      </c>
      <c r="C111" s="37" t="s">
        <v>17</v>
      </c>
      <c r="D111" s="35">
        <v>8666</v>
      </c>
      <c r="E111" s="4" t="s">
        <v>253</v>
      </c>
      <c r="F111" s="5">
        <v>40603</v>
      </c>
      <c r="G111" s="5">
        <v>40908</v>
      </c>
      <c r="H111" s="4" t="s">
        <v>40</v>
      </c>
      <c r="I111" s="6">
        <v>5000</v>
      </c>
      <c r="J111" s="6">
        <v>5000</v>
      </c>
      <c r="K111" s="37" t="s">
        <v>17</v>
      </c>
      <c r="L111" s="119"/>
      <c r="M111" s="3"/>
    </row>
    <row r="112" spans="1:13" s="4" customFormat="1" ht="51" x14ac:dyDescent="0.25">
      <c r="A112" s="4" t="s">
        <v>254</v>
      </c>
      <c r="B112" s="4" t="s">
        <v>183</v>
      </c>
      <c r="C112" s="37" t="s">
        <v>17</v>
      </c>
      <c r="D112" s="35">
        <v>8668</v>
      </c>
      <c r="E112" s="4" t="s">
        <v>255</v>
      </c>
      <c r="F112" s="5">
        <v>40809</v>
      </c>
      <c r="G112" s="5">
        <v>41274</v>
      </c>
      <c r="H112" s="4" t="s">
        <v>40</v>
      </c>
      <c r="I112" s="6">
        <v>9000</v>
      </c>
      <c r="J112" s="6">
        <v>7000</v>
      </c>
      <c r="K112" s="37" t="s">
        <v>17</v>
      </c>
      <c r="L112" s="119"/>
      <c r="M112" s="3"/>
    </row>
    <row r="113" spans="1:13" s="4" customFormat="1" ht="63.75" x14ac:dyDescent="0.25">
      <c r="A113" s="4" t="s">
        <v>200</v>
      </c>
      <c r="B113" s="4" t="s">
        <v>190</v>
      </c>
      <c r="C113" s="37" t="s">
        <v>17</v>
      </c>
      <c r="D113" s="35">
        <v>8674</v>
      </c>
      <c r="E113" s="4" t="s">
        <v>256</v>
      </c>
      <c r="F113" s="5">
        <v>40652</v>
      </c>
      <c r="G113" s="5">
        <v>40908</v>
      </c>
      <c r="H113" s="4" t="s">
        <v>40</v>
      </c>
      <c r="I113" s="6">
        <v>30000</v>
      </c>
      <c r="J113" s="6">
        <v>15000</v>
      </c>
      <c r="K113" s="37" t="s">
        <v>17</v>
      </c>
      <c r="L113" s="119"/>
      <c r="M113" s="3"/>
    </row>
    <row r="114" spans="1:13" s="4" customFormat="1" ht="63.75" x14ac:dyDescent="0.25">
      <c r="A114" s="4" t="s">
        <v>257</v>
      </c>
      <c r="B114" s="4" t="s">
        <v>183</v>
      </c>
      <c r="C114" s="37" t="s">
        <v>17</v>
      </c>
      <c r="D114" s="35">
        <v>8676</v>
      </c>
      <c r="E114" s="4" t="s">
        <v>258</v>
      </c>
      <c r="F114" s="5">
        <v>40514</v>
      </c>
      <c r="G114" s="5">
        <v>40908</v>
      </c>
      <c r="H114" s="4" t="s">
        <v>40</v>
      </c>
      <c r="I114" s="6">
        <v>14500</v>
      </c>
      <c r="J114" s="6">
        <v>8500</v>
      </c>
      <c r="K114" s="37" t="s">
        <v>17</v>
      </c>
      <c r="L114" s="119"/>
      <c r="M114" s="3"/>
    </row>
    <row r="115" spans="1:13" s="4" customFormat="1" ht="25.5" x14ac:dyDescent="0.25">
      <c r="A115" s="4" t="s">
        <v>261</v>
      </c>
      <c r="B115" s="4" t="s">
        <v>183</v>
      </c>
      <c r="C115" s="37" t="s">
        <v>17</v>
      </c>
      <c r="D115" s="35">
        <v>8679</v>
      </c>
      <c r="E115" s="7" t="s">
        <v>262</v>
      </c>
      <c r="F115" s="5">
        <v>40451</v>
      </c>
      <c r="G115" s="5">
        <v>40908</v>
      </c>
      <c r="H115" s="4" t="s">
        <v>40</v>
      </c>
      <c r="I115" s="6">
        <v>23547</v>
      </c>
      <c r="J115" s="6">
        <v>11773.5</v>
      </c>
      <c r="K115" s="37" t="s">
        <v>17</v>
      </c>
      <c r="L115" s="119"/>
      <c r="M115" s="3"/>
    </row>
    <row r="116" spans="1:13" s="4" customFormat="1" ht="102" x14ac:dyDescent="0.25">
      <c r="A116" s="4" t="s">
        <v>263</v>
      </c>
      <c r="B116" s="4" t="s">
        <v>90</v>
      </c>
      <c r="C116" s="37" t="s">
        <v>17</v>
      </c>
      <c r="D116" s="35">
        <v>8682</v>
      </c>
      <c r="E116" s="4" t="s">
        <v>264</v>
      </c>
      <c r="F116" s="5">
        <v>40451</v>
      </c>
      <c r="G116" s="5">
        <v>40908</v>
      </c>
      <c r="H116" s="4" t="s">
        <v>40</v>
      </c>
      <c r="I116" s="6">
        <v>5234.74</v>
      </c>
      <c r="J116" s="6">
        <v>2617.37</v>
      </c>
      <c r="K116" s="37" t="s">
        <v>17</v>
      </c>
      <c r="L116" s="119"/>
      <c r="M116" s="3"/>
    </row>
    <row r="117" spans="1:13" s="4" customFormat="1" ht="114.75" x14ac:dyDescent="0.25">
      <c r="A117" s="4" t="s">
        <v>265</v>
      </c>
      <c r="B117" s="4" t="s">
        <v>183</v>
      </c>
      <c r="C117" s="37" t="s">
        <v>17</v>
      </c>
      <c r="D117" s="35">
        <v>8683</v>
      </c>
      <c r="E117" s="4" t="s">
        <v>266</v>
      </c>
      <c r="F117" s="5">
        <v>40724</v>
      </c>
      <c r="G117" s="5">
        <v>41274</v>
      </c>
      <c r="H117" s="4" t="s">
        <v>40</v>
      </c>
      <c r="I117" s="6">
        <v>5000</v>
      </c>
      <c r="J117" s="6">
        <v>5000</v>
      </c>
      <c r="K117" s="37" t="s">
        <v>17</v>
      </c>
      <c r="L117" s="119"/>
      <c r="M117" s="3"/>
    </row>
    <row r="118" spans="1:13" s="4" customFormat="1" x14ac:dyDescent="0.25">
      <c r="A118" s="4" t="s">
        <v>267</v>
      </c>
      <c r="B118" s="4" t="s">
        <v>190</v>
      </c>
      <c r="C118" s="37" t="s">
        <v>17</v>
      </c>
      <c r="D118" s="35">
        <v>8688</v>
      </c>
      <c r="E118" s="4" t="s">
        <v>268</v>
      </c>
      <c r="F118" s="5">
        <v>40809</v>
      </c>
      <c r="G118" s="5">
        <v>41274</v>
      </c>
      <c r="H118" s="4" t="s">
        <v>40</v>
      </c>
      <c r="I118" s="6">
        <v>1500</v>
      </c>
      <c r="J118" s="6">
        <v>1500</v>
      </c>
      <c r="K118" s="37" t="s">
        <v>17</v>
      </c>
      <c r="L118" s="119"/>
      <c r="M118" s="3"/>
    </row>
    <row r="119" spans="1:13" s="4" customFormat="1" ht="63.75" x14ac:dyDescent="0.25">
      <c r="A119" s="4" t="s">
        <v>236</v>
      </c>
      <c r="B119" s="4" t="s">
        <v>190</v>
      </c>
      <c r="C119" s="37" t="s">
        <v>17</v>
      </c>
      <c r="D119" s="35">
        <v>8689</v>
      </c>
      <c r="E119" s="4" t="s">
        <v>269</v>
      </c>
      <c r="F119" s="5">
        <v>40724</v>
      </c>
      <c r="G119" s="5">
        <v>40908</v>
      </c>
      <c r="H119" s="4" t="s">
        <v>40</v>
      </c>
      <c r="I119" s="6">
        <v>20000</v>
      </c>
      <c r="J119" s="6">
        <v>10000</v>
      </c>
      <c r="K119" s="37" t="s">
        <v>17</v>
      </c>
      <c r="L119" s="119"/>
      <c r="M119" s="3"/>
    </row>
    <row r="120" spans="1:13" s="4" customFormat="1" ht="63.75" x14ac:dyDescent="0.25">
      <c r="A120" s="4" t="s">
        <v>270</v>
      </c>
      <c r="B120" s="4" t="s">
        <v>90</v>
      </c>
      <c r="C120" s="37" t="s">
        <v>17</v>
      </c>
      <c r="D120" s="35">
        <v>8692</v>
      </c>
      <c r="E120" s="4" t="s">
        <v>271</v>
      </c>
      <c r="F120" s="5">
        <v>40603</v>
      </c>
      <c r="G120" s="5">
        <v>41274</v>
      </c>
      <c r="H120" s="4" t="s">
        <v>40</v>
      </c>
      <c r="I120" s="6">
        <v>3770.08</v>
      </c>
      <c r="J120" s="6">
        <v>1885.04</v>
      </c>
      <c r="K120" s="37" t="s">
        <v>17</v>
      </c>
      <c r="L120" s="119"/>
      <c r="M120" s="3"/>
    </row>
    <row r="121" spans="1:13" s="4" customFormat="1" ht="102" x14ac:dyDescent="0.25">
      <c r="A121" s="4" t="s">
        <v>272</v>
      </c>
      <c r="B121" s="4" t="s">
        <v>190</v>
      </c>
      <c r="C121" s="37" t="s">
        <v>17</v>
      </c>
      <c r="D121" s="35">
        <v>8693</v>
      </c>
      <c r="E121" s="4" t="s">
        <v>273</v>
      </c>
      <c r="F121" s="5">
        <v>40891</v>
      </c>
      <c r="G121" s="5">
        <v>40908</v>
      </c>
      <c r="H121" s="4" t="s">
        <v>40</v>
      </c>
      <c r="I121" s="6">
        <v>1408.61</v>
      </c>
      <c r="J121" s="6">
        <v>1408.61</v>
      </c>
      <c r="K121" s="37" t="s">
        <v>17</v>
      </c>
      <c r="L121" s="119"/>
      <c r="M121" s="3"/>
    </row>
    <row r="122" spans="1:13" s="4" customFormat="1" ht="25.5" x14ac:dyDescent="0.25">
      <c r="A122" s="4" t="s">
        <v>274</v>
      </c>
      <c r="B122" s="4" t="s">
        <v>90</v>
      </c>
      <c r="C122" s="37" t="s">
        <v>17</v>
      </c>
      <c r="D122" s="35">
        <v>8694</v>
      </c>
      <c r="E122" s="4" t="s">
        <v>275</v>
      </c>
      <c r="F122" s="5">
        <v>40652</v>
      </c>
      <c r="G122" s="5">
        <v>40908</v>
      </c>
      <c r="H122" s="4" t="s">
        <v>40</v>
      </c>
      <c r="I122" s="6">
        <v>9808.7999999999993</v>
      </c>
      <c r="J122" s="6">
        <v>4904.3999999999996</v>
      </c>
      <c r="K122" s="37" t="s">
        <v>17</v>
      </c>
      <c r="L122" s="119"/>
      <c r="M122" s="3"/>
    </row>
    <row r="123" spans="1:13" s="4" customFormat="1" ht="76.5" x14ac:dyDescent="0.25">
      <c r="A123" s="4" t="s">
        <v>276</v>
      </c>
      <c r="B123" s="4" t="s">
        <v>183</v>
      </c>
      <c r="C123" s="37" t="s">
        <v>17</v>
      </c>
      <c r="D123" s="35">
        <v>8722</v>
      </c>
      <c r="E123" s="7" t="s">
        <v>277</v>
      </c>
      <c r="F123" s="5">
        <v>40653</v>
      </c>
      <c r="G123" s="5">
        <v>40908</v>
      </c>
      <c r="H123" s="4" t="s">
        <v>40</v>
      </c>
      <c r="I123" s="6">
        <v>5000</v>
      </c>
      <c r="J123" s="6">
        <v>5000</v>
      </c>
      <c r="K123" s="37" t="s">
        <v>17</v>
      </c>
      <c r="L123" s="119"/>
      <c r="M123" s="3"/>
    </row>
    <row r="124" spans="1:13" s="4" customFormat="1" ht="25.5" x14ac:dyDescent="0.25">
      <c r="A124" s="4" t="s">
        <v>278</v>
      </c>
      <c r="B124" s="4" t="s">
        <v>90</v>
      </c>
      <c r="C124" s="37" t="s">
        <v>17</v>
      </c>
      <c r="D124" s="35">
        <v>8724</v>
      </c>
      <c r="E124" s="7" t="s">
        <v>279</v>
      </c>
      <c r="F124" s="5">
        <v>40451</v>
      </c>
      <c r="G124" s="5">
        <v>40710</v>
      </c>
      <c r="H124" s="4" t="s">
        <v>40</v>
      </c>
      <c r="I124" s="6">
        <v>15000</v>
      </c>
      <c r="J124" s="6">
        <v>7500</v>
      </c>
      <c r="K124" s="37" t="s">
        <v>17</v>
      </c>
      <c r="L124" s="119"/>
      <c r="M124" s="3"/>
    </row>
    <row r="125" spans="1:13" s="4" customFormat="1" ht="38.25" x14ac:dyDescent="0.25">
      <c r="A125" s="4" t="s">
        <v>216</v>
      </c>
      <c r="B125" s="4" t="s">
        <v>190</v>
      </c>
      <c r="C125" s="37" t="s">
        <v>17</v>
      </c>
      <c r="D125" s="35">
        <v>8726</v>
      </c>
      <c r="E125" s="4" t="s">
        <v>282</v>
      </c>
      <c r="F125" s="5">
        <v>40724</v>
      </c>
      <c r="G125" s="5">
        <v>40896</v>
      </c>
      <c r="H125" s="4" t="s">
        <v>40</v>
      </c>
      <c r="I125" s="6">
        <v>10000</v>
      </c>
      <c r="J125" s="6">
        <v>10000</v>
      </c>
      <c r="K125" s="37" t="s">
        <v>17</v>
      </c>
      <c r="L125" s="119"/>
      <c r="M125" s="3"/>
    </row>
    <row r="126" spans="1:13" s="4" customFormat="1" ht="38.25" x14ac:dyDescent="0.25">
      <c r="A126" s="4" t="s">
        <v>283</v>
      </c>
      <c r="B126" s="4" t="s">
        <v>183</v>
      </c>
      <c r="C126" s="37" t="s">
        <v>17</v>
      </c>
      <c r="D126" s="35">
        <v>8727</v>
      </c>
      <c r="E126" s="4" t="s">
        <v>284</v>
      </c>
      <c r="F126" s="5">
        <v>40652</v>
      </c>
      <c r="G126" s="5">
        <v>40908</v>
      </c>
      <c r="H126" s="4" t="s">
        <v>40</v>
      </c>
      <c r="I126" s="6">
        <v>5000</v>
      </c>
      <c r="J126" s="6">
        <v>5000</v>
      </c>
      <c r="K126" s="37" t="s">
        <v>17</v>
      </c>
      <c r="L126" s="119"/>
      <c r="M126" s="3"/>
    </row>
    <row r="127" spans="1:13" s="4" customFormat="1" ht="38.25" x14ac:dyDescent="0.25">
      <c r="A127" s="4" t="s">
        <v>285</v>
      </c>
      <c r="B127" s="4" t="s">
        <v>183</v>
      </c>
      <c r="C127" s="37" t="s">
        <v>17</v>
      </c>
      <c r="D127" s="35">
        <v>8728</v>
      </c>
      <c r="E127" s="4" t="s">
        <v>286</v>
      </c>
      <c r="F127" s="5">
        <v>40603</v>
      </c>
      <c r="G127" s="5">
        <v>40908</v>
      </c>
      <c r="H127" s="4" t="s">
        <v>40</v>
      </c>
      <c r="I127" s="6">
        <v>12000</v>
      </c>
      <c r="J127" s="6">
        <v>6000</v>
      </c>
      <c r="K127" s="37" t="s">
        <v>17</v>
      </c>
      <c r="L127" s="119"/>
      <c r="M127" s="3"/>
    </row>
    <row r="128" spans="1:13" s="4" customFormat="1" ht="89.25" x14ac:dyDescent="0.25">
      <c r="A128" s="4" t="s">
        <v>287</v>
      </c>
      <c r="B128" s="4" t="s">
        <v>183</v>
      </c>
      <c r="C128" s="37" t="s">
        <v>17</v>
      </c>
      <c r="D128" s="35">
        <v>8729</v>
      </c>
      <c r="E128" s="7" t="s">
        <v>288</v>
      </c>
      <c r="F128" s="5">
        <v>40603</v>
      </c>
      <c r="G128" s="5">
        <v>41274</v>
      </c>
      <c r="H128" s="4" t="s">
        <v>40</v>
      </c>
      <c r="I128" s="6">
        <v>22296.92</v>
      </c>
      <c r="J128" s="6">
        <v>16148.46</v>
      </c>
      <c r="K128" s="37" t="s">
        <v>17</v>
      </c>
      <c r="L128" s="119"/>
      <c r="M128" s="3"/>
    </row>
    <row r="129" spans="1:13" s="4" customFormat="1" ht="102" x14ac:dyDescent="0.25">
      <c r="A129" s="4" t="s">
        <v>291</v>
      </c>
      <c r="B129" s="4" t="s">
        <v>183</v>
      </c>
      <c r="C129" s="37" t="s">
        <v>17</v>
      </c>
      <c r="D129" s="35">
        <v>8743</v>
      </c>
      <c r="E129" s="4" t="s">
        <v>292</v>
      </c>
      <c r="F129" s="5">
        <v>40652</v>
      </c>
      <c r="G129" s="5">
        <v>40908</v>
      </c>
      <c r="H129" s="4" t="s">
        <v>40</v>
      </c>
      <c r="I129" s="6">
        <v>2500</v>
      </c>
      <c r="J129" s="6">
        <v>2500</v>
      </c>
      <c r="K129" s="37" t="s">
        <v>17</v>
      </c>
      <c r="L129" s="119"/>
      <c r="M129" s="3"/>
    </row>
    <row r="130" spans="1:13" s="4" customFormat="1" ht="51" x14ac:dyDescent="0.25">
      <c r="A130" s="4" t="s">
        <v>293</v>
      </c>
      <c r="B130" s="4" t="s">
        <v>183</v>
      </c>
      <c r="C130" s="37" t="s">
        <v>17</v>
      </c>
      <c r="D130" s="35">
        <v>8749</v>
      </c>
      <c r="E130" s="7" t="s">
        <v>294</v>
      </c>
      <c r="F130" s="5">
        <v>40453</v>
      </c>
      <c r="G130" s="5">
        <v>40908</v>
      </c>
      <c r="H130" s="4" t="s">
        <v>40</v>
      </c>
      <c r="I130" s="6">
        <v>1250</v>
      </c>
      <c r="J130" s="6">
        <v>1250</v>
      </c>
      <c r="K130" s="37" t="s">
        <v>17</v>
      </c>
      <c r="L130" s="119"/>
      <c r="M130" s="3"/>
    </row>
    <row r="131" spans="1:13" s="4" customFormat="1" ht="63.75" x14ac:dyDescent="0.25">
      <c r="A131" s="4" t="s">
        <v>297</v>
      </c>
      <c r="B131" s="4" t="s">
        <v>38</v>
      </c>
      <c r="C131" s="37" t="s">
        <v>17</v>
      </c>
      <c r="D131" s="35">
        <v>8938</v>
      </c>
      <c r="E131" s="4" t="s">
        <v>298</v>
      </c>
      <c r="F131" s="5">
        <v>40544</v>
      </c>
      <c r="G131" s="5">
        <v>41639</v>
      </c>
      <c r="H131" s="4" t="s">
        <v>40</v>
      </c>
      <c r="I131" s="6">
        <v>4790.4799999999996</v>
      </c>
      <c r="J131" s="6">
        <v>4790.4799999999996</v>
      </c>
      <c r="K131" s="37" t="s">
        <v>17</v>
      </c>
      <c r="L131" s="119"/>
      <c r="M131" s="3"/>
    </row>
    <row r="132" spans="1:13" s="4" customFormat="1" ht="51" x14ac:dyDescent="0.25">
      <c r="A132" s="4" t="s">
        <v>299</v>
      </c>
      <c r="B132" s="4" t="s">
        <v>38</v>
      </c>
      <c r="C132" s="37" t="s">
        <v>17</v>
      </c>
      <c r="D132" s="35">
        <v>8940</v>
      </c>
      <c r="E132" s="4" t="s">
        <v>300</v>
      </c>
      <c r="F132" s="5">
        <v>40544</v>
      </c>
      <c r="G132" s="5">
        <v>40908</v>
      </c>
      <c r="H132" s="4" t="s">
        <v>40</v>
      </c>
      <c r="I132" s="6">
        <v>5270.26</v>
      </c>
      <c r="J132" s="6">
        <v>5270.26</v>
      </c>
      <c r="K132" s="37" t="s">
        <v>17</v>
      </c>
      <c r="L132" s="119"/>
      <c r="M132" s="3"/>
    </row>
    <row r="133" spans="1:13" s="4" customFormat="1" ht="76.5" x14ac:dyDescent="0.25">
      <c r="A133" s="4" t="s">
        <v>301</v>
      </c>
      <c r="B133" s="4" t="s">
        <v>38</v>
      </c>
      <c r="C133" s="37" t="s">
        <v>17</v>
      </c>
      <c r="D133" s="35">
        <v>9204</v>
      </c>
      <c r="E133" s="4" t="s">
        <v>302</v>
      </c>
      <c r="F133" s="5">
        <v>40544</v>
      </c>
      <c r="G133" s="5">
        <v>41274</v>
      </c>
      <c r="H133" s="4" t="s">
        <v>40</v>
      </c>
      <c r="I133" s="6">
        <v>106269.16</v>
      </c>
      <c r="J133" s="6">
        <v>53134.58</v>
      </c>
      <c r="K133" s="37" t="s">
        <v>17</v>
      </c>
      <c r="L133" s="119"/>
      <c r="M133" s="3"/>
    </row>
    <row r="134" spans="1:13" s="4" customFormat="1" ht="89.25" x14ac:dyDescent="0.25">
      <c r="A134" s="4" t="s">
        <v>303</v>
      </c>
      <c r="B134" s="4" t="s">
        <v>190</v>
      </c>
      <c r="C134" s="37" t="s">
        <v>17</v>
      </c>
      <c r="D134" s="35">
        <v>10570</v>
      </c>
      <c r="E134" s="4" t="s">
        <v>304</v>
      </c>
      <c r="F134" s="5">
        <v>40963</v>
      </c>
      <c r="G134" s="5">
        <v>41274</v>
      </c>
      <c r="H134" s="4" t="s">
        <v>40</v>
      </c>
      <c r="I134" s="6">
        <v>2500</v>
      </c>
      <c r="J134" s="6">
        <v>2500</v>
      </c>
      <c r="K134" s="37" t="s">
        <v>17</v>
      </c>
      <c r="L134" s="119"/>
      <c r="M134" s="3"/>
    </row>
    <row r="135" spans="1:13" s="4" customFormat="1" ht="25.5" x14ac:dyDescent="0.25">
      <c r="A135" s="4" t="s">
        <v>305</v>
      </c>
      <c r="B135" s="4" t="s">
        <v>90</v>
      </c>
      <c r="C135" s="37" t="s">
        <v>17</v>
      </c>
      <c r="D135" s="35">
        <v>10573</v>
      </c>
      <c r="E135" s="4" t="s">
        <v>306</v>
      </c>
      <c r="F135" s="5">
        <v>40909</v>
      </c>
      <c r="G135" s="5">
        <v>41274</v>
      </c>
      <c r="H135" s="4" t="s">
        <v>40</v>
      </c>
      <c r="I135" s="6">
        <v>10000</v>
      </c>
      <c r="J135" s="6">
        <v>5000</v>
      </c>
      <c r="K135" s="37" t="s">
        <v>17</v>
      </c>
      <c r="L135" s="119"/>
      <c r="M135" s="3"/>
    </row>
    <row r="136" spans="1:13" s="4" customFormat="1" ht="76.5" x14ac:dyDescent="0.25">
      <c r="A136" s="4" t="s">
        <v>307</v>
      </c>
      <c r="B136" s="4" t="s">
        <v>190</v>
      </c>
      <c r="C136" s="37" t="s">
        <v>17</v>
      </c>
      <c r="D136" s="35">
        <v>10574</v>
      </c>
      <c r="E136" s="7" t="s">
        <v>308</v>
      </c>
      <c r="F136" s="5">
        <v>40909</v>
      </c>
      <c r="G136" s="5">
        <v>41274</v>
      </c>
      <c r="H136" s="4" t="s">
        <v>40</v>
      </c>
      <c r="I136" s="6">
        <v>24523.84</v>
      </c>
      <c r="J136" s="6">
        <v>12261.92</v>
      </c>
      <c r="K136" s="37" t="s">
        <v>17</v>
      </c>
      <c r="L136" s="119"/>
      <c r="M136" s="3"/>
    </row>
    <row r="137" spans="1:13" s="4" customFormat="1" ht="38.25" x14ac:dyDescent="0.25">
      <c r="A137" s="4" t="s">
        <v>315</v>
      </c>
      <c r="B137" s="4" t="s">
        <v>183</v>
      </c>
      <c r="C137" s="37" t="s">
        <v>17</v>
      </c>
      <c r="D137" s="35">
        <v>10578</v>
      </c>
      <c r="E137" s="4" t="s">
        <v>316</v>
      </c>
      <c r="F137" s="5">
        <v>40909</v>
      </c>
      <c r="G137" s="5">
        <v>41274</v>
      </c>
      <c r="H137" s="4" t="s">
        <v>40</v>
      </c>
      <c r="I137" s="6">
        <v>11000</v>
      </c>
      <c r="J137" s="6">
        <v>5500</v>
      </c>
      <c r="K137" s="37" t="s">
        <v>17</v>
      </c>
      <c r="L137" s="119"/>
      <c r="M137" s="3"/>
    </row>
    <row r="138" spans="1:13" s="4" customFormat="1" ht="25.5" x14ac:dyDescent="0.25">
      <c r="A138" s="4" t="s">
        <v>317</v>
      </c>
      <c r="B138" s="4" t="s">
        <v>183</v>
      </c>
      <c r="C138" s="37" t="s">
        <v>17</v>
      </c>
      <c r="D138" s="35">
        <v>10579</v>
      </c>
      <c r="E138" s="7" t="s">
        <v>318</v>
      </c>
      <c r="F138" s="5">
        <v>41026</v>
      </c>
      <c r="G138" s="5">
        <v>41274</v>
      </c>
      <c r="H138" s="4" t="s">
        <v>40</v>
      </c>
      <c r="I138" s="6">
        <v>10000</v>
      </c>
      <c r="J138" s="6">
        <v>10000</v>
      </c>
      <c r="K138" s="37" t="s">
        <v>17</v>
      </c>
      <c r="L138" s="119"/>
      <c r="M138" s="3"/>
    </row>
    <row r="139" spans="1:13" s="4" customFormat="1" ht="25.5" x14ac:dyDescent="0.25">
      <c r="A139" s="4" t="s">
        <v>319</v>
      </c>
      <c r="B139" s="4" t="s">
        <v>183</v>
      </c>
      <c r="C139" s="37" t="s">
        <v>17</v>
      </c>
      <c r="D139" s="35">
        <v>10580</v>
      </c>
      <c r="E139" s="4" t="s">
        <v>320</v>
      </c>
      <c r="F139" s="5">
        <v>40909</v>
      </c>
      <c r="G139" s="5">
        <v>41274</v>
      </c>
      <c r="H139" s="4" t="s">
        <v>40</v>
      </c>
      <c r="I139" s="6">
        <v>56700</v>
      </c>
      <c r="J139" s="6">
        <v>32100</v>
      </c>
      <c r="K139" s="37" t="s">
        <v>17</v>
      </c>
      <c r="L139" s="119"/>
      <c r="M139" s="3"/>
    </row>
    <row r="140" spans="1:13" s="4" customFormat="1" ht="76.5" x14ac:dyDescent="0.25">
      <c r="A140" s="4" t="s">
        <v>321</v>
      </c>
      <c r="B140" s="4" t="s">
        <v>183</v>
      </c>
      <c r="C140" s="37" t="s">
        <v>17</v>
      </c>
      <c r="D140" s="35">
        <v>10581</v>
      </c>
      <c r="E140" s="4" t="s">
        <v>322</v>
      </c>
      <c r="F140" s="5">
        <v>41248</v>
      </c>
      <c r="G140" s="5">
        <v>41274</v>
      </c>
      <c r="H140" s="4" t="s">
        <v>40</v>
      </c>
      <c r="I140" s="6">
        <v>5000</v>
      </c>
      <c r="J140" s="6">
        <v>5000</v>
      </c>
      <c r="K140" s="37" t="s">
        <v>17</v>
      </c>
      <c r="L140" s="119"/>
      <c r="M140" s="3"/>
    </row>
    <row r="141" spans="1:13" s="4" customFormat="1" ht="63.75" x14ac:dyDescent="0.25">
      <c r="A141" s="4" t="s">
        <v>323</v>
      </c>
      <c r="B141" s="4" t="s">
        <v>190</v>
      </c>
      <c r="C141" s="37" t="s">
        <v>17</v>
      </c>
      <c r="D141" s="35">
        <v>10582</v>
      </c>
      <c r="E141" s="4" t="s">
        <v>324</v>
      </c>
      <c r="F141" s="5">
        <v>41131</v>
      </c>
      <c r="G141" s="5">
        <v>41496</v>
      </c>
      <c r="H141" s="4" t="s">
        <v>40</v>
      </c>
      <c r="I141" s="6">
        <v>8214</v>
      </c>
      <c r="J141" s="6">
        <v>4107</v>
      </c>
      <c r="K141" s="37" t="s">
        <v>17</v>
      </c>
      <c r="L141" s="119"/>
      <c r="M141" s="3"/>
    </row>
    <row r="142" spans="1:13" s="4" customFormat="1" ht="63.75" x14ac:dyDescent="0.25">
      <c r="A142" s="4" t="s">
        <v>321</v>
      </c>
      <c r="B142" s="4" t="s">
        <v>183</v>
      </c>
      <c r="C142" s="37" t="s">
        <v>17</v>
      </c>
      <c r="D142" s="35">
        <v>10583</v>
      </c>
      <c r="E142" s="4" t="s">
        <v>325</v>
      </c>
      <c r="F142" s="5">
        <v>40963</v>
      </c>
      <c r="G142" s="5">
        <v>41274</v>
      </c>
      <c r="H142" s="4" t="s">
        <v>40</v>
      </c>
      <c r="I142" s="6">
        <v>2500</v>
      </c>
      <c r="J142" s="6">
        <v>2500</v>
      </c>
      <c r="K142" s="37" t="s">
        <v>17</v>
      </c>
      <c r="L142" s="119"/>
      <c r="M142" s="3"/>
    </row>
    <row r="143" spans="1:13" s="4" customFormat="1" ht="140.25" x14ac:dyDescent="0.25">
      <c r="A143" s="4" t="s">
        <v>326</v>
      </c>
      <c r="B143" s="4" t="s">
        <v>183</v>
      </c>
      <c r="C143" s="37" t="s">
        <v>17</v>
      </c>
      <c r="D143" s="35">
        <v>10595</v>
      </c>
      <c r="E143" s="4" t="s">
        <v>327</v>
      </c>
      <c r="F143" s="5">
        <v>40963</v>
      </c>
      <c r="G143" s="5">
        <v>41274</v>
      </c>
      <c r="H143" s="4" t="s">
        <v>40</v>
      </c>
      <c r="I143" s="6">
        <v>17849.54</v>
      </c>
      <c r="J143" s="6">
        <v>8924.77</v>
      </c>
      <c r="K143" s="37" t="s">
        <v>17</v>
      </c>
      <c r="L143" s="119"/>
      <c r="M143" s="3"/>
    </row>
    <row r="144" spans="1:13" s="4" customFormat="1" ht="140.25" x14ac:dyDescent="0.25">
      <c r="A144" s="4" t="s">
        <v>330</v>
      </c>
      <c r="B144" s="4" t="s">
        <v>183</v>
      </c>
      <c r="C144" s="37" t="s">
        <v>17</v>
      </c>
      <c r="D144" s="35">
        <v>10597</v>
      </c>
      <c r="E144" s="7" t="s">
        <v>331</v>
      </c>
      <c r="F144" s="5">
        <v>40963</v>
      </c>
      <c r="G144" s="5">
        <v>41274</v>
      </c>
      <c r="H144" s="4" t="s">
        <v>40</v>
      </c>
      <c r="I144" s="6">
        <v>3000</v>
      </c>
      <c r="J144" s="6">
        <v>3000</v>
      </c>
      <c r="K144" s="37" t="s">
        <v>17</v>
      </c>
      <c r="L144" s="119"/>
      <c r="M144" s="3"/>
    </row>
    <row r="145" spans="1:13" s="4" customFormat="1" ht="140.25" x14ac:dyDescent="0.25">
      <c r="A145" s="4" t="s">
        <v>334</v>
      </c>
      <c r="B145" s="4" t="s">
        <v>183</v>
      </c>
      <c r="C145" s="37" t="s">
        <v>17</v>
      </c>
      <c r="D145" s="35">
        <v>10599</v>
      </c>
      <c r="E145" s="4" t="s">
        <v>335</v>
      </c>
      <c r="F145" s="5">
        <v>40963</v>
      </c>
      <c r="G145" s="5">
        <v>41274</v>
      </c>
      <c r="H145" s="4" t="s">
        <v>40</v>
      </c>
      <c r="I145" s="6">
        <v>10000</v>
      </c>
      <c r="J145" s="6">
        <v>10000</v>
      </c>
      <c r="K145" s="37" t="s">
        <v>17</v>
      </c>
      <c r="L145" s="119"/>
      <c r="M145" s="3"/>
    </row>
    <row r="146" spans="1:13" s="4" customFormat="1" ht="102" x14ac:dyDescent="0.25">
      <c r="A146" s="4" t="s">
        <v>336</v>
      </c>
      <c r="B146" s="4" t="s">
        <v>183</v>
      </c>
      <c r="C146" s="37" t="s">
        <v>17</v>
      </c>
      <c r="D146" s="35">
        <v>10600</v>
      </c>
      <c r="E146" s="7" t="s">
        <v>337</v>
      </c>
      <c r="F146" s="5">
        <v>40909</v>
      </c>
      <c r="G146" s="5">
        <v>41639</v>
      </c>
      <c r="H146" s="4" t="s">
        <v>40</v>
      </c>
      <c r="I146" s="6">
        <v>686</v>
      </c>
      <c r="J146" s="6">
        <v>343</v>
      </c>
      <c r="K146" s="37" t="s">
        <v>17</v>
      </c>
      <c r="L146" s="119"/>
      <c r="M146" s="3"/>
    </row>
    <row r="147" spans="1:13" s="4" customFormat="1" ht="38.25" x14ac:dyDescent="0.25">
      <c r="A147" s="4" t="s">
        <v>289</v>
      </c>
      <c r="B147" s="4" t="s">
        <v>183</v>
      </c>
      <c r="C147" s="37" t="s">
        <v>17</v>
      </c>
      <c r="D147" s="35">
        <v>10602</v>
      </c>
      <c r="E147" s="4" t="s">
        <v>340</v>
      </c>
      <c r="F147" s="5">
        <v>40963</v>
      </c>
      <c r="G147" s="5">
        <v>41274</v>
      </c>
      <c r="H147" s="4" t="s">
        <v>40</v>
      </c>
      <c r="I147" s="6">
        <v>11700</v>
      </c>
      <c r="J147" s="6">
        <v>5850</v>
      </c>
      <c r="K147" s="37" t="s">
        <v>17</v>
      </c>
      <c r="L147" s="119"/>
      <c r="M147" s="3"/>
    </row>
    <row r="148" spans="1:13" s="4" customFormat="1" ht="89.25" x14ac:dyDescent="0.25">
      <c r="A148" s="4" t="s">
        <v>341</v>
      </c>
      <c r="B148" s="4" t="s">
        <v>183</v>
      </c>
      <c r="C148" s="37" t="s">
        <v>17</v>
      </c>
      <c r="D148" s="35">
        <v>10603</v>
      </c>
      <c r="E148" s="7" t="s">
        <v>342</v>
      </c>
      <c r="F148" s="5">
        <v>41180</v>
      </c>
      <c r="G148" s="5">
        <v>41274</v>
      </c>
      <c r="H148" s="4" t="s">
        <v>40</v>
      </c>
      <c r="I148" s="6">
        <v>1500</v>
      </c>
      <c r="J148" s="6">
        <v>1500</v>
      </c>
      <c r="K148" s="37" t="s">
        <v>17</v>
      </c>
      <c r="L148" s="119"/>
      <c r="M148" s="3"/>
    </row>
    <row r="149" spans="1:13" s="4" customFormat="1" ht="102" x14ac:dyDescent="0.25">
      <c r="A149" s="4" t="s">
        <v>343</v>
      </c>
      <c r="B149" s="4" t="s">
        <v>38</v>
      </c>
      <c r="C149" s="37" t="s">
        <v>17</v>
      </c>
      <c r="D149" s="35">
        <v>10614</v>
      </c>
      <c r="E149" s="4" t="s">
        <v>344</v>
      </c>
      <c r="F149" s="5">
        <v>40909</v>
      </c>
      <c r="G149" s="5">
        <v>41639</v>
      </c>
      <c r="H149" s="4" t="s">
        <v>40</v>
      </c>
      <c r="I149" s="6">
        <v>15160.51</v>
      </c>
      <c r="J149" s="6">
        <v>15160.51</v>
      </c>
      <c r="K149" s="37" t="s">
        <v>17</v>
      </c>
      <c r="L149" s="119"/>
      <c r="M149" s="3"/>
    </row>
    <row r="150" spans="1:13" s="4" customFormat="1" ht="140.25" x14ac:dyDescent="0.25">
      <c r="A150" s="4" t="s">
        <v>345</v>
      </c>
      <c r="B150" s="4" t="s">
        <v>38</v>
      </c>
      <c r="C150" s="37" t="s">
        <v>17</v>
      </c>
      <c r="D150" s="35">
        <v>10615</v>
      </c>
      <c r="E150" s="4" t="s">
        <v>346</v>
      </c>
      <c r="F150" s="5">
        <v>40909</v>
      </c>
      <c r="G150" s="5">
        <v>41274</v>
      </c>
      <c r="H150" s="4" t="s">
        <v>40</v>
      </c>
      <c r="I150" s="6">
        <v>16264.16</v>
      </c>
      <c r="J150" s="6">
        <v>16264.16</v>
      </c>
      <c r="K150" s="37" t="s">
        <v>17</v>
      </c>
      <c r="L150" s="119"/>
      <c r="M150" s="3"/>
    </row>
    <row r="151" spans="1:13" s="4" customFormat="1" ht="51" x14ac:dyDescent="0.25">
      <c r="A151" s="4" t="s">
        <v>347</v>
      </c>
      <c r="B151" s="4" t="s">
        <v>38</v>
      </c>
      <c r="C151" s="37" t="s">
        <v>17</v>
      </c>
      <c r="D151" s="35">
        <v>10616</v>
      </c>
      <c r="E151" s="4" t="s">
        <v>348</v>
      </c>
      <c r="F151" s="5">
        <v>40909</v>
      </c>
      <c r="G151" s="5">
        <v>41639</v>
      </c>
      <c r="H151" s="4" t="s">
        <v>40</v>
      </c>
      <c r="I151" s="6">
        <v>61569.57</v>
      </c>
      <c r="J151" s="6">
        <v>61419.770000000004</v>
      </c>
      <c r="K151" s="37" t="s">
        <v>17</v>
      </c>
      <c r="L151" s="119"/>
      <c r="M151" s="3"/>
    </row>
    <row r="152" spans="1:13" s="4" customFormat="1" ht="51" x14ac:dyDescent="0.25">
      <c r="A152" s="4" t="s">
        <v>349</v>
      </c>
      <c r="B152" s="4" t="s">
        <v>38</v>
      </c>
      <c r="C152" s="37" t="s">
        <v>17</v>
      </c>
      <c r="D152" s="35">
        <v>10620</v>
      </c>
      <c r="E152" s="4" t="s">
        <v>350</v>
      </c>
      <c r="F152" s="5">
        <v>40909</v>
      </c>
      <c r="G152" s="5">
        <v>41274</v>
      </c>
      <c r="H152" s="4" t="s">
        <v>40</v>
      </c>
      <c r="I152" s="6">
        <v>14181.16</v>
      </c>
      <c r="J152" s="6">
        <v>14181.16</v>
      </c>
      <c r="K152" s="37" t="s">
        <v>17</v>
      </c>
      <c r="L152" s="119"/>
      <c r="M152" s="3"/>
    </row>
    <row r="153" spans="1:13" s="4" customFormat="1" ht="51" x14ac:dyDescent="0.25">
      <c r="A153" s="4" t="s">
        <v>10191</v>
      </c>
      <c r="B153" s="4" t="s">
        <v>10192</v>
      </c>
      <c r="C153" s="37" t="s">
        <v>17</v>
      </c>
      <c r="D153" s="35">
        <v>12475</v>
      </c>
      <c r="E153" s="4" t="s">
        <v>10193</v>
      </c>
      <c r="F153" s="5">
        <v>41470</v>
      </c>
      <c r="G153" s="5"/>
      <c r="H153" s="4" t="s">
        <v>651</v>
      </c>
      <c r="I153" s="6">
        <v>2000</v>
      </c>
      <c r="J153" s="6">
        <v>2000</v>
      </c>
      <c r="K153" s="37" t="s">
        <v>17</v>
      </c>
      <c r="L153" s="119"/>
      <c r="M153" s="3"/>
    </row>
    <row r="154" spans="1:13" s="4" customFormat="1" ht="25.5" x14ac:dyDescent="0.25">
      <c r="A154" s="4" t="s">
        <v>10194</v>
      </c>
      <c r="B154" s="4" t="s">
        <v>10195</v>
      </c>
      <c r="C154" s="37" t="s">
        <v>17</v>
      </c>
      <c r="D154" s="35">
        <v>12477</v>
      </c>
      <c r="E154" s="4" t="s">
        <v>10196</v>
      </c>
      <c r="F154" s="5">
        <v>41536</v>
      </c>
      <c r="G154" s="5"/>
      <c r="H154" s="4" t="s">
        <v>651</v>
      </c>
      <c r="I154" s="6">
        <v>375</v>
      </c>
      <c r="J154" s="6">
        <v>375</v>
      </c>
      <c r="K154" s="37" t="s">
        <v>17</v>
      </c>
      <c r="L154" s="119"/>
      <c r="M154" s="3"/>
    </row>
    <row r="155" spans="1:13" s="4" customFormat="1" ht="25.5" x14ac:dyDescent="0.25">
      <c r="A155" s="4" t="s">
        <v>10197</v>
      </c>
      <c r="B155" s="4" t="s">
        <v>10195</v>
      </c>
      <c r="C155" s="37" t="s">
        <v>17</v>
      </c>
      <c r="D155" s="35">
        <v>12579</v>
      </c>
      <c r="E155" s="4" t="s">
        <v>10198</v>
      </c>
      <c r="F155" s="5">
        <v>41340</v>
      </c>
      <c r="G155" s="5">
        <v>41548</v>
      </c>
      <c r="H155" s="4" t="s">
        <v>651</v>
      </c>
      <c r="I155" s="6">
        <v>7500</v>
      </c>
      <c r="J155" s="6">
        <v>7500</v>
      </c>
      <c r="K155" s="37" t="s">
        <v>17</v>
      </c>
      <c r="L155" s="119"/>
      <c r="M155" s="3"/>
    </row>
    <row r="156" spans="1:13" s="4" customFormat="1" ht="25.5" x14ac:dyDescent="0.25">
      <c r="A156" s="4" t="s">
        <v>10199</v>
      </c>
      <c r="B156" s="4" t="s">
        <v>10192</v>
      </c>
      <c r="C156" s="37" t="s">
        <v>17</v>
      </c>
      <c r="D156" s="35">
        <v>12580</v>
      </c>
      <c r="E156" s="7" t="s">
        <v>10200</v>
      </c>
      <c r="F156" s="5">
        <v>41340</v>
      </c>
      <c r="G156" s="5">
        <v>41639</v>
      </c>
      <c r="H156" s="4" t="s">
        <v>651</v>
      </c>
      <c r="I156" s="6">
        <v>7500</v>
      </c>
      <c r="J156" s="6">
        <v>7500</v>
      </c>
      <c r="K156" s="37" t="s">
        <v>17</v>
      </c>
      <c r="L156" s="119"/>
      <c r="M156" s="3"/>
    </row>
    <row r="157" spans="1:13" s="4" customFormat="1" ht="25.5" x14ac:dyDescent="0.25">
      <c r="A157" s="4" t="s">
        <v>10201</v>
      </c>
      <c r="B157" s="4" t="s">
        <v>10195</v>
      </c>
      <c r="C157" s="37" t="s">
        <v>17</v>
      </c>
      <c r="D157" s="35">
        <v>12581</v>
      </c>
      <c r="E157" s="4" t="s">
        <v>10202</v>
      </c>
      <c r="F157" s="5">
        <v>41536</v>
      </c>
      <c r="G157" s="5">
        <v>41639</v>
      </c>
      <c r="H157" s="4" t="s">
        <v>651</v>
      </c>
      <c r="I157" s="6">
        <v>375</v>
      </c>
      <c r="J157" s="6">
        <v>375</v>
      </c>
      <c r="K157" s="37" t="s">
        <v>17</v>
      </c>
      <c r="L157" s="119"/>
      <c r="M157" s="3"/>
    </row>
    <row r="158" spans="1:13" s="4" customFormat="1" ht="38.25" x14ac:dyDescent="0.25">
      <c r="A158" s="4" t="s">
        <v>10203</v>
      </c>
      <c r="B158" s="4" t="s">
        <v>10192</v>
      </c>
      <c r="C158" s="37" t="s">
        <v>17</v>
      </c>
      <c r="D158" s="35">
        <v>12582</v>
      </c>
      <c r="E158" s="7" t="s">
        <v>10204</v>
      </c>
      <c r="F158" s="5">
        <v>41536</v>
      </c>
      <c r="G158" s="5">
        <v>41639</v>
      </c>
      <c r="H158" s="4" t="s">
        <v>651</v>
      </c>
      <c r="I158" s="6">
        <v>375</v>
      </c>
      <c r="J158" s="6">
        <v>375</v>
      </c>
      <c r="K158" s="37" t="s">
        <v>17</v>
      </c>
      <c r="L158" s="119"/>
      <c r="M158" s="3"/>
    </row>
    <row r="159" spans="1:13" s="4" customFormat="1" ht="89.25" x14ac:dyDescent="0.25">
      <c r="A159" s="4" t="s">
        <v>10205</v>
      </c>
      <c r="B159" s="4" t="s">
        <v>10195</v>
      </c>
      <c r="C159" s="37" t="s">
        <v>17</v>
      </c>
      <c r="D159" s="35">
        <v>12583</v>
      </c>
      <c r="E159" s="4" t="s">
        <v>10206</v>
      </c>
      <c r="F159" s="5">
        <v>41450</v>
      </c>
      <c r="G159" s="5"/>
      <c r="H159" s="4" t="s">
        <v>651</v>
      </c>
      <c r="I159" s="6">
        <v>10500</v>
      </c>
      <c r="J159" s="6">
        <v>10500</v>
      </c>
      <c r="K159" s="37" t="s">
        <v>17</v>
      </c>
      <c r="L159" s="119"/>
      <c r="M159" s="3"/>
    </row>
    <row r="160" spans="1:13" s="4" customFormat="1" ht="76.5" x14ac:dyDescent="0.25">
      <c r="A160" s="4" t="s">
        <v>10207</v>
      </c>
      <c r="B160" s="4" t="s">
        <v>10192</v>
      </c>
      <c r="C160" s="37" t="s">
        <v>17</v>
      </c>
      <c r="D160" s="35">
        <v>12584</v>
      </c>
      <c r="E160" s="7" t="s">
        <v>10208</v>
      </c>
      <c r="F160" s="5">
        <v>41340</v>
      </c>
      <c r="G160" s="5">
        <v>41639</v>
      </c>
      <c r="H160" s="4" t="s">
        <v>651</v>
      </c>
      <c r="I160" s="6">
        <v>5000</v>
      </c>
      <c r="J160" s="6">
        <v>5000</v>
      </c>
      <c r="K160" s="37" t="s">
        <v>17</v>
      </c>
      <c r="L160" s="119"/>
      <c r="M160" s="3"/>
    </row>
    <row r="161" spans="1:60" s="4" customFormat="1" ht="25.5" x14ac:dyDescent="0.25">
      <c r="A161" s="4" t="s">
        <v>10209</v>
      </c>
      <c r="B161" s="4" t="s">
        <v>10192</v>
      </c>
      <c r="C161" s="37" t="s">
        <v>17</v>
      </c>
      <c r="D161" s="35">
        <v>12586</v>
      </c>
      <c r="E161" s="7" t="s">
        <v>10210</v>
      </c>
      <c r="F161" s="5">
        <v>41193</v>
      </c>
      <c r="G161" s="5">
        <v>41639</v>
      </c>
      <c r="H161" s="4" t="s">
        <v>651</v>
      </c>
      <c r="I161" s="6">
        <v>7500</v>
      </c>
      <c r="J161" s="6">
        <v>7500</v>
      </c>
      <c r="K161" s="37" t="s">
        <v>17</v>
      </c>
      <c r="L161" s="119"/>
      <c r="M161" s="3"/>
    </row>
    <row r="162" spans="1:60" s="4" customFormat="1" ht="51" x14ac:dyDescent="0.25">
      <c r="A162" s="4" t="s">
        <v>10211</v>
      </c>
      <c r="B162" s="4" t="s">
        <v>10192</v>
      </c>
      <c r="C162" s="37" t="s">
        <v>17</v>
      </c>
      <c r="D162" s="35">
        <v>12591</v>
      </c>
      <c r="E162" s="7" t="s">
        <v>10212</v>
      </c>
      <c r="F162" s="5">
        <v>41456</v>
      </c>
      <c r="G162" s="5"/>
      <c r="H162" s="4" t="s">
        <v>651</v>
      </c>
      <c r="I162" s="6">
        <v>10500</v>
      </c>
      <c r="J162" s="6">
        <v>10500</v>
      </c>
      <c r="K162" s="37" t="s">
        <v>17</v>
      </c>
      <c r="L162" s="119"/>
      <c r="M162" s="3"/>
    </row>
    <row r="163" spans="1:60" s="4" customFormat="1" ht="51" x14ac:dyDescent="0.25">
      <c r="A163" s="4" t="s">
        <v>8331</v>
      </c>
      <c r="B163" s="4" t="s">
        <v>38</v>
      </c>
      <c r="C163" s="37" t="s">
        <v>17</v>
      </c>
      <c r="D163" s="35">
        <v>12727</v>
      </c>
      <c r="E163" s="4" t="s">
        <v>231</v>
      </c>
      <c r="F163" s="5">
        <v>41275</v>
      </c>
      <c r="G163" s="5">
        <v>41639</v>
      </c>
      <c r="H163" s="4" t="s">
        <v>651</v>
      </c>
      <c r="I163" s="6">
        <v>32811.980000000003</v>
      </c>
      <c r="J163" s="6">
        <v>32811.980000000003</v>
      </c>
      <c r="K163" s="37" t="s">
        <v>17</v>
      </c>
      <c r="L163" s="119"/>
      <c r="M163" s="3"/>
    </row>
    <row r="164" spans="1:60" s="4" customFormat="1" ht="114.75" x14ac:dyDescent="0.25">
      <c r="A164" s="4" t="s">
        <v>11146</v>
      </c>
      <c r="B164" s="4" t="s">
        <v>38</v>
      </c>
      <c r="C164" s="37" t="s">
        <v>17</v>
      </c>
      <c r="D164" s="35">
        <v>12729</v>
      </c>
      <c r="E164" s="7" t="s">
        <v>11147</v>
      </c>
      <c r="F164" s="5">
        <v>41275</v>
      </c>
      <c r="G164" s="5"/>
      <c r="H164" s="4" t="s">
        <v>651</v>
      </c>
      <c r="I164" s="6">
        <v>11430.85</v>
      </c>
      <c r="J164" s="6">
        <v>11430.85</v>
      </c>
      <c r="K164" s="37" t="s">
        <v>17</v>
      </c>
      <c r="L164" s="119"/>
      <c r="M164" s="3"/>
    </row>
    <row r="165" spans="1:60" s="4" customFormat="1" x14ac:dyDescent="0.25">
      <c r="C165" s="20" t="s">
        <v>17</v>
      </c>
      <c r="D165" s="35"/>
      <c r="E165" s="26" t="s">
        <v>351</v>
      </c>
      <c r="F165" s="28"/>
      <c r="G165" s="28"/>
      <c r="H165" s="26"/>
      <c r="I165" s="25">
        <f>SUM(I2:I12)</f>
        <v>727387.7</v>
      </c>
      <c r="J165" s="25">
        <f>SUM(J2:J12)</f>
        <v>172135.26000000004</v>
      </c>
      <c r="K165" s="20" t="s">
        <v>17</v>
      </c>
      <c r="L165" s="119"/>
      <c r="M165" s="3"/>
    </row>
    <row r="166" spans="1:60" s="4" customFormat="1" x14ac:dyDescent="0.25">
      <c r="C166" s="20" t="s">
        <v>17</v>
      </c>
      <c r="D166" s="35"/>
      <c r="E166" s="26" t="s">
        <v>352</v>
      </c>
      <c r="F166" s="28"/>
      <c r="G166" s="28"/>
      <c r="H166" s="26"/>
      <c r="I166" s="25">
        <f>SUM(I13:I164)</f>
        <v>3924700.5399999986</v>
      </c>
      <c r="J166" s="25">
        <f>SUM(J13:J164)</f>
        <v>3216591.939999999</v>
      </c>
      <c r="K166" s="20" t="s">
        <v>17</v>
      </c>
      <c r="L166" s="119"/>
      <c r="M166" s="3"/>
    </row>
    <row r="167" spans="1:60" s="4" customFormat="1" x14ac:dyDescent="0.25">
      <c r="C167" s="20" t="s">
        <v>17</v>
      </c>
      <c r="D167" s="35"/>
      <c r="E167" s="26" t="s">
        <v>353</v>
      </c>
      <c r="F167" s="28"/>
      <c r="G167" s="28"/>
      <c r="H167" s="26"/>
      <c r="I167" s="25">
        <f>SUM(I165:I166)</f>
        <v>4652088.2399999984</v>
      </c>
      <c r="J167" s="25">
        <f>SUM(J165:J166)</f>
        <v>3388727.1999999993</v>
      </c>
      <c r="K167" s="20" t="s">
        <v>17</v>
      </c>
      <c r="L167" s="119">
        <f>J167</f>
        <v>3388727.1999999993</v>
      </c>
      <c r="M167" s="3">
        <f>SUM(J167*0.4)</f>
        <v>1355490.88</v>
      </c>
    </row>
    <row r="168" spans="1:60" s="4" customFormat="1" x14ac:dyDescent="0.25">
      <c r="C168" s="37"/>
      <c r="D168" s="35"/>
      <c r="F168" s="5"/>
      <c r="G168" s="5"/>
      <c r="I168" s="6"/>
      <c r="J168" s="6"/>
      <c r="K168" s="37"/>
      <c r="L168" s="119"/>
      <c r="M168" s="3"/>
    </row>
    <row r="169" spans="1:60" s="4" customFormat="1" ht="63.75" x14ac:dyDescent="0.25">
      <c r="A169" s="4" t="s">
        <v>354</v>
      </c>
      <c r="B169" s="4" t="s">
        <v>13</v>
      </c>
      <c r="C169" s="37" t="s">
        <v>356</v>
      </c>
      <c r="D169" s="35">
        <v>3627</v>
      </c>
      <c r="E169" s="4" t="s">
        <v>355</v>
      </c>
      <c r="F169" s="5">
        <v>39118</v>
      </c>
      <c r="G169" s="5">
        <v>39507</v>
      </c>
      <c r="H169" s="4" t="s">
        <v>16</v>
      </c>
      <c r="I169" s="6">
        <v>103001.5</v>
      </c>
      <c r="J169" s="8">
        <v>30191</v>
      </c>
      <c r="K169" s="37" t="s">
        <v>356</v>
      </c>
      <c r="L169" s="119"/>
      <c r="M169" s="3"/>
    </row>
    <row r="170" spans="1:60" s="4" customFormat="1" x14ac:dyDescent="0.25">
      <c r="A170" s="4" t="s">
        <v>357</v>
      </c>
      <c r="B170" s="4" t="s">
        <v>13</v>
      </c>
      <c r="C170" s="37" t="s">
        <v>356</v>
      </c>
      <c r="D170" s="35">
        <v>3628</v>
      </c>
      <c r="E170" s="4" t="s">
        <v>358</v>
      </c>
      <c r="F170" s="5">
        <v>39328</v>
      </c>
      <c r="G170" s="5">
        <v>39776</v>
      </c>
      <c r="H170" s="4" t="s">
        <v>16</v>
      </c>
      <c r="I170" s="6">
        <v>471282</v>
      </c>
      <c r="J170" s="8">
        <v>63750</v>
      </c>
      <c r="K170" s="37" t="s">
        <v>356</v>
      </c>
      <c r="L170" s="119"/>
      <c r="M170" s="3"/>
    </row>
    <row r="171" spans="1:60" s="4" customFormat="1" ht="63.75" x14ac:dyDescent="0.25">
      <c r="A171" s="4" t="s">
        <v>359</v>
      </c>
      <c r="B171" s="4" t="s">
        <v>13</v>
      </c>
      <c r="C171" s="37" t="s">
        <v>356</v>
      </c>
      <c r="D171" s="35">
        <v>3629</v>
      </c>
      <c r="E171" s="4" t="s">
        <v>360</v>
      </c>
      <c r="F171" s="5">
        <v>39468</v>
      </c>
      <c r="G171" s="5">
        <v>39598</v>
      </c>
      <c r="H171" s="4" t="s">
        <v>16</v>
      </c>
      <c r="I171" s="6">
        <v>61000</v>
      </c>
      <c r="J171" s="8">
        <v>18000</v>
      </c>
      <c r="K171" s="37" t="s">
        <v>356</v>
      </c>
      <c r="L171" s="119"/>
      <c r="M171" s="3"/>
    </row>
    <row r="172" spans="1:60" s="9" customFormat="1" x14ac:dyDescent="0.25">
      <c r="A172" s="4" t="s">
        <v>361</v>
      </c>
      <c r="B172" s="4" t="s">
        <v>13</v>
      </c>
      <c r="C172" s="37" t="s">
        <v>356</v>
      </c>
      <c r="D172" s="35">
        <v>3647</v>
      </c>
      <c r="E172" s="4" t="s">
        <v>362</v>
      </c>
      <c r="F172" s="5">
        <v>39821</v>
      </c>
      <c r="G172" s="5">
        <v>39933</v>
      </c>
      <c r="H172" s="4" t="s">
        <v>16</v>
      </c>
      <c r="I172" s="6">
        <v>10900</v>
      </c>
      <c r="J172" s="8">
        <v>3270</v>
      </c>
      <c r="K172" s="37" t="s">
        <v>356</v>
      </c>
      <c r="L172" s="119"/>
      <c r="M172" s="3"/>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row>
    <row r="173" spans="1:60" s="9" customFormat="1" x14ac:dyDescent="0.25">
      <c r="A173" s="4" t="s">
        <v>363</v>
      </c>
      <c r="B173" s="4" t="s">
        <v>13</v>
      </c>
      <c r="C173" s="37" t="s">
        <v>356</v>
      </c>
      <c r="D173" s="35">
        <v>3649</v>
      </c>
      <c r="E173" s="4" t="s">
        <v>364</v>
      </c>
      <c r="F173" s="5">
        <v>39962</v>
      </c>
      <c r="G173" s="5">
        <v>40140</v>
      </c>
      <c r="H173" s="4" t="s">
        <v>16</v>
      </c>
      <c r="I173" s="6">
        <v>16940.57</v>
      </c>
      <c r="J173" s="8">
        <v>5082.17</v>
      </c>
      <c r="K173" s="37" t="s">
        <v>356</v>
      </c>
      <c r="L173" s="119"/>
      <c r="M173" s="3"/>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row>
    <row r="174" spans="1:60" s="9" customFormat="1" ht="38.25" x14ac:dyDescent="0.25">
      <c r="A174" s="4" t="s">
        <v>363</v>
      </c>
      <c r="B174" s="4" t="s">
        <v>13</v>
      </c>
      <c r="C174" s="37" t="s">
        <v>356</v>
      </c>
      <c r="D174" s="35">
        <v>3652</v>
      </c>
      <c r="E174" s="4" t="s">
        <v>365</v>
      </c>
      <c r="F174" s="5">
        <v>39961</v>
      </c>
      <c r="G174" s="5">
        <v>40140</v>
      </c>
      <c r="H174" s="4" t="s">
        <v>16</v>
      </c>
      <c r="I174" s="6">
        <v>8810.58</v>
      </c>
      <c r="J174" s="8">
        <v>2643.17</v>
      </c>
      <c r="K174" s="37" t="s">
        <v>356</v>
      </c>
      <c r="L174" s="119"/>
      <c r="M174" s="3"/>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row>
    <row r="175" spans="1:60" s="9" customFormat="1" ht="76.5" x14ac:dyDescent="0.25">
      <c r="A175" s="4" t="s">
        <v>366</v>
      </c>
      <c r="B175" s="4" t="s">
        <v>13</v>
      </c>
      <c r="C175" s="37" t="s">
        <v>356</v>
      </c>
      <c r="D175" s="35">
        <v>3655</v>
      </c>
      <c r="E175" s="7" t="s">
        <v>367</v>
      </c>
      <c r="F175" s="5">
        <v>39847</v>
      </c>
      <c r="G175" s="5">
        <v>40053</v>
      </c>
      <c r="H175" s="4" t="s">
        <v>16</v>
      </c>
      <c r="I175" s="6">
        <v>15682.33</v>
      </c>
      <c r="J175" s="8">
        <v>4704.7</v>
      </c>
      <c r="K175" s="37" t="s">
        <v>356</v>
      </c>
      <c r="L175" s="119"/>
      <c r="M175" s="3"/>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row>
    <row r="176" spans="1:60" s="9" customFormat="1" ht="51" x14ac:dyDescent="0.25">
      <c r="A176" s="4" t="s">
        <v>368</v>
      </c>
      <c r="B176" s="4" t="s">
        <v>13</v>
      </c>
      <c r="C176" s="37" t="s">
        <v>356</v>
      </c>
      <c r="D176" s="35">
        <v>3660</v>
      </c>
      <c r="E176" s="4" t="s">
        <v>369</v>
      </c>
      <c r="F176" s="5">
        <v>39328</v>
      </c>
      <c r="G176" s="5">
        <v>39566</v>
      </c>
      <c r="H176" s="4" t="s">
        <v>16</v>
      </c>
      <c r="I176" s="6">
        <v>7029.5</v>
      </c>
      <c r="J176" s="8">
        <v>2108.85</v>
      </c>
      <c r="K176" s="37" t="s">
        <v>356</v>
      </c>
      <c r="L176" s="119"/>
      <c r="M176" s="3"/>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row>
    <row r="177" spans="1:60" s="9" customFormat="1" ht="38.25" x14ac:dyDescent="0.25">
      <c r="A177" s="4" t="s">
        <v>370</v>
      </c>
      <c r="B177" s="4" t="s">
        <v>13</v>
      </c>
      <c r="C177" s="37" t="s">
        <v>356</v>
      </c>
      <c r="D177" s="35">
        <v>3670</v>
      </c>
      <c r="E177" s="4" t="s">
        <v>371</v>
      </c>
      <c r="F177" s="5">
        <v>39351</v>
      </c>
      <c r="G177" s="5">
        <v>39752</v>
      </c>
      <c r="H177" s="4" t="s">
        <v>16</v>
      </c>
      <c r="I177" s="6">
        <v>106292.55</v>
      </c>
      <c r="J177" s="8">
        <v>31500</v>
      </c>
      <c r="K177" s="37" t="s">
        <v>356</v>
      </c>
      <c r="L177" s="119"/>
      <c r="M177" s="3"/>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row>
    <row r="178" spans="1:60" s="9" customFormat="1" ht="89.25" x14ac:dyDescent="0.25">
      <c r="A178" s="4" t="s">
        <v>372</v>
      </c>
      <c r="B178" s="4" t="s">
        <v>13</v>
      </c>
      <c r="C178" s="37" t="s">
        <v>356</v>
      </c>
      <c r="D178" s="35">
        <v>3674</v>
      </c>
      <c r="E178" s="7" t="s">
        <v>373</v>
      </c>
      <c r="F178" s="5">
        <v>39484</v>
      </c>
      <c r="G178" s="5">
        <v>39598</v>
      </c>
      <c r="H178" s="4" t="s">
        <v>16</v>
      </c>
      <c r="I178" s="6">
        <v>18555</v>
      </c>
      <c r="J178" s="8">
        <v>5501</v>
      </c>
      <c r="K178" s="37" t="s">
        <v>356</v>
      </c>
      <c r="L178" s="119"/>
      <c r="M178" s="3"/>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row>
    <row r="179" spans="1:60" s="9" customFormat="1" ht="25.5" x14ac:dyDescent="0.25">
      <c r="A179" s="4" t="s">
        <v>374</v>
      </c>
      <c r="B179" s="4" t="s">
        <v>13</v>
      </c>
      <c r="C179" s="37" t="s">
        <v>356</v>
      </c>
      <c r="D179" s="35">
        <v>3677</v>
      </c>
      <c r="E179" s="4" t="s">
        <v>375</v>
      </c>
      <c r="F179" s="5">
        <v>39596</v>
      </c>
      <c r="G179" s="5">
        <v>39791</v>
      </c>
      <c r="H179" s="4" t="s">
        <v>16</v>
      </c>
      <c r="I179" s="6">
        <v>12335</v>
      </c>
      <c r="J179" s="8">
        <v>3700</v>
      </c>
      <c r="K179" s="37" t="s">
        <v>356</v>
      </c>
      <c r="L179" s="119"/>
      <c r="M179" s="3"/>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row>
    <row r="180" spans="1:60" s="9" customFormat="1" x14ac:dyDescent="0.25">
      <c r="A180" s="4" t="s">
        <v>376</v>
      </c>
      <c r="B180" s="4" t="s">
        <v>13</v>
      </c>
      <c r="C180" s="37" t="s">
        <v>356</v>
      </c>
      <c r="D180" s="35">
        <v>3896</v>
      </c>
      <c r="E180" s="4" t="s">
        <v>377</v>
      </c>
      <c r="F180" s="5">
        <v>39821</v>
      </c>
      <c r="G180" s="5">
        <v>40116</v>
      </c>
      <c r="H180" s="4" t="s">
        <v>16</v>
      </c>
      <c r="I180" s="6">
        <v>52037</v>
      </c>
      <c r="J180" s="8">
        <v>20814.8</v>
      </c>
      <c r="K180" s="37" t="s">
        <v>356</v>
      </c>
      <c r="L180" s="119"/>
      <c r="M180" s="3"/>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row>
    <row r="181" spans="1:60" s="9" customFormat="1" ht="25.5" x14ac:dyDescent="0.25">
      <c r="A181" s="4" t="s">
        <v>378</v>
      </c>
      <c r="B181" s="4" t="s">
        <v>13</v>
      </c>
      <c r="C181" s="37" t="s">
        <v>356</v>
      </c>
      <c r="D181" s="35">
        <v>9465</v>
      </c>
      <c r="E181" s="4" t="s">
        <v>379</v>
      </c>
      <c r="F181" s="5">
        <v>40017</v>
      </c>
      <c r="G181" s="5">
        <v>40177</v>
      </c>
      <c r="H181" s="4" t="s">
        <v>16</v>
      </c>
      <c r="I181" s="6">
        <v>12110</v>
      </c>
      <c r="J181" s="8">
        <v>3633</v>
      </c>
      <c r="K181" s="37" t="s">
        <v>356</v>
      </c>
      <c r="L181" s="119"/>
      <c r="M181" s="3"/>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row>
    <row r="182" spans="1:60" s="9" customFormat="1" x14ac:dyDescent="0.25">
      <c r="A182" s="4" t="s">
        <v>380</v>
      </c>
      <c r="B182" s="4" t="s">
        <v>13</v>
      </c>
      <c r="C182" s="37" t="s">
        <v>356</v>
      </c>
      <c r="D182" s="35">
        <v>9494</v>
      </c>
      <c r="E182" s="4" t="s">
        <v>381</v>
      </c>
      <c r="F182" s="5">
        <v>39847</v>
      </c>
      <c r="G182" s="5">
        <v>39933</v>
      </c>
      <c r="H182" s="4" t="s">
        <v>16</v>
      </c>
      <c r="I182" s="6">
        <v>47500</v>
      </c>
      <c r="J182" s="10">
        <v>12186</v>
      </c>
      <c r="K182" s="37" t="s">
        <v>356</v>
      </c>
      <c r="L182" s="119"/>
      <c r="M182" s="3"/>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row>
    <row r="183" spans="1:60" s="9" customFormat="1" x14ac:dyDescent="0.25">
      <c r="A183" s="4" t="s">
        <v>382</v>
      </c>
      <c r="B183" s="4" t="s">
        <v>13</v>
      </c>
      <c r="C183" s="37" t="s">
        <v>356</v>
      </c>
      <c r="D183" s="35">
        <v>9992</v>
      </c>
      <c r="E183" s="4" t="s">
        <v>383</v>
      </c>
      <c r="F183" s="5">
        <v>40017</v>
      </c>
      <c r="G183" s="5">
        <v>40452</v>
      </c>
      <c r="H183" s="4" t="s">
        <v>16</v>
      </c>
      <c r="I183" s="6">
        <v>13500</v>
      </c>
      <c r="J183" s="8">
        <v>3900</v>
      </c>
      <c r="K183" s="37" t="s">
        <v>356</v>
      </c>
      <c r="L183" s="119"/>
      <c r="M183" s="3"/>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row>
    <row r="184" spans="1:60" s="9" customFormat="1" x14ac:dyDescent="0.25">
      <c r="A184" s="4" t="s">
        <v>384</v>
      </c>
      <c r="B184" s="4" t="s">
        <v>13</v>
      </c>
      <c r="C184" s="37" t="s">
        <v>356</v>
      </c>
      <c r="D184" s="35">
        <v>9996</v>
      </c>
      <c r="E184" s="4" t="s">
        <v>385</v>
      </c>
      <c r="F184" s="5">
        <v>40240</v>
      </c>
      <c r="G184" s="5">
        <v>40364</v>
      </c>
      <c r="H184" s="4" t="s">
        <v>16</v>
      </c>
      <c r="I184" s="6">
        <v>6658</v>
      </c>
      <c r="J184" s="8">
        <v>1997.4</v>
      </c>
      <c r="K184" s="37" t="s">
        <v>356</v>
      </c>
      <c r="L184" s="119"/>
      <c r="M184" s="3"/>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row>
    <row r="185" spans="1:60" s="9" customFormat="1" ht="25.5" x14ac:dyDescent="0.25">
      <c r="A185" s="4" t="s">
        <v>378</v>
      </c>
      <c r="B185" s="4" t="s">
        <v>13</v>
      </c>
      <c r="C185" s="37" t="s">
        <v>356</v>
      </c>
      <c r="D185" s="35">
        <v>10222</v>
      </c>
      <c r="E185" s="4" t="s">
        <v>386</v>
      </c>
      <c r="F185" s="5">
        <v>40289</v>
      </c>
      <c r="G185" s="5">
        <v>40364</v>
      </c>
      <c r="H185" s="4" t="s">
        <v>16</v>
      </c>
      <c r="I185" s="6">
        <v>7312.77</v>
      </c>
      <c r="J185" s="8">
        <v>2192</v>
      </c>
      <c r="K185" s="37" t="s">
        <v>356</v>
      </c>
      <c r="L185" s="119"/>
      <c r="M185" s="3"/>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row>
    <row r="186" spans="1:60" s="9" customFormat="1" ht="38.25" x14ac:dyDescent="0.25">
      <c r="A186" s="4" t="s">
        <v>387</v>
      </c>
      <c r="B186" s="4" t="s">
        <v>13</v>
      </c>
      <c r="C186" s="37" t="s">
        <v>356</v>
      </c>
      <c r="D186" s="35">
        <v>9380</v>
      </c>
      <c r="E186" s="4" t="s">
        <v>388</v>
      </c>
      <c r="F186" s="5">
        <v>39267</v>
      </c>
      <c r="G186" s="5">
        <v>39598</v>
      </c>
      <c r="H186" s="4" t="s">
        <v>389</v>
      </c>
      <c r="I186" s="6">
        <v>86450.94</v>
      </c>
      <c r="J186" s="6">
        <v>34580.379999999997</v>
      </c>
      <c r="K186" s="37" t="s">
        <v>356</v>
      </c>
      <c r="L186" s="119"/>
      <c r="M186" s="3"/>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row>
    <row r="187" spans="1:60" s="9" customFormat="1" ht="76.5" x14ac:dyDescent="0.25">
      <c r="A187" s="4" t="s">
        <v>390</v>
      </c>
      <c r="B187" s="4" t="s">
        <v>13</v>
      </c>
      <c r="C187" s="37" t="s">
        <v>356</v>
      </c>
      <c r="D187" s="35">
        <v>9967</v>
      </c>
      <c r="E187" s="4" t="s">
        <v>391</v>
      </c>
      <c r="F187" s="5">
        <v>40108</v>
      </c>
      <c r="G187" s="5">
        <v>40217</v>
      </c>
      <c r="H187" s="4" t="s">
        <v>392</v>
      </c>
      <c r="I187" s="6">
        <v>23343.48</v>
      </c>
      <c r="J187" s="6">
        <v>7469.91</v>
      </c>
      <c r="K187" s="37" t="s">
        <v>356</v>
      </c>
      <c r="L187" s="119"/>
      <c r="M187" s="3"/>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row>
    <row r="188" spans="1:60" s="9" customFormat="1" ht="25.5" x14ac:dyDescent="0.25">
      <c r="A188" s="4" t="s">
        <v>393</v>
      </c>
      <c r="B188" s="4" t="s">
        <v>13</v>
      </c>
      <c r="C188" s="37" t="s">
        <v>356</v>
      </c>
      <c r="D188" s="35">
        <v>10172</v>
      </c>
      <c r="E188" s="4" t="s">
        <v>394</v>
      </c>
      <c r="F188" s="5">
        <v>41142</v>
      </c>
      <c r="G188" s="5">
        <v>41271</v>
      </c>
      <c r="H188" s="4" t="s">
        <v>392</v>
      </c>
      <c r="I188" s="6">
        <v>59974</v>
      </c>
      <c r="J188" s="6">
        <v>20990.9</v>
      </c>
      <c r="K188" s="37" t="s">
        <v>356</v>
      </c>
      <c r="L188" s="119"/>
      <c r="M188" s="3"/>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1:60" s="9" customFormat="1" ht="25.5" x14ac:dyDescent="0.25">
      <c r="A189" s="4" t="s">
        <v>395</v>
      </c>
      <c r="B189" s="4" t="s">
        <v>38</v>
      </c>
      <c r="C189" s="37" t="s">
        <v>356</v>
      </c>
      <c r="D189" s="35">
        <v>1077</v>
      </c>
      <c r="E189" s="4" t="s">
        <v>396</v>
      </c>
      <c r="F189" s="5">
        <v>39083</v>
      </c>
      <c r="G189" s="5">
        <v>41639</v>
      </c>
      <c r="H189" s="4" t="s">
        <v>40</v>
      </c>
      <c r="I189" s="6">
        <f>75715.99+11046.19</f>
        <v>86762.180000000008</v>
      </c>
      <c r="J189" s="6">
        <f>75715.99+11046.19</f>
        <v>86762.180000000008</v>
      </c>
      <c r="K189" s="37" t="s">
        <v>356</v>
      </c>
      <c r="L189" s="119"/>
      <c r="M189" s="3"/>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1:60" s="9" customFormat="1" ht="38.25" x14ac:dyDescent="0.25">
      <c r="A190" s="4" t="s">
        <v>397</v>
      </c>
      <c r="B190" s="4" t="s">
        <v>38</v>
      </c>
      <c r="C190" s="37" t="s">
        <v>356</v>
      </c>
      <c r="D190" s="35">
        <v>2143</v>
      </c>
      <c r="E190" s="4" t="s">
        <v>398</v>
      </c>
      <c r="F190" s="5">
        <v>39083</v>
      </c>
      <c r="G190" s="5">
        <v>40908</v>
      </c>
      <c r="H190" s="4" t="s">
        <v>40</v>
      </c>
      <c r="I190" s="6">
        <v>85000</v>
      </c>
      <c r="J190" s="6">
        <v>85000</v>
      </c>
      <c r="K190" s="37" t="s">
        <v>356</v>
      </c>
      <c r="L190" s="119"/>
      <c r="M190" s="3"/>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1:60" s="9" customFormat="1" ht="25.5" x14ac:dyDescent="0.25">
      <c r="A191" s="4" t="s">
        <v>399</v>
      </c>
      <c r="B191" s="4" t="s">
        <v>38</v>
      </c>
      <c r="C191" s="37" t="s">
        <v>356</v>
      </c>
      <c r="D191" s="35">
        <v>2147</v>
      </c>
      <c r="E191" s="4" t="s">
        <v>400</v>
      </c>
      <c r="F191" s="5">
        <v>39083</v>
      </c>
      <c r="G191" s="5">
        <v>39813</v>
      </c>
      <c r="H191" s="4" t="s">
        <v>40</v>
      </c>
      <c r="I191" s="6">
        <v>1050</v>
      </c>
      <c r="J191" s="6">
        <v>1050</v>
      </c>
      <c r="K191" s="37" t="s">
        <v>356</v>
      </c>
      <c r="L191" s="119"/>
      <c r="M191" s="3"/>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1:60" s="9" customFormat="1" ht="51" x14ac:dyDescent="0.25">
      <c r="A192" s="4" t="s">
        <v>401</v>
      </c>
      <c r="B192" s="4" t="s">
        <v>38</v>
      </c>
      <c r="C192" s="37" t="s">
        <v>356</v>
      </c>
      <c r="D192" s="35">
        <v>2149</v>
      </c>
      <c r="E192" s="4" t="s">
        <v>402</v>
      </c>
      <c r="F192" s="5">
        <v>39083</v>
      </c>
      <c r="G192" s="5">
        <v>41639</v>
      </c>
      <c r="H192" s="4" t="s">
        <v>40</v>
      </c>
      <c r="I192" s="6">
        <f>48583.66+3733.5</f>
        <v>52317.16</v>
      </c>
      <c r="J192" s="6">
        <f>48583.66+3733.5</f>
        <v>52317.16</v>
      </c>
      <c r="K192" s="37" t="s">
        <v>356</v>
      </c>
      <c r="L192" s="119"/>
      <c r="M192" s="3"/>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1:60" s="9" customFormat="1" ht="63.75" x14ac:dyDescent="0.25">
      <c r="A193" s="4" t="s">
        <v>403</v>
      </c>
      <c r="B193" s="4" t="s">
        <v>38</v>
      </c>
      <c r="C193" s="37" t="s">
        <v>356</v>
      </c>
      <c r="D193" s="35">
        <v>2155</v>
      </c>
      <c r="E193" s="4" t="s">
        <v>404</v>
      </c>
      <c r="F193" s="5">
        <v>39083</v>
      </c>
      <c r="G193" s="5">
        <v>41639</v>
      </c>
      <c r="H193" s="4" t="s">
        <v>40</v>
      </c>
      <c r="I193" s="6">
        <f>27964.63+5327.6</f>
        <v>33292.230000000003</v>
      </c>
      <c r="J193" s="6">
        <f>27964.63+5327.6</f>
        <v>33292.230000000003</v>
      </c>
      <c r="K193" s="37" t="s">
        <v>356</v>
      </c>
      <c r="L193" s="119"/>
      <c r="M193" s="3"/>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row r="194" spans="1:60" s="9" customFormat="1" ht="51" x14ac:dyDescent="0.25">
      <c r="A194" s="4" t="s">
        <v>405</v>
      </c>
      <c r="B194" s="4" t="s">
        <v>38</v>
      </c>
      <c r="C194" s="37" t="s">
        <v>356</v>
      </c>
      <c r="D194" s="35">
        <v>2158</v>
      </c>
      <c r="E194" s="4" t="s">
        <v>406</v>
      </c>
      <c r="F194" s="5">
        <v>39083</v>
      </c>
      <c r="G194" s="5">
        <v>41639</v>
      </c>
      <c r="H194" s="4" t="s">
        <v>40</v>
      </c>
      <c r="I194" s="6">
        <f>81802+2250</f>
        <v>84052</v>
      </c>
      <c r="J194" s="6">
        <f>81802+2250</f>
        <v>84052</v>
      </c>
      <c r="K194" s="37" t="s">
        <v>356</v>
      </c>
      <c r="L194" s="119"/>
      <c r="M194" s="3"/>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row>
    <row r="195" spans="1:60" s="9" customFormat="1" ht="38.25" x14ac:dyDescent="0.25">
      <c r="A195" s="4" t="s">
        <v>407</v>
      </c>
      <c r="B195" s="4" t="s">
        <v>38</v>
      </c>
      <c r="C195" s="37" t="s">
        <v>356</v>
      </c>
      <c r="D195" s="35">
        <v>2160</v>
      </c>
      <c r="E195" s="4" t="s">
        <v>408</v>
      </c>
      <c r="F195" s="5">
        <v>39083</v>
      </c>
      <c r="G195" s="5">
        <v>41639</v>
      </c>
      <c r="H195" s="4" t="s">
        <v>40</v>
      </c>
      <c r="I195" s="6">
        <f>44938.9+10490.81</f>
        <v>55429.71</v>
      </c>
      <c r="J195" s="6">
        <f>44938.9+10490.81</f>
        <v>55429.71</v>
      </c>
      <c r="K195" s="37" t="s">
        <v>356</v>
      </c>
      <c r="L195" s="119"/>
      <c r="M195" s="3"/>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row>
    <row r="196" spans="1:60" s="9" customFormat="1" ht="51" x14ac:dyDescent="0.25">
      <c r="A196" s="4" t="s">
        <v>409</v>
      </c>
      <c r="B196" s="4" t="s">
        <v>38</v>
      </c>
      <c r="C196" s="37" t="s">
        <v>356</v>
      </c>
      <c r="D196" s="35">
        <v>2162</v>
      </c>
      <c r="E196" s="4" t="s">
        <v>410</v>
      </c>
      <c r="F196" s="5">
        <v>39083</v>
      </c>
      <c r="G196" s="5">
        <v>39813</v>
      </c>
      <c r="H196" s="4" t="s">
        <v>40</v>
      </c>
      <c r="I196" s="6">
        <v>1000</v>
      </c>
      <c r="J196" s="6">
        <v>1000</v>
      </c>
      <c r="K196" s="37" t="s">
        <v>356</v>
      </c>
      <c r="L196" s="119"/>
      <c r="M196" s="3"/>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row>
    <row r="197" spans="1:60" s="9" customFormat="1" ht="51" x14ac:dyDescent="0.25">
      <c r="A197" s="4" t="s">
        <v>411</v>
      </c>
      <c r="B197" s="4" t="s">
        <v>38</v>
      </c>
      <c r="C197" s="37" t="s">
        <v>356</v>
      </c>
      <c r="D197" s="35">
        <v>2163</v>
      </c>
      <c r="E197" s="4" t="s">
        <v>412</v>
      </c>
      <c r="F197" s="5">
        <v>39083</v>
      </c>
      <c r="G197" s="5">
        <v>40908</v>
      </c>
      <c r="H197" s="4" t="s">
        <v>40</v>
      </c>
      <c r="I197" s="6">
        <v>10891.8</v>
      </c>
      <c r="J197" s="6">
        <v>10891.8</v>
      </c>
      <c r="K197" s="37" t="s">
        <v>356</v>
      </c>
      <c r="L197" s="119"/>
      <c r="M197" s="3"/>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row>
    <row r="198" spans="1:60" s="9" customFormat="1" ht="63.75" x14ac:dyDescent="0.25">
      <c r="A198" s="4" t="s">
        <v>413</v>
      </c>
      <c r="B198" s="4" t="s">
        <v>38</v>
      </c>
      <c r="C198" s="37" t="s">
        <v>356</v>
      </c>
      <c r="D198" s="35">
        <v>2165</v>
      </c>
      <c r="E198" s="4" t="s">
        <v>414</v>
      </c>
      <c r="F198" s="5">
        <v>39083</v>
      </c>
      <c r="G198" s="5">
        <v>40178</v>
      </c>
      <c r="H198" s="4" t="s">
        <v>40</v>
      </c>
      <c r="I198" s="6">
        <v>7763</v>
      </c>
      <c r="J198" s="6">
        <v>7763</v>
      </c>
      <c r="K198" s="37" t="s">
        <v>356</v>
      </c>
      <c r="L198" s="119"/>
      <c r="M198" s="3"/>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row>
    <row r="199" spans="1:60" s="9" customFormat="1" ht="38.25" x14ac:dyDescent="0.25">
      <c r="A199" s="4" t="s">
        <v>415</v>
      </c>
      <c r="B199" s="4" t="s">
        <v>38</v>
      </c>
      <c r="C199" s="37" t="s">
        <v>356</v>
      </c>
      <c r="D199" s="35">
        <v>2166</v>
      </c>
      <c r="E199" s="4" t="s">
        <v>416</v>
      </c>
      <c r="F199" s="5">
        <v>39083</v>
      </c>
      <c r="G199" s="5">
        <v>41639</v>
      </c>
      <c r="H199" s="4" t="s">
        <v>40</v>
      </c>
      <c r="I199" s="6">
        <f>35826.74+11259.25</f>
        <v>47085.99</v>
      </c>
      <c r="J199" s="6">
        <f>35826.74+11259.25</f>
        <v>47085.99</v>
      </c>
      <c r="K199" s="37" t="s">
        <v>356</v>
      </c>
      <c r="L199" s="119"/>
      <c r="M199" s="3"/>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row>
    <row r="200" spans="1:60" s="9" customFormat="1" ht="38.25" x14ac:dyDescent="0.25">
      <c r="A200" s="4" t="s">
        <v>417</v>
      </c>
      <c r="B200" s="4" t="s">
        <v>38</v>
      </c>
      <c r="C200" s="37" t="s">
        <v>356</v>
      </c>
      <c r="D200" s="35">
        <v>2168</v>
      </c>
      <c r="E200" s="4" t="s">
        <v>418</v>
      </c>
      <c r="F200" s="5">
        <v>39083</v>
      </c>
      <c r="G200" s="5">
        <v>41274</v>
      </c>
      <c r="H200" s="4" t="s">
        <v>40</v>
      </c>
      <c r="I200" s="6">
        <v>8192.7800000000007</v>
      </c>
      <c r="J200" s="6">
        <v>8192.7800000000007</v>
      </c>
      <c r="K200" s="37" t="s">
        <v>356</v>
      </c>
      <c r="L200" s="119"/>
      <c r="M200" s="3"/>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row>
    <row r="201" spans="1:60" s="9" customFormat="1" ht="51" x14ac:dyDescent="0.25">
      <c r="A201" s="4" t="s">
        <v>419</v>
      </c>
      <c r="B201" s="4" t="s">
        <v>38</v>
      </c>
      <c r="C201" s="37" t="s">
        <v>356</v>
      </c>
      <c r="D201" s="35">
        <v>2169</v>
      </c>
      <c r="E201" s="4" t="s">
        <v>420</v>
      </c>
      <c r="F201" s="5">
        <v>39083</v>
      </c>
      <c r="G201" s="5">
        <v>41639</v>
      </c>
      <c r="H201" s="4" t="s">
        <v>40</v>
      </c>
      <c r="I201" s="6">
        <f>203476.69+23264</f>
        <v>226740.69</v>
      </c>
      <c r="J201" s="6">
        <f>203476.69+23264</f>
        <v>226740.69</v>
      </c>
      <c r="K201" s="37" t="s">
        <v>356</v>
      </c>
      <c r="L201" s="119"/>
      <c r="M201" s="3"/>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row>
    <row r="202" spans="1:60" s="9" customFormat="1" ht="38.25" x14ac:dyDescent="0.25">
      <c r="A202" s="4" t="s">
        <v>421</v>
      </c>
      <c r="B202" s="4" t="s">
        <v>38</v>
      </c>
      <c r="C202" s="37" t="s">
        <v>356</v>
      </c>
      <c r="D202" s="35">
        <v>2170</v>
      </c>
      <c r="E202" s="4" t="s">
        <v>422</v>
      </c>
      <c r="F202" s="5">
        <v>39083</v>
      </c>
      <c r="G202" s="5">
        <v>40543</v>
      </c>
      <c r="H202" s="4" t="s">
        <v>40</v>
      </c>
      <c r="I202" s="6">
        <v>9769.7000000000007</v>
      </c>
      <c r="J202" s="6">
        <v>9769.7000000000007</v>
      </c>
      <c r="K202" s="37" t="s">
        <v>356</v>
      </c>
      <c r="L202" s="119"/>
      <c r="M202" s="3"/>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row>
    <row r="203" spans="1:60" s="9" customFormat="1" ht="38.25" x14ac:dyDescent="0.25">
      <c r="A203" s="4" t="s">
        <v>423</v>
      </c>
      <c r="B203" s="4" t="s">
        <v>38</v>
      </c>
      <c r="C203" s="37" t="s">
        <v>356</v>
      </c>
      <c r="D203" s="35">
        <v>2172</v>
      </c>
      <c r="E203" s="4" t="s">
        <v>424</v>
      </c>
      <c r="F203" s="5">
        <v>39083</v>
      </c>
      <c r="G203" s="5">
        <v>41639</v>
      </c>
      <c r="H203" s="4" t="s">
        <v>40</v>
      </c>
      <c r="I203" s="6">
        <f>35677.7+14457.79</f>
        <v>50135.49</v>
      </c>
      <c r="J203" s="6">
        <f>35677.7+14457.79</f>
        <v>50135.49</v>
      </c>
      <c r="K203" s="37" t="s">
        <v>356</v>
      </c>
      <c r="L203" s="119"/>
      <c r="M203" s="3"/>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row>
    <row r="204" spans="1:60" s="9" customFormat="1" ht="63.75" x14ac:dyDescent="0.25">
      <c r="A204" s="4" t="s">
        <v>425</v>
      </c>
      <c r="B204" s="4" t="s">
        <v>38</v>
      </c>
      <c r="C204" s="37" t="s">
        <v>356</v>
      </c>
      <c r="D204" s="35">
        <v>2173</v>
      </c>
      <c r="E204" s="4" t="s">
        <v>426</v>
      </c>
      <c r="F204" s="5">
        <v>39083</v>
      </c>
      <c r="G204" s="5">
        <v>40543</v>
      </c>
      <c r="H204" s="4" t="s">
        <v>40</v>
      </c>
      <c r="I204" s="6">
        <v>41677.660000000003</v>
      </c>
      <c r="J204" s="6">
        <v>41677.660000000003</v>
      </c>
      <c r="K204" s="37" t="s">
        <v>356</v>
      </c>
      <c r="L204" s="119"/>
      <c r="M204" s="3"/>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row>
    <row r="205" spans="1:60" s="9" customFormat="1" ht="63.75" x14ac:dyDescent="0.25">
      <c r="A205" s="4" t="s">
        <v>427</v>
      </c>
      <c r="B205" s="4" t="s">
        <v>38</v>
      </c>
      <c r="C205" s="37" t="s">
        <v>356</v>
      </c>
      <c r="D205" s="35">
        <v>2175</v>
      </c>
      <c r="E205" s="4" t="s">
        <v>428</v>
      </c>
      <c r="F205" s="5">
        <v>39083</v>
      </c>
      <c r="G205" s="5">
        <v>41274</v>
      </c>
      <c r="H205" s="4" t="s">
        <v>40</v>
      </c>
      <c r="I205" s="6">
        <v>54682.44</v>
      </c>
      <c r="J205" s="6">
        <v>54682.44</v>
      </c>
      <c r="K205" s="37" t="s">
        <v>356</v>
      </c>
      <c r="L205" s="119"/>
      <c r="M205" s="3"/>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row>
    <row r="206" spans="1:60" s="9" customFormat="1" ht="38.25" x14ac:dyDescent="0.25">
      <c r="A206" s="4" t="s">
        <v>429</v>
      </c>
      <c r="B206" s="4" t="s">
        <v>38</v>
      </c>
      <c r="C206" s="37" t="s">
        <v>356</v>
      </c>
      <c r="D206" s="35">
        <v>2176</v>
      </c>
      <c r="E206" s="4" t="s">
        <v>430</v>
      </c>
      <c r="F206" s="5">
        <v>39083</v>
      </c>
      <c r="G206" s="5">
        <v>40908</v>
      </c>
      <c r="H206" s="4" t="s">
        <v>40</v>
      </c>
      <c r="I206" s="6">
        <v>37146.35</v>
      </c>
      <c r="J206" s="6">
        <v>37146.35</v>
      </c>
      <c r="K206" s="37" t="s">
        <v>356</v>
      </c>
      <c r="L206" s="119"/>
      <c r="M206" s="3"/>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row>
    <row r="207" spans="1:60" s="9" customFormat="1" ht="38.25" x14ac:dyDescent="0.25">
      <c r="A207" s="4" t="s">
        <v>431</v>
      </c>
      <c r="B207" s="4" t="s">
        <v>38</v>
      </c>
      <c r="C207" s="37" t="s">
        <v>356</v>
      </c>
      <c r="D207" s="35">
        <v>2177</v>
      </c>
      <c r="E207" s="4" t="s">
        <v>432</v>
      </c>
      <c r="F207" s="5">
        <v>39083</v>
      </c>
      <c r="G207" s="5">
        <v>41274</v>
      </c>
      <c r="H207" s="4" t="s">
        <v>40</v>
      </c>
      <c r="I207" s="6">
        <v>17201.5</v>
      </c>
      <c r="J207" s="6">
        <v>17201.5</v>
      </c>
      <c r="K207" s="37" t="s">
        <v>356</v>
      </c>
      <c r="L207" s="119"/>
      <c r="M207" s="3"/>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row>
    <row r="208" spans="1:60" s="9" customFormat="1" ht="51" x14ac:dyDescent="0.25">
      <c r="A208" s="4" t="s">
        <v>433</v>
      </c>
      <c r="B208" s="4" t="s">
        <v>38</v>
      </c>
      <c r="C208" s="37" t="s">
        <v>356</v>
      </c>
      <c r="D208" s="35">
        <v>2180</v>
      </c>
      <c r="E208" s="4" t="s">
        <v>434</v>
      </c>
      <c r="F208" s="5">
        <v>39083</v>
      </c>
      <c r="G208" s="5">
        <v>40908</v>
      </c>
      <c r="H208" s="4" t="s">
        <v>40</v>
      </c>
      <c r="I208" s="6">
        <v>28293.13</v>
      </c>
      <c r="J208" s="6">
        <v>28293.13</v>
      </c>
      <c r="K208" s="37" t="s">
        <v>356</v>
      </c>
      <c r="L208" s="119"/>
      <c r="M208" s="3"/>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row>
    <row r="209" spans="1:60" s="9" customFormat="1" ht="38.25" x14ac:dyDescent="0.25">
      <c r="A209" s="4" t="s">
        <v>435</v>
      </c>
      <c r="B209" s="4" t="s">
        <v>38</v>
      </c>
      <c r="C209" s="37" t="s">
        <v>356</v>
      </c>
      <c r="D209" s="35">
        <v>2229</v>
      </c>
      <c r="E209" s="4" t="s">
        <v>436</v>
      </c>
      <c r="F209" s="5">
        <v>39083</v>
      </c>
      <c r="G209" s="5">
        <v>41639</v>
      </c>
      <c r="H209" s="4" t="s">
        <v>40</v>
      </c>
      <c r="I209" s="6">
        <f>112313.8+5702</f>
        <v>118015.8</v>
      </c>
      <c r="J209" s="6">
        <f>112313.8+5702</f>
        <v>118015.8</v>
      </c>
      <c r="K209" s="37" t="s">
        <v>356</v>
      </c>
      <c r="L209" s="119"/>
      <c r="M209" s="3"/>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row>
    <row r="210" spans="1:60" s="9" customFormat="1" ht="38.25" x14ac:dyDescent="0.25">
      <c r="A210" s="4" t="s">
        <v>437</v>
      </c>
      <c r="B210" s="4" t="s">
        <v>38</v>
      </c>
      <c r="C210" s="37" t="s">
        <v>356</v>
      </c>
      <c r="D210" s="35">
        <v>2251</v>
      </c>
      <c r="E210" s="4" t="s">
        <v>438</v>
      </c>
      <c r="F210" s="5">
        <v>39083</v>
      </c>
      <c r="G210" s="5">
        <v>39813</v>
      </c>
      <c r="H210" s="4" t="s">
        <v>40</v>
      </c>
      <c r="I210" s="6">
        <v>1600</v>
      </c>
      <c r="J210" s="6">
        <v>1600</v>
      </c>
      <c r="K210" s="37" t="s">
        <v>356</v>
      </c>
      <c r="L210" s="119"/>
      <c r="M210" s="3"/>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row>
    <row r="211" spans="1:60" s="9" customFormat="1" ht="38.25" x14ac:dyDescent="0.25">
      <c r="A211" s="4" t="s">
        <v>439</v>
      </c>
      <c r="B211" s="4" t="s">
        <v>38</v>
      </c>
      <c r="C211" s="37" t="s">
        <v>356</v>
      </c>
      <c r="D211" s="35">
        <v>2252</v>
      </c>
      <c r="E211" s="4" t="s">
        <v>440</v>
      </c>
      <c r="F211" s="5">
        <v>39083</v>
      </c>
      <c r="G211" s="5">
        <v>40178</v>
      </c>
      <c r="H211" s="4" t="s">
        <v>40</v>
      </c>
      <c r="I211" s="6">
        <v>9120.85</v>
      </c>
      <c r="J211" s="6">
        <v>9120.85</v>
      </c>
      <c r="K211" s="37" t="s">
        <v>356</v>
      </c>
      <c r="L211" s="119"/>
      <c r="M211" s="3"/>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row>
    <row r="212" spans="1:60" s="9" customFormat="1" ht="38.25" x14ac:dyDescent="0.25">
      <c r="A212" s="4" t="s">
        <v>441</v>
      </c>
      <c r="B212" s="4" t="s">
        <v>38</v>
      </c>
      <c r="C212" s="37" t="s">
        <v>356</v>
      </c>
      <c r="D212" s="35">
        <v>2260</v>
      </c>
      <c r="E212" s="4" t="s">
        <v>442</v>
      </c>
      <c r="F212" s="5">
        <v>39083</v>
      </c>
      <c r="G212" s="5">
        <v>41639</v>
      </c>
      <c r="H212" s="4" t="s">
        <v>40</v>
      </c>
      <c r="I212" s="6">
        <f>20305.85+8242.5</f>
        <v>28548.35</v>
      </c>
      <c r="J212" s="6">
        <f>20305.85+8242.5</f>
        <v>28548.35</v>
      </c>
      <c r="K212" s="37" t="s">
        <v>356</v>
      </c>
      <c r="L212" s="119"/>
      <c r="M212" s="3"/>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row>
    <row r="213" spans="1:60" s="9" customFormat="1" ht="63.75" x14ac:dyDescent="0.25">
      <c r="A213" s="4" t="s">
        <v>443</v>
      </c>
      <c r="B213" s="4" t="s">
        <v>38</v>
      </c>
      <c r="C213" s="37" t="s">
        <v>356</v>
      </c>
      <c r="D213" s="35">
        <v>2264</v>
      </c>
      <c r="E213" s="4" t="s">
        <v>444</v>
      </c>
      <c r="F213" s="5">
        <v>39083</v>
      </c>
      <c r="G213" s="5">
        <v>41639</v>
      </c>
      <c r="H213" s="4" t="s">
        <v>40</v>
      </c>
      <c r="I213" s="6">
        <f>42348.34+8105</f>
        <v>50453.34</v>
      </c>
      <c r="J213" s="6">
        <f>42348.34+8105</f>
        <v>50453.34</v>
      </c>
      <c r="K213" s="37" t="s">
        <v>356</v>
      </c>
      <c r="L213" s="119"/>
      <c r="M213" s="3"/>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row>
    <row r="214" spans="1:60" s="9" customFormat="1" ht="51" x14ac:dyDescent="0.25">
      <c r="A214" s="4" t="s">
        <v>445</v>
      </c>
      <c r="B214" s="4" t="s">
        <v>38</v>
      </c>
      <c r="C214" s="37" t="s">
        <v>356</v>
      </c>
      <c r="D214" s="35">
        <v>2269</v>
      </c>
      <c r="E214" s="4" t="s">
        <v>446</v>
      </c>
      <c r="F214" s="5">
        <v>39083</v>
      </c>
      <c r="G214" s="5">
        <v>39813</v>
      </c>
      <c r="H214" s="4" t="s">
        <v>40</v>
      </c>
      <c r="I214" s="6">
        <v>2085.3200000000002</v>
      </c>
      <c r="J214" s="6">
        <v>2085.3200000000002</v>
      </c>
      <c r="K214" s="37" t="s">
        <v>356</v>
      </c>
      <c r="L214" s="119"/>
      <c r="M214" s="3"/>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row>
    <row r="215" spans="1:60" s="9" customFormat="1" ht="38.25" x14ac:dyDescent="0.25">
      <c r="A215" s="4" t="s">
        <v>447</v>
      </c>
      <c r="B215" s="4" t="s">
        <v>38</v>
      </c>
      <c r="C215" s="37" t="s">
        <v>356</v>
      </c>
      <c r="D215" s="35">
        <v>2273</v>
      </c>
      <c r="E215" s="4" t="s">
        <v>448</v>
      </c>
      <c r="F215" s="5">
        <v>39083</v>
      </c>
      <c r="G215" s="5">
        <v>40908</v>
      </c>
      <c r="H215" s="4" t="s">
        <v>40</v>
      </c>
      <c r="I215" s="6">
        <v>4772.9399999999996</v>
      </c>
      <c r="J215" s="6">
        <v>4772.9399999999996</v>
      </c>
      <c r="K215" s="37" t="s">
        <v>356</v>
      </c>
      <c r="L215" s="119"/>
      <c r="M215" s="3"/>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row>
    <row r="216" spans="1:60" s="9" customFormat="1" ht="25.5" x14ac:dyDescent="0.25">
      <c r="A216" s="4" t="s">
        <v>449</v>
      </c>
      <c r="B216" s="4" t="s">
        <v>38</v>
      </c>
      <c r="C216" s="37" t="s">
        <v>356</v>
      </c>
      <c r="D216" s="35">
        <v>2275</v>
      </c>
      <c r="E216" s="4" t="s">
        <v>450</v>
      </c>
      <c r="F216" s="5">
        <v>39083</v>
      </c>
      <c r="G216" s="5">
        <v>41639</v>
      </c>
      <c r="H216" s="4" t="s">
        <v>40</v>
      </c>
      <c r="I216" s="6">
        <v>17640</v>
      </c>
      <c r="J216" s="6">
        <v>17640</v>
      </c>
      <c r="K216" s="37" t="s">
        <v>356</v>
      </c>
      <c r="L216" s="119"/>
      <c r="M216" s="3"/>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row>
    <row r="217" spans="1:60" s="4" customFormat="1" ht="38.25" x14ac:dyDescent="0.25">
      <c r="A217" s="4" t="s">
        <v>451</v>
      </c>
      <c r="B217" s="4" t="s">
        <v>38</v>
      </c>
      <c r="C217" s="37" t="s">
        <v>356</v>
      </c>
      <c r="D217" s="35">
        <v>2278</v>
      </c>
      <c r="E217" s="4" t="s">
        <v>452</v>
      </c>
      <c r="F217" s="5">
        <v>39083</v>
      </c>
      <c r="G217" s="5">
        <v>40543</v>
      </c>
      <c r="H217" s="4" t="s">
        <v>40</v>
      </c>
      <c r="I217" s="6">
        <v>34048.43</v>
      </c>
      <c r="J217" s="6">
        <v>34048.43</v>
      </c>
      <c r="K217" s="37" t="s">
        <v>356</v>
      </c>
      <c r="L217" s="119"/>
      <c r="M217" s="3"/>
    </row>
    <row r="218" spans="1:60" s="4" customFormat="1" ht="51" x14ac:dyDescent="0.25">
      <c r="A218" s="4" t="s">
        <v>453</v>
      </c>
      <c r="B218" s="4" t="s">
        <v>38</v>
      </c>
      <c r="C218" s="37" t="s">
        <v>356</v>
      </c>
      <c r="D218" s="35">
        <v>2314</v>
      </c>
      <c r="E218" s="4" t="s">
        <v>454</v>
      </c>
      <c r="F218" s="5">
        <v>39083</v>
      </c>
      <c r="G218" s="5">
        <v>41639</v>
      </c>
      <c r="H218" s="4" t="s">
        <v>40</v>
      </c>
      <c r="I218" s="6">
        <f>49857.5+4715</f>
        <v>54572.5</v>
      </c>
      <c r="J218" s="6">
        <f>49857.5+4715</f>
        <v>54572.5</v>
      </c>
      <c r="K218" s="37" t="s">
        <v>356</v>
      </c>
      <c r="L218" s="119"/>
      <c r="M218" s="3"/>
    </row>
    <row r="219" spans="1:60" s="4" customFormat="1" ht="51" x14ac:dyDescent="0.25">
      <c r="A219" s="4" t="s">
        <v>455</v>
      </c>
      <c r="B219" s="4" t="s">
        <v>38</v>
      </c>
      <c r="C219" s="37" t="s">
        <v>356</v>
      </c>
      <c r="D219" s="35">
        <v>2315</v>
      </c>
      <c r="E219" s="4" t="s">
        <v>456</v>
      </c>
      <c r="F219" s="5">
        <v>39083</v>
      </c>
      <c r="G219" s="5">
        <v>39813</v>
      </c>
      <c r="H219" s="4" t="s">
        <v>40</v>
      </c>
      <c r="I219" s="6">
        <v>1226.5</v>
      </c>
      <c r="J219" s="6">
        <v>1226.5</v>
      </c>
      <c r="K219" s="37" t="s">
        <v>356</v>
      </c>
      <c r="L219" s="119"/>
      <c r="M219" s="3"/>
    </row>
    <row r="220" spans="1:60" s="4" customFormat="1" ht="25.5" x14ac:dyDescent="0.25">
      <c r="A220" s="4" t="s">
        <v>457</v>
      </c>
      <c r="B220" s="4" t="s">
        <v>38</v>
      </c>
      <c r="C220" s="37" t="s">
        <v>356</v>
      </c>
      <c r="D220" s="35">
        <v>2316</v>
      </c>
      <c r="E220" s="4" t="s">
        <v>458</v>
      </c>
      <c r="F220" s="5">
        <v>39083</v>
      </c>
      <c r="G220" s="5">
        <v>39813</v>
      </c>
      <c r="H220" s="4" t="s">
        <v>40</v>
      </c>
      <c r="I220" s="6">
        <v>1933</v>
      </c>
      <c r="J220" s="6">
        <v>1933</v>
      </c>
      <c r="K220" s="37" t="s">
        <v>356</v>
      </c>
      <c r="L220" s="119"/>
      <c r="M220" s="3"/>
    </row>
    <row r="221" spans="1:60" s="4" customFormat="1" ht="38.25" x14ac:dyDescent="0.25">
      <c r="A221" s="4" t="s">
        <v>459</v>
      </c>
      <c r="B221" s="4" t="s">
        <v>38</v>
      </c>
      <c r="C221" s="37" t="s">
        <v>356</v>
      </c>
      <c r="D221" s="35">
        <v>2317</v>
      </c>
      <c r="E221" s="4" t="s">
        <v>460</v>
      </c>
      <c r="F221" s="5">
        <v>39448</v>
      </c>
      <c r="G221" s="5">
        <v>41639</v>
      </c>
      <c r="H221" s="4" t="s">
        <v>40</v>
      </c>
      <c r="I221" s="6">
        <v>2588.9</v>
      </c>
      <c r="J221" s="6">
        <v>2588.9</v>
      </c>
      <c r="K221" s="37" t="s">
        <v>356</v>
      </c>
      <c r="L221" s="119"/>
      <c r="M221" s="3"/>
    </row>
    <row r="222" spans="1:60" s="4" customFormat="1" ht="38.25" x14ac:dyDescent="0.25">
      <c r="A222" s="4" t="s">
        <v>461</v>
      </c>
      <c r="B222" s="4" t="s">
        <v>38</v>
      </c>
      <c r="C222" s="37" t="s">
        <v>356</v>
      </c>
      <c r="D222" s="35">
        <v>2318</v>
      </c>
      <c r="E222" s="4" t="s">
        <v>462</v>
      </c>
      <c r="F222" s="5">
        <v>39448</v>
      </c>
      <c r="G222" s="5">
        <v>40908</v>
      </c>
      <c r="H222" s="4" t="s">
        <v>40</v>
      </c>
      <c r="I222" s="6">
        <v>1774</v>
      </c>
      <c r="J222" s="6">
        <v>1774</v>
      </c>
      <c r="K222" s="37" t="s">
        <v>356</v>
      </c>
      <c r="L222" s="119"/>
      <c r="M222" s="3"/>
    </row>
    <row r="223" spans="1:60" s="4" customFormat="1" ht="38.25" x14ac:dyDescent="0.25">
      <c r="A223" s="4" t="s">
        <v>463</v>
      </c>
      <c r="B223" s="4" t="s">
        <v>38</v>
      </c>
      <c r="C223" s="37" t="s">
        <v>356</v>
      </c>
      <c r="D223" s="35">
        <v>2319</v>
      </c>
      <c r="E223" s="4" t="s">
        <v>464</v>
      </c>
      <c r="F223" s="5">
        <v>39448</v>
      </c>
      <c r="G223" s="5">
        <v>41639</v>
      </c>
      <c r="H223" s="4" t="s">
        <v>40</v>
      </c>
      <c r="I223" s="6">
        <f>21977.1+10159.4</f>
        <v>32136.5</v>
      </c>
      <c r="J223" s="6">
        <f>21977.1+10159.4</f>
        <v>32136.5</v>
      </c>
      <c r="K223" s="37" t="s">
        <v>356</v>
      </c>
      <c r="L223" s="119"/>
      <c r="M223" s="3"/>
    </row>
    <row r="224" spans="1:60" s="4" customFormat="1" ht="38.25" x14ac:dyDescent="0.25">
      <c r="A224" s="4" t="s">
        <v>465</v>
      </c>
      <c r="B224" s="4" t="s">
        <v>38</v>
      </c>
      <c r="C224" s="37" t="s">
        <v>356</v>
      </c>
      <c r="D224" s="35">
        <v>2320</v>
      </c>
      <c r="E224" s="4" t="s">
        <v>466</v>
      </c>
      <c r="F224" s="5">
        <v>39448</v>
      </c>
      <c r="G224" s="5">
        <v>40908</v>
      </c>
      <c r="H224" s="4" t="s">
        <v>40</v>
      </c>
      <c r="I224" s="6">
        <v>2989.6</v>
      </c>
      <c r="J224" s="6">
        <v>2989.6</v>
      </c>
      <c r="K224" s="37" t="s">
        <v>356</v>
      </c>
      <c r="L224" s="119"/>
      <c r="M224" s="3"/>
    </row>
    <row r="225" spans="1:13" s="4" customFormat="1" ht="51" x14ac:dyDescent="0.25">
      <c r="A225" s="4" t="s">
        <v>467</v>
      </c>
      <c r="B225" s="4" t="s">
        <v>38</v>
      </c>
      <c r="C225" s="37" t="s">
        <v>356</v>
      </c>
      <c r="D225" s="35">
        <v>2321</v>
      </c>
      <c r="E225" s="4" t="s">
        <v>468</v>
      </c>
      <c r="F225" s="5">
        <v>39448</v>
      </c>
      <c r="G225" s="5">
        <v>39813</v>
      </c>
      <c r="H225" s="4" t="s">
        <v>40</v>
      </c>
      <c r="I225" s="6">
        <v>268.60000000000002</v>
      </c>
      <c r="J225" s="6">
        <v>268.60000000000002</v>
      </c>
      <c r="K225" s="37" t="s">
        <v>356</v>
      </c>
      <c r="L225" s="119"/>
      <c r="M225" s="3"/>
    </row>
    <row r="226" spans="1:13" s="4" customFormat="1" ht="51" x14ac:dyDescent="0.25">
      <c r="A226" s="4" t="s">
        <v>469</v>
      </c>
      <c r="B226" s="4" t="s">
        <v>38</v>
      </c>
      <c r="C226" s="37" t="s">
        <v>356</v>
      </c>
      <c r="D226" s="35">
        <v>2322</v>
      </c>
      <c r="E226" s="4" t="s">
        <v>470</v>
      </c>
      <c r="F226" s="5">
        <v>39448</v>
      </c>
      <c r="G226" s="5">
        <v>39813</v>
      </c>
      <c r="H226" s="4" t="s">
        <v>40</v>
      </c>
      <c r="I226" s="6">
        <v>4312.49</v>
      </c>
      <c r="J226" s="6">
        <v>4312.49</v>
      </c>
      <c r="K226" s="37" t="s">
        <v>356</v>
      </c>
      <c r="L226" s="119"/>
      <c r="M226" s="3"/>
    </row>
    <row r="227" spans="1:13" s="4" customFormat="1" ht="25.5" x14ac:dyDescent="0.25">
      <c r="A227" s="4" t="s">
        <v>471</v>
      </c>
      <c r="B227" s="4" t="s">
        <v>38</v>
      </c>
      <c r="C227" s="37" t="s">
        <v>356</v>
      </c>
      <c r="D227" s="35">
        <v>2323</v>
      </c>
      <c r="E227" s="4" t="s">
        <v>472</v>
      </c>
      <c r="F227" s="5">
        <v>39448</v>
      </c>
      <c r="G227" s="5">
        <v>39813</v>
      </c>
      <c r="H227" s="4" t="s">
        <v>40</v>
      </c>
      <c r="I227" s="6">
        <v>1000</v>
      </c>
      <c r="J227" s="6">
        <v>1000</v>
      </c>
      <c r="K227" s="37" t="s">
        <v>356</v>
      </c>
      <c r="L227" s="119"/>
      <c r="M227" s="3"/>
    </row>
    <row r="228" spans="1:13" s="4" customFormat="1" ht="63.75" x14ac:dyDescent="0.25">
      <c r="A228" s="4" t="s">
        <v>473</v>
      </c>
      <c r="B228" s="4" t="s">
        <v>59</v>
      </c>
      <c r="C228" s="37" t="s">
        <v>356</v>
      </c>
      <c r="D228" s="35">
        <v>2733</v>
      </c>
      <c r="E228" s="4" t="s">
        <v>474</v>
      </c>
      <c r="F228" s="5">
        <v>39126</v>
      </c>
      <c r="G228" s="5">
        <v>39491</v>
      </c>
      <c r="H228" s="4" t="s">
        <v>40</v>
      </c>
      <c r="I228" s="6">
        <v>7500</v>
      </c>
      <c r="J228" s="6">
        <v>7500</v>
      </c>
      <c r="K228" s="37" t="s">
        <v>356</v>
      </c>
      <c r="L228" s="119"/>
      <c r="M228" s="3"/>
    </row>
    <row r="229" spans="1:13" s="4" customFormat="1" x14ac:dyDescent="0.25">
      <c r="A229" s="4" t="s">
        <v>475</v>
      </c>
      <c r="B229" s="4" t="s">
        <v>50</v>
      </c>
      <c r="C229" s="37" t="s">
        <v>356</v>
      </c>
      <c r="D229" s="35">
        <v>2806</v>
      </c>
      <c r="E229" s="4" t="s">
        <v>476</v>
      </c>
      <c r="F229" s="5">
        <v>39245</v>
      </c>
      <c r="G229" s="5">
        <v>39813</v>
      </c>
      <c r="H229" s="4" t="s">
        <v>40</v>
      </c>
      <c r="I229" s="6">
        <v>30000</v>
      </c>
      <c r="J229" s="6">
        <v>15000</v>
      </c>
      <c r="K229" s="37" t="s">
        <v>356</v>
      </c>
      <c r="L229" s="119"/>
      <c r="M229" s="3"/>
    </row>
    <row r="230" spans="1:13" s="4" customFormat="1" x14ac:dyDescent="0.25">
      <c r="A230" s="4" t="s">
        <v>477</v>
      </c>
      <c r="B230" s="4" t="s">
        <v>50</v>
      </c>
      <c r="C230" s="37" t="s">
        <v>356</v>
      </c>
      <c r="D230" s="35">
        <v>2902</v>
      </c>
      <c r="E230" s="4" t="s">
        <v>478</v>
      </c>
      <c r="F230" s="5">
        <v>39245</v>
      </c>
      <c r="G230" s="5">
        <v>39813</v>
      </c>
      <c r="H230" s="4" t="s">
        <v>40</v>
      </c>
      <c r="I230" s="6">
        <v>23600</v>
      </c>
      <c r="J230" s="6">
        <v>11800</v>
      </c>
      <c r="K230" s="37" t="s">
        <v>356</v>
      </c>
      <c r="L230" s="119"/>
      <c r="M230" s="3"/>
    </row>
    <row r="231" spans="1:13" s="4" customFormat="1" ht="25.5" x14ac:dyDescent="0.25">
      <c r="A231" s="4" t="s">
        <v>479</v>
      </c>
      <c r="B231" s="4" t="s">
        <v>59</v>
      </c>
      <c r="C231" s="37" t="s">
        <v>356</v>
      </c>
      <c r="D231" s="35">
        <v>2905</v>
      </c>
      <c r="E231" s="4" t="s">
        <v>480</v>
      </c>
      <c r="F231" s="5">
        <v>39126</v>
      </c>
      <c r="G231" s="5">
        <v>39813</v>
      </c>
      <c r="H231" s="4" t="s">
        <v>40</v>
      </c>
      <c r="I231" s="6">
        <v>7500</v>
      </c>
      <c r="J231" s="6">
        <v>7500</v>
      </c>
      <c r="K231" s="37" t="s">
        <v>356</v>
      </c>
      <c r="L231" s="119"/>
      <c r="M231" s="3"/>
    </row>
    <row r="232" spans="1:13" s="4" customFormat="1" ht="25.5" x14ac:dyDescent="0.25">
      <c r="A232" s="4" t="s">
        <v>481</v>
      </c>
      <c r="B232" s="4" t="s">
        <v>59</v>
      </c>
      <c r="C232" s="37" t="s">
        <v>356</v>
      </c>
      <c r="D232" s="35">
        <v>2907</v>
      </c>
      <c r="E232" s="4" t="s">
        <v>482</v>
      </c>
      <c r="F232" s="5">
        <v>39245</v>
      </c>
      <c r="G232" s="5">
        <v>39813</v>
      </c>
      <c r="H232" s="4" t="s">
        <v>40</v>
      </c>
      <c r="I232" s="6">
        <v>7500</v>
      </c>
      <c r="J232" s="6">
        <v>7500</v>
      </c>
      <c r="K232" s="37" t="s">
        <v>356</v>
      </c>
      <c r="L232" s="119"/>
      <c r="M232" s="3"/>
    </row>
    <row r="233" spans="1:13" s="4" customFormat="1" x14ac:dyDescent="0.25">
      <c r="A233" s="4" t="s">
        <v>483</v>
      </c>
      <c r="B233" s="4" t="s">
        <v>90</v>
      </c>
      <c r="C233" s="37" t="s">
        <v>356</v>
      </c>
      <c r="D233" s="35">
        <v>2908</v>
      </c>
      <c r="E233" s="4" t="s">
        <v>484</v>
      </c>
      <c r="F233" s="5">
        <v>39245</v>
      </c>
      <c r="G233" s="5">
        <v>39611</v>
      </c>
      <c r="H233" s="4" t="s">
        <v>40</v>
      </c>
      <c r="I233" s="6">
        <v>10000</v>
      </c>
      <c r="J233" s="6">
        <v>5000</v>
      </c>
      <c r="K233" s="37" t="s">
        <v>356</v>
      </c>
      <c r="L233" s="119"/>
      <c r="M233" s="3"/>
    </row>
    <row r="234" spans="1:13" s="4" customFormat="1" x14ac:dyDescent="0.25">
      <c r="A234" s="4" t="s">
        <v>485</v>
      </c>
      <c r="B234" s="4" t="s">
        <v>50</v>
      </c>
      <c r="C234" s="37" t="s">
        <v>356</v>
      </c>
      <c r="D234" s="35">
        <v>2913</v>
      </c>
      <c r="E234" s="4" t="s">
        <v>486</v>
      </c>
      <c r="F234" s="5">
        <v>39182</v>
      </c>
      <c r="G234" s="5">
        <v>39813</v>
      </c>
      <c r="H234" s="4" t="s">
        <v>40</v>
      </c>
      <c r="I234" s="6">
        <v>16294</v>
      </c>
      <c r="J234" s="6">
        <v>8147</v>
      </c>
      <c r="K234" s="37" t="s">
        <v>356</v>
      </c>
      <c r="L234" s="119"/>
      <c r="M234" s="3"/>
    </row>
    <row r="235" spans="1:13" s="4" customFormat="1" ht="89.25" x14ac:dyDescent="0.25">
      <c r="A235" s="4" t="s">
        <v>487</v>
      </c>
      <c r="B235" s="4" t="s">
        <v>50</v>
      </c>
      <c r="C235" s="37" t="s">
        <v>356</v>
      </c>
      <c r="D235" s="35">
        <v>2916</v>
      </c>
      <c r="E235" s="7" t="s">
        <v>488</v>
      </c>
      <c r="F235" s="5">
        <v>39083</v>
      </c>
      <c r="G235" s="5">
        <v>39813</v>
      </c>
      <c r="H235" s="4" t="s">
        <v>40</v>
      </c>
      <c r="I235" s="6">
        <v>45000</v>
      </c>
      <c r="J235" s="6">
        <v>22500</v>
      </c>
      <c r="K235" s="37" t="s">
        <v>356</v>
      </c>
      <c r="L235" s="119"/>
      <c r="M235" s="3"/>
    </row>
    <row r="236" spans="1:13" s="4" customFormat="1" ht="38.25" x14ac:dyDescent="0.25">
      <c r="A236" s="4" t="s">
        <v>489</v>
      </c>
      <c r="B236" s="4" t="s">
        <v>59</v>
      </c>
      <c r="C236" s="37" t="s">
        <v>356</v>
      </c>
      <c r="D236" s="35">
        <v>2919</v>
      </c>
      <c r="E236" s="4" t="s">
        <v>490</v>
      </c>
      <c r="F236" s="5">
        <v>39182</v>
      </c>
      <c r="G236" s="5">
        <v>39447</v>
      </c>
      <c r="H236" s="4" t="s">
        <v>40</v>
      </c>
      <c r="I236" s="6">
        <v>3750</v>
      </c>
      <c r="J236" s="6">
        <v>3750</v>
      </c>
      <c r="K236" s="37" t="s">
        <v>356</v>
      </c>
      <c r="L236" s="119"/>
      <c r="M236" s="3"/>
    </row>
    <row r="237" spans="1:13" s="4" customFormat="1" ht="76.5" x14ac:dyDescent="0.25">
      <c r="A237" s="4" t="s">
        <v>491</v>
      </c>
      <c r="B237" s="4" t="s">
        <v>50</v>
      </c>
      <c r="C237" s="37" t="s">
        <v>356</v>
      </c>
      <c r="D237" s="35">
        <v>2920</v>
      </c>
      <c r="E237" s="7" t="s">
        <v>492</v>
      </c>
      <c r="F237" s="5">
        <v>39245</v>
      </c>
      <c r="G237" s="5">
        <v>39813</v>
      </c>
      <c r="H237" s="4" t="s">
        <v>40</v>
      </c>
      <c r="I237" s="6">
        <v>70000</v>
      </c>
      <c r="J237" s="6">
        <v>35000</v>
      </c>
      <c r="K237" s="37" t="s">
        <v>356</v>
      </c>
      <c r="L237" s="119"/>
      <c r="M237" s="3"/>
    </row>
    <row r="238" spans="1:13" s="4" customFormat="1" ht="38.25" x14ac:dyDescent="0.25">
      <c r="A238" s="4" t="s">
        <v>493</v>
      </c>
      <c r="B238" s="4" t="s">
        <v>50</v>
      </c>
      <c r="C238" s="37" t="s">
        <v>356</v>
      </c>
      <c r="D238" s="35">
        <v>2931</v>
      </c>
      <c r="E238" s="4" t="s">
        <v>494</v>
      </c>
      <c r="F238" s="5">
        <v>39245</v>
      </c>
      <c r="G238" s="5">
        <v>39813</v>
      </c>
      <c r="H238" s="4" t="s">
        <v>40</v>
      </c>
      <c r="I238" s="6">
        <v>2800</v>
      </c>
      <c r="J238" s="6">
        <v>1400</v>
      </c>
      <c r="K238" s="37" t="s">
        <v>356</v>
      </c>
      <c r="L238" s="119"/>
      <c r="M238" s="3"/>
    </row>
    <row r="239" spans="1:13" s="4" customFormat="1" ht="76.5" x14ac:dyDescent="0.25">
      <c r="A239" s="4" t="s">
        <v>497</v>
      </c>
      <c r="B239" s="4" t="s">
        <v>50</v>
      </c>
      <c r="C239" s="37" t="s">
        <v>356</v>
      </c>
      <c r="D239" s="35">
        <v>2933</v>
      </c>
      <c r="E239" s="7" t="s">
        <v>498</v>
      </c>
      <c r="F239" s="5">
        <v>39245</v>
      </c>
      <c r="G239" s="5">
        <v>39813</v>
      </c>
      <c r="H239" s="4" t="s">
        <v>40</v>
      </c>
      <c r="I239" s="6">
        <v>40000</v>
      </c>
      <c r="J239" s="6">
        <v>20000</v>
      </c>
      <c r="K239" s="37" t="s">
        <v>356</v>
      </c>
      <c r="L239" s="119"/>
      <c r="M239" s="3"/>
    </row>
    <row r="240" spans="1:13" s="4" customFormat="1" ht="51" x14ac:dyDescent="0.25">
      <c r="A240" s="4" t="s">
        <v>499</v>
      </c>
      <c r="B240" s="4" t="s">
        <v>50</v>
      </c>
      <c r="C240" s="37" t="s">
        <v>356</v>
      </c>
      <c r="D240" s="35">
        <v>2934</v>
      </c>
      <c r="E240" s="4" t="s">
        <v>500</v>
      </c>
      <c r="F240" s="5">
        <v>39245</v>
      </c>
      <c r="G240" s="5">
        <v>39813</v>
      </c>
      <c r="H240" s="4" t="s">
        <v>40</v>
      </c>
      <c r="I240" s="6">
        <v>17500</v>
      </c>
      <c r="J240" s="6">
        <v>8750</v>
      </c>
      <c r="K240" s="37" t="s">
        <v>356</v>
      </c>
      <c r="L240" s="119"/>
      <c r="M240" s="3"/>
    </row>
    <row r="241" spans="1:13" s="4" customFormat="1" ht="63.75" x14ac:dyDescent="0.25">
      <c r="A241" s="4" t="s">
        <v>501</v>
      </c>
      <c r="B241" s="4" t="s">
        <v>50</v>
      </c>
      <c r="C241" s="37" t="s">
        <v>356</v>
      </c>
      <c r="D241" s="35">
        <v>2935</v>
      </c>
      <c r="E241" s="4" t="s">
        <v>502</v>
      </c>
      <c r="F241" s="5">
        <v>39182</v>
      </c>
      <c r="G241" s="5">
        <v>39813</v>
      </c>
      <c r="H241" s="4" t="s">
        <v>40</v>
      </c>
      <c r="I241" s="6">
        <v>13000</v>
      </c>
      <c r="J241" s="6">
        <v>6500</v>
      </c>
      <c r="K241" s="37" t="s">
        <v>356</v>
      </c>
      <c r="L241" s="119"/>
      <c r="M241" s="3"/>
    </row>
    <row r="242" spans="1:13" s="4" customFormat="1" ht="25.5" x14ac:dyDescent="0.25">
      <c r="A242" s="4" t="s">
        <v>503</v>
      </c>
      <c r="B242" s="4" t="s">
        <v>59</v>
      </c>
      <c r="C242" s="37" t="s">
        <v>356</v>
      </c>
      <c r="D242" s="35">
        <v>2936</v>
      </c>
      <c r="E242" s="4" t="s">
        <v>504</v>
      </c>
      <c r="F242" s="5">
        <v>39126</v>
      </c>
      <c r="G242" s="5">
        <v>39813</v>
      </c>
      <c r="H242" s="4" t="s">
        <v>40</v>
      </c>
      <c r="I242" s="6">
        <v>7500</v>
      </c>
      <c r="J242" s="6">
        <v>7500</v>
      </c>
      <c r="K242" s="37" t="s">
        <v>356</v>
      </c>
      <c r="L242" s="119"/>
      <c r="M242" s="3"/>
    </row>
    <row r="243" spans="1:13" s="4" customFormat="1" ht="51" x14ac:dyDescent="0.25">
      <c r="A243" s="4" t="s">
        <v>505</v>
      </c>
      <c r="B243" s="4" t="s">
        <v>50</v>
      </c>
      <c r="C243" s="37" t="s">
        <v>356</v>
      </c>
      <c r="D243" s="35">
        <v>2937</v>
      </c>
      <c r="E243" s="4" t="s">
        <v>506</v>
      </c>
      <c r="F243" s="5">
        <v>39336</v>
      </c>
      <c r="G243" s="5">
        <v>39813</v>
      </c>
      <c r="H243" s="4" t="s">
        <v>40</v>
      </c>
      <c r="I243" s="6">
        <v>11516</v>
      </c>
      <c r="J243" s="6">
        <v>5758</v>
      </c>
      <c r="K243" s="37" t="s">
        <v>356</v>
      </c>
      <c r="L243" s="119"/>
      <c r="M243" s="3"/>
    </row>
    <row r="244" spans="1:13" s="4" customFormat="1" ht="63.75" x14ac:dyDescent="0.25">
      <c r="A244" s="4" t="s">
        <v>507</v>
      </c>
      <c r="B244" s="4" t="s">
        <v>59</v>
      </c>
      <c r="C244" s="37" t="s">
        <v>356</v>
      </c>
      <c r="D244" s="35">
        <v>2938</v>
      </c>
      <c r="E244" s="4" t="s">
        <v>508</v>
      </c>
      <c r="F244" s="5">
        <v>39245</v>
      </c>
      <c r="G244" s="5">
        <v>39813</v>
      </c>
      <c r="H244" s="4" t="s">
        <v>40</v>
      </c>
      <c r="I244" s="6">
        <v>7500</v>
      </c>
      <c r="J244" s="6">
        <v>7500</v>
      </c>
      <c r="K244" s="37" t="s">
        <v>356</v>
      </c>
      <c r="L244" s="119"/>
      <c r="M244" s="3"/>
    </row>
    <row r="245" spans="1:13" s="4" customFormat="1" ht="51" x14ac:dyDescent="0.25">
      <c r="A245" s="4" t="s">
        <v>509</v>
      </c>
      <c r="B245" s="4" t="s">
        <v>50</v>
      </c>
      <c r="C245" s="37" t="s">
        <v>356</v>
      </c>
      <c r="D245" s="35">
        <v>2939</v>
      </c>
      <c r="E245" s="4" t="s">
        <v>510</v>
      </c>
      <c r="F245" s="5">
        <v>39336</v>
      </c>
      <c r="G245" s="5">
        <v>39813</v>
      </c>
      <c r="H245" s="4" t="s">
        <v>40</v>
      </c>
      <c r="I245" s="6">
        <v>10746</v>
      </c>
      <c r="J245" s="6">
        <v>5373</v>
      </c>
      <c r="K245" s="37" t="s">
        <v>356</v>
      </c>
      <c r="L245" s="119"/>
      <c r="M245" s="3"/>
    </row>
    <row r="246" spans="1:13" s="4" customFormat="1" ht="63.75" x14ac:dyDescent="0.25">
      <c r="A246" s="4" t="s">
        <v>511</v>
      </c>
      <c r="B246" s="4" t="s">
        <v>59</v>
      </c>
      <c r="C246" s="37" t="s">
        <v>356</v>
      </c>
      <c r="D246" s="35">
        <v>2940</v>
      </c>
      <c r="E246" s="4" t="s">
        <v>512</v>
      </c>
      <c r="F246" s="5">
        <v>39427</v>
      </c>
      <c r="G246" s="5">
        <v>39813</v>
      </c>
      <c r="H246" s="4" t="s">
        <v>40</v>
      </c>
      <c r="I246" s="6">
        <v>7500</v>
      </c>
      <c r="J246" s="6">
        <v>7500</v>
      </c>
      <c r="K246" s="37" t="s">
        <v>356</v>
      </c>
      <c r="L246" s="119"/>
      <c r="M246" s="3"/>
    </row>
    <row r="247" spans="1:13" s="4" customFormat="1" ht="63.75" x14ac:dyDescent="0.25">
      <c r="A247" s="4" t="s">
        <v>513</v>
      </c>
      <c r="B247" s="4" t="s">
        <v>50</v>
      </c>
      <c r="C247" s="37" t="s">
        <v>356</v>
      </c>
      <c r="D247" s="35">
        <v>2941</v>
      </c>
      <c r="E247" s="4" t="s">
        <v>514</v>
      </c>
      <c r="F247" s="5">
        <v>39336</v>
      </c>
      <c r="G247" s="5">
        <v>39813</v>
      </c>
      <c r="H247" s="4" t="s">
        <v>40</v>
      </c>
      <c r="I247" s="6">
        <v>14518</v>
      </c>
      <c r="J247" s="6">
        <v>7259</v>
      </c>
      <c r="K247" s="37" t="s">
        <v>356</v>
      </c>
      <c r="L247" s="119"/>
      <c r="M247" s="3"/>
    </row>
    <row r="248" spans="1:13" s="4" customFormat="1" ht="25.5" x14ac:dyDescent="0.25">
      <c r="A248" s="4" t="s">
        <v>515</v>
      </c>
      <c r="B248" s="4" t="s">
        <v>59</v>
      </c>
      <c r="C248" s="37" t="s">
        <v>356</v>
      </c>
      <c r="D248" s="35">
        <v>2942</v>
      </c>
      <c r="E248" s="4" t="s">
        <v>516</v>
      </c>
      <c r="F248" s="5">
        <v>39215</v>
      </c>
      <c r="G248" s="5">
        <v>39813</v>
      </c>
      <c r="H248" s="4" t="s">
        <v>40</v>
      </c>
      <c r="I248" s="6">
        <v>7500</v>
      </c>
      <c r="J248" s="6">
        <v>7500</v>
      </c>
      <c r="K248" s="37" t="s">
        <v>356</v>
      </c>
      <c r="L248" s="119"/>
      <c r="M248" s="3"/>
    </row>
    <row r="249" spans="1:13" s="4" customFormat="1" ht="76.5" x14ac:dyDescent="0.25">
      <c r="A249" s="4" t="s">
        <v>517</v>
      </c>
      <c r="B249" s="4" t="s">
        <v>50</v>
      </c>
      <c r="C249" s="37" t="s">
        <v>356</v>
      </c>
      <c r="D249" s="35">
        <v>2943</v>
      </c>
      <c r="E249" s="7" t="s">
        <v>518</v>
      </c>
      <c r="F249" s="5">
        <v>39399</v>
      </c>
      <c r="G249" s="5">
        <v>39813</v>
      </c>
      <c r="H249" s="4" t="s">
        <v>40</v>
      </c>
      <c r="I249" s="6">
        <v>14520</v>
      </c>
      <c r="J249" s="6">
        <v>7260</v>
      </c>
      <c r="K249" s="37" t="s">
        <v>356</v>
      </c>
      <c r="L249" s="119"/>
      <c r="M249" s="3"/>
    </row>
    <row r="250" spans="1:13" s="4" customFormat="1" ht="38.25" x14ac:dyDescent="0.25">
      <c r="A250" s="4" t="s">
        <v>519</v>
      </c>
      <c r="B250" s="4" t="s">
        <v>50</v>
      </c>
      <c r="C250" s="37" t="s">
        <v>356</v>
      </c>
      <c r="D250" s="35">
        <v>2944</v>
      </c>
      <c r="E250" s="4" t="s">
        <v>520</v>
      </c>
      <c r="F250" s="5">
        <v>39532</v>
      </c>
      <c r="G250" s="5">
        <v>39897</v>
      </c>
      <c r="H250" s="4" t="s">
        <v>40</v>
      </c>
      <c r="I250" s="6">
        <v>6000</v>
      </c>
      <c r="J250" s="6">
        <v>3000</v>
      </c>
      <c r="K250" s="37" t="s">
        <v>356</v>
      </c>
      <c r="L250" s="119"/>
      <c r="M250" s="3"/>
    </row>
    <row r="251" spans="1:13" s="4" customFormat="1" ht="51" x14ac:dyDescent="0.25">
      <c r="A251" s="4" t="s">
        <v>521</v>
      </c>
      <c r="B251" s="4" t="s">
        <v>50</v>
      </c>
      <c r="C251" s="37" t="s">
        <v>356</v>
      </c>
      <c r="D251" s="35">
        <v>2945</v>
      </c>
      <c r="E251" s="4" t="s">
        <v>522</v>
      </c>
      <c r="F251" s="5">
        <v>39427</v>
      </c>
      <c r="G251" s="5">
        <v>39793</v>
      </c>
      <c r="H251" s="4" t="s">
        <v>40</v>
      </c>
      <c r="I251" s="6">
        <v>24000</v>
      </c>
      <c r="J251" s="6">
        <v>12000</v>
      </c>
      <c r="K251" s="37" t="s">
        <v>356</v>
      </c>
      <c r="L251" s="119"/>
      <c r="M251" s="3"/>
    </row>
    <row r="252" spans="1:13" s="4" customFormat="1" ht="51" x14ac:dyDescent="0.25">
      <c r="A252" s="4" t="s">
        <v>523</v>
      </c>
      <c r="B252" s="4" t="s">
        <v>50</v>
      </c>
      <c r="C252" s="37" t="s">
        <v>356</v>
      </c>
      <c r="D252" s="35">
        <v>2946</v>
      </c>
      <c r="E252" s="4" t="s">
        <v>524</v>
      </c>
      <c r="F252" s="5">
        <v>39399</v>
      </c>
      <c r="G252" s="5">
        <v>39813</v>
      </c>
      <c r="H252" s="4" t="s">
        <v>40</v>
      </c>
      <c r="I252" s="6">
        <v>7106</v>
      </c>
      <c r="J252" s="6">
        <v>3553</v>
      </c>
      <c r="K252" s="37" t="s">
        <v>356</v>
      </c>
      <c r="L252" s="119"/>
      <c r="M252" s="3"/>
    </row>
    <row r="253" spans="1:13" s="4" customFormat="1" ht="76.5" x14ac:dyDescent="0.25">
      <c r="A253" s="4" t="s">
        <v>525</v>
      </c>
      <c r="B253" s="4" t="s">
        <v>50</v>
      </c>
      <c r="C253" s="37" t="s">
        <v>356</v>
      </c>
      <c r="D253" s="35">
        <v>2947</v>
      </c>
      <c r="E253" s="7" t="s">
        <v>526</v>
      </c>
      <c r="F253" s="5">
        <v>39245</v>
      </c>
      <c r="G253" s="5">
        <v>39813</v>
      </c>
      <c r="H253" s="4" t="s">
        <v>40</v>
      </c>
      <c r="I253" s="6">
        <v>12392</v>
      </c>
      <c r="J253" s="6">
        <v>6196</v>
      </c>
      <c r="K253" s="37" t="s">
        <v>356</v>
      </c>
      <c r="L253" s="119"/>
      <c r="M253" s="3"/>
    </row>
    <row r="254" spans="1:13" s="4" customFormat="1" ht="51" x14ac:dyDescent="0.25">
      <c r="A254" s="4" t="s">
        <v>527</v>
      </c>
      <c r="B254" s="4" t="s">
        <v>59</v>
      </c>
      <c r="C254" s="37" t="s">
        <v>356</v>
      </c>
      <c r="D254" s="35">
        <v>2949</v>
      </c>
      <c r="E254" s="4" t="s">
        <v>528</v>
      </c>
      <c r="F254" s="5">
        <v>39623</v>
      </c>
      <c r="G254" s="5">
        <v>40178</v>
      </c>
      <c r="H254" s="4" t="s">
        <v>40</v>
      </c>
      <c r="I254" s="6">
        <v>7500</v>
      </c>
      <c r="J254" s="6">
        <v>7500</v>
      </c>
      <c r="K254" s="37" t="s">
        <v>356</v>
      </c>
      <c r="L254" s="119"/>
      <c r="M254" s="3"/>
    </row>
    <row r="255" spans="1:13" s="4" customFormat="1" ht="89.25" x14ac:dyDescent="0.25">
      <c r="A255" s="4" t="s">
        <v>529</v>
      </c>
      <c r="B255" s="4" t="s">
        <v>50</v>
      </c>
      <c r="C255" s="37" t="s">
        <v>356</v>
      </c>
      <c r="D255" s="35">
        <v>2951</v>
      </c>
      <c r="E255" s="7" t="s">
        <v>530</v>
      </c>
      <c r="F255" s="5">
        <v>39623</v>
      </c>
      <c r="G255" s="5">
        <v>39988</v>
      </c>
      <c r="H255" s="4" t="s">
        <v>40</v>
      </c>
      <c r="I255" s="6">
        <v>20000</v>
      </c>
      <c r="J255" s="6">
        <v>10000</v>
      </c>
      <c r="K255" s="37" t="s">
        <v>356</v>
      </c>
      <c r="L255" s="119"/>
      <c r="M255" s="3"/>
    </row>
    <row r="256" spans="1:13" s="4" customFormat="1" ht="51" x14ac:dyDescent="0.25">
      <c r="A256" s="4" t="s">
        <v>531</v>
      </c>
      <c r="B256" s="4" t="s">
        <v>90</v>
      </c>
      <c r="C256" s="37" t="s">
        <v>356</v>
      </c>
      <c r="D256" s="35">
        <v>2952</v>
      </c>
      <c r="E256" s="4" t="s">
        <v>532</v>
      </c>
      <c r="F256" s="5">
        <v>39532</v>
      </c>
      <c r="G256" s="5">
        <v>39897</v>
      </c>
      <c r="H256" s="4" t="s">
        <v>40</v>
      </c>
      <c r="I256" s="6">
        <v>9250</v>
      </c>
      <c r="J256" s="6">
        <v>4625</v>
      </c>
      <c r="K256" s="37" t="s">
        <v>356</v>
      </c>
      <c r="L256" s="119"/>
      <c r="M256" s="3"/>
    </row>
    <row r="257" spans="1:13" s="4" customFormat="1" ht="38.25" x14ac:dyDescent="0.25">
      <c r="A257" s="4" t="s">
        <v>533</v>
      </c>
      <c r="B257" s="4" t="s">
        <v>50</v>
      </c>
      <c r="C257" s="37" t="s">
        <v>356</v>
      </c>
      <c r="D257" s="35">
        <v>2953</v>
      </c>
      <c r="E257" s="4" t="s">
        <v>534</v>
      </c>
      <c r="F257" s="5">
        <v>39581</v>
      </c>
      <c r="G257" s="5">
        <v>39946</v>
      </c>
      <c r="H257" s="4" t="s">
        <v>40</v>
      </c>
      <c r="I257" s="6">
        <v>30000</v>
      </c>
      <c r="J257" s="6">
        <v>15000</v>
      </c>
      <c r="K257" s="37" t="s">
        <v>356</v>
      </c>
      <c r="L257" s="119"/>
      <c r="M257" s="3"/>
    </row>
    <row r="258" spans="1:13" s="4" customFormat="1" ht="38.25" x14ac:dyDescent="0.25">
      <c r="A258" s="4" t="s">
        <v>535</v>
      </c>
      <c r="B258" s="4" t="s">
        <v>50</v>
      </c>
      <c r="C258" s="37" t="s">
        <v>356</v>
      </c>
      <c r="D258" s="35">
        <v>2954</v>
      </c>
      <c r="E258" s="4" t="s">
        <v>536</v>
      </c>
      <c r="F258" s="5">
        <v>39623</v>
      </c>
      <c r="G258" s="5">
        <v>39988</v>
      </c>
      <c r="H258" s="4" t="s">
        <v>40</v>
      </c>
      <c r="I258" s="6">
        <v>19724</v>
      </c>
      <c r="J258" s="6">
        <v>9862</v>
      </c>
      <c r="K258" s="37" t="s">
        <v>356</v>
      </c>
      <c r="L258" s="119"/>
      <c r="M258" s="3"/>
    </row>
    <row r="259" spans="1:13" s="4" customFormat="1" ht="38.25" x14ac:dyDescent="0.25">
      <c r="A259" s="4" t="s">
        <v>537</v>
      </c>
      <c r="B259" s="4" t="s">
        <v>50</v>
      </c>
      <c r="C259" s="37" t="s">
        <v>356</v>
      </c>
      <c r="D259" s="35">
        <v>2955</v>
      </c>
      <c r="E259" s="4" t="s">
        <v>538</v>
      </c>
      <c r="F259" s="5">
        <v>39581</v>
      </c>
      <c r="G259" s="5">
        <v>39946</v>
      </c>
      <c r="H259" s="4" t="s">
        <v>40</v>
      </c>
      <c r="I259" s="6">
        <v>24000</v>
      </c>
      <c r="J259" s="6">
        <v>12000</v>
      </c>
      <c r="K259" s="37" t="s">
        <v>356</v>
      </c>
      <c r="L259" s="119"/>
      <c r="M259" s="3"/>
    </row>
    <row r="260" spans="1:13" s="4" customFormat="1" ht="38.25" x14ac:dyDescent="0.25">
      <c r="A260" s="4" t="s">
        <v>539</v>
      </c>
      <c r="B260" s="4" t="s">
        <v>90</v>
      </c>
      <c r="C260" s="37" t="s">
        <v>356</v>
      </c>
      <c r="D260" s="35">
        <v>2956</v>
      </c>
      <c r="E260" s="4" t="s">
        <v>540</v>
      </c>
      <c r="F260" s="5">
        <v>39532</v>
      </c>
      <c r="G260" s="5">
        <v>39897</v>
      </c>
      <c r="H260" s="4" t="s">
        <v>40</v>
      </c>
      <c r="I260" s="6">
        <v>6400</v>
      </c>
      <c r="J260" s="6">
        <v>4500</v>
      </c>
      <c r="K260" s="37" t="s">
        <v>356</v>
      </c>
      <c r="L260" s="119"/>
      <c r="M260" s="3"/>
    </row>
    <row r="261" spans="1:13" s="4" customFormat="1" ht="127.5" x14ac:dyDescent="0.25">
      <c r="A261" s="4" t="s">
        <v>541</v>
      </c>
      <c r="B261" s="4" t="s">
        <v>90</v>
      </c>
      <c r="C261" s="37" t="s">
        <v>356</v>
      </c>
      <c r="D261" s="35">
        <v>2957</v>
      </c>
      <c r="E261" s="7" t="s">
        <v>542</v>
      </c>
      <c r="F261" s="5">
        <v>39532</v>
      </c>
      <c r="G261" s="5">
        <v>39897</v>
      </c>
      <c r="H261" s="4" t="s">
        <v>40</v>
      </c>
      <c r="I261" s="6">
        <v>5736.66</v>
      </c>
      <c r="J261" s="6">
        <v>2868.33</v>
      </c>
      <c r="K261" s="37" t="s">
        <v>356</v>
      </c>
      <c r="L261" s="119"/>
      <c r="M261" s="3"/>
    </row>
    <row r="262" spans="1:13" s="4" customFormat="1" ht="63.75" x14ac:dyDescent="0.25">
      <c r="A262" s="4" t="s">
        <v>543</v>
      </c>
      <c r="B262" s="4" t="s">
        <v>59</v>
      </c>
      <c r="C262" s="37" t="s">
        <v>356</v>
      </c>
      <c r="D262" s="35">
        <v>2958</v>
      </c>
      <c r="E262" s="4" t="s">
        <v>544</v>
      </c>
      <c r="F262" s="5">
        <v>39581</v>
      </c>
      <c r="G262" s="5">
        <v>39946</v>
      </c>
      <c r="H262" s="4" t="s">
        <v>40</v>
      </c>
      <c r="I262" s="6">
        <v>5938</v>
      </c>
      <c r="J262" s="6">
        <v>2969</v>
      </c>
      <c r="K262" s="37" t="s">
        <v>356</v>
      </c>
      <c r="L262" s="119"/>
      <c r="M262" s="3"/>
    </row>
    <row r="263" spans="1:13" s="4" customFormat="1" ht="102" x14ac:dyDescent="0.25">
      <c r="A263" s="4" t="s">
        <v>545</v>
      </c>
      <c r="B263" s="4" t="s">
        <v>50</v>
      </c>
      <c r="C263" s="37" t="s">
        <v>356</v>
      </c>
      <c r="D263" s="35">
        <v>2959</v>
      </c>
      <c r="E263" s="7" t="s">
        <v>546</v>
      </c>
      <c r="F263" s="5">
        <v>39581</v>
      </c>
      <c r="G263" s="5">
        <v>39946</v>
      </c>
      <c r="H263" s="4" t="s">
        <v>40</v>
      </c>
      <c r="I263" s="6">
        <v>35000</v>
      </c>
      <c r="J263" s="6">
        <v>17500</v>
      </c>
      <c r="K263" s="37" t="s">
        <v>356</v>
      </c>
      <c r="L263" s="119"/>
      <c r="M263" s="3"/>
    </row>
    <row r="264" spans="1:13" s="4" customFormat="1" ht="38.25" x14ac:dyDescent="0.25">
      <c r="A264" s="4" t="s">
        <v>547</v>
      </c>
      <c r="B264" s="4" t="s">
        <v>50</v>
      </c>
      <c r="C264" s="37" t="s">
        <v>356</v>
      </c>
      <c r="D264" s="35">
        <v>2960</v>
      </c>
      <c r="E264" s="4" t="s">
        <v>548</v>
      </c>
      <c r="F264" s="5">
        <v>39623</v>
      </c>
      <c r="G264" s="5">
        <v>39988</v>
      </c>
      <c r="H264" s="4" t="s">
        <v>40</v>
      </c>
      <c r="I264" s="6">
        <v>28872</v>
      </c>
      <c r="J264" s="6">
        <v>14436</v>
      </c>
      <c r="K264" s="37" t="s">
        <v>356</v>
      </c>
      <c r="L264" s="119"/>
      <c r="M264" s="3"/>
    </row>
    <row r="265" spans="1:13" s="4" customFormat="1" ht="89.25" x14ac:dyDescent="0.25">
      <c r="A265" s="4" t="s">
        <v>551</v>
      </c>
      <c r="B265" s="4" t="s">
        <v>59</v>
      </c>
      <c r="C265" s="37" t="s">
        <v>356</v>
      </c>
      <c r="D265" s="35">
        <v>2962</v>
      </c>
      <c r="E265" s="7" t="s">
        <v>552</v>
      </c>
      <c r="F265" s="5">
        <v>39532</v>
      </c>
      <c r="G265" s="5">
        <v>39897</v>
      </c>
      <c r="H265" s="4" t="s">
        <v>40</v>
      </c>
      <c r="I265" s="6">
        <v>7500</v>
      </c>
      <c r="J265" s="6">
        <v>7500</v>
      </c>
      <c r="K265" s="37" t="s">
        <v>356</v>
      </c>
      <c r="L265" s="119"/>
      <c r="M265" s="3"/>
    </row>
    <row r="266" spans="1:13" s="4" customFormat="1" ht="127.5" x14ac:dyDescent="0.25">
      <c r="A266" s="4" t="s">
        <v>553</v>
      </c>
      <c r="B266" s="4" t="s">
        <v>50</v>
      </c>
      <c r="C266" s="37" t="s">
        <v>356</v>
      </c>
      <c r="D266" s="35">
        <v>2963</v>
      </c>
      <c r="E266" s="7" t="s">
        <v>554</v>
      </c>
      <c r="F266" s="5">
        <v>39427</v>
      </c>
      <c r="G266" s="5">
        <v>39793</v>
      </c>
      <c r="H266" s="4" t="s">
        <v>40</v>
      </c>
      <c r="I266" s="6">
        <v>9048</v>
      </c>
      <c r="J266" s="6">
        <v>4524</v>
      </c>
      <c r="K266" s="37" t="s">
        <v>356</v>
      </c>
      <c r="L266" s="119"/>
      <c r="M266" s="3"/>
    </row>
    <row r="267" spans="1:13" s="4" customFormat="1" ht="76.5" x14ac:dyDescent="0.25">
      <c r="A267" s="4" t="s">
        <v>555</v>
      </c>
      <c r="B267" s="4" t="s">
        <v>50</v>
      </c>
      <c r="C267" s="37" t="s">
        <v>356</v>
      </c>
      <c r="D267" s="35">
        <v>2964</v>
      </c>
      <c r="E267" s="4" t="s">
        <v>556</v>
      </c>
      <c r="F267" s="5">
        <v>39581</v>
      </c>
      <c r="G267" s="5">
        <v>39946</v>
      </c>
      <c r="H267" s="4" t="s">
        <v>40</v>
      </c>
      <c r="I267" s="6">
        <v>27610</v>
      </c>
      <c r="J267" s="6">
        <v>13805</v>
      </c>
      <c r="K267" s="37" t="s">
        <v>356</v>
      </c>
      <c r="L267" s="119"/>
      <c r="M267" s="3"/>
    </row>
    <row r="268" spans="1:13" s="4" customFormat="1" ht="38.25" x14ac:dyDescent="0.25">
      <c r="A268" s="4" t="s">
        <v>557</v>
      </c>
      <c r="B268" s="4" t="s">
        <v>50</v>
      </c>
      <c r="C268" s="37" t="s">
        <v>356</v>
      </c>
      <c r="D268" s="35">
        <v>2965</v>
      </c>
      <c r="E268" s="4" t="s">
        <v>558</v>
      </c>
      <c r="F268" s="5">
        <v>39707</v>
      </c>
      <c r="G268" s="5">
        <v>40072</v>
      </c>
      <c r="H268" s="4" t="s">
        <v>40</v>
      </c>
      <c r="I268" s="6">
        <v>15000</v>
      </c>
      <c r="J268" s="6">
        <v>7500</v>
      </c>
      <c r="K268" s="37" t="s">
        <v>356</v>
      </c>
      <c r="L268" s="119"/>
      <c r="M268" s="3"/>
    </row>
    <row r="269" spans="1:13" s="4" customFormat="1" ht="51" x14ac:dyDescent="0.25">
      <c r="A269" s="4" t="s">
        <v>559</v>
      </c>
      <c r="B269" s="4" t="s">
        <v>50</v>
      </c>
      <c r="C269" s="37" t="s">
        <v>356</v>
      </c>
      <c r="D269" s="35">
        <v>2966</v>
      </c>
      <c r="E269" s="4" t="s">
        <v>560</v>
      </c>
      <c r="F269" s="5">
        <v>39623</v>
      </c>
      <c r="G269" s="5">
        <v>39988</v>
      </c>
      <c r="H269" s="4" t="s">
        <v>40</v>
      </c>
      <c r="I269" s="6">
        <v>4800</v>
      </c>
      <c r="J269" s="6">
        <v>2400</v>
      </c>
      <c r="K269" s="37" t="s">
        <v>356</v>
      </c>
      <c r="L269" s="119"/>
      <c r="M269" s="3"/>
    </row>
    <row r="270" spans="1:13" s="4" customFormat="1" ht="38.25" x14ac:dyDescent="0.25">
      <c r="A270" s="4" t="s">
        <v>561</v>
      </c>
      <c r="B270" s="4" t="s">
        <v>59</v>
      </c>
      <c r="C270" s="37" t="s">
        <v>356</v>
      </c>
      <c r="D270" s="35">
        <v>2967</v>
      </c>
      <c r="E270" s="4" t="s">
        <v>562</v>
      </c>
      <c r="F270" s="5">
        <v>39707</v>
      </c>
      <c r="G270" s="5">
        <v>40178</v>
      </c>
      <c r="H270" s="4" t="s">
        <v>40</v>
      </c>
      <c r="I270" s="6">
        <v>45000</v>
      </c>
      <c r="J270" s="6">
        <v>45000</v>
      </c>
      <c r="K270" s="37" t="s">
        <v>356</v>
      </c>
      <c r="L270" s="119"/>
      <c r="M270" s="3"/>
    </row>
    <row r="271" spans="1:13" s="4" customFormat="1" ht="63.75" x14ac:dyDescent="0.25">
      <c r="A271" s="4" t="s">
        <v>563</v>
      </c>
      <c r="B271" s="4" t="s">
        <v>50</v>
      </c>
      <c r="C271" s="37" t="s">
        <v>356</v>
      </c>
      <c r="D271" s="35">
        <v>5048</v>
      </c>
      <c r="E271" s="4" t="s">
        <v>564</v>
      </c>
      <c r="F271" s="5">
        <v>39749</v>
      </c>
      <c r="G271" s="5">
        <v>40114</v>
      </c>
      <c r="H271" s="4" t="s">
        <v>40</v>
      </c>
      <c r="I271" s="6">
        <v>14000</v>
      </c>
      <c r="J271" s="6">
        <v>7000</v>
      </c>
      <c r="K271" s="37" t="s">
        <v>356</v>
      </c>
      <c r="L271" s="119"/>
      <c r="M271" s="3"/>
    </row>
    <row r="272" spans="1:13" s="4" customFormat="1" ht="89.25" x14ac:dyDescent="0.25">
      <c r="A272" s="4" t="s">
        <v>565</v>
      </c>
      <c r="B272" s="4" t="s">
        <v>50</v>
      </c>
      <c r="C272" s="37" t="s">
        <v>356</v>
      </c>
      <c r="D272" s="35">
        <v>5055</v>
      </c>
      <c r="E272" s="7" t="s">
        <v>566</v>
      </c>
      <c r="F272" s="5">
        <v>39506</v>
      </c>
      <c r="G272" s="5">
        <v>39872</v>
      </c>
      <c r="H272" s="4" t="s">
        <v>40</v>
      </c>
      <c r="I272" s="6">
        <v>10774</v>
      </c>
      <c r="J272" s="6">
        <v>5387</v>
      </c>
      <c r="K272" s="37" t="s">
        <v>356</v>
      </c>
      <c r="L272" s="119"/>
      <c r="M272" s="3"/>
    </row>
    <row r="273" spans="1:13" s="4" customFormat="1" ht="89.25" x14ac:dyDescent="0.25">
      <c r="A273" s="4" t="s">
        <v>567</v>
      </c>
      <c r="B273" s="4" t="s">
        <v>50</v>
      </c>
      <c r="C273" s="37" t="s">
        <v>356</v>
      </c>
      <c r="D273" s="35">
        <v>5058</v>
      </c>
      <c r="E273" s="7" t="s">
        <v>568</v>
      </c>
      <c r="F273" s="5">
        <v>39791</v>
      </c>
      <c r="G273" s="5">
        <v>40156</v>
      </c>
      <c r="H273" s="4" t="s">
        <v>40</v>
      </c>
      <c r="I273" s="6">
        <v>2340</v>
      </c>
      <c r="J273" s="6">
        <v>1170</v>
      </c>
      <c r="K273" s="37" t="s">
        <v>356</v>
      </c>
      <c r="L273" s="119"/>
      <c r="M273" s="3"/>
    </row>
    <row r="274" spans="1:13" s="4" customFormat="1" ht="38.25" x14ac:dyDescent="0.25">
      <c r="A274" s="4" t="s">
        <v>569</v>
      </c>
      <c r="B274" s="4" t="s">
        <v>50</v>
      </c>
      <c r="C274" s="37" t="s">
        <v>356</v>
      </c>
      <c r="D274" s="35">
        <v>5062</v>
      </c>
      <c r="E274" s="4" t="s">
        <v>570</v>
      </c>
      <c r="F274" s="5">
        <v>39791</v>
      </c>
      <c r="G274" s="5">
        <v>40156</v>
      </c>
      <c r="H274" s="4" t="s">
        <v>40</v>
      </c>
      <c r="I274" s="6">
        <v>30000</v>
      </c>
      <c r="J274" s="6">
        <v>15000</v>
      </c>
      <c r="K274" s="37" t="s">
        <v>356</v>
      </c>
      <c r="L274" s="119"/>
      <c r="M274" s="3"/>
    </row>
    <row r="275" spans="1:13" s="4" customFormat="1" ht="63.75" x14ac:dyDescent="0.25">
      <c r="A275" s="4" t="s">
        <v>571</v>
      </c>
      <c r="B275" s="4" t="s">
        <v>90</v>
      </c>
      <c r="C275" s="37" t="s">
        <v>356</v>
      </c>
      <c r="D275" s="35">
        <v>5066</v>
      </c>
      <c r="E275" s="4" t="s">
        <v>572</v>
      </c>
      <c r="F275" s="5">
        <v>39791</v>
      </c>
      <c r="G275" s="5">
        <v>39973</v>
      </c>
      <c r="H275" s="4" t="s">
        <v>40</v>
      </c>
      <c r="I275" s="6">
        <v>2500</v>
      </c>
      <c r="J275" s="6">
        <v>1250</v>
      </c>
      <c r="K275" s="37" t="s">
        <v>356</v>
      </c>
      <c r="L275" s="119"/>
      <c r="M275" s="3"/>
    </row>
    <row r="276" spans="1:13" s="4" customFormat="1" ht="38.25" x14ac:dyDescent="0.25">
      <c r="A276" s="4" t="s">
        <v>573</v>
      </c>
      <c r="B276" s="4" t="s">
        <v>59</v>
      </c>
      <c r="C276" s="37" t="s">
        <v>356</v>
      </c>
      <c r="D276" s="35">
        <v>5068</v>
      </c>
      <c r="E276" s="4" t="s">
        <v>574</v>
      </c>
      <c r="F276" s="5">
        <v>39932</v>
      </c>
      <c r="G276" s="5">
        <v>40297</v>
      </c>
      <c r="H276" s="4" t="s">
        <v>40</v>
      </c>
      <c r="I276" s="6">
        <v>7500</v>
      </c>
      <c r="J276" s="6">
        <v>7500</v>
      </c>
      <c r="K276" s="37" t="s">
        <v>356</v>
      </c>
      <c r="L276" s="119"/>
      <c r="M276" s="3"/>
    </row>
    <row r="277" spans="1:13" s="4" customFormat="1" ht="76.5" x14ac:dyDescent="0.25">
      <c r="A277" s="4" t="s">
        <v>575</v>
      </c>
      <c r="B277" s="4" t="s">
        <v>50</v>
      </c>
      <c r="C277" s="37" t="s">
        <v>356</v>
      </c>
      <c r="D277" s="35">
        <v>5097</v>
      </c>
      <c r="E277" s="7" t="s">
        <v>576</v>
      </c>
      <c r="F277" s="5">
        <v>39988</v>
      </c>
      <c r="G277" s="5">
        <v>40353</v>
      </c>
      <c r="H277" s="4" t="s">
        <v>40</v>
      </c>
      <c r="I277" s="6">
        <v>45000</v>
      </c>
      <c r="J277" s="6">
        <v>22500</v>
      </c>
      <c r="K277" s="37" t="s">
        <v>356</v>
      </c>
      <c r="L277" s="119"/>
      <c r="M277" s="3"/>
    </row>
    <row r="278" spans="1:13" s="4" customFormat="1" ht="51" x14ac:dyDescent="0.25">
      <c r="A278" s="4" t="s">
        <v>577</v>
      </c>
      <c r="B278" s="4" t="s">
        <v>38</v>
      </c>
      <c r="C278" s="37" t="s">
        <v>356</v>
      </c>
      <c r="D278" s="35">
        <v>5098</v>
      </c>
      <c r="E278" s="4" t="s">
        <v>578</v>
      </c>
      <c r="F278" s="5">
        <v>39814</v>
      </c>
      <c r="G278" s="5">
        <v>40178</v>
      </c>
      <c r="H278" s="4" t="s">
        <v>40</v>
      </c>
      <c r="I278" s="6">
        <v>1900.93</v>
      </c>
      <c r="J278" s="6">
        <v>1900.93</v>
      </c>
      <c r="K278" s="37" t="s">
        <v>356</v>
      </c>
      <c r="L278" s="119"/>
      <c r="M278" s="3"/>
    </row>
    <row r="279" spans="1:13" s="4" customFormat="1" ht="89.25" x14ac:dyDescent="0.25">
      <c r="A279" s="4" t="s">
        <v>579</v>
      </c>
      <c r="B279" s="4" t="s">
        <v>50</v>
      </c>
      <c r="C279" s="37" t="s">
        <v>356</v>
      </c>
      <c r="D279" s="35">
        <v>5100</v>
      </c>
      <c r="E279" s="7" t="s">
        <v>580</v>
      </c>
      <c r="F279" s="5">
        <v>39749</v>
      </c>
      <c r="G279" s="5">
        <v>40479</v>
      </c>
      <c r="H279" s="4" t="s">
        <v>40</v>
      </c>
      <c r="I279" s="6">
        <v>3406</v>
      </c>
      <c r="J279" s="6">
        <v>1703</v>
      </c>
      <c r="K279" s="37" t="s">
        <v>356</v>
      </c>
      <c r="L279" s="119"/>
      <c r="M279" s="3"/>
    </row>
    <row r="280" spans="1:13" s="4" customFormat="1" ht="51" x14ac:dyDescent="0.25">
      <c r="A280" s="4" t="s">
        <v>581</v>
      </c>
      <c r="B280" s="4" t="s">
        <v>38</v>
      </c>
      <c r="C280" s="37" t="s">
        <v>356</v>
      </c>
      <c r="D280" s="35">
        <v>5102</v>
      </c>
      <c r="E280" s="4" t="s">
        <v>582</v>
      </c>
      <c r="F280" s="5">
        <v>39814</v>
      </c>
      <c r="G280" s="5">
        <v>40908</v>
      </c>
      <c r="H280" s="4" t="s">
        <v>40</v>
      </c>
      <c r="I280" s="6">
        <v>17454.759999999998</v>
      </c>
      <c r="J280" s="6">
        <v>17454.759999999998</v>
      </c>
      <c r="K280" s="37" t="s">
        <v>356</v>
      </c>
      <c r="L280" s="119"/>
      <c r="M280" s="3"/>
    </row>
    <row r="281" spans="1:13" s="4" customFormat="1" ht="38.25" x14ac:dyDescent="0.25">
      <c r="A281" s="4" t="s">
        <v>583</v>
      </c>
      <c r="B281" s="4" t="s">
        <v>90</v>
      </c>
      <c r="C281" s="37" t="s">
        <v>356</v>
      </c>
      <c r="D281" s="35">
        <v>5107</v>
      </c>
      <c r="E281" s="4" t="s">
        <v>584</v>
      </c>
      <c r="F281" s="5">
        <v>39707</v>
      </c>
      <c r="G281" s="5">
        <v>39888</v>
      </c>
      <c r="H281" s="4" t="s">
        <v>40</v>
      </c>
      <c r="I281" s="6">
        <v>10200</v>
      </c>
      <c r="J281" s="6">
        <v>5100</v>
      </c>
      <c r="K281" s="37" t="s">
        <v>356</v>
      </c>
      <c r="L281" s="119"/>
      <c r="M281" s="3"/>
    </row>
    <row r="282" spans="1:13" s="4" customFormat="1" ht="76.5" x14ac:dyDescent="0.25">
      <c r="A282" s="4" t="s">
        <v>585</v>
      </c>
      <c r="B282" s="4" t="s">
        <v>59</v>
      </c>
      <c r="C282" s="37" t="s">
        <v>356</v>
      </c>
      <c r="D282" s="35">
        <v>5116</v>
      </c>
      <c r="E282" s="7" t="s">
        <v>586</v>
      </c>
      <c r="F282" s="5">
        <v>39981</v>
      </c>
      <c r="G282" s="5">
        <v>40346</v>
      </c>
      <c r="H282" s="4" t="s">
        <v>40</v>
      </c>
      <c r="I282" s="6">
        <v>7500</v>
      </c>
      <c r="J282" s="6">
        <v>7500</v>
      </c>
      <c r="K282" s="37" t="s">
        <v>356</v>
      </c>
      <c r="L282" s="119"/>
      <c r="M282" s="3"/>
    </row>
    <row r="283" spans="1:13" s="4" customFormat="1" ht="51" x14ac:dyDescent="0.25">
      <c r="A283" s="4" t="s">
        <v>587</v>
      </c>
      <c r="B283" s="4" t="s">
        <v>38</v>
      </c>
      <c r="C283" s="37" t="s">
        <v>356</v>
      </c>
      <c r="D283" s="35">
        <v>5117</v>
      </c>
      <c r="E283" s="4" t="s">
        <v>588</v>
      </c>
      <c r="F283" s="5">
        <v>39814</v>
      </c>
      <c r="G283" s="5">
        <v>40178</v>
      </c>
      <c r="H283" s="4" t="s">
        <v>40</v>
      </c>
      <c r="I283" s="6">
        <v>984.15</v>
      </c>
      <c r="J283" s="6">
        <v>984.15</v>
      </c>
      <c r="K283" s="37" t="s">
        <v>356</v>
      </c>
      <c r="L283" s="119"/>
      <c r="M283" s="3"/>
    </row>
    <row r="284" spans="1:13" s="4" customFormat="1" ht="38.25" x14ac:dyDescent="0.25">
      <c r="A284" s="4" t="s">
        <v>589</v>
      </c>
      <c r="B284" s="4" t="s">
        <v>59</v>
      </c>
      <c r="C284" s="37" t="s">
        <v>356</v>
      </c>
      <c r="D284" s="35">
        <v>5118</v>
      </c>
      <c r="E284" s="4" t="s">
        <v>590</v>
      </c>
      <c r="F284" s="5">
        <v>39932</v>
      </c>
      <c r="G284" s="5">
        <v>40297</v>
      </c>
      <c r="H284" s="4" t="s">
        <v>40</v>
      </c>
      <c r="I284" s="6">
        <v>3750</v>
      </c>
      <c r="J284" s="6">
        <v>3750</v>
      </c>
      <c r="K284" s="37" t="s">
        <v>356</v>
      </c>
      <c r="L284" s="119"/>
      <c r="M284" s="3"/>
    </row>
    <row r="285" spans="1:13" s="4" customFormat="1" ht="51" x14ac:dyDescent="0.25">
      <c r="A285" s="4" t="s">
        <v>591</v>
      </c>
      <c r="B285" s="4" t="s">
        <v>50</v>
      </c>
      <c r="C285" s="37" t="s">
        <v>356</v>
      </c>
      <c r="D285" s="35">
        <v>5121</v>
      </c>
      <c r="E285" s="4" t="s">
        <v>592</v>
      </c>
      <c r="F285" s="5">
        <v>39932</v>
      </c>
      <c r="G285" s="5">
        <v>40297</v>
      </c>
      <c r="H285" s="4" t="s">
        <v>40</v>
      </c>
      <c r="I285" s="6">
        <v>20000</v>
      </c>
      <c r="J285" s="6">
        <v>10000</v>
      </c>
      <c r="K285" s="37" t="s">
        <v>356</v>
      </c>
      <c r="L285" s="119"/>
      <c r="M285" s="3"/>
    </row>
    <row r="286" spans="1:13" s="4" customFormat="1" ht="38.25" x14ac:dyDescent="0.25">
      <c r="A286" s="4" t="s">
        <v>593</v>
      </c>
      <c r="B286" s="4" t="s">
        <v>50</v>
      </c>
      <c r="C286" s="37" t="s">
        <v>356</v>
      </c>
      <c r="D286" s="35">
        <v>5124</v>
      </c>
      <c r="E286" s="4" t="s">
        <v>594</v>
      </c>
      <c r="F286" s="5">
        <v>39981</v>
      </c>
      <c r="G286" s="5">
        <v>40346</v>
      </c>
      <c r="H286" s="4" t="s">
        <v>40</v>
      </c>
      <c r="I286" s="6">
        <v>101550</v>
      </c>
      <c r="J286" s="6">
        <v>50775</v>
      </c>
      <c r="K286" s="37" t="s">
        <v>356</v>
      </c>
      <c r="L286" s="119"/>
      <c r="M286" s="3"/>
    </row>
    <row r="287" spans="1:13" s="4" customFormat="1" ht="63.75" x14ac:dyDescent="0.25">
      <c r="A287" s="4" t="s">
        <v>595</v>
      </c>
      <c r="B287" s="4" t="s">
        <v>50</v>
      </c>
      <c r="C287" s="37" t="s">
        <v>356</v>
      </c>
      <c r="D287" s="35">
        <v>5127</v>
      </c>
      <c r="E287" s="4" t="s">
        <v>596</v>
      </c>
      <c r="F287" s="5">
        <v>39981</v>
      </c>
      <c r="G287" s="5">
        <v>40346</v>
      </c>
      <c r="H287" s="4" t="s">
        <v>40</v>
      </c>
      <c r="I287" s="6">
        <v>40000</v>
      </c>
      <c r="J287" s="6">
        <v>20000</v>
      </c>
      <c r="K287" s="37" t="s">
        <v>356</v>
      </c>
      <c r="L287" s="119"/>
      <c r="M287" s="3"/>
    </row>
    <row r="288" spans="1:13" s="4" customFormat="1" ht="76.5" x14ac:dyDescent="0.25">
      <c r="A288" s="4" t="s">
        <v>597</v>
      </c>
      <c r="B288" s="4" t="s">
        <v>59</v>
      </c>
      <c r="C288" s="37" t="s">
        <v>356</v>
      </c>
      <c r="D288" s="35">
        <v>5129</v>
      </c>
      <c r="E288" s="7" t="s">
        <v>598</v>
      </c>
      <c r="F288" s="5">
        <v>39981</v>
      </c>
      <c r="G288" s="5">
        <v>40346</v>
      </c>
      <c r="H288" s="4" t="s">
        <v>40</v>
      </c>
      <c r="I288" s="6">
        <v>7500</v>
      </c>
      <c r="J288" s="6">
        <v>7500</v>
      </c>
      <c r="K288" s="37" t="s">
        <v>356</v>
      </c>
      <c r="L288" s="119"/>
      <c r="M288" s="3"/>
    </row>
    <row r="289" spans="1:13" s="4" customFormat="1" ht="51" x14ac:dyDescent="0.25">
      <c r="A289" s="4" t="s">
        <v>599</v>
      </c>
      <c r="B289" s="4" t="s">
        <v>38</v>
      </c>
      <c r="C289" s="37" t="s">
        <v>356</v>
      </c>
      <c r="D289" s="35">
        <v>5130</v>
      </c>
      <c r="E289" s="4" t="s">
        <v>600</v>
      </c>
      <c r="F289" s="5">
        <v>39814</v>
      </c>
      <c r="G289" s="5">
        <v>40178</v>
      </c>
      <c r="H289" s="4" t="s">
        <v>40</v>
      </c>
      <c r="I289" s="6">
        <v>2510</v>
      </c>
      <c r="J289" s="6">
        <v>2510</v>
      </c>
      <c r="K289" s="37" t="s">
        <v>356</v>
      </c>
      <c r="L289" s="119"/>
      <c r="M289" s="3"/>
    </row>
    <row r="290" spans="1:13" s="4" customFormat="1" ht="51" x14ac:dyDescent="0.25">
      <c r="A290" s="4" t="s">
        <v>601</v>
      </c>
      <c r="B290" s="4" t="s">
        <v>50</v>
      </c>
      <c r="C290" s="37" t="s">
        <v>356</v>
      </c>
      <c r="D290" s="35">
        <v>5131</v>
      </c>
      <c r="E290" s="4" t="s">
        <v>602</v>
      </c>
      <c r="F290" s="5">
        <v>39981</v>
      </c>
      <c r="G290" s="5">
        <v>40346</v>
      </c>
      <c r="H290" s="4" t="s">
        <v>40</v>
      </c>
      <c r="I290" s="6">
        <v>46000</v>
      </c>
      <c r="J290" s="6">
        <v>23000</v>
      </c>
      <c r="K290" s="37" t="s">
        <v>356</v>
      </c>
      <c r="L290" s="119"/>
      <c r="M290" s="3"/>
    </row>
    <row r="291" spans="1:13" s="4" customFormat="1" ht="51" x14ac:dyDescent="0.25">
      <c r="A291" s="4" t="s">
        <v>603</v>
      </c>
      <c r="B291" s="4" t="s">
        <v>59</v>
      </c>
      <c r="C291" s="37" t="s">
        <v>356</v>
      </c>
      <c r="D291" s="35">
        <v>5133</v>
      </c>
      <c r="E291" s="4" t="s">
        <v>604</v>
      </c>
      <c r="F291" s="5">
        <v>39861</v>
      </c>
      <c r="G291" s="5">
        <v>40226</v>
      </c>
      <c r="H291" s="4" t="s">
        <v>40</v>
      </c>
      <c r="I291" s="6">
        <v>7500</v>
      </c>
      <c r="J291" s="6">
        <v>7500</v>
      </c>
      <c r="K291" s="37" t="s">
        <v>356</v>
      </c>
      <c r="L291" s="119"/>
      <c r="M291" s="3"/>
    </row>
    <row r="292" spans="1:13" s="4" customFormat="1" ht="63.75" x14ac:dyDescent="0.25">
      <c r="A292" s="4" t="s">
        <v>605</v>
      </c>
      <c r="B292" s="4" t="s">
        <v>50</v>
      </c>
      <c r="C292" s="37" t="s">
        <v>356</v>
      </c>
      <c r="D292" s="35">
        <v>5136</v>
      </c>
      <c r="E292" s="4" t="s">
        <v>606</v>
      </c>
      <c r="F292" s="5">
        <v>39861</v>
      </c>
      <c r="G292" s="5">
        <v>40226</v>
      </c>
      <c r="H292" s="4" t="s">
        <v>40</v>
      </c>
      <c r="I292" s="6">
        <v>30000</v>
      </c>
      <c r="J292" s="6">
        <v>15000</v>
      </c>
      <c r="K292" s="37" t="s">
        <v>356</v>
      </c>
      <c r="L292" s="119"/>
      <c r="M292" s="3"/>
    </row>
    <row r="293" spans="1:13" s="4" customFormat="1" ht="25.5" x14ac:dyDescent="0.25">
      <c r="A293" s="4" t="s">
        <v>607</v>
      </c>
      <c r="B293" s="4" t="s">
        <v>59</v>
      </c>
      <c r="C293" s="37" t="s">
        <v>356</v>
      </c>
      <c r="D293" s="35">
        <v>5138</v>
      </c>
      <c r="E293" s="4" t="s">
        <v>608</v>
      </c>
      <c r="F293" s="5">
        <v>40065</v>
      </c>
      <c r="G293" s="5">
        <v>40430</v>
      </c>
      <c r="H293" s="4" t="s">
        <v>40</v>
      </c>
      <c r="I293" s="6">
        <v>26250</v>
      </c>
      <c r="J293" s="6">
        <v>26250</v>
      </c>
      <c r="K293" s="37" t="s">
        <v>356</v>
      </c>
      <c r="L293" s="119"/>
      <c r="M293" s="3"/>
    </row>
    <row r="294" spans="1:13" s="4" customFormat="1" ht="51" x14ac:dyDescent="0.25">
      <c r="A294" s="4" t="s">
        <v>609</v>
      </c>
      <c r="B294" s="4" t="s">
        <v>50</v>
      </c>
      <c r="C294" s="37" t="s">
        <v>356</v>
      </c>
      <c r="D294" s="35">
        <v>5140</v>
      </c>
      <c r="E294" s="4" t="s">
        <v>610</v>
      </c>
      <c r="F294" s="5">
        <v>40114</v>
      </c>
      <c r="G294" s="5">
        <v>40479</v>
      </c>
      <c r="H294" s="4" t="s">
        <v>40</v>
      </c>
      <c r="I294" s="6">
        <v>1972</v>
      </c>
      <c r="J294" s="6">
        <v>986</v>
      </c>
      <c r="K294" s="37" t="s">
        <v>356</v>
      </c>
      <c r="L294" s="119"/>
      <c r="M294" s="3"/>
    </row>
    <row r="295" spans="1:13" s="4" customFormat="1" ht="25.5" x14ac:dyDescent="0.25">
      <c r="A295" s="4" t="s">
        <v>611</v>
      </c>
      <c r="B295" s="4" t="s">
        <v>38</v>
      </c>
      <c r="C295" s="37" t="s">
        <v>356</v>
      </c>
      <c r="D295" s="35">
        <v>5152</v>
      </c>
      <c r="E295" s="4" t="s">
        <v>612</v>
      </c>
      <c r="F295" s="5">
        <v>39814</v>
      </c>
      <c r="G295" s="5">
        <v>40178</v>
      </c>
      <c r="H295" s="4" t="s">
        <v>40</v>
      </c>
      <c r="I295" s="6">
        <v>3750</v>
      </c>
      <c r="J295" s="6">
        <v>3750</v>
      </c>
      <c r="K295" s="37" t="s">
        <v>356</v>
      </c>
      <c r="L295" s="119"/>
      <c r="M295" s="3"/>
    </row>
    <row r="296" spans="1:13" s="4" customFormat="1" ht="76.5" x14ac:dyDescent="0.25">
      <c r="A296" s="4" t="s">
        <v>613</v>
      </c>
      <c r="B296" s="4" t="s">
        <v>38</v>
      </c>
      <c r="C296" s="37" t="s">
        <v>356</v>
      </c>
      <c r="D296" s="35">
        <v>6924</v>
      </c>
      <c r="E296" s="4" t="s">
        <v>614</v>
      </c>
      <c r="F296" s="5">
        <v>40179</v>
      </c>
      <c r="G296" s="5">
        <v>40543</v>
      </c>
      <c r="H296" s="4" t="s">
        <v>40</v>
      </c>
      <c r="I296" s="6">
        <v>22632</v>
      </c>
      <c r="J296" s="6">
        <v>22632</v>
      </c>
      <c r="K296" s="37" t="s">
        <v>356</v>
      </c>
      <c r="L296" s="119"/>
      <c r="M296" s="3"/>
    </row>
    <row r="297" spans="1:13" s="4" customFormat="1" ht="63.75" x14ac:dyDescent="0.25">
      <c r="A297" s="4" t="s">
        <v>615</v>
      </c>
      <c r="B297" s="4" t="s">
        <v>38</v>
      </c>
      <c r="C297" s="37" t="s">
        <v>356</v>
      </c>
      <c r="D297" s="35">
        <v>6956</v>
      </c>
      <c r="E297" s="4" t="s">
        <v>616</v>
      </c>
      <c r="F297" s="5">
        <v>40179</v>
      </c>
      <c r="G297" s="5">
        <v>40543</v>
      </c>
      <c r="H297" s="4" t="s">
        <v>40</v>
      </c>
      <c r="I297" s="6">
        <v>800</v>
      </c>
      <c r="J297" s="6">
        <v>800</v>
      </c>
      <c r="K297" s="37" t="s">
        <v>356</v>
      </c>
      <c r="L297" s="119"/>
      <c r="M297" s="3"/>
    </row>
    <row r="298" spans="1:13" s="4" customFormat="1" ht="25.5" x14ac:dyDescent="0.25">
      <c r="A298" s="4" t="s">
        <v>617</v>
      </c>
      <c r="B298" s="4" t="s">
        <v>50</v>
      </c>
      <c r="C298" s="37" t="s">
        <v>356</v>
      </c>
      <c r="D298" s="35">
        <v>6960</v>
      </c>
      <c r="E298" s="4" t="s">
        <v>618</v>
      </c>
      <c r="F298" s="5">
        <v>39932</v>
      </c>
      <c r="G298" s="5">
        <v>40543</v>
      </c>
      <c r="H298" s="4" t="s">
        <v>40</v>
      </c>
      <c r="I298" s="6">
        <v>22000</v>
      </c>
      <c r="J298" s="6">
        <v>11000</v>
      </c>
      <c r="K298" s="37" t="s">
        <v>356</v>
      </c>
      <c r="L298" s="119"/>
      <c r="M298" s="3"/>
    </row>
    <row r="299" spans="1:13" s="4" customFormat="1" ht="25.5" x14ac:dyDescent="0.25">
      <c r="A299" s="4" t="s">
        <v>619</v>
      </c>
      <c r="B299" s="4" t="s">
        <v>183</v>
      </c>
      <c r="C299" s="37" t="s">
        <v>356</v>
      </c>
      <c r="D299" s="35">
        <v>6962</v>
      </c>
      <c r="E299" s="4" t="s">
        <v>620</v>
      </c>
      <c r="F299" s="5">
        <v>40299</v>
      </c>
      <c r="G299" s="5">
        <v>40543</v>
      </c>
      <c r="H299" s="4" t="s">
        <v>40</v>
      </c>
      <c r="I299" s="6">
        <v>45128</v>
      </c>
      <c r="J299" s="6">
        <v>22564</v>
      </c>
      <c r="K299" s="37" t="s">
        <v>356</v>
      </c>
      <c r="L299" s="119"/>
      <c r="M299" s="3"/>
    </row>
    <row r="300" spans="1:13" s="4" customFormat="1" ht="25.5" x14ac:dyDescent="0.25">
      <c r="A300" s="4" t="s">
        <v>621</v>
      </c>
      <c r="B300" s="4" t="s">
        <v>190</v>
      </c>
      <c r="C300" s="37" t="s">
        <v>356</v>
      </c>
      <c r="D300" s="35">
        <v>6991</v>
      </c>
      <c r="E300" s="4" t="s">
        <v>622</v>
      </c>
      <c r="F300" s="5">
        <v>40429</v>
      </c>
      <c r="G300" s="5">
        <v>40908</v>
      </c>
      <c r="H300" s="4" t="s">
        <v>40</v>
      </c>
      <c r="I300" s="6">
        <v>16000</v>
      </c>
      <c r="J300" s="6">
        <v>16000</v>
      </c>
      <c r="K300" s="37" t="s">
        <v>356</v>
      </c>
      <c r="L300" s="119"/>
      <c r="M300" s="3"/>
    </row>
    <row r="301" spans="1:13" s="4" customFormat="1" ht="63.75" x14ac:dyDescent="0.25">
      <c r="A301" s="4" t="s">
        <v>623</v>
      </c>
      <c r="B301" s="4" t="s">
        <v>90</v>
      </c>
      <c r="C301" s="37" t="s">
        <v>356</v>
      </c>
      <c r="D301" s="35">
        <v>6992</v>
      </c>
      <c r="E301" s="4" t="s">
        <v>624</v>
      </c>
      <c r="F301" s="5">
        <v>40163</v>
      </c>
      <c r="G301" s="5">
        <v>40543</v>
      </c>
      <c r="H301" s="4" t="s">
        <v>40</v>
      </c>
      <c r="I301" s="6">
        <v>2579.9899999999998</v>
      </c>
      <c r="J301" s="6">
        <v>1290</v>
      </c>
      <c r="K301" s="37" t="s">
        <v>356</v>
      </c>
      <c r="L301" s="119"/>
      <c r="M301" s="3"/>
    </row>
    <row r="302" spans="1:13" s="4" customFormat="1" ht="63.75" x14ac:dyDescent="0.25">
      <c r="A302" s="4" t="s">
        <v>625</v>
      </c>
      <c r="B302" s="4" t="s">
        <v>183</v>
      </c>
      <c r="C302" s="37" t="s">
        <v>356</v>
      </c>
      <c r="D302" s="35">
        <v>6993</v>
      </c>
      <c r="E302" s="4" t="s">
        <v>626</v>
      </c>
      <c r="F302" s="5">
        <v>40429</v>
      </c>
      <c r="G302" s="5">
        <v>40908</v>
      </c>
      <c r="H302" s="4" t="s">
        <v>40</v>
      </c>
      <c r="I302" s="6">
        <v>16000</v>
      </c>
      <c r="J302" s="6">
        <v>16000</v>
      </c>
      <c r="K302" s="37" t="s">
        <v>356</v>
      </c>
      <c r="L302" s="119"/>
      <c r="M302" s="3"/>
    </row>
    <row r="303" spans="1:13" s="4" customFormat="1" ht="25.5" x14ac:dyDescent="0.25">
      <c r="A303" s="4" t="s">
        <v>627</v>
      </c>
      <c r="B303" s="4" t="s">
        <v>90</v>
      </c>
      <c r="C303" s="37" t="s">
        <v>356</v>
      </c>
      <c r="D303" s="35">
        <v>6994</v>
      </c>
      <c r="E303" s="4" t="s">
        <v>628</v>
      </c>
      <c r="F303" s="5">
        <v>40065</v>
      </c>
      <c r="G303" s="5">
        <v>40543</v>
      </c>
      <c r="H303" s="4" t="s">
        <v>40</v>
      </c>
      <c r="I303" s="6">
        <v>9216</v>
      </c>
      <c r="J303" s="6">
        <v>4608</v>
      </c>
      <c r="K303" s="37" t="s">
        <v>356</v>
      </c>
      <c r="L303" s="119"/>
      <c r="M303" s="3"/>
    </row>
    <row r="304" spans="1:13" s="4" customFormat="1" ht="89.25" x14ac:dyDescent="0.25">
      <c r="A304" s="4" t="s">
        <v>629</v>
      </c>
      <c r="B304" s="4" t="s">
        <v>50</v>
      </c>
      <c r="C304" s="37" t="s">
        <v>356</v>
      </c>
      <c r="D304" s="35">
        <v>6995</v>
      </c>
      <c r="E304" s="7" t="s">
        <v>630</v>
      </c>
      <c r="F304" s="5">
        <v>39981</v>
      </c>
      <c r="G304" s="5">
        <v>40543</v>
      </c>
      <c r="H304" s="4" t="s">
        <v>40</v>
      </c>
      <c r="I304" s="6">
        <v>94494</v>
      </c>
      <c r="J304" s="6">
        <v>47247</v>
      </c>
      <c r="K304" s="37" t="s">
        <v>356</v>
      </c>
      <c r="L304" s="119"/>
      <c r="M304" s="3"/>
    </row>
    <row r="305" spans="1:60" s="4" customFormat="1" ht="25.5" x14ac:dyDescent="0.25">
      <c r="A305" s="4" t="s">
        <v>631</v>
      </c>
      <c r="B305" s="4" t="s">
        <v>190</v>
      </c>
      <c r="C305" s="37" t="s">
        <v>356</v>
      </c>
      <c r="D305" s="35">
        <v>7000</v>
      </c>
      <c r="E305" s="4" t="s">
        <v>632</v>
      </c>
      <c r="F305" s="5">
        <v>40296</v>
      </c>
      <c r="G305" s="5">
        <v>40543</v>
      </c>
      <c r="H305" s="4" t="s">
        <v>40</v>
      </c>
      <c r="I305" s="6">
        <v>7500</v>
      </c>
      <c r="J305" s="6">
        <v>7500</v>
      </c>
      <c r="K305" s="37" t="s">
        <v>356</v>
      </c>
      <c r="L305" s="119"/>
      <c r="M305" s="3"/>
    </row>
    <row r="306" spans="1:60" s="4" customFormat="1" ht="127.5" x14ac:dyDescent="0.25">
      <c r="A306" s="4" t="s">
        <v>633</v>
      </c>
      <c r="B306" s="4" t="s">
        <v>90</v>
      </c>
      <c r="C306" s="37" t="s">
        <v>356</v>
      </c>
      <c r="D306" s="35">
        <v>7002</v>
      </c>
      <c r="E306" s="7" t="s">
        <v>634</v>
      </c>
      <c r="F306" s="5">
        <v>40235</v>
      </c>
      <c r="G306" s="5">
        <v>40543</v>
      </c>
      <c r="H306" s="4" t="s">
        <v>40</v>
      </c>
      <c r="I306" s="6">
        <v>7780</v>
      </c>
      <c r="J306" s="6">
        <v>3890</v>
      </c>
      <c r="K306" s="37" t="s">
        <v>356</v>
      </c>
      <c r="L306" s="119"/>
      <c r="M306" s="3"/>
    </row>
    <row r="307" spans="1:60" s="4" customFormat="1" ht="102" x14ac:dyDescent="0.25">
      <c r="A307" s="4" t="s">
        <v>637</v>
      </c>
      <c r="B307" s="4" t="s">
        <v>183</v>
      </c>
      <c r="C307" s="37" t="s">
        <v>356</v>
      </c>
      <c r="D307" s="35">
        <v>7007</v>
      </c>
      <c r="E307" s="7" t="s">
        <v>638</v>
      </c>
      <c r="F307" s="5">
        <v>40225</v>
      </c>
      <c r="G307" s="5">
        <v>40543</v>
      </c>
      <c r="H307" s="4" t="s">
        <v>40</v>
      </c>
      <c r="I307" s="6">
        <v>16782</v>
      </c>
      <c r="J307" s="6">
        <v>8391</v>
      </c>
      <c r="K307" s="37" t="s">
        <v>356</v>
      </c>
      <c r="L307" s="119"/>
      <c r="M307" s="3"/>
    </row>
    <row r="308" spans="1:60" s="4" customFormat="1" ht="51" x14ac:dyDescent="0.25">
      <c r="A308" s="4" t="s">
        <v>641</v>
      </c>
      <c r="B308" s="4" t="s">
        <v>183</v>
      </c>
      <c r="C308" s="37" t="s">
        <v>356</v>
      </c>
      <c r="D308" s="35">
        <v>7009</v>
      </c>
      <c r="E308" s="4" t="s">
        <v>642</v>
      </c>
      <c r="F308" s="5">
        <v>40225</v>
      </c>
      <c r="G308" s="5">
        <v>40543</v>
      </c>
      <c r="H308" s="4" t="s">
        <v>40</v>
      </c>
      <c r="I308" s="6">
        <v>12000</v>
      </c>
      <c r="J308" s="6">
        <v>6000</v>
      </c>
      <c r="K308" s="37" t="s">
        <v>356</v>
      </c>
      <c r="L308" s="119"/>
      <c r="M308" s="3"/>
    </row>
    <row r="309" spans="1:60" s="4" customFormat="1" ht="25.5" x14ac:dyDescent="0.25">
      <c r="A309" s="4" t="s">
        <v>643</v>
      </c>
      <c r="B309" s="4" t="s">
        <v>183</v>
      </c>
      <c r="C309" s="37" t="s">
        <v>356</v>
      </c>
      <c r="D309" s="35">
        <v>7010</v>
      </c>
      <c r="E309" s="4" t="s">
        <v>644</v>
      </c>
      <c r="F309" s="5">
        <v>40225</v>
      </c>
      <c r="G309" s="5">
        <v>40908</v>
      </c>
      <c r="H309" s="4" t="s">
        <v>40</v>
      </c>
      <c r="I309" s="6">
        <v>9996</v>
      </c>
      <c r="J309" s="6">
        <v>4998</v>
      </c>
      <c r="K309" s="37" t="s">
        <v>356</v>
      </c>
      <c r="L309" s="119"/>
      <c r="M309" s="3"/>
    </row>
    <row r="310" spans="1:60" s="4" customFormat="1" ht="76.5" x14ac:dyDescent="0.25">
      <c r="A310" s="4" t="s">
        <v>645</v>
      </c>
      <c r="B310" s="4" t="s">
        <v>90</v>
      </c>
      <c r="C310" s="37" t="s">
        <v>356</v>
      </c>
      <c r="D310" s="35">
        <v>7011</v>
      </c>
      <c r="E310" s="7" t="s">
        <v>646</v>
      </c>
      <c r="F310" s="5">
        <v>40163</v>
      </c>
      <c r="G310" s="5">
        <v>40543</v>
      </c>
      <c r="H310" s="4" t="s">
        <v>40</v>
      </c>
      <c r="I310" s="6">
        <v>9200</v>
      </c>
      <c r="J310" s="6">
        <v>4600</v>
      </c>
      <c r="K310" s="37" t="s">
        <v>356</v>
      </c>
      <c r="L310" s="119"/>
      <c r="M310" s="3"/>
    </row>
    <row r="311" spans="1:60" s="4" customFormat="1" ht="25.5" x14ac:dyDescent="0.25">
      <c r="A311" s="4" t="s">
        <v>647</v>
      </c>
      <c r="B311" s="4" t="s">
        <v>190</v>
      </c>
      <c r="C311" s="37" t="s">
        <v>356</v>
      </c>
      <c r="D311" s="35">
        <v>7012</v>
      </c>
      <c r="E311" s="4" t="s">
        <v>648</v>
      </c>
      <c r="F311" s="5">
        <v>40163</v>
      </c>
      <c r="G311" s="5">
        <v>40543</v>
      </c>
      <c r="H311" s="4" t="s">
        <v>40</v>
      </c>
      <c r="I311" s="6">
        <v>8782</v>
      </c>
      <c r="J311" s="6">
        <v>4391</v>
      </c>
      <c r="K311" s="37" t="s">
        <v>356</v>
      </c>
      <c r="L311" s="119"/>
      <c r="M311" s="3"/>
    </row>
    <row r="312" spans="1:60" s="4" customFormat="1" ht="38.25" x14ac:dyDescent="0.25">
      <c r="A312" s="9" t="s">
        <v>649</v>
      </c>
      <c r="B312" s="9" t="s">
        <v>90</v>
      </c>
      <c r="C312" s="89" t="s">
        <v>356</v>
      </c>
      <c r="D312" s="90">
        <v>7013</v>
      </c>
      <c r="E312" s="9" t="s">
        <v>650</v>
      </c>
      <c r="F312" s="11">
        <v>40163</v>
      </c>
      <c r="G312" s="11">
        <v>40543</v>
      </c>
      <c r="H312" s="9" t="s">
        <v>651</v>
      </c>
      <c r="I312" s="8">
        <v>3752</v>
      </c>
      <c r="J312" s="8">
        <v>1876</v>
      </c>
      <c r="K312" s="89" t="s">
        <v>356</v>
      </c>
      <c r="L312" s="121"/>
      <c r="M312" s="3"/>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row>
    <row r="313" spans="1:60" s="4" customFormat="1" ht="25.5" x14ac:dyDescent="0.25">
      <c r="A313" s="4" t="s">
        <v>652</v>
      </c>
      <c r="B313" s="4" t="s">
        <v>59</v>
      </c>
      <c r="C313" s="37" t="s">
        <v>356</v>
      </c>
      <c r="D313" s="35">
        <v>7014</v>
      </c>
      <c r="E313" s="4" t="s">
        <v>653</v>
      </c>
      <c r="F313" s="5">
        <v>40114</v>
      </c>
      <c r="G313" s="5">
        <v>40543</v>
      </c>
      <c r="H313" s="4" t="s">
        <v>40</v>
      </c>
      <c r="I313" s="6">
        <v>3750</v>
      </c>
      <c r="J313" s="6">
        <v>3750</v>
      </c>
      <c r="K313" s="37" t="s">
        <v>356</v>
      </c>
      <c r="L313" s="119"/>
      <c r="M313" s="3"/>
    </row>
    <row r="314" spans="1:60" s="4" customFormat="1" ht="76.5" x14ac:dyDescent="0.25">
      <c r="A314" s="4" t="s">
        <v>654</v>
      </c>
      <c r="B314" s="4" t="s">
        <v>190</v>
      </c>
      <c r="C314" s="37" t="s">
        <v>356</v>
      </c>
      <c r="D314" s="35">
        <v>7015</v>
      </c>
      <c r="E314" s="7" t="s">
        <v>655</v>
      </c>
      <c r="F314" s="5">
        <v>40296</v>
      </c>
      <c r="G314" s="5">
        <v>40908</v>
      </c>
      <c r="H314" s="4" t="s">
        <v>40</v>
      </c>
      <c r="I314" s="6">
        <v>17450</v>
      </c>
      <c r="J314" s="6">
        <v>8725</v>
      </c>
      <c r="K314" s="37" t="s">
        <v>356</v>
      </c>
      <c r="L314" s="119"/>
      <c r="M314" s="3"/>
    </row>
    <row r="315" spans="1:60" s="4" customFormat="1" ht="38.25" x14ac:dyDescent="0.25">
      <c r="A315" s="4" t="s">
        <v>656</v>
      </c>
      <c r="B315" s="4" t="s">
        <v>59</v>
      </c>
      <c r="C315" s="37" t="s">
        <v>356</v>
      </c>
      <c r="D315" s="35">
        <v>7016</v>
      </c>
      <c r="E315" s="4" t="s">
        <v>657</v>
      </c>
      <c r="F315" s="5">
        <v>40114</v>
      </c>
      <c r="G315" s="5">
        <v>40543</v>
      </c>
      <c r="H315" s="4" t="s">
        <v>40</v>
      </c>
      <c r="I315" s="6">
        <v>7500</v>
      </c>
      <c r="J315" s="6">
        <v>7500</v>
      </c>
      <c r="K315" s="37" t="s">
        <v>356</v>
      </c>
      <c r="L315" s="119"/>
      <c r="M315" s="3"/>
    </row>
    <row r="316" spans="1:60" s="4" customFormat="1" ht="63.75" x14ac:dyDescent="0.25">
      <c r="A316" s="4" t="s">
        <v>658</v>
      </c>
      <c r="B316" s="4" t="s">
        <v>38</v>
      </c>
      <c r="C316" s="37" t="s">
        <v>356</v>
      </c>
      <c r="D316" s="35">
        <v>8815</v>
      </c>
      <c r="E316" s="4" t="s">
        <v>659</v>
      </c>
      <c r="F316" s="5">
        <v>40544</v>
      </c>
      <c r="G316" s="5">
        <v>41639</v>
      </c>
      <c r="H316" s="4" t="s">
        <v>40</v>
      </c>
      <c r="I316" s="6">
        <v>11572</v>
      </c>
      <c r="J316" s="6">
        <f>5365+6207</f>
        <v>11572</v>
      </c>
      <c r="K316" s="37" t="s">
        <v>356</v>
      </c>
      <c r="L316" s="119"/>
      <c r="M316" s="3"/>
    </row>
    <row r="317" spans="1:60" s="4" customFormat="1" ht="25.5" x14ac:dyDescent="0.25">
      <c r="A317" s="4" t="s">
        <v>660</v>
      </c>
      <c r="B317" s="4" t="s">
        <v>38</v>
      </c>
      <c r="C317" s="37" t="s">
        <v>356</v>
      </c>
      <c r="D317" s="35">
        <v>8816</v>
      </c>
      <c r="E317" s="4" t="s">
        <v>661</v>
      </c>
      <c r="F317" s="5">
        <v>40544</v>
      </c>
      <c r="G317" s="5">
        <v>40908</v>
      </c>
      <c r="H317" s="4" t="s">
        <v>40</v>
      </c>
      <c r="I317" s="6">
        <v>249</v>
      </c>
      <c r="J317" s="6">
        <v>249</v>
      </c>
      <c r="K317" s="37" t="s">
        <v>356</v>
      </c>
      <c r="L317" s="119"/>
      <c r="M317" s="3"/>
    </row>
    <row r="318" spans="1:60" s="4" customFormat="1" ht="51" x14ac:dyDescent="0.25">
      <c r="A318" s="4" t="s">
        <v>662</v>
      </c>
      <c r="B318" s="4" t="s">
        <v>38</v>
      </c>
      <c r="C318" s="37" t="s">
        <v>356</v>
      </c>
      <c r="D318" s="35">
        <v>8817</v>
      </c>
      <c r="E318" s="4" t="s">
        <v>663</v>
      </c>
      <c r="F318" s="5">
        <v>40544</v>
      </c>
      <c r="G318" s="5">
        <v>41639</v>
      </c>
      <c r="H318" s="4" t="s">
        <v>40</v>
      </c>
      <c r="I318" s="6">
        <v>10675</v>
      </c>
      <c r="J318" s="6">
        <f>7682+2993.5</f>
        <v>10675.5</v>
      </c>
      <c r="K318" s="37" t="s">
        <v>356</v>
      </c>
      <c r="L318" s="119"/>
      <c r="M318" s="3"/>
    </row>
    <row r="319" spans="1:60" s="4" customFormat="1" ht="51" x14ac:dyDescent="0.25">
      <c r="A319" s="4" t="s">
        <v>664</v>
      </c>
      <c r="B319" s="4" t="s">
        <v>38</v>
      </c>
      <c r="C319" s="37" t="s">
        <v>356</v>
      </c>
      <c r="D319" s="35">
        <v>8818</v>
      </c>
      <c r="E319" s="4" t="s">
        <v>665</v>
      </c>
      <c r="F319" s="5">
        <v>40544</v>
      </c>
      <c r="G319" s="5">
        <v>41639</v>
      </c>
      <c r="H319" s="4" t="s">
        <v>40</v>
      </c>
      <c r="I319" s="6">
        <v>4667.5</v>
      </c>
      <c r="J319" s="6">
        <f>3125+1542.5</f>
        <v>4667.5</v>
      </c>
      <c r="K319" s="37" t="s">
        <v>356</v>
      </c>
      <c r="L319" s="119"/>
      <c r="M319" s="3"/>
    </row>
    <row r="320" spans="1:60" s="4" customFormat="1" ht="25.5" x14ac:dyDescent="0.25">
      <c r="A320" s="4" t="s">
        <v>666</v>
      </c>
      <c r="B320" s="4" t="s">
        <v>38</v>
      </c>
      <c r="C320" s="37" t="s">
        <v>356</v>
      </c>
      <c r="D320" s="35">
        <v>8821</v>
      </c>
      <c r="E320" s="4" t="s">
        <v>667</v>
      </c>
      <c r="F320" s="5">
        <v>40544</v>
      </c>
      <c r="G320" s="5">
        <v>40908</v>
      </c>
      <c r="H320" s="4" t="s">
        <v>40</v>
      </c>
      <c r="I320" s="6">
        <v>269</v>
      </c>
      <c r="J320" s="6">
        <v>269</v>
      </c>
      <c r="K320" s="37" t="s">
        <v>356</v>
      </c>
      <c r="L320" s="119"/>
      <c r="M320" s="3"/>
    </row>
    <row r="321" spans="1:13" s="4" customFormat="1" ht="25.5" x14ac:dyDescent="0.25">
      <c r="A321" s="4" t="s">
        <v>668</v>
      </c>
      <c r="B321" s="4" t="s">
        <v>38</v>
      </c>
      <c r="C321" s="37" t="s">
        <v>356</v>
      </c>
      <c r="D321" s="35">
        <v>8822</v>
      </c>
      <c r="E321" s="4" t="s">
        <v>669</v>
      </c>
      <c r="F321" s="5">
        <v>40544</v>
      </c>
      <c r="G321" s="5">
        <v>40908</v>
      </c>
      <c r="H321" s="4" t="s">
        <v>40</v>
      </c>
      <c r="I321" s="6">
        <v>129</v>
      </c>
      <c r="J321" s="6">
        <v>129</v>
      </c>
      <c r="K321" s="37" t="s">
        <v>356</v>
      </c>
      <c r="L321" s="119"/>
      <c r="M321" s="3"/>
    </row>
    <row r="322" spans="1:13" s="4" customFormat="1" ht="38.25" x14ac:dyDescent="0.25">
      <c r="A322" s="4" t="s">
        <v>670</v>
      </c>
      <c r="B322" s="4" t="s">
        <v>38</v>
      </c>
      <c r="C322" s="37" t="s">
        <v>356</v>
      </c>
      <c r="D322" s="35">
        <v>8823</v>
      </c>
      <c r="E322" s="4" t="s">
        <v>671</v>
      </c>
      <c r="F322" s="5">
        <v>40544</v>
      </c>
      <c r="G322" s="5">
        <v>40908</v>
      </c>
      <c r="H322" s="4" t="s">
        <v>40</v>
      </c>
      <c r="I322" s="6">
        <v>1165.4000000000001</v>
      </c>
      <c r="J322" s="6">
        <v>1165.4000000000001</v>
      </c>
      <c r="K322" s="37" t="s">
        <v>356</v>
      </c>
      <c r="L322" s="119"/>
      <c r="M322" s="3"/>
    </row>
    <row r="323" spans="1:13" s="4" customFormat="1" ht="25.5" x14ac:dyDescent="0.25">
      <c r="A323" s="4" t="s">
        <v>672</v>
      </c>
      <c r="B323" s="4" t="s">
        <v>38</v>
      </c>
      <c r="C323" s="37" t="s">
        <v>356</v>
      </c>
      <c r="D323" s="35">
        <v>8824</v>
      </c>
      <c r="E323" s="4" t="s">
        <v>673</v>
      </c>
      <c r="F323" s="5">
        <v>40544</v>
      </c>
      <c r="G323" s="5">
        <v>40908</v>
      </c>
      <c r="H323" s="4" t="s">
        <v>40</v>
      </c>
      <c r="I323" s="6">
        <v>1753.15</v>
      </c>
      <c r="J323" s="6">
        <v>1753.15</v>
      </c>
      <c r="K323" s="37" t="s">
        <v>356</v>
      </c>
      <c r="L323" s="119"/>
      <c r="M323" s="3"/>
    </row>
    <row r="324" spans="1:13" s="4" customFormat="1" ht="25.5" x14ac:dyDescent="0.25">
      <c r="A324" s="4" t="s">
        <v>674</v>
      </c>
      <c r="B324" s="4" t="s">
        <v>190</v>
      </c>
      <c r="C324" s="37" t="s">
        <v>356</v>
      </c>
      <c r="D324" s="35">
        <v>8825</v>
      </c>
      <c r="E324" s="4" t="s">
        <v>675</v>
      </c>
      <c r="F324" s="5">
        <v>40660</v>
      </c>
      <c r="G324" s="5">
        <v>40908</v>
      </c>
      <c r="H324" s="4" t="s">
        <v>40</v>
      </c>
      <c r="I324" s="6">
        <v>77642</v>
      </c>
      <c r="J324" s="6">
        <v>38822.199999999997</v>
      </c>
      <c r="K324" s="37" t="s">
        <v>356</v>
      </c>
      <c r="L324" s="119"/>
      <c r="M324" s="3"/>
    </row>
    <row r="325" spans="1:13" s="4" customFormat="1" ht="25.5" x14ac:dyDescent="0.25">
      <c r="A325" s="4" t="s">
        <v>676</v>
      </c>
      <c r="B325" s="4" t="s">
        <v>183</v>
      </c>
      <c r="C325" s="37" t="s">
        <v>356</v>
      </c>
      <c r="D325" s="35">
        <v>8826</v>
      </c>
      <c r="E325" s="4" t="s">
        <v>677</v>
      </c>
      <c r="F325" s="5">
        <v>40478</v>
      </c>
      <c r="G325" s="5">
        <v>40908</v>
      </c>
      <c r="H325" s="4" t="s">
        <v>40</v>
      </c>
      <c r="I325" s="6">
        <v>10166</v>
      </c>
      <c r="J325" s="6">
        <v>5083</v>
      </c>
      <c r="K325" s="37" t="s">
        <v>356</v>
      </c>
      <c r="L325" s="119"/>
      <c r="M325" s="3"/>
    </row>
    <row r="326" spans="1:13" s="4" customFormat="1" ht="38.25" x14ac:dyDescent="0.25">
      <c r="A326" s="4" t="s">
        <v>678</v>
      </c>
      <c r="B326" s="4" t="s">
        <v>183</v>
      </c>
      <c r="C326" s="37" t="s">
        <v>356</v>
      </c>
      <c r="D326" s="35">
        <v>8827</v>
      </c>
      <c r="E326" s="4" t="s">
        <v>679</v>
      </c>
      <c r="F326" s="5">
        <v>40527</v>
      </c>
      <c r="G326" s="5">
        <v>40908</v>
      </c>
      <c r="H326" s="4" t="s">
        <v>40</v>
      </c>
      <c r="I326" s="6">
        <v>8402</v>
      </c>
      <c r="J326" s="6">
        <v>4201</v>
      </c>
      <c r="K326" s="37" t="s">
        <v>356</v>
      </c>
      <c r="L326" s="119"/>
      <c r="M326" s="3"/>
    </row>
    <row r="327" spans="1:13" s="4" customFormat="1" ht="38.25" x14ac:dyDescent="0.25">
      <c r="A327" s="4" t="s">
        <v>680</v>
      </c>
      <c r="B327" s="4" t="s">
        <v>190</v>
      </c>
      <c r="C327" s="37" t="s">
        <v>356</v>
      </c>
      <c r="D327" s="35">
        <v>8828</v>
      </c>
      <c r="E327" s="4" t="s">
        <v>681</v>
      </c>
      <c r="F327" s="5">
        <v>40478</v>
      </c>
      <c r="G327" s="5">
        <v>40908</v>
      </c>
      <c r="H327" s="4" t="s">
        <v>40</v>
      </c>
      <c r="I327" s="6">
        <v>7500</v>
      </c>
      <c r="J327" s="6">
        <v>7500</v>
      </c>
      <c r="K327" s="37" t="s">
        <v>356</v>
      </c>
      <c r="L327" s="119"/>
      <c r="M327" s="3"/>
    </row>
    <row r="328" spans="1:13" s="4" customFormat="1" x14ac:dyDescent="0.25">
      <c r="A328" s="4" t="s">
        <v>682</v>
      </c>
      <c r="B328" s="4" t="s">
        <v>183</v>
      </c>
      <c r="C328" s="37" t="s">
        <v>356</v>
      </c>
      <c r="D328" s="35">
        <v>8829</v>
      </c>
      <c r="E328" s="4" t="s">
        <v>683</v>
      </c>
      <c r="F328" s="5">
        <v>40604</v>
      </c>
      <c r="G328" s="5">
        <v>40908</v>
      </c>
      <c r="H328" s="4" t="s">
        <v>40</v>
      </c>
      <c r="I328" s="6">
        <v>10500</v>
      </c>
      <c r="J328" s="6">
        <v>5250</v>
      </c>
      <c r="K328" s="37" t="s">
        <v>356</v>
      </c>
      <c r="L328" s="119"/>
      <c r="M328" s="3"/>
    </row>
    <row r="329" spans="1:13" s="4" customFormat="1" ht="38.25" x14ac:dyDescent="0.25">
      <c r="A329" s="4" t="s">
        <v>684</v>
      </c>
      <c r="B329" s="4" t="s">
        <v>183</v>
      </c>
      <c r="C329" s="37" t="s">
        <v>356</v>
      </c>
      <c r="D329" s="35">
        <v>8830</v>
      </c>
      <c r="E329" s="4" t="s">
        <v>685</v>
      </c>
      <c r="F329" s="5">
        <v>40296</v>
      </c>
      <c r="G329" s="5">
        <v>40908</v>
      </c>
      <c r="H329" s="4" t="s">
        <v>40</v>
      </c>
      <c r="I329" s="6">
        <v>712</v>
      </c>
      <c r="J329" s="6">
        <v>356</v>
      </c>
      <c r="K329" s="37" t="s">
        <v>356</v>
      </c>
      <c r="L329" s="119"/>
      <c r="M329" s="3"/>
    </row>
    <row r="330" spans="1:13" s="4" customFormat="1" ht="38.25" x14ac:dyDescent="0.25">
      <c r="A330" s="4" t="s">
        <v>686</v>
      </c>
      <c r="B330" s="4" t="s">
        <v>183</v>
      </c>
      <c r="C330" s="37" t="s">
        <v>356</v>
      </c>
      <c r="D330" s="35">
        <v>8831</v>
      </c>
      <c r="E330" s="4" t="s">
        <v>687</v>
      </c>
      <c r="F330" s="5">
        <v>40716</v>
      </c>
      <c r="G330" s="5">
        <v>41274</v>
      </c>
      <c r="H330" s="4" t="s">
        <v>40</v>
      </c>
      <c r="I330" s="6">
        <v>4810</v>
      </c>
      <c r="J330" s="6">
        <v>3405</v>
      </c>
      <c r="K330" s="37" t="s">
        <v>356</v>
      </c>
      <c r="L330" s="119"/>
      <c r="M330" s="3"/>
    </row>
    <row r="331" spans="1:13" s="4" customFormat="1" ht="25.5" x14ac:dyDescent="0.25">
      <c r="A331" s="4" t="s">
        <v>688</v>
      </c>
      <c r="B331" s="4" t="s">
        <v>183</v>
      </c>
      <c r="C331" s="37" t="s">
        <v>356</v>
      </c>
      <c r="D331" s="35">
        <v>8832</v>
      </c>
      <c r="E331" s="4" t="s">
        <v>689</v>
      </c>
      <c r="F331" s="5">
        <v>40429</v>
      </c>
      <c r="G331" s="5">
        <v>40908</v>
      </c>
      <c r="H331" s="4" t="s">
        <v>40</v>
      </c>
      <c r="I331" s="6">
        <v>10930</v>
      </c>
      <c r="J331" s="6">
        <v>9965</v>
      </c>
      <c r="K331" s="37" t="s">
        <v>356</v>
      </c>
      <c r="L331" s="119"/>
      <c r="M331" s="3"/>
    </row>
    <row r="332" spans="1:13" s="4" customFormat="1" ht="76.5" x14ac:dyDescent="0.25">
      <c r="A332" s="4" t="s">
        <v>690</v>
      </c>
      <c r="B332" s="4" t="s">
        <v>183</v>
      </c>
      <c r="C332" s="37" t="s">
        <v>356</v>
      </c>
      <c r="D332" s="35">
        <v>8833</v>
      </c>
      <c r="E332" s="7" t="s">
        <v>691</v>
      </c>
      <c r="F332" s="5">
        <v>40604</v>
      </c>
      <c r="G332" s="5">
        <v>40908</v>
      </c>
      <c r="H332" s="4" t="s">
        <v>40</v>
      </c>
      <c r="I332" s="6">
        <v>21312</v>
      </c>
      <c r="J332" s="6">
        <v>14656</v>
      </c>
      <c r="K332" s="37" t="s">
        <v>356</v>
      </c>
      <c r="L332" s="119"/>
      <c r="M332" s="3"/>
    </row>
    <row r="333" spans="1:13" s="4" customFormat="1" ht="76.5" x14ac:dyDescent="0.25">
      <c r="A333" s="4" t="s">
        <v>692</v>
      </c>
      <c r="B333" s="4" t="s">
        <v>183</v>
      </c>
      <c r="C333" s="37" t="s">
        <v>356</v>
      </c>
      <c r="D333" s="35">
        <v>8834</v>
      </c>
      <c r="E333" s="7" t="s">
        <v>693</v>
      </c>
      <c r="F333" s="5">
        <v>40660</v>
      </c>
      <c r="G333" s="5">
        <v>41274</v>
      </c>
      <c r="H333" s="4" t="s">
        <v>40</v>
      </c>
      <c r="I333" s="6">
        <v>8000</v>
      </c>
      <c r="J333" s="6">
        <v>8000</v>
      </c>
      <c r="K333" s="37" t="s">
        <v>356</v>
      </c>
      <c r="L333" s="119"/>
      <c r="M333" s="3"/>
    </row>
    <row r="334" spans="1:13" s="4" customFormat="1" ht="38.25" x14ac:dyDescent="0.25">
      <c r="A334" s="4" t="s">
        <v>696</v>
      </c>
      <c r="B334" s="4" t="s">
        <v>183</v>
      </c>
      <c r="C334" s="37" t="s">
        <v>356</v>
      </c>
      <c r="D334" s="35">
        <v>8836</v>
      </c>
      <c r="E334" s="4" t="s">
        <v>697</v>
      </c>
      <c r="F334" s="5">
        <v>40478</v>
      </c>
      <c r="G334" s="5">
        <v>40908</v>
      </c>
      <c r="H334" s="4" t="s">
        <v>40</v>
      </c>
      <c r="I334" s="6">
        <v>22000</v>
      </c>
      <c r="J334" s="6">
        <v>20000</v>
      </c>
      <c r="K334" s="37" t="s">
        <v>356</v>
      </c>
      <c r="L334" s="119"/>
      <c r="M334" s="3"/>
    </row>
    <row r="335" spans="1:13" s="4" customFormat="1" ht="38.25" x14ac:dyDescent="0.25">
      <c r="A335" s="4" t="s">
        <v>698</v>
      </c>
      <c r="B335" s="4" t="s">
        <v>190</v>
      </c>
      <c r="C335" s="37" t="s">
        <v>356</v>
      </c>
      <c r="D335" s="35">
        <v>8837</v>
      </c>
      <c r="E335" s="4" t="s">
        <v>699</v>
      </c>
      <c r="F335" s="5">
        <v>40800</v>
      </c>
      <c r="G335" s="5">
        <v>41274</v>
      </c>
      <c r="H335" s="4" t="s">
        <v>40</v>
      </c>
      <c r="I335" s="6">
        <v>25000</v>
      </c>
      <c r="J335" s="6">
        <v>25000</v>
      </c>
      <c r="K335" s="37" t="s">
        <v>356</v>
      </c>
      <c r="L335" s="119"/>
      <c r="M335" s="3"/>
    </row>
    <row r="336" spans="1:13" s="4" customFormat="1" ht="38.25" x14ac:dyDescent="0.25">
      <c r="A336" s="4" t="s">
        <v>700</v>
      </c>
      <c r="B336" s="4" t="s">
        <v>183</v>
      </c>
      <c r="C336" s="37" t="s">
        <v>356</v>
      </c>
      <c r="D336" s="35">
        <v>8838</v>
      </c>
      <c r="E336" s="4" t="s">
        <v>701</v>
      </c>
      <c r="F336" s="5">
        <v>40716</v>
      </c>
      <c r="G336" s="5">
        <v>41274</v>
      </c>
      <c r="H336" s="4" t="s">
        <v>40</v>
      </c>
      <c r="I336" s="6">
        <v>91518</v>
      </c>
      <c r="J336" s="6">
        <v>55759</v>
      </c>
      <c r="K336" s="37" t="s">
        <v>356</v>
      </c>
      <c r="L336" s="119"/>
      <c r="M336" s="3"/>
    </row>
    <row r="337" spans="1:13" s="4" customFormat="1" ht="25.5" x14ac:dyDescent="0.25">
      <c r="A337" s="4" t="s">
        <v>702</v>
      </c>
      <c r="B337" s="4" t="s">
        <v>183</v>
      </c>
      <c r="C337" s="37" t="s">
        <v>356</v>
      </c>
      <c r="D337" s="35">
        <v>8839</v>
      </c>
      <c r="E337" s="4" t="s">
        <v>703</v>
      </c>
      <c r="F337" s="5">
        <v>40544</v>
      </c>
      <c r="G337" s="5">
        <v>40908</v>
      </c>
      <c r="H337" s="4" t="s">
        <v>40</v>
      </c>
      <c r="I337" s="6">
        <v>35756</v>
      </c>
      <c r="J337" s="6">
        <v>17878</v>
      </c>
      <c r="K337" s="37" t="s">
        <v>356</v>
      </c>
      <c r="L337" s="119"/>
      <c r="M337" s="3"/>
    </row>
    <row r="338" spans="1:13" s="4" customFormat="1" ht="38.25" x14ac:dyDescent="0.25">
      <c r="A338" s="4" t="s">
        <v>704</v>
      </c>
      <c r="B338" s="4" t="s">
        <v>190</v>
      </c>
      <c r="C338" s="37" t="s">
        <v>356</v>
      </c>
      <c r="D338" s="35">
        <v>8840</v>
      </c>
      <c r="E338" s="4" t="s">
        <v>705</v>
      </c>
      <c r="F338" s="5">
        <v>40544</v>
      </c>
      <c r="G338" s="5">
        <v>40908</v>
      </c>
      <c r="H338" s="4" t="s">
        <v>40</v>
      </c>
      <c r="I338" s="6">
        <v>20000</v>
      </c>
      <c r="J338" s="6">
        <v>10000</v>
      </c>
      <c r="K338" s="37" t="s">
        <v>356</v>
      </c>
      <c r="L338" s="119"/>
      <c r="M338" s="3"/>
    </row>
    <row r="339" spans="1:13" s="4" customFormat="1" ht="38.25" x14ac:dyDescent="0.25">
      <c r="A339" s="4" t="s">
        <v>706</v>
      </c>
      <c r="B339" s="4" t="s">
        <v>183</v>
      </c>
      <c r="C339" s="37" t="s">
        <v>356</v>
      </c>
      <c r="D339" s="35">
        <v>8841</v>
      </c>
      <c r="E339" s="4" t="s">
        <v>707</v>
      </c>
      <c r="F339" s="5">
        <v>40544</v>
      </c>
      <c r="G339" s="5">
        <v>41274</v>
      </c>
      <c r="H339" s="4" t="s">
        <v>40</v>
      </c>
      <c r="I339" s="6">
        <v>28886</v>
      </c>
      <c r="J339" s="6">
        <v>14443</v>
      </c>
      <c r="K339" s="37" t="s">
        <v>356</v>
      </c>
      <c r="L339" s="119"/>
      <c r="M339" s="3"/>
    </row>
    <row r="340" spans="1:13" s="4" customFormat="1" ht="25.5" x14ac:dyDescent="0.25">
      <c r="A340" s="4" t="s">
        <v>708</v>
      </c>
      <c r="B340" s="4" t="s">
        <v>183</v>
      </c>
      <c r="C340" s="37" t="s">
        <v>356</v>
      </c>
      <c r="D340" s="35">
        <v>8842</v>
      </c>
      <c r="E340" s="4" t="s">
        <v>709</v>
      </c>
      <c r="F340" s="5">
        <v>40544</v>
      </c>
      <c r="G340" s="5">
        <v>40908</v>
      </c>
      <c r="H340" s="4" t="s">
        <v>40</v>
      </c>
      <c r="I340" s="6">
        <v>18618</v>
      </c>
      <c r="J340" s="6">
        <v>9309</v>
      </c>
      <c r="K340" s="37" t="s">
        <v>356</v>
      </c>
      <c r="L340" s="119"/>
      <c r="M340" s="3"/>
    </row>
    <row r="341" spans="1:13" s="4" customFormat="1" ht="63.75" x14ac:dyDescent="0.25">
      <c r="A341" s="4" t="s">
        <v>710</v>
      </c>
      <c r="B341" s="4" t="s">
        <v>183</v>
      </c>
      <c r="C341" s="37" t="s">
        <v>356</v>
      </c>
      <c r="D341" s="35">
        <v>8843</v>
      </c>
      <c r="E341" s="4" t="s">
        <v>711</v>
      </c>
      <c r="F341" s="5">
        <v>40544</v>
      </c>
      <c r="G341" s="5">
        <v>41274</v>
      </c>
      <c r="H341" s="4" t="s">
        <v>40</v>
      </c>
      <c r="I341" s="6">
        <v>9516</v>
      </c>
      <c r="J341" s="6">
        <v>8758</v>
      </c>
      <c r="K341" s="37" t="s">
        <v>356</v>
      </c>
      <c r="L341" s="119"/>
      <c r="M341" s="3"/>
    </row>
    <row r="342" spans="1:13" s="4" customFormat="1" ht="51" x14ac:dyDescent="0.25">
      <c r="A342" s="4" t="s">
        <v>712</v>
      </c>
      <c r="B342" s="4" t="s">
        <v>183</v>
      </c>
      <c r="C342" s="37" t="s">
        <v>356</v>
      </c>
      <c r="D342" s="35">
        <v>8844</v>
      </c>
      <c r="E342" s="4" t="s">
        <v>713</v>
      </c>
      <c r="F342" s="5">
        <v>40544</v>
      </c>
      <c r="G342" s="5">
        <v>40908</v>
      </c>
      <c r="H342" s="4" t="s">
        <v>40</v>
      </c>
      <c r="I342" s="6">
        <v>10098</v>
      </c>
      <c r="J342" s="6">
        <v>6549</v>
      </c>
      <c r="K342" s="37" t="s">
        <v>356</v>
      </c>
      <c r="L342" s="119"/>
      <c r="M342" s="3"/>
    </row>
    <row r="343" spans="1:13" s="4" customFormat="1" ht="38.25" x14ac:dyDescent="0.25">
      <c r="A343" s="4" t="s">
        <v>714</v>
      </c>
      <c r="B343" s="4" t="s">
        <v>183</v>
      </c>
      <c r="C343" s="37" t="s">
        <v>356</v>
      </c>
      <c r="D343" s="35">
        <v>8845</v>
      </c>
      <c r="E343" s="4" t="s">
        <v>715</v>
      </c>
      <c r="F343" s="5">
        <v>40544</v>
      </c>
      <c r="G343" s="5">
        <v>41274</v>
      </c>
      <c r="H343" s="4" t="s">
        <v>40</v>
      </c>
      <c r="I343" s="6">
        <v>39394</v>
      </c>
      <c r="J343" s="6">
        <v>23697</v>
      </c>
      <c r="K343" s="37" t="s">
        <v>356</v>
      </c>
      <c r="L343" s="119"/>
      <c r="M343" s="3"/>
    </row>
    <row r="344" spans="1:13" s="4" customFormat="1" ht="38.25" x14ac:dyDescent="0.25">
      <c r="A344" s="4" t="s">
        <v>716</v>
      </c>
      <c r="B344" s="4" t="s">
        <v>90</v>
      </c>
      <c r="C344" s="37" t="s">
        <v>356</v>
      </c>
      <c r="D344" s="35">
        <v>8846</v>
      </c>
      <c r="E344" s="4" t="s">
        <v>717</v>
      </c>
      <c r="F344" s="5">
        <v>40544</v>
      </c>
      <c r="G344" s="5">
        <v>40908</v>
      </c>
      <c r="H344" s="4" t="s">
        <v>40</v>
      </c>
      <c r="I344" s="6">
        <v>7200</v>
      </c>
      <c r="J344" s="6">
        <v>3600</v>
      </c>
      <c r="K344" s="37" t="s">
        <v>356</v>
      </c>
      <c r="L344" s="119"/>
      <c r="M344" s="3"/>
    </row>
    <row r="345" spans="1:13" s="4" customFormat="1" ht="38.25" x14ac:dyDescent="0.25">
      <c r="A345" s="4" t="s">
        <v>718</v>
      </c>
      <c r="B345" s="4" t="s">
        <v>183</v>
      </c>
      <c r="C345" s="37" t="s">
        <v>356</v>
      </c>
      <c r="D345" s="35">
        <v>8847</v>
      </c>
      <c r="E345" s="4" t="s">
        <v>719</v>
      </c>
      <c r="F345" s="5">
        <v>40544</v>
      </c>
      <c r="G345" s="5">
        <v>41274</v>
      </c>
      <c r="H345" s="4" t="s">
        <v>40</v>
      </c>
      <c r="I345" s="6">
        <v>18298</v>
      </c>
      <c r="J345" s="6">
        <v>13149</v>
      </c>
      <c r="K345" s="37" t="s">
        <v>356</v>
      </c>
      <c r="L345" s="119"/>
      <c r="M345" s="3"/>
    </row>
    <row r="346" spans="1:13" s="4" customFormat="1" ht="51" x14ac:dyDescent="0.25">
      <c r="A346" s="4" t="s">
        <v>720</v>
      </c>
      <c r="B346" s="4" t="s">
        <v>190</v>
      </c>
      <c r="C346" s="37" t="s">
        <v>356</v>
      </c>
      <c r="D346" s="35">
        <v>8848</v>
      </c>
      <c r="E346" s="4" t="s">
        <v>721</v>
      </c>
      <c r="F346" s="5">
        <v>40544</v>
      </c>
      <c r="G346" s="5">
        <v>40908</v>
      </c>
      <c r="H346" s="4" t="s">
        <v>40</v>
      </c>
      <c r="I346" s="6">
        <v>16092</v>
      </c>
      <c r="J346" s="6">
        <v>8046</v>
      </c>
      <c r="K346" s="37" t="s">
        <v>356</v>
      </c>
      <c r="L346" s="119"/>
      <c r="M346" s="3"/>
    </row>
    <row r="347" spans="1:13" s="4" customFormat="1" ht="38.25" x14ac:dyDescent="0.25">
      <c r="A347" s="4" t="s">
        <v>724</v>
      </c>
      <c r="B347" s="4" t="s">
        <v>183</v>
      </c>
      <c r="C347" s="37" t="s">
        <v>356</v>
      </c>
      <c r="D347" s="35">
        <v>8850</v>
      </c>
      <c r="E347" s="4" t="s">
        <v>725</v>
      </c>
      <c r="F347" s="5">
        <v>40478</v>
      </c>
      <c r="G347" s="5">
        <v>40908</v>
      </c>
      <c r="H347" s="4" t="s">
        <v>40</v>
      </c>
      <c r="I347" s="6">
        <v>40000</v>
      </c>
      <c r="J347" s="6">
        <v>20000</v>
      </c>
      <c r="K347" s="37" t="s">
        <v>356</v>
      </c>
      <c r="L347" s="119"/>
      <c r="M347" s="3"/>
    </row>
    <row r="348" spans="1:13" s="4" customFormat="1" ht="25.5" x14ac:dyDescent="0.25">
      <c r="A348" s="4" t="s">
        <v>726</v>
      </c>
      <c r="B348" s="4" t="s">
        <v>90</v>
      </c>
      <c r="C348" s="37" t="s">
        <v>356</v>
      </c>
      <c r="D348" s="35">
        <v>8851</v>
      </c>
      <c r="E348" s="4" t="s">
        <v>727</v>
      </c>
      <c r="F348" s="5">
        <v>40345</v>
      </c>
      <c r="G348" s="5">
        <v>40908</v>
      </c>
      <c r="H348" s="4" t="s">
        <v>40</v>
      </c>
      <c r="I348" s="6">
        <v>4896</v>
      </c>
      <c r="J348" s="6">
        <v>2448</v>
      </c>
      <c r="K348" s="37" t="s">
        <v>356</v>
      </c>
      <c r="L348" s="119"/>
      <c r="M348" s="3"/>
    </row>
    <row r="349" spans="1:13" s="4" customFormat="1" ht="38.25" x14ac:dyDescent="0.25">
      <c r="A349" s="4" t="s">
        <v>728</v>
      </c>
      <c r="B349" s="4" t="s">
        <v>183</v>
      </c>
      <c r="C349" s="37" t="s">
        <v>356</v>
      </c>
      <c r="D349" s="35">
        <v>8852</v>
      </c>
      <c r="E349" s="4" t="s">
        <v>729</v>
      </c>
      <c r="F349" s="5">
        <v>40800</v>
      </c>
      <c r="G349" s="5">
        <v>41274</v>
      </c>
      <c r="H349" s="4" t="s">
        <v>40</v>
      </c>
      <c r="I349" s="6">
        <v>17660</v>
      </c>
      <c r="J349" s="6">
        <v>8830</v>
      </c>
      <c r="K349" s="37" t="s">
        <v>356</v>
      </c>
      <c r="L349" s="119"/>
      <c r="M349" s="3"/>
    </row>
    <row r="350" spans="1:13" s="4" customFormat="1" ht="38.25" x14ac:dyDescent="0.25">
      <c r="A350" s="4" t="s">
        <v>730</v>
      </c>
      <c r="B350" s="4" t="s">
        <v>190</v>
      </c>
      <c r="C350" s="37" t="s">
        <v>356</v>
      </c>
      <c r="D350" s="35">
        <v>8853</v>
      </c>
      <c r="E350" s="4" t="s">
        <v>731</v>
      </c>
      <c r="F350" s="5">
        <v>40429</v>
      </c>
      <c r="G350" s="5">
        <v>40908</v>
      </c>
      <c r="H350" s="4" t="s">
        <v>40</v>
      </c>
      <c r="I350" s="6">
        <v>3500</v>
      </c>
      <c r="J350" s="6">
        <v>3500</v>
      </c>
      <c r="K350" s="37" t="s">
        <v>356</v>
      </c>
      <c r="L350" s="119"/>
      <c r="M350" s="3"/>
    </row>
    <row r="351" spans="1:13" s="4" customFormat="1" ht="25.5" x14ac:dyDescent="0.25">
      <c r="A351" s="4" t="s">
        <v>732</v>
      </c>
      <c r="B351" s="4" t="s">
        <v>38</v>
      </c>
      <c r="C351" s="37" t="s">
        <v>356</v>
      </c>
      <c r="D351" s="35">
        <v>9210</v>
      </c>
      <c r="E351" s="4" t="s">
        <v>733</v>
      </c>
      <c r="F351" s="5">
        <v>40544</v>
      </c>
      <c r="G351" s="5">
        <v>41639</v>
      </c>
      <c r="H351" s="4" t="s">
        <v>40</v>
      </c>
      <c r="I351" s="6">
        <v>49970</v>
      </c>
      <c r="J351" s="6">
        <f>16300+8685</f>
        <v>24985</v>
      </c>
      <c r="K351" s="37" t="s">
        <v>356</v>
      </c>
      <c r="L351" s="119"/>
      <c r="M351" s="3"/>
    </row>
    <row r="352" spans="1:13" s="4" customFormat="1" ht="76.5" x14ac:dyDescent="0.25">
      <c r="A352" s="4" t="s">
        <v>734</v>
      </c>
      <c r="B352" s="4" t="s">
        <v>190</v>
      </c>
      <c r="C352" s="37" t="s">
        <v>356</v>
      </c>
      <c r="D352" s="35">
        <v>10818</v>
      </c>
      <c r="E352" s="4" t="s">
        <v>735</v>
      </c>
      <c r="F352" s="5">
        <v>40909</v>
      </c>
      <c r="G352" s="5">
        <v>41274</v>
      </c>
      <c r="H352" s="4" t="s">
        <v>40</v>
      </c>
      <c r="I352" s="6">
        <v>100000</v>
      </c>
      <c r="J352" s="6">
        <v>50000</v>
      </c>
      <c r="K352" s="37" t="s">
        <v>356</v>
      </c>
      <c r="L352" s="119"/>
      <c r="M352" s="3"/>
    </row>
    <row r="353" spans="1:13" s="4" customFormat="1" ht="63.75" x14ac:dyDescent="0.25">
      <c r="A353" s="4" t="s">
        <v>736</v>
      </c>
      <c r="B353" s="4" t="s">
        <v>190</v>
      </c>
      <c r="C353" s="37" t="s">
        <v>356</v>
      </c>
      <c r="D353" s="35">
        <v>10820</v>
      </c>
      <c r="E353" s="4" t="s">
        <v>737</v>
      </c>
      <c r="F353" s="5">
        <v>40909</v>
      </c>
      <c r="G353" s="5">
        <v>41274</v>
      </c>
      <c r="H353" s="4" t="s">
        <v>40</v>
      </c>
      <c r="I353" s="6">
        <v>42516</v>
      </c>
      <c r="J353" s="6">
        <v>25008</v>
      </c>
      <c r="K353" s="37" t="s">
        <v>356</v>
      </c>
      <c r="L353" s="119"/>
      <c r="M353" s="3"/>
    </row>
    <row r="354" spans="1:13" s="4" customFormat="1" ht="38.25" x14ac:dyDescent="0.25">
      <c r="A354" s="4" t="s">
        <v>738</v>
      </c>
      <c r="B354" s="4" t="s">
        <v>190</v>
      </c>
      <c r="C354" s="37" t="s">
        <v>356</v>
      </c>
      <c r="D354" s="35">
        <v>10822</v>
      </c>
      <c r="E354" s="4" t="s">
        <v>739</v>
      </c>
      <c r="F354" s="5">
        <v>40909</v>
      </c>
      <c r="G354" s="5">
        <v>41274</v>
      </c>
      <c r="H354" s="4" t="s">
        <v>40</v>
      </c>
      <c r="I354" s="6">
        <v>19062</v>
      </c>
      <c r="J354" s="6">
        <v>9531</v>
      </c>
      <c r="K354" s="37" t="s">
        <v>356</v>
      </c>
      <c r="L354" s="119"/>
      <c r="M354" s="3"/>
    </row>
    <row r="355" spans="1:13" s="4" customFormat="1" ht="51" x14ac:dyDescent="0.25">
      <c r="A355" s="4" t="s">
        <v>740</v>
      </c>
      <c r="B355" s="4" t="s">
        <v>183</v>
      </c>
      <c r="C355" s="37" t="s">
        <v>356</v>
      </c>
      <c r="D355" s="35">
        <v>10823</v>
      </c>
      <c r="E355" s="4" t="s">
        <v>741</v>
      </c>
      <c r="F355" s="5">
        <v>40909</v>
      </c>
      <c r="G355" s="5">
        <v>41274</v>
      </c>
      <c r="H355" s="4" t="s">
        <v>40</v>
      </c>
      <c r="I355" s="6">
        <v>120000</v>
      </c>
      <c r="J355" s="6">
        <v>60000</v>
      </c>
      <c r="K355" s="37" t="s">
        <v>356</v>
      </c>
      <c r="L355" s="119"/>
      <c r="M355" s="3"/>
    </row>
    <row r="356" spans="1:13" s="4" customFormat="1" ht="38.25" x14ac:dyDescent="0.25">
      <c r="A356" s="4" t="s">
        <v>742</v>
      </c>
      <c r="B356" s="4" t="s">
        <v>183</v>
      </c>
      <c r="C356" s="37" t="s">
        <v>356</v>
      </c>
      <c r="D356" s="35">
        <v>10824</v>
      </c>
      <c r="E356" s="4" t="s">
        <v>743</v>
      </c>
      <c r="F356" s="5">
        <v>40909</v>
      </c>
      <c r="G356" s="5">
        <v>41274</v>
      </c>
      <c r="H356" s="4" t="s">
        <v>40</v>
      </c>
      <c r="I356" s="6">
        <v>20000</v>
      </c>
      <c r="J356" s="6">
        <v>10000</v>
      </c>
      <c r="K356" s="37" t="s">
        <v>356</v>
      </c>
      <c r="L356" s="119"/>
      <c r="M356" s="3"/>
    </row>
    <row r="357" spans="1:13" s="4" customFormat="1" ht="38.25" x14ac:dyDescent="0.25">
      <c r="A357" s="4" t="s">
        <v>746</v>
      </c>
      <c r="B357" s="4" t="s">
        <v>183</v>
      </c>
      <c r="C357" s="37" t="s">
        <v>356</v>
      </c>
      <c r="D357" s="35">
        <v>10826</v>
      </c>
      <c r="E357" s="4" t="s">
        <v>747</v>
      </c>
      <c r="F357" s="5">
        <v>40909</v>
      </c>
      <c r="G357" s="5">
        <v>41639</v>
      </c>
      <c r="H357" s="4" t="s">
        <v>40</v>
      </c>
      <c r="I357" s="6">
        <v>8632</v>
      </c>
      <c r="J357" s="6">
        <f>5316+250</f>
        <v>5566</v>
      </c>
      <c r="K357" s="37" t="s">
        <v>356</v>
      </c>
      <c r="L357" s="119"/>
      <c r="M357" s="3"/>
    </row>
    <row r="358" spans="1:13" s="4" customFormat="1" ht="38.25" x14ac:dyDescent="0.25">
      <c r="A358" s="4" t="s">
        <v>748</v>
      </c>
      <c r="B358" s="4" t="s">
        <v>90</v>
      </c>
      <c r="C358" s="37" t="s">
        <v>356</v>
      </c>
      <c r="D358" s="35">
        <v>10827</v>
      </c>
      <c r="E358" s="4" t="s">
        <v>749</v>
      </c>
      <c r="F358" s="5">
        <v>40909</v>
      </c>
      <c r="G358" s="5">
        <v>41274</v>
      </c>
      <c r="H358" s="4" t="s">
        <v>40</v>
      </c>
      <c r="I358" s="6">
        <v>5468</v>
      </c>
      <c r="J358" s="6">
        <v>2734</v>
      </c>
      <c r="K358" s="37" t="s">
        <v>356</v>
      </c>
      <c r="L358" s="119"/>
      <c r="M358" s="3"/>
    </row>
    <row r="359" spans="1:13" s="4" customFormat="1" ht="38.25" x14ac:dyDescent="0.25">
      <c r="A359" s="4" t="s">
        <v>750</v>
      </c>
      <c r="B359" s="4" t="s">
        <v>183</v>
      </c>
      <c r="C359" s="37" t="s">
        <v>356</v>
      </c>
      <c r="D359" s="35">
        <v>10829</v>
      </c>
      <c r="E359" s="4" t="s">
        <v>751</v>
      </c>
      <c r="F359" s="5">
        <v>40909</v>
      </c>
      <c r="G359" s="5">
        <v>41274</v>
      </c>
      <c r="H359" s="4" t="s">
        <v>40</v>
      </c>
      <c r="I359" s="6">
        <v>4040</v>
      </c>
      <c r="J359" s="6">
        <v>3520</v>
      </c>
      <c r="K359" s="37" t="s">
        <v>356</v>
      </c>
      <c r="L359" s="119"/>
      <c r="M359" s="3"/>
    </row>
    <row r="360" spans="1:13" s="4" customFormat="1" ht="38.25" x14ac:dyDescent="0.25">
      <c r="A360" s="4" t="s">
        <v>752</v>
      </c>
      <c r="B360" s="4" t="s">
        <v>190</v>
      </c>
      <c r="C360" s="37" t="s">
        <v>356</v>
      </c>
      <c r="D360" s="35">
        <v>10834</v>
      </c>
      <c r="E360" s="4" t="s">
        <v>753</v>
      </c>
      <c r="F360" s="5">
        <v>40909</v>
      </c>
      <c r="G360" s="5">
        <v>41274</v>
      </c>
      <c r="H360" s="4" t="s">
        <v>40</v>
      </c>
      <c r="I360" s="6">
        <v>28000</v>
      </c>
      <c r="J360" s="6">
        <v>14000</v>
      </c>
      <c r="K360" s="37" t="s">
        <v>356</v>
      </c>
      <c r="L360" s="119"/>
      <c r="M360" s="3"/>
    </row>
    <row r="361" spans="1:13" s="4" customFormat="1" ht="51" x14ac:dyDescent="0.25">
      <c r="A361" s="4" t="s">
        <v>754</v>
      </c>
      <c r="B361" s="4" t="s">
        <v>190</v>
      </c>
      <c r="C361" s="37" t="s">
        <v>356</v>
      </c>
      <c r="D361" s="35">
        <v>10835</v>
      </c>
      <c r="E361" s="4" t="s">
        <v>755</v>
      </c>
      <c r="F361" s="5">
        <v>40909</v>
      </c>
      <c r="G361" s="5">
        <v>41274</v>
      </c>
      <c r="H361" s="4" t="s">
        <v>40</v>
      </c>
      <c r="I361" s="6">
        <v>50000</v>
      </c>
      <c r="J361" s="6">
        <v>25000</v>
      </c>
      <c r="K361" s="37" t="s">
        <v>356</v>
      </c>
      <c r="L361" s="119"/>
      <c r="M361" s="3"/>
    </row>
    <row r="362" spans="1:13" s="4" customFormat="1" ht="38.25" x14ac:dyDescent="0.25">
      <c r="A362" s="4" t="s">
        <v>756</v>
      </c>
      <c r="B362" s="4" t="s">
        <v>190</v>
      </c>
      <c r="C362" s="37" t="s">
        <v>356</v>
      </c>
      <c r="D362" s="35">
        <v>10836</v>
      </c>
      <c r="E362" s="4" t="s">
        <v>757</v>
      </c>
      <c r="F362" s="5">
        <v>40909</v>
      </c>
      <c r="G362" s="5">
        <v>41274</v>
      </c>
      <c r="H362" s="4" t="s">
        <v>40</v>
      </c>
      <c r="I362" s="6">
        <v>5000</v>
      </c>
      <c r="J362" s="6">
        <v>5000</v>
      </c>
      <c r="K362" s="37" t="s">
        <v>356</v>
      </c>
      <c r="L362" s="119"/>
      <c r="M362" s="3"/>
    </row>
    <row r="363" spans="1:13" s="4" customFormat="1" ht="25.5" x14ac:dyDescent="0.25">
      <c r="A363" s="4" t="s">
        <v>758</v>
      </c>
      <c r="B363" s="4" t="s">
        <v>90</v>
      </c>
      <c r="C363" s="37" t="s">
        <v>356</v>
      </c>
      <c r="D363" s="35">
        <v>10837</v>
      </c>
      <c r="E363" s="4" t="s">
        <v>759</v>
      </c>
      <c r="F363" s="5">
        <v>40909</v>
      </c>
      <c r="G363" s="5">
        <v>41274</v>
      </c>
      <c r="H363" s="4" t="s">
        <v>40</v>
      </c>
      <c r="I363" s="6">
        <v>3960</v>
      </c>
      <c r="J363" s="6">
        <v>1980</v>
      </c>
      <c r="K363" s="37" t="s">
        <v>356</v>
      </c>
      <c r="L363" s="119"/>
      <c r="M363" s="3"/>
    </row>
    <row r="364" spans="1:13" s="4" customFormat="1" ht="51" x14ac:dyDescent="0.25">
      <c r="A364" s="4" t="s">
        <v>760</v>
      </c>
      <c r="B364" s="4" t="s">
        <v>183</v>
      </c>
      <c r="C364" s="37" t="s">
        <v>356</v>
      </c>
      <c r="D364" s="35">
        <v>10838</v>
      </c>
      <c r="E364" s="4" t="s">
        <v>761</v>
      </c>
      <c r="F364" s="5">
        <v>40909</v>
      </c>
      <c r="G364" s="5">
        <v>41274</v>
      </c>
      <c r="H364" s="4" t="s">
        <v>40</v>
      </c>
      <c r="I364" s="6">
        <v>8692</v>
      </c>
      <c r="J364" s="6">
        <v>8346</v>
      </c>
      <c r="K364" s="37" t="s">
        <v>356</v>
      </c>
      <c r="L364" s="119"/>
      <c r="M364" s="3"/>
    </row>
    <row r="365" spans="1:13" s="4" customFormat="1" ht="25.5" x14ac:dyDescent="0.25">
      <c r="A365" s="4" t="s">
        <v>762</v>
      </c>
      <c r="B365" s="4" t="s">
        <v>183</v>
      </c>
      <c r="C365" s="37" t="s">
        <v>356</v>
      </c>
      <c r="D365" s="35">
        <v>10846</v>
      </c>
      <c r="E365" s="4" t="s">
        <v>763</v>
      </c>
      <c r="F365" s="5">
        <v>40909</v>
      </c>
      <c r="G365" s="5">
        <v>41274</v>
      </c>
      <c r="H365" s="4" t="s">
        <v>40</v>
      </c>
      <c r="I365" s="6">
        <v>18790</v>
      </c>
      <c r="J365" s="6">
        <v>9395</v>
      </c>
      <c r="K365" s="37" t="s">
        <v>356</v>
      </c>
      <c r="L365" s="119"/>
      <c r="M365" s="3"/>
    </row>
    <row r="366" spans="1:13" s="4" customFormat="1" ht="38.25" x14ac:dyDescent="0.25">
      <c r="A366" s="4" t="s">
        <v>764</v>
      </c>
      <c r="B366" s="4" t="s">
        <v>183</v>
      </c>
      <c r="C366" s="37" t="s">
        <v>356</v>
      </c>
      <c r="D366" s="35">
        <v>10847</v>
      </c>
      <c r="E366" s="4" t="s">
        <v>765</v>
      </c>
      <c r="F366" s="5">
        <v>40909</v>
      </c>
      <c r="G366" s="5">
        <v>41274</v>
      </c>
      <c r="H366" s="4" t="s">
        <v>40</v>
      </c>
      <c r="I366" s="6">
        <v>4000</v>
      </c>
      <c r="J366" s="6">
        <v>2000</v>
      </c>
      <c r="K366" s="37" t="s">
        <v>356</v>
      </c>
      <c r="L366" s="119"/>
      <c r="M366" s="3"/>
    </row>
    <row r="367" spans="1:13" s="4" customFormat="1" ht="63.75" x14ac:dyDescent="0.25">
      <c r="A367" s="4" t="s">
        <v>768</v>
      </c>
      <c r="B367" s="4" t="s">
        <v>183</v>
      </c>
      <c r="C367" s="37" t="s">
        <v>356</v>
      </c>
      <c r="D367" s="35">
        <v>10849</v>
      </c>
      <c r="E367" s="4" t="s">
        <v>769</v>
      </c>
      <c r="F367" s="5">
        <v>40909</v>
      </c>
      <c r="G367" s="5">
        <v>41274</v>
      </c>
      <c r="H367" s="4" t="s">
        <v>40</v>
      </c>
      <c r="I367" s="6">
        <v>1500</v>
      </c>
      <c r="J367" s="6">
        <v>750</v>
      </c>
      <c r="K367" s="37" t="s">
        <v>356</v>
      </c>
      <c r="L367" s="119"/>
      <c r="M367" s="3"/>
    </row>
    <row r="368" spans="1:13" s="4" customFormat="1" ht="25.5" x14ac:dyDescent="0.25">
      <c r="A368" s="4" t="s">
        <v>770</v>
      </c>
      <c r="B368" s="4" t="s">
        <v>183</v>
      </c>
      <c r="C368" s="37" t="s">
        <v>356</v>
      </c>
      <c r="D368" s="35">
        <v>10850</v>
      </c>
      <c r="E368" s="4" t="s">
        <v>771</v>
      </c>
      <c r="F368" s="5">
        <v>40909</v>
      </c>
      <c r="G368" s="5">
        <v>41274</v>
      </c>
      <c r="H368" s="4" t="s">
        <v>40</v>
      </c>
      <c r="I368" s="6">
        <v>5000</v>
      </c>
      <c r="J368" s="6">
        <v>5000</v>
      </c>
      <c r="K368" s="37" t="s">
        <v>356</v>
      </c>
      <c r="L368" s="119"/>
      <c r="M368" s="3"/>
    </row>
    <row r="369" spans="1:13" s="4" customFormat="1" ht="51" x14ac:dyDescent="0.25">
      <c r="A369" s="4" t="s">
        <v>774</v>
      </c>
      <c r="B369" s="4" t="s">
        <v>38</v>
      </c>
      <c r="C369" s="37" t="s">
        <v>356</v>
      </c>
      <c r="D369" s="35">
        <v>10852</v>
      </c>
      <c r="E369" s="4" t="s">
        <v>775</v>
      </c>
      <c r="F369" s="5">
        <v>40909</v>
      </c>
      <c r="G369" s="5">
        <v>41639</v>
      </c>
      <c r="H369" s="4" t="s">
        <v>40</v>
      </c>
      <c r="I369" s="6">
        <v>11188</v>
      </c>
      <c r="J369" s="6">
        <f>8240+2948</f>
        <v>11188</v>
      </c>
      <c r="K369" s="37" t="s">
        <v>356</v>
      </c>
      <c r="L369" s="119"/>
      <c r="M369" s="3"/>
    </row>
    <row r="370" spans="1:13" s="4" customFormat="1" ht="38.25" x14ac:dyDescent="0.25">
      <c r="A370" s="4" t="s">
        <v>776</v>
      </c>
      <c r="B370" s="4" t="s">
        <v>38</v>
      </c>
      <c r="C370" s="37" t="s">
        <v>356</v>
      </c>
      <c r="D370" s="35">
        <v>10853</v>
      </c>
      <c r="E370" s="4" t="s">
        <v>777</v>
      </c>
      <c r="F370" s="5">
        <v>40909</v>
      </c>
      <c r="G370" s="5">
        <v>41639</v>
      </c>
      <c r="H370" s="4" t="s">
        <v>40</v>
      </c>
      <c r="I370" s="6">
        <v>705</v>
      </c>
      <c r="J370" s="6">
        <f>255+450</f>
        <v>705</v>
      </c>
      <c r="K370" s="37" t="s">
        <v>356</v>
      </c>
      <c r="L370" s="119"/>
      <c r="M370" s="3"/>
    </row>
    <row r="371" spans="1:13" s="4" customFormat="1" ht="127.5" x14ac:dyDescent="0.25">
      <c r="A371" s="4" t="s">
        <v>778</v>
      </c>
      <c r="B371" s="4" t="s">
        <v>38</v>
      </c>
      <c r="C371" s="37" t="s">
        <v>356</v>
      </c>
      <c r="D371" s="35">
        <v>10854</v>
      </c>
      <c r="E371" s="7" t="s">
        <v>779</v>
      </c>
      <c r="F371" s="5">
        <v>40909</v>
      </c>
      <c r="G371" s="5">
        <v>41274</v>
      </c>
      <c r="H371" s="4" t="s">
        <v>40</v>
      </c>
      <c r="I371" s="6">
        <v>920</v>
      </c>
      <c r="J371" s="6">
        <v>920</v>
      </c>
      <c r="K371" s="37" t="s">
        <v>356</v>
      </c>
      <c r="L371" s="119"/>
      <c r="M371" s="3"/>
    </row>
    <row r="372" spans="1:13" s="4" customFormat="1" ht="25.5" x14ac:dyDescent="0.25">
      <c r="A372" s="4" t="s">
        <v>780</v>
      </c>
      <c r="B372" s="4" t="s">
        <v>38</v>
      </c>
      <c r="C372" s="37" t="s">
        <v>356</v>
      </c>
      <c r="D372" s="35">
        <v>10855</v>
      </c>
      <c r="E372" s="4" t="s">
        <v>781</v>
      </c>
      <c r="F372" s="5">
        <v>40909</v>
      </c>
      <c r="G372" s="5">
        <v>41274</v>
      </c>
      <c r="H372" s="4" t="s">
        <v>40</v>
      </c>
      <c r="I372" s="6">
        <v>766</v>
      </c>
      <c r="J372" s="6">
        <v>766</v>
      </c>
      <c r="K372" s="37" t="s">
        <v>356</v>
      </c>
      <c r="L372" s="119"/>
      <c r="M372" s="3"/>
    </row>
    <row r="373" spans="1:13" s="4" customFormat="1" ht="51" x14ac:dyDescent="0.25">
      <c r="A373" s="4" t="s">
        <v>782</v>
      </c>
      <c r="B373" s="4" t="s">
        <v>38</v>
      </c>
      <c r="C373" s="37" t="s">
        <v>356</v>
      </c>
      <c r="D373" s="35">
        <v>10858</v>
      </c>
      <c r="E373" s="4" t="s">
        <v>783</v>
      </c>
      <c r="F373" s="5">
        <v>40909</v>
      </c>
      <c r="G373" s="5">
        <v>41639</v>
      </c>
      <c r="H373" s="4" t="s">
        <v>40</v>
      </c>
      <c r="I373" s="6">
        <v>16732.849999999999</v>
      </c>
      <c r="J373" s="6">
        <f>6920.95+9811.9</f>
        <v>16732.849999999999</v>
      </c>
      <c r="K373" s="37" t="s">
        <v>356</v>
      </c>
      <c r="L373" s="119"/>
      <c r="M373" s="3"/>
    </row>
    <row r="374" spans="1:13" s="4" customFormat="1" ht="38.25" x14ac:dyDescent="0.25">
      <c r="A374" s="4" t="s">
        <v>784</v>
      </c>
      <c r="B374" s="4" t="s">
        <v>38</v>
      </c>
      <c r="C374" s="37" t="s">
        <v>356</v>
      </c>
      <c r="D374" s="35">
        <v>10884</v>
      </c>
      <c r="E374" s="4" t="s">
        <v>785</v>
      </c>
      <c r="F374" s="5">
        <v>40909</v>
      </c>
      <c r="G374" s="5">
        <v>41274</v>
      </c>
      <c r="H374" s="4" t="s">
        <v>40</v>
      </c>
      <c r="I374" s="6">
        <f>3406.97+1.7</f>
        <v>3408.6699999999996</v>
      </c>
      <c r="J374" s="6">
        <v>3406.97</v>
      </c>
      <c r="K374" s="37" t="s">
        <v>356</v>
      </c>
      <c r="L374" s="119"/>
      <c r="M374" s="3"/>
    </row>
    <row r="375" spans="1:13" ht="38.25" x14ac:dyDescent="0.25">
      <c r="A375" s="13" t="s">
        <v>10213</v>
      </c>
      <c r="B375" s="13" t="s">
        <v>10192</v>
      </c>
      <c r="C375" s="20" t="s">
        <v>356</v>
      </c>
      <c r="D375" s="19">
        <v>12215</v>
      </c>
      <c r="E375" s="13" t="s">
        <v>10214</v>
      </c>
      <c r="F375" s="14">
        <v>41437</v>
      </c>
      <c r="G375" s="14">
        <v>41639</v>
      </c>
      <c r="H375" s="13" t="s">
        <v>651</v>
      </c>
      <c r="I375" s="18">
        <v>1302</v>
      </c>
      <c r="J375" s="18">
        <v>651</v>
      </c>
      <c r="K375" s="20" t="s">
        <v>356</v>
      </c>
      <c r="M375" s="3"/>
    </row>
    <row r="376" spans="1:13" ht="38.25" x14ac:dyDescent="0.25">
      <c r="A376" s="13" t="s">
        <v>10215</v>
      </c>
      <c r="B376" s="13" t="s">
        <v>10192</v>
      </c>
      <c r="C376" s="20" t="s">
        <v>356</v>
      </c>
      <c r="D376" s="19">
        <v>12217</v>
      </c>
      <c r="E376" s="13" t="s">
        <v>10216</v>
      </c>
      <c r="F376" s="14">
        <v>41388</v>
      </c>
      <c r="G376" s="14">
        <v>41639</v>
      </c>
      <c r="H376" s="13" t="s">
        <v>651</v>
      </c>
      <c r="I376" s="18">
        <v>6034</v>
      </c>
      <c r="J376" s="18">
        <v>3017</v>
      </c>
      <c r="K376" s="20" t="s">
        <v>356</v>
      </c>
      <c r="M376" s="3"/>
    </row>
    <row r="377" spans="1:13" ht="25.5" x14ac:dyDescent="0.25">
      <c r="A377" s="13" t="s">
        <v>10217</v>
      </c>
      <c r="B377" s="13" t="s">
        <v>10195</v>
      </c>
      <c r="C377" s="20" t="s">
        <v>356</v>
      </c>
      <c r="D377" s="19">
        <v>12221</v>
      </c>
      <c r="E377" s="13" t="s">
        <v>10218</v>
      </c>
      <c r="F377" s="14">
        <v>41388</v>
      </c>
      <c r="G377" s="14">
        <v>41639</v>
      </c>
      <c r="H377" s="13" t="s">
        <v>651</v>
      </c>
      <c r="I377" s="18">
        <v>24000</v>
      </c>
      <c r="J377" s="18">
        <v>12000</v>
      </c>
      <c r="K377" s="20" t="s">
        <v>356</v>
      </c>
      <c r="M377" s="3"/>
    </row>
    <row r="378" spans="1:13" ht="25.5" x14ac:dyDescent="0.25">
      <c r="A378" s="13" t="s">
        <v>10219</v>
      </c>
      <c r="B378" s="13" t="s">
        <v>10220</v>
      </c>
      <c r="C378" s="20" t="s">
        <v>356</v>
      </c>
      <c r="D378" s="19">
        <v>12224</v>
      </c>
      <c r="E378" s="13" t="s">
        <v>10221</v>
      </c>
      <c r="F378" s="14">
        <v>40968</v>
      </c>
      <c r="G378" s="14">
        <v>41379</v>
      </c>
      <c r="H378" s="13" t="s">
        <v>651</v>
      </c>
      <c r="I378" s="18">
        <v>30000</v>
      </c>
      <c r="J378" s="18">
        <v>15000</v>
      </c>
      <c r="K378" s="20" t="s">
        <v>356</v>
      </c>
      <c r="M378" s="3"/>
    </row>
    <row r="379" spans="1:13" ht="38.25" x14ac:dyDescent="0.25">
      <c r="A379" s="13" t="s">
        <v>10222</v>
      </c>
      <c r="B379" s="13" t="s">
        <v>10192</v>
      </c>
      <c r="C379" s="20" t="s">
        <v>356</v>
      </c>
      <c r="D379" s="19">
        <v>12225</v>
      </c>
      <c r="E379" s="13" t="s">
        <v>10223</v>
      </c>
      <c r="F379" s="14">
        <v>41388</v>
      </c>
      <c r="G379" s="14">
        <v>41639</v>
      </c>
      <c r="H379" s="13" t="s">
        <v>651</v>
      </c>
      <c r="I379" s="18">
        <v>50000</v>
      </c>
      <c r="J379" s="18">
        <v>50000</v>
      </c>
      <c r="K379" s="20" t="s">
        <v>356</v>
      </c>
      <c r="M379" s="3"/>
    </row>
    <row r="380" spans="1:13" ht="25.5" x14ac:dyDescent="0.25">
      <c r="A380" s="13" t="s">
        <v>10224</v>
      </c>
      <c r="B380" s="13" t="s">
        <v>10195</v>
      </c>
      <c r="C380" s="20" t="s">
        <v>356</v>
      </c>
      <c r="D380" s="19">
        <v>12227</v>
      </c>
      <c r="E380" s="13" t="s">
        <v>10225</v>
      </c>
      <c r="F380" s="14">
        <v>41388</v>
      </c>
      <c r="G380" s="14">
        <v>41639</v>
      </c>
      <c r="H380" s="13" t="s">
        <v>651</v>
      </c>
      <c r="I380" s="18">
        <v>8270</v>
      </c>
      <c r="J380" s="18">
        <v>4135</v>
      </c>
      <c r="K380" s="20" t="s">
        <v>356</v>
      </c>
      <c r="M380" s="3"/>
    </row>
    <row r="381" spans="1:13" ht="76.5" x14ac:dyDescent="0.25">
      <c r="A381" s="13" t="s">
        <v>10226</v>
      </c>
      <c r="B381" s="13" t="s">
        <v>10195</v>
      </c>
      <c r="C381" s="20" t="s">
        <v>356</v>
      </c>
      <c r="D381" s="19">
        <v>12228</v>
      </c>
      <c r="E381" s="13" t="s">
        <v>10227</v>
      </c>
      <c r="F381" s="14">
        <v>41339</v>
      </c>
      <c r="G381" s="14">
        <v>41639</v>
      </c>
      <c r="H381" s="13" t="s">
        <v>651</v>
      </c>
      <c r="I381" s="18">
        <v>12096</v>
      </c>
      <c r="J381" s="18">
        <v>11673</v>
      </c>
      <c r="K381" s="20" t="s">
        <v>356</v>
      </c>
      <c r="M381" s="3"/>
    </row>
    <row r="382" spans="1:13" ht="25.5" x14ac:dyDescent="0.25">
      <c r="A382" s="13" t="s">
        <v>10228</v>
      </c>
      <c r="B382" s="13" t="s">
        <v>10220</v>
      </c>
      <c r="C382" s="20" t="s">
        <v>356</v>
      </c>
      <c r="D382" s="19">
        <v>12229</v>
      </c>
      <c r="E382" s="13" t="s">
        <v>10229</v>
      </c>
      <c r="F382" s="14">
        <v>41275</v>
      </c>
      <c r="G382" s="14">
        <v>41639</v>
      </c>
      <c r="H382" s="13" t="s">
        <v>651</v>
      </c>
      <c r="I382" s="18">
        <v>8150</v>
      </c>
      <c r="J382" s="18">
        <v>4075</v>
      </c>
      <c r="K382" s="20" t="s">
        <v>356</v>
      </c>
      <c r="M382" s="3"/>
    </row>
    <row r="383" spans="1:13" ht="51" x14ac:dyDescent="0.25">
      <c r="A383" s="13" t="s">
        <v>10230</v>
      </c>
      <c r="B383" s="13" t="s">
        <v>10192</v>
      </c>
      <c r="C383" s="20" t="s">
        <v>356</v>
      </c>
      <c r="D383" s="19">
        <v>12230</v>
      </c>
      <c r="E383" s="13" t="s">
        <v>10231</v>
      </c>
      <c r="F383" s="14">
        <v>41275</v>
      </c>
      <c r="G383" s="14">
        <v>41639</v>
      </c>
      <c r="H383" s="13" t="s">
        <v>651</v>
      </c>
      <c r="I383" s="18">
        <v>10000</v>
      </c>
      <c r="J383" s="18">
        <v>5000</v>
      </c>
      <c r="K383" s="20" t="s">
        <v>356</v>
      </c>
      <c r="M383" s="3"/>
    </row>
    <row r="384" spans="1:13" x14ac:dyDescent="0.25">
      <c r="A384" s="13" t="s">
        <v>10232</v>
      </c>
      <c r="B384" s="13" t="s">
        <v>10192</v>
      </c>
      <c r="C384" s="20" t="s">
        <v>356</v>
      </c>
      <c r="D384" s="19">
        <v>12231</v>
      </c>
      <c r="E384" s="13" t="s">
        <v>10233</v>
      </c>
      <c r="F384" s="14">
        <v>41275</v>
      </c>
      <c r="G384" s="14">
        <v>41639</v>
      </c>
      <c r="H384" s="13" t="s">
        <v>651</v>
      </c>
      <c r="I384" s="18">
        <v>10000</v>
      </c>
      <c r="J384" s="18">
        <v>5000</v>
      </c>
      <c r="K384" s="20" t="s">
        <v>356</v>
      </c>
      <c r="M384" s="3"/>
    </row>
    <row r="385" spans="1:13" x14ac:dyDescent="0.25">
      <c r="A385" s="13" t="s">
        <v>10234</v>
      </c>
      <c r="B385" s="13" t="s">
        <v>10192</v>
      </c>
      <c r="C385" s="20" t="s">
        <v>356</v>
      </c>
      <c r="D385" s="19">
        <v>12232</v>
      </c>
      <c r="E385" s="13" t="s">
        <v>10235</v>
      </c>
      <c r="F385" s="14">
        <v>41388</v>
      </c>
      <c r="G385" s="14">
        <v>41639</v>
      </c>
      <c r="H385" s="13" t="s">
        <v>651</v>
      </c>
      <c r="I385" s="18">
        <v>4526</v>
      </c>
      <c r="J385" s="18">
        <v>2263</v>
      </c>
      <c r="K385" s="20" t="s">
        <v>356</v>
      </c>
      <c r="M385" s="3"/>
    </row>
    <row r="386" spans="1:13" ht="25.5" x14ac:dyDescent="0.25">
      <c r="A386" s="13" t="s">
        <v>10236</v>
      </c>
      <c r="B386" s="13" t="s">
        <v>10192</v>
      </c>
      <c r="C386" s="20" t="s">
        <v>356</v>
      </c>
      <c r="D386" s="19">
        <v>12233</v>
      </c>
      <c r="E386" s="13" t="s">
        <v>10237</v>
      </c>
      <c r="F386" s="14">
        <v>41528</v>
      </c>
      <c r="G386" s="14">
        <v>41639</v>
      </c>
      <c r="H386" s="13" t="s">
        <v>651</v>
      </c>
      <c r="I386" s="18">
        <v>15000</v>
      </c>
      <c r="J386" s="18">
        <v>15000</v>
      </c>
      <c r="K386" s="20" t="s">
        <v>356</v>
      </c>
      <c r="M386" s="3"/>
    </row>
    <row r="387" spans="1:13" ht="25.5" x14ac:dyDescent="0.25">
      <c r="A387" s="13" t="s">
        <v>10238</v>
      </c>
      <c r="B387" s="13" t="s">
        <v>10192</v>
      </c>
      <c r="C387" s="20" t="s">
        <v>356</v>
      </c>
      <c r="D387" s="19">
        <v>12234</v>
      </c>
      <c r="E387" s="13" t="s">
        <v>10239</v>
      </c>
      <c r="F387" s="14">
        <v>41437</v>
      </c>
      <c r="G387" s="14">
        <v>41639</v>
      </c>
      <c r="H387" s="13" t="s">
        <v>651</v>
      </c>
      <c r="I387" s="18">
        <v>59296</v>
      </c>
      <c r="J387" s="18">
        <v>31648</v>
      </c>
      <c r="K387" s="20" t="s">
        <v>356</v>
      </c>
      <c r="M387" s="3"/>
    </row>
    <row r="388" spans="1:13" ht="25.5" x14ac:dyDescent="0.25">
      <c r="A388" s="13" t="s">
        <v>10240</v>
      </c>
      <c r="B388" s="13" t="s">
        <v>10195</v>
      </c>
      <c r="C388" s="20" t="s">
        <v>356</v>
      </c>
      <c r="D388" s="19">
        <v>12235</v>
      </c>
      <c r="E388" s="13" t="s">
        <v>10241</v>
      </c>
      <c r="F388" s="14">
        <v>41339</v>
      </c>
      <c r="G388" s="14">
        <v>41639</v>
      </c>
      <c r="H388" s="13" t="s">
        <v>651</v>
      </c>
      <c r="I388" s="18">
        <v>8600</v>
      </c>
      <c r="J388" s="18">
        <v>4300</v>
      </c>
      <c r="K388" s="20" t="s">
        <v>356</v>
      </c>
      <c r="M388" s="3"/>
    </row>
    <row r="389" spans="1:13" ht="25.5" x14ac:dyDescent="0.25">
      <c r="A389" s="13" t="s">
        <v>10242</v>
      </c>
      <c r="B389" s="13" t="s">
        <v>10195</v>
      </c>
      <c r="C389" s="20" t="s">
        <v>356</v>
      </c>
      <c r="D389" s="19">
        <v>12236</v>
      </c>
      <c r="E389" s="13" t="s">
        <v>10243</v>
      </c>
      <c r="F389" s="14">
        <v>41528</v>
      </c>
      <c r="G389" s="14">
        <v>41639</v>
      </c>
      <c r="H389" s="13" t="s">
        <v>651</v>
      </c>
      <c r="I389" s="18">
        <v>60000</v>
      </c>
      <c r="J389" s="18">
        <v>30000</v>
      </c>
      <c r="K389" s="20" t="s">
        <v>356</v>
      </c>
      <c r="M389" s="3"/>
    </row>
    <row r="390" spans="1:13" x14ac:dyDescent="0.25">
      <c r="A390" s="13" t="s">
        <v>10244</v>
      </c>
      <c r="B390" s="13" t="s">
        <v>10192</v>
      </c>
      <c r="C390" s="20" t="s">
        <v>356</v>
      </c>
      <c r="D390" s="19">
        <v>12237</v>
      </c>
      <c r="E390" s="13" t="s">
        <v>10245</v>
      </c>
      <c r="F390" s="14">
        <v>41275</v>
      </c>
      <c r="G390" s="14">
        <v>41639</v>
      </c>
      <c r="H390" s="13" t="s">
        <v>651</v>
      </c>
      <c r="I390" s="18">
        <v>1532</v>
      </c>
      <c r="J390" s="18">
        <v>766</v>
      </c>
      <c r="K390" s="20" t="s">
        <v>356</v>
      </c>
      <c r="M390" s="3"/>
    </row>
    <row r="391" spans="1:13" x14ac:dyDescent="0.25">
      <c r="A391" s="13" t="s">
        <v>10246</v>
      </c>
      <c r="B391" s="13" t="s">
        <v>10192</v>
      </c>
      <c r="C391" s="20" t="s">
        <v>356</v>
      </c>
      <c r="D391" s="19">
        <v>12238</v>
      </c>
      <c r="E391" s="13" t="s">
        <v>10247</v>
      </c>
      <c r="F391" s="14">
        <v>41275</v>
      </c>
      <c r="G391" s="14">
        <v>41639</v>
      </c>
      <c r="H391" s="13" t="s">
        <v>651</v>
      </c>
      <c r="I391" s="18">
        <v>13558</v>
      </c>
      <c r="J391" s="18">
        <v>6779</v>
      </c>
      <c r="K391" s="20" t="s">
        <v>356</v>
      </c>
      <c r="M391" s="3"/>
    </row>
    <row r="392" spans="1:13" ht="63.75" x14ac:dyDescent="0.25">
      <c r="A392" s="13" t="s">
        <v>10248</v>
      </c>
      <c r="B392" s="13" t="s">
        <v>10192</v>
      </c>
      <c r="C392" s="20" t="s">
        <v>356</v>
      </c>
      <c r="D392" s="19">
        <v>12241</v>
      </c>
      <c r="E392" s="13" t="s">
        <v>10249</v>
      </c>
      <c r="F392" s="14">
        <v>41275</v>
      </c>
      <c r="G392" s="14">
        <v>41639</v>
      </c>
      <c r="H392" s="13" t="s">
        <v>651</v>
      </c>
      <c r="I392" s="18">
        <v>3616</v>
      </c>
      <c r="J392" s="18">
        <v>1808</v>
      </c>
      <c r="K392" s="20" t="s">
        <v>356</v>
      </c>
      <c r="M392" s="3"/>
    </row>
    <row r="393" spans="1:13" ht="38.25" x14ac:dyDescent="0.25">
      <c r="A393" s="13" t="s">
        <v>10250</v>
      </c>
      <c r="B393" s="13" t="s">
        <v>10192</v>
      </c>
      <c r="C393" s="20" t="s">
        <v>356</v>
      </c>
      <c r="D393" s="19">
        <v>12242</v>
      </c>
      <c r="E393" s="13" t="s">
        <v>10251</v>
      </c>
      <c r="F393" s="14">
        <v>41528</v>
      </c>
      <c r="G393" s="14">
        <v>41639</v>
      </c>
      <c r="H393" s="13" t="s">
        <v>651</v>
      </c>
      <c r="I393" s="18">
        <v>8742</v>
      </c>
      <c r="J393" s="18">
        <v>4371</v>
      </c>
      <c r="K393" s="20" t="s">
        <v>356</v>
      </c>
      <c r="M393" s="3"/>
    </row>
    <row r="394" spans="1:13" x14ac:dyDescent="0.25">
      <c r="A394" s="13" t="s">
        <v>10252</v>
      </c>
      <c r="B394" s="13" t="s">
        <v>10192</v>
      </c>
      <c r="C394" s="20" t="s">
        <v>356</v>
      </c>
      <c r="D394" s="19">
        <v>12243</v>
      </c>
      <c r="E394" s="13" t="s">
        <v>10253</v>
      </c>
      <c r="F394" s="14">
        <v>41220</v>
      </c>
      <c r="G394" s="14">
        <v>41639</v>
      </c>
      <c r="H394" s="13" t="s">
        <v>651</v>
      </c>
      <c r="I394" s="18">
        <v>10450</v>
      </c>
      <c r="J394" s="18">
        <v>5225</v>
      </c>
      <c r="K394" s="20" t="s">
        <v>356</v>
      </c>
      <c r="M394" s="3"/>
    </row>
    <row r="395" spans="1:13" ht="38.25" x14ac:dyDescent="0.25">
      <c r="A395" s="13" t="s">
        <v>10254</v>
      </c>
      <c r="B395" s="13" t="s">
        <v>10220</v>
      </c>
      <c r="C395" s="20" t="s">
        <v>356</v>
      </c>
      <c r="D395" s="19">
        <v>12244</v>
      </c>
      <c r="E395" s="13" t="s">
        <v>10255</v>
      </c>
      <c r="F395" s="14">
        <v>41220</v>
      </c>
      <c r="G395" s="14">
        <v>41639</v>
      </c>
      <c r="H395" s="13" t="s">
        <v>651</v>
      </c>
      <c r="I395" s="18">
        <v>5408</v>
      </c>
      <c r="J395" s="18">
        <v>2704</v>
      </c>
      <c r="K395" s="20" t="s">
        <v>356</v>
      </c>
      <c r="M395" s="3"/>
    </row>
    <row r="396" spans="1:13" ht="25.5" x14ac:dyDescent="0.25">
      <c r="A396" s="13" t="s">
        <v>10256</v>
      </c>
      <c r="B396" s="13" t="s">
        <v>10192</v>
      </c>
      <c r="C396" s="20" t="s">
        <v>356</v>
      </c>
      <c r="D396" s="19">
        <v>12245</v>
      </c>
      <c r="E396" s="13" t="s">
        <v>10257</v>
      </c>
      <c r="F396" s="14">
        <v>41164</v>
      </c>
      <c r="G396" s="14">
        <v>41639</v>
      </c>
      <c r="H396" s="13" t="s">
        <v>651</v>
      </c>
      <c r="I396" s="18">
        <v>8306</v>
      </c>
      <c r="J396" s="18">
        <v>4153</v>
      </c>
      <c r="K396" s="20" t="s">
        <v>356</v>
      </c>
      <c r="M396" s="3"/>
    </row>
    <row r="397" spans="1:13" ht="38.25" x14ac:dyDescent="0.25">
      <c r="A397" s="13" t="s">
        <v>10260</v>
      </c>
      <c r="B397" s="13" t="s">
        <v>38</v>
      </c>
      <c r="C397" s="20" t="s">
        <v>356</v>
      </c>
      <c r="D397" s="19">
        <v>12248</v>
      </c>
      <c r="E397" s="13" t="s">
        <v>10261</v>
      </c>
      <c r="F397" s="14">
        <v>41275</v>
      </c>
      <c r="G397" s="14">
        <v>41639</v>
      </c>
      <c r="H397" s="13" t="s">
        <v>651</v>
      </c>
      <c r="I397" s="18">
        <v>1300</v>
      </c>
      <c r="J397" s="18">
        <v>1300</v>
      </c>
      <c r="K397" s="20" t="s">
        <v>356</v>
      </c>
      <c r="M397" s="3"/>
    </row>
    <row r="398" spans="1:13" ht="38.25" x14ac:dyDescent="0.25">
      <c r="A398" s="13" t="s">
        <v>10262</v>
      </c>
      <c r="B398" s="13" t="s">
        <v>38</v>
      </c>
      <c r="C398" s="20" t="s">
        <v>356</v>
      </c>
      <c r="D398" s="19">
        <v>12249</v>
      </c>
      <c r="E398" s="13" t="s">
        <v>10263</v>
      </c>
      <c r="F398" s="14">
        <v>41275</v>
      </c>
      <c r="G398" s="14">
        <v>41639</v>
      </c>
      <c r="H398" s="13" t="s">
        <v>651</v>
      </c>
      <c r="I398" s="18">
        <v>10060</v>
      </c>
      <c r="J398" s="18">
        <v>10060</v>
      </c>
      <c r="K398" s="20" t="s">
        <v>356</v>
      </c>
      <c r="M398" s="3"/>
    </row>
    <row r="399" spans="1:13" ht="25.5" x14ac:dyDescent="0.25">
      <c r="A399" s="13" t="s">
        <v>10264</v>
      </c>
      <c r="B399" s="13" t="s">
        <v>38</v>
      </c>
      <c r="C399" s="20" t="s">
        <v>356</v>
      </c>
      <c r="D399" s="19">
        <v>12250</v>
      </c>
      <c r="E399" s="13" t="s">
        <v>10265</v>
      </c>
      <c r="F399" s="14">
        <v>41275</v>
      </c>
      <c r="G399" s="14">
        <v>41639</v>
      </c>
      <c r="H399" s="13" t="s">
        <v>651</v>
      </c>
      <c r="I399" s="18">
        <v>7352.5</v>
      </c>
      <c r="J399" s="18">
        <v>7352.5</v>
      </c>
      <c r="K399" s="20" t="s">
        <v>356</v>
      </c>
      <c r="M399" s="3"/>
    </row>
    <row r="400" spans="1:13" ht="25.5" x14ac:dyDescent="0.25">
      <c r="A400" s="13" t="s">
        <v>10266</v>
      </c>
      <c r="B400" s="13" t="s">
        <v>38</v>
      </c>
      <c r="C400" s="20" t="s">
        <v>356</v>
      </c>
      <c r="D400" s="19">
        <v>12251</v>
      </c>
      <c r="E400" s="13" t="s">
        <v>10267</v>
      </c>
      <c r="F400" s="14">
        <v>41275</v>
      </c>
      <c r="G400" s="14">
        <v>41639</v>
      </c>
      <c r="H400" s="13" t="s">
        <v>651</v>
      </c>
      <c r="I400" s="18">
        <v>765.5</v>
      </c>
      <c r="J400" s="18">
        <v>765.5</v>
      </c>
      <c r="K400" s="20" t="s">
        <v>356</v>
      </c>
      <c r="M400" s="3"/>
    </row>
    <row r="401" spans="1:13" ht="25.5" x14ac:dyDescent="0.25">
      <c r="A401" s="13" t="s">
        <v>10268</v>
      </c>
      <c r="B401" s="13" t="s">
        <v>38</v>
      </c>
      <c r="C401" s="20" t="s">
        <v>356</v>
      </c>
      <c r="D401" s="19">
        <v>12252</v>
      </c>
      <c r="E401" s="13" t="s">
        <v>10269</v>
      </c>
      <c r="F401" s="14">
        <v>41275</v>
      </c>
      <c r="G401" s="14">
        <v>41639</v>
      </c>
      <c r="H401" s="13" t="s">
        <v>651</v>
      </c>
      <c r="I401" s="18">
        <v>450</v>
      </c>
      <c r="J401" s="18">
        <v>450</v>
      </c>
      <c r="K401" s="20" t="s">
        <v>356</v>
      </c>
      <c r="M401" s="3"/>
    </row>
    <row r="402" spans="1:13" s="4" customFormat="1" x14ac:dyDescent="0.25">
      <c r="C402" s="20" t="s">
        <v>356</v>
      </c>
      <c r="D402" s="35"/>
      <c r="E402" s="26" t="s">
        <v>351</v>
      </c>
      <c r="F402" s="28"/>
      <c r="G402" s="28"/>
      <c r="H402" s="26"/>
      <c r="I402" s="25">
        <f>SUM(I169:I185)</f>
        <v>970946.79999999993</v>
      </c>
      <c r="J402" s="25">
        <f>SUM(J169:J185)</f>
        <v>215174.09</v>
      </c>
      <c r="K402" s="20" t="s">
        <v>356</v>
      </c>
      <c r="L402" s="119"/>
      <c r="M402" s="3"/>
    </row>
    <row r="403" spans="1:13" s="4" customFormat="1" x14ac:dyDescent="0.25">
      <c r="C403" s="20" t="s">
        <v>356</v>
      </c>
      <c r="D403" s="35"/>
      <c r="E403" s="26" t="s">
        <v>786</v>
      </c>
      <c r="F403" s="28"/>
      <c r="G403" s="28"/>
      <c r="H403" s="26"/>
      <c r="I403" s="25">
        <f>SUM(I186:I188)</f>
        <v>169768.41999999998</v>
      </c>
      <c r="J403" s="25">
        <f>SUM(J186:J188)</f>
        <v>63041.189999999995</v>
      </c>
      <c r="K403" s="20" t="s">
        <v>356</v>
      </c>
      <c r="L403" s="119"/>
      <c r="M403" s="3"/>
    </row>
    <row r="404" spans="1:13" s="4" customFormat="1" x14ac:dyDescent="0.25">
      <c r="C404" s="20" t="s">
        <v>356</v>
      </c>
      <c r="D404" s="35"/>
      <c r="E404" s="26" t="s">
        <v>352</v>
      </c>
      <c r="F404" s="28"/>
      <c r="G404" s="28"/>
      <c r="H404" s="26"/>
      <c r="I404" s="25">
        <f>SUM(I189:I401)</f>
        <v>4317925.99</v>
      </c>
      <c r="J404" s="25">
        <f>SUM(J189:J401)</f>
        <v>3114253.6700000009</v>
      </c>
      <c r="K404" s="20" t="s">
        <v>356</v>
      </c>
      <c r="L404" s="119"/>
      <c r="M404" s="3"/>
    </row>
    <row r="405" spans="1:13" s="4" customFormat="1" x14ac:dyDescent="0.25">
      <c r="C405" s="20" t="s">
        <v>356</v>
      </c>
      <c r="D405" s="35"/>
      <c r="E405" s="26" t="s">
        <v>787</v>
      </c>
      <c r="F405" s="28"/>
      <c r="G405" s="28"/>
      <c r="H405" s="26"/>
      <c r="I405" s="25">
        <f>SUM(I402:I404)</f>
        <v>5458641.21</v>
      </c>
      <c r="J405" s="25">
        <f>SUM(J402:J404)</f>
        <v>3392468.9500000007</v>
      </c>
      <c r="K405" s="20" t="s">
        <v>356</v>
      </c>
      <c r="L405" s="119">
        <f>J405</f>
        <v>3392468.9500000007</v>
      </c>
      <c r="M405" s="3">
        <f>SUM(J405*0.4)</f>
        <v>1356987.5800000003</v>
      </c>
    </row>
    <row r="406" spans="1:13" s="4" customFormat="1" x14ac:dyDescent="0.25">
      <c r="C406" s="37"/>
      <c r="D406" s="35"/>
      <c r="F406" s="5"/>
      <c r="G406" s="5"/>
      <c r="I406" s="6"/>
      <c r="J406" s="6"/>
      <c r="K406" s="37"/>
      <c r="L406" s="119"/>
      <c r="M406" s="3"/>
    </row>
    <row r="407" spans="1:13" s="4" customFormat="1" ht="76.5" x14ac:dyDescent="0.25">
      <c r="A407" s="4" t="s">
        <v>788</v>
      </c>
      <c r="B407" s="4" t="s">
        <v>13</v>
      </c>
      <c r="C407" s="37" t="s">
        <v>790</v>
      </c>
      <c r="D407" s="35">
        <v>3681</v>
      </c>
      <c r="E407" s="7" t="s">
        <v>789</v>
      </c>
      <c r="F407" s="5">
        <v>39332</v>
      </c>
      <c r="G407" s="5">
        <v>39598</v>
      </c>
      <c r="H407" s="4" t="s">
        <v>16</v>
      </c>
      <c r="I407" s="6">
        <v>1827000</v>
      </c>
      <c r="J407" s="6">
        <v>255000</v>
      </c>
      <c r="K407" s="37" t="s">
        <v>790</v>
      </c>
      <c r="L407" s="119"/>
      <c r="M407" s="3"/>
    </row>
    <row r="408" spans="1:13" s="4" customFormat="1" ht="76.5" x14ac:dyDescent="0.25">
      <c r="A408" s="4" t="s">
        <v>791</v>
      </c>
      <c r="B408" s="4" t="s">
        <v>13</v>
      </c>
      <c r="C408" s="37" t="s">
        <v>790</v>
      </c>
      <c r="D408" s="35">
        <v>3684</v>
      </c>
      <c r="E408" s="7" t="s">
        <v>792</v>
      </c>
      <c r="F408" s="5">
        <v>39468</v>
      </c>
      <c r="G408" s="5">
        <v>39797</v>
      </c>
      <c r="H408" s="4" t="s">
        <v>16</v>
      </c>
      <c r="I408" s="6">
        <v>24300</v>
      </c>
      <c r="J408" s="6">
        <v>7290</v>
      </c>
      <c r="K408" s="37" t="s">
        <v>790</v>
      </c>
      <c r="L408" s="119"/>
      <c r="M408" s="3"/>
    </row>
    <row r="409" spans="1:13" s="4" customFormat="1" ht="38.25" x14ac:dyDescent="0.25">
      <c r="A409" s="4" t="s">
        <v>793</v>
      </c>
      <c r="B409" s="4" t="s">
        <v>13</v>
      </c>
      <c r="C409" s="37" t="s">
        <v>790</v>
      </c>
      <c r="D409" s="35">
        <v>3690</v>
      </c>
      <c r="E409" s="4" t="s">
        <v>794</v>
      </c>
      <c r="F409" s="5">
        <v>39562</v>
      </c>
      <c r="G409" s="5">
        <v>39812</v>
      </c>
      <c r="H409" s="4" t="s">
        <v>16</v>
      </c>
      <c r="I409" s="6">
        <v>17950</v>
      </c>
      <c r="J409" s="6">
        <v>5385</v>
      </c>
      <c r="K409" s="37" t="s">
        <v>790</v>
      </c>
      <c r="L409" s="119"/>
      <c r="M409" s="3"/>
    </row>
    <row r="410" spans="1:13" s="4" customFormat="1" ht="25.5" x14ac:dyDescent="0.25">
      <c r="A410" s="4" t="s">
        <v>795</v>
      </c>
      <c r="B410" s="4" t="s">
        <v>13</v>
      </c>
      <c r="C410" s="37" t="s">
        <v>790</v>
      </c>
      <c r="D410" s="35">
        <v>3692</v>
      </c>
      <c r="E410" s="4" t="s">
        <v>796</v>
      </c>
      <c r="F410" s="5">
        <v>39477</v>
      </c>
      <c r="G410" s="5">
        <v>39629</v>
      </c>
      <c r="H410" s="4" t="s">
        <v>16</v>
      </c>
      <c r="I410" s="6">
        <v>22000</v>
      </c>
      <c r="J410" s="6">
        <v>5430</v>
      </c>
      <c r="K410" s="37" t="s">
        <v>790</v>
      </c>
      <c r="L410" s="119"/>
      <c r="M410" s="3"/>
    </row>
    <row r="411" spans="1:13" s="4" customFormat="1" ht="51" x14ac:dyDescent="0.25">
      <c r="A411" s="4" t="s">
        <v>797</v>
      </c>
      <c r="B411" s="4" t="s">
        <v>13</v>
      </c>
      <c r="C411" s="37" t="s">
        <v>790</v>
      </c>
      <c r="D411" s="35">
        <v>3693</v>
      </c>
      <c r="E411" s="4" t="s">
        <v>798</v>
      </c>
      <c r="F411" s="5">
        <v>39555</v>
      </c>
      <c r="G411" s="5">
        <v>39721</v>
      </c>
      <c r="H411" s="4" t="s">
        <v>16</v>
      </c>
      <c r="I411" s="6">
        <v>13860</v>
      </c>
      <c r="J411" s="6">
        <v>4158</v>
      </c>
      <c r="K411" s="37" t="s">
        <v>790</v>
      </c>
      <c r="L411" s="119"/>
      <c r="M411" s="3"/>
    </row>
    <row r="412" spans="1:13" s="4" customFormat="1" ht="38.25" x14ac:dyDescent="0.25">
      <c r="A412" s="4" t="s">
        <v>799</v>
      </c>
      <c r="B412" s="4" t="s">
        <v>13</v>
      </c>
      <c r="C412" s="37" t="s">
        <v>790</v>
      </c>
      <c r="D412" s="35">
        <v>3714</v>
      </c>
      <c r="E412" s="4" t="s">
        <v>800</v>
      </c>
      <c r="F412" s="5">
        <v>39961</v>
      </c>
      <c r="G412" s="5">
        <v>40267</v>
      </c>
      <c r="H412" s="4" t="s">
        <v>16</v>
      </c>
      <c r="I412" s="6">
        <v>34192.6</v>
      </c>
      <c r="J412" s="6">
        <v>7440</v>
      </c>
      <c r="K412" s="37" t="s">
        <v>790</v>
      </c>
      <c r="L412" s="119"/>
      <c r="M412" s="3"/>
    </row>
    <row r="413" spans="1:13" s="4" customFormat="1" ht="25.5" x14ac:dyDescent="0.25">
      <c r="A413" s="4" t="s">
        <v>801</v>
      </c>
      <c r="B413" s="4" t="s">
        <v>13</v>
      </c>
      <c r="C413" s="37" t="s">
        <v>790</v>
      </c>
      <c r="D413" s="35">
        <v>3716</v>
      </c>
      <c r="E413" s="4" t="s">
        <v>802</v>
      </c>
      <c r="F413" s="5">
        <v>39671</v>
      </c>
      <c r="G413" s="5">
        <v>39876</v>
      </c>
      <c r="H413" s="4" t="s">
        <v>16</v>
      </c>
      <c r="I413" s="6">
        <v>28150</v>
      </c>
      <c r="J413" s="6">
        <v>8445</v>
      </c>
      <c r="K413" s="37" t="s">
        <v>790</v>
      </c>
      <c r="L413" s="119"/>
      <c r="M413" s="3"/>
    </row>
    <row r="414" spans="1:13" s="4" customFormat="1" ht="25.5" x14ac:dyDescent="0.25">
      <c r="A414" s="4" t="s">
        <v>803</v>
      </c>
      <c r="B414" s="4" t="s">
        <v>13</v>
      </c>
      <c r="C414" s="37" t="s">
        <v>790</v>
      </c>
      <c r="D414" s="35">
        <v>3723</v>
      </c>
      <c r="E414" s="4" t="s">
        <v>804</v>
      </c>
      <c r="F414" s="5">
        <v>39380</v>
      </c>
      <c r="G414" s="5">
        <v>39776</v>
      </c>
      <c r="H414" s="4" t="s">
        <v>16</v>
      </c>
      <c r="I414" s="6">
        <v>39143.599999999999</v>
      </c>
      <c r="J414" s="6">
        <v>10560</v>
      </c>
      <c r="K414" s="37" t="s">
        <v>790</v>
      </c>
      <c r="L414" s="119"/>
      <c r="M414" s="3"/>
    </row>
    <row r="415" spans="1:13" s="4" customFormat="1" ht="51" x14ac:dyDescent="0.25">
      <c r="A415" s="4" t="s">
        <v>805</v>
      </c>
      <c r="B415" s="4" t="s">
        <v>13</v>
      </c>
      <c r="C415" s="37" t="s">
        <v>790</v>
      </c>
      <c r="D415" s="35">
        <v>3739</v>
      </c>
      <c r="E415" s="4" t="s">
        <v>806</v>
      </c>
      <c r="F415" s="5">
        <v>39507</v>
      </c>
      <c r="G415" s="5">
        <v>39631</v>
      </c>
      <c r="H415" s="4" t="s">
        <v>16</v>
      </c>
      <c r="I415" s="6">
        <v>14977</v>
      </c>
      <c r="J415" s="6">
        <v>4493.1000000000004</v>
      </c>
      <c r="K415" s="37" t="s">
        <v>790</v>
      </c>
      <c r="L415" s="119"/>
      <c r="M415" s="3"/>
    </row>
    <row r="416" spans="1:13" s="4" customFormat="1" ht="51" x14ac:dyDescent="0.25">
      <c r="A416" s="4" t="s">
        <v>807</v>
      </c>
      <c r="B416" s="4" t="s">
        <v>13</v>
      </c>
      <c r="C416" s="37" t="s">
        <v>790</v>
      </c>
      <c r="D416" s="35">
        <v>3740</v>
      </c>
      <c r="E416" s="4" t="s">
        <v>808</v>
      </c>
      <c r="F416" s="5">
        <v>39757</v>
      </c>
      <c r="G416" s="5">
        <v>39870</v>
      </c>
      <c r="H416" s="4" t="s">
        <v>16</v>
      </c>
      <c r="I416" s="6">
        <v>7300</v>
      </c>
      <c r="J416" s="6">
        <v>2160</v>
      </c>
      <c r="K416" s="37" t="s">
        <v>790</v>
      </c>
      <c r="L416" s="119"/>
      <c r="M416" s="3"/>
    </row>
    <row r="417" spans="1:13" s="4" customFormat="1" x14ac:dyDescent="0.25">
      <c r="A417" s="4" t="s">
        <v>809</v>
      </c>
      <c r="B417" s="4" t="s">
        <v>13</v>
      </c>
      <c r="C417" s="37" t="s">
        <v>790</v>
      </c>
      <c r="D417" s="35">
        <v>3741</v>
      </c>
      <c r="E417" s="4" t="s">
        <v>810</v>
      </c>
      <c r="F417" s="5">
        <v>39659</v>
      </c>
      <c r="G417" s="5">
        <v>40025</v>
      </c>
      <c r="H417" s="4" t="s">
        <v>16</v>
      </c>
      <c r="I417" s="6">
        <v>10140</v>
      </c>
      <c r="J417" s="6">
        <v>3000</v>
      </c>
      <c r="K417" s="37" t="s">
        <v>790</v>
      </c>
      <c r="L417" s="119"/>
      <c r="M417" s="3"/>
    </row>
    <row r="418" spans="1:13" s="4" customFormat="1" ht="25.5" x14ac:dyDescent="0.25">
      <c r="A418" s="4" t="s">
        <v>811</v>
      </c>
      <c r="B418" s="4" t="s">
        <v>13</v>
      </c>
      <c r="C418" s="37" t="s">
        <v>790</v>
      </c>
      <c r="D418" s="35">
        <v>3743</v>
      </c>
      <c r="E418" s="4" t="s">
        <v>812</v>
      </c>
      <c r="F418" s="5">
        <v>39738</v>
      </c>
      <c r="G418" s="5">
        <v>40088</v>
      </c>
      <c r="H418" s="4" t="s">
        <v>16</v>
      </c>
      <c r="I418" s="6">
        <v>5900</v>
      </c>
      <c r="J418" s="6">
        <v>1770</v>
      </c>
      <c r="K418" s="37" t="s">
        <v>790</v>
      </c>
      <c r="L418" s="119"/>
      <c r="M418" s="3"/>
    </row>
    <row r="419" spans="1:13" s="4" customFormat="1" ht="25.5" x14ac:dyDescent="0.25">
      <c r="A419" s="4" t="s">
        <v>813</v>
      </c>
      <c r="B419" s="4" t="s">
        <v>13</v>
      </c>
      <c r="C419" s="37" t="s">
        <v>790</v>
      </c>
      <c r="D419" s="35">
        <v>3744</v>
      </c>
      <c r="E419" s="4" t="s">
        <v>814</v>
      </c>
      <c r="F419" s="5">
        <v>39961</v>
      </c>
      <c r="G419" s="5">
        <v>40053</v>
      </c>
      <c r="H419" s="4" t="s">
        <v>16</v>
      </c>
      <c r="I419" s="6">
        <v>4879.29</v>
      </c>
      <c r="J419" s="6">
        <v>1461</v>
      </c>
      <c r="K419" s="37" t="s">
        <v>790</v>
      </c>
      <c r="L419" s="119"/>
      <c r="M419" s="3"/>
    </row>
    <row r="420" spans="1:13" s="4" customFormat="1" ht="76.5" x14ac:dyDescent="0.25">
      <c r="A420" s="4" t="s">
        <v>815</v>
      </c>
      <c r="B420" s="4" t="s">
        <v>13</v>
      </c>
      <c r="C420" s="37" t="s">
        <v>790</v>
      </c>
      <c r="D420" s="35">
        <v>3747</v>
      </c>
      <c r="E420" s="7" t="s">
        <v>816</v>
      </c>
      <c r="F420" s="5">
        <v>39036</v>
      </c>
      <c r="G420" s="5">
        <v>39097</v>
      </c>
      <c r="H420" s="4" t="s">
        <v>16</v>
      </c>
      <c r="I420" s="6">
        <v>62800</v>
      </c>
      <c r="J420" s="6">
        <v>18840</v>
      </c>
      <c r="K420" s="37" t="s">
        <v>790</v>
      </c>
      <c r="L420" s="119"/>
      <c r="M420" s="3"/>
    </row>
    <row r="421" spans="1:13" s="4" customFormat="1" ht="63.75" x14ac:dyDescent="0.25">
      <c r="A421" s="4" t="s">
        <v>817</v>
      </c>
      <c r="B421" s="4" t="s">
        <v>13</v>
      </c>
      <c r="C421" s="37" t="s">
        <v>790</v>
      </c>
      <c r="D421" s="35">
        <v>3752</v>
      </c>
      <c r="E421" s="4" t="s">
        <v>818</v>
      </c>
      <c r="F421" s="5">
        <v>39415</v>
      </c>
      <c r="G421" s="5">
        <v>39805</v>
      </c>
      <c r="H421" s="4" t="s">
        <v>16</v>
      </c>
      <c r="I421" s="6">
        <v>112792.44</v>
      </c>
      <c r="J421" s="6">
        <v>36837.730000000003</v>
      </c>
      <c r="K421" s="37" t="s">
        <v>790</v>
      </c>
      <c r="L421" s="119"/>
      <c r="M421" s="3"/>
    </row>
    <row r="422" spans="1:13" s="4" customFormat="1" ht="38.25" x14ac:dyDescent="0.25">
      <c r="A422" s="4" t="s">
        <v>793</v>
      </c>
      <c r="B422" s="4" t="s">
        <v>13</v>
      </c>
      <c r="C422" s="37" t="s">
        <v>790</v>
      </c>
      <c r="D422" s="35">
        <v>3753</v>
      </c>
      <c r="E422" s="4" t="s">
        <v>819</v>
      </c>
      <c r="F422" s="5">
        <v>39545</v>
      </c>
      <c r="G422" s="5">
        <v>39813</v>
      </c>
      <c r="H422" s="4" t="s">
        <v>16</v>
      </c>
      <c r="I422" s="6">
        <v>6900</v>
      </c>
      <c r="J422" s="6">
        <v>2070</v>
      </c>
      <c r="K422" s="37" t="s">
        <v>790</v>
      </c>
      <c r="L422" s="119"/>
      <c r="M422" s="3"/>
    </row>
    <row r="423" spans="1:13" s="4" customFormat="1" ht="25.5" x14ac:dyDescent="0.25">
      <c r="A423" s="4" t="s">
        <v>820</v>
      </c>
      <c r="B423" s="4" t="s">
        <v>13</v>
      </c>
      <c r="C423" s="37" t="s">
        <v>790</v>
      </c>
      <c r="D423" s="35">
        <v>3758</v>
      </c>
      <c r="E423" s="4" t="s">
        <v>821</v>
      </c>
      <c r="F423" s="5">
        <v>40058</v>
      </c>
      <c r="G423" s="5">
        <v>40269</v>
      </c>
      <c r="H423" s="4" t="s">
        <v>16</v>
      </c>
      <c r="I423" s="6">
        <v>5903</v>
      </c>
      <c r="J423" s="6">
        <v>1771</v>
      </c>
      <c r="K423" s="37" t="s">
        <v>790</v>
      </c>
      <c r="L423" s="119"/>
      <c r="M423" s="3"/>
    </row>
    <row r="424" spans="1:13" s="4" customFormat="1" ht="25.5" x14ac:dyDescent="0.25">
      <c r="A424" s="4" t="s">
        <v>822</v>
      </c>
      <c r="B424" s="4" t="s">
        <v>13</v>
      </c>
      <c r="C424" s="37" t="s">
        <v>790</v>
      </c>
      <c r="D424" s="35">
        <v>3765</v>
      </c>
      <c r="E424" s="4" t="s">
        <v>823</v>
      </c>
      <c r="F424" s="5">
        <v>39972</v>
      </c>
      <c r="G424" s="5">
        <v>40217</v>
      </c>
      <c r="H424" s="4" t="s">
        <v>16</v>
      </c>
      <c r="I424" s="6">
        <v>14625.5</v>
      </c>
      <c r="J424" s="6">
        <v>4387.6499999999996</v>
      </c>
      <c r="K424" s="37" t="s">
        <v>790</v>
      </c>
      <c r="L424" s="119"/>
      <c r="M424" s="3"/>
    </row>
    <row r="425" spans="1:13" s="4" customFormat="1" ht="76.5" x14ac:dyDescent="0.25">
      <c r="A425" s="4" t="s">
        <v>824</v>
      </c>
      <c r="B425" s="4" t="s">
        <v>13</v>
      </c>
      <c r="C425" s="37" t="s">
        <v>790</v>
      </c>
      <c r="D425" s="35">
        <v>3778</v>
      </c>
      <c r="E425" s="4" t="s">
        <v>825</v>
      </c>
      <c r="F425" s="5">
        <v>39468</v>
      </c>
      <c r="G425" s="5">
        <v>39631</v>
      </c>
      <c r="H425" s="4" t="s">
        <v>16</v>
      </c>
      <c r="I425" s="6">
        <v>25000</v>
      </c>
      <c r="J425" s="6">
        <v>4800</v>
      </c>
      <c r="K425" s="37" t="s">
        <v>790</v>
      </c>
      <c r="L425" s="119"/>
      <c r="M425" s="3"/>
    </row>
    <row r="426" spans="1:13" s="4" customFormat="1" ht="38.25" x14ac:dyDescent="0.25">
      <c r="A426" s="4" t="s">
        <v>826</v>
      </c>
      <c r="B426" s="4" t="s">
        <v>13</v>
      </c>
      <c r="C426" s="37" t="s">
        <v>790</v>
      </c>
      <c r="D426" s="35">
        <v>3802</v>
      </c>
      <c r="E426" s="4" t="s">
        <v>827</v>
      </c>
      <c r="F426" s="5">
        <v>39234</v>
      </c>
      <c r="G426" s="5">
        <v>39258</v>
      </c>
      <c r="H426" s="4" t="s">
        <v>16</v>
      </c>
      <c r="I426" s="6">
        <v>25932.11</v>
      </c>
      <c r="J426" s="6">
        <v>5188</v>
      </c>
      <c r="K426" s="37" t="s">
        <v>790</v>
      </c>
      <c r="L426" s="119"/>
      <c r="M426" s="3"/>
    </row>
    <row r="427" spans="1:13" s="4" customFormat="1" x14ac:dyDescent="0.25">
      <c r="A427" s="4" t="s">
        <v>828</v>
      </c>
      <c r="B427" s="4" t="s">
        <v>13</v>
      </c>
      <c r="C427" s="37" t="s">
        <v>790</v>
      </c>
      <c r="D427" s="35">
        <v>3803</v>
      </c>
      <c r="E427" s="4" t="s">
        <v>829</v>
      </c>
      <c r="F427" s="5">
        <v>39336</v>
      </c>
      <c r="G427" s="5">
        <v>39626</v>
      </c>
      <c r="H427" s="4" t="s">
        <v>16</v>
      </c>
      <c r="I427" s="6">
        <v>60732.92</v>
      </c>
      <c r="J427" s="6">
        <v>14680</v>
      </c>
      <c r="K427" s="37" t="s">
        <v>790</v>
      </c>
      <c r="L427" s="119"/>
      <c r="M427" s="3"/>
    </row>
    <row r="428" spans="1:13" s="4" customFormat="1" ht="25.5" x14ac:dyDescent="0.25">
      <c r="A428" s="4" t="s">
        <v>830</v>
      </c>
      <c r="B428" s="4" t="s">
        <v>13</v>
      </c>
      <c r="C428" s="37" t="s">
        <v>790</v>
      </c>
      <c r="D428" s="35">
        <v>3814</v>
      </c>
      <c r="E428" s="4" t="s">
        <v>831</v>
      </c>
      <c r="F428" s="5">
        <v>39357</v>
      </c>
      <c r="G428" s="5">
        <v>39797</v>
      </c>
      <c r="H428" s="4" t="s">
        <v>16</v>
      </c>
      <c r="I428" s="6">
        <v>7404.85</v>
      </c>
      <c r="J428" s="6">
        <v>2000</v>
      </c>
      <c r="K428" s="37" t="s">
        <v>790</v>
      </c>
      <c r="L428" s="119"/>
      <c r="M428" s="3"/>
    </row>
    <row r="429" spans="1:13" s="4" customFormat="1" ht="25.5" x14ac:dyDescent="0.25">
      <c r="A429" s="4" t="s">
        <v>832</v>
      </c>
      <c r="B429" s="4" t="s">
        <v>13</v>
      </c>
      <c r="C429" s="37" t="s">
        <v>790</v>
      </c>
      <c r="D429" s="35">
        <v>3818</v>
      </c>
      <c r="E429" s="4" t="s">
        <v>833</v>
      </c>
      <c r="F429" s="5">
        <v>39415</v>
      </c>
      <c r="G429" s="5">
        <v>39511</v>
      </c>
      <c r="H429" s="4" t="s">
        <v>16</v>
      </c>
      <c r="I429" s="6">
        <v>101000</v>
      </c>
      <c r="J429" s="6">
        <v>30300</v>
      </c>
      <c r="K429" s="37" t="s">
        <v>790</v>
      </c>
      <c r="L429" s="119"/>
      <c r="M429" s="3"/>
    </row>
    <row r="430" spans="1:13" s="4" customFormat="1" ht="63.75" x14ac:dyDescent="0.25">
      <c r="A430" s="4" t="s">
        <v>834</v>
      </c>
      <c r="B430" s="4" t="s">
        <v>13</v>
      </c>
      <c r="C430" s="37" t="s">
        <v>790</v>
      </c>
      <c r="D430" s="35">
        <v>3821</v>
      </c>
      <c r="E430" s="4" t="s">
        <v>835</v>
      </c>
      <c r="F430" s="5">
        <v>39568</v>
      </c>
      <c r="G430" s="5">
        <v>39871</v>
      </c>
      <c r="H430" s="4" t="s">
        <v>16</v>
      </c>
      <c r="I430" s="6">
        <v>28500</v>
      </c>
      <c r="J430" s="6">
        <v>8550</v>
      </c>
      <c r="K430" s="37" t="s">
        <v>790</v>
      </c>
      <c r="L430" s="119"/>
      <c r="M430" s="3"/>
    </row>
    <row r="431" spans="1:13" s="4" customFormat="1" ht="38.25" x14ac:dyDescent="0.25">
      <c r="A431" s="4" t="s">
        <v>836</v>
      </c>
      <c r="B431" s="4" t="s">
        <v>13</v>
      </c>
      <c r="C431" s="37" t="s">
        <v>790</v>
      </c>
      <c r="D431" s="35">
        <v>3824</v>
      </c>
      <c r="E431" s="4" t="s">
        <v>837</v>
      </c>
      <c r="F431" s="5">
        <v>39724</v>
      </c>
      <c r="G431" s="5">
        <v>40087</v>
      </c>
      <c r="H431" s="4" t="s">
        <v>16</v>
      </c>
      <c r="I431" s="6">
        <v>5900</v>
      </c>
      <c r="J431" s="6">
        <v>1770</v>
      </c>
      <c r="K431" s="37" t="s">
        <v>790</v>
      </c>
      <c r="L431" s="119"/>
      <c r="M431" s="3"/>
    </row>
    <row r="432" spans="1:13" s="4" customFormat="1" x14ac:dyDescent="0.25">
      <c r="A432" s="4" t="s">
        <v>809</v>
      </c>
      <c r="B432" s="4" t="s">
        <v>13</v>
      </c>
      <c r="C432" s="37" t="s">
        <v>790</v>
      </c>
      <c r="D432" s="35">
        <v>3826</v>
      </c>
      <c r="E432" s="4" t="s">
        <v>838</v>
      </c>
      <c r="F432" s="5">
        <v>39659</v>
      </c>
      <c r="G432" s="5">
        <v>40025</v>
      </c>
      <c r="H432" s="4" t="s">
        <v>16</v>
      </c>
      <c r="I432" s="6">
        <v>14100</v>
      </c>
      <c r="J432" s="6">
        <v>4230</v>
      </c>
      <c r="K432" s="37" t="s">
        <v>790</v>
      </c>
      <c r="L432" s="119"/>
      <c r="M432" s="3"/>
    </row>
    <row r="433" spans="1:13" s="4" customFormat="1" ht="76.5" x14ac:dyDescent="0.25">
      <c r="A433" s="4" t="s">
        <v>839</v>
      </c>
      <c r="B433" s="4" t="s">
        <v>13</v>
      </c>
      <c r="C433" s="37" t="s">
        <v>790</v>
      </c>
      <c r="D433" s="35">
        <v>3828</v>
      </c>
      <c r="E433" s="7" t="s">
        <v>840</v>
      </c>
      <c r="F433" s="5">
        <v>39568</v>
      </c>
      <c r="G433" s="5">
        <v>39972</v>
      </c>
      <c r="H433" s="4" t="s">
        <v>16</v>
      </c>
      <c r="I433" s="6">
        <v>44195</v>
      </c>
      <c r="J433" s="6">
        <v>11700</v>
      </c>
      <c r="K433" s="37" t="s">
        <v>790</v>
      </c>
      <c r="L433" s="119"/>
      <c r="M433" s="3"/>
    </row>
    <row r="434" spans="1:13" s="4" customFormat="1" ht="63.75" x14ac:dyDescent="0.25">
      <c r="A434" s="4" t="s">
        <v>841</v>
      </c>
      <c r="B434" s="4" t="s">
        <v>13</v>
      </c>
      <c r="C434" s="37" t="s">
        <v>790</v>
      </c>
      <c r="D434" s="35">
        <v>3832</v>
      </c>
      <c r="E434" s="4" t="s">
        <v>842</v>
      </c>
      <c r="F434" s="5">
        <v>39687</v>
      </c>
      <c r="G434" s="5">
        <v>39721</v>
      </c>
      <c r="H434" s="4" t="s">
        <v>16</v>
      </c>
      <c r="I434" s="6">
        <v>9741.98</v>
      </c>
      <c r="J434" s="6">
        <v>2880</v>
      </c>
      <c r="K434" s="37" t="s">
        <v>790</v>
      </c>
      <c r="L434" s="119"/>
      <c r="M434" s="3"/>
    </row>
    <row r="435" spans="1:13" s="4" customFormat="1" ht="51" x14ac:dyDescent="0.25">
      <c r="A435" s="4" t="s">
        <v>843</v>
      </c>
      <c r="B435" s="4" t="s">
        <v>13</v>
      </c>
      <c r="C435" s="37" t="s">
        <v>790</v>
      </c>
      <c r="D435" s="35">
        <v>3833</v>
      </c>
      <c r="E435" s="4" t="s">
        <v>844</v>
      </c>
      <c r="F435" s="5">
        <v>40003</v>
      </c>
      <c r="G435" s="5">
        <v>40256</v>
      </c>
      <c r="H435" s="4" t="s">
        <v>16</v>
      </c>
      <c r="I435" s="6">
        <v>12345</v>
      </c>
      <c r="J435" s="6">
        <v>3703.5</v>
      </c>
      <c r="K435" s="37" t="s">
        <v>790</v>
      </c>
      <c r="L435" s="119"/>
      <c r="M435" s="3"/>
    </row>
    <row r="436" spans="1:13" s="4" customFormat="1" x14ac:dyDescent="0.25">
      <c r="A436" s="4" t="s">
        <v>845</v>
      </c>
      <c r="B436" s="4" t="s">
        <v>13</v>
      </c>
      <c r="C436" s="37" t="s">
        <v>790</v>
      </c>
      <c r="D436" s="35">
        <v>3849</v>
      </c>
      <c r="E436" s="4" t="s">
        <v>846</v>
      </c>
      <c r="F436" s="5">
        <v>39183</v>
      </c>
      <c r="G436" s="5">
        <v>39776</v>
      </c>
      <c r="H436" s="4" t="s">
        <v>16</v>
      </c>
      <c r="I436" s="6">
        <v>34600</v>
      </c>
      <c r="J436" s="6">
        <v>10380</v>
      </c>
      <c r="K436" s="37" t="s">
        <v>790</v>
      </c>
      <c r="L436" s="119"/>
      <c r="M436" s="3"/>
    </row>
    <row r="437" spans="1:13" s="4" customFormat="1" ht="89.25" x14ac:dyDescent="0.25">
      <c r="A437" s="4" t="s">
        <v>847</v>
      </c>
      <c r="B437" s="4" t="s">
        <v>13</v>
      </c>
      <c r="C437" s="37" t="s">
        <v>790</v>
      </c>
      <c r="D437" s="35">
        <v>3851</v>
      </c>
      <c r="E437" s="7" t="s">
        <v>848</v>
      </c>
      <c r="F437" s="5">
        <v>39596</v>
      </c>
      <c r="G437" s="5">
        <v>40054</v>
      </c>
      <c r="H437" s="4" t="s">
        <v>16</v>
      </c>
      <c r="I437" s="6">
        <v>6900</v>
      </c>
      <c r="J437" s="6">
        <v>2070</v>
      </c>
      <c r="K437" s="37" t="s">
        <v>790</v>
      </c>
      <c r="L437" s="119"/>
      <c r="M437" s="3"/>
    </row>
    <row r="438" spans="1:13" s="4" customFormat="1" ht="76.5" x14ac:dyDescent="0.25">
      <c r="A438" s="4" t="s">
        <v>849</v>
      </c>
      <c r="B438" s="4" t="s">
        <v>13</v>
      </c>
      <c r="C438" s="37" t="s">
        <v>790</v>
      </c>
      <c r="D438" s="35">
        <v>3853</v>
      </c>
      <c r="E438" s="4" t="s">
        <v>850</v>
      </c>
      <c r="F438" s="5">
        <v>39545</v>
      </c>
      <c r="G438" s="5">
        <v>39812</v>
      </c>
      <c r="H438" s="4" t="s">
        <v>16</v>
      </c>
      <c r="I438" s="6">
        <v>17884</v>
      </c>
      <c r="J438" s="6">
        <v>5280</v>
      </c>
      <c r="K438" s="37" t="s">
        <v>790</v>
      </c>
      <c r="L438" s="119"/>
      <c r="M438" s="3"/>
    </row>
    <row r="439" spans="1:13" s="4" customFormat="1" ht="25.5" x14ac:dyDescent="0.25">
      <c r="A439" s="4" t="s">
        <v>851</v>
      </c>
      <c r="B439" s="4" t="s">
        <v>13</v>
      </c>
      <c r="C439" s="37" t="s">
        <v>790</v>
      </c>
      <c r="D439" s="35">
        <v>3878</v>
      </c>
      <c r="E439" s="4" t="s">
        <v>852</v>
      </c>
      <c r="F439" s="5">
        <v>39188</v>
      </c>
      <c r="G439" s="5">
        <v>39507</v>
      </c>
      <c r="H439" s="4" t="s">
        <v>16</v>
      </c>
      <c r="I439" s="6">
        <v>38291.120000000003</v>
      </c>
      <c r="J439" s="6">
        <v>10962</v>
      </c>
      <c r="K439" s="37" t="s">
        <v>790</v>
      </c>
      <c r="L439" s="119"/>
      <c r="M439" s="3"/>
    </row>
    <row r="440" spans="1:13" s="4" customFormat="1" ht="51" x14ac:dyDescent="0.25">
      <c r="A440" s="4" t="s">
        <v>853</v>
      </c>
      <c r="B440" s="4" t="s">
        <v>13</v>
      </c>
      <c r="C440" s="37" t="s">
        <v>790</v>
      </c>
      <c r="D440" s="35">
        <v>3879</v>
      </c>
      <c r="E440" s="4" t="s">
        <v>854</v>
      </c>
      <c r="F440" s="5">
        <v>39825</v>
      </c>
      <c r="G440" s="5">
        <v>40234</v>
      </c>
      <c r="H440" s="4" t="s">
        <v>16</v>
      </c>
      <c r="I440" s="6">
        <v>5900</v>
      </c>
      <c r="J440" s="6">
        <v>1747.2</v>
      </c>
      <c r="K440" s="37" t="s">
        <v>790</v>
      </c>
      <c r="L440" s="119"/>
      <c r="M440" s="3"/>
    </row>
    <row r="441" spans="1:13" s="4" customFormat="1" ht="63.75" x14ac:dyDescent="0.25">
      <c r="A441" s="4" t="s">
        <v>855</v>
      </c>
      <c r="B441" s="4" t="s">
        <v>13</v>
      </c>
      <c r="C441" s="37" t="s">
        <v>790</v>
      </c>
      <c r="D441" s="35">
        <v>3883</v>
      </c>
      <c r="E441" s="4" t="s">
        <v>856</v>
      </c>
      <c r="F441" s="5">
        <v>39555</v>
      </c>
      <c r="G441" s="5">
        <v>39871</v>
      </c>
      <c r="H441" s="4" t="s">
        <v>16</v>
      </c>
      <c r="I441" s="6">
        <v>49995</v>
      </c>
      <c r="J441" s="6">
        <v>9000</v>
      </c>
      <c r="K441" s="37" t="s">
        <v>790</v>
      </c>
      <c r="L441" s="119"/>
      <c r="M441" s="3"/>
    </row>
    <row r="442" spans="1:13" s="4" customFormat="1" ht="25.5" x14ac:dyDescent="0.25">
      <c r="A442" s="4" t="s">
        <v>857</v>
      </c>
      <c r="B442" s="4" t="s">
        <v>13</v>
      </c>
      <c r="C442" s="37" t="s">
        <v>790</v>
      </c>
      <c r="D442" s="35">
        <v>3884</v>
      </c>
      <c r="E442" s="4" t="s">
        <v>858</v>
      </c>
      <c r="F442" s="5">
        <v>39514</v>
      </c>
      <c r="G442" s="5">
        <v>39842</v>
      </c>
      <c r="H442" s="4" t="s">
        <v>16</v>
      </c>
      <c r="I442" s="6">
        <v>6600</v>
      </c>
      <c r="J442" s="6">
        <v>1980</v>
      </c>
      <c r="K442" s="37" t="s">
        <v>790</v>
      </c>
      <c r="L442" s="119"/>
      <c r="M442" s="3"/>
    </row>
    <row r="443" spans="1:13" s="4" customFormat="1" ht="76.5" x14ac:dyDescent="0.25">
      <c r="A443" s="4" t="s">
        <v>859</v>
      </c>
      <c r="B443" s="4" t="s">
        <v>13</v>
      </c>
      <c r="C443" s="37" t="s">
        <v>790</v>
      </c>
      <c r="D443" s="35">
        <v>3885</v>
      </c>
      <c r="E443" s="4" t="s">
        <v>860</v>
      </c>
      <c r="F443" s="5">
        <v>39596</v>
      </c>
      <c r="G443" s="5">
        <v>39797</v>
      </c>
      <c r="H443" s="4" t="s">
        <v>16</v>
      </c>
      <c r="I443" s="6">
        <v>25000</v>
      </c>
      <c r="J443" s="6">
        <v>7500</v>
      </c>
      <c r="K443" s="37" t="s">
        <v>790</v>
      </c>
      <c r="L443" s="119"/>
      <c r="M443" s="3"/>
    </row>
    <row r="444" spans="1:13" s="4" customFormat="1" ht="63.75" x14ac:dyDescent="0.25">
      <c r="A444" s="4" t="s">
        <v>861</v>
      </c>
      <c r="B444" s="4" t="s">
        <v>13</v>
      </c>
      <c r="C444" s="37" t="s">
        <v>790</v>
      </c>
      <c r="D444" s="35">
        <v>3886</v>
      </c>
      <c r="E444" s="4" t="s">
        <v>862</v>
      </c>
      <c r="F444" s="5">
        <v>39742</v>
      </c>
      <c r="G444" s="5">
        <v>39782</v>
      </c>
      <c r="H444" s="4" t="s">
        <v>16</v>
      </c>
      <c r="I444" s="6">
        <v>169236.18</v>
      </c>
      <c r="J444" s="6">
        <v>50770.85</v>
      </c>
      <c r="K444" s="37" t="s">
        <v>790</v>
      </c>
      <c r="L444" s="119"/>
      <c r="M444" s="3"/>
    </row>
    <row r="445" spans="1:13" s="4" customFormat="1" ht="51" x14ac:dyDescent="0.25">
      <c r="A445" s="4" t="s">
        <v>863</v>
      </c>
      <c r="B445" s="4" t="s">
        <v>13</v>
      </c>
      <c r="C445" s="37" t="s">
        <v>790</v>
      </c>
      <c r="D445" s="35">
        <v>3887</v>
      </c>
      <c r="E445" s="4" t="s">
        <v>864</v>
      </c>
      <c r="F445" s="5">
        <v>39770</v>
      </c>
      <c r="G445" s="5">
        <v>39871</v>
      </c>
      <c r="H445" s="4" t="s">
        <v>16</v>
      </c>
      <c r="I445" s="6">
        <v>7300</v>
      </c>
      <c r="J445" s="6">
        <v>2160</v>
      </c>
      <c r="K445" s="37" t="s">
        <v>790</v>
      </c>
      <c r="L445" s="119"/>
      <c r="M445" s="3"/>
    </row>
    <row r="446" spans="1:13" s="4" customFormat="1" ht="25.5" x14ac:dyDescent="0.25">
      <c r="A446" s="4" t="s">
        <v>865</v>
      </c>
      <c r="B446" s="4" t="s">
        <v>13</v>
      </c>
      <c r="C446" s="37" t="s">
        <v>790</v>
      </c>
      <c r="D446" s="35">
        <v>3888</v>
      </c>
      <c r="E446" s="4" t="s">
        <v>866</v>
      </c>
      <c r="F446" s="5">
        <v>39562</v>
      </c>
      <c r="G446" s="5">
        <v>39791</v>
      </c>
      <c r="H446" s="4" t="s">
        <v>16</v>
      </c>
      <c r="I446" s="6">
        <v>14508.8</v>
      </c>
      <c r="J446" s="6">
        <v>3600</v>
      </c>
      <c r="K446" s="37" t="s">
        <v>790</v>
      </c>
      <c r="L446" s="119"/>
      <c r="M446" s="3"/>
    </row>
    <row r="447" spans="1:13" s="4" customFormat="1" ht="38.25" x14ac:dyDescent="0.25">
      <c r="A447" s="4" t="s">
        <v>867</v>
      </c>
      <c r="B447" s="4" t="s">
        <v>13</v>
      </c>
      <c r="C447" s="37" t="s">
        <v>790</v>
      </c>
      <c r="D447" s="35">
        <v>3889</v>
      </c>
      <c r="E447" s="4" t="s">
        <v>868</v>
      </c>
      <c r="F447" s="5">
        <v>39821</v>
      </c>
      <c r="G447" s="5">
        <v>39962</v>
      </c>
      <c r="H447" s="4" t="s">
        <v>16</v>
      </c>
      <c r="I447" s="6">
        <v>22400</v>
      </c>
      <c r="J447" s="6">
        <v>6720</v>
      </c>
      <c r="K447" s="37" t="s">
        <v>790</v>
      </c>
      <c r="L447" s="119"/>
      <c r="M447" s="3"/>
    </row>
    <row r="448" spans="1:13" s="4" customFormat="1" ht="63.75" x14ac:dyDescent="0.25">
      <c r="A448" s="4" t="s">
        <v>839</v>
      </c>
      <c r="B448" s="4" t="s">
        <v>13</v>
      </c>
      <c r="C448" s="37" t="s">
        <v>790</v>
      </c>
      <c r="D448" s="35">
        <v>3892</v>
      </c>
      <c r="E448" s="4" t="s">
        <v>869</v>
      </c>
      <c r="F448" s="5">
        <v>39671</v>
      </c>
      <c r="G448" s="5">
        <v>39933</v>
      </c>
      <c r="H448" s="4" t="s">
        <v>16</v>
      </c>
      <c r="I448" s="6">
        <v>12460</v>
      </c>
      <c r="J448" s="6">
        <v>3341</v>
      </c>
      <c r="K448" s="37" t="s">
        <v>790</v>
      </c>
      <c r="L448" s="119"/>
      <c r="M448" s="3"/>
    </row>
    <row r="449" spans="1:13" s="4" customFormat="1" ht="76.5" x14ac:dyDescent="0.25">
      <c r="A449" s="4" t="s">
        <v>870</v>
      </c>
      <c r="B449" s="4" t="s">
        <v>13</v>
      </c>
      <c r="C449" s="37" t="s">
        <v>790</v>
      </c>
      <c r="D449" s="35">
        <v>3899</v>
      </c>
      <c r="E449" s="7" t="s">
        <v>871</v>
      </c>
      <c r="F449" s="5">
        <v>39556</v>
      </c>
      <c r="G449" s="5">
        <v>39776</v>
      </c>
      <c r="H449" s="4" t="s">
        <v>16</v>
      </c>
      <c r="I449" s="6">
        <v>4800925.37</v>
      </c>
      <c r="J449" s="6">
        <v>1380000</v>
      </c>
      <c r="K449" s="37" t="s">
        <v>790</v>
      </c>
      <c r="L449" s="119"/>
      <c r="M449" s="3"/>
    </row>
    <row r="450" spans="1:13" s="4" customFormat="1" ht="38.25" x14ac:dyDescent="0.25">
      <c r="A450" s="4" t="s">
        <v>872</v>
      </c>
      <c r="B450" s="4" t="s">
        <v>13</v>
      </c>
      <c r="C450" s="37" t="s">
        <v>790</v>
      </c>
      <c r="D450" s="35">
        <v>3904</v>
      </c>
      <c r="E450" s="4" t="s">
        <v>873</v>
      </c>
      <c r="F450" s="5">
        <v>39521</v>
      </c>
      <c r="G450" s="5">
        <v>40267</v>
      </c>
      <c r="H450" s="4" t="s">
        <v>16</v>
      </c>
      <c r="I450" s="6">
        <v>161670</v>
      </c>
      <c r="J450" s="6">
        <v>24764</v>
      </c>
      <c r="K450" s="37" t="s">
        <v>790</v>
      </c>
      <c r="L450" s="119"/>
      <c r="M450" s="3"/>
    </row>
    <row r="451" spans="1:13" s="4" customFormat="1" ht="51" x14ac:dyDescent="0.25">
      <c r="A451" s="4" t="s">
        <v>874</v>
      </c>
      <c r="B451" s="4" t="s">
        <v>13</v>
      </c>
      <c r="C451" s="37" t="s">
        <v>790</v>
      </c>
      <c r="D451" s="35">
        <v>3906</v>
      </c>
      <c r="E451" s="4" t="s">
        <v>875</v>
      </c>
      <c r="F451" s="5">
        <v>39979</v>
      </c>
      <c r="G451" s="5">
        <v>40533</v>
      </c>
      <c r="H451" s="4" t="s">
        <v>16</v>
      </c>
      <c r="I451" s="6">
        <v>143020</v>
      </c>
      <c r="J451" s="6">
        <v>42906</v>
      </c>
      <c r="K451" s="37" t="s">
        <v>790</v>
      </c>
      <c r="L451" s="119"/>
      <c r="M451" s="3"/>
    </row>
    <row r="452" spans="1:13" s="4" customFormat="1" ht="25.5" x14ac:dyDescent="0.25">
      <c r="A452" s="4" t="s">
        <v>876</v>
      </c>
      <c r="B452" s="4" t="s">
        <v>13</v>
      </c>
      <c r="C452" s="37" t="s">
        <v>790</v>
      </c>
      <c r="D452" s="35">
        <v>3908</v>
      </c>
      <c r="E452" s="4" t="s">
        <v>877</v>
      </c>
      <c r="F452" s="5">
        <v>39545</v>
      </c>
      <c r="G452" s="5">
        <v>40088</v>
      </c>
      <c r="H452" s="4" t="s">
        <v>16</v>
      </c>
      <c r="I452" s="6">
        <v>17000</v>
      </c>
      <c r="J452" s="6">
        <v>6000</v>
      </c>
      <c r="K452" s="37" t="s">
        <v>790</v>
      </c>
      <c r="L452" s="119"/>
      <c r="M452" s="3"/>
    </row>
    <row r="453" spans="1:13" s="4" customFormat="1" x14ac:dyDescent="0.25">
      <c r="A453" s="4" t="s">
        <v>878</v>
      </c>
      <c r="B453" s="4" t="s">
        <v>13</v>
      </c>
      <c r="C453" s="37" t="s">
        <v>790</v>
      </c>
      <c r="D453" s="35">
        <v>3943</v>
      </c>
      <c r="E453" s="4" t="s">
        <v>879</v>
      </c>
      <c r="F453" s="5">
        <v>39966</v>
      </c>
      <c r="G453" s="5">
        <v>40217</v>
      </c>
      <c r="H453" s="4" t="s">
        <v>16</v>
      </c>
      <c r="I453" s="6">
        <v>3461</v>
      </c>
      <c r="J453" s="6">
        <v>1038</v>
      </c>
      <c r="K453" s="37" t="s">
        <v>790</v>
      </c>
      <c r="L453" s="119"/>
      <c r="M453" s="3"/>
    </row>
    <row r="454" spans="1:13" s="4" customFormat="1" ht="51" x14ac:dyDescent="0.25">
      <c r="A454" s="4" t="s">
        <v>880</v>
      </c>
      <c r="B454" s="4" t="s">
        <v>13</v>
      </c>
      <c r="C454" s="37" t="s">
        <v>790</v>
      </c>
      <c r="D454" s="35">
        <v>4141</v>
      </c>
      <c r="E454" s="4" t="s">
        <v>881</v>
      </c>
      <c r="F454" s="5">
        <v>39966</v>
      </c>
      <c r="G454" s="5">
        <v>40170</v>
      </c>
      <c r="H454" s="4" t="s">
        <v>16</v>
      </c>
      <c r="I454" s="6">
        <v>40500</v>
      </c>
      <c r="J454" s="6">
        <v>12150</v>
      </c>
      <c r="K454" s="37" t="s">
        <v>790</v>
      </c>
      <c r="L454" s="119"/>
      <c r="M454" s="3"/>
    </row>
    <row r="455" spans="1:13" s="4" customFormat="1" ht="25.5" x14ac:dyDescent="0.25">
      <c r="A455" s="4" t="s">
        <v>882</v>
      </c>
      <c r="B455" s="4" t="s">
        <v>13</v>
      </c>
      <c r="C455" s="37" t="s">
        <v>790</v>
      </c>
      <c r="D455" s="35">
        <v>4146</v>
      </c>
      <c r="E455" s="4" t="s">
        <v>883</v>
      </c>
      <c r="F455" s="5">
        <v>39637</v>
      </c>
      <c r="G455" s="5">
        <v>39776</v>
      </c>
      <c r="H455" s="4" t="s">
        <v>16</v>
      </c>
      <c r="I455" s="6">
        <v>28193.83</v>
      </c>
      <c r="J455" s="6">
        <v>8458.15</v>
      </c>
      <c r="K455" s="37" t="s">
        <v>790</v>
      </c>
      <c r="L455" s="119"/>
      <c r="M455" s="3"/>
    </row>
    <row r="456" spans="1:13" s="4" customFormat="1" ht="38.25" x14ac:dyDescent="0.25">
      <c r="A456" s="4" t="s">
        <v>884</v>
      </c>
      <c r="B456" s="4" t="s">
        <v>13</v>
      </c>
      <c r="C456" s="37" t="s">
        <v>790</v>
      </c>
      <c r="D456" s="35">
        <v>4147</v>
      </c>
      <c r="E456" s="4" t="s">
        <v>885</v>
      </c>
      <c r="F456" s="5">
        <v>39792</v>
      </c>
      <c r="G456" s="5">
        <v>40053</v>
      </c>
      <c r="H456" s="4" t="s">
        <v>16</v>
      </c>
      <c r="I456" s="6">
        <v>48000</v>
      </c>
      <c r="J456" s="6">
        <v>9600</v>
      </c>
      <c r="K456" s="37" t="s">
        <v>790</v>
      </c>
      <c r="L456" s="119"/>
      <c r="M456" s="3"/>
    </row>
    <row r="457" spans="1:13" s="4" customFormat="1" ht="76.5" x14ac:dyDescent="0.25">
      <c r="A457" s="4" t="s">
        <v>886</v>
      </c>
      <c r="B457" s="4" t="s">
        <v>13</v>
      </c>
      <c r="C457" s="37" t="s">
        <v>790</v>
      </c>
      <c r="D457" s="35">
        <v>4148</v>
      </c>
      <c r="E457" s="4" t="s">
        <v>887</v>
      </c>
      <c r="F457" s="5">
        <v>39128</v>
      </c>
      <c r="G457" s="5">
        <v>39377</v>
      </c>
      <c r="H457" s="4" t="s">
        <v>16</v>
      </c>
      <c r="I457" s="6">
        <v>53312.69</v>
      </c>
      <c r="J457" s="6">
        <v>12580</v>
      </c>
      <c r="K457" s="37" t="s">
        <v>790</v>
      </c>
      <c r="L457" s="119"/>
      <c r="M457" s="3"/>
    </row>
    <row r="458" spans="1:13" s="4" customFormat="1" x14ac:dyDescent="0.25">
      <c r="A458" s="4" t="s">
        <v>828</v>
      </c>
      <c r="B458" s="4" t="s">
        <v>13</v>
      </c>
      <c r="C458" s="37" t="s">
        <v>790</v>
      </c>
      <c r="D458" s="35">
        <v>4149</v>
      </c>
      <c r="E458" s="4" t="s">
        <v>888</v>
      </c>
      <c r="F458" s="5">
        <v>39336</v>
      </c>
      <c r="G458" s="5">
        <v>39507</v>
      </c>
      <c r="H458" s="4" t="s">
        <v>16</v>
      </c>
      <c r="I458" s="6">
        <v>20000</v>
      </c>
      <c r="J458" s="6">
        <v>5760</v>
      </c>
      <c r="K458" s="37" t="s">
        <v>790</v>
      </c>
      <c r="L458" s="119"/>
      <c r="M458" s="3"/>
    </row>
    <row r="459" spans="1:13" s="4" customFormat="1" ht="63.75" x14ac:dyDescent="0.25">
      <c r="A459" s="4" t="s">
        <v>889</v>
      </c>
      <c r="B459" s="4" t="s">
        <v>13</v>
      </c>
      <c r="C459" s="37" t="s">
        <v>790</v>
      </c>
      <c r="D459" s="35">
        <v>4154</v>
      </c>
      <c r="E459" s="4" t="s">
        <v>890</v>
      </c>
      <c r="F459" s="5">
        <v>39821</v>
      </c>
      <c r="G459" s="5">
        <v>40116</v>
      </c>
      <c r="H459" s="4" t="s">
        <v>16</v>
      </c>
      <c r="I459" s="6">
        <v>18012</v>
      </c>
      <c r="J459" s="6">
        <v>3861</v>
      </c>
      <c r="K459" s="37" t="s">
        <v>790</v>
      </c>
      <c r="L459" s="119"/>
      <c r="M459" s="3"/>
    </row>
    <row r="460" spans="1:13" s="4" customFormat="1" ht="25.5" x14ac:dyDescent="0.25">
      <c r="A460" s="4" t="s">
        <v>867</v>
      </c>
      <c r="B460" s="4" t="s">
        <v>13</v>
      </c>
      <c r="C460" s="37" t="s">
        <v>790</v>
      </c>
      <c r="D460" s="35">
        <v>4156</v>
      </c>
      <c r="E460" s="4" t="s">
        <v>891</v>
      </c>
      <c r="F460" s="5">
        <v>39961</v>
      </c>
      <c r="G460" s="5">
        <v>40170</v>
      </c>
      <c r="H460" s="4" t="s">
        <v>16</v>
      </c>
      <c r="I460" s="6">
        <v>27942</v>
      </c>
      <c r="J460" s="6">
        <v>8382.6</v>
      </c>
      <c r="K460" s="37" t="s">
        <v>790</v>
      </c>
      <c r="L460" s="119"/>
      <c r="M460" s="3"/>
    </row>
    <row r="461" spans="1:13" s="4" customFormat="1" ht="38.25" x14ac:dyDescent="0.25">
      <c r="A461" s="4" t="s">
        <v>892</v>
      </c>
      <c r="B461" s="4" t="s">
        <v>13</v>
      </c>
      <c r="C461" s="37" t="s">
        <v>790</v>
      </c>
      <c r="D461" s="35">
        <v>4159</v>
      </c>
      <c r="E461" s="4" t="s">
        <v>893</v>
      </c>
      <c r="F461" s="5">
        <v>39415</v>
      </c>
      <c r="G461" s="5">
        <v>39570</v>
      </c>
      <c r="H461" s="4" t="s">
        <v>16</v>
      </c>
      <c r="I461" s="6">
        <v>7800</v>
      </c>
      <c r="J461" s="6">
        <v>1920</v>
      </c>
      <c r="K461" s="37" t="s">
        <v>790</v>
      </c>
      <c r="L461" s="119"/>
      <c r="M461" s="3"/>
    </row>
    <row r="462" spans="1:13" s="4" customFormat="1" ht="25.5" x14ac:dyDescent="0.25">
      <c r="A462" s="4" t="s">
        <v>894</v>
      </c>
      <c r="B462" s="4" t="s">
        <v>13</v>
      </c>
      <c r="C462" s="37" t="s">
        <v>790</v>
      </c>
      <c r="D462" s="35">
        <v>4160</v>
      </c>
      <c r="E462" s="4" t="s">
        <v>895</v>
      </c>
      <c r="F462" s="5">
        <v>39188</v>
      </c>
      <c r="G462" s="5">
        <v>39752</v>
      </c>
      <c r="H462" s="4" t="s">
        <v>16</v>
      </c>
      <c r="I462" s="6">
        <v>23646.799999999999</v>
      </c>
      <c r="J462" s="6">
        <v>7094.04</v>
      </c>
      <c r="K462" s="37" t="s">
        <v>790</v>
      </c>
      <c r="L462" s="119"/>
      <c r="M462" s="3"/>
    </row>
    <row r="463" spans="1:13" s="4" customFormat="1" ht="25.5" x14ac:dyDescent="0.25">
      <c r="A463" s="4" t="s">
        <v>859</v>
      </c>
      <c r="B463" s="4" t="s">
        <v>13</v>
      </c>
      <c r="C463" s="37" t="s">
        <v>790</v>
      </c>
      <c r="D463" s="35">
        <v>4162</v>
      </c>
      <c r="E463" s="4" t="s">
        <v>896</v>
      </c>
      <c r="F463" s="5">
        <v>39582</v>
      </c>
      <c r="G463" s="5">
        <v>39776</v>
      </c>
      <c r="H463" s="4" t="s">
        <v>16</v>
      </c>
      <c r="I463" s="6">
        <v>6167.4</v>
      </c>
      <c r="J463" s="6">
        <v>1526</v>
      </c>
      <c r="K463" s="37" t="s">
        <v>790</v>
      </c>
      <c r="L463" s="119"/>
      <c r="M463" s="3"/>
    </row>
    <row r="464" spans="1:13" s="4" customFormat="1" ht="76.5" x14ac:dyDescent="0.25">
      <c r="A464" s="4" t="s">
        <v>897</v>
      </c>
      <c r="B464" s="4" t="s">
        <v>13</v>
      </c>
      <c r="C464" s="37" t="s">
        <v>790</v>
      </c>
      <c r="D464" s="35">
        <v>4164</v>
      </c>
      <c r="E464" s="4" t="s">
        <v>898</v>
      </c>
      <c r="F464" s="5">
        <v>39961</v>
      </c>
      <c r="G464" s="5">
        <v>40087</v>
      </c>
      <c r="H464" s="4" t="s">
        <v>16</v>
      </c>
      <c r="I464" s="6">
        <v>6535</v>
      </c>
      <c r="J464" s="6">
        <v>1961</v>
      </c>
      <c r="K464" s="37" t="s">
        <v>790</v>
      </c>
      <c r="L464" s="119"/>
      <c r="M464" s="3"/>
    </row>
    <row r="465" spans="1:13" s="4" customFormat="1" ht="25.5" x14ac:dyDescent="0.25">
      <c r="A465" s="4" t="s">
        <v>899</v>
      </c>
      <c r="B465" s="4" t="s">
        <v>13</v>
      </c>
      <c r="C465" s="37" t="s">
        <v>790</v>
      </c>
      <c r="D465" s="35">
        <v>4165</v>
      </c>
      <c r="E465" s="4" t="s">
        <v>900</v>
      </c>
      <c r="F465" s="5">
        <v>39759</v>
      </c>
      <c r="G465" s="5">
        <v>39962</v>
      </c>
      <c r="H465" s="4" t="s">
        <v>16</v>
      </c>
      <c r="I465" s="6">
        <v>5287</v>
      </c>
      <c r="J465" s="6">
        <v>1500</v>
      </c>
      <c r="K465" s="37" t="s">
        <v>790</v>
      </c>
      <c r="L465" s="119"/>
      <c r="M465" s="3"/>
    </row>
    <row r="466" spans="1:13" s="4" customFormat="1" ht="63.75" x14ac:dyDescent="0.25">
      <c r="A466" s="4" t="s">
        <v>901</v>
      </c>
      <c r="B466" s="4" t="s">
        <v>13</v>
      </c>
      <c r="C466" s="37" t="s">
        <v>790</v>
      </c>
      <c r="D466" s="35">
        <v>4166</v>
      </c>
      <c r="E466" s="4" t="s">
        <v>902</v>
      </c>
      <c r="F466" s="5">
        <v>39921</v>
      </c>
      <c r="G466" s="5">
        <v>40330</v>
      </c>
      <c r="H466" s="4" t="s">
        <v>16</v>
      </c>
      <c r="I466" s="6">
        <v>63737</v>
      </c>
      <c r="J466" s="6">
        <v>17550</v>
      </c>
      <c r="K466" s="37" t="s">
        <v>790</v>
      </c>
      <c r="L466" s="119"/>
      <c r="M466" s="3"/>
    </row>
    <row r="467" spans="1:13" s="4" customFormat="1" ht="25.5" x14ac:dyDescent="0.25">
      <c r="A467" s="4" t="s">
        <v>903</v>
      </c>
      <c r="B467" s="4" t="s">
        <v>13</v>
      </c>
      <c r="C467" s="37" t="s">
        <v>790</v>
      </c>
      <c r="D467" s="35">
        <v>4167</v>
      </c>
      <c r="E467" s="4" t="s">
        <v>904</v>
      </c>
      <c r="F467" s="5">
        <v>39962</v>
      </c>
      <c r="G467" s="5">
        <v>40025</v>
      </c>
      <c r="H467" s="4" t="s">
        <v>16</v>
      </c>
      <c r="I467" s="6">
        <v>3862.11</v>
      </c>
      <c r="J467" s="6">
        <v>1158</v>
      </c>
      <c r="K467" s="37" t="s">
        <v>790</v>
      </c>
      <c r="L467" s="119"/>
      <c r="M467" s="3"/>
    </row>
    <row r="468" spans="1:13" s="4" customFormat="1" ht="38.25" x14ac:dyDescent="0.25">
      <c r="A468" s="4" t="s">
        <v>799</v>
      </c>
      <c r="B468" s="4" t="s">
        <v>13</v>
      </c>
      <c r="C468" s="37" t="s">
        <v>790</v>
      </c>
      <c r="D468" s="35">
        <v>4168</v>
      </c>
      <c r="E468" s="4" t="s">
        <v>905</v>
      </c>
      <c r="F468" s="5">
        <v>40017</v>
      </c>
      <c r="G468" s="5">
        <v>40269</v>
      </c>
      <c r="H468" s="4" t="s">
        <v>16</v>
      </c>
      <c r="I468" s="6">
        <v>13134</v>
      </c>
      <c r="J468" s="6">
        <v>3379</v>
      </c>
      <c r="K468" s="37" t="s">
        <v>790</v>
      </c>
      <c r="L468" s="119"/>
      <c r="M468" s="3"/>
    </row>
    <row r="469" spans="1:13" s="4" customFormat="1" x14ac:dyDescent="0.25">
      <c r="A469" s="4" t="s">
        <v>906</v>
      </c>
      <c r="B469" s="4" t="s">
        <v>13</v>
      </c>
      <c r="C469" s="37" t="s">
        <v>790</v>
      </c>
      <c r="D469" s="35">
        <v>9480</v>
      </c>
      <c r="E469" s="4" t="s">
        <v>907</v>
      </c>
      <c r="F469" s="5">
        <v>40017</v>
      </c>
      <c r="G469" s="5">
        <v>40147</v>
      </c>
      <c r="H469" s="4" t="s">
        <v>16</v>
      </c>
      <c r="I469" s="6">
        <v>12253</v>
      </c>
      <c r="J469" s="6">
        <v>3675</v>
      </c>
      <c r="K469" s="37" t="s">
        <v>790</v>
      </c>
      <c r="L469" s="119"/>
      <c r="M469" s="3"/>
    </row>
    <row r="470" spans="1:13" s="4" customFormat="1" ht="25.5" x14ac:dyDescent="0.25">
      <c r="A470" s="4" t="s">
        <v>908</v>
      </c>
      <c r="B470" s="4" t="s">
        <v>13</v>
      </c>
      <c r="C470" s="37" t="s">
        <v>790</v>
      </c>
      <c r="D470" s="35">
        <v>9872</v>
      </c>
      <c r="E470" s="4" t="s">
        <v>909</v>
      </c>
      <c r="F470" s="5">
        <v>40035</v>
      </c>
      <c r="G470" s="5">
        <v>40217</v>
      </c>
      <c r="H470" s="4" t="s">
        <v>16</v>
      </c>
      <c r="I470" s="6">
        <f>44365.35+1.42</f>
        <v>44366.77</v>
      </c>
      <c r="J470" s="6">
        <v>7260</v>
      </c>
      <c r="K470" s="37" t="s">
        <v>790</v>
      </c>
      <c r="L470" s="119"/>
      <c r="M470" s="3"/>
    </row>
    <row r="471" spans="1:13" s="4" customFormat="1" ht="25.5" x14ac:dyDescent="0.25">
      <c r="A471" s="4" t="s">
        <v>910</v>
      </c>
      <c r="B471" s="4" t="s">
        <v>13</v>
      </c>
      <c r="C471" s="37" t="s">
        <v>790</v>
      </c>
      <c r="D471" s="35">
        <v>9874</v>
      </c>
      <c r="E471" s="4" t="s">
        <v>911</v>
      </c>
      <c r="F471" s="5">
        <v>40354</v>
      </c>
      <c r="G471" s="5">
        <v>40466</v>
      </c>
      <c r="H471" s="4" t="s">
        <v>16</v>
      </c>
      <c r="I471" s="6">
        <v>47731.4</v>
      </c>
      <c r="J471" s="6">
        <v>14319</v>
      </c>
      <c r="K471" s="37" t="s">
        <v>790</v>
      </c>
      <c r="L471" s="119"/>
      <c r="M471" s="3"/>
    </row>
    <row r="472" spans="1:13" s="4" customFormat="1" ht="25.5" x14ac:dyDescent="0.25">
      <c r="A472" s="4" t="s">
        <v>912</v>
      </c>
      <c r="B472" s="4" t="s">
        <v>13</v>
      </c>
      <c r="C472" s="37" t="s">
        <v>790</v>
      </c>
      <c r="D472" s="35">
        <v>9881</v>
      </c>
      <c r="E472" s="4" t="s">
        <v>913</v>
      </c>
      <c r="F472" s="5">
        <v>40318</v>
      </c>
      <c r="G472" s="5">
        <v>40542</v>
      </c>
      <c r="H472" s="4" t="s">
        <v>16</v>
      </c>
      <c r="I472" s="6">
        <v>18127</v>
      </c>
      <c r="J472" s="8">
        <v>5232</v>
      </c>
      <c r="K472" s="37" t="s">
        <v>790</v>
      </c>
      <c r="L472" s="119"/>
      <c r="M472" s="3"/>
    </row>
    <row r="473" spans="1:13" s="4" customFormat="1" ht="25.5" x14ac:dyDescent="0.25">
      <c r="A473" s="4" t="s">
        <v>914</v>
      </c>
      <c r="B473" s="4" t="s">
        <v>13</v>
      </c>
      <c r="C473" s="37" t="s">
        <v>790</v>
      </c>
      <c r="D473" s="35">
        <v>9887</v>
      </c>
      <c r="E473" s="4" t="s">
        <v>915</v>
      </c>
      <c r="F473" s="5">
        <v>40424</v>
      </c>
      <c r="G473" s="5">
        <v>40494</v>
      </c>
      <c r="H473" s="4" t="s">
        <v>16</v>
      </c>
      <c r="I473" s="6">
        <v>10300</v>
      </c>
      <c r="J473" s="6">
        <v>3090</v>
      </c>
      <c r="K473" s="37" t="s">
        <v>790</v>
      </c>
      <c r="L473" s="119"/>
      <c r="M473" s="3"/>
    </row>
    <row r="474" spans="1:13" s="4" customFormat="1" x14ac:dyDescent="0.25">
      <c r="A474" s="4" t="s">
        <v>916</v>
      </c>
      <c r="B474" s="4" t="s">
        <v>13</v>
      </c>
      <c r="C474" s="37" t="s">
        <v>790</v>
      </c>
      <c r="D474" s="35">
        <v>9894</v>
      </c>
      <c r="E474" s="4" t="s">
        <v>917</v>
      </c>
      <c r="F474" s="5">
        <v>40302</v>
      </c>
      <c r="G474" s="5">
        <v>40508</v>
      </c>
      <c r="H474" s="4" t="s">
        <v>16</v>
      </c>
      <c r="I474" s="6">
        <v>189566</v>
      </c>
      <c r="J474" s="6">
        <v>36965</v>
      </c>
      <c r="K474" s="37" t="s">
        <v>790</v>
      </c>
      <c r="L474" s="119"/>
      <c r="M474" s="3"/>
    </row>
    <row r="475" spans="1:13" s="4" customFormat="1" ht="25.5" x14ac:dyDescent="0.25">
      <c r="A475" s="4" t="s">
        <v>918</v>
      </c>
      <c r="B475" s="4" t="s">
        <v>13</v>
      </c>
      <c r="C475" s="37" t="s">
        <v>790</v>
      </c>
      <c r="D475" s="35">
        <v>9921</v>
      </c>
      <c r="E475" s="4" t="s">
        <v>919</v>
      </c>
      <c r="F475" s="5">
        <v>40347</v>
      </c>
      <c r="G475" s="5">
        <v>40500</v>
      </c>
      <c r="H475" s="4" t="s">
        <v>16</v>
      </c>
      <c r="I475" s="6">
        <v>24270</v>
      </c>
      <c r="J475" s="6">
        <v>3837.9</v>
      </c>
      <c r="K475" s="37" t="s">
        <v>790</v>
      </c>
      <c r="L475" s="119"/>
      <c r="M475" s="3"/>
    </row>
    <row r="476" spans="1:13" s="4" customFormat="1" ht="25.5" x14ac:dyDescent="0.25">
      <c r="A476" s="4" t="s">
        <v>920</v>
      </c>
      <c r="B476" s="4" t="s">
        <v>13</v>
      </c>
      <c r="C476" s="37" t="s">
        <v>790</v>
      </c>
      <c r="D476" s="35">
        <v>9939</v>
      </c>
      <c r="E476" s="4" t="s">
        <v>921</v>
      </c>
      <c r="F476" s="5">
        <v>40003</v>
      </c>
      <c r="G476" s="5">
        <v>40269</v>
      </c>
      <c r="H476" s="4" t="s">
        <v>16</v>
      </c>
      <c r="I476" s="6">
        <v>7140.83</v>
      </c>
      <c r="J476" s="6">
        <v>2142.25</v>
      </c>
      <c r="K476" s="37" t="s">
        <v>790</v>
      </c>
      <c r="L476" s="119"/>
      <c r="M476" s="3"/>
    </row>
    <row r="477" spans="1:13" s="4" customFormat="1" ht="25.5" x14ac:dyDescent="0.25">
      <c r="A477" s="4" t="s">
        <v>922</v>
      </c>
      <c r="B477" s="4" t="s">
        <v>13</v>
      </c>
      <c r="C477" s="37" t="s">
        <v>790</v>
      </c>
      <c r="D477" s="35">
        <v>9942</v>
      </c>
      <c r="E477" s="4" t="s">
        <v>923</v>
      </c>
      <c r="F477" s="5">
        <v>40204</v>
      </c>
      <c r="G477" s="5">
        <v>40269</v>
      </c>
      <c r="H477" s="4" t="s">
        <v>16</v>
      </c>
      <c r="I477" s="6">
        <v>3690</v>
      </c>
      <c r="J477" s="6">
        <v>1107</v>
      </c>
      <c r="K477" s="37" t="s">
        <v>790</v>
      </c>
      <c r="L477" s="119"/>
      <c r="M477" s="3"/>
    </row>
    <row r="478" spans="1:13" s="4" customFormat="1" x14ac:dyDescent="0.25">
      <c r="A478" s="4" t="s">
        <v>924</v>
      </c>
      <c r="B478" s="4" t="s">
        <v>13</v>
      </c>
      <c r="C478" s="37" t="s">
        <v>790</v>
      </c>
      <c r="D478" s="35">
        <v>9964</v>
      </c>
      <c r="E478" s="4" t="s">
        <v>385</v>
      </c>
      <c r="F478" s="5">
        <v>40493</v>
      </c>
      <c r="G478" s="5">
        <v>40533</v>
      </c>
      <c r="H478" s="4" t="s">
        <v>16</v>
      </c>
      <c r="I478" s="6">
        <v>6134.52</v>
      </c>
      <c r="J478" s="6">
        <v>1840</v>
      </c>
      <c r="K478" s="37" t="s">
        <v>790</v>
      </c>
      <c r="L478" s="119"/>
      <c r="M478" s="3"/>
    </row>
    <row r="479" spans="1:13" s="4" customFormat="1" x14ac:dyDescent="0.25">
      <c r="A479" s="4" t="s">
        <v>925</v>
      </c>
      <c r="B479" s="4" t="s">
        <v>13</v>
      </c>
      <c r="C479" s="37" t="s">
        <v>790</v>
      </c>
      <c r="D479" s="35">
        <v>9971</v>
      </c>
      <c r="E479" s="4" t="s">
        <v>926</v>
      </c>
      <c r="F479" s="5">
        <v>40526</v>
      </c>
      <c r="G479" s="5">
        <v>40709</v>
      </c>
      <c r="H479" s="4" t="s">
        <v>16</v>
      </c>
      <c r="I479" s="6">
        <v>9809.69</v>
      </c>
      <c r="J479" s="6">
        <v>2942.7</v>
      </c>
      <c r="K479" s="37" t="s">
        <v>790</v>
      </c>
      <c r="L479" s="119"/>
      <c r="M479" s="3"/>
    </row>
    <row r="480" spans="1:13" s="4" customFormat="1" x14ac:dyDescent="0.25">
      <c r="A480" s="4" t="s">
        <v>927</v>
      </c>
      <c r="B480" s="4" t="s">
        <v>13</v>
      </c>
      <c r="C480" s="37" t="s">
        <v>790</v>
      </c>
      <c r="D480" s="35">
        <v>9999</v>
      </c>
      <c r="E480" s="4" t="s">
        <v>928</v>
      </c>
      <c r="F480" s="5">
        <v>40221</v>
      </c>
      <c r="G480" s="5">
        <v>40309</v>
      </c>
      <c r="H480" s="4" t="s">
        <v>16</v>
      </c>
      <c r="I480" s="6">
        <v>4072.11</v>
      </c>
      <c r="J480" s="6">
        <v>1221</v>
      </c>
      <c r="K480" s="37" t="s">
        <v>790</v>
      </c>
      <c r="L480" s="119"/>
      <c r="M480" s="3"/>
    </row>
    <row r="481" spans="1:13" s="4" customFormat="1" ht="63.75" x14ac:dyDescent="0.25">
      <c r="A481" s="4" t="s">
        <v>929</v>
      </c>
      <c r="B481" s="4" t="s">
        <v>13</v>
      </c>
      <c r="C481" s="37" t="s">
        <v>790</v>
      </c>
      <c r="D481" s="35">
        <v>10007</v>
      </c>
      <c r="E481" s="4" t="s">
        <v>930</v>
      </c>
      <c r="F481" s="5">
        <v>39833</v>
      </c>
      <c r="G481" s="5">
        <v>40364</v>
      </c>
      <c r="H481" s="4" t="s">
        <v>16</v>
      </c>
      <c r="I481" s="6">
        <v>35000</v>
      </c>
      <c r="J481" s="6">
        <v>14000</v>
      </c>
      <c r="K481" s="37" t="s">
        <v>790</v>
      </c>
      <c r="L481" s="119"/>
      <c r="M481" s="3"/>
    </row>
    <row r="482" spans="1:13" s="4" customFormat="1" x14ac:dyDescent="0.25">
      <c r="A482" s="4" t="s">
        <v>931</v>
      </c>
      <c r="B482" s="4" t="s">
        <v>13</v>
      </c>
      <c r="C482" s="37" t="s">
        <v>790</v>
      </c>
      <c r="D482" s="35">
        <v>10047</v>
      </c>
      <c r="E482" s="4" t="s">
        <v>932</v>
      </c>
      <c r="F482" s="5">
        <v>40387</v>
      </c>
      <c r="G482" s="5">
        <v>40494</v>
      </c>
      <c r="H482" s="4" t="s">
        <v>16</v>
      </c>
      <c r="I482" s="6">
        <v>4247.93</v>
      </c>
      <c r="J482" s="6">
        <v>1169</v>
      </c>
      <c r="K482" s="37" t="s">
        <v>790</v>
      </c>
      <c r="L482" s="119"/>
      <c r="M482" s="3"/>
    </row>
    <row r="483" spans="1:13" s="4" customFormat="1" ht="25.5" x14ac:dyDescent="0.25">
      <c r="A483" s="4" t="s">
        <v>933</v>
      </c>
      <c r="B483" s="4" t="s">
        <v>13</v>
      </c>
      <c r="C483" s="37" t="s">
        <v>790</v>
      </c>
      <c r="D483" s="35">
        <v>10054</v>
      </c>
      <c r="E483" s="4" t="s">
        <v>934</v>
      </c>
      <c r="F483" s="5">
        <v>40059</v>
      </c>
      <c r="G483" s="5">
        <v>40269</v>
      </c>
      <c r="H483" s="4" t="s">
        <v>16</v>
      </c>
      <c r="I483" s="6">
        <v>7398.84</v>
      </c>
      <c r="J483" s="6">
        <v>2219.65</v>
      </c>
      <c r="K483" s="37" t="s">
        <v>790</v>
      </c>
      <c r="L483" s="119"/>
      <c r="M483" s="3"/>
    </row>
    <row r="484" spans="1:13" s="4" customFormat="1" ht="25.5" x14ac:dyDescent="0.25">
      <c r="A484" s="4" t="s">
        <v>935</v>
      </c>
      <c r="B484" s="4" t="s">
        <v>13</v>
      </c>
      <c r="C484" s="37" t="s">
        <v>790</v>
      </c>
      <c r="D484" s="35">
        <v>10061</v>
      </c>
      <c r="E484" s="4" t="s">
        <v>936</v>
      </c>
      <c r="F484" s="5">
        <v>40534</v>
      </c>
      <c r="G484" s="5">
        <v>40717</v>
      </c>
      <c r="H484" s="4" t="s">
        <v>16</v>
      </c>
      <c r="I484" s="6">
        <v>34000</v>
      </c>
      <c r="J484" s="6">
        <v>9210</v>
      </c>
      <c r="K484" s="37" t="s">
        <v>790</v>
      </c>
      <c r="L484" s="119"/>
      <c r="M484" s="3"/>
    </row>
    <row r="485" spans="1:13" s="4" customFormat="1" ht="25.5" x14ac:dyDescent="0.25">
      <c r="A485" s="4" t="s">
        <v>937</v>
      </c>
      <c r="B485" s="4" t="s">
        <v>13</v>
      </c>
      <c r="C485" s="37" t="s">
        <v>790</v>
      </c>
      <c r="D485" s="35">
        <v>10140</v>
      </c>
      <c r="E485" s="4" t="s">
        <v>938</v>
      </c>
      <c r="F485" s="5">
        <v>40534</v>
      </c>
      <c r="G485" s="5">
        <v>40640</v>
      </c>
      <c r="H485" s="4" t="s">
        <v>16</v>
      </c>
      <c r="I485" s="6">
        <v>45794.2</v>
      </c>
      <c r="J485" s="6">
        <v>13738.2</v>
      </c>
      <c r="K485" s="37" t="s">
        <v>790</v>
      </c>
      <c r="L485" s="119"/>
      <c r="M485" s="3"/>
    </row>
    <row r="486" spans="1:13" s="4" customFormat="1" ht="51" x14ac:dyDescent="0.25">
      <c r="A486" s="4" t="s">
        <v>939</v>
      </c>
      <c r="B486" s="4" t="s">
        <v>13</v>
      </c>
      <c r="C486" s="37" t="s">
        <v>790</v>
      </c>
      <c r="D486" s="35">
        <v>10169</v>
      </c>
      <c r="E486" s="4" t="s">
        <v>940</v>
      </c>
      <c r="F486" s="5">
        <v>40017</v>
      </c>
      <c r="G486" s="5">
        <v>40309</v>
      </c>
      <c r="H486" s="4" t="s">
        <v>16</v>
      </c>
      <c r="I486" s="6">
        <v>6700</v>
      </c>
      <c r="J486" s="6">
        <v>2680</v>
      </c>
      <c r="K486" s="37" t="s">
        <v>790</v>
      </c>
      <c r="L486" s="119"/>
      <c r="M486" s="3"/>
    </row>
    <row r="487" spans="1:13" s="4" customFormat="1" ht="127.5" x14ac:dyDescent="0.25">
      <c r="A487" s="4" t="s">
        <v>941</v>
      </c>
      <c r="B487" s="4" t="s">
        <v>13</v>
      </c>
      <c r="C487" s="37" t="s">
        <v>790</v>
      </c>
      <c r="D487" s="35">
        <v>10198</v>
      </c>
      <c r="E487" s="7" t="s">
        <v>942</v>
      </c>
      <c r="F487" s="5">
        <v>40086</v>
      </c>
      <c r="G487" s="5">
        <v>40364</v>
      </c>
      <c r="H487" s="4" t="s">
        <v>16</v>
      </c>
      <c r="I487" s="6">
        <v>35549.019999999997</v>
      </c>
      <c r="J487" s="6">
        <v>14219.61</v>
      </c>
      <c r="K487" s="37" t="s">
        <v>790</v>
      </c>
      <c r="L487" s="119"/>
      <c r="M487" s="3"/>
    </row>
    <row r="488" spans="1:13" s="4" customFormat="1" ht="76.5" x14ac:dyDescent="0.25">
      <c r="A488" s="4" t="s">
        <v>943</v>
      </c>
      <c r="B488" s="4" t="s">
        <v>13</v>
      </c>
      <c r="C488" s="37" t="s">
        <v>790</v>
      </c>
      <c r="D488" s="35">
        <v>9376</v>
      </c>
      <c r="E488" s="4" t="s">
        <v>944</v>
      </c>
      <c r="F488" s="5">
        <v>39267</v>
      </c>
      <c r="G488" s="5">
        <v>39433</v>
      </c>
      <c r="H488" s="4" t="s">
        <v>389</v>
      </c>
      <c r="I488" s="6">
        <v>164941.01</v>
      </c>
      <c r="J488" s="8">
        <v>60000</v>
      </c>
      <c r="K488" s="37" t="s">
        <v>790</v>
      </c>
      <c r="L488" s="119"/>
      <c r="M488" s="3"/>
    </row>
    <row r="489" spans="1:13" s="4" customFormat="1" ht="38.25" x14ac:dyDescent="0.25">
      <c r="A489" s="4" t="s">
        <v>945</v>
      </c>
      <c r="B489" s="4" t="s">
        <v>13</v>
      </c>
      <c r="C489" s="37" t="s">
        <v>790</v>
      </c>
      <c r="D489" s="35">
        <v>9377</v>
      </c>
      <c r="E489" s="4" t="s">
        <v>946</v>
      </c>
      <c r="F489" s="5">
        <v>39370</v>
      </c>
      <c r="G489" s="5">
        <v>39446</v>
      </c>
      <c r="H489" s="4" t="s">
        <v>389</v>
      </c>
      <c r="I489" s="6">
        <v>29045</v>
      </c>
      <c r="J489" s="8">
        <v>11618</v>
      </c>
      <c r="K489" s="37" t="s">
        <v>790</v>
      </c>
      <c r="L489" s="119"/>
      <c r="M489" s="3"/>
    </row>
    <row r="490" spans="1:13" s="4" customFormat="1" ht="38.25" x14ac:dyDescent="0.25">
      <c r="A490" s="4" t="s">
        <v>947</v>
      </c>
      <c r="B490" s="4" t="s">
        <v>13</v>
      </c>
      <c r="C490" s="37" t="s">
        <v>790</v>
      </c>
      <c r="D490" s="35">
        <v>9458</v>
      </c>
      <c r="E490" s="4" t="s">
        <v>948</v>
      </c>
      <c r="F490" s="5">
        <v>39302</v>
      </c>
      <c r="G490" s="5">
        <v>39446</v>
      </c>
      <c r="H490" s="4" t="s">
        <v>389</v>
      </c>
      <c r="I490" s="6">
        <v>112524.08</v>
      </c>
      <c r="J490" s="8">
        <v>45009.63</v>
      </c>
      <c r="K490" s="37" t="s">
        <v>790</v>
      </c>
      <c r="L490" s="119"/>
      <c r="M490" s="3"/>
    </row>
    <row r="491" spans="1:13" s="4" customFormat="1" ht="25.5" x14ac:dyDescent="0.25">
      <c r="A491" s="4" t="s">
        <v>799</v>
      </c>
      <c r="B491" s="4" t="s">
        <v>13</v>
      </c>
      <c r="C491" s="37" t="s">
        <v>790</v>
      </c>
      <c r="D491" s="35">
        <v>9469</v>
      </c>
      <c r="E491" s="4" t="s">
        <v>949</v>
      </c>
      <c r="F491" s="5">
        <v>40085</v>
      </c>
      <c r="G491" s="5">
        <v>40158</v>
      </c>
      <c r="H491" s="4" t="s">
        <v>389</v>
      </c>
      <c r="I491" s="6">
        <v>131187.04999999999</v>
      </c>
      <c r="J491" s="8">
        <v>45915.46</v>
      </c>
      <c r="K491" s="37" t="s">
        <v>790</v>
      </c>
      <c r="L491" s="119"/>
      <c r="M491" s="3"/>
    </row>
    <row r="492" spans="1:13" s="4" customFormat="1" ht="51" x14ac:dyDescent="0.25">
      <c r="A492" s="4" t="s">
        <v>950</v>
      </c>
      <c r="B492" s="4" t="s">
        <v>13</v>
      </c>
      <c r="C492" s="37" t="s">
        <v>790</v>
      </c>
      <c r="D492" s="35">
        <v>9487</v>
      </c>
      <c r="E492" s="4" t="s">
        <v>951</v>
      </c>
      <c r="F492" s="5">
        <v>39434</v>
      </c>
      <c r="G492" s="5">
        <v>39932</v>
      </c>
      <c r="H492" s="4" t="s">
        <v>389</v>
      </c>
      <c r="I492" s="6">
        <v>68000</v>
      </c>
      <c r="J492" s="8">
        <v>25050</v>
      </c>
      <c r="K492" s="37" t="s">
        <v>790</v>
      </c>
      <c r="L492" s="119"/>
      <c r="M492" s="3"/>
    </row>
    <row r="493" spans="1:13" s="4" customFormat="1" ht="25.5" x14ac:dyDescent="0.25">
      <c r="A493" s="4" t="s">
        <v>952</v>
      </c>
      <c r="B493" s="4" t="s">
        <v>13</v>
      </c>
      <c r="C493" s="37" t="s">
        <v>790</v>
      </c>
      <c r="D493" s="35">
        <v>9489</v>
      </c>
      <c r="E493" s="4" t="s">
        <v>953</v>
      </c>
      <c r="F493" s="5">
        <v>40081</v>
      </c>
      <c r="G493" s="5">
        <v>40140</v>
      </c>
      <c r="H493" s="4" t="s">
        <v>389</v>
      </c>
      <c r="I493" s="6">
        <v>50895</v>
      </c>
      <c r="J493" s="8">
        <v>17813.25</v>
      </c>
      <c r="K493" s="37" t="s">
        <v>790</v>
      </c>
      <c r="L493" s="119"/>
      <c r="M493" s="3"/>
    </row>
    <row r="494" spans="1:13" s="4" customFormat="1" ht="25.5" x14ac:dyDescent="0.25">
      <c r="A494" s="4" t="s">
        <v>954</v>
      </c>
      <c r="B494" s="4" t="s">
        <v>13</v>
      </c>
      <c r="C494" s="37" t="s">
        <v>790</v>
      </c>
      <c r="D494" s="35">
        <v>9491</v>
      </c>
      <c r="E494" s="4" t="s">
        <v>955</v>
      </c>
      <c r="F494" s="5">
        <v>40081</v>
      </c>
      <c r="G494" s="5">
        <v>40140</v>
      </c>
      <c r="H494" s="4" t="s">
        <v>389</v>
      </c>
      <c r="I494" s="6">
        <v>33645</v>
      </c>
      <c r="J494" s="8">
        <v>11745</v>
      </c>
      <c r="K494" s="37" t="s">
        <v>790</v>
      </c>
      <c r="L494" s="119"/>
      <c r="M494" s="3"/>
    </row>
    <row r="495" spans="1:13" s="4" customFormat="1" ht="38.25" x14ac:dyDescent="0.25">
      <c r="A495" s="4" t="s">
        <v>954</v>
      </c>
      <c r="B495" s="4" t="s">
        <v>13</v>
      </c>
      <c r="C495" s="37" t="s">
        <v>790</v>
      </c>
      <c r="D495" s="35">
        <v>9858</v>
      </c>
      <c r="E495" s="4" t="s">
        <v>956</v>
      </c>
      <c r="F495" s="5">
        <v>40394</v>
      </c>
      <c r="G495" s="5">
        <v>40522</v>
      </c>
      <c r="H495" s="4" t="s">
        <v>392</v>
      </c>
      <c r="I495" s="6">
        <v>1527788</v>
      </c>
      <c r="J495" s="8">
        <v>500000</v>
      </c>
      <c r="K495" s="37" t="s">
        <v>790</v>
      </c>
      <c r="L495" s="119"/>
      <c r="M495" s="3"/>
    </row>
    <row r="496" spans="1:13" s="4" customFormat="1" ht="25.5" x14ac:dyDescent="0.25">
      <c r="A496" s="4" t="s">
        <v>957</v>
      </c>
      <c r="B496" s="4" t="s">
        <v>13</v>
      </c>
      <c r="C496" s="37" t="s">
        <v>790</v>
      </c>
      <c r="D496" s="35">
        <v>9864</v>
      </c>
      <c r="E496" s="4" t="s">
        <v>958</v>
      </c>
      <c r="F496" s="5">
        <v>40448</v>
      </c>
      <c r="G496" s="5">
        <v>40542</v>
      </c>
      <c r="H496" s="4" t="s">
        <v>392</v>
      </c>
      <c r="I496" s="6">
        <v>271038.31</v>
      </c>
      <c r="J496" s="8">
        <v>67759.58</v>
      </c>
      <c r="K496" s="37" t="s">
        <v>790</v>
      </c>
      <c r="L496" s="119"/>
      <c r="M496" s="3"/>
    </row>
    <row r="497" spans="1:13" s="4" customFormat="1" ht="25.5" x14ac:dyDescent="0.25">
      <c r="A497" s="4" t="s">
        <v>959</v>
      </c>
      <c r="B497" s="4" t="s">
        <v>13</v>
      </c>
      <c r="C497" s="37" t="s">
        <v>790</v>
      </c>
      <c r="D497" s="35">
        <v>9896</v>
      </c>
      <c r="E497" s="4" t="s">
        <v>960</v>
      </c>
      <c r="F497" s="5">
        <v>40836</v>
      </c>
      <c r="G497" s="5">
        <v>40897</v>
      </c>
      <c r="H497" s="4" t="s">
        <v>392</v>
      </c>
      <c r="I497" s="6">
        <v>839533</v>
      </c>
      <c r="J497" s="8">
        <v>100744</v>
      </c>
      <c r="K497" s="37" t="s">
        <v>790</v>
      </c>
      <c r="L497" s="119"/>
      <c r="M497" s="3"/>
    </row>
    <row r="498" spans="1:13" s="4" customFormat="1" ht="63.75" x14ac:dyDescent="0.25">
      <c r="A498" s="4" t="s">
        <v>961</v>
      </c>
      <c r="B498" s="4" t="s">
        <v>13</v>
      </c>
      <c r="C498" s="37" t="s">
        <v>790</v>
      </c>
      <c r="D498" s="35">
        <v>9900</v>
      </c>
      <c r="E498" s="4" t="s">
        <v>962</v>
      </c>
      <c r="F498" s="5">
        <v>40785</v>
      </c>
      <c r="G498" s="5">
        <v>40897</v>
      </c>
      <c r="H498" s="4" t="s">
        <v>392</v>
      </c>
      <c r="I498" s="6">
        <v>1345109.08</v>
      </c>
      <c r="J498" s="8">
        <v>470788.18</v>
      </c>
      <c r="K498" s="37" t="s">
        <v>790</v>
      </c>
      <c r="L498" s="119"/>
      <c r="M498" s="3"/>
    </row>
    <row r="499" spans="1:13" s="4" customFormat="1" ht="89.25" x14ac:dyDescent="0.25">
      <c r="A499" s="4" t="s">
        <v>963</v>
      </c>
      <c r="B499" s="4" t="s">
        <v>13</v>
      </c>
      <c r="C499" s="37" t="s">
        <v>790</v>
      </c>
      <c r="D499" s="35">
        <v>9903</v>
      </c>
      <c r="E499" s="7" t="s">
        <v>964</v>
      </c>
      <c r="F499" s="5">
        <v>40400</v>
      </c>
      <c r="G499" s="5">
        <v>40522</v>
      </c>
      <c r="H499" s="4" t="s">
        <v>392</v>
      </c>
      <c r="I499" s="6">
        <v>56470.400000000001</v>
      </c>
      <c r="J499" s="8">
        <v>19764.64</v>
      </c>
      <c r="K499" s="37" t="s">
        <v>790</v>
      </c>
      <c r="L499" s="119"/>
      <c r="M499" s="3"/>
    </row>
    <row r="500" spans="1:13" s="4" customFormat="1" ht="38.25" x14ac:dyDescent="0.25">
      <c r="A500" s="4" t="s">
        <v>954</v>
      </c>
      <c r="B500" s="4" t="s">
        <v>13</v>
      </c>
      <c r="C500" s="37" t="s">
        <v>790</v>
      </c>
      <c r="D500" s="35">
        <v>9913</v>
      </c>
      <c r="E500" s="4" t="s">
        <v>965</v>
      </c>
      <c r="F500" s="5">
        <v>40766</v>
      </c>
      <c r="G500" s="5">
        <v>40899</v>
      </c>
      <c r="H500" s="4" t="s">
        <v>392</v>
      </c>
      <c r="I500" s="6">
        <v>427986.84</v>
      </c>
      <c r="J500" s="8">
        <v>149795.39000000001</v>
      </c>
      <c r="K500" s="37" t="s">
        <v>790</v>
      </c>
      <c r="L500" s="119"/>
      <c r="M500" s="3"/>
    </row>
    <row r="501" spans="1:13" s="4" customFormat="1" ht="25.5" x14ac:dyDescent="0.25">
      <c r="A501" s="4" t="s">
        <v>959</v>
      </c>
      <c r="B501" s="4" t="s">
        <v>13</v>
      </c>
      <c r="C501" s="37" t="s">
        <v>790</v>
      </c>
      <c r="D501" s="35">
        <v>9985</v>
      </c>
      <c r="E501" s="4" t="s">
        <v>966</v>
      </c>
      <c r="F501" s="5">
        <v>40428</v>
      </c>
      <c r="G501" s="5">
        <v>40542</v>
      </c>
      <c r="H501" s="4" t="s">
        <v>392</v>
      </c>
      <c r="I501" s="6">
        <v>1347757</v>
      </c>
      <c r="J501" s="8">
        <v>471714.95</v>
      </c>
      <c r="K501" s="37" t="s">
        <v>790</v>
      </c>
      <c r="L501" s="119"/>
      <c r="M501" s="3"/>
    </row>
    <row r="502" spans="1:13" s="4" customFormat="1" ht="51" x14ac:dyDescent="0.25">
      <c r="A502" s="4" t="s">
        <v>967</v>
      </c>
      <c r="B502" s="4" t="s">
        <v>13</v>
      </c>
      <c r="C502" s="37" t="s">
        <v>790</v>
      </c>
      <c r="D502" s="35">
        <v>10008</v>
      </c>
      <c r="E502" s="4" t="s">
        <v>968</v>
      </c>
      <c r="F502" s="5">
        <v>41106</v>
      </c>
      <c r="G502" s="5">
        <v>41593</v>
      </c>
      <c r="H502" s="4" t="s">
        <v>392</v>
      </c>
      <c r="I502" s="6">
        <v>530049.19999999995</v>
      </c>
      <c r="J502" s="8">
        <v>132512.29999999999</v>
      </c>
      <c r="K502" s="37" t="s">
        <v>790</v>
      </c>
      <c r="L502" s="119"/>
      <c r="M502" s="3"/>
    </row>
    <row r="503" spans="1:13" s="4" customFormat="1" ht="63.75" x14ac:dyDescent="0.25">
      <c r="A503" s="4" t="s">
        <v>969</v>
      </c>
      <c r="B503" s="4" t="s">
        <v>13</v>
      </c>
      <c r="C503" s="37" t="s">
        <v>790</v>
      </c>
      <c r="D503" s="35">
        <v>10027</v>
      </c>
      <c r="E503" s="4" t="s">
        <v>970</v>
      </c>
      <c r="F503" s="5">
        <v>40406</v>
      </c>
      <c r="G503" s="5">
        <v>40512</v>
      </c>
      <c r="H503" s="4" t="s">
        <v>392</v>
      </c>
      <c r="I503" s="6">
        <v>62798</v>
      </c>
      <c r="J503" s="8">
        <v>21979.3</v>
      </c>
      <c r="K503" s="37" t="s">
        <v>790</v>
      </c>
      <c r="L503" s="119"/>
      <c r="M503" s="3"/>
    </row>
    <row r="504" spans="1:13" s="4" customFormat="1" ht="51" x14ac:dyDescent="0.25">
      <c r="A504" s="4" t="s">
        <v>971</v>
      </c>
      <c r="B504" s="4" t="s">
        <v>13</v>
      </c>
      <c r="C504" s="37" t="s">
        <v>790</v>
      </c>
      <c r="D504" s="35">
        <v>10065</v>
      </c>
      <c r="E504" s="4" t="s">
        <v>972</v>
      </c>
      <c r="F504" s="5">
        <v>40844</v>
      </c>
      <c r="G504" s="5">
        <v>40897</v>
      </c>
      <c r="H504" s="4" t="s">
        <v>392</v>
      </c>
      <c r="I504" s="6">
        <v>5986.36</v>
      </c>
      <c r="J504" s="8">
        <v>2095.23</v>
      </c>
      <c r="K504" s="37" t="s">
        <v>790</v>
      </c>
      <c r="L504" s="119"/>
      <c r="M504" s="3"/>
    </row>
    <row r="505" spans="1:13" s="4" customFormat="1" ht="51" x14ac:dyDescent="0.25">
      <c r="A505" s="4" t="s">
        <v>973</v>
      </c>
      <c r="B505" s="4" t="s">
        <v>13</v>
      </c>
      <c r="C505" s="37" t="s">
        <v>790</v>
      </c>
      <c r="D505" s="35">
        <v>10066</v>
      </c>
      <c r="E505" s="4" t="s">
        <v>974</v>
      </c>
      <c r="F505" s="5">
        <v>40793</v>
      </c>
      <c r="H505" s="4" t="s">
        <v>392</v>
      </c>
      <c r="I505" s="6">
        <v>77868.7</v>
      </c>
      <c r="J505" s="8">
        <v>27254.04</v>
      </c>
      <c r="K505" s="37" t="s">
        <v>790</v>
      </c>
      <c r="L505" s="119"/>
      <c r="M505" s="3"/>
    </row>
    <row r="506" spans="1:13" s="4" customFormat="1" ht="38.25" x14ac:dyDescent="0.25">
      <c r="A506" s="4" t="s">
        <v>975</v>
      </c>
      <c r="B506" s="4" t="s">
        <v>13</v>
      </c>
      <c r="C506" s="37" t="s">
        <v>790</v>
      </c>
      <c r="D506" s="35">
        <v>10073</v>
      </c>
      <c r="E506" s="4" t="s">
        <v>976</v>
      </c>
      <c r="F506" s="5">
        <v>40779</v>
      </c>
      <c r="G506" s="5">
        <v>40897</v>
      </c>
      <c r="H506" s="4" t="s">
        <v>392</v>
      </c>
      <c r="I506" s="6">
        <v>105287</v>
      </c>
      <c r="J506" s="8">
        <v>26321.75</v>
      </c>
      <c r="K506" s="37" t="s">
        <v>790</v>
      </c>
      <c r="L506" s="119"/>
      <c r="M506" s="3"/>
    </row>
    <row r="507" spans="1:13" s="4" customFormat="1" ht="76.5" x14ac:dyDescent="0.25">
      <c r="A507" s="4" t="s">
        <v>977</v>
      </c>
      <c r="B507" s="4" t="s">
        <v>13</v>
      </c>
      <c r="C507" s="37" t="s">
        <v>790</v>
      </c>
      <c r="D507" s="35">
        <v>10181</v>
      </c>
      <c r="E507" s="4" t="s">
        <v>978</v>
      </c>
      <c r="F507" s="5">
        <v>41114</v>
      </c>
      <c r="G507" s="5">
        <v>41248</v>
      </c>
      <c r="H507" s="4" t="s">
        <v>392</v>
      </c>
      <c r="I507" s="6">
        <v>869043.69</v>
      </c>
      <c r="J507" s="8">
        <v>273748.76</v>
      </c>
      <c r="K507" s="37" t="s">
        <v>790</v>
      </c>
      <c r="L507" s="119"/>
      <c r="M507" s="3"/>
    </row>
    <row r="508" spans="1:13" s="4" customFormat="1" ht="51" x14ac:dyDescent="0.25">
      <c r="A508" s="4" t="s">
        <v>979</v>
      </c>
      <c r="B508" s="4" t="s">
        <v>13</v>
      </c>
      <c r="C508" s="37" t="s">
        <v>790</v>
      </c>
      <c r="D508" s="35">
        <v>10186</v>
      </c>
      <c r="E508" s="4" t="s">
        <v>980</v>
      </c>
      <c r="F508" s="5">
        <v>41142</v>
      </c>
      <c r="G508" s="5">
        <v>41246</v>
      </c>
      <c r="H508" s="4" t="s">
        <v>392</v>
      </c>
      <c r="I508" s="6">
        <v>140753</v>
      </c>
      <c r="J508" s="8">
        <v>49263.55</v>
      </c>
      <c r="K508" s="37" t="s">
        <v>790</v>
      </c>
      <c r="L508" s="119"/>
      <c r="M508" s="3"/>
    </row>
    <row r="509" spans="1:13" s="4" customFormat="1" ht="127.5" x14ac:dyDescent="0.25">
      <c r="A509" s="4" t="s">
        <v>981</v>
      </c>
      <c r="B509" s="4" t="s">
        <v>13</v>
      </c>
      <c r="C509" s="37" t="s">
        <v>790</v>
      </c>
      <c r="D509" s="35">
        <v>10215</v>
      </c>
      <c r="E509" s="7" t="s">
        <v>982</v>
      </c>
      <c r="F509" s="5">
        <v>41116</v>
      </c>
      <c r="G509" s="5">
        <v>41271</v>
      </c>
      <c r="H509" s="4" t="s">
        <v>392</v>
      </c>
      <c r="I509" s="6">
        <v>637236</v>
      </c>
      <c r="J509" s="8">
        <v>223032.6</v>
      </c>
      <c r="K509" s="37" t="s">
        <v>790</v>
      </c>
      <c r="L509" s="119"/>
      <c r="M509" s="3"/>
    </row>
    <row r="510" spans="1:13" s="4" customFormat="1" ht="38.25" x14ac:dyDescent="0.25">
      <c r="A510" s="4" t="s">
        <v>983</v>
      </c>
      <c r="B510" s="4" t="s">
        <v>13</v>
      </c>
      <c r="C510" s="37" t="s">
        <v>790</v>
      </c>
      <c r="D510" s="35">
        <v>10216</v>
      </c>
      <c r="E510" s="4" t="s">
        <v>984</v>
      </c>
      <c r="F510" s="5">
        <v>41185</v>
      </c>
      <c r="G510" s="5">
        <v>41250</v>
      </c>
      <c r="H510" s="4" t="s">
        <v>392</v>
      </c>
      <c r="I510" s="6">
        <v>39667.31</v>
      </c>
      <c r="J510" s="8">
        <v>13883.56</v>
      </c>
      <c r="K510" s="37" t="s">
        <v>790</v>
      </c>
      <c r="L510" s="119"/>
      <c r="M510" s="3"/>
    </row>
    <row r="511" spans="1:13" s="4" customFormat="1" ht="127.5" x14ac:dyDescent="0.25">
      <c r="A511" s="4" t="s">
        <v>985</v>
      </c>
      <c r="B511" s="4" t="s">
        <v>13</v>
      </c>
      <c r="C511" s="37" t="s">
        <v>790</v>
      </c>
      <c r="D511" s="35">
        <v>10218</v>
      </c>
      <c r="E511" s="7" t="s">
        <v>986</v>
      </c>
      <c r="F511" s="5">
        <v>41114</v>
      </c>
      <c r="G511" s="5">
        <v>41250</v>
      </c>
      <c r="H511" s="4" t="s">
        <v>392</v>
      </c>
      <c r="I511" s="6">
        <v>193385.91</v>
      </c>
      <c r="J511" s="8">
        <v>64494.2</v>
      </c>
      <c r="K511" s="37" t="s">
        <v>790</v>
      </c>
      <c r="L511" s="119"/>
      <c r="M511" s="3"/>
    </row>
    <row r="512" spans="1:13" s="4" customFormat="1" x14ac:dyDescent="0.25">
      <c r="A512" s="4" t="s">
        <v>987</v>
      </c>
      <c r="B512" s="4" t="s">
        <v>50</v>
      </c>
      <c r="C512" s="37" t="s">
        <v>790</v>
      </c>
      <c r="D512" s="35">
        <v>496</v>
      </c>
      <c r="E512" s="4" t="s">
        <v>988</v>
      </c>
      <c r="F512" s="5">
        <v>39176</v>
      </c>
      <c r="H512" s="4" t="s">
        <v>40</v>
      </c>
      <c r="I512" s="6">
        <v>47000</v>
      </c>
      <c r="J512" s="6">
        <v>23500</v>
      </c>
      <c r="K512" s="37" t="s">
        <v>790</v>
      </c>
      <c r="L512" s="119"/>
      <c r="M512" s="3"/>
    </row>
    <row r="513" spans="1:13" s="4" customFormat="1" x14ac:dyDescent="0.25">
      <c r="A513" s="4" t="s">
        <v>989</v>
      </c>
      <c r="B513" s="4" t="s">
        <v>11764</v>
      </c>
      <c r="C513" s="37" t="s">
        <v>790</v>
      </c>
      <c r="D513" s="35">
        <v>498</v>
      </c>
      <c r="E513" s="4" t="s">
        <v>991</v>
      </c>
      <c r="F513" s="5">
        <v>39349</v>
      </c>
      <c r="H513" s="4" t="s">
        <v>40</v>
      </c>
      <c r="I513" s="6">
        <v>40000</v>
      </c>
      <c r="J513" s="6">
        <v>20000</v>
      </c>
      <c r="K513" s="37" t="s">
        <v>790</v>
      </c>
      <c r="L513" s="119"/>
      <c r="M513" s="3"/>
    </row>
    <row r="514" spans="1:13" s="4" customFormat="1" x14ac:dyDescent="0.25">
      <c r="A514" s="4" t="s">
        <v>992</v>
      </c>
      <c r="B514" s="4" t="s">
        <v>50</v>
      </c>
      <c r="C514" s="37" t="s">
        <v>790</v>
      </c>
      <c r="D514" s="35">
        <v>499</v>
      </c>
      <c r="E514" s="4" t="s">
        <v>993</v>
      </c>
      <c r="F514" s="5">
        <v>39176</v>
      </c>
      <c r="H514" s="4" t="s">
        <v>40</v>
      </c>
      <c r="I514" s="6">
        <v>150000</v>
      </c>
      <c r="J514" s="6">
        <v>75000</v>
      </c>
      <c r="K514" s="37" t="s">
        <v>790</v>
      </c>
      <c r="L514" s="119"/>
      <c r="M514" s="3"/>
    </row>
    <row r="515" spans="1:13" s="4" customFormat="1" x14ac:dyDescent="0.25">
      <c r="A515" s="4" t="s">
        <v>994</v>
      </c>
      <c r="B515" s="4" t="s">
        <v>50</v>
      </c>
      <c r="C515" s="37" t="s">
        <v>790</v>
      </c>
      <c r="D515" s="35">
        <v>501</v>
      </c>
      <c r="E515" s="4" t="s">
        <v>995</v>
      </c>
      <c r="F515" s="5">
        <v>39168</v>
      </c>
      <c r="H515" s="4" t="s">
        <v>40</v>
      </c>
      <c r="I515" s="6">
        <v>63372</v>
      </c>
      <c r="J515" s="6">
        <v>31686</v>
      </c>
      <c r="K515" s="37" t="s">
        <v>790</v>
      </c>
      <c r="L515" s="119"/>
      <c r="M515" s="3"/>
    </row>
    <row r="516" spans="1:13" s="4" customFormat="1" x14ac:dyDescent="0.25">
      <c r="A516" s="4" t="s">
        <v>996</v>
      </c>
      <c r="B516" s="4" t="s">
        <v>50</v>
      </c>
      <c r="C516" s="37" t="s">
        <v>790</v>
      </c>
      <c r="D516" s="35">
        <v>502</v>
      </c>
      <c r="E516" s="4" t="s">
        <v>997</v>
      </c>
      <c r="F516" s="5">
        <v>39337</v>
      </c>
      <c r="H516" s="4" t="s">
        <v>40</v>
      </c>
      <c r="I516" s="6">
        <v>12178</v>
      </c>
      <c r="J516" s="6">
        <v>6089</v>
      </c>
      <c r="K516" s="37" t="s">
        <v>790</v>
      </c>
      <c r="L516" s="119"/>
      <c r="M516" s="3"/>
    </row>
    <row r="517" spans="1:13" s="4" customFormat="1" x14ac:dyDescent="0.25">
      <c r="A517" s="4" t="s">
        <v>998</v>
      </c>
      <c r="B517" s="4" t="s">
        <v>11764</v>
      </c>
      <c r="C517" s="37" t="s">
        <v>790</v>
      </c>
      <c r="D517" s="35">
        <v>504</v>
      </c>
      <c r="E517" s="4" t="s">
        <v>999</v>
      </c>
      <c r="F517" s="5">
        <v>39176</v>
      </c>
      <c r="H517" s="4" t="s">
        <v>40</v>
      </c>
      <c r="I517" s="6">
        <v>80000</v>
      </c>
      <c r="J517" s="6">
        <v>40000</v>
      </c>
      <c r="K517" s="37" t="s">
        <v>790</v>
      </c>
      <c r="L517" s="119"/>
      <c r="M517" s="3"/>
    </row>
    <row r="518" spans="1:13" s="4" customFormat="1" x14ac:dyDescent="0.25">
      <c r="A518" s="4" t="s">
        <v>1000</v>
      </c>
      <c r="B518" s="4" t="s">
        <v>59</v>
      </c>
      <c r="C518" s="37" t="s">
        <v>790</v>
      </c>
      <c r="D518" s="35">
        <v>507</v>
      </c>
      <c r="E518" s="4" t="s">
        <v>1001</v>
      </c>
      <c r="F518" s="5">
        <v>39511</v>
      </c>
      <c r="H518" s="4" t="s">
        <v>40</v>
      </c>
      <c r="I518" s="6">
        <v>18750</v>
      </c>
      <c r="J518" s="6">
        <v>18750</v>
      </c>
      <c r="K518" s="37" t="s">
        <v>790</v>
      </c>
      <c r="L518" s="119"/>
      <c r="M518" s="3"/>
    </row>
    <row r="519" spans="1:13" s="4" customFormat="1" x14ac:dyDescent="0.25">
      <c r="A519" s="4" t="s">
        <v>1002</v>
      </c>
      <c r="B519" s="4" t="s">
        <v>59</v>
      </c>
      <c r="C519" s="37" t="s">
        <v>790</v>
      </c>
      <c r="D519" s="35">
        <v>508</v>
      </c>
      <c r="E519" s="4" t="s">
        <v>1003</v>
      </c>
      <c r="F519" s="5">
        <v>39518</v>
      </c>
      <c r="H519" s="4" t="s">
        <v>40</v>
      </c>
      <c r="I519" s="6">
        <v>7500</v>
      </c>
      <c r="J519" s="6">
        <v>7500</v>
      </c>
      <c r="K519" s="37" t="s">
        <v>790</v>
      </c>
      <c r="L519" s="119"/>
      <c r="M519" s="3"/>
    </row>
    <row r="520" spans="1:13" s="4" customFormat="1" x14ac:dyDescent="0.25">
      <c r="A520" s="4" t="s">
        <v>1004</v>
      </c>
      <c r="B520" s="4" t="s">
        <v>11764</v>
      </c>
      <c r="C520" s="37" t="s">
        <v>790</v>
      </c>
      <c r="D520" s="35">
        <v>509</v>
      </c>
      <c r="E520" s="4" t="s">
        <v>1005</v>
      </c>
      <c r="F520" s="5">
        <v>39496</v>
      </c>
      <c r="H520" s="4" t="s">
        <v>40</v>
      </c>
      <c r="I520" s="6">
        <v>90000</v>
      </c>
      <c r="J520" s="6">
        <v>45000</v>
      </c>
      <c r="K520" s="37" t="s">
        <v>790</v>
      </c>
      <c r="L520" s="119"/>
      <c r="M520" s="3"/>
    </row>
    <row r="521" spans="1:13" s="4" customFormat="1" x14ac:dyDescent="0.25">
      <c r="A521" s="4" t="s">
        <v>1006</v>
      </c>
      <c r="B521" s="4" t="s">
        <v>11764</v>
      </c>
      <c r="C521" s="37" t="s">
        <v>790</v>
      </c>
      <c r="D521" s="35">
        <v>510</v>
      </c>
      <c r="E521" s="4" t="s">
        <v>1007</v>
      </c>
      <c r="F521" s="5">
        <v>39611</v>
      </c>
      <c r="H521" s="4" t="s">
        <v>40</v>
      </c>
      <c r="I521" s="6">
        <v>132120</v>
      </c>
      <c r="J521" s="6">
        <v>66060</v>
      </c>
      <c r="K521" s="37" t="s">
        <v>790</v>
      </c>
      <c r="L521" s="119"/>
      <c r="M521" s="3"/>
    </row>
    <row r="522" spans="1:13" s="4" customFormat="1" ht="38.25" x14ac:dyDescent="0.25">
      <c r="A522" s="4" t="s">
        <v>1008</v>
      </c>
      <c r="B522" s="4" t="s">
        <v>59</v>
      </c>
      <c r="C522" s="37" t="s">
        <v>790</v>
      </c>
      <c r="D522" s="35">
        <v>511</v>
      </c>
      <c r="E522" s="4" t="s">
        <v>1009</v>
      </c>
      <c r="F522" s="5">
        <v>39496</v>
      </c>
      <c r="H522" s="4" t="s">
        <v>40</v>
      </c>
      <c r="I522" s="6">
        <v>22500</v>
      </c>
      <c r="J522" s="6">
        <v>22500</v>
      </c>
      <c r="K522" s="37" t="s">
        <v>790</v>
      </c>
      <c r="L522" s="119"/>
      <c r="M522" s="3"/>
    </row>
    <row r="523" spans="1:13" s="4" customFormat="1" ht="38.25" x14ac:dyDescent="0.25">
      <c r="A523" s="4" t="s">
        <v>1010</v>
      </c>
      <c r="B523" s="4" t="s">
        <v>190</v>
      </c>
      <c r="C523" s="37" t="s">
        <v>790</v>
      </c>
      <c r="D523" s="35">
        <v>513</v>
      </c>
      <c r="E523" s="4" t="s">
        <v>1011</v>
      </c>
      <c r="F523" s="5">
        <v>39611</v>
      </c>
      <c r="G523" s="5">
        <v>41274</v>
      </c>
      <c r="H523" s="4" t="s">
        <v>40</v>
      </c>
      <c r="I523" s="6">
        <v>74079.240000000005</v>
      </c>
      <c r="J523" s="6">
        <v>53079.24</v>
      </c>
      <c r="K523" s="37" t="s">
        <v>790</v>
      </c>
      <c r="L523" s="119"/>
      <c r="M523" s="3"/>
    </row>
    <row r="524" spans="1:13" s="4" customFormat="1" x14ac:dyDescent="0.25">
      <c r="A524" s="4" t="s">
        <v>1012</v>
      </c>
      <c r="B524" s="4" t="s">
        <v>11764</v>
      </c>
      <c r="C524" s="37" t="s">
        <v>790</v>
      </c>
      <c r="D524" s="35">
        <v>514</v>
      </c>
      <c r="E524" s="4" t="s">
        <v>1013</v>
      </c>
      <c r="F524" s="5">
        <v>39611</v>
      </c>
      <c r="H524" s="4" t="s">
        <v>40</v>
      </c>
      <c r="I524" s="6">
        <v>90000</v>
      </c>
      <c r="J524" s="6">
        <v>45000</v>
      </c>
      <c r="K524" s="37" t="s">
        <v>790</v>
      </c>
      <c r="L524" s="119"/>
      <c r="M524" s="3"/>
    </row>
    <row r="525" spans="1:13" s="4" customFormat="1" ht="51" x14ac:dyDescent="0.25">
      <c r="A525" s="4" t="s">
        <v>1014</v>
      </c>
      <c r="B525" s="4" t="s">
        <v>13</v>
      </c>
      <c r="C525" s="37" t="s">
        <v>790</v>
      </c>
      <c r="D525" s="35">
        <v>521</v>
      </c>
      <c r="E525" s="4" t="s">
        <v>1015</v>
      </c>
      <c r="F525" s="5">
        <v>39553</v>
      </c>
      <c r="H525" s="4" t="s">
        <v>40</v>
      </c>
      <c r="I525" s="6">
        <v>46158.76</v>
      </c>
      <c r="J525" s="6">
        <v>23079.38</v>
      </c>
      <c r="K525" s="37" t="s">
        <v>790</v>
      </c>
      <c r="L525" s="119"/>
      <c r="M525" s="3"/>
    </row>
    <row r="526" spans="1:13" s="4" customFormat="1" x14ac:dyDescent="0.25">
      <c r="A526" s="4" t="s">
        <v>1016</v>
      </c>
      <c r="B526" s="4" t="s">
        <v>50</v>
      </c>
      <c r="C526" s="37" t="s">
        <v>790</v>
      </c>
      <c r="D526" s="35">
        <v>522</v>
      </c>
      <c r="E526" s="4" t="s">
        <v>1017</v>
      </c>
      <c r="F526" s="5">
        <v>39518</v>
      </c>
      <c r="H526" s="4" t="s">
        <v>40</v>
      </c>
      <c r="I526" s="6">
        <f>3751+21527.52</f>
        <v>25278.52</v>
      </c>
      <c r="J526" s="6">
        <f>1875.5+18263.76</f>
        <v>20139.259999999998</v>
      </c>
      <c r="K526" s="37" t="s">
        <v>790</v>
      </c>
      <c r="L526" s="119"/>
      <c r="M526" s="3"/>
    </row>
    <row r="527" spans="1:13" s="4" customFormat="1" ht="38.25" x14ac:dyDescent="0.25">
      <c r="A527" s="4" t="s">
        <v>1018</v>
      </c>
      <c r="B527" s="4" t="s">
        <v>50</v>
      </c>
      <c r="C527" s="37" t="s">
        <v>790</v>
      </c>
      <c r="D527" s="35">
        <v>608</v>
      </c>
      <c r="E527" s="4" t="s">
        <v>1019</v>
      </c>
      <c r="F527" s="5">
        <v>39370</v>
      </c>
      <c r="G527" s="5">
        <v>39736</v>
      </c>
      <c r="H527" s="4" t="s">
        <v>40</v>
      </c>
      <c r="I527" s="6">
        <v>10553.8</v>
      </c>
      <c r="J527" s="6">
        <v>5276.9</v>
      </c>
      <c r="K527" s="37" t="s">
        <v>790</v>
      </c>
      <c r="L527" s="119"/>
      <c r="M527" s="3"/>
    </row>
    <row r="528" spans="1:13" s="4" customFormat="1" ht="38.25" x14ac:dyDescent="0.25">
      <c r="A528" s="4" t="s">
        <v>1020</v>
      </c>
      <c r="B528" s="4" t="s">
        <v>59</v>
      </c>
      <c r="C528" s="37" t="s">
        <v>790</v>
      </c>
      <c r="D528" s="35">
        <v>609</v>
      </c>
      <c r="E528" s="4" t="s">
        <v>1021</v>
      </c>
      <c r="F528" s="5">
        <v>39223</v>
      </c>
      <c r="G528" s="5">
        <v>39589</v>
      </c>
      <c r="H528" s="4" t="s">
        <v>40</v>
      </c>
      <c r="I528" s="6">
        <v>3750</v>
      </c>
      <c r="J528" s="6">
        <v>3750</v>
      </c>
      <c r="K528" s="37" t="s">
        <v>790</v>
      </c>
      <c r="L528" s="119"/>
      <c r="M528" s="3"/>
    </row>
    <row r="529" spans="1:13" s="4" customFormat="1" x14ac:dyDescent="0.25">
      <c r="A529" s="4" t="s">
        <v>1022</v>
      </c>
      <c r="B529" s="4" t="s">
        <v>59</v>
      </c>
      <c r="C529" s="37" t="s">
        <v>790</v>
      </c>
      <c r="D529" s="35">
        <v>610</v>
      </c>
      <c r="E529" s="4" t="s">
        <v>1023</v>
      </c>
      <c r="F529" s="5">
        <v>39132</v>
      </c>
      <c r="G529" s="5">
        <v>39497</v>
      </c>
      <c r="H529" s="4" t="s">
        <v>40</v>
      </c>
      <c r="I529" s="6">
        <v>7500</v>
      </c>
      <c r="J529" s="6">
        <v>7500</v>
      </c>
      <c r="K529" s="37" t="s">
        <v>790</v>
      </c>
      <c r="L529" s="119"/>
      <c r="M529" s="3"/>
    </row>
    <row r="530" spans="1:13" s="4" customFormat="1" ht="51" x14ac:dyDescent="0.25">
      <c r="A530" s="4" t="s">
        <v>1024</v>
      </c>
      <c r="B530" s="4" t="s">
        <v>59</v>
      </c>
      <c r="C530" s="37" t="s">
        <v>790</v>
      </c>
      <c r="D530" s="35">
        <v>611</v>
      </c>
      <c r="E530" s="4" t="s">
        <v>1025</v>
      </c>
      <c r="F530" s="5">
        <v>39741</v>
      </c>
      <c r="G530" s="5">
        <v>40106</v>
      </c>
      <c r="H530" s="4" t="s">
        <v>40</v>
      </c>
      <c r="I530" s="6">
        <v>7500</v>
      </c>
      <c r="J530" s="6">
        <v>7500</v>
      </c>
      <c r="K530" s="37" t="s">
        <v>790</v>
      </c>
      <c r="L530" s="119"/>
      <c r="M530" s="3"/>
    </row>
    <row r="531" spans="1:13" s="4" customFormat="1" ht="38.25" x14ac:dyDescent="0.25">
      <c r="A531" s="4" t="s">
        <v>1026</v>
      </c>
      <c r="B531" s="4" t="s">
        <v>59</v>
      </c>
      <c r="C531" s="37" t="s">
        <v>790</v>
      </c>
      <c r="D531" s="35">
        <v>612</v>
      </c>
      <c r="E531" s="4" t="s">
        <v>1027</v>
      </c>
      <c r="F531" s="5">
        <v>39741</v>
      </c>
      <c r="G531" s="5">
        <v>40106</v>
      </c>
      <c r="H531" s="4" t="s">
        <v>40</v>
      </c>
      <c r="I531" s="6">
        <v>15000</v>
      </c>
      <c r="J531" s="6">
        <v>15000</v>
      </c>
      <c r="K531" s="37" t="s">
        <v>790</v>
      </c>
      <c r="L531" s="119"/>
      <c r="M531" s="3"/>
    </row>
    <row r="532" spans="1:13" s="4" customFormat="1" x14ac:dyDescent="0.25">
      <c r="A532" s="4" t="s">
        <v>1028</v>
      </c>
      <c r="B532" s="4" t="s">
        <v>59</v>
      </c>
      <c r="C532" s="37" t="s">
        <v>790</v>
      </c>
      <c r="D532" s="35">
        <v>614</v>
      </c>
      <c r="E532" s="4" t="s">
        <v>1029</v>
      </c>
      <c r="F532" s="5">
        <v>39741</v>
      </c>
      <c r="G532" s="5">
        <v>40106</v>
      </c>
      <c r="H532" s="4" t="s">
        <v>40</v>
      </c>
      <c r="I532" s="6">
        <v>7500</v>
      </c>
      <c r="J532" s="6">
        <v>7500</v>
      </c>
      <c r="K532" s="37" t="s">
        <v>790</v>
      </c>
      <c r="L532" s="119"/>
      <c r="M532" s="3"/>
    </row>
    <row r="533" spans="1:13" s="4" customFormat="1" ht="38.25" x14ac:dyDescent="0.25">
      <c r="A533" s="4" t="s">
        <v>1030</v>
      </c>
      <c r="B533" s="4" t="s">
        <v>59</v>
      </c>
      <c r="C533" s="37" t="s">
        <v>790</v>
      </c>
      <c r="D533" s="35">
        <v>616</v>
      </c>
      <c r="E533" s="4" t="s">
        <v>1031</v>
      </c>
      <c r="F533" s="5">
        <v>39741</v>
      </c>
      <c r="G533" s="5">
        <v>40106</v>
      </c>
      <c r="H533" s="4" t="s">
        <v>40</v>
      </c>
      <c r="I533" s="6">
        <v>7500</v>
      </c>
      <c r="J533" s="6">
        <v>7500</v>
      </c>
      <c r="K533" s="37" t="s">
        <v>790</v>
      </c>
      <c r="L533" s="119"/>
      <c r="M533" s="3"/>
    </row>
    <row r="534" spans="1:13" s="4" customFormat="1" ht="38.25" x14ac:dyDescent="0.25">
      <c r="A534" s="4" t="s">
        <v>1032</v>
      </c>
      <c r="B534" s="4" t="s">
        <v>90</v>
      </c>
      <c r="C534" s="37" t="s">
        <v>790</v>
      </c>
      <c r="D534" s="35">
        <v>617</v>
      </c>
      <c r="E534" s="4" t="s">
        <v>1033</v>
      </c>
      <c r="F534" s="5">
        <v>39279</v>
      </c>
      <c r="G534" s="5">
        <v>39447</v>
      </c>
      <c r="H534" s="4" t="s">
        <v>40</v>
      </c>
      <c r="I534" s="6">
        <v>17200</v>
      </c>
      <c r="J534" s="6">
        <v>8600</v>
      </c>
      <c r="K534" s="37" t="s">
        <v>790</v>
      </c>
      <c r="L534" s="119"/>
      <c r="M534" s="3"/>
    </row>
    <row r="535" spans="1:13" s="4" customFormat="1" ht="25.5" x14ac:dyDescent="0.25">
      <c r="A535" s="4" t="s">
        <v>1034</v>
      </c>
      <c r="B535" s="4" t="s">
        <v>50</v>
      </c>
      <c r="C535" s="37" t="s">
        <v>790</v>
      </c>
      <c r="D535" s="35">
        <v>618</v>
      </c>
      <c r="E535" s="4" t="s">
        <v>1035</v>
      </c>
      <c r="F535" s="5">
        <v>39615</v>
      </c>
      <c r="G535" s="5">
        <v>39813</v>
      </c>
      <c r="H535" s="4" t="s">
        <v>40</v>
      </c>
      <c r="I535" s="6">
        <v>30120</v>
      </c>
      <c r="J535" s="6">
        <v>15060</v>
      </c>
      <c r="K535" s="37" t="s">
        <v>790</v>
      </c>
      <c r="L535" s="119"/>
      <c r="M535" s="3"/>
    </row>
    <row r="536" spans="1:13" s="4" customFormat="1" x14ac:dyDescent="0.25">
      <c r="A536" s="4" t="s">
        <v>1036</v>
      </c>
      <c r="B536" s="4" t="s">
        <v>50</v>
      </c>
      <c r="C536" s="37" t="s">
        <v>790</v>
      </c>
      <c r="D536" s="35">
        <v>619</v>
      </c>
      <c r="E536" s="4" t="s">
        <v>1037</v>
      </c>
      <c r="F536" s="5">
        <v>39132</v>
      </c>
      <c r="G536" s="5">
        <v>39497</v>
      </c>
      <c r="H536" s="4" t="s">
        <v>40</v>
      </c>
      <c r="I536" s="6">
        <v>24577.38</v>
      </c>
      <c r="J536" s="6">
        <v>12288.69</v>
      </c>
      <c r="K536" s="37" t="s">
        <v>790</v>
      </c>
      <c r="L536" s="119"/>
      <c r="M536" s="3"/>
    </row>
    <row r="537" spans="1:13" s="4" customFormat="1" ht="25.5" x14ac:dyDescent="0.25">
      <c r="A537" s="4" t="s">
        <v>1038</v>
      </c>
      <c r="B537" s="4" t="s">
        <v>59</v>
      </c>
      <c r="C537" s="37" t="s">
        <v>790</v>
      </c>
      <c r="D537" s="35">
        <v>620</v>
      </c>
      <c r="E537" s="4" t="s">
        <v>1039</v>
      </c>
      <c r="F537" s="5">
        <v>39496</v>
      </c>
      <c r="G537" s="5">
        <v>39813</v>
      </c>
      <c r="H537" s="4" t="s">
        <v>40</v>
      </c>
      <c r="I537" s="6">
        <v>7500</v>
      </c>
      <c r="J537" s="6">
        <v>7500</v>
      </c>
      <c r="K537" s="37" t="s">
        <v>790</v>
      </c>
      <c r="L537" s="119"/>
      <c r="M537" s="3"/>
    </row>
    <row r="538" spans="1:13" s="4" customFormat="1" ht="38.25" x14ac:dyDescent="0.25">
      <c r="A538" s="4" t="s">
        <v>1040</v>
      </c>
      <c r="B538" s="4" t="s">
        <v>90</v>
      </c>
      <c r="C538" s="37" t="s">
        <v>790</v>
      </c>
      <c r="D538" s="35">
        <v>621</v>
      </c>
      <c r="E538" s="4" t="s">
        <v>1041</v>
      </c>
      <c r="F538" s="5">
        <v>39741</v>
      </c>
      <c r="G538" s="5">
        <v>39813</v>
      </c>
      <c r="H538" s="4" t="s">
        <v>40</v>
      </c>
      <c r="I538" s="6">
        <v>4000</v>
      </c>
      <c r="J538" s="6">
        <v>2000</v>
      </c>
      <c r="K538" s="37" t="s">
        <v>790</v>
      </c>
      <c r="L538" s="119"/>
      <c r="M538" s="3"/>
    </row>
    <row r="539" spans="1:13" s="4" customFormat="1" ht="25.5" x14ac:dyDescent="0.25">
      <c r="A539" s="4" t="s">
        <v>1042</v>
      </c>
      <c r="B539" s="4" t="s">
        <v>50</v>
      </c>
      <c r="C539" s="37" t="s">
        <v>790</v>
      </c>
      <c r="D539" s="35">
        <v>623</v>
      </c>
      <c r="E539" s="4" t="s">
        <v>1043</v>
      </c>
      <c r="F539" s="5">
        <v>39426</v>
      </c>
      <c r="G539" s="5">
        <v>39792</v>
      </c>
      <c r="H539" s="4" t="s">
        <v>40</v>
      </c>
      <c r="I539" s="6">
        <v>9390</v>
      </c>
      <c r="J539" s="6">
        <v>4695</v>
      </c>
      <c r="K539" s="37" t="s">
        <v>790</v>
      </c>
      <c r="L539" s="119"/>
      <c r="M539" s="3"/>
    </row>
    <row r="540" spans="1:13" s="4" customFormat="1" ht="38.25" x14ac:dyDescent="0.25">
      <c r="A540" s="4" t="s">
        <v>1044</v>
      </c>
      <c r="B540" s="4" t="s">
        <v>59</v>
      </c>
      <c r="C540" s="37" t="s">
        <v>790</v>
      </c>
      <c r="D540" s="35">
        <v>625</v>
      </c>
      <c r="E540" s="4" t="s">
        <v>1045</v>
      </c>
      <c r="F540" s="5">
        <v>39426</v>
      </c>
      <c r="G540" s="5">
        <v>39792</v>
      </c>
      <c r="H540" s="4" t="s">
        <v>40</v>
      </c>
      <c r="I540" s="6">
        <v>7500</v>
      </c>
      <c r="J540" s="6">
        <v>7500</v>
      </c>
      <c r="K540" s="37" t="s">
        <v>790</v>
      </c>
      <c r="L540" s="119"/>
      <c r="M540" s="3"/>
    </row>
    <row r="541" spans="1:13" s="4" customFormat="1" ht="25.5" x14ac:dyDescent="0.25">
      <c r="A541" s="4" t="s">
        <v>1046</v>
      </c>
      <c r="B541" s="4" t="s">
        <v>59</v>
      </c>
      <c r="C541" s="37" t="s">
        <v>790</v>
      </c>
      <c r="D541" s="35">
        <v>626</v>
      </c>
      <c r="E541" s="4" t="s">
        <v>1047</v>
      </c>
      <c r="F541" s="5">
        <v>39496</v>
      </c>
      <c r="G541" s="5">
        <v>39813</v>
      </c>
      <c r="H541" s="4" t="s">
        <v>40</v>
      </c>
      <c r="I541" s="6">
        <v>15000</v>
      </c>
      <c r="J541" s="6">
        <v>15000</v>
      </c>
      <c r="K541" s="37" t="s">
        <v>790</v>
      </c>
      <c r="L541" s="119"/>
      <c r="M541" s="3"/>
    </row>
    <row r="542" spans="1:13" s="4" customFormat="1" ht="25.5" x14ac:dyDescent="0.25">
      <c r="A542" s="4" t="s">
        <v>1048</v>
      </c>
      <c r="B542" s="4" t="s">
        <v>50</v>
      </c>
      <c r="C542" s="37" t="s">
        <v>790</v>
      </c>
      <c r="D542" s="35">
        <v>628</v>
      </c>
      <c r="E542" s="4" t="s">
        <v>1049</v>
      </c>
      <c r="F542" s="5">
        <v>39615</v>
      </c>
      <c r="G542" s="5">
        <v>39813</v>
      </c>
      <c r="H542" s="4" t="s">
        <v>40</v>
      </c>
      <c r="I542" s="6">
        <v>33369.760000000002</v>
      </c>
      <c r="J542" s="6">
        <v>16684.88</v>
      </c>
      <c r="K542" s="37" t="s">
        <v>790</v>
      </c>
      <c r="L542" s="119"/>
      <c r="M542" s="3"/>
    </row>
    <row r="543" spans="1:13" s="4" customFormat="1" ht="25.5" x14ac:dyDescent="0.25">
      <c r="A543" s="4" t="s">
        <v>1050</v>
      </c>
      <c r="B543" s="4" t="s">
        <v>50</v>
      </c>
      <c r="C543" s="37" t="s">
        <v>790</v>
      </c>
      <c r="D543" s="35">
        <v>631</v>
      </c>
      <c r="E543" s="4" t="s">
        <v>1051</v>
      </c>
      <c r="F543" s="5">
        <v>39426</v>
      </c>
      <c r="G543" s="5">
        <v>39792</v>
      </c>
      <c r="H543" s="4" t="s">
        <v>40</v>
      </c>
      <c r="I543" s="6">
        <v>134098.57999999999</v>
      </c>
      <c r="J543" s="6">
        <v>67049.289999999994</v>
      </c>
      <c r="K543" s="37" t="s">
        <v>790</v>
      </c>
      <c r="L543" s="119"/>
      <c r="M543" s="3"/>
    </row>
    <row r="544" spans="1:13" s="4" customFormat="1" ht="25.5" x14ac:dyDescent="0.25">
      <c r="A544" s="4" t="s">
        <v>1052</v>
      </c>
      <c r="B544" s="4" t="s">
        <v>90</v>
      </c>
      <c r="C544" s="37" t="s">
        <v>790</v>
      </c>
      <c r="D544" s="35">
        <v>633</v>
      </c>
      <c r="E544" s="4" t="s">
        <v>1053</v>
      </c>
      <c r="F544" s="5">
        <v>39426</v>
      </c>
      <c r="G544" s="5">
        <v>39639</v>
      </c>
      <c r="H544" s="4" t="s">
        <v>40</v>
      </c>
      <c r="I544" s="6">
        <v>5500</v>
      </c>
      <c r="J544" s="6">
        <v>2750</v>
      </c>
      <c r="K544" s="37" t="s">
        <v>790</v>
      </c>
      <c r="L544" s="119"/>
      <c r="M544" s="3"/>
    </row>
    <row r="545" spans="1:13" s="4" customFormat="1" ht="25.5" x14ac:dyDescent="0.25">
      <c r="A545" s="4" t="s">
        <v>1054</v>
      </c>
      <c r="B545" s="4" t="s">
        <v>50</v>
      </c>
      <c r="C545" s="37" t="s">
        <v>790</v>
      </c>
      <c r="D545" s="35">
        <v>635</v>
      </c>
      <c r="E545" s="4" t="s">
        <v>1055</v>
      </c>
      <c r="F545" s="5">
        <v>39279</v>
      </c>
      <c r="G545" s="5">
        <v>39768</v>
      </c>
      <c r="H545" s="4" t="s">
        <v>40</v>
      </c>
      <c r="I545" s="6">
        <v>137220</v>
      </c>
      <c r="J545" s="6">
        <v>68610</v>
      </c>
      <c r="K545" s="37" t="s">
        <v>790</v>
      </c>
      <c r="L545" s="119"/>
      <c r="M545" s="3"/>
    </row>
    <row r="546" spans="1:13" s="4" customFormat="1" ht="51" x14ac:dyDescent="0.25">
      <c r="A546" s="4" t="s">
        <v>1056</v>
      </c>
      <c r="B546" s="4" t="s">
        <v>90</v>
      </c>
      <c r="C546" s="37" t="s">
        <v>790</v>
      </c>
      <c r="D546" s="35">
        <v>638</v>
      </c>
      <c r="E546" s="4" t="s">
        <v>1057</v>
      </c>
      <c r="F546" s="5">
        <v>39615</v>
      </c>
      <c r="G546" s="5">
        <v>39798</v>
      </c>
      <c r="H546" s="4" t="s">
        <v>40</v>
      </c>
      <c r="I546" s="6">
        <v>10200</v>
      </c>
      <c r="J546" s="6">
        <v>5100</v>
      </c>
      <c r="K546" s="37" t="s">
        <v>790</v>
      </c>
      <c r="L546" s="119"/>
      <c r="M546" s="3"/>
    </row>
    <row r="547" spans="1:13" s="4" customFormat="1" ht="38.25" x14ac:dyDescent="0.25">
      <c r="A547" s="4" t="s">
        <v>1058</v>
      </c>
      <c r="B547" s="4" t="s">
        <v>90</v>
      </c>
      <c r="C547" s="37" t="s">
        <v>790</v>
      </c>
      <c r="D547" s="35">
        <v>639</v>
      </c>
      <c r="E547" s="4" t="s">
        <v>1059</v>
      </c>
      <c r="F547" s="5">
        <v>39615</v>
      </c>
      <c r="G547" s="5">
        <v>39798</v>
      </c>
      <c r="H547" s="4" t="s">
        <v>40</v>
      </c>
      <c r="I547" s="6">
        <v>8430</v>
      </c>
      <c r="J547" s="6">
        <v>4215</v>
      </c>
      <c r="K547" s="37" t="s">
        <v>790</v>
      </c>
      <c r="L547" s="119"/>
      <c r="M547" s="3"/>
    </row>
    <row r="548" spans="1:13" s="4" customFormat="1" ht="25.5" x14ac:dyDescent="0.25">
      <c r="A548" s="4" t="s">
        <v>1060</v>
      </c>
      <c r="B548" s="4" t="s">
        <v>59</v>
      </c>
      <c r="C548" s="37" t="s">
        <v>790</v>
      </c>
      <c r="D548" s="35">
        <v>641</v>
      </c>
      <c r="E548" s="4" t="s">
        <v>1061</v>
      </c>
      <c r="F548" s="5">
        <v>39223</v>
      </c>
      <c r="G548" s="5">
        <v>39650</v>
      </c>
      <c r="H548" s="4" t="s">
        <v>40</v>
      </c>
      <c r="I548" s="6">
        <v>15000</v>
      </c>
      <c r="J548" s="6">
        <v>15000</v>
      </c>
      <c r="K548" s="37" t="s">
        <v>790</v>
      </c>
      <c r="L548" s="119"/>
      <c r="M548" s="3"/>
    </row>
    <row r="549" spans="1:13" s="4" customFormat="1" ht="25.5" x14ac:dyDescent="0.25">
      <c r="A549" s="4" t="s">
        <v>1062</v>
      </c>
      <c r="B549" s="4" t="s">
        <v>38</v>
      </c>
      <c r="C549" s="37" t="s">
        <v>790</v>
      </c>
      <c r="D549" s="35">
        <v>701</v>
      </c>
      <c r="E549" s="4" t="s">
        <v>1063</v>
      </c>
      <c r="F549" s="5">
        <v>39083</v>
      </c>
      <c r="G549" s="5">
        <v>39447</v>
      </c>
      <c r="H549" s="4" t="s">
        <v>40</v>
      </c>
      <c r="I549" s="6">
        <v>9485.85</v>
      </c>
      <c r="J549" s="6">
        <v>9485.85</v>
      </c>
      <c r="K549" s="37" t="s">
        <v>790</v>
      </c>
      <c r="L549" s="119"/>
      <c r="M549" s="3"/>
    </row>
    <row r="550" spans="1:13" s="4" customFormat="1" ht="25.5" x14ac:dyDescent="0.25">
      <c r="A550" s="4" t="s">
        <v>1064</v>
      </c>
      <c r="B550" s="4" t="s">
        <v>38</v>
      </c>
      <c r="C550" s="37" t="s">
        <v>790</v>
      </c>
      <c r="D550" s="35">
        <v>702</v>
      </c>
      <c r="E550" s="4" t="s">
        <v>1065</v>
      </c>
      <c r="F550" s="5">
        <v>39448</v>
      </c>
      <c r="G550" s="5">
        <v>39813</v>
      </c>
      <c r="H550" s="4" t="s">
        <v>40</v>
      </c>
      <c r="I550" s="6">
        <v>16077.02</v>
      </c>
      <c r="J550" s="6">
        <v>16077.02</v>
      </c>
      <c r="K550" s="37" t="s">
        <v>790</v>
      </c>
      <c r="L550" s="119"/>
      <c r="M550" s="3"/>
    </row>
    <row r="551" spans="1:13" s="4" customFormat="1" ht="38.25" x14ac:dyDescent="0.25">
      <c r="A551" s="4" t="s">
        <v>1066</v>
      </c>
      <c r="B551" s="4" t="s">
        <v>38</v>
      </c>
      <c r="C551" s="37" t="s">
        <v>790</v>
      </c>
      <c r="D551" s="35">
        <v>703</v>
      </c>
      <c r="E551" s="4" t="s">
        <v>1067</v>
      </c>
      <c r="F551" s="5">
        <v>39083</v>
      </c>
      <c r="G551" s="5">
        <v>39813</v>
      </c>
      <c r="H551" s="4" t="s">
        <v>40</v>
      </c>
      <c r="I551" s="6">
        <v>3226.02</v>
      </c>
      <c r="J551" s="6">
        <v>3226.02</v>
      </c>
      <c r="K551" s="37" t="s">
        <v>790</v>
      </c>
      <c r="L551" s="119"/>
      <c r="M551" s="3"/>
    </row>
    <row r="552" spans="1:13" s="4" customFormat="1" ht="25.5" x14ac:dyDescent="0.25">
      <c r="A552" s="4" t="s">
        <v>1068</v>
      </c>
      <c r="B552" s="4" t="s">
        <v>38</v>
      </c>
      <c r="C552" s="37" t="s">
        <v>790</v>
      </c>
      <c r="D552" s="35">
        <v>704</v>
      </c>
      <c r="E552" s="4" t="s">
        <v>1069</v>
      </c>
      <c r="F552" s="5">
        <v>39083</v>
      </c>
      <c r="G552" s="5">
        <v>39813</v>
      </c>
      <c r="H552" s="4" t="s">
        <v>40</v>
      </c>
      <c r="I552" s="6">
        <v>9610.93</v>
      </c>
      <c r="J552" s="6">
        <v>9610.93</v>
      </c>
      <c r="K552" s="37" t="s">
        <v>790</v>
      </c>
      <c r="L552" s="119"/>
      <c r="M552" s="3"/>
    </row>
    <row r="553" spans="1:13" s="4" customFormat="1" ht="51" x14ac:dyDescent="0.25">
      <c r="A553" s="4" t="s">
        <v>1070</v>
      </c>
      <c r="B553" s="4" t="s">
        <v>38</v>
      </c>
      <c r="C553" s="37" t="s">
        <v>790</v>
      </c>
      <c r="D553" s="35">
        <v>705</v>
      </c>
      <c r="E553" s="4" t="s">
        <v>1071</v>
      </c>
      <c r="F553" s="5">
        <v>39083</v>
      </c>
      <c r="G553" s="5">
        <v>39447</v>
      </c>
      <c r="H553" s="4" t="s">
        <v>40</v>
      </c>
      <c r="I553" s="6">
        <v>2914.92</v>
      </c>
      <c r="J553" s="6">
        <v>2914.92</v>
      </c>
      <c r="K553" s="37" t="s">
        <v>790</v>
      </c>
      <c r="L553" s="119"/>
      <c r="M553" s="3"/>
    </row>
    <row r="554" spans="1:13" s="4" customFormat="1" ht="51" x14ac:dyDescent="0.25">
      <c r="A554" s="4" t="s">
        <v>1072</v>
      </c>
      <c r="B554" s="4" t="s">
        <v>38</v>
      </c>
      <c r="C554" s="37" t="s">
        <v>790</v>
      </c>
      <c r="D554" s="35">
        <v>706</v>
      </c>
      <c r="E554" s="4" t="s">
        <v>1073</v>
      </c>
      <c r="F554" s="5">
        <v>39083</v>
      </c>
      <c r="G554" s="5">
        <v>39813</v>
      </c>
      <c r="H554" s="4" t="s">
        <v>40</v>
      </c>
      <c r="I554" s="6">
        <v>10418.290000000001</v>
      </c>
      <c r="J554" s="6">
        <v>10418.290000000001</v>
      </c>
      <c r="K554" s="37" t="s">
        <v>790</v>
      </c>
      <c r="L554" s="119"/>
      <c r="M554" s="3"/>
    </row>
    <row r="555" spans="1:13" s="4" customFormat="1" ht="38.25" x14ac:dyDescent="0.25">
      <c r="A555" s="4" t="s">
        <v>1074</v>
      </c>
      <c r="B555" s="4" t="s">
        <v>38</v>
      </c>
      <c r="C555" s="37" t="s">
        <v>790</v>
      </c>
      <c r="D555" s="35">
        <v>707</v>
      </c>
      <c r="E555" s="4" t="s">
        <v>1075</v>
      </c>
      <c r="F555" s="5">
        <v>39448</v>
      </c>
      <c r="G555" s="5">
        <v>39813</v>
      </c>
      <c r="H555" s="4" t="s">
        <v>40</v>
      </c>
      <c r="I555" s="6">
        <v>4644.8500000000004</v>
      </c>
      <c r="J555" s="6">
        <v>4644.8500000000004</v>
      </c>
      <c r="K555" s="37" t="s">
        <v>790</v>
      </c>
      <c r="L555" s="119"/>
      <c r="M555" s="3"/>
    </row>
    <row r="556" spans="1:13" s="4" customFormat="1" ht="51" x14ac:dyDescent="0.25">
      <c r="A556" s="4" t="s">
        <v>1076</v>
      </c>
      <c r="B556" s="4" t="s">
        <v>38</v>
      </c>
      <c r="C556" s="37" t="s">
        <v>790</v>
      </c>
      <c r="D556" s="35">
        <v>709</v>
      </c>
      <c r="E556" s="4" t="s">
        <v>1077</v>
      </c>
      <c r="F556" s="5">
        <v>39264</v>
      </c>
      <c r="G556" s="5">
        <v>40359</v>
      </c>
      <c r="H556" s="4" t="s">
        <v>40</v>
      </c>
      <c r="I556" s="6">
        <v>17556.25</v>
      </c>
      <c r="J556" s="6">
        <v>17556.25</v>
      </c>
      <c r="K556" s="37" t="s">
        <v>790</v>
      </c>
      <c r="L556" s="119"/>
      <c r="M556" s="3"/>
    </row>
    <row r="557" spans="1:13" s="4" customFormat="1" ht="51" x14ac:dyDescent="0.25">
      <c r="A557" s="4" t="s">
        <v>1078</v>
      </c>
      <c r="B557" s="4" t="s">
        <v>38</v>
      </c>
      <c r="C557" s="37" t="s">
        <v>790</v>
      </c>
      <c r="D557" s="35">
        <v>710</v>
      </c>
      <c r="E557" s="4" t="s">
        <v>1079</v>
      </c>
      <c r="F557" s="5">
        <v>39630</v>
      </c>
      <c r="G557" s="5">
        <v>39994</v>
      </c>
      <c r="H557" s="4" t="s">
        <v>40</v>
      </c>
      <c r="I557" s="6">
        <v>18943.099999999999</v>
      </c>
      <c r="J557" s="6">
        <v>18943.099999999999</v>
      </c>
      <c r="K557" s="37" t="s">
        <v>790</v>
      </c>
      <c r="L557" s="119"/>
      <c r="M557" s="3"/>
    </row>
    <row r="558" spans="1:13" s="4" customFormat="1" ht="25.5" x14ac:dyDescent="0.25">
      <c r="A558" s="4" t="s">
        <v>1080</v>
      </c>
      <c r="B558" s="4" t="s">
        <v>38</v>
      </c>
      <c r="C558" s="37" t="s">
        <v>790</v>
      </c>
      <c r="D558" s="35">
        <v>711</v>
      </c>
      <c r="E558" s="4" t="s">
        <v>1081</v>
      </c>
      <c r="F558" s="5">
        <v>39448</v>
      </c>
      <c r="G558" s="5">
        <v>39813</v>
      </c>
      <c r="H558" s="4" t="s">
        <v>40</v>
      </c>
      <c r="I558" s="6">
        <v>1893.28</v>
      </c>
      <c r="J558" s="6">
        <v>1893.28</v>
      </c>
      <c r="K558" s="37" t="s">
        <v>790</v>
      </c>
      <c r="L558" s="119"/>
      <c r="M558" s="3"/>
    </row>
    <row r="559" spans="1:13" s="4" customFormat="1" ht="25.5" x14ac:dyDescent="0.25">
      <c r="A559" s="4" t="s">
        <v>1082</v>
      </c>
      <c r="B559" s="4" t="s">
        <v>38</v>
      </c>
      <c r="C559" s="37" t="s">
        <v>790</v>
      </c>
      <c r="D559" s="35">
        <v>712</v>
      </c>
      <c r="E559" s="4" t="s">
        <v>1083</v>
      </c>
      <c r="F559" s="5">
        <v>39083</v>
      </c>
      <c r="G559" s="5">
        <v>39813</v>
      </c>
      <c r="H559" s="4" t="s">
        <v>40</v>
      </c>
      <c r="I559" s="6">
        <v>11630.17</v>
      </c>
      <c r="J559" s="6">
        <v>11630.17</v>
      </c>
      <c r="K559" s="37" t="s">
        <v>790</v>
      </c>
      <c r="L559" s="119"/>
      <c r="M559" s="3"/>
    </row>
    <row r="560" spans="1:13" s="4" customFormat="1" ht="38.25" x14ac:dyDescent="0.25">
      <c r="A560" s="4" t="s">
        <v>1084</v>
      </c>
      <c r="B560" s="4" t="s">
        <v>38</v>
      </c>
      <c r="C560" s="37" t="s">
        <v>790</v>
      </c>
      <c r="D560" s="35">
        <v>714</v>
      </c>
      <c r="E560" s="4" t="s">
        <v>1085</v>
      </c>
      <c r="F560" s="5">
        <v>39448</v>
      </c>
      <c r="G560" s="5">
        <v>39813</v>
      </c>
      <c r="H560" s="4" t="s">
        <v>40</v>
      </c>
      <c r="I560" s="6">
        <v>3843.22</v>
      </c>
      <c r="J560" s="6">
        <v>3843.22</v>
      </c>
      <c r="K560" s="37" t="s">
        <v>790</v>
      </c>
      <c r="L560" s="119"/>
      <c r="M560" s="3"/>
    </row>
    <row r="561" spans="1:13" s="4" customFormat="1" ht="38.25" x14ac:dyDescent="0.25">
      <c r="A561" s="4" t="s">
        <v>1086</v>
      </c>
      <c r="B561" s="4" t="s">
        <v>38</v>
      </c>
      <c r="C561" s="37" t="s">
        <v>790</v>
      </c>
      <c r="D561" s="35">
        <v>728</v>
      </c>
      <c r="E561" s="4" t="s">
        <v>1087</v>
      </c>
      <c r="F561" s="5">
        <v>39448</v>
      </c>
      <c r="G561" s="5">
        <v>39813</v>
      </c>
      <c r="H561" s="4" t="s">
        <v>40</v>
      </c>
      <c r="I561" s="6">
        <v>2050</v>
      </c>
      <c r="J561" s="6">
        <v>2050</v>
      </c>
      <c r="K561" s="37" t="s">
        <v>790</v>
      </c>
      <c r="L561" s="119"/>
      <c r="M561" s="3"/>
    </row>
    <row r="562" spans="1:13" s="4" customFormat="1" ht="25.5" x14ac:dyDescent="0.25">
      <c r="A562" s="4" t="s">
        <v>1088</v>
      </c>
      <c r="B562" s="4" t="s">
        <v>38</v>
      </c>
      <c r="C562" s="37" t="s">
        <v>790</v>
      </c>
      <c r="D562" s="35">
        <v>729</v>
      </c>
      <c r="E562" s="4" t="s">
        <v>1089</v>
      </c>
      <c r="F562" s="5">
        <v>39448</v>
      </c>
      <c r="G562" s="5">
        <v>39813</v>
      </c>
      <c r="H562" s="4" t="s">
        <v>40</v>
      </c>
      <c r="I562" s="6">
        <v>19572.900000000001</v>
      </c>
      <c r="J562" s="6">
        <v>19572.900000000001</v>
      </c>
      <c r="K562" s="37" t="s">
        <v>790</v>
      </c>
      <c r="L562" s="119"/>
      <c r="M562" s="3"/>
    </row>
    <row r="563" spans="1:13" s="4" customFormat="1" ht="38.25" x14ac:dyDescent="0.25">
      <c r="A563" s="4" t="s">
        <v>1090</v>
      </c>
      <c r="B563" s="4" t="s">
        <v>38</v>
      </c>
      <c r="C563" s="37" t="s">
        <v>790</v>
      </c>
      <c r="D563" s="35">
        <v>730</v>
      </c>
      <c r="E563" s="4" t="s">
        <v>1091</v>
      </c>
      <c r="F563" s="5">
        <v>39448</v>
      </c>
      <c r="G563" s="5">
        <v>39813</v>
      </c>
      <c r="H563" s="4" t="s">
        <v>40</v>
      </c>
      <c r="I563" s="6">
        <v>6747.33</v>
      </c>
      <c r="J563" s="6">
        <v>6747.33</v>
      </c>
      <c r="K563" s="37" t="s">
        <v>790</v>
      </c>
      <c r="L563" s="119"/>
      <c r="M563" s="3"/>
    </row>
    <row r="564" spans="1:13" s="4" customFormat="1" ht="38.25" x14ac:dyDescent="0.25">
      <c r="A564" s="4" t="s">
        <v>1092</v>
      </c>
      <c r="B564" s="4" t="s">
        <v>38</v>
      </c>
      <c r="C564" s="37" t="s">
        <v>790</v>
      </c>
      <c r="D564" s="35">
        <v>731</v>
      </c>
      <c r="E564" s="4" t="s">
        <v>1093</v>
      </c>
      <c r="F564" s="5">
        <v>39448</v>
      </c>
      <c r="G564" s="5">
        <v>40178</v>
      </c>
      <c r="H564" s="4" t="s">
        <v>40</v>
      </c>
      <c r="I564" s="6">
        <v>5170.8500000000004</v>
      </c>
      <c r="J564" s="6">
        <v>5170.8500000000004</v>
      </c>
      <c r="K564" s="37" t="s">
        <v>790</v>
      </c>
      <c r="L564" s="119"/>
      <c r="M564" s="3"/>
    </row>
    <row r="565" spans="1:13" s="4" customFormat="1" ht="25.5" x14ac:dyDescent="0.25">
      <c r="A565" s="4" t="s">
        <v>1094</v>
      </c>
      <c r="B565" s="4" t="s">
        <v>38</v>
      </c>
      <c r="C565" s="37" t="s">
        <v>790</v>
      </c>
      <c r="D565" s="35">
        <v>732</v>
      </c>
      <c r="E565" s="4" t="s">
        <v>1095</v>
      </c>
      <c r="F565" s="5">
        <v>39083</v>
      </c>
      <c r="G565" s="5">
        <v>39813</v>
      </c>
      <c r="H565" s="4" t="s">
        <v>40</v>
      </c>
      <c r="I565" s="6">
        <v>6500</v>
      </c>
      <c r="J565" s="6">
        <v>6500</v>
      </c>
      <c r="K565" s="37" t="s">
        <v>790</v>
      </c>
      <c r="L565" s="119"/>
      <c r="M565" s="3"/>
    </row>
    <row r="566" spans="1:13" s="4" customFormat="1" ht="25.5" x14ac:dyDescent="0.25">
      <c r="A566" s="4" t="s">
        <v>1096</v>
      </c>
      <c r="B566" s="4" t="s">
        <v>38</v>
      </c>
      <c r="C566" s="37" t="s">
        <v>790</v>
      </c>
      <c r="D566" s="35">
        <v>733</v>
      </c>
      <c r="E566" s="4" t="s">
        <v>1097</v>
      </c>
      <c r="F566" s="5">
        <v>39083</v>
      </c>
      <c r="G566" s="5">
        <v>39447</v>
      </c>
      <c r="H566" s="4" t="s">
        <v>40</v>
      </c>
      <c r="I566" s="6">
        <v>425</v>
      </c>
      <c r="J566" s="6">
        <v>425</v>
      </c>
      <c r="K566" s="37" t="s">
        <v>790</v>
      </c>
      <c r="L566" s="119"/>
      <c r="M566" s="3"/>
    </row>
    <row r="567" spans="1:13" s="4" customFormat="1" ht="25.5" x14ac:dyDescent="0.25">
      <c r="A567" s="4" t="s">
        <v>1098</v>
      </c>
      <c r="B567" s="4" t="s">
        <v>38</v>
      </c>
      <c r="C567" s="37" t="s">
        <v>790</v>
      </c>
      <c r="D567" s="35">
        <v>735</v>
      </c>
      <c r="E567" s="4" t="s">
        <v>1099</v>
      </c>
      <c r="F567" s="5">
        <v>39083</v>
      </c>
      <c r="G567" s="5">
        <v>39447</v>
      </c>
      <c r="H567" s="4" t="s">
        <v>40</v>
      </c>
      <c r="I567" s="6">
        <v>1140</v>
      </c>
      <c r="J567" s="6">
        <v>1140</v>
      </c>
      <c r="K567" s="37" t="s">
        <v>790</v>
      </c>
      <c r="L567" s="119"/>
      <c r="M567" s="3"/>
    </row>
    <row r="568" spans="1:13" s="4" customFormat="1" ht="25.5" x14ac:dyDescent="0.25">
      <c r="A568" s="4" t="s">
        <v>1100</v>
      </c>
      <c r="B568" s="4" t="s">
        <v>38</v>
      </c>
      <c r="C568" s="37" t="s">
        <v>790</v>
      </c>
      <c r="D568" s="35">
        <v>736</v>
      </c>
      <c r="E568" s="4" t="s">
        <v>1101</v>
      </c>
      <c r="F568" s="5">
        <v>39083</v>
      </c>
      <c r="G568" s="5">
        <v>39447</v>
      </c>
      <c r="H568" s="4" t="s">
        <v>40</v>
      </c>
      <c r="I568" s="6">
        <v>1144.8900000000001</v>
      </c>
      <c r="J568" s="6">
        <v>1144.8900000000001</v>
      </c>
      <c r="K568" s="37" t="s">
        <v>790</v>
      </c>
      <c r="L568" s="119"/>
      <c r="M568" s="3"/>
    </row>
    <row r="569" spans="1:13" s="4" customFormat="1" ht="25.5" x14ac:dyDescent="0.25">
      <c r="A569" s="4" t="s">
        <v>1102</v>
      </c>
      <c r="B569" s="4" t="s">
        <v>38</v>
      </c>
      <c r="C569" s="37" t="s">
        <v>790</v>
      </c>
      <c r="D569" s="35">
        <v>737</v>
      </c>
      <c r="E569" s="4" t="s">
        <v>1103</v>
      </c>
      <c r="F569" s="5">
        <v>39083</v>
      </c>
      <c r="G569" s="5">
        <v>39447</v>
      </c>
      <c r="H569" s="4" t="s">
        <v>40</v>
      </c>
      <c r="I569" s="6">
        <v>17616.240000000002</v>
      </c>
      <c r="J569" s="6">
        <v>17616.240000000002</v>
      </c>
      <c r="K569" s="37" t="s">
        <v>790</v>
      </c>
      <c r="L569" s="119"/>
      <c r="M569" s="3"/>
    </row>
    <row r="570" spans="1:13" s="4" customFormat="1" ht="25.5" x14ac:dyDescent="0.25">
      <c r="A570" s="4" t="s">
        <v>1104</v>
      </c>
      <c r="B570" s="4" t="s">
        <v>38</v>
      </c>
      <c r="C570" s="37" t="s">
        <v>790</v>
      </c>
      <c r="D570" s="35">
        <v>738</v>
      </c>
      <c r="E570" s="4" t="s">
        <v>1105</v>
      </c>
      <c r="F570" s="5">
        <v>39448</v>
      </c>
      <c r="G570" s="5">
        <v>39813</v>
      </c>
      <c r="H570" s="4" t="s">
        <v>40</v>
      </c>
      <c r="I570" s="6">
        <v>7540.02</v>
      </c>
      <c r="J570" s="6">
        <v>7540.02</v>
      </c>
      <c r="K570" s="37" t="s">
        <v>790</v>
      </c>
      <c r="L570" s="119"/>
      <c r="M570" s="3"/>
    </row>
    <row r="571" spans="1:13" s="4" customFormat="1" ht="25.5" x14ac:dyDescent="0.25">
      <c r="A571" s="4" t="s">
        <v>1106</v>
      </c>
      <c r="B571" s="4" t="s">
        <v>38</v>
      </c>
      <c r="C571" s="37" t="s">
        <v>790</v>
      </c>
      <c r="D571" s="35">
        <v>739</v>
      </c>
      <c r="E571" s="4" t="s">
        <v>1107</v>
      </c>
      <c r="F571" s="5">
        <v>39448</v>
      </c>
      <c r="G571" s="5">
        <v>39813</v>
      </c>
      <c r="H571" s="4" t="s">
        <v>40</v>
      </c>
      <c r="I571" s="6">
        <v>1000</v>
      </c>
      <c r="J571" s="6">
        <v>1000</v>
      </c>
      <c r="K571" s="37" t="s">
        <v>790</v>
      </c>
      <c r="L571" s="119"/>
      <c r="M571" s="3"/>
    </row>
    <row r="572" spans="1:13" s="4" customFormat="1" ht="38.25" x14ac:dyDescent="0.25">
      <c r="A572" s="4" t="s">
        <v>1108</v>
      </c>
      <c r="B572" s="4" t="s">
        <v>38</v>
      </c>
      <c r="C572" s="37" t="s">
        <v>790</v>
      </c>
      <c r="D572" s="35">
        <v>740</v>
      </c>
      <c r="E572" s="4" t="s">
        <v>1109</v>
      </c>
      <c r="F572" s="5">
        <v>39083</v>
      </c>
      <c r="G572" s="5">
        <v>39538</v>
      </c>
      <c r="H572" s="4" t="s">
        <v>40</v>
      </c>
      <c r="I572" s="6">
        <v>17737.75</v>
      </c>
      <c r="J572" s="6">
        <v>17737.75</v>
      </c>
      <c r="K572" s="37" t="s">
        <v>790</v>
      </c>
      <c r="L572" s="119"/>
      <c r="M572" s="3"/>
    </row>
    <row r="573" spans="1:13" s="4" customFormat="1" ht="38.25" x14ac:dyDescent="0.25">
      <c r="A573" s="4" t="s">
        <v>1110</v>
      </c>
      <c r="B573" s="4" t="s">
        <v>38</v>
      </c>
      <c r="C573" s="37" t="s">
        <v>790</v>
      </c>
      <c r="D573" s="35">
        <v>741</v>
      </c>
      <c r="E573" s="4" t="s">
        <v>1111</v>
      </c>
      <c r="F573" s="5">
        <v>39448</v>
      </c>
      <c r="G573" s="5">
        <v>39903</v>
      </c>
      <c r="H573" s="4" t="s">
        <v>40</v>
      </c>
      <c r="I573" s="6">
        <v>18063.849999999999</v>
      </c>
      <c r="J573" s="6">
        <v>18063.849999999999</v>
      </c>
      <c r="K573" s="37" t="s">
        <v>790</v>
      </c>
      <c r="L573" s="119"/>
      <c r="M573" s="3"/>
    </row>
    <row r="574" spans="1:13" s="4" customFormat="1" ht="25.5" x14ac:dyDescent="0.25">
      <c r="A574" s="4" t="s">
        <v>1112</v>
      </c>
      <c r="B574" s="4" t="s">
        <v>38</v>
      </c>
      <c r="C574" s="37" t="s">
        <v>790</v>
      </c>
      <c r="D574" s="35">
        <v>742</v>
      </c>
      <c r="E574" s="4" t="s">
        <v>1113</v>
      </c>
      <c r="F574" s="5">
        <v>39448</v>
      </c>
      <c r="G574" s="5">
        <v>39813</v>
      </c>
      <c r="H574" s="4" t="s">
        <v>40</v>
      </c>
      <c r="I574" s="6">
        <v>505.78</v>
      </c>
      <c r="J574" s="6">
        <v>505.78</v>
      </c>
      <c r="K574" s="37" t="s">
        <v>790</v>
      </c>
      <c r="L574" s="119"/>
      <c r="M574" s="3"/>
    </row>
    <row r="575" spans="1:13" s="4" customFormat="1" ht="25.5" x14ac:dyDescent="0.25">
      <c r="A575" s="4" t="s">
        <v>1114</v>
      </c>
      <c r="B575" s="4" t="s">
        <v>38</v>
      </c>
      <c r="C575" s="37" t="s">
        <v>790</v>
      </c>
      <c r="D575" s="35">
        <v>743</v>
      </c>
      <c r="E575" s="4" t="s">
        <v>1115</v>
      </c>
      <c r="F575" s="5">
        <v>39448</v>
      </c>
      <c r="G575" s="5">
        <v>39813</v>
      </c>
      <c r="H575" s="4" t="s">
        <v>40</v>
      </c>
      <c r="I575" s="6">
        <v>2200.9299999999998</v>
      </c>
      <c r="J575" s="6">
        <v>2200.9299999999998</v>
      </c>
      <c r="K575" s="37" t="s">
        <v>790</v>
      </c>
      <c r="L575" s="119"/>
      <c r="M575" s="3"/>
    </row>
    <row r="576" spans="1:13" s="4" customFormat="1" ht="38.25" x14ac:dyDescent="0.25">
      <c r="A576" s="4" t="s">
        <v>1116</v>
      </c>
      <c r="B576" s="4" t="s">
        <v>38</v>
      </c>
      <c r="C576" s="37" t="s">
        <v>790</v>
      </c>
      <c r="D576" s="35">
        <v>745</v>
      </c>
      <c r="E576" s="4" t="s">
        <v>1117</v>
      </c>
      <c r="F576" s="5">
        <v>39083</v>
      </c>
      <c r="G576" s="5">
        <v>39447</v>
      </c>
      <c r="H576" s="4" t="s">
        <v>40</v>
      </c>
      <c r="I576" s="6">
        <v>560</v>
      </c>
      <c r="J576" s="6">
        <v>560</v>
      </c>
      <c r="K576" s="37" t="s">
        <v>790</v>
      </c>
      <c r="L576" s="119"/>
      <c r="M576" s="3"/>
    </row>
    <row r="577" spans="1:13" s="4" customFormat="1" ht="25.5" x14ac:dyDescent="0.25">
      <c r="A577" s="4" t="s">
        <v>1118</v>
      </c>
      <c r="B577" s="4" t="s">
        <v>38</v>
      </c>
      <c r="C577" s="37" t="s">
        <v>790</v>
      </c>
      <c r="D577" s="35">
        <v>764</v>
      </c>
      <c r="E577" s="4" t="s">
        <v>1119</v>
      </c>
      <c r="F577" s="5">
        <v>39448</v>
      </c>
      <c r="G577" s="5">
        <v>39813</v>
      </c>
      <c r="H577" s="4" t="s">
        <v>40</v>
      </c>
      <c r="I577" s="6">
        <v>998.28</v>
      </c>
      <c r="J577" s="6">
        <v>998.28</v>
      </c>
      <c r="K577" s="37" t="s">
        <v>790</v>
      </c>
      <c r="L577" s="119"/>
      <c r="M577" s="3"/>
    </row>
    <row r="578" spans="1:13" s="4" customFormat="1" ht="25.5" x14ac:dyDescent="0.25">
      <c r="A578" s="4" t="s">
        <v>1120</v>
      </c>
      <c r="B578" s="4" t="s">
        <v>38</v>
      </c>
      <c r="C578" s="37" t="s">
        <v>790</v>
      </c>
      <c r="D578" s="35">
        <v>768</v>
      </c>
      <c r="E578" s="4" t="s">
        <v>1121</v>
      </c>
      <c r="F578" s="5">
        <v>39083</v>
      </c>
      <c r="G578" s="5">
        <v>39813</v>
      </c>
      <c r="H578" s="4" t="s">
        <v>40</v>
      </c>
      <c r="I578" s="6">
        <v>6296.38</v>
      </c>
      <c r="J578" s="6">
        <v>6296.38</v>
      </c>
      <c r="K578" s="37" t="s">
        <v>790</v>
      </c>
      <c r="L578" s="119"/>
      <c r="M578" s="3"/>
    </row>
    <row r="579" spans="1:13" s="4" customFormat="1" ht="25.5" x14ac:dyDescent="0.25">
      <c r="A579" s="4" t="s">
        <v>1122</v>
      </c>
      <c r="B579" s="4" t="s">
        <v>38</v>
      </c>
      <c r="C579" s="37" t="s">
        <v>790</v>
      </c>
      <c r="D579" s="35">
        <v>769</v>
      </c>
      <c r="E579" s="4" t="s">
        <v>1123</v>
      </c>
      <c r="F579" s="5">
        <v>39083</v>
      </c>
      <c r="G579" s="5">
        <v>39813</v>
      </c>
      <c r="H579" s="4" t="s">
        <v>40</v>
      </c>
      <c r="I579" s="6">
        <v>46673.5</v>
      </c>
      <c r="J579" s="6">
        <v>46673.5</v>
      </c>
      <c r="K579" s="37" t="s">
        <v>790</v>
      </c>
      <c r="L579" s="119"/>
      <c r="M579" s="3"/>
    </row>
    <row r="580" spans="1:13" s="4" customFormat="1" ht="38.25" x14ac:dyDescent="0.25">
      <c r="A580" s="4" t="s">
        <v>1124</v>
      </c>
      <c r="B580" s="4" t="s">
        <v>38</v>
      </c>
      <c r="C580" s="37" t="s">
        <v>790</v>
      </c>
      <c r="D580" s="35">
        <v>771</v>
      </c>
      <c r="E580" s="4" t="s">
        <v>1125</v>
      </c>
      <c r="F580" s="5">
        <v>39448</v>
      </c>
      <c r="G580" s="5">
        <v>40178</v>
      </c>
      <c r="H580" s="4" t="s">
        <v>40</v>
      </c>
      <c r="I580" s="6">
        <v>33763.050000000003</v>
      </c>
      <c r="J580" s="6">
        <v>33763.050000000003</v>
      </c>
      <c r="K580" s="37" t="s">
        <v>790</v>
      </c>
      <c r="L580" s="119"/>
      <c r="M580" s="3"/>
    </row>
    <row r="581" spans="1:13" s="4" customFormat="1" ht="38.25" x14ac:dyDescent="0.25">
      <c r="A581" s="4" t="s">
        <v>1126</v>
      </c>
      <c r="B581" s="4" t="s">
        <v>38</v>
      </c>
      <c r="C581" s="37" t="s">
        <v>790</v>
      </c>
      <c r="D581" s="35">
        <v>778</v>
      </c>
      <c r="E581" s="4" t="s">
        <v>1127</v>
      </c>
      <c r="F581" s="5">
        <v>39083</v>
      </c>
      <c r="G581" s="5">
        <v>39447</v>
      </c>
      <c r="H581" s="4" t="s">
        <v>40</v>
      </c>
      <c r="I581" s="6">
        <v>14914.65</v>
      </c>
      <c r="J581" s="6">
        <v>14914.65</v>
      </c>
      <c r="K581" s="37" t="s">
        <v>790</v>
      </c>
      <c r="L581" s="119"/>
      <c r="M581" s="3"/>
    </row>
    <row r="582" spans="1:13" s="4" customFormat="1" ht="25.5" x14ac:dyDescent="0.25">
      <c r="A582" s="4" t="s">
        <v>1128</v>
      </c>
      <c r="B582" s="4" t="s">
        <v>38</v>
      </c>
      <c r="C582" s="37" t="s">
        <v>790</v>
      </c>
      <c r="D582" s="35">
        <v>780</v>
      </c>
      <c r="E582" s="4" t="s">
        <v>1129</v>
      </c>
      <c r="F582" s="5">
        <v>39083</v>
      </c>
      <c r="G582" s="5">
        <v>39447</v>
      </c>
      <c r="H582" s="4" t="s">
        <v>40</v>
      </c>
      <c r="I582" s="6">
        <v>2500</v>
      </c>
      <c r="J582" s="6">
        <v>2500</v>
      </c>
      <c r="K582" s="37" t="s">
        <v>790</v>
      </c>
      <c r="L582" s="119"/>
      <c r="M582" s="3"/>
    </row>
    <row r="583" spans="1:13" s="4" customFormat="1" ht="38.25" x14ac:dyDescent="0.25">
      <c r="A583" s="4" t="s">
        <v>1130</v>
      </c>
      <c r="B583" s="4" t="s">
        <v>38</v>
      </c>
      <c r="C583" s="37" t="s">
        <v>790</v>
      </c>
      <c r="D583" s="35">
        <v>782</v>
      </c>
      <c r="E583" s="4" t="s">
        <v>1131</v>
      </c>
      <c r="F583" s="5">
        <v>39083</v>
      </c>
      <c r="G583" s="5">
        <v>39447</v>
      </c>
      <c r="H583" s="4" t="s">
        <v>40</v>
      </c>
      <c r="I583" s="6">
        <v>14070.85</v>
      </c>
      <c r="J583" s="6">
        <v>14070.85</v>
      </c>
      <c r="K583" s="37" t="s">
        <v>790</v>
      </c>
      <c r="L583" s="119"/>
      <c r="M583" s="3"/>
    </row>
    <row r="584" spans="1:13" s="4" customFormat="1" ht="25.5" x14ac:dyDescent="0.25">
      <c r="A584" s="4" t="s">
        <v>1132</v>
      </c>
      <c r="B584" s="4" t="s">
        <v>38</v>
      </c>
      <c r="C584" s="37" t="s">
        <v>790</v>
      </c>
      <c r="D584" s="35">
        <v>786</v>
      </c>
      <c r="E584" s="4" t="s">
        <v>1133</v>
      </c>
      <c r="F584" s="5">
        <v>39083</v>
      </c>
      <c r="G584" s="5">
        <v>40178</v>
      </c>
      <c r="H584" s="4" t="s">
        <v>40</v>
      </c>
      <c r="I584" s="6">
        <v>9234.4</v>
      </c>
      <c r="J584" s="6">
        <v>9234.4</v>
      </c>
      <c r="K584" s="37" t="s">
        <v>790</v>
      </c>
      <c r="L584" s="119"/>
      <c r="M584" s="3"/>
    </row>
    <row r="585" spans="1:13" s="4" customFormat="1" ht="25.5" x14ac:dyDescent="0.25">
      <c r="A585" s="4" t="s">
        <v>1134</v>
      </c>
      <c r="B585" s="4" t="s">
        <v>38</v>
      </c>
      <c r="C585" s="37" t="s">
        <v>790</v>
      </c>
      <c r="D585" s="35">
        <v>790</v>
      </c>
      <c r="E585" s="4" t="s">
        <v>1135</v>
      </c>
      <c r="F585" s="5">
        <v>39083</v>
      </c>
      <c r="G585" s="5">
        <v>39447</v>
      </c>
      <c r="H585" s="4" t="s">
        <v>40</v>
      </c>
      <c r="I585" s="6">
        <v>26910.75</v>
      </c>
      <c r="J585" s="6">
        <v>26910.75</v>
      </c>
      <c r="K585" s="37" t="s">
        <v>790</v>
      </c>
      <c r="L585" s="119"/>
      <c r="M585" s="3"/>
    </row>
    <row r="586" spans="1:13" s="4" customFormat="1" ht="25.5" x14ac:dyDescent="0.25">
      <c r="A586" s="4" t="s">
        <v>1136</v>
      </c>
      <c r="B586" s="4" t="s">
        <v>38</v>
      </c>
      <c r="C586" s="37" t="s">
        <v>790</v>
      </c>
      <c r="D586" s="35">
        <v>793</v>
      </c>
      <c r="E586" s="4" t="s">
        <v>1137</v>
      </c>
      <c r="F586" s="5">
        <v>39448</v>
      </c>
      <c r="G586" s="5">
        <v>39813</v>
      </c>
      <c r="H586" s="4" t="s">
        <v>40</v>
      </c>
      <c r="I586" s="6">
        <v>13293.21</v>
      </c>
      <c r="J586" s="6">
        <v>13293.21</v>
      </c>
      <c r="K586" s="37" t="s">
        <v>790</v>
      </c>
      <c r="L586" s="119"/>
      <c r="M586" s="3"/>
    </row>
    <row r="587" spans="1:13" s="4" customFormat="1" ht="25.5" x14ac:dyDescent="0.25">
      <c r="A587" s="4" t="s">
        <v>1138</v>
      </c>
      <c r="B587" s="4" t="s">
        <v>38</v>
      </c>
      <c r="C587" s="37" t="s">
        <v>790</v>
      </c>
      <c r="D587" s="35">
        <v>796</v>
      </c>
      <c r="E587" s="4" t="s">
        <v>1139</v>
      </c>
      <c r="F587" s="5">
        <v>39083</v>
      </c>
      <c r="G587" s="5">
        <v>39813</v>
      </c>
      <c r="H587" s="4" t="s">
        <v>40</v>
      </c>
      <c r="I587" s="6">
        <v>7443.13</v>
      </c>
      <c r="J587" s="6">
        <v>7443.13</v>
      </c>
      <c r="K587" s="37" t="s">
        <v>790</v>
      </c>
      <c r="L587" s="119"/>
      <c r="M587" s="3"/>
    </row>
    <row r="588" spans="1:13" s="4" customFormat="1" ht="25.5" x14ac:dyDescent="0.25">
      <c r="A588" s="4" t="s">
        <v>1140</v>
      </c>
      <c r="B588" s="4" t="s">
        <v>38</v>
      </c>
      <c r="C588" s="37" t="s">
        <v>790</v>
      </c>
      <c r="D588" s="35">
        <v>798</v>
      </c>
      <c r="E588" s="4" t="s">
        <v>1141</v>
      </c>
      <c r="F588" s="5">
        <v>39083</v>
      </c>
      <c r="G588" s="5">
        <v>39813</v>
      </c>
      <c r="H588" s="4" t="s">
        <v>40</v>
      </c>
      <c r="I588" s="6">
        <v>3574.85</v>
      </c>
      <c r="J588" s="6">
        <v>3574.85</v>
      </c>
      <c r="K588" s="37" t="s">
        <v>790</v>
      </c>
      <c r="L588" s="119"/>
      <c r="M588" s="3"/>
    </row>
    <row r="589" spans="1:13" s="4" customFormat="1" ht="25.5" x14ac:dyDescent="0.25">
      <c r="A589" s="4" t="s">
        <v>1142</v>
      </c>
      <c r="B589" s="4" t="s">
        <v>38</v>
      </c>
      <c r="C589" s="37" t="s">
        <v>790</v>
      </c>
      <c r="D589" s="35">
        <v>799</v>
      </c>
      <c r="E589" s="4" t="s">
        <v>1143</v>
      </c>
      <c r="F589" s="5">
        <v>39083</v>
      </c>
      <c r="G589" s="5">
        <v>40178</v>
      </c>
      <c r="H589" s="4" t="s">
        <v>40</v>
      </c>
      <c r="I589" s="6">
        <v>9617.41</v>
      </c>
      <c r="J589" s="6">
        <v>9617.41</v>
      </c>
      <c r="K589" s="37" t="s">
        <v>790</v>
      </c>
      <c r="L589" s="119"/>
      <c r="M589" s="3"/>
    </row>
    <row r="590" spans="1:13" s="4" customFormat="1" ht="25.5" x14ac:dyDescent="0.25">
      <c r="A590" s="4" t="s">
        <v>1144</v>
      </c>
      <c r="B590" s="4" t="s">
        <v>38</v>
      </c>
      <c r="C590" s="37" t="s">
        <v>790</v>
      </c>
      <c r="D590" s="35">
        <v>800</v>
      </c>
      <c r="E590" s="4" t="s">
        <v>1145</v>
      </c>
      <c r="F590" s="5">
        <v>39083</v>
      </c>
      <c r="G590" s="5">
        <v>39813</v>
      </c>
      <c r="H590" s="4" t="s">
        <v>40</v>
      </c>
      <c r="I590" s="6">
        <v>2634.85</v>
      </c>
      <c r="J590" s="6">
        <v>2634.85</v>
      </c>
      <c r="K590" s="37" t="s">
        <v>790</v>
      </c>
      <c r="L590" s="119"/>
      <c r="M590" s="3"/>
    </row>
    <row r="591" spans="1:13" s="4" customFormat="1" ht="38.25" x14ac:dyDescent="0.25">
      <c r="A591" s="4" t="s">
        <v>1146</v>
      </c>
      <c r="B591" s="4" t="s">
        <v>38</v>
      </c>
      <c r="C591" s="37" t="s">
        <v>790</v>
      </c>
      <c r="D591" s="35">
        <v>804</v>
      </c>
      <c r="E591" s="4" t="s">
        <v>1147</v>
      </c>
      <c r="F591" s="5">
        <v>39083</v>
      </c>
      <c r="G591" s="5">
        <v>39447</v>
      </c>
      <c r="H591" s="4" t="s">
        <v>40</v>
      </c>
      <c r="I591" s="6">
        <v>1700</v>
      </c>
      <c r="J591" s="6">
        <v>1700</v>
      </c>
      <c r="K591" s="37" t="s">
        <v>790</v>
      </c>
      <c r="L591" s="119"/>
      <c r="M591" s="3"/>
    </row>
    <row r="592" spans="1:13" s="4" customFormat="1" ht="25.5" x14ac:dyDescent="0.25">
      <c r="A592" s="4" t="s">
        <v>1148</v>
      </c>
      <c r="B592" s="4" t="s">
        <v>38</v>
      </c>
      <c r="C592" s="37" t="s">
        <v>790</v>
      </c>
      <c r="D592" s="35">
        <v>805</v>
      </c>
      <c r="E592" s="4" t="s">
        <v>1149</v>
      </c>
      <c r="F592" s="5">
        <v>39448</v>
      </c>
      <c r="G592" s="5">
        <v>39813</v>
      </c>
      <c r="H592" s="4" t="s">
        <v>40</v>
      </c>
      <c r="I592" s="6">
        <v>6600</v>
      </c>
      <c r="J592" s="6">
        <v>6600</v>
      </c>
      <c r="K592" s="37" t="s">
        <v>790</v>
      </c>
      <c r="L592" s="119"/>
      <c r="M592" s="3"/>
    </row>
    <row r="593" spans="1:13" s="4" customFormat="1" ht="38.25" x14ac:dyDescent="0.25">
      <c r="A593" s="4" t="s">
        <v>1150</v>
      </c>
      <c r="B593" s="4" t="s">
        <v>38</v>
      </c>
      <c r="C593" s="37" t="s">
        <v>790</v>
      </c>
      <c r="D593" s="35">
        <v>810</v>
      </c>
      <c r="E593" s="4" t="s">
        <v>1151</v>
      </c>
      <c r="F593" s="5">
        <v>39083</v>
      </c>
      <c r="G593" s="5">
        <v>39447</v>
      </c>
      <c r="H593" s="4" t="s">
        <v>40</v>
      </c>
      <c r="I593" s="6">
        <v>2796.65</v>
      </c>
      <c r="J593" s="6">
        <v>2796.65</v>
      </c>
      <c r="K593" s="37" t="s">
        <v>790</v>
      </c>
      <c r="L593" s="119"/>
      <c r="M593" s="3"/>
    </row>
    <row r="594" spans="1:13" s="4" customFormat="1" ht="38.25" x14ac:dyDescent="0.25">
      <c r="A594" s="4" t="s">
        <v>1152</v>
      </c>
      <c r="B594" s="4" t="s">
        <v>38</v>
      </c>
      <c r="C594" s="37" t="s">
        <v>790</v>
      </c>
      <c r="D594" s="35">
        <v>811</v>
      </c>
      <c r="E594" s="4" t="s">
        <v>1151</v>
      </c>
      <c r="F594" s="5">
        <v>39448</v>
      </c>
      <c r="G594" s="5">
        <v>39813</v>
      </c>
      <c r="H594" s="4" t="s">
        <v>40</v>
      </c>
      <c r="I594" s="6">
        <v>4959.3100000000004</v>
      </c>
      <c r="J594" s="6">
        <v>4959.3100000000004</v>
      </c>
      <c r="K594" s="37" t="s">
        <v>790</v>
      </c>
      <c r="L594" s="119"/>
      <c r="M594" s="3"/>
    </row>
    <row r="595" spans="1:13" s="4" customFormat="1" ht="89.25" x14ac:dyDescent="0.25">
      <c r="A595" s="4" t="s">
        <v>1153</v>
      </c>
      <c r="B595" s="4" t="s">
        <v>38</v>
      </c>
      <c r="C595" s="37" t="s">
        <v>790</v>
      </c>
      <c r="D595" s="35">
        <v>813</v>
      </c>
      <c r="E595" s="7" t="s">
        <v>1154</v>
      </c>
      <c r="F595" s="5">
        <v>39083</v>
      </c>
      <c r="G595" s="5">
        <v>40178</v>
      </c>
      <c r="H595" s="4" t="s">
        <v>40</v>
      </c>
      <c r="I595" s="6">
        <v>15981</v>
      </c>
      <c r="J595" s="6">
        <v>15981</v>
      </c>
      <c r="K595" s="37" t="s">
        <v>790</v>
      </c>
      <c r="L595" s="119"/>
      <c r="M595" s="3"/>
    </row>
    <row r="596" spans="1:13" s="4" customFormat="1" ht="25.5" x14ac:dyDescent="0.25">
      <c r="A596" s="4" t="s">
        <v>1155</v>
      </c>
      <c r="B596" s="4" t="s">
        <v>38</v>
      </c>
      <c r="C596" s="37" t="s">
        <v>790</v>
      </c>
      <c r="D596" s="35">
        <v>815</v>
      </c>
      <c r="E596" s="4" t="s">
        <v>1156</v>
      </c>
      <c r="F596" s="5">
        <v>39083</v>
      </c>
      <c r="G596" s="5">
        <v>39813</v>
      </c>
      <c r="H596" s="4" t="s">
        <v>40</v>
      </c>
      <c r="I596" s="6">
        <v>5000</v>
      </c>
      <c r="J596" s="6">
        <v>5000</v>
      </c>
      <c r="K596" s="37" t="s">
        <v>790</v>
      </c>
      <c r="L596" s="119"/>
      <c r="M596" s="3"/>
    </row>
    <row r="597" spans="1:13" s="4" customFormat="1" ht="25.5" x14ac:dyDescent="0.25">
      <c r="A597" s="4" t="s">
        <v>1157</v>
      </c>
      <c r="B597" s="4" t="s">
        <v>38</v>
      </c>
      <c r="C597" s="37" t="s">
        <v>790</v>
      </c>
      <c r="D597" s="35">
        <v>816</v>
      </c>
      <c r="E597" s="4" t="s">
        <v>1158</v>
      </c>
      <c r="F597" s="5">
        <v>39083</v>
      </c>
      <c r="G597" s="5">
        <v>40178</v>
      </c>
      <c r="H597" s="4" t="s">
        <v>40</v>
      </c>
      <c r="I597" s="6">
        <v>38126.300000000003</v>
      </c>
      <c r="J597" s="6">
        <v>38126.300000000003</v>
      </c>
      <c r="K597" s="37" t="s">
        <v>790</v>
      </c>
      <c r="L597" s="119"/>
      <c r="M597" s="3"/>
    </row>
    <row r="598" spans="1:13" s="4" customFormat="1" ht="25.5" x14ac:dyDescent="0.25">
      <c r="A598" s="4" t="s">
        <v>1159</v>
      </c>
      <c r="B598" s="4" t="s">
        <v>38</v>
      </c>
      <c r="C598" s="37" t="s">
        <v>790</v>
      </c>
      <c r="D598" s="35">
        <v>818</v>
      </c>
      <c r="E598" s="4" t="s">
        <v>1160</v>
      </c>
      <c r="F598" s="5">
        <v>39448</v>
      </c>
      <c r="G598" s="5">
        <v>39813</v>
      </c>
      <c r="H598" s="4" t="s">
        <v>40</v>
      </c>
      <c r="I598" s="6">
        <v>38112.239999999998</v>
      </c>
      <c r="J598" s="6">
        <v>38112.239999999998</v>
      </c>
      <c r="K598" s="37" t="s">
        <v>790</v>
      </c>
      <c r="L598" s="119"/>
      <c r="M598" s="3"/>
    </row>
    <row r="599" spans="1:13" s="4" customFormat="1" ht="25.5" x14ac:dyDescent="0.25">
      <c r="A599" s="4" t="s">
        <v>1161</v>
      </c>
      <c r="B599" s="4" t="s">
        <v>38</v>
      </c>
      <c r="C599" s="37" t="s">
        <v>790</v>
      </c>
      <c r="D599" s="35">
        <v>820</v>
      </c>
      <c r="E599" s="4" t="s">
        <v>1162</v>
      </c>
      <c r="F599" s="5">
        <v>39083</v>
      </c>
      <c r="G599" s="5">
        <v>39813</v>
      </c>
      <c r="H599" s="4" t="s">
        <v>40</v>
      </c>
      <c r="I599" s="6">
        <v>5570</v>
      </c>
      <c r="J599" s="6">
        <v>5570</v>
      </c>
      <c r="K599" s="37" t="s">
        <v>790</v>
      </c>
      <c r="L599" s="119"/>
      <c r="M599" s="3"/>
    </row>
    <row r="600" spans="1:13" s="4" customFormat="1" ht="25.5" x14ac:dyDescent="0.25">
      <c r="A600" s="4" t="s">
        <v>1163</v>
      </c>
      <c r="B600" s="4" t="s">
        <v>90</v>
      </c>
      <c r="C600" s="37" t="s">
        <v>790</v>
      </c>
      <c r="D600" s="35">
        <v>826</v>
      </c>
      <c r="E600" s="4" t="s">
        <v>1164</v>
      </c>
      <c r="F600" s="5">
        <v>39083</v>
      </c>
      <c r="G600" s="5">
        <v>39447</v>
      </c>
      <c r="H600" s="4" t="s">
        <v>40</v>
      </c>
      <c r="I600" s="6">
        <v>873.34</v>
      </c>
      <c r="J600" s="6">
        <v>873.34</v>
      </c>
      <c r="K600" s="37" t="s">
        <v>790</v>
      </c>
      <c r="L600" s="119"/>
      <c r="M600" s="3"/>
    </row>
    <row r="601" spans="1:13" s="4" customFormat="1" ht="25.5" x14ac:dyDescent="0.25">
      <c r="A601" s="4" t="s">
        <v>1165</v>
      </c>
      <c r="B601" s="4" t="s">
        <v>38</v>
      </c>
      <c r="C601" s="37" t="s">
        <v>790</v>
      </c>
      <c r="D601" s="35">
        <v>829</v>
      </c>
      <c r="E601" s="4" t="s">
        <v>1166</v>
      </c>
      <c r="F601" s="5">
        <v>39448</v>
      </c>
      <c r="G601" s="5">
        <v>39813</v>
      </c>
      <c r="H601" s="4" t="s">
        <v>40</v>
      </c>
      <c r="I601" s="6">
        <v>2334.1999999999998</v>
      </c>
      <c r="J601" s="6">
        <v>2334.1999999999998</v>
      </c>
      <c r="K601" s="37" t="s">
        <v>790</v>
      </c>
      <c r="L601" s="119"/>
      <c r="M601" s="3"/>
    </row>
    <row r="602" spans="1:13" s="4" customFormat="1" ht="25.5" x14ac:dyDescent="0.25">
      <c r="A602" s="4" t="s">
        <v>1167</v>
      </c>
      <c r="B602" s="4" t="s">
        <v>38</v>
      </c>
      <c r="C602" s="37" t="s">
        <v>790</v>
      </c>
      <c r="D602" s="35">
        <v>830</v>
      </c>
      <c r="E602" s="4" t="s">
        <v>1168</v>
      </c>
      <c r="F602" s="5">
        <v>39083</v>
      </c>
      <c r="G602" s="5">
        <v>39447</v>
      </c>
      <c r="H602" s="4" t="s">
        <v>40</v>
      </c>
      <c r="I602" s="6">
        <v>2070.58</v>
      </c>
      <c r="J602" s="6">
        <v>2070.58</v>
      </c>
      <c r="K602" s="37" t="s">
        <v>790</v>
      </c>
      <c r="L602" s="119"/>
      <c r="M602" s="3"/>
    </row>
    <row r="603" spans="1:13" s="4" customFormat="1" ht="25.5" x14ac:dyDescent="0.25">
      <c r="A603" s="4" t="s">
        <v>1169</v>
      </c>
      <c r="B603" s="4" t="s">
        <v>38</v>
      </c>
      <c r="C603" s="37" t="s">
        <v>790</v>
      </c>
      <c r="D603" s="35">
        <v>833</v>
      </c>
      <c r="E603" s="4" t="s">
        <v>1170</v>
      </c>
      <c r="F603" s="5">
        <v>39448</v>
      </c>
      <c r="G603" s="5">
        <v>39813</v>
      </c>
      <c r="H603" s="4" t="s">
        <v>40</v>
      </c>
      <c r="I603" s="6">
        <v>1504</v>
      </c>
      <c r="J603" s="6">
        <v>1504</v>
      </c>
      <c r="K603" s="37" t="s">
        <v>790</v>
      </c>
      <c r="L603" s="119"/>
      <c r="M603" s="3"/>
    </row>
    <row r="604" spans="1:13" s="4" customFormat="1" ht="25.5" x14ac:dyDescent="0.25">
      <c r="A604" s="4" t="s">
        <v>1173</v>
      </c>
      <c r="B604" s="4" t="s">
        <v>38</v>
      </c>
      <c r="C604" s="37" t="s">
        <v>790</v>
      </c>
      <c r="D604" s="35">
        <v>840</v>
      </c>
      <c r="E604" s="4" t="s">
        <v>1174</v>
      </c>
      <c r="F604" s="5">
        <v>39448</v>
      </c>
      <c r="G604" s="5">
        <v>39813</v>
      </c>
      <c r="H604" s="4" t="s">
        <v>40</v>
      </c>
      <c r="I604" s="6">
        <v>3630</v>
      </c>
      <c r="J604" s="6">
        <v>3630</v>
      </c>
      <c r="K604" s="37" t="s">
        <v>790</v>
      </c>
      <c r="L604" s="119"/>
      <c r="M604" s="3"/>
    </row>
    <row r="605" spans="1:13" s="4" customFormat="1" ht="25.5" x14ac:dyDescent="0.25">
      <c r="A605" s="4" t="s">
        <v>1175</v>
      </c>
      <c r="B605" s="4" t="s">
        <v>38</v>
      </c>
      <c r="C605" s="37" t="s">
        <v>790</v>
      </c>
      <c r="D605" s="35">
        <v>842</v>
      </c>
      <c r="E605" s="4" t="s">
        <v>1176</v>
      </c>
      <c r="F605" s="5">
        <v>39083</v>
      </c>
      <c r="G605" s="5">
        <v>40543</v>
      </c>
      <c r="H605" s="4" t="s">
        <v>40</v>
      </c>
      <c r="I605" s="6">
        <v>16655</v>
      </c>
      <c r="J605" s="6">
        <v>16655</v>
      </c>
      <c r="K605" s="37" t="s">
        <v>790</v>
      </c>
      <c r="L605" s="119"/>
      <c r="M605" s="3"/>
    </row>
    <row r="606" spans="1:13" s="4" customFormat="1" ht="89.25" x14ac:dyDescent="0.25">
      <c r="A606" s="4" t="s">
        <v>1177</v>
      </c>
      <c r="B606" s="4" t="s">
        <v>38</v>
      </c>
      <c r="C606" s="37" t="s">
        <v>790</v>
      </c>
      <c r="D606" s="35">
        <v>844</v>
      </c>
      <c r="E606" s="7" t="s">
        <v>1178</v>
      </c>
      <c r="F606" s="5">
        <v>39083</v>
      </c>
      <c r="G606" s="5">
        <v>40178</v>
      </c>
      <c r="H606" s="4" t="s">
        <v>40</v>
      </c>
      <c r="I606" s="6">
        <v>6143.34</v>
      </c>
      <c r="J606" s="6">
        <v>6143.34</v>
      </c>
      <c r="K606" s="37" t="s">
        <v>790</v>
      </c>
      <c r="L606" s="119"/>
      <c r="M606" s="3"/>
    </row>
    <row r="607" spans="1:13" s="4" customFormat="1" ht="25.5" x14ac:dyDescent="0.25">
      <c r="A607" s="4" t="s">
        <v>1179</v>
      </c>
      <c r="B607" s="4" t="s">
        <v>38</v>
      </c>
      <c r="C607" s="37" t="s">
        <v>790</v>
      </c>
      <c r="D607" s="35">
        <v>846</v>
      </c>
      <c r="E607" s="4" t="s">
        <v>1180</v>
      </c>
      <c r="F607" s="5">
        <v>39083</v>
      </c>
      <c r="G607" s="5">
        <v>39447</v>
      </c>
      <c r="H607" s="4" t="s">
        <v>40</v>
      </c>
      <c r="I607" s="6">
        <v>4080</v>
      </c>
      <c r="J607" s="6">
        <v>4080</v>
      </c>
      <c r="K607" s="37" t="s">
        <v>790</v>
      </c>
      <c r="L607" s="119"/>
      <c r="M607" s="3"/>
    </row>
    <row r="608" spans="1:13" s="4" customFormat="1" ht="25.5" x14ac:dyDescent="0.25">
      <c r="A608" s="4" t="s">
        <v>1181</v>
      </c>
      <c r="B608" s="4" t="s">
        <v>38</v>
      </c>
      <c r="C608" s="37" t="s">
        <v>790</v>
      </c>
      <c r="D608" s="35">
        <v>849</v>
      </c>
      <c r="E608" s="4" t="s">
        <v>1182</v>
      </c>
      <c r="F608" s="5">
        <v>39083</v>
      </c>
      <c r="G608" s="5">
        <v>39813</v>
      </c>
      <c r="H608" s="4" t="s">
        <v>40</v>
      </c>
      <c r="I608" s="6">
        <v>6346.92</v>
      </c>
      <c r="J608" s="6">
        <v>6346.92</v>
      </c>
      <c r="K608" s="37" t="s">
        <v>790</v>
      </c>
      <c r="L608" s="119"/>
      <c r="M608" s="3"/>
    </row>
    <row r="609" spans="1:13" s="4" customFormat="1" ht="25.5" x14ac:dyDescent="0.25">
      <c r="A609" s="4" t="s">
        <v>1183</v>
      </c>
      <c r="B609" s="4" t="s">
        <v>38</v>
      </c>
      <c r="C609" s="37" t="s">
        <v>790</v>
      </c>
      <c r="D609" s="35">
        <v>850</v>
      </c>
      <c r="E609" s="4" t="s">
        <v>1184</v>
      </c>
      <c r="F609" s="5">
        <v>39083</v>
      </c>
      <c r="G609" s="5">
        <v>39447</v>
      </c>
      <c r="H609" s="4" t="s">
        <v>40</v>
      </c>
      <c r="I609" s="6">
        <v>1128.9000000000001</v>
      </c>
      <c r="J609" s="6">
        <v>1128.9000000000001</v>
      </c>
      <c r="K609" s="37" t="s">
        <v>790</v>
      </c>
      <c r="L609" s="119"/>
      <c r="M609" s="3"/>
    </row>
    <row r="610" spans="1:13" s="4" customFormat="1" ht="25.5" x14ac:dyDescent="0.25">
      <c r="A610" s="4" t="s">
        <v>1185</v>
      </c>
      <c r="B610" s="4" t="s">
        <v>38</v>
      </c>
      <c r="C610" s="37" t="s">
        <v>790</v>
      </c>
      <c r="D610" s="35">
        <v>852</v>
      </c>
      <c r="E610" s="4" t="s">
        <v>1186</v>
      </c>
      <c r="F610" s="5">
        <v>39448</v>
      </c>
      <c r="G610" s="5">
        <v>39813</v>
      </c>
      <c r="H610" s="4" t="s">
        <v>40</v>
      </c>
      <c r="I610" s="6">
        <v>3532.82</v>
      </c>
      <c r="J610" s="6">
        <v>3532.82</v>
      </c>
      <c r="K610" s="37" t="s">
        <v>790</v>
      </c>
      <c r="L610" s="119"/>
      <c r="M610" s="3"/>
    </row>
    <row r="611" spans="1:13" s="4" customFormat="1" ht="25.5" x14ac:dyDescent="0.25">
      <c r="A611" s="4" t="s">
        <v>1187</v>
      </c>
      <c r="B611" s="4" t="s">
        <v>38</v>
      </c>
      <c r="C611" s="37" t="s">
        <v>790</v>
      </c>
      <c r="D611" s="35">
        <v>853</v>
      </c>
      <c r="E611" s="4" t="s">
        <v>1188</v>
      </c>
      <c r="F611" s="5">
        <v>39448</v>
      </c>
      <c r="G611" s="5">
        <v>39813</v>
      </c>
      <c r="H611" s="4" t="s">
        <v>40</v>
      </c>
      <c r="I611" s="6">
        <v>300</v>
      </c>
      <c r="J611" s="6">
        <v>300</v>
      </c>
      <c r="K611" s="37" t="s">
        <v>790</v>
      </c>
      <c r="L611" s="119"/>
      <c r="M611" s="3"/>
    </row>
    <row r="612" spans="1:13" s="4" customFormat="1" ht="25.5" x14ac:dyDescent="0.25">
      <c r="A612" s="4" t="s">
        <v>1189</v>
      </c>
      <c r="B612" s="4" t="s">
        <v>38</v>
      </c>
      <c r="C612" s="37" t="s">
        <v>790</v>
      </c>
      <c r="D612" s="35">
        <v>854</v>
      </c>
      <c r="E612" s="4" t="s">
        <v>1190</v>
      </c>
      <c r="F612" s="5">
        <v>39083</v>
      </c>
      <c r="G612" s="5">
        <v>39447</v>
      </c>
      <c r="H612" s="4" t="s">
        <v>40</v>
      </c>
      <c r="I612" s="6">
        <v>2000</v>
      </c>
      <c r="J612" s="6">
        <v>2000</v>
      </c>
      <c r="K612" s="37" t="s">
        <v>790</v>
      </c>
      <c r="L612" s="119"/>
      <c r="M612" s="3"/>
    </row>
    <row r="613" spans="1:13" s="4" customFormat="1" ht="25.5" x14ac:dyDescent="0.25">
      <c r="A613" s="4" t="s">
        <v>1191</v>
      </c>
      <c r="B613" s="4" t="s">
        <v>38</v>
      </c>
      <c r="C613" s="37" t="s">
        <v>790</v>
      </c>
      <c r="D613" s="35">
        <v>856</v>
      </c>
      <c r="E613" s="4" t="s">
        <v>1192</v>
      </c>
      <c r="F613" s="5">
        <v>39083</v>
      </c>
      <c r="G613" s="5">
        <v>39447</v>
      </c>
      <c r="H613" s="4" t="s">
        <v>40</v>
      </c>
      <c r="I613" s="6">
        <v>19620.400000000001</v>
      </c>
      <c r="J613" s="6">
        <v>19620.400000000001</v>
      </c>
      <c r="K613" s="37" t="s">
        <v>790</v>
      </c>
      <c r="L613" s="119"/>
      <c r="M613" s="3"/>
    </row>
    <row r="614" spans="1:13" s="4" customFormat="1" ht="102" x14ac:dyDescent="0.25">
      <c r="A614" s="4" t="s">
        <v>1193</v>
      </c>
      <c r="B614" s="4" t="s">
        <v>38</v>
      </c>
      <c r="C614" s="37" t="s">
        <v>790</v>
      </c>
      <c r="D614" s="35">
        <v>858</v>
      </c>
      <c r="E614" s="7" t="s">
        <v>1194</v>
      </c>
      <c r="F614" s="5">
        <v>39448</v>
      </c>
      <c r="G614" s="5">
        <v>40178</v>
      </c>
      <c r="H614" s="4" t="s">
        <v>40</v>
      </c>
      <c r="I614" s="6">
        <v>25256.66</v>
      </c>
      <c r="J614" s="6">
        <v>25256.66</v>
      </c>
      <c r="K614" s="37" t="s">
        <v>790</v>
      </c>
      <c r="L614" s="119"/>
      <c r="M614" s="3"/>
    </row>
    <row r="615" spans="1:13" s="4" customFormat="1" ht="38.25" x14ac:dyDescent="0.25">
      <c r="A615" s="4" t="s">
        <v>1195</v>
      </c>
      <c r="B615" s="4" t="s">
        <v>38</v>
      </c>
      <c r="C615" s="37" t="s">
        <v>790</v>
      </c>
      <c r="D615" s="35">
        <v>860</v>
      </c>
      <c r="E615" s="4" t="s">
        <v>1196</v>
      </c>
      <c r="F615" s="5">
        <v>39083</v>
      </c>
      <c r="G615" s="5">
        <v>39447</v>
      </c>
      <c r="H615" s="4" t="s">
        <v>40</v>
      </c>
      <c r="I615" s="6">
        <v>8212.66</v>
      </c>
      <c r="J615" s="6">
        <v>8212.66</v>
      </c>
      <c r="K615" s="37" t="s">
        <v>790</v>
      </c>
      <c r="L615" s="119"/>
      <c r="M615" s="3"/>
    </row>
    <row r="616" spans="1:13" s="4" customFormat="1" ht="25.5" x14ac:dyDescent="0.25">
      <c r="A616" s="4" t="s">
        <v>1197</v>
      </c>
      <c r="B616" s="4" t="s">
        <v>38</v>
      </c>
      <c r="C616" s="37" t="s">
        <v>790</v>
      </c>
      <c r="D616" s="35">
        <v>862</v>
      </c>
      <c r="E616" s="4" t="s">
        <v>1198</v>
      </c>
      <c r="F616" s="5">
        <v>39083</v>
      </c>
      <c r="G616" s="5">
        <v>39447</v>
      </c>
      <c r="H616" s="4" t="s">
        <v>40</v>
      </c>
      <c r="I616" s="6">
        <v>2117.5</v>
      </c>
      <c r="J616" s="6">
        <v>2117.5</v>
      </c>
      <c r="K616" s="37" t="s">
        <v>790</v>
      </c>
      <c r="L616" s="119"/>
      <c r="M616" s="3"/>
    </row>
    <row r="617" spans="1:13" s="4" customFormat="1" x14ac:dyDescent="0.25">
      <c r="A617" s="4" t="s">
        <v>1201</v>
      </c>
      <c r="B617" s="4" t="s">
        <v>59</v>
      </c>
      <c r="C617" s="37" t="s">
        <v>790</v>
      </c>
      <c r="D617" s="35">
        <v>2969</v>
      </c>
      <c r="E617" s="4" t="s">
        <v>1202</v>
      </c>
      <c r="F617" s="5">
        <v>39176</v>
      </c>
      <c r="H617" s="4" t="s">
        <v>40</v>
      </c>
      <c r="I617" s="6">
        <v>22500</v>
      </c>
      <c r="J617" s="6">
        <v>22500</v>
      </c>
      <c r="K617" s="37" t="s">
        <v>790</v>
      </c>
      <c r="L617" s="119"/>
      <c r="M617" s="3"/>
    </row>
    <row r="618" spans="1:13" s="4" customFormat="1" x14ac:dyDescent="0.25">
      <c r="A618" s="4" t="s">
        <v>1203</v>
      </c>
      <c r="B618" s="4" t="s">
        <v>50</v>
      </c>
      <c r="C618" s="37" t="s">
        <v>790</v>
      </c>
      <c r="D618" s="35">
        <v>2970</v>
      </c>
      <c r="E618" s="4" t="s">
        <v>1204</v>
      </c>
      <c r="F618" s="5">
        <v>39119</v>
      </c>
      <c r="H618" s="4" t="s">
        <v>40</v>
      </c>
      <c r="I618" s="6">
        <v>148727.56</v>
      </c>
      <c r="J618" s="6">
        <v>74363.78</v>
      </c>
      <c r="K618" s="37" t="s">
        <v>790</v>
      </c>
      <c r="L618" s="119"/>
      <c r="M618" s="3"/>
    </row>
    <row r="619" spans="1:13" s="4" customFormat="1" x14ac:dyDescent="0.25">
      <c r="A619" s="4" t="s">
        <v>1205</v>
      </c>
      <c r="B619" s="4" t="s">
        <v>11764</v>
      </c>
      <c r="C619" s="37" t="s">
        <v>790</v>
      </c>
      <c r="D619" s="35">
        <v>2971</v>
      </c>
      <c r="E619" s="4" t="s">
        <v>1206</v>
      </c>
      <c r="F619" s="5">
        <v>39611</v>
      </c>
      <c r="H619" s="4" t="s">
        <v>40</v>
      </c>
      <c r="I619" s="6">
        <v>40000</v>
      </c>
      <c r="J619" s="6">
        <v>20000</v>
      </c>
      <c r="K619" s="37" t="s">
        <v>790</v>
      </c>
      <c r="L619" s="119"/>
      <c r="M619" s="3"/>
    </row>
    <row r="620" spans="1:13" s="4" customFormat="1" ht="38.25" x14ac:dyDescent="0.25">
      <c r="A620" s="4" t="s">
        <v>1207</v>
      </c>
      <c r="B620" s="4" t="s">
        <v>38</v>
      </c>
      <c r="C620" s="37" t="s">
        <v>790</v>
      </c>
      <c r="D620" s="35">
        <v>3132</v>
      </c>
      <c r="E620" s="4" t="s">
        <v>1208</v>
      </c>
      <c r="F620" s="5">
        <v>39083</v>
      </c>
      <c r="G620" s="5">
        <v>41639</v>
      </c>
      <c r="H620" s="4" t="s">
        <v>40</v>
      </c>
      <c r="I620" s="6">
        <v>7862.66</v>
      </c>
      <c r="J620" s="6">
        <v>7862.66</v>
      </c>
      <c r="K620" s="37" t="s">
        <v>790</v>
      </c>
      <c r="L620" s="119"/>
      <c r="M620" s="3"/>
    </row>
    <row r="621" spans="1:13" s="4" customFormat="1" x14ac:dyDescent="0.25">
      <c r="A621" s="4" t="s">
        <v>1209</v>
      </c>
      <c r="B621" s="4" t="s">
        <v>59</v>
      </c>
      <c r="C621" s="37" t="s">
        <v>790</v>
      </c>
      <c r="D621" s="35">
        <v>3134</v>
      </c>
      <c r="E621" s="4" t="s">
        <v>999</v>
      </c>
      <c r="F621" s="5">
        <v>39083</v>
      </c>
      <c r="G621" s="5">
        <v>41639</v>
      </c>
      <c r="H621" s="4" t="s">
        <v>40</v>
      </c>
      <c r="I621" s="6">
        <v>7500</v>
      </c>
      <c r="J621" s="6">
        <v>7500</v>
      </c>
      <c r="K621" s="37" t="s">
        <v>790</v>
      </c>
      <c r="L621" s="119"/>
      <c r="M621" s="3"/>
    </row>
    <row r="622" spans="1:13" s="4" customFormat="1" ht="25.5" x14ac:dyDescent="0.25">
      <c r="A622" s="4" t="s">
        <v>1210</v>
      </c>
      <c r="B622" s="4" t="s">
        <v>38</v>
      </c>
      <c r="C622" s="37" t="s">
        <v>790</v>
      </c>
      <c r="D622" s="35">
        <v>3135</v>
      </c>
      <c r="E622" s="4" t="s">
        <v>1211</v>
      </c>
      <c r="F622" s="5">
        <v>39083</v>
      </c>
      <c r="G622" s="5">
        <v>41639</v>
      </c>
      <c r="H622" s="4" t="s">
        <v>40</v>
      </c>
      <c r="I622" s="6">
        <v>118027.69</v>
      </c>
      <c r="J622" s="6">
        <v>118027.69</v>
      </c>
      <c r="K622" s="37" t="s">
        <v>790</v>
      </c>
      <c r="L622" s="119"/>
      <c r="M622" s="3"/>
    </row>
    <row r="623" spans="1:13" s="4" customFormat="1" ht="63.75" x14ac:dyDescent="0.25">
      <c r="A623" s="4" t="s">
        <v>1212</v>
      </c>
      <c r="B623" s="4" t="s">
        <v>38</v>
      </c>
      <c r="C623" s="37" t="s">
        <v>790</v>
      </c>
      <c r="D623" s="35">
        <v>3136</v>
      </c>
      <c r="E623" s="4" t="s">
        <v>1213</v>
      </c>
      <c r="F623" s="5">
        <v>39083</v>
      </c>
      <c r="G623" s="5">
        <v>41639</v>
      </c>
      <c r="H623" s="4" t="s">
        <v>40</v>
      </c>
      <c r="I623" s="6">
        <v>53057.21</v>
      </c>
      <c r="J623" s="6">
        <v>53057.21</v>
      </c>
      <c r="K623" s="37" t="s">
        <v>790</v>
      </c>
      <c r="L623" s="119"/>
      <c r="M623" s="3"/>
    </row>
    <row r="624" spans="1:13" s="4" customFormat="1" ht="38.25" x14ac:dyDescent="0.25">
      <c r="A624" s="4" t="s">
        <v>1214</v>
      </c>
      <c r="B624" s="4" t="s">
        <v>38</v>
      </c>
      <c r="C624" s="37" t="s">
        <v>790</v>
      </c>
      <c r="D624" s="35">
        <v>3137</v>
      </c>
      <c r="E624" s="4" t="s">
        <v>1215</v>
      </c>
      <c r="F624" s="5">
        <v>39083</v>
      </c>
      <c r="G624" s="5">
        <v>41274</v>
      </c>
      <c r="H624" s="4" t="s">
        <v>40</v>
      </c>
      <c r="I624" s="6">
        <f>48885.51+55693.94+12700.25+22987.05+21025</f>
        <v>161291.75</v>
      </c>
      <c r="J624" s="6">
        <f>148591.5+12700.25</f>
        <v>161291.75</v>
      </c>
      <c r="K624" s="37" t="s">
        <v>790</v>
      </c>
      <c r="L624" s="119"/>
      <c r="M624" s="3"/>
    </row>
    <row r="625" spans="1:13" s="4" customFormat="1" ht="38.25" x14ac:dyDescent="0.25">
      <c r="A625" s="4" t="s">
        <v>1216</v>
      </c>
      <c r="B625" s="4" t="s">
        <v>38</v>
      </c>
      <c r="C625" s="37" t="s">
        <v>790</v>
      </c>
      <c r="D625" s="35">
        <v>3138</v>
      </c>
      <c r="E625" s="4" t="s">
        <v>1217</v>
      </c>
      <c r="F625" s="5">
        <v>39083</v>
      </c>
      <c r="G625" s="5">
        <v>41639</v>
      </c>
      <c r="H625" s="4" t="s">
        <v>40</v>
      </c>
      <c r="I625" s="6">
        <v>117488</v>
      </c>
      <c r="J625" s="6">
        <v>117488</v>
      </c>
      <c r="K625" s="37" t="s">
        <v>790</v>
      </c>
      <c r="L625" s="119"/>
      <c r="M625" s="3"/>
    </row>
    <row r="626" spans="1:13" s="4" customFormat="1" ht="25.5" x14ac:dyDescent="0.25">
      <c r="A626" s="4" t="s">
        <v>1218</v>
      </c>
      <c r="B626" s="4" t="s">
        <v>38</v>
      </c>
      <c r="C626" s="37" t="s">
        <v>790</v>
      </c>
      <c r="D626" s="35">
        <v>3139</v>
      </c>
      <c r="E626" s="4" t="s">
        <v>1219</v>
      </c>
      <c r="F626" s="5">
        <v>39083</v>
      </c>
      <c r="G626" s="5">
        <v>41639</v>
      </c>
      <c r="H626" s="4" t="s">
        <v>40</v>
      </c>
      <c r="I626" s="6">
        <v>14322</v>
      </c>
      <c r="J626" s="6">
        <v>14322</v>
      </c>
      <c r="K626" s="37" t="s">
        <v>790</v>
      </c>
      <c r="L626" s="119"/>
      <c r="M626" s="3"/>
    </row>
    <row r="627" spans="1:13" s="4" customFormat="1" ht="38.25" x14ac:dyDescent="0.25">
      <c r="A627" s="4" t="s">
        <v>1222</v>
      </c>
      <c r="B627" s="4" t="s">
        <v>38</v>
      </c>
      <c r="C627" s="37" t="s">
        <v>790</v>
      </c>
      <c r="D627" s="35">
        <v>3143</v>
      </c>
      <c r="E627" s="4" t="s">
        <v>1223</v>
      </c>
      <c r="F627" s="5">
        <v>39083</v>
      </c>
      <c r="G627" s="5">
        <v>41274</v>
      </c>
      <c r="H627" s="4" t="s">
        <v>40</v>
      </c>
      <c r="I627" s="6">
        <v>326936.98</v>
      </c>
      <c r="J627" s="6">
        <f>288512.95+38424.03</f>
        <v>326936.98</v>
      </c>
      <c r="K627" s="37" t="s">
        <v>790</v>
      </c>
      <c r="L627" s="119"/>
      <c r="M627" s="3"/>
    </row>
    <row r="628" spans="1:13" s="4" customFormat="1" ht="76.5" x14ac:dyDescent="0.25">
      <c r="A628" s="4" t="s">
        <v>1224</v>
      </c>
      <c r="B628" s="4" t="s">
        <v>38</v>
      </c>
      <c r="C628" s="37" t="s">
        <v>790</v>
      </c>
      <c r="D628" s="35">
        <v>3144</v>
      </c>
      <c r="E628" s="4" t="s">
        <v>1225</v>
      </c>
      <c r="F628" s="5">
        <v>39083</v>
      </c>
      <c r="G628" s="5">
        <v>40909</v>
      </c>
      <c r="H628" s="4" t="s">
        <v>40</v>
      </c>
      <c r="I628" s="6">
        <v>247485.07</v>
      </c>
      <c r="J628" s="6">
        <f>209049.19+38435.88</f>
        <v>247485.07</v>
      </c>
      <c r="K628" s="37" t="s">
        <v>790</v>
      </c>
      <c r="L628" s="119"/>
      <c r="M628" s="3"/>
    </row>
    <row r="629" spans="1:13" s="4" customFormat="1" ht="38.25" x14ac:dyDescent="0.25">
      <c r="A629" s="4" t="s">
        <v>1226</v>
      </c>
      <c r="B629" s="4" t="s">
        <v>38</v>
      </c>
      <c r="C629" s="37" t="s">
        <v>790</v>
      </c>
      <c r="D629" s="35">
        <v>3145</v>
      </c>
      <c r="E629" s="4" t="s">
        <v>1227</v>
      </c>
      <c r="F629" s="5">
        <v>39083</v>
      </c>
      <c r="G629" s="5">
        <v>41274</v>
      </c>
      <c r="H629" s="4" t="s">
        <v>40</v>
      </c>
      <c r="I629" s="6">
        <v>174268.97</v>
      </c>
      <c r="J629" s="6">
        <f>143819.26+30449.71</f>
        <v>174268.97</v>
      </c>
      <c r="K629" s="37" t="s">
        <v>790</v>
      </c>
      <c r="L629" s="119"/>
      <c r="M629" s="3"/>
    </row>
    <row r="630" spans="1:13" s="4" customFormat="1" ht="38.25" x14ac:dyDescent="0.25">
      <c r="A630" s="4" t="s">
        <v>1228</v>
      </c>
      <c r="B630" s="4" t="s">
        <v>38</v>
      </c>
      <c r="C630" s="37" t="s">
        <v>790</v>
      </c>
      <c r="D630" s="35">
        <v>3146</v>
      </c>
      <c r="E630" s="4" t="s">
        <v>1229</v>
      </c>
      <c r="F630" s="5">
        <v>39083</v>
      </c>
      <c r="G630" s="5">
        <v>41274</v>
      </c>
      <c r="H630" s="4" t="s">
        <v>40</v>
      </c>
      <c r="I630" s="6">
        <v>29725.3</v>
      </c>
      <c r="J630" s="6">
        <f>27640.3+2085</f>
        <v>29725.3</v>
      </c>
      <c r="K630" s="37" t="s">
        <v>790</v>
      </c>
      <c r="L630" s="119"/>
      <c r="M630" s="3"/>
    </row>
    <row r="631" spans="1:13" s="4" customFormat="1" ht="63.75" x14ac:dyDescent="0.25">
      <c r="A631" s="4" t="s">
        <v>1230</v>
      </c>
      <c r="B631" s="4" t="s">
        <v>38</v>
      </c>
      <c r="C631" s="37" t="s">
        <v>790</v>
      </c>
      <c r="D631" s="35">
        <v>3147</v>
      </c>
      <c r="E631" s="4" t="s">
        <v>1231</v>
      </c>
      <c r="F631" s="5">
        <v>39083</v>
      </c>
      <c r="G631" s="5">
        <v>41639</v>
      </c>
      <c r="H631" s="4" t="s">
        <v>40</v>
      </c>
      <c r="I631" s="6">
        <v>72511.600000000006</v>
      </c>
      <c r="J631" s="6">
        <f>70011.6+2500</f>
        <v>72511.600000000006</v>
      </c>
      <c r="K631" s="37" t="s">
        <v>790</v>
      </c>
      <c r="L631" s="119"/>
      <c r="M631" s="3"/>
    </row>
    <row r="632" spans="1:13" s="4" customFormat="1" ht="25.5" x14ac:dyDescent="0.25">
      <c r="A632" s="4" t="s">
        <v>1232</v>
      </c>
      <c r="B632" s="4" t="s">
        <v>38</v>
      </c>
      <c r="C632" s="37" t="s">
        <v>790</v>
      </c>
      <c r="D632" s="35">
        <v>3148</v>
      </c>
      <c r="E632" s="4" t="s">
        <v>1233</v>
      </c>
      <c r="F632" s="5">
        <v>39083</v>
      </c>
      <c r="G632" s="5">
        <v>41639</v>
      </c>
      <c r="H632" s="4" t="s">
        <v>40</v>
      </c>
      <c r="I632" s="6">
        <v>76165.98</v>
      </c>
      <c r="J632" s="6">
        <v>76165.98</v>
      </c>
      <c r="K632" s="37" t="s">
        <v>790</v>
      </c>
      <c r="L632" s="119"/>
      <c r="M632" s="3"/>
    </row>
    <row r="633" spans="1:13" s="4" customFormat="1" ht="25.5" x14ac:dyDescent="0.25">
      <c r="A633" s="4" t="s">
        <v>1234</v>
      </c>
      <c r="B633" s="4" t="s">
        <v>11764</v>
      </c>
      <c r="C633" s="37" t="s">
        <v>790</v>
      </c>
      <c r="D633" s="35">
        <v>3149</v>
      </c>
      <c r="E633" s="4" t="s">
        <v>1235</v>
      </c>
      <c r="F633" s="5">
        <v>39083</v>
      </c>
      <c r="G633" s="5">
        <v>41639</v>
      </c>
      <c r="H633" s="4" t="s">
        <v>40</v>
      </c>
      <c r="I633" s="6">
        <v>50000</v>
      </c>
      <c r="J633" s="6">
        <v>25000</v>
      </c>
      <c r="K633" s="37" t="s">
        <v>790</v>
      </c>
      <c r="L633" s="119"/>
      <c r="M633" s="3"/>
    </row>
    <row r="634" spans="1:13" s="4" customFormat="1" ht="38.25" x14ac:dyDescent="0.25">
      <c r="A634" s="4" t="s">
        <v>1236</v>
      </c>
      <c r="B634" s="4" t="s">
        <v>38</v>
      </c>
      <c r="C634" s="37" t="s">
        <v>790</v>
      </c>
      <c r="D634" s="35">
        <v>3150</v>
      </c>
      <c r="E634" s="4" t="s">
        <v>1237</v>
      </c>
      <c r="F634" s="5">
        <v>39083</v>
      </c>
      <c r="G634" s="5">
        <v>41274</v>
      </c>
      <c r="H634" s="4" t="s">
        <v>40</v>
      </c>
      <c r="I634" s="6">
        <v>178756.35</v>
      </c>
      <c r="J634" s="6">
        <v>178756.35</v>
      </c>
      <c r="K634" s="37" t="s">
        <v>790</v>
      </c>
      <c r="L634" s="119"/>
      <c r="M634" s="3"/>
    </row>
    <row r="635" spans="1:13" s="4" customFormat="1" ht="25.5" x14ac:dyDescent="0.25">
      <c r="A635" s="4" t="s">
        <v>1238</v>
      </c>
      <c r="B635" s="4" t="s">
        <v>38</v>
      </c>
      <c r="C635" s="37" t="s">
        <v>790</v>
      </c>
      <c r="D635" s="35">
        <v>3151</v>
      </c>
      <c r="E635" s="4" t="s">
        <v>1239</v>
      </c>
      <c r="F635" s="5">
        <v>39083</v>
      </c>
      <c r="G635" s="5">
        <v>41639</v>
      </c>
      <c r="H635" s="4" t="s">
        <v>40</v>
      </c>
      <c r="I635" s="6">
        <v>58981.24</v>
      </c>
      <c r="J635" s="6">
        <v>58981.24</v>
      </c>
      <c r="K635" s="37" t="s">
        <v>790</v>
      </c>
      <c r="L635" s="119"/>
      <c r="M635" s="3"/>
    </row>
    <row r="636" spans="1:13" s="4" customFormat="1" ht="76.5" x14ac:dyDescent="0.25">
      <c r="A636" s="4" t="s">
        <v>1240</v>
      </c>
      <c r="B636" s="4" t="s">
        <v>38</v>
      </c>
      <c r="C636" s="37" t="s">
        <v>790</v>
      </c>
      <c r="D636" s="35">
        <v>3152</v>
      </c>
      <c r="E636" s="4" t="s">
        <v>1241</v>
      </c>
      <c r="F636" s="5">
        <v>39083</v>
      </c>
      <c r="G636" s="5">
        <v>41639</v>
      </c>
      <c r="H636" s="4" t="s">
        <v>40</v>
      </c>
      <c r="I636" s="6">
        <v>231640.97</v>
      </c>
      <c r="J636" s="6">
        <v>231640.97</v>
      </c>
      <c r="K636" s="37" t="s">
        <v>790</v>
      </c>
      <c r="L636" s="119"/>
      <c r="M636" s="3"/>
    </row>
    <row r="637" spans="1:13" s="4" customFormat="1" x14ac:dyDescent="0.25">
      <c r="A637" s="4" t="s">
        <v>1242</v>
      </c>
      <c r="B637" s="4" t="s">
        <v>11764</v>
      </c>
      <c r="C637" s="37" t="s">
        <v>790</v>
      </c>
      <c r="D637" s="35">
        <v>3153</v>
      </c>
      <c r="E637" s="4" t="s">
        <v>1243</v>
      </c>
      <c r="F637" s="5">
        <v>39083</v>
      </c>
      <c r="G637" s="5">
        <v>41639</v>
      </c>
      <c r="H637" s="4" t="s">
        <v>40</v>
      </c>
      <c r="I637" s="6">
        <v>100000</v>
      </c>
      <c r="J637" s="6">
        <v>50000</v>
      </c>
      <c r="K637" s="37" t="s">
        <v>790</v>
      </c>
      <c r="L637" s="119"/>
      <c r="M637" s="3"/>
    </row>
    <row r="638" spans="1:13" s="4" customFormat="1" ht="25.5" x14ac:dyDescent="0.25">
      <c r="A638" s="4" t="s">
        <v>1244</v>
      </c>
      <c r="B638" s="4" t="s">
        <v>59</v>
      </c>
      <c r="C638" s="37" t="s">
        <v>790</v>
      </c>
      <c r="D638" s="35">
        <v>3154</v>
      </c>
      <c r="E638" s="4" t="s">
        <v>1245</v>
      </c>
      <c r="F638" s="5">
        <v>39083</v>
      </c>
      <c r="G638" s="5">
        <v>41639</v>
      </c>
      <c r="H638" s="4" t="s">
        <v>40</v>
      </c>
      <c r="I638" s="6">
        <v>7500</v>
      </c>
      <c r="J638" s="6">
        <v>7500</v>
      </c>
      <c r="K638" s="37" t="s">
        <v>790</v>
      </c>
      <c r="L638" s="119"/>
      <c r="M638" s="3"/>
    </row>
    <row r="639" spans="1:13" s="4" customFormat="1" x14ac:dyDescent="0.25">
      <c r="A639" s="4" t="s">
        <v>1246</v>
      </c>
      <c r="B639" s="4" t="s">
        <v>50</v>
      </c>
      <c r="C639" s="37" t="s">
        <v>790</v>
      </c>
      <c r="D639" s="35">
        <v>3155</v>
      </c>
      <c r="E639" s="4" t="s">
        <v>1247</v>
      </c>
      <c r="F639" s="5">
        <v>39083</v>
      </c>
      <c r="G639" s="5">
        <v>41639</v>
      </c>
      <c r="H639" s="4" t="s">
        <v>40</v>
      </c>
      <c r="I639" s="6">
        <v>150000</v>
      </c>
      <c r="J639" s="6">
        <v>75000</v>
      </c>
      <c r="K639" s="37" t="s">
        <v>790</v>
      </c>
      <c r="L639" s="119"/>
      <c r="M639" s="3"/>
    </row>
    <row r="640" spans="1:13" s="4" customFormat="1" ht="25.5" x14ac:dyDescent="0.25">
      <c r="A640" s="4" t="s">
        <v>1248</v>
      </c>
      <c r="B640" s="4" t="s">
        <v>38</v>
      </c>
      <c r="C640" s="37" t="s">
        <v>790</v>
      </c>
      <c r="D640" s="35">
        <v>3156</v>
      </c>
      <c r="E640" s="4" t="s">
        <v>1249</v>
      </c>
      <c r="F640" s="5">
        <v>39083</v>
      </c>
      <c r="G640" s="5">
        <v>41274</v>
      </c>
      <c r="H640" s="4" t="s">
        <v>40</v>
      </c>
      <c r="I640" s="6">
        <v>164825.04999999999</v>
      </c>
      <c r="J640" s="6">
        <f>119871.16+44953.89</f>
        <v>164825.04999999999</v>
      </c>
      <c r="K640" s="37" t="s">
        <v>790</v>
      </c>
      <c r="L640" s="119"/>
      <c r="M640" s="3"/>
    </row>
    <row r="641" spans="1:13" s="4" customFormat="1" ht="51" x14ac:dyDescent="0.25">
      <c r="A641" s="4" t="s">
        <v>1250</v>
      </c>
      <c r="B641" s="4" t="s">
        <v>38</v>
      </c>
      <c r="C641" s="37" t="s">
        <v>790</v>
      </c>
      <c r="D641" s="35">
        <v>3157</v>
      </c>
      <c r="E641" s="4" t="s">
        <v>1251</v>
      </c>
      <c r="F641" s="5">
        <v>39083</v>
      </c>
      <c r="G641" s="5">
        <v>41639</v>
      </c>
      <c r="H641" s="4" t="s">
        <v>40</v>
      </c>
      <c r="I641" s="6">
        <v>24439.09</v>
      </c>
      <c r="J641" s="6">
        <v>24439.09</v>
      </c>
      <c r="K641" s="37" t="s">
        <v>790</v>
      </c>
      <c r="L641" s="119"/>
      <c r="M641" s="3"/>
    </row>
    <row r="642" spans="1:13" s="4" customFormat="1" ht="25.5" x14ac:dyDescent="0.25">
      <c r="A642" s="4" t="s">
        <v>1252</v>
      </c>
      <c r="B642" s="4" t="s">
        <v>50</v>
      </c>
      <c r="C642" s="37" t="s">
        <v>790</v>
      </c>
      <c r="D642" s="35">
        <v>3158</v>
      </c>
      <c r="E642" s="4" t="s">
        <v>1253</v>
      </c>
      <c r="F642" s="5">
        <v>39083</v>
      </c>
      <c r="G642" s="5">
        <v>41639</v>
      </c>
      <c r="H642" s="4" t="s">
        <v>40</v>
      </c>
      <c r="I642" s="6">
        <v>60363.839999999997</v>
      </c>
      <c r="J642" s="6">
        <v>30181.96</v>
      </c>
      <c r="K642" s="37" t="s">
        <v>790</v>
      </c>
      <c r="L642" s="119"/>
      <c r="M642" s="3"/>
    </row>
    <row r="643" spans="1:13" s="4" customFormat="1" x14ac:dyDescent="0.25">
      <c r="A643" s="4" t="s">
        <v>1255</v>
      </c>
      <c r="B643" s="4" t="s">
        <v>59</v>
      </c>
      <c r="C643" s="37" t="s">
        <v>790</v>
      </c>
      <c r="D643" s="35">
        <v>3327</v>
      </c>
      <c r="E643" s="4" t="s">
        <v>1256</v>
      </c>
      <c r="F643" s="5">
        <v>39496</v>
      </c>
      <c r="H643" s="4" t="s">
        <v>40</v>
      </c>
      <c r="I643" s="6">
        <v>7500</v>
      </c>
      <c r="J643" s="6">
        <v>7500</v>
      </c>
      <c r="K643" s="37" t="s">
        <v>790</v>
      </c>
      <c r="L643" s="119"/>
      <c r="M643" s="3"/>
    </row>
    <row r="644" spans="1:13" s="4" customFormat="1" x14ac:dyDescent="0.25">
      <c r="A644" s="4" t="s">
        <v>1257</v>
      </c>
      <c r="B644" s="4" t="s">
        <v>59</v>
      </c>
      <c r="C644" s="37" t="s">
        <v>790</v>
      </c>
      <c r="D644" s="35">
        <v>3328</v>
      </c>
      <c r="E644" s="4" t="s">
        <v>1258</v>
      </c>
      <c r="F644" s="5">
        <v>39349</v>
      </c>
      <c r="H644" s="4" t="s">
        <v>40</v>
      </c>
      <c r="I644" s="6">
        <v>3750</v>
      </c>
      <c r="J644" s="6">
        <v>3750</v>
      </c>
      <c r="K644" s="37" t="s">
        <v>790</v>
      </c>
      <c r="L644" s="119"/>
      <c r="M644" s="3"/>
    </row>
    <row r="645" spans="1:13" s="4" customFormat="1" x14ac:dyDescent="0.25">
      <c r="A645" s="4" t="s">
        <v>1259</v>
      </c>
      <c r="B645" s="4" t="s">
        <v>59</v>
      </c>
      <c r="C645" s="37" t="s">
        <v>790</v>
      </c>
      <c r="D645" s="35">
        <v>3329</v>
      </c>
      <c r="E645" s="4" t="s">
        <v>1260</v>
      </c>
      <c r="F645" s="5">
        <v>39611</v>
      </c>
      <c r="H645" s="4" t="s">
        <v>40</v>
      </c>
      <c r="I645" s="6">
        <v>7500</v>
      </c>
      <c r="J645" s="6">
        <v>7500</v>
      </c>
      <c r="K645" s="37" t="s">
        <v>790</v>
      </c>
      <c r="L645" s="119"/>
      <c r="M645" s="3"/>
    </row>
    <row r="646" spans="1:13" s="4" customFormat="1" x14ac:dyDescent="0.25">
      <c r="A646" s="4" t="s">
        <v>1261</v>
      </c>
      <c r="B646" s="4" t="s">
        <v>59</v>
      </c>
      <c r="C646" s="37" t="s">
        <v>790</v>
      </c>
      <c r="D646" s="35">
        <v>3331</v>
      </c>
      <c r="E646" s="4" t="s">
        <v>1007</v>
      </c>
      <c r="F646" s="5">
        <v>39611</v>
      </c>
      <c r="H646" s="4" t="s">
        <v>40</v>
      </c>
      <c r="I646" s="6">
        <v>7500</v>
      </c>
      <c r="J646" s="6">
        <v>7500</v>
      </c>
      <c r="K646" s="37" t="s">
        <v>790</v>
      </c>
      <c r="L646" s="119"/>
      <c r="M646" s="3"/>
    </row>
    <row r="647" spans="1:13" s="4" customFormat="1" x14ac:dyDescent="0.25">
      <c r="A647" s="4" t="s">
        <v>1262</v>
      </c>
      <c r="B647" s="4" t="s">
        <v>59</v>
      </c>
      <c r="C647" s="37" t="s">
        <v>790</v>
      </c>
      <c r="D647" s="35">
        <v>3332</v>
      </c>
      <c r="E647" s="4" t="s">
        <v>1206</v>
      </c>
      <c r="F647" s="5">
        <v>39611</v>
      </c>
      <c r="H647" s="4" t="s">
        <v>40</v>
      </c>
      <c r="I647" s="6">
        <v>3750</v>
      </c>
      <c r="J647" s="6">
        <v>3750</v>
      </c>
      <c r="K647" s="37" t="s">
        <v>790</v>
      </c>
      <c r="L647" s="119"/>
      <c r="M647" s="3"/>
    </row>
    <row r="648" spans="1:13" s="4" customFormat="1" ht="25.5" x14ac:dyDescent="0.25">
      <c r="A648" s="4" t="s">
        <v>1263</v>
      </c>
      <c r="B648" s="4" t="s">
        <v>38</v>
      </c>
      <c r="C648" s="37" t="s">
        <v>790</v>
      </c>
      <c r="D648" s="35">
        <v>3385</v>
      </c>
      <c r="E648" s="4" t="s">
        <v>1264</v>
      </c>
      <c r="F648" s="5">
        <v>39083</v>
      </c>
      <c r="G648" s="5">
        <v>39447</v>
      </c>
      <c r="H648" s="4" t="s">
        <v>40</v>
      </c>
      <c r="I648" s="6">
        <v>4972.24</v>
      </c>
      <c r="J648" s="6">
        <v>4972.24</v>
      </c>
      <c r="K648" s="37" t="s">
        <v>790</v>
      </c>
      <c r="L648" s="119"/>
      <c r="M648" s="3"/>
    </row>
    <row r="649" spans="1:13" s="4" customFormat="1" ht="89.25" x14ac:dyDescent="0.25">
      <c r="A649" s="4" t="s">
        <v>1265</v>
      </c>
      <c r="B649" s="4" t="s">
        <v>38</v>
      </c>
      <c r="C649" s="37" t="s">
        <v>790</v>
      </c>
      <c r="D649" s="35">
        <v>3386</v>
      </c>
      <c r="E649" s="7" t="s">
        <v>1266</v>
      </c>
      <c r="F649" s="5">
        <v>39448</v>
      </c>
      <c r="G649" s="5">
        <v>39813</v>
      </c>
      <c r="H649" s="4" t="s">
        <v>40</v>
      </c>
      <c r="I649" s="6">
        <v>294.02999999999997</v>
      </c>
      <c r="J649" s="6">
        <v>294.02999999999997</v>
      </c>
      <c r="K649" s="37" t="s">
        <v>790</v>
      </c>
      <c r="L649" s="119"/>
      <c r="M649" s="3"/>
    </row>
    <row r="650" spans="1:13" s="4" customFormat="1" ht="25.5" x14ac:dyDescent="0.25">
      <c r="A650" s="4" t="s">
        <v>1267</v>
      </c>
      <c r="B650" s="4" t="s">
        <v>38</v>
      </c>
      <c r="C650" s="37" t="s">
        <v>790</v>
      </c>
      <c r="D650" s="35">
        <v>3387</v>
      </c>
      <c r="E650" s="4" t="s">
        <v>1268</v>
      </c>
      <c r="F650" s="5">
        <v>39083</v>
      </c>
      <c r="G650" s="5">
        <v>39813</v>
      </c>
      <c r="H650" s="4" t="s">
        <v>40</v>
      </c>
      <c r="I650" s="6">
        <v>800</v>
      </c>
      <c r="J650" s="6">
        <v>800</v>
      </c>
      <c r="K650" s="37" t="s">
        <v>790</v>
      </c>
      <c r="L650" s="119"/>
      <c r="M650" s="3"/>
    </row>
    <row r="651" spans="1:13" s="4" customFormat="1" ht="25.5" x14ac:dyDescent="0.25">
      <c r="A651" s="4" t="s">
        <v>1269</v>
      </c>
      <c r="B651" s="4" t="s">
        <v>38</v>
      </c>
      <c r="C651" s="37" t="s">
        <v>790</v>
      </c>
      <c r="D651" s="35">
        <v>3388</v>
      </c>
      <c r="E651" s="4" t="s">
        <v>1270</v>
      </c>
      <c r="F651" s="5">
        <v>39083</v>
      </c>
      <c r="G651" s="5">
        <v>41639</v>
      </c>
      <c r="H651" s="4" t="s">
        <v>40</v>
      </c>
      <c r="I651" s="6">
        <f>114999.9+118969.43+56288.98+48308+35531.17</f>
        <v>374097.48</v>
      </c>
      <c r="J651" s="6">
        <f>325789.48+48308</f>
        <v>374097.48</v>
      </c>
      <c r="K651" s="37" t="s">
        <v>790</v>
      </c>
      <c r="L651" s="119"/>
      <c r="M651" s="3"/>
    </row>
    <row r="652" spans="1:13" s="4" customFormat="1" ht="38.25" x14ac:dyDescent="0.25">
      <c r="A652" s="4" t="s">
        <v>1273</v>
      </c>
      <c r="B652" s="4" t="s">
        <v>50</v>
      </c>
      <c r="C652" s="37" t="s">
        <v>790</v>
      </c>
      <c r="D652" s="35">
        <v>4536</v>
      </c>
      <c r="E652" s="4" t="s">
        <v>1274</v>
      </c>
      <c r="F652" s="5">
        <v>39741</v>
      </c>
      <c r="G652" s="5">
        <v>40106</v>
      </c>
      <c r="H652" s="4" t="s">
        <v>40</v>
      </c>
      <c r="I652" s="6">
        <v>22288</v>
      </c>
      <c r="J652" s="6">
        <v>11144</v>
      </c>
      <c r="K652" s="37" t="s">
        <v>790</v>
      </c>
      <c r="L652" s="119"/>
      <c r="M652" s="3"/>
    </row>
    <row r="653" spans="1:13" s="4" customFormat="1" ht="25.5" x14ac:dyDescent="0.25">
      <c r="A653" s="4" t="s">
        <v>1275</v>
      </c>
      <c r="B653" s="4" t="s">
        <v>90</v>
      </c>
      <c r="C653" s="37" t="s">
        <v>790</v>
      </c>
      <c r="D653" s="35">
        <v>4538</v>
      </c>
      <c r="E653" s="4" t="s">
        <v>1276</v>
      </c>
      <c r="F653" s="5">
        <v>39791</v>
      </c>
      <c r="G653" s="5">
        <v>39973</v>
      </c>
      <c r="H653" s="4" t="s">
        <v>40</v>
      </c>
      <c r="I653" s="6">
        <v>9565.7999999999993</v>
      </c>
      <c r="J653" s="6">
        <v>4782.8999999999996</v>
      </c>
      <c r="K653" s="37" t="s">
        <v>790</v>
      </c>
      <c r="L653" s="119"/>
      <c r="M653" s="3"/>
    </row>
    <row r="654" spans="1:13" s="4" customFormat="1" ht="25.5" x14ac:dyDescent="0.25">
      <c r="A654" s="4" t="s">
        <v>1277</v>
      </c>
      <c r="B654" s="4" t="s">
        <v>59</v>
      </c>
      <c r="C654" s="37" t="s">
        <v>790</v>
      </c>
      <c r="D654" s="35">
        <v>4540</v>
      </c>
      <c r="E654" s="4" t="s">
        <v>1278</v>
      </c>
      <c r="F654" s="5">
        <v>39979</v>
      </c>
      <c r="G654" s="5">
        <v>40344</v>
      </c>
      <c r="H654" s="4" t="s">
        <v>40</v>
      </c>
      <c r="I654" s="6">
        <v>3750</v>
      </c>
      <c r="J654" s="6">
        <v>3750</v>
      </c>
      <c r="K654" s="37" t="s">
        <v>790</v>
      </c>
      <c r="L654" s="119"/>
      <c r="M654" s="3"/>
    </row>
    <row r="655" spans="1:13" s="4" customFormat="1" ht="38.25" x14ac:dyDescent="0.25">
      <c r="A655" s="4" t="s">
        <v>1279</v>
      </c>
      <c r="B655" s="4" t="s">
        <v>59</v>
      </c>
      <c r="C655" s="37" t="s">
        <v>790</v>
      </c>
      <c r="D655" s="35">
        <v>4541</v>
      </c>
      <c r="E655" s="4" t="s">
        <v>1280</v>
      </c>
      <c r="F655" s="5">
        <v>39923</v>
      </c>
      <c r="G655" s="5">
        <v>40543</v>
      </c>
      <c r="H655" s="4" t="s">
        <v>40</v>
      </c>
      <c r="I655" s="6">
        <v>37500</v>
      </c>
      <c r="J655" s="6">
        <v>37500</v>
      </c>
      <c r="K655" s="37" t="s">
        <v>790</v>
      </c>
      <c r="L655" s="119"/>
      <c r="M655" s="3"/>
    </row>
    <row r="656" spans="1:13" s="4" customFormat="1" ht="38.25" x14ac:dyDescent="0.25">
      <c r="A656" s="4" t="s">
        <v>1281</v>
      </c>
      <c r="B656" s="4" t="s">
        <v>90</v>
      </c>
      <c r="C656" s="37" t="s">
        <v>790</v>
      </c>
      <c r="D656" s="35">
        <v>4542</v>
      </c>
      <c r="E656" s="4" t="s">
        <v>1282</v>
      </c>
      <c r="F656" s="5">
        <v>39741</v>
      </c>
      <c r="G656" s="5">
        <v>39923</v>
      </c>
      <c r="H656" s="4" t="s">
        <v>40</v>
      </c>
      <c r="I656" s="6">
        <v>2537.2399999999998</v>
      </c>
      <c r="J656" s="6">
        <v>1268.6199999999999</v>
      </c>
      <c r="K656" s="37" t="s">
        <v>790</v>
      </c>
      <c r="L656" s="119"/>
      <c r="M656" s="3"/>
    </row>
    <row r="657" spans="1:13" s="4" customFormat="1" ht="38.25" x14ac:dyDescent="0.25">
      <c r="A657" s="4" t="s">
        <v>1283</v>
      </c>
      <c r="B657" s="4" t="s">
        <v>90</v>
      </c>
      <c r="C657" s="37" t="s">
        <v>790</v>
      </c>
      <c r="D657" s="35">
        <v>4544</v>
      </c>
      <c r="E657" s="4" t="s">
        <v>1284</v>
      </c>
      <c r="F657" s="5">
        <v>39791</v>
      </c>
      <c r="G657" s="5">
        <v>40079</v>
      </c>
      <c r="H657" s="4" t="s">
        <v>40</v>
      </c>
      <c r="I657" s="6">
        <v>5800</v>
      </c>
      <c r="J657" s="6">
        <v>2900</v>
      </c>
      <c r="K657" s="37" t="s">
        <v>790</v>
      </c>
      <c r="L657" s="119"/>
      <c r="M657" s="3"/>
    </row>
    <row r="658" spans="1:13" s="4" customFormat="1" ht="51" x14ac:dyDescent="0.25">
      <c r="A658" s="4" t="s">
        <v>1285</v>
      </c>
      <c r="B658" s="4" t="s">
        <v>38</v>
      </c>
      <c r="C658" s="37" t="s">
        <v>790</v>
      </c>
      <c r="D658" s="35">
        <v>4709</v>
      </c>
      <c r="E658" s="4" t="s">
        <v>1286</v>
      </c>
      <c r="F658" s="5">
        <v>39814</v>
      </c>
      <c r="G658" s="5">
        <v>40178</v>
      </c>
      <c r="H658" s="4" t="s">
        <v>40</v>
      </c>
      <c r="I658" s="6">
        <v>2875.17</v>
      </c>
      <c r="J658" s="6">
        <v>2875.17</v>
      </c>
      <c r="K658" s="37" t="s">
        <v>790</v>
      </c>
      <c r="L658" s="119"/>
      <c r="M658" s="3"/>
    </row>
    <row r="659" spans="1:13" s="4" customFormat="1" ht="25.5" x14ac:dyDescent="0.25">
      <c r="A659" s="4" t="s">
        <v>1287</v>
      </c>
      <c r="B659" s="4" t="s">
        <v>38</v>
      </c>
      <c r="C659" s="37" t="s">
        <v>790</v>
      </c>
      <c r="D659" s="35">
        <v>4711</v>
      </c>
      <c r="E659" s="4" t="s">
        <v>1288</v>
      </c>
      <c r="F659" s="5">
        <v>39814</v>
      </c>
      <c r="G659" s="5">
        <v>40178</v>
      </c>
      <c r="H659" s="4" t="s">
        <v>40</v>
      </c>
      <c r="I659" s="6">
        <v>9144.2900000000009</v>
      </c>
      <c r="J659" s="6">
        <v>9144.2900000000009</v>
      </c>
      <c r="K659" s="37" t="s">
        <v>790</v>
      </c>
      <c r="L659" s="119"/>
      <c r="M659" s="3"/>
    </row>
    <row r="660" spans="1:13" s="4" customFormat="1" ht="38.25" x14ac:dyDescent="0.25">
      <c r="A660" s="4" t="s">
        <v>1289</v>
      </c>
      <c r="B660" s="4" t="s">
        <v>38</v>
      </c>
      <c r="C660" s="37" t="s">
        <v>790</v>
      </c>
      <c r="D660" s="35">
        <v>4731</v>
      </c>
      <c r="E660" s="4" t="s">
        <v>1290</v>
      </c>
      <c r="F660" s="5">
        <v>39701</v>
      </c>
      <c r="G660" s="5">
        <v>39706</v>
      </c>
      <c r="H660" s="4" t="s">
        <v>40</v>
      </c>
      <c r="I660" s="6">
        <v>3295</v>
      </c>
      <c r="J660" s="6">
        <v>3295</v>
      </c>
      <c r="K660" s="37" t="s">
        <v>790</v>
      </c>
      <c r="L660" s="119"/>
      <c r="M660" s="3"/>
    </row>
    <row r="661" spans="1:13" s="4" customFormat="1" ht="38.25" x14ac:dyDescent="0.25">
      <c r="A661" s="4" t="s">
        <v>1291</v>
      </c>
      <c r="B661" s="4" t="s">
        <v>38</v>
      </c>
      <c r="C661" s="37" t="s">
        <v>790</v>
      </c>
      <c r="D661" s="35">
        <v>4735</v>
      </c>
      <c r="E661" s="4" t="s">
        <v>1292</v>
      </c>
      <c r="F661" s="5">
        <v>39995</v>
      </c>
      <c r="G661" s="5">
        <v>40359</v>
      </c>
      <c r="H661" s="4" t="s">
        <v>40</v>
      </c>
      <c r="I661" s="6">
        <v>16119.68</v>
      </c>
      <c r="J661" s="6">
        <v>16119.68</v>
      </c>
      <c r="K661" s="37" t="s">
        <v>790</v>
      </c>
      <c r="L661" s="119"/>
      <c r="M661" s="3"/>
    </row>
    <row r="662" spans="1:13" s="4" customFormat="1" ht="38.25" x14ac:dyDescent="0.25">
      <c r="A662" s="4" t="s">
        <v>1293</v>
      </c>
      <c r="B662" s="4" t="s">
        <v>38</v>
      </c>
      <c r="C662" s="37" t="s">
        <v>790</v>
      </c>
      <c r="D662" s="35">
        <v>4738</v>
      </c>
      <c r="E662" s="4" t="s">
        <v>1294</v>
      </c>
      <c r="F662" s="5">
        <v>39814</v>
      </c>
      <c r="G662" s="5">
        <v>40178</v>
      </c>
      <c r="H662" s="4" t="s">
        <v>40</v>
      </c>
      <c r="I662" s="6">
        <v>12712.68</v>
      </c>
      <c r="J662" s="6">
        <v>12712.68</v>
      </c>
      <c r="K662" s="37" t="s">
        <v>790</v>
      </c>
      <c r="L662" s="119"/>
      <c r="M662" s="3"/>
    </row>
    <row r="663" spans="1:13" s="4" customFormat="1" ht="63.75" x14ac:dyDescent="0.25">
      <c r="A663" s="4" t="s">
        <v>1295</v>
      </c>
      <c r="B663" s="4" t="s">
        <v>38</v>
      </c>
      <c r="C663" s="37" t="s">
        <v>790</v>
      </c>
      <c r="D663" s="35">
        <v>4740</v>
      </c>
      <c r="E663" s="4" t="s">
        <v>1296</v>
      </c>
      <c r="F663" s="5">
        <v>39814</v>
      </c>
      <c r="G663" s="5">
        <v>40178</v>
      </c>
      <c r="H663" s="4" t="s">
        <v>40</v>
      </c>
      <c r="I663" s="6">
        <v>5000</v>
      </c>
      <c r="J663" s="6">
        <v>5000</v>
      </c>
      <c r="K663" s="37" t="s">
        <v>790</v>
      </c>
      <c r="L663" s="119"/>
      <c r="M663" s="3"/>
    </row>
    <row r="664" spans="1:13" s="4" customFormat="1" ht="140.25" x14ac:dyDescent="0.25">
      <c r="A664" s="4" t="s">
        <v>1297</v>
      </c>
      <c r="B664" s="4" t="s">
        <v>38</v>
      </c>
      <c r="C664" s="37" t="s">
        <v>790</v>
      </c>
      <c r="D664" s="35">
        <v>4769</v>
      </c>
      <c r="E664" s="7" t="s">
        <v>1298</v>
      </c>
      <c r="F664" s="5">
        <v>39814</v>
      </c>
      <c r="G664" s="5">
        <v>40178</v>
      </c>
      <c r="H664" s="4" t="s">
        <v>40</v>
      </c>
      <c r="I664" s="6">
        <v>4625</v>
      </c>
      <c r="J664" s="6">
        <v>4625</v>
      </c>
      <c r="K664" s="37" t="s">
        <v>790</v>
      </c>
      <c r="L664" s="119"/>
      <c r="M664" s="3"/>
    </row>
    <row r="665" spans="1:13" s="4" customFormat="1" ht="25.5" x14ac:dyDescent="0.25">
      <c r="A665" s="4" t="s">
        <v>1299</v>
      </c>
      <c r="B665" s="4" t="s">
        <v>38</v>
      </c>
      <c r="C665" s="37" t="s">
        <v>790</v>
      </c>
      <c r="D665" s="35">
        <v>4770</v>
      </c>
      <c r="E665" s="4" t="s">
        <v>1300</v>
      </c>
      <c r="F665" s="5">
        <v>39814</v>
      </c>
      <c r="G665" s="5">
        <v>40178</v>
      </c>
      <c r="H665" s="4" t="s">
        <v>40</v>
      </c>
      <c r="I665" s="6">
        <v>12653.76</v>
      </c>
      <c r="J665" s="6">
        <v>12653.76</v>
      </c>
      <c r="K665" s="37" t="s">
        <v>790</v>
      </c>
      <c r="L665" s="119"/>
      <c r="M665" s="3"/>
    </row>
    <row r="666" spans="1:13" s="4" customFormat="1" ht="51" x14ac:dyDescent="0.25">
      <c r="A666" s="4" t="s">
        <v>1301</v>
      </c>
      <c r="B666" s="4" t="s">
        <v>38</v>
      </c>
      <c r="C666" s="37" t="s">
        <v>790</v>
      </c>
      <c r="D666" s="35">
        <v>4771</v>
      </c>
      <c r="E666" s="4" t="s">
        <v>1302</v>
      </c>
      <c r="F666" s="5">
        <v>39814</v>
      </c>
      <c r="G666" s="5">
        <v>40178</v>
      </c>
      <c r="H666" s="4" t="s">
        <v>40</v>
      </c>
      <c r="I666" s="6">
        <v>4197.07</v>
      </c>
      <c r="J666" s="6">
        <v>4197.07</v>
      </c>
      <c r="K666" s="37" t="s">
        <v>790</v>
      </c>
      <c r="L666" s="119"/>
      <c r="M666" s="3"/>
    </row>
    <row r="667" spans="1:13" s="4" customFormat="1" ht="25.5" x14ac:dyDescent="0.25">
      <c r="A667" s="4" t="s">
        <v>1303</v>
      </c>
      <c r="B667" s="4" t="s">
        <v>38</v>
      </c>
      <c r="C667" s="37" t="s">
        <v>790</v>
      </c>
      <c r="D667" s="35">
        <v>4773</v>
      </c>
      <c r="E667" s="4" t="s">
        <v>1304</v>
      </c>
      <c r="F667" s="5">
        <v>39814</v>
      </c>
      <c r="G667" s="5">
        <v>40178</v>
      </c>
      <c r="H667" s="4" t="s">
        <v>40</v>
      </c>
      <c r="I667" s="6">
        <v>318.74</v>
      </c>
      <c r="J667" s="6">
        <v>318.74</v>
      </c>
      <c r="K667" s="37" t="s">
        <v>790</v>
      </c>
      <c r="L667" s="119"/>
      <c r="M667" s="3"/>
    </row>
    <row r="668" spans="1:13" s="4" customFormat="1" ht="63.75" x14ac:dyDescent="0.25">
      <c r="A668" s="4" t="s">
        <v>1305</v>
      </c>
      <c r="B668" s="4" t="s">
        <v>38</v>
      </c>
      <c r="C668" s="37" t="s">
        <v>790</v>
      </c>
      <c r="D668" s="35">
        <v>4774</v>
      </c>
      <c r="E668" s="4" t="s">
        <v>1306</v>
      </c>
      <c r="F668" s="5">
        <v>39814</v>
      </c>
      <c r="G668" s="5">
        <v>40178</v>
      </c>
      <c r="H668" s="4" t="s">
        <v>40</v>
      </c>
      <c r="I668" s="6">
        <v>946.08</v>
      </c>
      <c r="J668" s="6">
        <v>946.08</v>
      </c>
      <c r="K668" s="37" t="s">
        <v>790</v>
      </c>
      <c r="L668" s="119"/>
      <c r="M668" s="3"/>
    </row>
    <row r="669" spans="1:13" s="4" customFormat="1" ht="25.5" x14ac:dyDescent="0.25">
      <c r="A669" s="4" t="s">
        <v>1307</v>
      </c>
      <c r="B669" s="4" t="s">
        <v>38</v>
      </c>
      <c r="C669" s="37" t="s">
        <v>790</v>
      </c>
      <c r="D669" s="35">
        <v>4776</v>
      </c>
      <c r="E669" s="4" t="s">
        <v>1308</v>
      </c>
      <c r="F669" s="5">
        <v>39814</v>
      </c>
      <c r="G669" s="5">
        <v>40178</v>
      </c>
      <c r="H669" s="4" t="s">
        <v>40</v>
      </c>
      <c r="I669" s="6">
        <v>8255.74</v>
      </c>
      <c r="J669" s="6">
        <v>8255.74</v>
      </c>
      <c r="K669" s="37" t="s">
        <v>790</v>
      </c>
      <c r="L669" s="119"/>
      <c r="M669" s="3"/>
    </row>
    <row r="670" spans="1:13" s="4" customFormat="1" ht="63.75" x14ac:dyDescent="0.25">
      <c r="A670" s="4" t="s">
        <v>1309</v>
      </c>
      <c r="B670" s="4" t="s">
        <v>38</v>
      </c>
      <c r="C670" s="37" t="s">
        <v>790</v>
      </c>
      <c r="D670" s="35">
        <v>4778</v>
      </c>
      <c r="E670" s="4" t="s">
        <v>1310</v>
      </c>
      <c r="F670" s="5">
        <v>39814</v>
      </c>
      <c r="G670" s="5">
        <v>40178</v>
      </c>
      <c r="H670" s="4" t="s">
        <v>40</v>
      </c>
      <c r="I670" s="6">
        <v>1250</v>
      </c>
      <c r="J670" s="6">
        <v>1250</v>
      </c>
      <c r="K670" s="37" t="s">
        <v>790</v>
      </c>
      <c r="L670" s="119"/>
      <c r="M670" s="3"/>
    </row>
    <row r="671" spans="1:13" s="4" customFormat="1" ht="25.5" x14ac:dyDescent="0.25">
      <c r="A671" s="4" t="s">
        <v>1311</v>
      </c>
      <c r="B671" s="4" t="s">
        <v>38</v>
      </c>
      <c r="C671" s="37" t="s">
        <v>790</v>
      </c>
      <c r="D671" s="35">
        <v>4779</v>
      </c>
      <c r="E671" s="4" t="s">
        <v>1312</v>
      </c>
      <c r="F671" s="5">
        <v>39814</v>
      </c>
      <c r="G671" s="5">
        <v>40178</v>
      </c>
      <c r="H671" s="4" t="s">
        <v>40</v>
      </c>
      <c r="I671" s="6">
        <v>226.38</v>
      </c>
      <c r="J671" s="6">
        <v>226.38</v>
      </c>
      <c r="K671" s="37" t="s">
        <v>790</v>
      </c>
      <c r="L671" s="119"/>
      <c r="M671" s="3"/>
    </row>
    <row r="672" spans="1:13" s="4" customFormat="1" ht="25.5" x14ac:dyDescent="0.25">
      <c r="A672" s="4" t="s">
        <v>1313</v>
      </c>
      <c r="B672" s="4" t="s">
        <v>38</v>
      </c>
      <c r="C672" s="37" t="s">
        <v>790</v>
      </c>
      <c r="D672" s="35">
        <v>4780</v>
      </c>
      <c r="E672" s="4" t="s">
        <v>1314</v>
      </c>
      <c r="F672" s="5">
        <v>39814</v>
      </c>
      <c r="G672" s="5">
        <v>40178</v>
      </c>
      <c r="H672" s="4" t="s">
        <v>40</v>
      </c>
      <c r="I672" s="6">
        <v>2385.86</v>
      </c>
      <c r="J672" s="6">
        <v>2385.86</v>
      </c>
      <c r="K672" s="37" t="s">
        <v>790</v>
      </c>
      <c r="L672" s="119"/>
      <c r="M672" s="3"/>
    </row>
    <row r="673" spans="1:13" s="4" customFormat="1" ht="51" x14ac:dyDescent="0.25">
      <c r="A673" s="4" t="s">
        <v>1315</v>
      </c>
      <c r="B673" s="4" t="s">
        <v>38</v>
      </c>
      <c r="C673" s="37" t="s">
        <v>790</v>
      </c>
      <c r="D673" s="35">
        <v>4781</v>
      </c>
      <c r="E673" s="4" t="s">
        <v>1316</v>
      </c>
      <c r="F673" s="5">
        <v>40148</v>
      </c>
      <c r="G673" s="5">
        <v>40178</v>
      </c>
      <c r="H673" s="4" t="s">
        <v>40</v>
      </c>
      <c r="I673" s="6">
        <v>2208.4</v>
      </c>
      <c r="J673" s="6">
        <v>2208.4</v>
      </c>
      <c r="K673" s="37" t="s">
        <v>790</v>
      </c>
      <c r="L673" s="119"/>
      <c r="M673" s="3"/>
    </row>
    <row r="674" spans="1:13" s="4" customFormat="1" ht="25.5" x14ac:dyDescent="0.25">
      <c r="A674" s="4" t="s">
        <v>1317</v>
      </c>
      <c r="B674" s="4" t="s">
        <v>38</v>
      </c>
      <c r="C674" s="37" t="s">
        <v>790</v>
      </c>
      <c r="D674" s="35">
        <v>4785</v>
      </c>
      <c r="E674" s="4" t="s">
        <v>1318</v>
      </c>
      <c r="F674" s="5">
        <v>39814</v>
      </c>
      <c r="G674" s="5">
        <v>40178</v>
      </c>
      <c r="H674" s="4" t="s">
        <v>40</v>
      </c>
      <c r="I674" s="6">
        <v>10263.030000000001</v>
      </c>
      <c r="J674" s="6">
        <v>10263.030000000001</v>
      </c>
      <c r="K674" s="37" t="s">
        <v>790</v>
      </c>
      <c r="L674" s="119"/>
      <c r="M674" s="3"/>
    </row>
    <row r="675" spans="1:13" s="4" customFormat="1" ht="25.5" x14ac:dyDescent="0.25">
      <c r="A675" s="4" t="s">
        <v>1319</v>
      </c>
      <c r="B675" s="4" t="s">
        <v>38</v>
      </c>
      <c r="C675" s="37" t="s">
        <v>790</v>
      </c>
      <c r="D675" s="35">
        <v>4786</v>
      </c>
      <c r="E675" s="4" t="s">
        <v>1320</v>
      </c>
      <c r="F675" s="5">
        <v>39814</v>
      </c>
      <c r="G675" s="5">
        <v>40178</v>
      </c>
      <c r="H675" s="4" t="s">
        <v>40</v>
      </c>
      <c r="I675" s="6">
        <v>2298.59</v>
      </c>
      <c r="J675" s="6">
        <v>2298.59</v>
      </c>
      <c r="K675" s="37" t="s">
        <v>790</v>
      </c>
      <c r="L675" s="119"/>
      <c r="M675" s="3"/>
    </row>
    <row r="676" spans="1:13" s="4" customFormat="1" ht="51" x14ac:dyDescent="0.25">
      <c r="A676" s="4" t="s">
        <v>1321</v>
      </c>
      <c r="B676" s="4" t="s">
        <v>38</v>
      </c>
      <c r="C676" s="37" t="s">
        <v>790</v>
      </c>
      <c r="D676" s="35">
        <v>4787</v>
      </c>
      <c r="E676" s="4" t="s">
        <v>1322</v>
      </c>
      <c r="F676" s="5">
        <v>39814</v>
      </c>
      <c r="G676" s="5">
        <v>40178</v>
      </c>
      <c r="H676" s="4" t="s">
        <v>40</v>
      </c>
      <c r="I676" s="6">
        <v>1569.67</v>
      </c>
      <c r="J676" s="6">
        <v>1569.67</v>
      </c>
      <c r="K676" s="37" t="s">
        <v>790</v>
      </c>
      <c r="L676" s="119"/>
      <c r="M676" s="3"/>
    </row>
    <row r="677" spans="1:13" s="4" customFormat="1" ht="38.25" x14ac:dyDescent="0.25">
      <c r="A677" s="4" t="s">
        <v>1323</v>
      </c>
      <c r="B677" s="4" t="s">
        <v>38</v>
      </c>
      <c r="C677" s="37" t="s">
        <v>790</v>
      </c>
      <c r="D677" s="35">
        <v>4789</v>
      </c>
      <c r="E677" s="4" t="s">
        <v>1324</v>
      </c>
      <c r="F677" s="5">
        <v>39814</v>
      </c>
      <c r="G677" s="5">
        <v>40178</v>
      </c>
      <c r="H677" s="4" t="s">
        <v>40</v>
      </c>
      <c r="I677" s="6">
        <v>2364.25</v>
      </c>
      <c r="J677" s="6">
        <v>4364.25</v>
      </c>
      <c r="K677" s="37" t="s">
        <v>790</v>
      </c>
      <c r="L677" s="119"/>
      <c r="M677" s="3"/>
    </row>
    <row r="678" spans="1:13" s="4" customFormat="1" ht="38.25" x14ac:dyDescent="0.25">
      <c r="A678" s="4" t="s">
        <v>1325</v>
      </c>
      <c r="B678" s="4" t="s">
        <v>38</v>
      </c>
      <c r="C678" s="37" t="s">
        <v>790</v>
      </c>
      <c r="D678" s="35">
        <v>4791</v>
      </c>
      <c r="E678" s="4" t="s">
        <v>1326</v>
      </c>
      <c r="F678" s="5">
        <v>39814</v>
      </c>
      <c r="G678" s="5">
        <v>40178</v>
      </c>
      <c r="H678" s="4" t="s">
        <v>40</v>
      </c>
      <c r="I678" s="6">
        <v>2778.47</v>
      </c>
      <c r="J678" s="6">
        <v>2778.47</v>
      </c>
      <c r="K678" s="37" t="s">
        <v>790</v>
      </c>
      <c r="L678" s="119"/>
      <c r="M678" s="3"/>
    </row>
    <row r="679" spans="1:13" s="4" customFormat="1" ht="38.25" x14ac:dyDescent="0.25">
      <c r="A679" s="4" t="s">
        <v>1327</v>
      </c>
      <c r="B679" s="4" t="s">
        <v>38</v>
      </c>
      <c r="C679" s="37" t="s">
        <v>790</v>
      </c>
      <c r="D679" s="35">
        <v>4792</v>
      </c>
      <c r="E679" s="4" t="s">
        <v>1125</v>
      </c>
      <c r="F679" s="5">
        <v>39814</v>
      </c>
      <c r="G679" s="5">
        <v>40178</v>
      </c>
      <c r="H679" s="4" t="s">
        <v>40</v>
      </c>
      <c r="I679" s="6">
        <v>20156.09</v>
      </c>
      <c r="J679" s="6">
        <v>20156.09</v>
      </c>
      <c r="K679" s="37" t="s">
        <v>790</v>
      </c>
      <c r="L679" s="119"/>
      <c r="M679" s="3"/>
    </row>
    <row r="680" spans="1:13" s="4" customFormat="1" ht="102" x14ac:dyDescent="0.25">
      <c r="A680" s="4" t="s">
        <v>1328</v>
      </c>
      <c r="B680" s="4" t="s">
        <v>38</v>
      </c>
      <c r="C680" s="37" t="s">
        <v>790</v>
      </c>
      <c r="D680" s="35">
        <v>4793</v>
      </c>
      <c r="E680" s="7" t="s">
        <v>1194</v>
      </c>
      <c r="F680" s="5">
        <v>39814</v>
      </c>
      <c r="G680" s="5">
        <v>40543</v>
      </c>
      <c r="H680" s="4" t="s">
        <v>40</v>
      </c>
      <c r="I680" s="6">
        <v>22038.080000000002</v>
      </c>
      <c r="J680" s="6">
        <v>22038.080000000002</v>
      </c>
      <c r="K680" s="37" t="s">
        <v>790</v>
      </c>
      <c r="L680" s="119"/>
      <c r="M680" s="3"/>
    </row>
    <row r="681" spans="1:13" s="4" customFormat="1" ht="25.5" x14ac:dyDescent="0.25">
      <c r="A681" s="4" t="s">
        <v>1329</v>
      </c>
      <c r="B681" s="4" t="s">
        <v>38</v>
      </c>
      <c r="C681" s="37" t="s">
        <v>790</v>
      </c>
      <c r="D681" s="35">
        <v>4794</v>
      </c>
      <c r="E681" s="4" t="s">
        <v>1330</v>
      </c>
      <c r="F681" s="5">
        <v>39814</v>
      </c>
      <c r="G681" s="5">
        <v>40178</v>
      </c>
      <c r="H681" s="4" t="s">
        <v>40</v>
      </c>
      <c r="I681" s="6">
        <v>666.49</v>
      </c>
      <c r="J681" s="6">
        <v>666.49</v>
      </c>
      <c r="K681" s="37" t="s">
        <v>790</v>
      </c>
      <c r="L681" s="119"/>
      <c r="M681" s="3"/>
    </row>
    <row r="682" spans="1:13" s="4" customFormat="1" ht="25.5" x14ac:dyDescent="0.25">
      <c r="A682" s="4" t="s">
        <v>1331</v>
      </c>
      <c r="B682" s="4" t="s">
        <v>38</v>
      </c>
      <c r="C682" s="37" t="s">
        <v>790</v>
      </c>
      <c r="D682" s="35">
        <v>4795</v>
      </c>
      <c r="E682" s="4" t="s">
        <v>1332</v>
      </c>
      <c r="F682" s="5">
        <v>39814</v>
      </c>
      <c r="G682" s="5">
        <v>40543</v>
      </c>
      <c r="H682" s="4" t="s">
        <v>40</v>
      </c>
      <c r="I682" s="6">
        <v>13860</v>
      </c>
      <c r="J682" s="6">
        <v>13860</v>
      </c>
      <c r="K682" s="37" t="s">
        <v>790</v>
      </c>
      <c r="L682" s="119"/>
      <c r="M682" s="3"/>
    </row>
    <row r="683" spans="1:13" s="4" customFormat="1" ht="25.5" x14ac:dyDescent="0.25">
      <c r="A683" s="4" t="s">
        <v>1333</v>
      </c>
      <c r="B683" s="4" t="s">
        <v>38</v>
      </c>
      <c r="C683" s="37" t="s">
        <v>790</v>
      </c>
      <c r="D683" s="35">
        <v>4823</v>
      </c>
      <c r="E683" s="4" t="s">
        <v>1334</v>
      </c>
      <c r="F683" s="5">
        <v>39814</v>
      </c>
      <c r="G683" s="5">
        <v>40178</v>
      </c>
      <c r="H683" s="4" t="s">
        <v>40</v>
      </c>
      <c r="I683" s="6">
        <v>1206.8</v>
      </c>
      <c r="J683" s="6">
        <v>1206.8</v>
      </c>
      <c r="K683" s="37" t="s">
        <v>790</v>
      </c>
      <c r="L683" s="119"/>
      <c r="M683" s="3"/>
    </row>
    <row r="684" spans="1:13" s="4" customFormat="1" ht="76.5" x14ac:dyDescent="0.25">
      <c r="A684" s="4" t="s">
        <v>1335</v>
      </c>
      <c r="B684" s="4" t="s">
        <v>38</v>
      </c>
      <c r="C684" s="37" t="s">
        <v>790</v>
      </c>
      <c r="D684" s="35">
        <v>4829</v>
      </c>
      <c r="E684" s="4" t="s">
        <v>1336</v>
      </c>
      <c r="F684" s="5">
        <v>39814</v>
      </c>
      <c r="G684" s="5">
        <v>40178</v>
      </c>
      <c r="H684" s="4" t="s">
        <v>40</v>
      </c>
      <c r="I684" s="6">
        <v>3282.35</v>
      </c>
      <c r="J684" s="6">
        <v>3282.35</v>
      </c>
      <c r="K684" s="37" t="s">
        <v>790</v>
      </c>
      <c r="L684" s="119"/>
      <c r="M684" s="3"/>
    </row>
    <row r="685" spans="1:13" s="4" customFormat="1" ht="38.25" x14ac:dyDescent="0.25">
      <c r="A685" s="4" t="s">
        <v>1337</v>
      </c>
      <c r="B685" s="4" t="s">
        <v>38</v>
      </c>
      <c r="C685" s="37" t="s">
        <v>790</v>
      </c>
      <c r="D685" s="35">
        <v>4830</v>
      </c>
      <c r="E685" s="4" t="s">
        <v>1338</v>
      </c>
      <c r="F685" s="5">
        <v>39814</v>
      </c>
      <c r="G685" s="5">
        <v>40178</v>
      </c>
      <c r="H685" s="4" t="s">
        <v>40</v>
      </c>
      <c r="I685" s="6">
        <v>3416.89</v>
      </c>
      <c r="J685" s="6">
        <v>3416.89</v>
      </c>
      <c r="K685" s="37" t="s">
        <v>790</v>
      </c>
      <c r="L685" s="119"/>
      <c r="M685" s="3"/>
    </row>
    <row r="686" spans="1:13" s="4" customFormat="1" ht="38.25" x14ac:dyDescent="0.25">
      <c r="A686" s="4" t="s">
        <v>1339</v>
      </c>
      <c r="B686" s="4" t="s">
        <v>38</v>
      </c>
      <c r="C686" s="37" t="s">
        <v>790</v>
      </c>
      <c r="D686" s="35">
        <v>4832</v>
      </c>
      <c r="E686" s="4" t="s">
        <v>1340</v>
      </c>
      <c r="F686" s="5">
        <v>39814</v>
      </c>
      <c r="G686" s="5">
        <v>40543</v>
      </c>
      <c r="H686" s="4" t="s">
        <v>40</v>
      </c>
      <c r="I686" s="6">
        <v>18507.22</v>
      </c>
      <c r="J686" s="6">
        <v>18507.22</v>
      </c>
      <c r="K686" s="37" t="s">
        <v>790</v>
      </c>
      <c r="L686" s="119"/>
      <c r="M686" s="3"/>
    </row>
    <row r="687" spans="1:13" s="4" customFormat="1" ht="38.25" x14ac:dyDescent="0.25">
      <c r="A687" s="4" t="s">
        <v>1341</v>
      </c>
      <c r="B687" s="4" t="s">
        <v>38</v>
      </c>
      <c r="C687" s="37" t="s">
        <v>790</v>
      </c>
      <c r="D687" s="35">
        <v>4834</v>
      </c>
      <c r="E687" s="4" t="s">
        <v>1342</v>
      </c>
      <c r="F687" s="5">
        <v>39814</v>
      </c>
      <c r="G687" s="5">
        <v>40908</v>
      </c>
      <c r="H687" s="4" t="s">
        <v>40</v>
      </c>
      <c r="I687" s="6">
        <v>15194.66</v>
      </c>
      <c r="J687" s="6">
        <v>15194.66</v>
      </c>
      <c r="K687" s="37" t="s">
        <v>790</v>
      </c>
      <c r="L687" s="119"/>
      <c r="M687" s="3"/>
    </row>
    <row r="688" spans="1:13" s="4" customFormat="1" ht="38.25" x14ac:dyDescent="0.25">
      <c r="A688" s="4" t="s">
        <v>1343</v>
      </c>
      <c r="B688" s="4" t="s">
        <v>38</v>
      </c>
      <c r="C688" s="37" t="s">
        <v>790</v>
      </c>
      <c r="D688" s="35">
        <v>4844</v>
      </c>
      <c r="E688" s="4" t="s">
        <v>1344</v>
      </c>
      <c r="F688" s="5">
        <v>39814</v>
      </c>
      <c r="G688" s="5">
        <v>40178</v>
      </c>
      <c r="H688" s="4" t="s">
        <v>40</v>
      </c>
      <c r="I688" s="6">
        <v>1521.3</v>
      </c>
      <c r="J688" s="6">
        <v>1521.3</v>
      </c>
      <c r="K688" s="37" t="s">
        <v>790</v>
      </c>
      <c r="L688" s="119"/>
      <c r="M688" s="3"/>
    </row>
    <row r="689" spans="1:13" s="4" customFormat="1" ht="25.5" x14ac:dyDescent="0.25">
      <c r="A689" s="4" t="s">
        <v>1345</v>
      </c>
      <c r="B689" s="4" t="s">
        <v>38</v>
      </c>
      <c r="C689" s="37" t="s">
        <v>790</v>
      </c>
      <c r="D689" s="35">
        <v>4845</v>
      </c>
      <c r="E689" s="4" t="s">
        <v>1346</v>
      </c>
      <c r="F689" s="5">
        <v>39814</v>
      </c>
      <c r="G689" s="5">
        <v>40178</v>
      </c>
      <c r="H689" s="4" t="s">
        <v>40</v>
      </c>
      <c r="I689" s="6">
        <v>3014.54</v>
      </c>
      <c r="J689" s="6">
        <v>3014.54</v>
      </c>
      <c r="K689" s="37" t="s">
        <v>790</v>
      </c>
      <c r="L689" s="119"/>
      <c r="M689" s="3"/>
    </row>
    <row r="690" spans="1:13" s="4" customFormat="1" ht="25.5" x14ac:dyDescent="0.25">
      <c r="A690" s="4" t="s">
        <v>1347</v>
      </c>
      <c r="B690" s="4" t="s">
        <v>38</v>
      </c>
      <c r="C690" s="37" t="s">
        <v>790</v>
      </c>
      <c r="D690" s="35">
        <v>4855</v>
      </c>
      <c r="E690" s="4" t="s">
        <v>1348</v>
      </c>
      <c r="F690" s="5">
        <v>39814</v>
      </c>
      <c r="G690" s="5">
        <v>40178</v>
      </c>
      <c r="H690" s="4" t="s">
        <v>40</v>
      </c>
      <c r="I690" s="6">
        <v>960.09</v>
      </c>
      <c r="J690" s="6">
        <v>960.09</v>
      </c>
      <c r="K690" s="37" t="s">
        <v>790</v>
      </c>
      <c r="L690" s="119"/>
      <c r="M690" s="3"/>
    </row>
    <row r="691" spans="1:13" s="4" customFormat="1" ht="38.25" x14ac:dyDescent="0.25">
      <c r="A691" s="4" t="s">
        <v>1349</v>
      </c>
      <c r="B691" s="4" t="s">
        <v>38</v>
      </c>
      <c r="C691" s="37" t="s">
        <v>790</v>
      </c>
      <c r="D691" s="35">
        <v>4856</v>
      </c>
      <c r="E691" s="4" t="s">
        <v>1350</v>
      </c>
      <c r="F691" s="5">
        <v>39814</v>
      </c>
      <c r="G691" s="5">
        <v>40178</v>
      </c>
      <c r="H691" s="4" t="s">
        <v>40</v>
      </c>
      <c r="I691" s="6">
        <v>4366</v>
      </c>
      <c r="J691" s="6">
        <v>4366</v>
      </c>
      <c r="K691" s="37" t="s">
        <v>790</v>
      </c>
      <c r="L691" s="119"/>
      <c r="M691" s="3"/>
    </row>
    <row r="692" spans="1:13" s="4" customFormat="1" ht="63.75" x14ac:dyDescent="0.25">
      <c r="A692" s="4" t="s">
        <v>1351</v>
      </c>
      <c r="B692" s="4" t="s">
        <v>38</v>
      </c>
      <c r="C692" s="37" t="s">
        <v>790</v>
      </c>
      <c r="D692" s="35">
        <v>4857</v>
      </c>
      <c r="E692" s="4" t="s">
        <v>1352</v>
      </c>
      <c r="F692" s="5">
        <v>39814</v>
      </c>
      <c r="G692" s="5">
        <v>40178</v>
      </c>
      <c r="H692" s="4" t="s">
        <v>40</v>
      </c>
      <c r="I692" s="6">
        <v>2500</v>
      </c>
      <c r="J692" s="6">
        <v>2500</v>
      </c>
      <c r="K692" s="37" t="s">
        <v>790</v>
      </c>
      <c r="L692" s="119"/>
      <c r="M692" s="3"/>
    </row>
    <row r="693" spans="1:13" s="4" customFormat="1" ht="25.5" x14ac:dyDescent="0.25">
      <c r="A693" s="4" t="s">
        <v>1353</v>
      </c>
      <c r="B693" s="4" t="s">
        <v>38</v>
      </c>
      <c r="C693" s="37" t="s">
        <v>790</v>
      </c>
      <c r="D693" s="35">
        <v>4858</v>
      </c>
      <c r="E693" s="4" t="s">
        <v>1354</v>
      </c>
      <c r="F693" s="5">
        <v>39814</v>
      </c>
      <c r="G693" s="5">
        <v>40178</v>
      </c>
      <c r="H693" s="4" t="s">
        <v>40</v>
      </c>
      <c r="I693" s="6">
        <v>403.38</v>
      </c>
      <c r="J693" s="6">
        <v>403.38</v>
      </c>
      <c r="K693" s="37" t="s">
        <v>790</v>
      </c>
      <c r="L693" s="119"/>
      <c r="M693" s="3"/>
    </row>
    <row r="694" spans="1:13" s="4" customFormat="1" ht="38.25" x14ac:dyDescent="0.25">
      <c r="A694" s="4" t="s">
        <v>1355</v>
      </c>
      <c r="B694" s="4" t="s">
        <v>38</v>
      </c>
      <c r="C694" s="37" t="s">
        <v>790</v>
      </c>
      <c r="D694" s="35">
        <v>4859</v>
      </c>
      <c r="E694" s="4" t="s">
        <v>1356</v>
      </c>
      <c r="F694" s="5">
        <v>39814</v>
      </c>
      <c r="G694" s="5">
        <v>40543</v>
      </c>
      <c r="H694" s="4" t="s">
        <v>40</v>
      </c>
      <c r="I694" s="6">
        <v>1495.1</v>
      </c>
      <c r="J694" s="6">
        <v>1495.1</v>
      </c>
      <c r="K694" s="37" t="s">
        <v>790</v>
      </c>
      <c r="L694" s="119"/>
      <c r="M694" s="3"/>
    </row>
    <row r="695" spans="1:13" s="4" customFormat="1" ht="38.25" x14ac:dyDescent="0.25">
      <c r="A695" s="4" t="s">
        <v>1357</v>
      </c>
      <c r="B695" s="4" t="s">
        <v>38</v>
      </c>
      <c r="C695" s="37" t="s">
        <v>790</v>
      </c>
      <c r="D695" s="35">
        <v>4860</v>
      </c>
      <c r="E695" s="4" t="s">
        <v>1358</v>
      </c>
      <c r="F695" s="5">
        <v>39814</v>
      </c>
      <c r="G695" s="5">
        <v>40178</v>
      </c>
      <c r="H695" s="4" t="s">
        <v>40</v>
      </c>
      <c r="I695" s="6">
        <v>20881.88</v>
      </c>
      <c r="J695" s="6">
        <v>20881.88</v>
      </c>
      <c r="K695" s="37" t="s">
        <v>790</v>
      </c>
      <c r="L695" s="119"/>
      <c r="M695" s="3"/>
    </row>
    <row r="696" spans="1:13" s="4" customFormat="1" ht="76.5" x14ac:dyDescent="0.25">
      <c r="A696" s="4" t="s">
        <v>1359</v>
      </c>
      <c r="B696" s="4" t="s">
        <v>38</v>
      </c>
      <c r="C696" s="37" t="s">
        <v>790</v>
      </c>
      <c r="D696" s="35">
        <v>4861</v>
      </c>
      <c r="E696" s="4" t="s">
        <v>1360</v>
      </c>
      <c r="F696" s="5">
        <v>39814</v>
      </c>
      <c r="G696" s="5">
        <v>40178</v>
      </c>
      <c r="H696" s="4" t="s">
        <v>40</v>
      </c>
      <c r="I696" s="6">
        <v>2500</v>
      </c>
      <c r="J696" s="6">
        <v>2500</v>
      </c>
      <c r="K696" s="37" t="s">
        <v>790</v>
      </c>
      <c r="L696" s="119"/>
      <c r="M696" s="3"/>
    </row>
    <row r="697" spans="1:13" s="4" customFormat="1" ht="38.25" x14ac:dyDescent="0.25">
      <c r="A697" s="4" t="s">
        <v>1361</v>
      </c>
      <c r="B697" s="4" t="s">
        <v>38</v>
      </c>
      <c r="C697" s="37" t="s">
        <v>790</v>
      </c>
      <c r="D697" s="35">
        <v>4862</v>
      </c>
      <c r="E697" s="4" t="s">
        <v>1362</v>
      </c>
      <c r="F697" s="5">
        <v>39814</v>
      </c>
      <c r="G697" s="5">
        <v>40543</v>
      </c>
      <c r="H697" s="4" t="s">
        <v>40</v>
      </c>
      <c r="I697" s="6">
        <v>37972.550000000003</v>
      </c>
      <c r="J697" s="6">
        <v>37972.550000000003</v>
      </c>
      <c r="K697" s="37" t="s">
        <v>790</v>
      </c>
      <c r="L697" s="119"/>
      <c r="M697" s="3"/>
    </row>
    <row r="698" spans="1:13" s="4" customFormat="1" ht="51" x14ac:dyDescent="0.25">
      <c r="A698" s="4" t="s">
        <v>1363</v>
      </c>
      <c r="B698" s="4" t="s">
        <v>38</v>
      </c>
      <c r="C698" s="37" t="s">
        <v>790</v>
      </c>
      <c r="D698" s="35">
        <v>4900</v>
      </c>
      <c r="E698" s="4" t="s">
        <v>1364</v>
      </c>
      <c r="F698" s="5">
        <v>39814</v>
      </c>
      <c r="G698" s="5">
        <v>40178</v>
      </c>
      <c r="H698" s="4" t="s">
        <v>40</v>
      </c>
      <c r="I698" s="6">
        <v>1856.12</v>
      </c>
      <c r="J698" s="6">
        <v>1856.12</v>
      </c>
      <c r="K698" s="37" t="s">
        <v>790</v>
      </c>
      <c r="L698" s="119"/>
      <c r="M698" s="3"/>
    </row>
    <row r="699" spans="1:13" s="4" customFormat="1" ht="38.25" x14ac:dyDescent="0.25">
      <c r="A699" s="4" t="s">
        <v>1365</v>
      </c>
      <c r="B699" s="4" t="s">
        <v>38</v>
      </c>
      <c r="C699" s="37" t="s">
        <v>790</v>
      </c>
      <c r="D699" s="35">
        <v>4901</v>
      </c>
      <c r="E699" s="4" t="s">
        <v>1366</v>
      </c>
      <c r="F699" s="5">
        <v>39814</v>
      </c>
      <c r="G699" s="5">
        <v>40178</v>
      </c>
      <c r="H699" s="4" t="s">
        <v>40</v>
      </c>
      <c r="I699" s="6">
        <v>1447.97</v>
      </c>
      <c r="J699" s="6">
        <v>1447.97</v>
      </c>
      <c r="K699" s="37" t="s">
        <v>790</v>
      </c>
      <c r="L699" s="119"/>
      <c r="M699" s="3"/>
    </row>
    <row r="700" spans="1:13" s="4" customFormat="1" ht="140.25" x14ac:dyDescent="0.25">
      <c r="A700" s="4" t="s">
        <v>1297</v>
      </c>
      <c r="B700" s="4" t="s">
        <v>38</v>
      </c>
      <c r="C700" s="37" t="s">
        <v>790</v>
      </c>
      <c r="D700" s="35">
        <v>4955</v>
      </c>
      <c r="E700" s="7" t="s">
        <v>1298</v>
      </c>
      <c r="F700" s="5">
        <v>39814</v>
      </c>
      <c r="G700" s="5">
        <v>40178</v>
      </c>
      <c r="H700" s="4" t="s">
        <v>40</v>
      </c>
      <c r="I700" s="6">
        <v>4625</v>
      </c>
      <c r="J700" s="6">
        <v>4625</v>
      </c>
      <c r="K700" s="37" t="s">
        <v>790</v>
      </c>
      <c r="L700" s="119"/>
      <c r="M700" s="3"/>
    </row>
    <row r="701" spans="1:13" s="4" customFormat="1" ht="63.75" x14ac:dyDescent="0.25">
      <c r="A701" s="4" t="s">
        <v>1367</v>
      </c>
      <c r="B701" s="4" t="s">
        <v>38</v>
      </c>
      <c r="C701" s="37" t="s">
        <v>790</v>
      </c>
      <c r="D701" s="35">
        <v>4959</v>
      </c>
      <c r="E701" s="4" t="s">
        <v>1368</v>
      </c>
      <c r="F701" s="5">
        <v>39814</v>
      </c>
      <c r="G701" s="5">
        <v>40543</v>
      </c>
      <c r="H701" s="4" t="s">
        <v>40</v>
      </c>
      <c r="I701" s="6">
        <v>41275.75</v>
      </c>
      <c r="J701" s="6">
        <v>41275.75</v>
      </c>
      <c r="K701" s="37" t="s">
        <v>790</v>
      </c>
      <c r="L701" s="119"/>
      <c r="M701" s="3"/>
    </row>
    <row r="702" spans="1:13" s="4" customFormat="1" ht="38.25" x14ac:dyDescent="0.25">
      <c r="A702" s="4" t="s">
        <v>1291</v>
      </c>
      <c r="B702" s="4" t="s">
        <v>38</v>
      </c>
      <c r="C702" s="37" t="s">
        <v>790</v>
      </c>
      <c r="D702" s="35">
        <v>4962</v>
      </c>
      <c r="E702" s="4" t="s">
        <v>1369</v>
      </c>
      <c r="F702" s="5">
        <v>39995</v>
      </c>
      <c r="G702" s="5">
        <v>40359</v>
      </c>
      <c r="H702" s="4" t="s">
        <v>40</v>
      </c>
      <c r="I702" s="6">
        <v>25283.279999999999</v>
      </c>
      <c r="J702" s="6">
        <v>25283.279999999999</v>
      </c>
      <c r="K702" s="37" t="s">
        <v>790</v>
      </c>
      <c r="L702" s="119"/>
      <c r="M702" s="3"/>
    </row>
    <row r="703" spans="1:13" s="4" customFormat="1" ht="89.25" x14ac:dyDescent="0.25">
      <c r="A703" s="4" t="s">
        <v>1309</v>
      </c>
      <c r="B703" s="4" t="s">
        <v>38</v>
      </c>
      <c r="C703" s="37" t="s">
        <v>790</v>
      </c>
      <c r="D703" s="35">
        <v>4963</v>
      </c>
      <c r="E703" s="7" t="s">
        <v>1370</v>
      </c>
      <c r="F703" s="5">
        <v>39814</v>
      </c>
      <c r="G703" s="5">
        <v>40178</v>
      </c>
      <c r="H703" s="4" t="s">
        <v>40</v>
      </c>
      <c r="I703" s="6">
        <v>1250</v>
      </c>
      <c r="J703" s="6">
        <v>1250</v>
      </c>
      <c r="K703" s="37" t="s">
        <v>790</v>
      </c>
      <c r="L703" s="119"/>
      <c r="M703" s="3"/>
    </row>
    <row r="704" spans="1:13" s="4" customFormat="1" ht="51" x14ac:dyDescent="0.25">
      <c r="A704" s="4" t="s">
        <v>1371</v>
      </c>
      <c r="B704" s="4" t="s">
        <v>38</v>
      </c>
      <c r="C704" s="37" t="s">
        <v>790</v>
      </c>
      <c r="D704" s="35">
        <v>4966</v>
      </c>
      <c r="E704" s="4" t="s">
        <v>1372</v>
      </c>
      <c r="F704" s="5">
        <v>39814</v>
      </c>
      <c r="G704" s="5">
        <v>40178</v>
      </c>
      <c r="H704" s="4" t="s">
        <v>40</v>
      </c>
      <c r="I704" s="6">
        <v>25000</v>
      </c>
      <c r="J704" s="6">
        <v>25000</v>
      </c>
      <c r="K704" s="37" t="s">
        <v>790</v>
      </c>
      <c r="L704" s="119"/>
      <c r="M704" s="3"/>
    </row>
    <row r="705" spans="1:13" s="4" customFormat="1" ht="38.25" x14ac:dyDescent="0.25">
      <c r="A705" s="4" t="s">
        <v>1373</v>
      </c>
      <c r="B705" s="4" t="s">
        <v>38</v>
      </c>
      <c r="C705" s="37" t="s">
        <v>790</v>
      </c>
      <c r="D705" s="35">
        <v>4968</v>
      </c>
      <c r="E705" s="4" t="s">
        <v>1374</v>
      </c>
      <c r="F705" s="5">
        <v>39814</v>
      </c>
      <c r="G705" s="5">
        <v>40178</v>
      </c>
      <c r="H705" s="4" t="s">
        <v>40</v>
      </c>
      <c r="I705" s="6">
        <v>1725</v>
      </c>
      <c r="J705" s="6">
        <v>1725</v>
      </c>
      <c r="K705" s="37" t="s">
        <v>790</v>
      </c>
      <c r="L705" s="119"/>
      <c r="M705" s="3"/>
    </row>
    <row r="706" spans="1:13" s="4" customFormat="1" ht="38.25" x14ac:dyDescent="0.25">
      <c r="A706" s="4" t="s">
        <v>1327</v>
      </c>
      <c r="B706" s="4" t="s">
        <v>38</v>
      </c>
      <c r="C706" s="37" t="s">
        <v>790</v>
      </c>
      <c r="D706" s="35">
        <v>4972</v>
      </c>
      <c r="E706" s="4" t="s">
        <v>1375</v>
      </c>
      <c r="F706" s="5">
        <v>39814</v>
      </c>
      <c r="G706" s="5">
        <v>40178</v>
      </c>
      <c r="H706" s="4" t="s">
        <v>40</v>
      </c>
      <c r="I706" s="6">
        <v>2141.21</v>
      </c>
      <c r="J706" s="6">
        <v>2141.21</v>
      </c>
      <c r="K706" s="37" t="s">
        <v>790</v>
      </c>
      <c r="L706" s="119"/>
      <c r="M706" s="3"/>
    </row>
    <row r="707" spans="1:13" s="4" customFormat="1" ht="51" x14ac:dyDescent="0.25">
      <c r="A707" s="4" t="s">
        <v>1376</v>
      </c>
      <c r="B707" s="4" t="s">
        <v>38</v>
      </c>
      <c r="C707" s="37" t="s">
        <v>790</v>
      </c>
      <c r="D707" s="35">
        <v>4974</v>
      </c>
      <c r="E707" s="4" t="s">
        <v>1377</v>
      </c>
      <c r="F707" s="5">
        <v>39814</v>
      </c>
      <c r="G707" s="5">
        <v>40178</v>
      </c>
      <c r="H707" s="4" t="s">
        <v>40</v>
      </c>
      <c r="I707" s="6">
        <v>4634.05</v>
      </c>
      <c r="J707" s="6">
        <v>4634.05</v>
      </c>
      <c r="K707" s="37" t="s">
        <v>790</v>
      </c>
      <c r="L707" s="119"/>
      <c r="M707" s="3"/>
    </row>
    <row r="708" spans="1:13" s="4" customFormat="1" ht="114.75" x14ac:dyDescent="0.25">
      <c r="A708" s="4" t="s">
        <v>1378</v>
      </c>
      <c r="B708" s="4" t="s">
        <v>38</v>
      </c>
      <c r="C708" s="37" t="s">
        <v>790</v>
      </c>
      <c r="D708" s="35">
        <v>4977</v>
      </c>
      <c r="E708" s="7" t="s">
        <v>1379</v>
      </c>
      <c r="F708" s="5">
        <v>39814</v>
      </c>
      <c r="G708" s="5">
        <v>40178</v>
      </c>
      <c r="H708" s="4" t="s">
        <v>40</v>
      </c>
      <c r="I708" s="6">
        <v>17268.55</v>
      </c>
      <c r="J708" s="6">
        <v>17268.55</v>
      </c>
      <c r="K708" s="37" t="s">
        <v>790</v>
      </c>
      <c r="L708" s="119"/>
      <c r="M708" s="3"/>
    </row>
    <row r="709" spans="1:13" s="4" customFormat="1" ht="63.75" x14ac:dyDescent="0.25">
      <c r="A709" s="4" t="s">
        <v>1351</v>
      </c>
      <c r="B709" s="4" t="s">
        <v>38</v>
      </c>
      <c r="C709" s="37" t="s">
        <v>790</v>
      </c>
      <c r="D709" s="35">
        <v>4979</v>
      </c>
      <c r="E709" s="4" t="s">
        <v>1352</v>
      </c>
      <c r="F709" s="5">
        <v>39814</v>
      </c>
      <c r="G709" s="5">
        <v>40178</v>
      </c>
      <c r="H709" s="4" t="s">
        <v>40</v>
      </c>
      <c r="I709" s="6">
        <v>2500</v>
      </c>
      <c r="J709" s="6">
        <v>2500</v>
      </c>
      <c r="K709" s="37" t="s">
        <v>790</v>
      </c>
      <c r="L709" s="119"/>
      <c r="M709" s="3"/>
    </row>
    <row r="710" spans="1:13" s="4" customFormat="1" ht="38.25" x14ac:dyDescent="0.25">
      <c r="A710" s="4" t="s">
        <v>1357</v>
      </c>
      <c r="B710" s="4" t="s">
        <v>38</v>
      </c>
      <c r="C710" s="37" t="s">
        <v>790</v>
      </c>
      <c r="D710" s="35">
        <v>4981</v>
      </c>
      <c r="E710" s="4" t="s">
        <v>1358</v>
      </c>
      <c r="F710" s="5">
        <v>39814</v>
      </c>
      <c r="G710" s="5">
        <v>40178</v>
      </c>
      <c r="H710" s="4" t="s">
        <v>40</v>
      </c>
      <c r="I710" s="6">
        <v>9071.5300000000007</v>
      </c>
      <c r="J710" s="6">
        <v>9071.5300000000007</v>
      </c>
      <c r="K710" s="37" t="s">
        <v>790</v>
      </c>
      <c r="L710" s="119"/>
      <c r="M710" s="3"/>
    </row>
    <row r="711" spans="1:13" s="4" customFormat="1" ht="38.25" x14ac:dyDescent="0.25">
      <c r="A711" s="4" t="s">
        <v>1380</v>
      </c>
      <c r="B711" s="4" t="s">
        <v>38</v>
      </c>
      <c r="C711" s="37" t="s">
        <v>790</v>
      </c>
      <c r="D711" s="35">
        <v>4984</v>
      </c>
      <c r="E711" s="4" t="s">
        <v>1362</v>
      </c>
      <c r="F711" s="5">
        <v>39814</v>
      </c>
      <c r="G711" s="5">
        <v>40178</v>
      </c>
      <c r="H711" s="4" t="s">
        <v>40</v>
      </c>
      <c r="I711" s="6">
        <v>34334.410000000003</v>
      </c>
      <c r="J711" s="6">
        <v>32334.41</v>
      </c>
      <c r="K711" s="37" t="s">
        <v>790</v>
      </c>
      <c r="L711" s="119"/>
      <c r="M711" s="3"/>
    </row>
    <row r="712" spans="1:13" s="4" customFormat="1" ht="25.5" x14ac:dyDescent="0.25">
      <c r="A712" s="4" t="s">
        <v>1381</v>
      </c>
      <c r="B712" s="4" t="s">
        <v>38</v>
      </c>
      <c r="C712" s="37" t="s">
        <v>790</v>
      </c>
      <c r="D712" s="35">
        <v>5226</v>
      </c>
      <c r="E712" s="4" t="s">
        <v>1382</v>
      </c>
      <c r="F712" s="5">
        <v>39814</v>
      </c>
      <c r="G712" s="5">
        <v>41274</v>
      </c>
      <c r="H712" s="4" t="s">
        <v>40</v>
      </c>
      <c r="I712" s="6">
        <f>86849.19+57666.07+59934.67</f>
        <v>204449.93</v>
      </c>
      <c r="J712" s="6">
        <v>204449.93</v>
      </c>
      <c r="K712" s="37" t="s">
        <v>790</v>
      </c>
      <c r="L712" s="119"/>
      <c r="M712" s="3"/>
    </row>
    <row r="713" spans="1:13" s="4" customFormat="1" ht="51" x14ac:dyDescent="0.25">
      <c r="A713" s="4" t="s">
        <v>1315</v>
      </c>
      <c r="B713" s="4" t="s">
        <v>38</v>
      </c>
      <c r="C713" s="37" t="s">
        <v>790</v>
      </c>
      <c r="D713" s="35">
        <v>5237</v>
      </c>
      <c r="E713" s="4" t="s">
        <v>1383</v>
      </c>
      <c r="F713" s="5">
        <v>39814</v>
      </c>
      <c r="G713" s="5">
        <v>40178</v>
      </c>
      <c r="H713" s="4" t="s">
        <v>40</v>
      </c>
      <c r="I713" s="6">
        <v>928.36</v>
      </c>
      <c r="J713" s="6">
        <v>928.36</v>
      </c>
      <c r="K713" s="37" t="s">
        <v>790</v>
      </c>
      <c r="L713" s="119"/>
      <c r="M713" s="3"/>
    </row>
    <row r="714" spans="1:13" s="4" customFormat="1" ht="51" x14ac:dyDescent="0.25">
      <c r="A714" s="4" t="s">
        <v>1384</v>
      </c>
      <c r="B714" s="4" t="s">
        <v>38</v>
      </c>
      <c r="C714" s="37" t="s">
        <v>790</v>
      </c>
      <c r="D714" s="35">
        <v>5238</v>
      </c>
      <c r="E714" s="4" t="s">
        <v>1385</v>
      </c>
      <c r="F714" s="5">
        <v>39814</v>
      </c>
      <c r="G714" s="5">
        <v>40543</v>
      </c>
      <c r="H714" s="4" t="s">
        <v>40</v>
      </c>
      <c r="I714" s="6">
        <v>13860</v>
      </c>
      <c r="J714" s="6">
        <v>13860</v>
      </c>
      <c r="K714" s="37" t="s">
        <v>790</v>
      </c>
      <c r="L714" s="119"/>
      <c r="M714" s="3"/>
    </row>
    <row r="715" spans="1:13" s="4" customFormat="1" ht="51" x14ac:dyDescent="0.25">
      <c r="A715" s="4" t="s">
        <v>1386</v>
      </c>
      <c r="B715" s="4" t="s">
        <v>38</v>
      </c>
      <c r="C715" s="37" t="s">
        <v>790</v>
      </c>
      <c r="D715" s="35">
        <v>5239</v>
      </c>
      <c r="E715" s="4" t="s">
        <v>1387</v>
      </c>
      <c r="F715" s="5">
        <v>39814</v>
      </c>
      <c r="G715" s="5">
        <v>40543</v>
      </c>
      <c r="H715" s="4" t="s">
        <v>40</v>
      </c>
      <c r="I715" s="6">
        <v>13860</v>
      </c>
      <c r="J715" s="6">
        <v>13860</v>
      </c>
      <c r="K715" s="37" t="s">
        <v>790</v>
      </c>
      <c r="L715" s="119"/>
      <c r="M715" s="3"/>
    </row>
    <row r="716" spans="1:13" s="4" customFormat="1" ht="51" x14ac:dyDescent="0.25">
      <c r="A716" s="4" t="s">
        <v>1388</v>
      </c>
      <c r="B716" s="4" t="s">
        <v>38</v>
      </c>
      <c r="C716" s="37" t="s">
        <v>790</v>
      </c>
      <c r="D716" s="35">
        <v>5240</v>
      </c>
      <c r="E716" s="4" t="s">
        <v>1389</v>
      </c>
      <c r="F716" s="5">
        <v>39814</v>
      </c>
      <c r="G716" s="5">
        <v>40178</v>
      </c>
      <c r="H716" s="4" t="s">
        <v>40</v>
      </c>
      <c r="I716" s="6">
        <v>10000</v>
      </c>
      <c r="J716" s="6">
        <v>10000</v>
      </c>
      <c r="K716" s="37" t="s">
        <v>790</v>
      </c>
      <c r="L716" s="119"/>
      <c r="M716" s="3"/>
    </row>
    <row r="717" spans="1:13" s="4" customFormat="1" ht="38.25" x14ac:dyDescent="0.25">
      <c r="A717" s="4" t="s">
        <v>1390</v>
      </c>
      <c r="B717" s="4" t="s">
        <v>38</v>
      </c>
      <c r="C717" s="37" t="s">
        <v>790</v>
      </c>
      <c r="D717" s="35">
        <v>5242</v>
      </c>
      <c r="E717" s="4" t="s">
        <v>1391</v>
      </c>
      <c r="F717" s="5">
        <v>39814</v>
      </c>
      <c r="G717" s="5">
        <v>40178</v>
      </c>
      <c r="H717" s="4" t="s">
        <v>40</v>
      </c>
      <c r="I717" s="6">
        <v>2775.23</v>
      </c>
      <c r="J717" s="6">
        <v>2775.23</v>
      </c>
      <c r="K717" s="37" t="s">
        <v>790</v>
      </c>
      <c r="L717" s="119"/>
      <c r="M717" s="3"/>
    </row>
    <row r="718" spans="1:13" s="4" customFormat="1" ht="38.25" x14ac:dyDescent="0.25">
      <c r="A718" s="4" t="s">
        <v>1289</v>
      </c>
      <c r="B718" s="4" t="s">
        <v>38</v>
      </c>
      <c r="C718" s="37" t="s">
        <v>790</v>
      </c>
      <c r="D718" s="35">
        <v>5255</v>
      </c>
      <c r="E718" s="4" t="s">
        <v>1290</v>
      </c>
      <c r="F718" s="5">
        <v>39448</v>
      </c>
      <c r="G718" s="5">
        <v>40178</v>
      </c>
      <c r="H718" s="4" t="s">
        <v>40</v>
      </c>
      <c r="I718" s="6">
        <v>3295</v>
      </c>
      <c r="J718" s="6">
        <v>3295</v>
      </c>
      <c r="K718" s="37" t="s">
        <v>790</v>
      </c>
      <c r="L718" s="119"/>
      <c r="M718" s="3"/>
    </row>
    <row r="719" spans="1:13" s="4" customFormat="1" ht="76.5" x14ac:dyDescent="0.25">
      <c r="A719" s="4" t="s">
        <v>1359</v>
      </c>
      <c r="B719" s="4" t="s">
        <v>38</v>
      </c>
      <c r="C719" s="37" t="s">
        <v>790</v>
      </c>
      <c r="D719" s="35">
        <v>5257</v>
      </c>
      <c r="E719" s="4" t="s">
        <v>1360</v>
      </c>
      <c r="F719" s="5">
        <v>39814</v>
      </c>
      <c r="G719" s="5">
        <v>40178</v>
      </c>
      <c r="H719" s="4" t="s">
        <v>40</v>
      </c>
      <c r="I719" s="6">
        <v>2500</v>
      </c>
      <c r="J719" s="6">
        <v>2500</v>
      </c>
      <c r="K719" s="37" t="s">
        <v>790</v>
      </c>
      <c r="L719" s="119"/>
      <c r="M719" s="3"/>
    </row>
    <row r="720" spans="1:13" s="4" customFormat="1" ht="38.25" x14ac:dyDescent="0.25">
      <c r="A720" s="4" t="s">
        <v>1392</v>
      </c>
      <c r="B720" s="4" t="s">
        <v>11764</v>
      </c>
      <c r="C720" s="37" t="s">
        <v>790</v>
      </c>
      <c r="D720" s="35">
        <v>5594</v>
      </c>
      <c r="E720" s="4" t="s">
        <v>1393</v>
      </c>
      <c r="F720" s="5">
        <v>39814</v>
      </c>
      <c r="G720" s="5">
        <v>41639</v>
      </c>
      <c r="H720" s="4" t="s">
        <v>40</v>
      </c>
      <c r="I720" s="6">
        <v>51000</v>
      </c>
      <c r="J720" s="6">
        <v>25500</v>
      </c>
      <c r="K720" s="37" t="s">
        <v>790</v>
      </c>
      <c r="L720" s="119"/>
      <c r="M720" s="3"/>
    </row>
    <row r="721" spans="1:13" s="4" customFormat="1" ht="25.5" x14ac:dyDescent="0.25">
      <c r="A721" s="4" t="s">
        <v>1394</v>
      </c>
      <c r="B721" s="4" t="s">
        <v>50</v>
      </c>
      <c r="C721" s="37" t="s">
        <v>790</v>
      </c>
      <c r="D721" s="35">
        <v>5596</v>
      </c>
      <c r="E721" s="4" t="s">
        <v>1395</v>
      </c>
      <c r="F721" s="5">
        <v>39814</v>
      </c>
      <c r="G721" s="5">
        <v>41639</v>
      </c>
      <c r="H721" s="4" t="s">
        <v>40</v>
      </c>
      <c r="I721" s="6">
        <v>19001.04</v>
      </c>
      <c r="J721" s="6">
        <v>9500.52</v>
      </c>
      <c r="K721" s="37" t="s">
        <v>790</v>
      </c>
      <c r="L721" s="119"/>
      <c r="M721" s="3"/>
    </row>
    <row r="722" spans="1:13" s="4" customFormat="1" x14ac:dyDescent="0.25">
      <c r="A722" s="4" t="s">
        <v>1396</v>
      </c>
      <c r="B722" s="4" t="s">
        <v>11764</v>
      </c>
      <c r="C722" s="37" t="s">
        <v>790</v>
      </c>
      <c r="D722" s="35">
        <v>5599</v>
      </c>
      <c r="E722" s="4" t="s">
        <v>1001</v>
      </c>
      <c r="F722" s="5">
        <v>39448</v>
      </c>
      <c r="G722" s="5">
        <v>41639</v>
      </c>
      <c r="H722" s="4" t="s">
        <v>40</v>
      </c>
      <c r="I722" s="6">
        <v>50000</v>
      </c>
      <c r="J722" s="6">
        <v>25000</v>
      </c>
      <c r="K722" s="37" t="s">
        <v>790</v>
      </c>
      <c r="L722" s="119"/>
      <c r="M722" s="3"/>
    </row>
    <row r="723" spans="1:13" s="4" customFormat="1" ht="38.25" x14ac:dyDescent="0.25">
      <c r="A723" s="4" t="s">
        <v>1397</v>
      </c>
      <c r="B723" s="4" t="s">
        <v>190</v>
      </c>
      <c r="C723" s="37" t="s">
        <v>790</v>
      </c>
      <c r="D723" s="35">
        <v>5656</v>
      </c>
      <c r="E723" s="4" t="s">
        <v>1398</v>
      </c>
      <c r="F723" s="5">
        <v>39814</v>
      </c>
      <c r="G723" s="5">
        <v>41274</v>
      </c>
      <c r="H723" s="4" t="s">
        <v>40</v>
      </c>
      <c r="I723" s="6">
        <v>26699.64</v>
      </c>
      <c r="J723" s="6">
        <v>15548.91</v>
      </c>
      <c r="K723" s="37" t="s">
        <v>790</v>
      </c>
      <c r="L723" s="119"/>
      <c r="M723" s="3"/>
    </row>
    <row r="724" spans="1:13" s="4" customFormat="1" ht="38.25" x14ac:dyDescent="0.25">
      <c r="A724" s="4" t="s">
        <v>1399</v>
      </c>
      <c r="B724" s="4" t="s">
        <v>183</v>
      </c>
      <c r="C724" s="37" t="s">
        <v>790</v>
      </c>
      <c r="D724" s="35">
        <v>5658</v>
      </c>
      <c r="E724" s="4" t="s">
        <v>1400</v>
      </c>
      <c r="F724" s="5">
        <v>39814</v>
      </c>
      <c r="G724" s="5">
        <v>41639</v>
      </c>
      <c r="H724" s="4" t="s">
        <v>40</v>
      </c>
      <c r="I724" s="6">
        <v>10000</v>
      </c>
      <c r="J724" s="6">
        <v>10000</v>
      </c>
      <c r="K724" s="37" t="s">
        <v>790</v>
      </c>
      <c r="L724" s="119"/>
      <c r="M724" s="3"/>
    </row>
    <row r="725" spans="1:13" s="4" customFormat="1" ht="51" x14ac:dyDescent="0.25">
      <c r="A725" s="4" t="s">
        <v>1401</v>
      </c>
      <c r="B725" s="4" t="s">
        <v>190</v>
      </c>
      <c r="C725" s="37" t="s">
        <v>790</v>
      </c>
      <c r="D725" s="35">
        <v>5659</v>
      </c>
      <c r="E725" s="4" t="s">
        <v>1402</v>
      </c>
      <c r="F725" s="5">
        <v>40708</v>
      </c>
      <c r="G725" s="5">
        <v>41274</v>
      </c>
      <c r="H725" s="4" t="s">
        <v>40</v>
      </c>
      <c r="I725" s="6">
        <v>37240.9</v>
      </c>
      <c r="J725" s="6">
        <v>25689.759999999998</v>
      </c>
      <c r="K725" s="37" t="s">
        <v>790</v>
      </c>
      <c r="L725" s="119"/>
      <c r="M725" s="3"/>
    </row>
    <row r="726" spans="1:13" s="4" customFormat="1" ht="63.75" x14ac:dyDescent="0.25">
      <c r="A726" s="4" t="s">
        <v>1403</v>
      </c>
      <c r="B726" s="4" t="s">
        <v>190</v>
      </c>
      <c r="C726" s="37" t="s">
        <v>790</v>
      </c>
      <c r="D726" s="35">
        <v>5660</v>
      </c>
      <c r="E726" s="4" t="s">
        <v>1404</v>
      </c>
      <c r="F726" s="5">
        <v>39814</v>
      </c>
      <c r="G726" s="5">
        <v>41639</v>
      </c>
      <c r="H726" s="4" t="s">
        <v>40</v>
      </c>
      <c r="I726" s="6">
        <v>150000</v>
      </c>
      <c r="J726" s="6">
        <v>75000</v>
      </c>
      <c r="K726" s="37" t="s">
        <v>790</v>
      </c>
      <c r="L726" s="119"/>
      <c r="M726" s="3"/>
    </row>
    <row r="727" spans="1:13" s="4" customFormat="1" ht="63.75" x14ac:dyDescent="0.25">
      <c r="A727" s="4" t="s">
        <v>1405</v>
      </c>
      <c r="B727" s="4" t="s">
        <v>183</v>
      </c>
      <c r="C727" s="37" t="s">
        <v>790</v>
      </c>
      <c r="D727" s="35">
        <v>5661</v>
      </c>
      <c r="E727" s="4" t="s">
        <v>1406</v>
      </c>
      <c r="F727" s="5">
        <v>39814</v>
      </c>
      <c r="G727" s="5">
        <v>41639</v>
      </c>
      <c r="H727" s="4" t="s">
        <v>40</v>
      </c>
      <c r="I727" s="6">
        <v>18029.669999999998</v>
      </c>
      <c r="J727" s="6">
        <v>16932.669999999998</v>
      </c>
      <c r="K727" s="37" t="s">
        <v>790</v>
      </c>
      <c r="L727" s="119"/>
      <c r="M727" s="3"/>
    </row>
    <row r="728" spans="1:13" s="4" customFormat="1" ht="76.5" x14ac:dyDescent="0.25">
      <c r="A728" s="4" t="s">
        <v>1407</v>
      </c>
      <c r="B728" s="4" t="s">
        <v>183</v>
      </c>
      <c r="C728" s="37" t="s">
        <v>790</v>
      </c>
      <c r="D728" s="35">
        <v>5662</v>
      </c>
      <c r="E728" s="7" t="s">
        <v>1408</v>
      </c>
      <c r="F728" s="5">
        <v>39814</v>
      </c>
      <c r="G728" s="5">
        <v>41639</v>
      </c>
      <c r="H728" s="4" t="s">
        <v>40</v>
      </c>
      <c r="I728" s="6">
        <v>5000</v>
      </c>
      <c r="J728" s="6">
        <v>5000</v>
      </c>
      <c r="K728" s="37" t="s">
        <v>790</v>
      </c>
      <c r="L728" s="119"/>
      <c r="M728" s="3"/>
    </row>
    <row r="729" spans="1:13" s="4" customFormat="1" ht="63.75" x14ac:dyDescent="0.25">
      <c r="A729" s="4" t="s">
        <v>1409</v>
      </c>
      <c r="B729" s="4" t="s">
        <v>38</v>
      </c>
      <c r="C729" s="37" t="s">
        <v>790</v>
      </c>
      <c r="D729" s="35">
        <v>6151</v>
      </c>
      <c r="E729" s="4" t="s">
        <v>1410</v>
      </c>
      <c r="F729" s="5">
        <v>39814</v>
      </c>
      <c r="G729" s="5">
        <v>41274</v>
      </c>
      <c r="H729" s="4" t="s">
        <v>40</v>
      </c>
      <c r="I729" s="6">
        <v>7947.27</v>
      </c>
      <c r="J729" s="6">
        <v>7947.27</v>
      </c>
      <c r="K729" s="37" t="s">
        <v>790</v>
      </c>
      <c r="L729" s="119"/>
      <c r="M729" s="3"/>
    </row>
    <row r="730" spans="1:13" s="4" customFormat="1" ht="25.5" x14ac:dyDescent="0.25">
      <c r="A730" s="4" t="s">
        <v>1411</v>
      </c>
      <c r="B730" s="4" t="s">
        <v>38</v>
      </c>
      <c r="C730" s="37" t="s">
        <v>790</v>
      </c>
      <c r="D730" s="35">
        <v>6152</v>
      </c>
      <c r="E730" s="4" t="s">
        <v>1412</v>
      </c>
      <c r="F730" s="5">
        <v>40544</v>
      </c>
      <c r="G730" s="5">
        <v>41639</v>
      </c>
      <c r="H730" s="4" t="s">
        <v>40</v>
      </c>
      <c r="I730" s="6">
        <v>30165.35</v>
      </c>
      <c r="J730" s="6">
        <v>30165.35</v>
      </c>
      <c r="K730" s="37" t="s">
        <v>790</v>
      </c>
      <c r="L730" s="119"/>
      <c r="M730" s="3"/>
    </row>
    <row r="731" spans="1:13" s="4" customFormat="1" ht="63.75" x14ac:dyDescent="0.25">
      <c r="A731" s="4" t="s">
        <v>1413</v>
      </c>
      <c r="B731" s="4" t="s">
        <v>38</v>
      </c>
      <c r="C731" s="37" t="s">
        <v>790</v>
      </c>
      <c r="D731" s="35">
        <v>6153</v>
      </c>
      <c r="E731" s="4" t="s">
        <v>1414</v>
      </c>
      <c r="F731" s="5">
        <v>39814</v>
      </c>
      <c r="G731" s="5">
        <v>41639</v>
      </c>
      <c r="H731" s="4" t="s">
        <v>40</v>
      </c>
      <c r="I731" s="6">
        <v>1286.5999999999999</v>
      </c>
      <c r="J731" s="6">
        <v>1286.5999999999999</v>
      </c>
      <c r="K731" s="37" t="s">
        <v>790</v>
      </c>
      <c r="L731" s="119"/>
      <c r="M731" s="3"/>
    </row>
    <row r="732" spans="1:13" s="4" customFormat="1" ht="25.5" x14ac:dyDescent="0.25">
      <c r="A732" s="4" t="s">
        <v>1415</v>
      </c>
      <c r="B732" s="4" t="s">
        <v>38</v>
      </c>
      <c r="C732" s="37" t="s">
        <v>790</v>
      </c>
      <c r="D732" s="35">
        <v>6154</v>
      </c>
      <c r="E732" s="4" t="s">
        <v>1416</v>
      </c>
      <c r="F732" s="5">
        <v>39814</v>
      </c>
      <c r="G732" s="5">
        <v>41639</v>
      </c>
      <c r="H732" s="4" t="s">
        <v>40</v>
      </c>
      <c r="I732" s="6">
        <v>1375</v>
      </c>
      <c r="J732" s="6">
        <v>1375</v>
      </c>
      <c r="K732" s="37" t="s">
        <v>790</v>
      </c>
      <c r="L732" s="119"/>
      <c r="M732" s="3"/>
    </row>
    <row r="733" spans="1:13" s="4" customFormat="1" ht="25.5" x14ac:dyDescent="0.25">
      <c r="A733" s="4" t="s">
        <v>1417</v>
      </c>
      <c r="B733" s="4" t="s">
        <v>38</v>
      </c>
      <c r="C733" s="37" t="s">
        <v>790</v>
      </c>
      <c r="D733" s="35">
        <v>6155</v>
      </c>
      <c r="E733" s="4" t="s">
        <v>1418</v>
      </c>
      <c r="F733" s="5">
        <v>39814</v>
      </c>
      <c r="G733" s="5">
        <v>41639</v>
      </c>
      <c r="H733" s="4" t="s">
        <v>40</v>
      </c>
      <c r="I733" s="6">
        <v>4097.76</v>
      </c>
      <c r="J733" s="6">
        <v>4097.76</v>
      </c>
      <c r="K733" s="37" t="s">
        <v>790</v>
      </c>
      <c r="L733" s="119"/>
      <c r="M733" s="3"/>
    </row>
    <row r="734" spans="1:13" s="4" customFormat="1" ht="25.5" x14ac:dyDescent="0.25">
      <c r="A734" s="4" t="s">
        <v>1419</v>
      </c>
      <c r="B734" s="4" t="s">
        <v>38</v>
      </c>
      <c r="C734" s="37" t="s">
        <v>790</v>
      </c>
      <c r="D734" s="35">
        <v>6156</v>
      </c>
      <c r="E734" s="4" t="s">
        <v>1420</v>
      </c>
      <c r="F734" s="5">
        <v>39814</v>
      </c>
      <c r="G734" s="5">
        <v>41639</v>
      </c>
      <c r="H734" s="4" t="s">
        <v>40</v>
      </c>
      <c r="I734" s="6">
        <v>238.8</v>
      </c>
      <c r="J734" s="6">
        <v>238.8</v>
      </c>
      <c r="K734" s="37" t="s">
        <v>790</v>
      </c>
      <c r="L734" s="119"/>
      <c r="M734" s="3"/>
    </row>
    <row r="735" spans="1:13" s="4" customFormat="1" ht="38.25" x14ac:dyDescent="0.25">
      <c r="A735" s="4" t="s">
        <v>1421</v>
      </c>
      <c r="B735" s="4" t="s">
        <v>38</v>
      </c>
      <c r="C735" s="37" t="s">
        <v>790</v>
      </c>
      <c r="D735" s="35">
        <v>6158</v>
      </c>
      <c r="E735" s="4" t="s">
        <v>1422</v>
      </c>
      <c r="F735" s="5">
        <v>39814</v>
      </c>
      <c r="G735" s="5">
        <v>41639</v>
      </c>
      <c r="H735" s="4" t="s">
        <v>40</v>
      </c>
      <c r="I735" s="6">
        <v>1984.5</v>
      </c>
      <c r="J735" s="6">
        <v>1984.5</v>
      </c>
      <c r="K735" s="37" t="s">
        <v>790</v>
      </c>
      <c r="L735" s="119"/>
      <c r="M735" s="3"/>
    </row>
    <row r="736" spans="1:13" s="4" customFormat="1" ht="63.75" x14ac:dyDescent="0.25">
      <c r="A736" s="4" t="s">
        <v>1423</v>
      </c>
      <c r="B736" s="4" t="s">
        <v>38</v>
      </c>
      <c r="C736" s="37" t="s">
        <v>790</v>
      </c>
      <c r="D736" s="35">
        <v>6159</v>
      </c>
      <c r="E736" s="4" t="s">
        <v>1424</v>
      </c>
      <c r="F736" s="5">
        <v>39814</v>
      </c>
      <c r="G736" s="5">
        <v>41639</v>
      </c>
      <c r="H736" s="4" t="s">
        <v>40</v>
      </c>
      <c r="I736" s="6">
        <v>2069.41</v>
      </c>
      <c r="J736" s="6">
        <v>2069.41</v>
      </c>
      <c r="K736" s="37" t="s">
        <v>790</v>
      </c>
      <c r="L736" s="119"/>
      <c r="M736" s="3"/>
    </row>
    <row r="737" spans="1:13" s="4" customFormat="1" ht="63.75" x14ac:dyDescent="0.25">
      <c r="A737" s="4" t="s">
        <v>1425</v>
      </c>
      <c r="B737" s="4" t="s">
        <v>38</v>
      </c>
      <c r="C737" s="37" t="s">
        <v>790</v>
      </c>
      <c r="D737" s="35">
        <v>6160</v>
      </c>
      <c r="E737" s="4" t="s">
        <v>1426</v>
      </c>
      <c r="F737" s="5">
        <v>39814</v>
      </c>
      <c r="G737" s="5">
        <v>41639</v>
      </c>
      <c r="H737" s="4" t="s">
        <v>40</v>
      </c>
      <c r="I737" s="6">
        <v>2456.3200000000002</v>
      </c>
      <c r="J737" s="6">
        <f>1706.32+750</f>
        <v>2456.3199999999997</v>
      </c>
      <c r="K737" s="37" t="s">
        <v>790</v>
      </c>
      <c r="L737" s="119"/>
      <c r="M737" s="3"/>
    </row>
    <row r="738" spans="1:13" s="4" customFormat="1" ht="51" x14ac:dyDescent="0.25">
      <c r="A738" s="4" t="s">
        <v>1427</v>
      </c>
      <c r="B738" s="4" t="s">
        <v>38</v>
      </c>
      <c r="C738" s="37" t="s">
        <v>790</v>
      </c>
      <c r="D738" s="35">
        <v>6161</v>
      </c>
      <c r="E738" s="4" t="s">
        <v>1428</v>
      </c>
      <c r="F738" s="5">
        <v>39814</v>
      </c>
      <c r="G738" s="5">
        <v>41639</v>
      </c>
      <c r="H738" s="4" t="s">
        <v>40</v>
      </c>
      <c r="I738" s="6">
        <v>624.4</v>
      </c>
      <c r="J738" s="6">
        <v>624.4</v>
      </c>
      <c r="K738" s="37" t="s">
        <v>790</v>
      </c>
      <c r="L738" s="119"/>
      <c r="M738" s="3"/>
    </row>
    <row r="739" spans="1:13" s="4" customFormat="1" ht="63.75" x14ac:dyDescent="0.25">
      <c r="A739" s="4" t="s">
        <v>1429</v>
      </c>
      <c r="B739" s="4" t="s">
        <v>38</v>
      </c>
      <c r="C739" s="37" t="s">
        <v>790</v>
      </c>
      <c r="D739" s="35">
        <v>6163</v>
      </c>
      <c r="E739" s="4" t="s">
        <v>1430</v>
      </c>
      <c r="F739" s="5">
        <v>39814</v>
      </c>
      <c r="G739" s="5">
        <v>41274</v>
      </c>
      <c r="H739" s="4" t="s">
        <v>40</v>
      </c>
      <c r="I739" s="6">
        <v>35762.42</v>
      </c>
      <c r="J739" s="6">
        <f>26588.92+9173.5</f>
        <v>35762.42</v>
      </c>
      <c r="K739" s="37" t="s">
        <v>790</v>
      </c>
      <c r="L739" s="119"/>
      <c r="M739" s="3"/>
    </row>
    <row r="740" spans="1:13" s="4" customFormat="1" ht="25.5" x14ac:dyDescent="0.25">
      <c r="A740" s="4" t="s">
        <v>1431</v>
      </c>
      <c r="B740" s="4" t="s">
        <v>38</v>
      </c>
      <c r="C740" s="37" t="s">
        <v>790</v>
      </c>
      <c r="D740" s="35">
        <v>6167</v>
      </c>
      <c r="E740" s="4" t="s">
        <v>1432</v>
      </c>
      <c r="F740" s="5">
        <v>39814</v>
      </c>
      <c r="G740" s="5">
        <v>41639</v>
      </c>
      <c r="H740" s="4" t="s">
        <v>40</v>
      </c>
      <c r="I740" s="6">
        <f>2975+1595</f>
        <v>4570</v>
      </c>
      <c r="J740" s="6">
        <f>2975+1595</f>
        <v>4570</v>
      </c>
      <c r="K740" s="37" t="s">
        <v>790</v>
      </c>
      <c r="L740" s="119"/>
      <c r="M740" s="3"/>
    </row>
    <row r="741" spans="1:13" s="4" customFormat="1" ht="63.75" x14ac:dyDescent="0.25">
      <c r="A741" s="4" t="s">
        <v>1433</v>
      </c>
      <c r="B741" s="4" t="s">
        <v>38</v>
      </c>
      <c r="C741" s="37" t="s">
        <v>790</v>
      </c>
      <c r="D741" s="35">
        <v>6168</v>
      </c>
      <c r="E741" s="4" t="s">
        <v>1434</v>
      </c>
      <c r="F741" s="5">
        <v>39814</v>
      </c>
      <c r="G741" s="5">
        <v>41639</v>
      </c>
      <c r="H741" s="4" t="s">
        <v>40</v>
      </c>
      <c r="I741" s="6">
        <f>147579.16+68084.12</f>
        <v>215663.28</v>
      </c>
      <c r="J741" s="6">
        <f>147579.16+68084.12</f>
        <v>215663.28</v>
      </c>
      <c r="K741" s="37" t="s">
        <v>790</v>
      </c>
      <c r="L741" s="119"/>
      <c r="M741" s="3"/>
    </row>
    <row r="742" spans="1:13" s="4" customFormat="1" ht="38.25" x14ac:dyDescent="0.25">
      <c r="A742" s="4" t="s">
        <v>1435</v>
      </c>
      <c r="B742" s="4" t="s">
        <v>38</v>
      </c>
      <c r="C742" s="37" t="s">
        <v>790</v>
      </c>
      <c r="D742" s="35">
        <v>6169</v>
      </c>
      <c r="E742" s="4" t="s">
        <v>1436</v>
      </c>
      <c r="F742" s="5">
        <v>39814</v>
      </c>
      <c r="G742" s="5">
        <v>41639</v>
      </c>
      <c r="H742" s="4" t="s">
        <v>40</v>
      </c>
      <c r="I742" s="6">
        <v>5987.26</v>
      </c>
      <c r="J742" s="6">
        <v>5987.26</v>
      </c>
      <c r="K742" s="37" t="s">
        <v>790</v>
      </c>
      <c r="L742" s="119"/>
      <c r="M742" s="3"/>
    </row>
    <row r="743" spans="1:13" s="4" customFormat="1" ht="63.75" x14ac:dyDescent="0.25">
      <c r="A743" s="4" t="s">
        <v>1437</v>
      </c>
      <c r="B743" s="4" t="s">
        <v>38</v>
      </c>
      <c r="C743" s="37" t="s">
        <v>790</v>
      </c>
      <c r="D743" s="35">
        <v>6170</v>
      </c>
      <c r="E743" s="4" t="s">
        <v>1438</v>
      </c>
      <c r="F743" s="5">
        <v>39814</v>
      </c>
      <c r="G743" s="5">
        <v>41274</v>
      </c>
      <c r="H743" s="4" t="s">
        <v>40</v>
      </c>
      <c r="I743" s="6">
        <v>93917.87</v>
      </c>
      <c r="J743" s="6">
        <f>93609.4+308.47</f>
        <v>93917.87</v>
      </c>
      <c r="K743" s="37" t="s">
        <v>790</v>
      </c>
      <c r="L743" s="119"/>
      <c r="M743" s="3"/>
    </row>
    <row r="744" spans="1:13" s="4" customFormat="1" ht="25.5" x14ac:dyDescent="0.25">
      <c r="A744" s="4" t="s">
        <v>1439</v>
      </c>
      <c r="B744" s="4" t="s">
        <v>38</v>
      </c>
      <c r="C744" s="37" t="s">
        <v>790</v>
      </c>
      <c r="D744" s="35">
        <v>6171</v>
      </c>
      <c r="E744" s="4" t="s">
        <v>1440</v>
      </c>
      <c r="F744" s="5">
        <v>39814</v>
      </c>
      <c r="G744" s="5">
        <v>41639</v>
      </c>
      <c r="H744" s="4" t="s">
        <v>40</v>
      </c>
      <c r="I744" s="6">
        <v>917.6</v>
      </c>
      <c r="J744" s="6">
        <v>917.6</v>
      </c>
      <c r="K744" s="37" t="s">
        <v>790</v>
      </c>
      <c r="L744" s="119"/>
      <c r="M744" s="3"/>
    </row>
    <row r="745" spans="1:13" s="4" customFormat="1" ht="51" x14ac:dyDescent="0.25">
      <c r="A745" s="4" t="s">
        <v>1441</v>
      </c>
      <c r="B745" s="4" t="s">
        <v>38</v>
      </c>
      <c r="C745" s="37" t="s">
        <v>790</v>
      </c>
      <c r="D745" s="35">
        <v>6172</v>
      </c>
      <c r="E745" s="4" t="s">
        <v>1442</v>
      </c>
      <c r="F745" s="5">
        <v>39814</v>
      </c>
      <c r="G745" s="5">
        <v>41639</v>
      </c>
      <c r="H745" s="4" t="s">
        <v>40</v>
      </c>
      <c r="I745" s="6">
        <v>8981</v>
      </c>
      <c r="J745" s="6">
        <v>8981</v>
      </c>
      <c r="K745" s="37" t="s">
        <v>790</v>
      </c>
      <c r="L745" s="119"/>
      <c r="M745" s="3"/>
    </row>
    <row r="746" spans="1:13" s="4" customFormat="1" ht="38.25" x14ac:dyDescent="0.25">
      <c r="A746" s="4" t="s">
        <v>1443</v>
      </c>
      <c r="B746" s="4" t="s">
        <v>38</v>
      </c>
      <c r="C746" s="37" t="s">
        <v>790</v>
      </c>
      <c r="D746" s="35">
        <v>6176</v>
      </c>
      <c r="E746" s="4" t="s">
        <v>1444</v>
      </c>
      <c r="F746" s="5">
        <v>39814</v>
      </c>
      <c r="G746" s="5">
        <v>41274</v>
      </c>
      <c r="H746" s="4" t="s">
        <v>40</v>
      </c>
      <c r="I746" s="6">
        <f>59596.83+7500</f>
        <v>67096.83</v>
      </c>
      <c r="J746" s="6">
        <f>59596.83+7500</f>
        <v>67096.83</v>
      </c>
      <c r="K746" s="37" t="s">
        <v>790</v>
      </c>
      <c r="L746" s="119"/>
      <c r="M746" s="3"/>
    </row>
    <row r="747" spans="1:13" s="4" customFormat="1" ht="114.75" x14ac:dyDescent="0.25">
      <c r="A747" s="4" t="s">
        <v>1445</v>
      </c>
      <c r="B747" s="4" t="s">
        <v>38</v>
      </c>
      <c r="C747" s="37" t="s">
        <v>790</v>
      </c>
      <c r="D747" s="35">
        <v>6177</v>
      </c>
      <c r="E747" s="7" t="s">
        <v>1446</v>
      </c>
      <c r="F747" s="5">
        <v>39814</v>
      </c>
      <c r="G747" s="5">
        <v>41639</v>
      </c>
      <c r="H747" s="4" t="s">
        <v>40</v>
      </c>
      <c r="I747" s="6">
        <v>4686.93</v>
      </c>
      <c r="J747" s="6">
        <v>4686.93</v>
      </c>
      <c r="K747" s="37" t="s">
        <v>790</v>
      </c>
      <c r="L747" s="119"/>
      <c r="M747" s="3"/>
    </row>
    <row r="748" spans="1:13" s="4" customFormat="1" ht="51" x14ac:dyDescent="0.25">
      <c r="A748" s="4" t="s">
        <v>1447</v>
      </c>
      <c r="B748" s="4" t="s">
        <v>38</v>
      </c>
      <c r="C748" s="37" t="s">
        <v>790</v>
      </c>
      <c r="D748" s="35">
        <v>6178</v>
      </c>
      <c r="E748" s="4" t="s">
        <v>1448</v>
      </c>
      <c r="F748" s="5">
        <v>39814</v>
      </c>
      <c r="G748" s="5">
        <v>41639</v>
      </c>
      <c r="H748" s="4" t="s">
        <v>40</v>
      </c>
      <c r="I748" s="6">
        <v>21646.720000000001</v>
      </c>
      <c r="J748" s="6">
        <f>10984.38+10662.34</f>
        <v>21646.720000000001</v>
      </c>
      <c r="K748" s="37" t="s">
        <v>790</v>
      </c>
      <c r="L748" s="119"/>
      <c r="M748" s="3"/>
    </row>
    <row r="749" spans="1:13" s="4" customFormat="1" ht="25.5" x14ac:dyDescent="0.25">
      <c r="A749" s="4" t="s">
        <v>1449</v>
      </c>
      <c r="B749" s="4" t="s">
        <v>38</v>
      </c>
      <c r="C749" s="37" t="s">
        <v>790</v>
      </c>
      <c r="D749" s="35">
        <v>6481</v>
      </c>
      <c r="E749" s="4" t="s">
        <v>1211</v>
      </c>
      <c r="F749" s="5">
        <v>39814</v>
      </c>
      <c r="G749" s="5">
        <v>41639</v>
      </c>
      <c r="H749" s="4" t="s">
        <v>40</v>
      </c>
      <c r="I749" s="6">
        <f>204514.57+54842.84</f>
        <v>259357.41</v>
      </c>
      <c r="J749" s="6">
        <f>204514.57+54842.84</f>
        <v>259357.41</v>
      </c>
      <c r="K749" s="37" t="s">
        <v>790</v>
      </c>
      <c r="L749" s="119"/>
      <c r="M749" s="3"/>
    </row>
    <row r="750" spans="1:13" s="4" customFormat="1" ht="51" x14ac:dyDescent="0.25">
      <c r="A750" s="4" t="s">
        <v>1450</v>
      </c>
      <c r="B750" s="4" t="s">
        <v>183</v>
      </c>
      <c r="C750" s="37" t="s">
        <v>790</v>
      </c>
      <c r="D750" s="35">
        <v>6707</v>
      </c>
      <c r="E750" s="4" t="s">
        <v>1451</v>
      </c>
      <c r="F750" s="5">
        <v>40179</v>
      </c>
      <c r="G750" s="5">
        <v>41639</v>
      </c>
      <c r="H750" s="4" t="s">
        <v>40</v>
      </c>
      <c r="I750" s="6">
        <v>30000</v>
      </c>
      <c r="J750" s="6">
        <v>27500</v>
      </c>
      <c r="K750" s="37" t="s">
        <v>790</v>
      </c>
      <c r="L750" s="119"/>
      <c r="M750" s="3"/>
    </row>
    <row r="751" spans="1:13" s="4" customFormat="1" ht="51" x14ac:dyDescent="0.25">
      <c r="A751" s="4" t="s">
        <v>1454</v>
      </c>
      <c r="B751" s="4" t="s">
        <v>190</v>
      </c>
      <c r="C751" s="37" t="s">
        <v>790</v>
      </c>
      <c r="D751" s="35">
        <v>6731</v>
      </c>
      <c r="E751" s="4" t="s">
        <v>1455</v>
      </c>
      <c r="F751" s="5">
        <v>40179</v>
      </c>
      <c r="G751" s="5">
        <v>41639</v>
      </c>
      <c r="H751" s="4" t="s">
        <v>40</v>
      </c>
      <c r="I751" s="6">
        <v>9000</v>
      </c>
      <c r="J751" s="6">
        <v>9000</v>
      </c>
      <c r="K751" s="37" t="s">
        <v>790</v>
      </c>
      <c r="L751" s="119"/>
      <c r="M751" s="3"/>
    </row>
    <row r="752" spans="1:13" s="4" customFormat="1" ht="38.25" x14ac:dyDescent="0.25">
      <c r="A752" s="4" t="s">
        <v>1456</v>
      </c>
      <c r="B752" s="4" t="s">
        <v>190</v>
      </c>
      <c r="C752" s="37" t="s">
        <v>790</v>
      </c>
      <c r="D752" s="35">
        <v>6732</v>
      </c>
      <c r="E752" s="4" t="s">
        <v>1457</v>
      </c>
      <c r="F752" s="5">
        <v>40179</v>
      </c>
      <c r="G752" s="5">
        <v>41639</v>
      </c>
      <c r="H752" s="4" t="s">
        <v>40</v>
      </c>
      <c r="I752" s="6">
        <v>60000</v>
      </c>
      <c r="J752" s="6">
        <v>30000</v>
      </c>
      <c r="K752" s="37" t="s">
        <v>790</v>
      </c>
      <c r="L752" s="119"/>
      <c r="M752" s="3"/>
    </row>
    <row r="753" spans="1:13" s="4" customFormat="1" ht="38.25" x14ac:dyDescent="0.25">
      <c r="A753" s="4" t="s">
        <v>1458</v>
      </c>
      <c r="B753" s="4" t="s">
        <v>90</v>
      </c>
      <c r="C753" s="37" t="s">
        <v>790</v>
      </c>
      <c r="D753" s="35">
        <v>6770</v>
      </c>
      <c r="E753" s="4" t="s">
        <v>1459</v>
      </c>
      <c r="F753" s="5">
        <v>40179</v>
      </c>
      <c r="G753" s="5">
        <v>41639</v>
      </c>
      <c r="H753" s="4" t="s">
        <v>40</v>
      </c>
      <c r="I753" s="6">
        <v>12000</v>
      </c>
      <c r="J753" s="6">
        <v>6000</v>
      </c>
      <c r="K753" s="37" t="s">
        <v>790</v>
      </c>
      <c r="L753" s="119"/>
      <c r="M753" s="3"/>
    </row>
    <row r="754" spans="1:13" s="4" customFormat="1" ht="25.5" x14ac:dyDescent="0.25">
      <c r="A754" s="4" t="s">
        <v>1460</v>
      </c>
      <c r="B754" s="4" t="s">
        <v>190</v>
      </c>
      <c r="C754" s="37" t="s">
        <v>790</v>
      </c>
      <c r="D754" s="35">
        <v>6772</v>
      </c>
      <c r="E754" s="4" t="s">
        <v>1461</v>
      </c>
      <c r="F754" s="5">
        <v>40179</v>
      </c>
      <c r="G754" s="5">
        <v>41639</v>
      </c>
      <c r="H754" s="4" t="s">
        <v>40</v>
      </c>
      <c r="I754" s="6">
        <v>15000</v>
      </c>
      <c r="J754" s="6">
        <v>15000</v>
      </c>
      <c r="K754" s="37" t="s">
        <v>790</v>
      </c>
      <c r="L754" s="119"/>
      <c r="M754" s="3"/>
    </row>
    <row r="755" spans="1:13" s="4" customFormat="1" ht="38.25" x14ac:dyDescent="0.25">
      <c r="A755" s="4" t="s">
        <v>1462</v>
      </c>
      <c r="B755" s="4" t="s">
        <v>190</v>
      </c>
      <c r="C755" s="37" t="s">
        <v>790</v>
      </c>
      <c r="D755" s="35">
        <v>6797</v>
      </c>
      <c r="E755" s="4" t="s">
        <v>1463</v>
      </c>
      <c r="F755" s="5">
        <v>40708</v>
      </c>
      <c r="G755" s="5">
        <v>41274</v>
      </c>
      <c r="H755" s="4" t="s">
        <v>40</v>
      </c>
      <c r="I755" s="6">
        <v>32498.6</v>
      </c>
      <c r="J755" s="6">
        <v>25500</v>
      </c>
      <c r="K755" s="37" t="s">
        <v>790</v>
      </c>
      <c r="L755" s="119"/>
      <c r="M755" s="3"/>
    </row>
    <row r="756" spans="1:13" s="4" customFormat="1" ht="38.25" x14ac:dyDescent="0.25">
      <c r="A756" s="4" t="s">
        <v>1464</v>
      </c>
      <c r="B756" s="4" t="s">
        <v>90</v>
      </c>
      <c r="C756" s="37" t="s">
        <v>790</v>
      </c>
      <c r="D756" s="35">
        <v>6834</v>
      </c>
      <c r="E756" s="4" t="s">
        <v>1465</v>
      </c>
      <c r="F756" s="5">
        <v>40179</v>
      </c>
      <c r="G756" s="5">
        <v>41639</v>
      </c>
      <c r="H756" s="4" t="s">
        <v>40</v>
      </c>
      <c r="I756" s="6">
        <v>1654.9</v>
      </c>
      <c r="J756" s="6">
        <v>827.53</v>
      </c>
      <c r="K756" s="37" t="s">
        <v>790</v>
      </c>
      <c r="L756" s="119"/>
      <c r="M756" s="3"/>
    </row>
    <row r="757" spans="1:13" s="4" customFormat="1" ht="51" x14ac:dyDescent="0.25">
      <c r="A757" s="4" t="s">
        <v>1466</v>
      </c>
      <c r="B757" s="4" t="s">
        <v>183</v>
      </c>
      <c r="C757" s="37" t="s">
        <v>790</v>
      </c>
      <c r="D757" s="35">
        <v>6835</v>
      </c>
      <c r="E757" s="4" t="s">
        <v>1467</v>
      </c>
      <c r="F757" s="5">
        <v>40179</v>
      </c>
      <c r="G757" s="5">
        <v>41639</v>
      </c>
      <c r="H757" s="4" t="s">
        <v>40</v>
      </c>
      <c r="I757" s="6">
        <v>14390.7</v>
      </c>
      <c r="J757" s="6">
        <v>10917.6</v>
      </c>
      <c r="K757" s="37" t="s">
        <v>790</v>
      </c>
      <c r="L757" s="119"/>
      <c r="M757" s="3"/>
    </row>
    <row r="758" spans="1:13" s="4" customFormat="1" ht="51" x14ac:dyDescent="0.25">
      <c r="A758" s="4" t="s">
        <v>1468</v>
      </c>
      <c r="B758" s="4" t="s">
        <v>90</v>
      </c>
      <c r="C758" s="37" t="s">
        <v>790</v>
      </c>
      <c r="D758" s="35">
        <v>6837</v>
      </c>
      <c r="E758" s="4" t="s">
        <v>1469</v>
      </c>
      <c r="F758" s="5">
        <v>40179</v>
      </c>
      <c r="G758" s="5">
        <v>41639</v>
      </c>
      <c r="H758" s="4" t="s">
        <v>40</v>
      </c>
      <c r="I758" s="6">
        <v>9828</v>
      </c>
      <c r="J758" s="6">
        <v>4914</v>
      </c>
      <c r="K758" s="37" t="s">
        <v>790</v>
      </c>
      <c r="L758" s="119"/>
      <c r="M758" s="3"/>
    </row>
    <row r="759" spans="1:13" s="4" customFormat="1" ht="51" x14ac:dyDescent="0.25">
      <c r="A759" s="4" t="s">
        <v>1470</v>
      </c>
      <c r="B759" s="4" t="s">
        <v>90</v>
      </c>
      <c r="C759" s="37" t="s">
        <v>790</v>
      </c>
      <c r="D759" s="35">
        <v>6838</v>
      </c>
      <c r="E759" s="4" t="s">
        <v>1471</v>
      </c>
      <c r="F759" s="5">
        <v>40179</v>
      </c>
      <c r="G759" s="5">
        <v>41639</v>
      </c>
      <c r="H759" s="4" t="s">
        <v>40</v>
      </c>
      <c r="I759" s="6">
        <f>10000+20177.08</f>
        <v>30177.08</v>
      </c>
      <c r="J759" s="6">
        <f>5000+17588.54</f>
        <v>22588.54</v>
      </c>
      <c r="K759" s="37" t="s">
        <v>790</v>
      </c>
      <c r="L759" s="119"/>
      <c r="M759" s="3"/>
    </row>
    <row r="760" spans="1:13" s="4" customFormat="1" ht="63.75" x14ac:dyDescent="0.25">
      <c r="A760" s="4" t="s">
        <v>1472</v>
      </c>
      <c r="B760" s="4" t="s">
        <v>190</v>
      </c>
      <c r="C760" s="37" t="s">
        <v>790</v>
      </c>
      <c r="D760" s="35">
        <v>6840</v>
      </c>
      <c r="E760" s="4" t="s">
        <v>1473</v>
      </c>
      <c r="F760" s="5">
        <v>40179</v>
      </c>
      <c r="G760" s="5">
        <v>41639</v>
      </c>
      <c r="H760" s="4" t="s">
        <v>40</v>
      </c>
      <c r="I760" s="6">
        <v>30000</v>
      </c>
      <c r="J760" s="6">
        <v>15000</v>
      </c>
      <c r="K760" s="37" t="s">
        <v>790</v>
      </c>
      <c r="L760" s="119"/>
      <c r="M760" s="3"/>
    </row>
    <row r="761" spans="1:13" s="4" customFormat="1" ht="38.25" x14ac:dyDescent="0.25">
      <c r="A761" s="4" t="s">
        <v>1474</v>
      </c>
      <c r="B761" s="4" t="s">
        <v>190</v>
      </c>
      <c r="C761" s="37" t="s">
        <v>790</v>
      </c>
      <c r="D761" s="35">
        <v>6845</v>
      </c>
      <c r="E761" s="4" t="s">
        <v>1475</v>
      </c>
      <c r="F761" s="5">
        <v>40179</v>
      </c>
      <c r="G761" s="5">
        <v>41639</v>
      </c>
      <c r="H761" s="4" t="s">
        <v>40</v>
      </c>
      <c r="I761" s="6">
        <v>33181.879999999997</v>
      </c>
      <c r="J761" s="6">
        <v>16590.939999999999</v>
      </c>
      <c r="K761" s="37" t="s">
        <v>790</v>
      </c>
      <c r="L761" s="119"/>
      <c r="M761" s="3"/>
    </row>
    <row r="762" spans="1:13" s="4" customFormat="1" ht="51" x14ac:dyDescent="0.25">
      <c r="A762" s="4" t="s">
        <v>1476</v>
      </c>
      <c r="B762" s="4" t="s">
        <v>183</v>
      </c>
      <c r="C762" s="37" t="s">
        <v>790</v>
      </c>
      <c r="D762" s="35">
        <v>6846</v>
      </c>
      <c r="E762" s="4" t="s">
        <v>1477</v>
      </c>
      <c r="F762" s="5">
        <v>40179</v>
      </c>
      <c r="G762" s="5">
        <v>41274</v>
      </c>
      <c r="H762" s="4" t="s">
        <v>40</v>
      </c>
      <c r="I762" s="6">
        <v>53000</v>
      </c>
      <c r="J762" s="6">
        <v>43000</v>
      </c>
      <c r="K762" s="37" t="s">
        <v>790</v>
      </c>
      <c r="L762" s="119"/>
      <c r="M762" s="3"/>
    </row>
    <row r="763" spans="1:13" s="4" customFormat="1" ht="25.5" x14ac:dyDescent="0.25">
      <c r="A763" s="4" t="s">
        <v>1478</v>
      </c>
      <c r="B763" s="4" t="s">
        <v>183</v>
      </c>
      <c r="C763" s="37" t="s">
        <v>790</v>
      </c>
      <c r="D763" s="35">
        <v>6849</v>
      </c>
      <c r="E763" s="4" t="s">
        <v>1479</v>
      </c>
      <c r="F763" s="5">
        <v>40179</v>
      </c>
      <c r="G763" s="5">
        <v>41639</v>
      </c>
      <c r="H763" s="4" t="s">
        <v>40</v>
      </c>
      <c r="I763" s="6">
        <v>39996</v>
      </c>
      <c r="J763" s="6">
        <v>20000</v>
      </c>
      <c r="K763" s="37" t="s">
        <v>790</v>
      </c>
      <c r="L763" s="119"/>
      <c r="M763" s="3"/>
    </row>
    <row r="764" spans="1:13" s="4" customFormat="1" ht="63.75" x14ac:dyDescent="0.25">
      <c r="A764" s="4" t="s">
        <v>1480</v>
      </c>
      <c r="B764" s="4" t="s">
        <v>190</v>
      </c>
      <c r="C764" s="37" t="s">
        <v>790</v>
      </c>
      <c r="D764" s="35">
        <v>6850</v>
      </c>
      <c r="E764" s="4" t="s">
        <v>1481</v>
      </c>
      <c r="F764" s="5">
        <v>40179</v>
      </c>
      <c r="G764" s="5">
        <v>41639</v>
      </c>
      <c r="H764" s="4" t="s">
        <v>40</v>
      </c>
      <c r="I764" s="6">
        <v>19878.52</v>
      </c>
      <c r="J764" s="6">
        <v>12424.26</v>
      </c>
      <c r="K764" s="37" t="s">
        <v>790</v>
      </c>
      <c r="L764" s="119"/>
      <c r="M764" s="3"/>
    </row>
    <row r="765" spans="1:13" s="4" customFormat="1" ht="38.25" x14ac:dyDescent="0.25">
      <c r="A765" s="4" t="s">
        <v>1482</v>
      </c>
      <c r="B765" s="4" t="s">
        <v>190</v>
      </c>
      <c r="C765" s="37" t="s">
        <v>790</v>
      </c>
      <c r="D765" s="35">
        <v>6851</v>
      </c>
      <c r="E765" s="4" t="s">
        <v>1483</v>
      </c>
      <c r="F765" s="5">
        <v>40179</v>
      </c>
      <c r="G765" s="5">
        <v>41639</v>
      </c>
      <c r="H765" s="4" t="s">
        <v>40</v>
      </c>
      <c r="I765" s="6">
        <v>18598.150000000001</v>
      </c>
      <c r="J765" s="6">
        <v>15260.95</v>
      </c>
      <c r="K765" s="37" t="s">
        <v>790</v>
      </c>
      <c r="L765" s="119"/>
      <c r="M765" s="3"/>
    </row>
    <row r="766" spans="1:13" s="4" customFormat="1" ht="38.25" x14ac:dyDescent="0.25">
      <c r="A766" s="4" t="s">
        <v>1484</v>
      </c>
      <c r="B766" s="4" t="s">
        <v>190</v>
      </c>
      <c r="C766" s="37" t="s">
        <v>790</v>
      </c>
      <c r="D766" s="35">
        <v>6852</v>
      </c>
      <c r="E766" s="4" t="s">
        <v>1485</v>
      </c>
      <c r="F766" s="5">
        <v>40179</v>
      </c>
      <c r="G766" s="5">
        <v>41274</v>
      </c>
      <c r="H766" s="4" t="s">
        <v>40</v>
      </c>
      <c r="I766" s="6">
        <f>61110.74+8478.26</f>
        <v>69589</v>
      </c>
      <c r="J766" s="6">
        <f>37878.64+4239.13</f>
        <v>42117.77</v>
      </c>
      <c r="K766" s="37" t="s">
        <v>790</v>
      </c>
      <c r="L766" s="119"/>
      <c r="M766" s="3"/>
    </row>
    <row r="767" spans="1:13" s="4" customFormat="1" ht="25.5" x14ac:dyDescent="0.25">
      <c r="A767" s="4" t="s">
        <v>1486</v>
      </c>
      <c r="B767" s="4" t="s">
        <v>183</v>
      </c>
      <c r="C767" s="37" t="s">
        <v>790</v>
      </c>
      <c r="D767" s="35">
        <v>6853</v>
      </c>
      <c r="E767" s="4" t="s">
        <v>1487</v>
      </c>
      <c r="F767" s="5">
        <v>40179</v>
      </c>
      <c r="G767" s="5">
        <v>41639</v>
      </c>
      <c r="H767" s="4" t="s">
        <v>40</v>
      </c>
      <c r="I767" s="6">
        <v>33869.480000000003</v>
      </c>
      <c r="J767" s="6">
        <v>24434.74</v>
      </c>
      <c r="K767" s="37" t="s">
        <v>790</v>
      </c>
      <c r="L767" s="119"/>
      <c r="M767" s="3"/>
    </row>
    <row r="768" spans="1:13" s="4" customFormat="1" ht="38.25" x14ac:dyDescent="0.25">
      <c r="A768" s="4" t="s">
        <v>1488</v>
      </c>
      <c r="B768" s="4" t="s">
        <v>90</v>
      </c>
      <c r="C768" s="37" t="s">
        <v>790</v>
      </c>
      <c r="D768" s="35">
        <v>6854</v>
      </c>
      <c r="E768" s="4" t="s">
        <v>1489</v>
      </c>
      <c r="F768" s="5">
        <v>40179</v>
      </c>
      <c r="G768" s="5">
        <v>41639</v>
      </c>
      <c r="H768" s="4" t="s">
        <v>40</v>
      </c>
      <c r="I768" s="6">
        <v>11900</v>
      </c>
      <c r="J768" s="6">
        <v>5950</v>
      </c>
      <c r="K768" s="37" t="s">
        <v>790</v>
      </c>
      <c r="L768" s="119"/>
      <c r="M768" s="3"/>
    </row>
    <row r="769" spans="1:13" s="4" customFormat="1" ht="38.25" x14ac:dyDescent="0.25">
      <c r="A769" s="4" t="s">
        <v>1407</v>
      </c>
      <c r="B769" s="4" t="s">
        <v>183</v>
      </c>
      <c r="C769" s="37" t="s">
        <v>790</v>
      </c>
      <c r="D769" s="35">
        <v>6855</v>
      </c>
      <c r="E769" s="4" t="s">
        <v>1490</v>
      </c>
      <c r="F769" s="5">
        <v>40179</v>
      </c>
      <c r="G769" s="5">
        <v>41639</v>
      </c>
      <c r="H769" s="4" t="s">
        <v>40</v>
      </c>
      <c r="I769" s="6">
        <v>8349.4</v>
      </c>
      <c r="J769" s="6">
        <v>7174.4</v>
      </c>
      <c r="K769" s="37" t="s">
        <v>790</v>
      </c>
      <c r="L769" s="119"/>
      <c r="M769" s="3"/>
    </row>
    <row r="770" spans="1:13" s="4" customFormat="1" ht="38.25" x14ac:dyDescent="0.25">
      <c r="A770" s="4" t="s">
        <v>1491</v>
      </c>
      <c r="B770" s="4" t="s">
        <v>190</v>
      </c>
      <c r="C770" s="37" t="s">
        <v>790</v>
      </c>
      <c r="D770" s="35">
        <v>6856</v>
      </c>
      <c r="E770" s="4" t="s">
        <v>1492</v>
      </c>
      <c r="F770" s="5">
        <v>40179</v>
      </c>
      <c r="G770" s="5">
        <v>41639</v>
      </c>
      <c r="H770" s="4" t="s">
        <v>40</v>
      </c>
      <c r="I770" s="6">
        <v>20000</v>
      </c>
      <c r="J770" s="6">
        <v>20000</v>
      </c>
      <c r="K770" s="37" t="s">
        <v>790</v>
      </c>
      <c r="L770" s="119"/>
      <c r="M770" s="3"/>
    </row>
    <row r="771" spans="1:13" s="4" customFormat="1" ht="38.25" x14ac:dyDescent="0.25">
      <c r="A771" s="4" t="s">
        <v>1493</v>
      </c>
      <c r="B771" s="4" t="s">
        <v>183</v>
      </c>
      <c r="C771" s="37" t="s">
        <v>790</v>
      </c>
      <c r="D771" s="35">
        <v>6857</v>
      </c>
      <c r="E771" s="4" t="s">
        <v>1494</v>
      </c>
      <c r="F771" s="5">
        <v>40179</v>
      </c>
      <c r="G771" s="5">
        <v>41639</v>
      </c>
      <c r="H771" s="4" t="s">
        <v>40</v>
      </c>
      <c r="I771" s="6">
        <v>12000</v>
      </c>
      <c r="J771" s="6">
        <v>12000</v>
      </c>
      <c r="K771" s="37" t="s">
        <v>790</v>
      </c>
      <c r="L771" s="119"/>
      <c r="M771" s="3"/>
    </row>
    <row r="772" spans="1:13" s="4" customFormat="1" ht="38.25" x14ac:dyDescent="0.25">
      <c r="A772" s="4" t="s">
        <v>1495</v>
      </c>
      <c r="B772" s="4" t="s">
        <v>190</v>
      </c>
      <c r="C772" s="37" t="s">
        <v>790</v>
      </c>
      <c r="D772" s="35">
        <v>6858</v>
      </c>
      <c r="E772" s="4" t="s">
        <v>1496</v>
      </c>
      <c r="F772" s="5">
        <v>40179</v>
      </c>
      <c r="G772" s="5">
        <v>41639</v>
      </c>
      <c r="H772" s="4" t="s">
        <v>40</v>
      </c>
      <c r="I772" s="6">
        <v>19846</v>
      </c>
      <c r="J772" s="6">
        <v>9923.5</v>
      </c>
      <c r="K772" s="37" t="s">
        <v>790</v>
      </c>
      <c r="L772" s="119"/>
      <c r="M772" s="3"/>
    </row>
    <row r="773" spans="1:13" s="4" customFormat="1" ht="38.25" x14ac:dyDescent="0.25">
      <c r="A773" s="4" t="s">
        <v>1060</v>
      </c>
      <c r="B773" s="4" t="s">
        <v>59</v>
      </c>
      <c r="C773" s="37" t="s">
        <v>790</v>
      </c>
      <c r="D773" s="35">
        <v>7061</v>
      </c>
      <c r="E773" s="4" t="s">
        <v>1497</v>
      </c>
      <c r="F773" s="5">
        <v>39979</v>
      </c>
      <c r="G773" s="5">
        <v>40344</v>
      </c>
      <c r="H773" s="4" t="s">
        <v>40</v>
      </c>
      <c r="I773" s="6">
        <v>7500</v>
      </c>
      <c r="J773" s="6">
        <v>7500</v>
      </c>
      <c r="K773" s="37" t="s">
        <v>790</v>
      </c>
      <c r="L773" s="119"/>
      <c r="M773" s="3"/>
    </row>
    <row r="774" spans="1:13" s="4" customFormat="1" ht="25.5" x14ac:dyDescent="0.25">
      <c r="A774" s="4" t="s">
        <v>1498</v>
      </c>
      <c r="B774" s="4" t="s">
        <v>59</v>
      </c>
      <c r="C774" s="37" t="s">
        <v>790</v>
      </c>
      <c r="D774" s="35">
        <v>7062</v>
      </c>
      <c r="E774" s="4" t="s">
        <v>1499</v>
      </c>
      <c r="F774" s="5">
        <v>39923</v>
      </c>
      <c r="G774" s="5">
        <v>40288</v>
      </c>
      <c r="H774" s="4" t="s">
        <v>40</v>
      </c>
      <c r="I774" s="6">
        <v>7500</v>
      </c>
      <c r="J774" s="6">
        <v>7500</v>
      </c>
      <c r="K774" s="37" t="s">
        <v>790</v>
      </c>
      <c r="L774" s="119"/>
      <c r="M774" s="3"/>
    </row>
    <row r="775" spans="1:13" s="4" customFormat="1" ht="63.75" x14ac:dyDescent="0.25">
      <c r="A775" s="4" t="s">
        <v>1500</v>
      </c>
      <c r="B775" s="4" t="s">
        <v>50</v>
      </c>
      <c r="C775" s="37" t="s">
        <v>790</v>
      </c>
      <c r="D775" s="35">
        <v>7063</v>
      </c>
      <c r="E775" s="4" t="s">
        <v>1501</v>
      </c>
      <c r="F775" s="5">
        <v>39979</v>
      </c>
      <c r="G775" s="5">
        <v>40344</v>
      </c>
      <c r="H775" s="4" t="s">
        <v>40</v>
      </c>
      <c r="I775" s="6">
        <v>38411.75</v>
      </c>
      <c r="J775" s="6">
        <v>19205.75</v>
      </c>
      <c r="K775" s="37" t="s">
        <v>790</v>
      </c>
      <c r="L775" s="119"/>
      <c r="M775" s="3"/>
    </row>
    <row r="776" spans="1:13" s="4" customFormat="1" ht="51" x14ac:dyDescent="0.25">
      <c r="A776" s="4" t="s">
        <v>1502</v>
      </c>
      <c r="B776" s="4" t="s">
        <v>90</v>
      </c>
      <c r="C776" s="37" t="s">
        <v>790</v>
      </c>
      <c r="D776" s="35">
        <v>7138</v>
      </c>
      <c r="E776" s="4" t="s">
        <v>1503</v>
      </c>
      <c r="F776" s="5">
        <v>40441</v>
      </c>
      <c r="G776" s="5">
        <v>40543</v>
      </c>
      <c r="H776" s="4" t="s">
        <v>40</v>
      </c>
      <c r="I776" s="6">
        <v>40000</v>
      </c>
      <c r="J776" s="6">
        <v>20000</v>
      </c>
      <c r="K776" s="37" t="s">
        <v>790</v>
      </c>
      <c r="L776" s="119"/>
      <c r="M776" s="3"/>
    </row>
    <row r="777" spans="1:13" s="4" customFormat="1" ht="38.25" x14ac:dyDescent="0.25">
      <c r="A777" s="4" t="s">
        <v>1504</v>
      </c>
      <c r="B777" s="4" t="s">
        <v>183</v>
      </c>
      <c r="C777" s="37" t="s">
        <v>790</v>
      </c>
      <c r="D777" s="35">
        <v>7139</v>
      </c>
      <c r="E777" s="4" t="s">
        <v>1505</v>
      </c>
      <c r="F777" s="5">
        <v>40322</v>
      </c>
      <c r="G777" s="5">
        <v>40908</v>
      </c>
      <c r="H777" s="4" t="s">
        <v>40</v>
      </c>
      <c r="I777" s="6">
        <v>18000</v>
      </c>
      <c r="J777" s="6">
        <v>18000</v>
      </c>
      <c r="K777" s="37" t="s">
        <v>790</v>
      </c>
      <c r="L777" s="119"/>
      <c r="M777" s="3"/>
    </row>
    <row r="778" spans="1:13" s="4" customFormat="1" ht="76.5" x14ac:dyDescent="0.25">
      <c r="A778" s="4" t="s">
        <v>1506</v>
      </c>
      <c r="B778" s="4" t="s">
        <v>190</v>
      </c>
      <c r="C778" s="37" t="s">
        <v>790</v>
      </c>
      <c r="D778" s="35">
        <v>7140</v>
      </c>
      <c r="E778" s="4" t="s">
        <v>1507</v>
      </c>
      <c r="F778" s="5">
        <v>40322</v>
      </c>
      <c r="G778" s="5">
        <v>40543</v>
      </c>
      <c r="H778" s="4" t="s">
        <v>40</v>
      </c>
      <c r="I778" s="6">
        <v>22726.880000000001</v>
      </c>
      <c r="J778" s="6">
        <v>11363.44</v>
      </c>
      <c r="K778" s="37" t="s">
        <v>790</v>
      </c>
      <c r="L778" s="119"/>
      <c r="M778" s="3"/>
    </row>
    <row r="779" spans="1:13" s="4" customFormat="1" ht="76.5" x14ac:dyDescent="0.25">
      <c r="A779" s="4" t="s">
        <v>1508</v>
      </c>
      <c r="B779" s="4" t="s">
        <v>90</v>
      </c>
      <c r="C779" s="37" t="s">
        <v>790</v>
      </c>
      <c r="D779" s="35">
        <v>7141</v>
      </c>
      <c r="E779" s="4" t="s">
        <v>1509</v>
      </c>
      <c r="F779" s="5">
        <v>40154</v>
      </c>
      <c r="G779" s="5">
        <v>40519</v>
      </c>
      <c r="H779" s="4" t="s">
        <v>40</v>
      </c>
      <c r="I779" s="6">
        <v>40000</v>
      </c>
      <c r="J779" s="6">
        <v>20000</v>
      </c>
      <c r="K779" s="37" t="s">
        <v>790</v>
      </c>
      <c r="L779" s="119"/>
      <c r="M779" s="3"/>
    </row>
    <row r="780" spans="1:13" s="4" customFormat="1" ht="38.25" x14ac:dyDescent="0.25">
      <c r="A780" s="4" t="s">
        <v>1510</v>
      </c>
      <c r="B780" s="4" t="s">
        <v>190</v>
      </c>
      <c r="C780" s="37" t="s">
        <v>790</v>
      </c>
      <c r="D780" s="35">
        <v>7142</v>
      </c>
      <c r="E780" s="4" t="s">
        <v>1511</v>
      </c>
      <c r="F780" s="5">
        <v>40154</v>
      </c>
      <c r="G780" s="5">
        <v>40908</v>
      </c>
      <c r="H780" s="4" t="s">
        <v>40</v>
      </c>
      <c r="I780" s="6">
        <v>63164.82</v>
      </c>
      <c r="J780" s="6">
        <v>41338.75</v>
      </c>
      <c r="K780" s="37" t="s">
        <v>790</v>
      </c>
      <c r="L780" s="119"/>
      <c r="M780" s="3"/>
    </row>
    <row r="781" spans="1:13" s="4" customFormat="1" ht="51" x14ac:dyDescent="0.25">
      <c r="A781" s="4" t="s">
        <v>1512</v>
      </c>
      <c r="B781" s="4" t="s">
        <v>183</v>
      </c>
      <c r="C781" s="37" t="s">
        <v>790</v>
      </c>
      <c r="D781" s="35">
        <v>7143</v>
      </c>
      <c r="E781" s="4" t="s">
        <v>1513</v>
      </c>
      <c r="F781" s="5">
        <v>40322</v>
      </c>
      <c r="G781" s="5">
        <v>40543</v>
      </c>
      <c r="H781" s="4" t="s">
        <v>40</v>
      </c>
      <c r="I781" s="6">
        <v>2350.06</v>
      </c>
      <c r="J781" s="6">
        <v>1175.03</v>
      </c>
      <c r="K781" s="37" t="s">
        <v>790</v>
      </c>
      <c r="L781" s="119"/>
      <c r="M781" s="3"/>
    </row>
    <row r="782" spans="1:13" s="4" customFormat="1" ht="63.75" x14ac:dyDescent="0.25">
      <c r="A782" s="4" t="s">
        <v>1514</v>
      </c>
      <c r="B782" s="4" t="s">
        <v>190</v>
      </c>
      <c r="C782" s="37" t="s">
        <v>790</v>
      </c>
      <c r="D782" s="35">
        <v>7144</v>
      </c>
      <c r="E782" s="4" t="s">
        <v>1515</v>
      </c>
      <c r="F782" s="5">
        <v>40077</v>
      </c>
      <c r="G782" s="5">
        <v>40442</v>
      </c>
      <c r="H782" s="4" t="s">
        <v>40</v>
      </c>
      <c r="I782" s="6">
        <v>9250</v>
      </c>
      <c r="J782" s="6">
        <v>4625</v>
      </c>
      <c r="K782" s="37" t="s">
        <v>790</v>
      </c>
      <c r="L782" s="119"/>
      <c r="M782" s="3"/>
    </row>
    <row r="783" spans="1:13" s="4" customFormat="1" ht="63.75" x14ac:dyDescent="0.25">
      <c r="A783" s="4" t="s">
        <v>1514</v>
      </c>
      <c r="B783" s="4" t="s">
        <v>190</v>
      </c>
      <c r="C783" s="37" t="s">
        <v>790</v>
      </c>
      <c r="D783" s="35">
        <v>7145</v>
      </c>
      <c r="E783" s="4" t="s">
        <v>1515</v>
      </c>
      <c r="F783" s="5">
        <v>40105</v>
      </c>
      <c r="G783" s="5">
        <v>40470</v>
      </c>
      <c r="H783" s="4" t="s">
        <v>40</v>
      </c>
      <c r="I783" s="6">
        <v>2900.32</v>
      </c>
      <c r="J783" s="6">
        <v>1450.16</v>
      </c>
      <c r="K783" s="37" t="s">
        <v>790</v>
      </c>
      <c r="L783" s="119"/>
      <c r="M783" s="3"/>
    </row>
    <row r="784" spans="1:13" s="4" customFormat="1" ht="63.75" x14ac:dyDescent="0.25">
      <c r="A784" s="4" t="s">
        <v>1520</v>
      </c>
      <c r="B784" s="4" t="s">
        <v>38</v>
      </c>
      <c r="C784" s="37" t="s">
        <v>790</v>
      </c>
      <c r="D784" s="35">
        <v>7148</v>
      </c>
      <c r="E784" s="4" t="s">
        <v>1368</v>
      </c>
      <c r="F784" s="5">
        <v>39814</v>
      </c>
      <c r="G784" s="5">
        <v>40543</v>
      </c>
      <c r="H784" s="4" t="s">
        <v>40</v>
      </c>
      <c r="I784" s="6">
        <v>30000</v>
      </c>
      <c r="J784" s="6">
        <v>30000</v>
      </c>
      <c r="K784" s="37" t="s">
        <v>790</v>
      </c>
      <c r="L784" s="119"/>
      <c r="M784" s="3"/>
    </row>
    <row r="785" spans="1:13" s="4" customFormat="1" ht="38.25" x14ac:dyDescent="0.25">
      <c r="A785" s="4" t="s">
        <v>1521</v>
      </c>
      <c r="B785" s="4" t="s">
        <v>38</v>
      </c>
      <c r="C785" s="37" t="s">
        <v>790</v>
      </c>
      <c r="D785" s="35">
        <v>7149</v>
      </c>
      <c r="E785" s="4" t="s">
        <v>1151</v>
      </c>
      <c r="F785" s="5">
        <v>39814</v>
      </c>
      <c r="G785" s="5">
        <v>40543</v>
      </c>
      <c r="H785" s="4" t="s">
        <v>40</v>
      </c>
      <c r="I785" s="6">
        <v>2000</v>
      </c>
      <c r="J785" s="6">
        <v>2000</v>
      </c>
      <c r="K785" s="37" t="s">
        <v>790</v>
      </c>
      <c r="L785" s="119"/>
      <c r="M785" s="3"/>
    </row>
    <row r="786" spans="1:13" s="4" customFormat="1" ht="38.25" x14ac:dyDescent="0.25">
      <c r="A786" s="4" t="s">
        <v>1522</v>
      </c>
      <c r="B786" s="4" t="s">
        <v>38</v>
      </c>
      <c r="C786" s="37" t="s">
        <v>790</v>
      </c>
      <c r="D786" s="35">
        <v>7150</v>
      </c>
      <c r="E786" s="4" t="s">
        <v>1292</v>
      </c>
      <c r="F786" s="5">
        <v>40360</v>
      </c>
      <c r="G786" s="5">
        <v>40908</v>
      </c>
      <c r="H786" s="4" t="s">
        <v>40</v>
      </c>
      <c r="I786" s="6">
        <v>15702.35</v>
      </c>
      <c r="J786" s="6">
        <v>15702.35</v>
      </c>
      <c r="K786" s="37" t="s">
        <v>790</v>
      </c>
      <c r="L786" s="119"/>
      <c r="M786" s="3"/>
    </row>
    <row r="787" spans="1:13" s="4" customFormat="1" ht="38.25" x14ac:dyDescent="0.25">
      <c r="A787" s="4" t="s">
        <v>1523</v>
      </c>
      <c r="B787" s="4" t="s">
        <v>38</v>
      </c>
      <c r="C787" s="37" t="s">
        <v>790</v>
      </c>
      <c r="D787" s="35">
        <v>7151</v>
      </c>
      <c r="E787" s="4" t="s">
        <v>1294</v>
      </c>
      <c r="F787" s="5">
        <v>40179</v>
      </c>
      <c r="G787" s="5">
        <v>40543</v>
      </c>
      <c r="H787" s="4" t="s">
        <v>40</v>
      </c>
      <c r="I787" s="6">
        <v>6951.14</v>
      </c>
      <c r="J787" s="6">
        <v>6951.14</v>
      </c>
      <c r="K787" s="37" t="s">
        <v>790</v>
      </c>
      <c r="L787" s="119"/>
      <c r="M787" s="3"/>
    </row>
    <row r="788" spans="1:13" s="4" customFormat="1" ht="63.75" x14ac:dyDescent="0.25">
      <c r="A788" s="4" t="s">
        <v>1524</v>
      </c>
      <c r="B788" s="4" t="s">
        <v>38</v>
      </c>
      <c r="C788" s="37" t="s">
        <v>790</v>
      </c>
      <c r="D788" s="35">
        <v>7152</v>
      </c>
      <c r="E788" s="4" t="s">
        <v>1525</v>
      </c>
      <c r="F788" s="5">
        <v>40179</v>
      </c>
      <c r="G788" s="5">
        <v>40543</v>
      </c>
      <c r="H788" s="4" t="s">
        <v>40</v>
      </c>
      <c r="I788" s="6">
        <v>1069.7</v>
      </c>
      <c r="J788" s="6">
        <v>1069.7</v>
      </c>
      <c r="K788" s="37" t="s">
        <v>790</v>
      </c>
      <c r="L788" s="119"/>
      <c r="M788" s="3"/>
    </row>
    <row r="789" spans="1:13" s="4" customFormat="1" ht="127.5" x14ac:dyDescent="0.25">
      <c r="A789" s="4" t="s">
        <v>1526</v>
      </c>
      <c r="B789" s="4" t="s">
        <v>38</v>
      </c>
      <c r="C789" s="37" t="s">
        <v>790</v>
      </c>
      <c r="D789" s="35">
        <v>7153</v>
      </c>
      <c r="E789" s="7" t="s">
        <v>1527</v>
      </c>
      <c r="F789" s="5">
        <v>40179</v>
      </c>
      <c r="G789" s="5">
        <v>40543</v>
      </c>
      <c r="H789" s="4" t="s">
        <v>40</v>
      </c>
      <c r="I789" s="6">
        <v>5000</v>
      </c>
      <c r="J789" s="6">
        <v>5000</v>
      </c>
      <c r="K789" s="37" t="s">
        <v>790</v>
      </c>
      <c r="L789" s="119"/>
      <c r="M789" s="3"/>
    </row>
    <row r="790" spans="1:13" s="4" customFormat="1" ht="140.25" x14ac:dyDescent="0.25">
      <c r="A790" s="4" t="s">
        <v>1528</v>
      </c>
      <c r="B790" s="4" t="s">
        <v>38</v>
      </c>
      <c r="C790" s="37" t="s">
        <v>790</v>
      </c>
      <c r="D790" s="35">
        <v>7154</v>
      </c>
      <c r="E790" s="7" t="s">
        <v>1298</v>
      </c>
      <c r="F790" s="5">
        <v>40179</v>
      </c>
      <c r="G790" s="5">
        <v>40543</v>
      </c>
      <c r="H790" s="4" t="s">
        <v>40</v>
      </c>
      <c r="I790" s="6">
        <v>4500</v>
      </c>
      <c r="J790" s="6">
        <v>4500</v>
      </c>
      <c r="K790" s="37" t="s">
        <v>790</v>
      </c>
      <c r="L790" s="119"/>
      <c r="M790" s="3"/>
    </row>
    <row r="791" spans="1:13" s="4" customFormat="1" ht="51" x14ac:dyDescent="0.25">
      <c r="A791" s="4" t="s">
        <v>1529</v>
      </c>
      <c r="B791" s="4" t="s">
        <v>38</v>
      </c>
      <c r="C791" s="37" t="s">
        <v>790</v>
      </c>
      <c r="D791" s="35">
        <v>7155</v>
      </c>
      <c r="E791" s="4" t="s">
        <v>1316</v>
      </c>
      <c r="F791" s="5">
        <v>40179</v>
      </c>
      <c r="G791" s="5">
        <v>40543</v>
      </c>
      <c r="H791" s="4" t="s">
        <v>40</v>
      </c>
      <c r="I791" s="6">
        <v>2408.67</v>
      </c>
      <c r="J791" s="6">
        <v>2408.67</v>
      </c>
      <c r="K791" s="37" t="s">
        <v>790</v>
      </c>
      <c r="L791" s="119"/>
      <c r="M791" s="3"/>
    </row>
    <row r="792" spans="1:13" s="4" customFormat="1" ht="63.75" x14ac:dyDescent="0.25">
      <c r="A792" s="4" t="s">
        <v>1530</v>
      </c>
      <c r="B792" s="4" t="s">
        <v>38</v>
      </c>
      <c r="C792" s="37" t="s">
        <v>790</v>
      </c>
      <c r="D792" s="35">
        <v>7156</v>
      </c>
      <c r="E792" s="4" t="s">
        <v>1531</v>
      </c>
      <c r="F792" s="5">
        <v>40179</v>
      </c>
      <c r="G792" s="5">
        <v>40908</v>
      </c>
      <c r="H792" s="4" t="s">
        <v>40</v>
      </c>
      <c r="I792" s="6">
        <v>10154.4</v>
      </c>
      <c r="J792" s="6">
        <v>10154.4</v>
      </c>
      <c r="K792" s="37" t="s">
        <v>790</v>
      </c>
      <c r="L792" s="119"/>
      <c r="M792" s="3"/>
    </row>
    <row r="793" spans="1:13" s="4" customFormat="1" ht="76.5" x14ac:dyDescent="0.25">
      <c r="A793" s="4" t="s">
        <v>1532</v>
      </c>
      <c r="B793" s="4" t="s">
        <v>38</v>
      </c>
      <c r="C793" s="37" t="s">
        <v>790</v>
      </c>
      <c r="D793" s="35">
        <v>7178</v>
      </c>
      <c r="E793" s="7" t="s">
        <v>1533</v>
      </c>
      <c r="F793" s="5">
        <v>40179</v>
      </c>
      <c r="G793" s="5">
        <v>40543</v>
      </c>
      <c r="H793" s="4" t="s">
        <v>40</v>
      </c>
      <c r="I793" s="6">
        <v>699.62</v>
      </c>
      <c r="J793" s="6">
        <v>699.62</v>
      </c>
      <c r="K793" s="37" t="s">
        <v>790</v>
      </c>
      <c r="L793" s="119"/>
      <c r="M793" s="3"/>
    </row>
    <row r="794" spans="1:13" s="4" customFormat="1" ht="25.5" x14ac:dyDescent="0.25">
      <c r="A794" s="4" t="s">
        <v>1534</v>
      </c>
      <c r="B794" s="4" t="s">
        <v>38</v>
      </c>
      <c r="C794" s="37" t="s">
        <v>790</v>
      </c>
      <c r="D794" s="35">
        <v>7179</v>
      </c>
      <c r="E794" s="4" t="s">
        <v>1105</v>
      </c>
      <c r="F794" s="5">
        <v>40179</v>
      </c>
      <c r="G794" s="5">
        <v>40543</v>
      </c>
      <c r="H794" s="4" t="s">
        <v>40</v>
      </c>
      <c r="I794" s="6">
        <v>1300</v>
      </c>
      <c r="J794" s="6">
        <v>1300</v>
      </c>
      <c r="K794" s="37" t="s">
        <v>790</v>
      </c>
      <c r="L794" s="119"/>
      <c r="M794" s="3"/>
    </row>
    <row r="795" spans="1:13" s="4" customFormat="1" ht="38.25" x14ac:dyDescent="0.25">
      <c r="A795" s="4" t="s">
        <v>1535</v>
      </c>
      <c r="B795" s="4" t="s">
        <v>38</v>
      </c>
      <c r="C795" s="37" t="s">
        <v>790</v>
      </c>
      <c r="D795" s="35">
        <v>7180</v>
      </c>
      <c r="E795" s="4" t="s">
        <v>1125</v>
      </c>
      <c r="F795" s="5">
        <v>40179</v>
      </c>
      <c r="G795" s="5">
        <v>40908</v>
      </c>
      <c r="H795" s="4" t="s">
        <v>40</v>
      </c>
      <c r="I795" s="6">
        <v>38520.730000000003</v>
      </c>
      <c r="J795" s="6">
        <v>38520.730000000003</v>
      </c>
      <c r="K795" s="37" t="s">
        <v>790</v>
      </c>
      <c r="L795" s="119"/>
      <c r="M795" s="3"/>
    </row>
    <row r="796" spans="1:13" s="4" customFormat="1" ht="63.75" x14ac:dyDescent="0.25">
      <c r="A796" s="4" t="s">
        <v>1536</v>
      </c>
      <c r="B796" s="4" t="s">
        <v>38</v>
      </c>
      <c r="C796" s="37" t="s">
        <v>790</v>
      </c>
      <c r="D796" s="35">
        <v>7181</v>
      </c>
      <c r="E796" s="4" t="s">
        <v>1537</v>
      </c>
      <c r="F796" s="5">
        <v>40179</v>
      </c>
      <c r="G796" s="5">
        <v>40908</v>
      </c>
      <c r="H796" s="4" t="s">
        <v>40</v>
      </c>
      <c r="I796" s="6">
        <v>591.37</v>
      </c>
      <c r="J796" s="6">
        <v>591.37</v>
      </c>
      <c r="K796" s="37" t="s">
        <v>790</v>
      </c>
      <c r="L796" s="119"/>
      <c r="M796" s="3"/>
    </row>
    <row r="797" spans="1:13" s="4" customFormat="1" ht="89.25" x14ac:dyDescent="0.25">
      <c r="A797" s="4" t="s">
        <v>1538</v>
      </c>
      <c r="B797" s="4" t="s">
        <v>38</v>
      </c>
      <c r="C797" s="37" t="s">
        <v>790</v>
      </c>
      <c r="D797" s="35">
        <v>7182</v>
      </c>
      <c r="E797" s="7" t="s">
        <v>1539</v>
      </c>
      <c r="F797" s="5">
        <v>40179</v>
      </c>
      <c r="G797" s="5">
        <v>40908</v>
      </c>
      <c r="H797" s="4" t="s">
        <v>40</v>
      </c>
      <c r="I797" s="6">
        <v>9495.75</v>
      </c>
      <c r="J797" s="6">
        <v>9495.75</v>
      </c>
      <c r="K797" s="37" t="s">
        <v>790</v>
      </c>
      <c r="L797" s="119"/>
      <c r="M797" s="3"/>
    </row>
    <row r="798" spans="1:13" s="4" customFormat="1" ht="114.75" x14ac:dyDescent="0.25">
      <c r="A798" s="4" t="s">
        <v>1540</v>
      </c>
      <c r="B798" s="4" t="s">
        <v>38</v>
      </c>
      <c r="C798" s="37" t="s">
        <v>790</v>
      </c>
      <c r="D798" s="35">
        <v>7183</v>
      </c>
      <c r="E798" s="7" t="s">
        <v>1541</v>
      </c>
      <c r="F798" s="5">
        <v>40179</v>
      </c>
      <c r="G798" s="5">
        <v>40543</v>
      </c>
      <c r="H798" s="4" t="s">
        <v>40</v>
      </c>
      <c r="I798" s="6">
        <v>5222.16</v>
      </c>
      <c r="J798" s="6">
        <v>5222.16</v>
      </c>
      <c r="K798" s="37" t="s">
        <v>790</v>
      </c>
      <c r="L798" s="119"/>
      <c r="M798" s="3"/>
    </row>
    <row r="799" spans="1:13" s="4" customFormat="1" ht="76.5" x14ac:dyDescent="0.25">
      <c r="A799" s="4" t="s">
        <v>1542</v>
      </c>
      <c r="B799" s="4" t="s">
        <v>38</v>
      </c>
      <c r="C799" s="37" t="s">
        <v>790</v>
      </c>
      <c r="D799" s="35">
        <v>7184</v>
      </c>
      <c r="E799" s="4" t="s">
        <v>1543</v>
      </c>
      <c r="F799" s="5">
        <v>40179</v>
      </c>
      <c r="G799" s="5">
        <v>40908</v>
      </c>
      <c r="H799" s="4" t="s">
        <v>40</v>
      </c>
      <c r="I799" s="6">
        <v>5049.34</v>
      </c>
      <c r="J799" s="6">
        <v>5049.34</v>
      </c>
      <c r="K799" s="37" t="s">
        <v>790</v>
      </c>
      <c r="L799" s="119"/>
      <c r="M799" s="3"/>
    </row>
    <row r="800" spans="1:13" s="4" customFormat="1" ht="38.25" x14ac:dyDescent="0.25">
      <c r="A800" s="4" t="s">
        <v>1544</v>
      </c>
      <c r="B800" s="4" t="s">
        <v>38</v>
      </c>
      <c r="C800" s="37" t="s">
        <v>790</v>
      </c>
      <c r="D800" s="35">
        <v>7185</v>
      </c>
      <c r="E800" s="4" t="s">
        <v>1545</v>
      </c>
      <c r="F800" s="5">
        <v>40179</v>
      </c>
      <c r="G800" s="5">
        <v>40543</v>
      </c>
      <c r="H800" s="4" t="s">
        <v>40</v>
      </c>
      <c r="I800" s="6">
        <v>2584.56</v>
      </c>
      <c r="J800" s="6">
        <v>2584.56</v>
      </c>
      <c r="K800" s="37" t="s">
        <v>790</v>
      </c>
      <c r="L800" s="119"/>
      <c r="M800" s="3"/>
    </row>
    <row r="801" spans="1:13" s="4" customFormat="1" ht="63.75" x14ac:dyDescent="0.25">
      <c r="A801" s="4" t="s">
        <v>1546</v>
      </c>
      <c r="B801" s="4" t="s">
        <v>38</v>
      </c>
      <c r="C801" s="37" t="s">
        <v>790</v>
      </c>
      <c r="D801" s="35">
        <v>7186</v>
      </c>
      <c r="E801" s="4" t="s">
        <v>1547</v>
      </c>
      <c r="F801" s="5">
        <v>40179</v>
      </c>
      <c r="G801" s="5">
        <v>40543</v>
      </c>
      <c r="H801" s="4" t="s">
        <v>40</v>
      </c>
      <c r="I801" s="6">
        <v>7015.67</v>
      </c>
      <c r="J801" s="6">
        <v>7015.67</v>
      </c>
      <c r="K801" s="37" t="s">
        <v>790</v>
      </c>
      <c r="L801" s="119"/>
      <c r="M801" s="3"/>
    </row>
    <row r="802" spans="1:13" s="4" customFormat="1" ht="102" x14ac:dyDescent="0.25">
      <c r="A802" s="4" t="s">
        <v>1548</v>
      </c>
      <c r="B802" s="4" t="s">
        <v>38</v>
      </c>
      <c r="C802" s="37" t="s">
        <v>790</v>
      </c>
      <c r="D802" s="35">
        <v>7187</v>
      </c>
      <c r="E802" s="7" t="s">
        <v>1549</v>
      </c>
      <c r="F802" s="5">
        <v>40179</v>
      </c>
      <c r="G802" s="5">
        <v>40543</v>
      </c>
      <c r="H802" s="4" t="s">
        <v>40</v>
      </c>
      <c r="I802" s="6">
        <v>1735.5</v>
      </c>
      <c r="J802" s="6">
        <v>1735.5</v>
      </c>
      <c r="K802" s="37" t="s">
        <v>790</v>
      </c>
      <c r="L802" s="119"/>
      <c r="M802" s="3"/>
    </row>
    <row r="803" spans="1:13" s="4" customFormat="1" ht="114.75" x14ac:dyDescent="0.25">
      <c r="A803" s="4" t="s">
        <v>1550</v>
      </c>
      <c r="B803" s="4" t="s">
        <v>38</v>
      </c>
      <c r="C803" s="37" t="s">
        <v>790</v>
      </c>
      <c r="D803" s="35">
        <v>7188</v>
      </c>
      <c r="E803" s="7" t="s">
        <v>1551</v>
      </c>
      <c r="F803" s="5">
        <v>40179</v>
      </c>
      <c r="G803" s="5">
        <v>40543</v>
      </c>
      <c r="H803" s="4" t="s">
        <v>40</v>
      </c>
      <c r="I803" s="6">
        <v>809.2</v>
      </c>
      <c r="J803" s="6">
        <v>809.2</v>
      </c>
      <c r="K803" s="37" t="s">
        <v>790</v>
      </c>
      <c r="L803" s="119"/>
      <c r="M803" s="3"/>
    </row>
    <row r="804" spans="1:13" s="4" customFormat="1" ht="38.25" x14ac:dyDescent="0.25">
      <c r="A804" s="4" t="s">
        <v>1552</v>
      </c>
      <c r="B804" s="4" t="s">
        <v>38</v>
      </c>
      <c r="C804" s="37" t="s">
        <v>790</v>
      </c>
      <c r="D804" s="35">
        <v>7189</v>
      </c>
      <c r="E804" s="4" t="s">
        <v>1362</v>
      </c>
      <c r="F804" s="5">
        <v>40179</v>
      </c>
      <c r="G804" s="5">
        <v>40543</v>
      </c>
      <c r="H804" s="4" t="s">
        <v>40</v>
      </c>
      <c r="I804" s="6">
        <v>29838.71</v>
      </c>
      <c r="J804" s="6">
        <v>29838.71</v>
      </c>
      <c r="K804" s="37" t="s">
        <v>790</v>
      </c>
      <c r="L804" s="119"/>
      <c r="M804" s="3"/>
    </row>
    <row r="805" spans="1:13" s="4" customFormat="1" ht="63.75" x14ac:dyDescent="0.25">
      <c r="A805" s="4" t="s">
        <v>1553</v>
      </c>
      <c r="B805" s="4" t="s">
        <v>183</v>
      </c>
      <c r="C805" s="37" t="s">
        <v>790</v>
      </c>
      <c r="D805" s="35">
        <v>7403</v>
      </c>
      <c r="E805" s="4" t="s">
        <v>1554</v>
      </c>
      <c r="F805" s="5">
        <v>40323</v>
      </c>
      <c r="G805" s="5">
        <v>40908</v>
      </c>
      <c r="H805" s="4" t="s">
        <v>40</v>
      </c>
      <c r="I805" s="6">
        <v>11278</v>
      </c>
      <c r="J805" s="6">
        <v>5639</v>
      </c>
      <c r="K805" s="37" t="s">
        <v>790</v>
      </c>
      <c r="L805" s="119"/>
      <c r="M805" s="3"/>
    </row>
    <row r="806" spans="1:13" s="4" customFormat="1" ht="38.25" x14ac:dyDescent="0.25">
      <c r="A806" s="4" t="s">
        <v>1561</v>
      </c>
      <c r="B806" s="4" t="s">
        <v>183</v>
      </c>
      <c r="C806" s="37" t="s">
        <v>790</v>
      </c>
      <c r="D806" s="35">
        <v>7407</v>
      </c>
      <c r="E806" s="4" t="s">
        <v>1562</v>
      </c>
      <c r="F806" s="5">
        <v>40259</v>
      </c>
      <c r="G806" s="5">
        <v>40908</v>
      </c>
      <c r="H806" s="4" t="s">
        <v>40</v>
      </c>
      <c r="I806" s="6">
        <v>18000</v>
      </c>
      <c r="J806" s="6">
        <v>18000</v>
      </c>
      <c r="K806" s="37" t="s">
        <v>790</v>
      </c>
      <c r="L806" s="119"/>
      <c r="M806" s="3"/>
    </row>
    <row r="807" spans="1:13" s="4" customFormat="1" ht="38.25" x14ac:dyDescent="0.25">
      <c r="A807" s="4" t="s">
        <v>1563</v>
      </c>
      <c r="B807" s="4" t="s">
        <v>90</v>
      </c>
      <c r="C807" s="37" t="s">
        <v>790</v>
      </c>
      <c r="D807" s="35">
        <v>7409</v>
      </c>
      <c r="E807" s="4" t="s">
        <v>1564</v>
      </c>
      <c r="F807" s="5">
        <v>40259</v>
      </c>
      <c r="G807" s="5">
        <v>40543</v>
      </c>
      <c r="H807" s="4" t="s">
        <v>40</v>
      </c>
      <c r="I807" s="6">
        <v>4476</v>
      </c>
      <c r="J807" s="6">
        <v>2238</v>
      </c>
      <c r="K807" s="37" t="s">
        <v>790</v>
      </c>
      <c r="L807" s="119"/>
      <c r="M807" s="3"/>
    </row>
    <row r="808" spans="1:13" s="4" customFormat="1" ht="63.75" x14ac:dyDescent="0.25">
      <c r="A808" s="4" t="s">
        <v>1565</v>
      </c>
      <c r="B808" s="4" t="s">
        <v>183</v>
      </c>
      <c r="C808" s="37" t="s">
        <v>790</v>
      </c>
      <c r="D808" s="35">
        <v>7410</v>
      </c>
      <c r="E808" s="4" t="s">
        <v>1566</v>
      </c>
      <c r="F808" s="5">
        <v>40323</v>
      </c>
      <c r="G808" s="5">
        <v>40908</v>
      </c>
      <c r="H808" s="4" t="s">
        <v>40</v>
      </c>
      <c r="I808" s="6">
        <v>27000</v>
      </c>
      <c r="J808" s="6">
        <v>27000</v>
      </c>
      <c r="K808" s="37" t="s">
        <v>790</v>
      </c>
      <c r="L808" s="119"/>
      <c r="M808" s="3"/>
    </row>
    <row r="809" spans="1:13" s="4" customFormat="1" ht="25.5" x14ac:dyDescent="0.25">
      <c r="A809" s="4" t="s">
        <v>1567</v>
      </c>
      <c r="B809" s="4" t="s">
        <v>38</v>
      </c>
      <c r="C809" s="37" t="s">
        <v>790</v>
      </c>
      <c r="D809" s="35">
        <v>7412</v>
      </c>
      <c r="E809" s="4" t="s">
        <v>1568</v>
      </c>
      <c r="F809" s="5">
        <v>40506</v>
      </c>
      <c r="G809" s="5">
        <v>40543</v>
      </c>
      <c r="H809" s="4" t="s">
        <v>40</v>
      </c>
      <c r="I809" s="6">
        <v>2665</v>
      </c>
      <c r="J809" s="6">
        <v>2665</v>
      </c>
      <c r="K809" s="37" t="s">
        <v>790</v>
      </c>
      <c r="L809" s="119"/>
      <c r="M809" s="3"/>
    </row>
    <row r="810" spans="1:13" s="4" customFormat="1" ht="38.25" x14ac:dyDescent="0.25">
      <c r="A810" s="4" t="s">
        <v>1569</v>
      </c>
      <c r="B810" s="4" t="s">
        <v>38</v>
      </c>
      <c r="C810" s="37" t="s">
        <v>790</v>
      </c>
      <c r="D810" s="35">
        <v>7413</v>
      </c>
      <c r="E810" s="4" t="s">
        <v>1570</v>
      </c>
      <c r="F810" s="5">
        <v>40179</v>
      </c>
      <c r="G810" s="5">
        <v>40908</v>
      </c>
      <c r="H810" s="4" t="s">
        <v>40</v>
      </c>
      <c r="I810" s="6">
        <v>9400</v>
      </c>
      <c r="J810" s="6">
        <v>9400</v>
      </c>
      <c r="K810" s="37" t="s">
        <v>790</v>
      </c>
      <c r="L810" s="119"/>
      <c r="M810" s="3"/>
    </row>
    <row r="811" spans="1:13" s="4" customFormat="1" ht="140.25" x14ac:dyDescent="0.25">
      <c r="A811" s="4" t="s">
        <v>1571</v>
      </c>
      <c r="B811" s="4" t="s">
        <v>38</v>
      </c>
      <c r="C811" s="37" t="s">
        <v>790</v>
      </c>
      <c r="D811" s="35">
        <v>7414</v>
      </c>
      <c r="E811" s="7" t="s">
        <v>1298</v>
      </c>
      <c r="F811" s="5">
        <v>40179</v>
      </c>
      <c r="G811" s="5">
        <v>40209</v>
      </c>
      <c r="H811" s="4" t="s">
        <v>40</v>
      </c>
      <c r="I811" s="6">
        <v>4500</v>
      </c>
      <c r="J811" s="6">
        <v>4500</v>
      </c>
      <c r="K811" s="37" t="s">
        <v>790</v>
      </c>
      <c r="L811" s="119"/>
      <c r="M811" s="3"/>
    </row>
    <row r="812" spans="1:13" s="4" customFormat="1" ht="38.25" x14ac:dyDescent="0.25">
      <c r="A812" s="4" t="s">
        <v>1572</v>
      </c>
      <c r="B812" s="4" t="s">
        <v>38</v>
      </c>
      <c r="C812" s="37" t="s">
        <v>790</v>
      </c>
      <c r="D812" s="35">
        <v>7415</v>
      </c>
      <c r="E812" s="4" t="s">
        <v>1573</v>
      </c>
      <c r="F812" s="5">
        <v>40179</v>
      </c>
      <c r="G812" s="5">
        <v>40543</v>
      </c>
      <c r="H812" s="4" t="s">
        <v>40</v>
      </c>
      <c r="I812" s="6">
        <v>912</v>
      </c>
      <c r="J812" s="6">
        <v>912</v>
      </c>
      <c r="K812" s="37" t="s">
        <v>790</v>
      </c>
      <c r="L812" s="119"/>
      <c r="M812" s="3"/>
    </row>
    <row r="813" spans="1:13" s="4" customFormat="1" ht="25.5" x14ac:dyDescent="0.25">
      <c r="A813" s="4" t="s">
        <v>1529</v>
      </c>
      <c r="B813" s="4" t="s">
        <v>38</v>
      </c>
      <c r="C813" s="37" t="s">
        <v>790</v>
      </c>
      <c r="D813" s="35">
        <v>7416</v>
      </c>
      <c r="E813" s="4" t="s">
        <v>1574</v>
      </c>
      <c r="F813" s="5">
        <v>40179</v>
      </c>
      <c r="G813" s="5">
        <v>40543</v>
      </c>
      <c r="H813" s="4" t="s">
        <v>40</v>
      </c>
      <c r="I813" s="6">
        <v>2507.25</v>
      </c>
      <c r="J813" s="6">
        <v>2507.25</v>
      </c>
      <c r="K813" s="37" t="s">
        <v>790</v>
      </c>
      <c r="L813" s="119"/>
      <c r="M813" s="3"/>
    </row>
    <row r="814" spans="1:13" s="4" customFormat="1" ht="25.5" x14ac:dyDescent="0.25">
      <c r="A814" s="4" t="s">
        <v>1522</v>
      </c>
      <c r="B814" s="4" t="s">
        <v>38</v>
      </c>
      <c r="C814" s="37" t="s">
        <v>790</v>
      </c>
      <c r="D814" s="35">
        <v>7417</v>
      </c>
      <c r="E814" s="4" t="s">
        <v>1575</v>
      </c>
      <c r="F814" s="5">
        <v>40330</v>
      </c>
      <c r="G814" s="5">
        <v>41060</v>
      </c>
      <c r="H814" s="4" t="s">
        <v>40</v>
      </c>
      <c r="I814" s="6">
        <v>21323.35</v>
      </c>
      <c r="J814" s="6">
        <v>21323.35</v>
      </c>
      <c r="K814" s="37" t="s">
        <v>790</v>
      </c>
      <c r="L814" s="119"/>
      <c r="M814" s="3"/>
    </row>
    <row r="815" spans="1:13" s="4" customFormat="1" ht="25.5" x14ac:dyDescent="0.25">
      <c r="A815" s="4" t="s">
        <v>1576</v>
      </c>
      <c r="B815" s="4" t="s">
        <v>38</v>
      </c>
      <c r="C815" s="37" t="s">
        <v>790</v>
      </c>
      <c r="D815" s="35">
        <v>7418</v>
      </c>
      <c r="E815" s="4" t="s">
        <v>1577</v>
      </c>
      <c r="F815" s="5">
        <v>40179</v>
      </c>
      <c r="G815" s="5">
        <v>40543</v>
      </c>
      <c r="H815" s="4" t="s">
        <v>40</v>
      </c>
      <c r="I815" s="6">
        <v>314.60000000000002</v>
      </c>
      <c r="J815" s="6">
        <v>314.60000000000002</v>
      </c>
      <c r="K815" s="37" t="s">
        <v>790</v>
      </c>
      <c r="L815" s="119"/>
      <c r="M815" s="3"/>
    </row>
    <row r="816" spans="1:13" s="4" customFormat="1" ht="38.25" x14ac:dyDescent="0.25">
      <c r="A816" s="4" t="s">
        <v>1578</v>
      </c>
      <c r="B816" s="4" t="s">
        <v>38</v>
      </c>
      <c r="C816" s="37" t="s">
        <v>790</v>
      </c>
      <c r="D816" s="35">
        <v>7419</v>
      </c>
      <c r="E816" s="4" t="s">
        <v>1579</v>
      </c>
      <c r="F816" s="5">
        <v>40179</v>
      </c>
      <c r="G816" s="5">
        <v>40543</v>
      </c>
      <c r="H816" s="4" t="s">
        <v>40</v>
      </c>
      <c r="I816" s="6">
        <v>2077</v>
      </c>
      <c r="J816" s="6">
        <v>2077</v>
      </c>
      <c r="K816" s="37" t="s">
        <v>790</v>
      </c>
      <c r="L816" s="119"/>
      <c r="M816" s="3"/>
    </row>
    <row r="817" spans="1:13" s="4" customFormat="1" ht="25.5" x14ac:dyDescent="0.25">
      <c r="A817" s="4" t="s">
        <v>1580</v>
      </c>
      <c r="B817" s="4" t="s">
        <v>38</v>
      </c>
      <c r="C817" s="37" t="s">
        <v>790</v>
      </c>
      <c r="D817" s="35">
        <v>7420</v>
      </c>
      <c r="E817" s="4" t="s">
        <v>1581</v>
      </c>
      <c r="F817" s="5">
        <v>40179</v>
      </c>
      <c r="G817" s="5">
        <v>40543</v>
      </c>
      <c r="H817" s="4" t="s">
        <v>40</v>
      </c>
      <c r="I817" s="6">
        <v>699.62</v>
      </c>
      <c r="J817" s="6">
        <v>699.62</v>
      </c>
      <c r="K817" s="37" t="s">
        <v>790</v>
      </c>
      <c r="L817" s="119"/>
      <c r="M817" s="3"/>
    </row>
    <row r="818" spans="1:13" s="4" customFormat="1" ht="38.25" x14ac:dyDescent="0.25">
      <c r="A818" s="4" t="s">
        <v>1582</v>
      </c>
      <c r="B818" s="4" t="s">
        <v>38</v>
      </c>
      <c r="C818" s="37" t="s">
        <v>790</v>
      </c>
      <c r="D818" s="35">
        <v>7421</v>
      </c>
      <c r="E818" s="4" t="s">
        <v>1583</v>
      </c>
      <c r="F818" s="5">
        <v>40179</v>
      </c>
      <c r="G818" s="5">
        <v>40209</v>
      </c>
      <c r="H818" s="4" t="s">
        <v>40</v>
      </c>
      <c r="I818" s="6">
        <v>2769.4</v>
      </c>
      <c r="J818" s="6">
        <v>2769.4</v>
      </c>
      <c r="K818" s="37" t="s">
        <v>790</v>
      </c>
      <c r="L818" s="119"/>
      <c r="M818" s="3"/>
    </row>
    <row r="819" spans="1:13" s="4" customFormat="1" ht="51" x14ac:dyDescent="0.25">
      <c r="A819" s="4" t="s">
        <v>1584</v>
      </c>
      <c r="B819" s="4" t="s">
        <v>38</v>
      </c>
      <c r="C819" s="37" t="s">
        <v>790</v>
      </c>
      <c r="D819" s="35">
        <v>7422</v>
      </c>
      <c r="E819" s="4" t="s">
        <v>1585</v>
      </c>
      <c r="F819" s="5">
        <v>40179</v>
      </c>
      <c r="G819" s="5">
        <v>40543</v>
      </c>
      <c r="H819" s="4" t="s">
        <v>40</v>
      </c>
      <c r="I819" s="6">
        <v>2935.5</v>
      </c>
      <c r="J819" s="6">
        <v>2935.5</v>
      </c>
      <c r="K819" s="37" t="s">
        <v>790</v>
      </c>
      <c r="L819" s="119"/>
      <c r="M819" s="3"/>
    </row>
    <row r="820" spans="1:13" s="4" customFormat="1" ht="51" x14ac:dyDescent="0.25">
      <c r="A820" s="4" t="s">
        <v>1586</v>
      </c>
      <c r="B820" s="4" t="s">
        <v>38</v>
      </c>
      <c r="C820" s="37" t="s">
        <v>790</v>
      </c>
      <c r="D820" s="35">
        <v>7424</v>
      </c>
      <c r="E820" s="4" t="s">
        <v>1587</v>
      </c>
      <c r="F820" s="5">
        <v>40179</v>
      </c>
      <c r="G820" s="5">
        <v>40908</v>
      </c>
      <c r="H820" s="4" t="s">
        <v>40</v>
      </c>
      <c r="I820" s="6">
        <v>36530.5</v>
      </c>
      <c r="J820" s="6">
        <v>36530.5</v>
      </c>
      <c r="K820" s="37" t="s">
        <v>790</v>
      </c>
      <c r="L820" s="119"/>
      <c r="M820" s="3"/>
    </row>
    <row r="821" spans="1:13" s="4" customFormat="1" ht="38.25" x14ac:dyDescent="0.25">
      <c r="A821" s="4" t="s">
        <v>1588</v>
      </c>
      <c r="B821" s="4" t="s">
        <v>38</v>
      </c>
      <c r="C821" s="37" t="s">
        <v>790</v>
      </c>
      <c r="D821" s="35">
        <v>7425</v>
      </c>
      <c r="E821" s="4" t="s">
        <v>1589</v>
      </c>
      <c r="F821" s="5">
        <v>40179</v>
      </c>
      <c r="G821" s="5">
        <v>40543</v>
      </c>
      <c r="H821" s="4" t="s">
        <v>40</v>
      </c>
      <c r="I821" s="6">
        <v>5907</v>
      </c>
      <c r="J821" s="6">
        <v>5907.37</v>
      </c>
      <c r="K821" s="37" t="s">
        <v>790</v>
      </c>
      <c r="L821" s="119"/>
      <c r="M821" s="3"/>
    </row>
    <row r="822" spans="1:13" s="4" customFormat="1" ht="25.5" x14ac:dyDescent="0.25">
      <c r="A822" s="4" t="s">
        <v>1535</v>
      </c>
      <c r="B822" s="4" t="s">
        <v>38</v>
      </c>
      <c r="C822" s="37" t="s">
        <v>790</v>
      </c>
      <c r="D822" s="35">
        <v>7438</v>
      </c>
      <c r="E822" s="4" t="s">
        <v>1590</v>
      </c>
      <c r="F822" s="5">
        <v>40179</v>
      </c>
      <c r="G822" s="5">
        <v>40908</v>
      </c>
      <c r="H822" s="4" t="s">
        <v>40</v>
      </c>
      <c r="I822" s="6">
        <v>9175</v>
      </c>
      <c r="J822" s="6">
        <v>9175</v>
      </c>
      <c r="K822" s="37" t="s">
        <v>790</v>
      </c>
      <c r="L822" s="119"/>
      <c r="M822" s="3"/>
    </row>
    <row r="823" spans="1:13" s="4" customFormat="1" ht="38.25" x14ac:dyDescent="0.25">
      <c r="A823" s="4" t="s">
        <v>1591</v>
      </c>
      <c r="B823" s="4" t="s">
        <v>38</v>
      </c>
      <c r="C823" s="37" t="s">
        <v>790</v>
      </c>
      <c r="D823" s="35">
        <v>7439</v>
      </c>
      <c r="E823" s="4" t="s">
        <v>1592</v>
      </c>
      <c r="F823" s="5">
        <v>40179</v>
      </c>
      <c r="H823" s="4" t="s">
        <v>40</v>
      </c>
      <c r="I823" s="6">
        <v>1030.25</v>
      </c>
      <c r="J823" s="6">
        <v>1030.25</v>
      </c>
      <c r="K823" s="37" t="s">
        <v>790</v>
      </c>
      <c r="L823" s="119"/>
      <c r="M823" s="3"/>
    </row>
    <row r="824" spans="1:13" s="4" customFormat="1" ht="38.25" x14ac:dyDescent="0.25">
      <c r="A824" s="4" t="s">
        <v>1593</v>
      </c>
      <c r="B824" s="4" t="s">
        <v>38</v>
      </c>
      <c r="C824" s="37" t="s">
        <v>790</v>
      </c>
      <c r="D824" s="35">
        <v>7440</v>
      </c>
      <c r="E824" s="4" t="s">
        <v>1594</v>
      </c>
      <c r="F824" s="5">
        <v>40179</v>
      </c>
      <c r="G824" s="5">
        <v>40543</v>
      </c>
      <c r="H824" s="4" t="s">
        <v>40</v>
      </c>
      <c r="I824" s="6">
        <v>7056.75</v>
      </c>
      <c r="J824" s="6">
        <v>7056.75</v>
      </c>
      <c r="K824" s="37" t="s">
        <v>790</v>
      </c>
      <c r="L824" s="119"/>
      <c r="M824" s="3"/>
    </row>
    <row r="825" spans="1:13" s="4" customFormat="1" ht="38.25" x14ac:dyDescent="0.25">
      <c r="A825" s="4" t="s">
        <v>1595</v>
      </c>
      <c r="B825" s="4" t="s">
        <v>38</v>
      </c>
      <c r="C825" s="37" t="s">
        <v>790</v>
      </c>
      <c r="D825" s="35">
        <v>7442</v>
      </c>
      <c r="E825" s="4" t="s">
        <v>1596</v>
      </c>
      <c r="F825" s="5">
        <v>40179</v>
      </c>
      <c r="G825" s="5">
        <v>40543</v>
      </c>
      <c r="H825" s="4" t="s">
        <v>40</v>
      </c>
      <c r="I825" s="6">
        <v>615</v>
      </c>
      <c r="J825" s="6">
        <v>615</v>
      </c>
      <c r="K825" s="37" t="s">
        <v>790</v>
      </c>
      <c r="L825" s="119"/>
      <c r="M825" s="3"/>
    </row>
    <row r="826" spans="1:13" s="4" customFormat="1" ht="38.25" x14ac:dyDescent="0.25">
      <c r="A826" s="4" t="s">
        <v>1597</v>
      </c>
      <c r="B826" s="4" t="s">
        <v>38</v>
      </c>
      <c r="C826" s="37" t="s">
        <v>790</v>
      </c>
      <c r="D826" s="35">
        <v>7443</v>
      </c>
      <c r="E826" s="4" t="s">
        <v>1598</v>
      </c>
      <c r="F826" s="5">
        <v>40179</v>
      </c>
      <c r="G826" s="5">
        <v>40543</v>
      </c>
      <c r="H826" s="4" t="s">
        <v>40</v>
      </c>
      <c r="I826" s="6">
        <v>3478.32</v>
      </c>
      <c r="J826" s="6">
        <v>3478.32</v>
      </c>
      <c r="K826" s="37" t="s">
        <v>790</v>
      </c>
      <c r="L826" s="119"/>
      <c r="M826" s="3"/>
    </row>
    <row r="827" spans="1:13" s="4" customFormat="1" ht="38.25" x14ac:dyDescent="0.25">
      <c r="A827" s="4" t="s">
        <v>1599</v>
      </c>
      <c r="B827" s="4" t="s">
        <v>38</v>
      </c>
      <c r="C827" s="37" t="s">
        <v>790</v>
      </c>
      <c r="D827" s="35">
        <v>7444</v>
      </c>
      <c r="E827" s="4" t="s">
        <v>1600</v>
      </c>
      <c r="F827" s="5">
        <v>40179</v>
      </c>
      <c r="G827" s="5">
        <v>40543</v>
      </c>
      <c r="H827" s="4" t="s">
        <v>40</v>
      </c>
      <c r="I827" s="6">
        <v>1310</v>
      </c>
      <c r="J827" s="6">
        <v>1310</v>
      </c>
      <c r="K827" s="37" t="s">
        <v>790</v>
      </c>
      <c r="L827" s="119"/>
      <c r="M827" s="3"/>
    </row>
    <row r="828" spans="1:13" s="4" customFormat="1" ht="38.25" x14ac:dyDescent="0.25">
      <c r="A828" s="4" t="s">
        <v>1601</v>
      </c>
      <c r="B828" s="4" t="s">
        <v>38</v>
      </c>
      <c r="C828" s="37" t="s">
        <v>790</v>
      </c>
      <c r="D828" s="35">
        <v>7446</v>
      </c>
      <c r="E828" s="4" t="s">
        <v>1602</v>
      </c>
      <c r="F828" s="5">
        <v>40179</v>
      </c>
      <c r="G828" s="5">
        <v>40543</v>
      </c>
      <c r="H828" s="4" t="s">
        <v>40</v>
      </c>
      <c r="I828" s="6">
        <v>16984.82</v>
      </c>
      <c r="J828" s="6">
        <v>16984.82</v>
      </c>
      <c r="K828" s="37" t="s">
        <v>790</v>
      </c>
      <c r="L828" s="119"/>
      <c r="M828" s="3"/>
    </row>
    <row r="829" spans="1:13" s="4" customFormat="1" ht="63.75" x14ac:dyDescent="0.25">
      <c r="A829" s="4" t="s">
        <v>1603</v>
      </c>
      <c r="B829" s="4" t="s">
        <v>38</v>
      </c>
      <c r="C829" s="37" t="s">
        <v>790</v>
      </c>
      <c r="D829" s="35">
        <v>7447</v>
      </c>
      <c r="E829" s="4" t="s">
        <v>1604</v>
      </c>
      <c r="F829" s="5">
        <v>40179</v>
      </c>
      <c r="G829" s="5">
        <v>40543</v>
      </c>
      <c r="H829" s="4" t="s">
        <v>40</v>
      </c>
      <c r="I829" s="6">
        <v>38054.75</v>
      </c>
      <c r="J829" s="6">
        <v>38054.75</v>
      </c>
      <c r="K829" s="37" t="s">
        <v>790</v>
      </c>
      <c r="L829" s="119"/>
      <c r="M829" s="3"/>
    </row>
    <row r="830" spans="1:13" s="4" customFormat="1" ht="51" x14ac:dyDescent="0.25">
      <c r="A830" s="4" t="s">
        <v>1605</v>
      </c>
      <c r="B830" s="4" t="s">
        <v>38</v>
      </c>
      <c r="C830" s="37" t="s">
        <v>790</v>
      </c>
      <c r="D830" s="35">
        <v>7448</v>
      </c>
      <c r="E830" s="4" t="s">
        <v>1606</v>
      </c>
      <c r="F830" s="5">
        <v>40179</v>
      </c>
      <c r="G830" s="5">
        <v>40543</v>
      </c>
      <c r="H830" s="4" t="s">
        <v>40</v>
      </c>
      <c r="I830" s="6">
        <v>2546.9499999999998</v>
      </c>
      <c r="J830" s="6">
        <v>2546.9499999999998</v>
      </c>
      <c r="K830" s="37" t="s">
        <v>790</v>
      </c>
      <c r="L830" s="119"/>
      <c r="M830" s="3"/>
    </row>
    <row r="831" spans="1:13" s="4" customFormat="1" ht="38.25" x14ac:dyDescent="0.25">
      <c r="A831" s="4" t="s">
        <v>1607</v>
      </c>
      <c r="B831" s="4" t="s">
        <v>183</v>
      </c>
      <c r="C831" s="37" t="s">
        <v>790</v>
      </c>
      <c r="D831" s="35">
        <v>7530</v>
      </c>
      <c r="E831" s="4" t="s">
        <v>1608</v>
      </c>
      <c r="F831" s="5">
        <v>40179</v>
      </c>
      <c r="G831" s="5">
        <v>41639</v>
      </c>
      <c r="H831" s="4" t="s">
        <v>40</v>
      </c>
      <c r="I831" s="6">
        <v>29500</v>
      </c>
      <c r="J831" s="6">
        <v>18500</v>
      </c>
      <c r="K831" s="37" t="s">
        <v>790</v>
      </c>
      <c r="L831" s="119"/>
      <c r="M831" s="3"/>
    </row>
    <row r="832" spans="1:13" s="4" customFormat="1" ht="51" x14ac:dyDescent="0.25">
      <c r="A832" s="4" t="s">
        <v>1609</v>
      </c>
      <c r="B832" s="4" t="s">
        <v>38</v>
      </c>
      <c r="C832" s="37" t="s">
        <v>790</v>
      </c>
      <c r="D832" s="35">
        <v>7838</v>
      </c>
      <c r="E832" s="4" t="s">
        <v>1610</v>
      </c>
      <c r="F832" s="5">
        <v>40544</v>
      </c>
      <c r="G832" s="5">
        <v>41274</v>
      </c>
      <c r="H832" s="4" t="s">
        <v>40</v>
      </c>
      <c r="I832" s="6">
        <v>7255.5</v>
      </c>
      <c r="J832" s="6">
        <v>7255.5</v>
      </c>
      <c r="K832" s="37" t="s">
        <v>790</v>
      </c>
      <c r="L832" s="119"/>
      <c r="M832" s="3"/>
    </row>
    <row r="833" spans="1:13" s="4" customFormat="1" ht="38.25" x14ac:dyDescent="0.25">
      <c r="A833" s="4" t="s">
        <v>1611</v>
      </c>
      <c r="B833" s="4" t="s">
        <v>38</v>
      </c>
      <c r="C833" s="37" t="s">
        <v>790</v>
      </c>
      <c r="D833" s="35">
        <v>7839</v>
      </c>
      <c r="E833" s="4" t="s">
        <v>1612</v>
      </c>
      <c r="F833" s="5">
        <v>40179</v>
      </c>
      <c r="G833" s="5">
        <v>41639</v>
      </c>
      <c r="H833" s="4" t="s">
        <v>40</v>
      </c>
      <c r="I833" s="6">
        <v>4500</v>
      </c>
      <c r="J833" s="6">
        <v>4500</v>
      </c>
      <c r="K833" s="37" t="s">
        <v>790</v>
      </c>
      <c r="L833" s="119"/>
      <c r="M833" s="3"/>
    </row>
    <row r="834" spans="1:13" s="4" customFormat="1" ht="51" x14ac:dyDescent="0.25">
      <c r="A834" s="4" t="s">
        <v>1613</v>
      </c>
      <c r="B834" s="4" t="s">
        <v>38</v>
      </c>
      <c r="C834" s="37" t="s">
        <v>790</v>
      </c>
      <c r="D834" s="35">
        <v>7840</v>
      </c>
      <c r="E834" s="4" t="s">
        <v>1614</v>
      </c>
      <c r="F834" s="5">
        <v>40179</v>
      </c>
      <c r="G834" s="5">
        <v>41274</v>
      </c>
      <c r="H834" s="4" t="s">
        <v>40</v>
      </c>
      <c r="I834" s="6">
        <v>10749</v>
      </c>
      <c r="J834" s="6">
        <f>9904+845</f>
        <v>10749</v>
      </c>
      <c r="K834" s="37" t="s">
        <v>790</v>
      </c>
      <c r="L834" s="119"/>
      <c r="M834" s="3"/>
    </row>
    <row r="835" spans="1:13" s="4" customFormat="1" ht="51" x14ac:dyDescent="0.25">
      <c r="A835" s="4" t="s">
        <v>1615</v>
      </c>
      <c r="B835" s="4" t="s">
        <v>38</v>
      </c>
      <c r="C835" s="37" t="s">
        <v>790</v>
      </c>
      <c r="D835" s="35">
        <v>7841</v>
      </c>
      <c r="E835" s="4" t="s">
        <v>1616</v>
      </c>
      <c r="F835" s="5">
        <v>40544</v>
      </c>
      <c r="G835" s="5">
        <v>41274</v>
      </c>
      <c r="H835" s="4" t="s">
        <v>40</v>
      </c>
      <c r="I835" s="6">
        <v>5018.3</v>
      </c>
      <c r="J835" s="6">
        <f>1847.95+3170.35</f>
        <v>5018.3</v>
      </c>
      <c r="K835" s="37" t="s">
        <v>790</v>
      </c>
      <c r="L835" s="119"/>
      <c r="M835" s="3"/>
    </row>
    <row r="836" spans="1:13" s="4" customFormat="1" ht="38.25" x14ac:dyDescent="0.25">
      <c r="A836" s="4" t="s">
        <v>1617</v>
      </c>
      <c r="B836" s="4" t="s">
        <v>38</v>
      </c>
      <c r="C836" s="37" t="s">
        <v>790</v>
      </c>
      <c r="D836" s="35">
        <v>7842</v>
      </c>
      <c r="E836" s="4" t="s">
        <v>1618</v>
      </c>
      <c r="F836" s="5">
        <v>40179</v>
      </c>
      <c r="G836" s="5">
        <v>41274</v>
      </c>
      <c r="H836" s="4" t="s">
        <v>40</v>
      </c>
      <c r="I836" s="6">
        <v>6062.5</v>
      </c>
      <c r="J836" s="6">
        <f>5536.5+526</f>
        <v>6062.5</v>
      </c>
      <c r="K836" s="37" t="s">
        <v>790</v>
      </c>
      <c r="L836" s="119"/>
      <c r="M836" s="3"/>
    </row>
    <row r="837" spans="1:13" s="4" customFormat="1" ht="25.5" x14ac:dyDescent="0.25">
      <c r="A837" s="4" t="s">
        <v>1619</v>
      </c>
      <c r="B837" s="4" t="s">
        <v>38</v>
      </c>
      <c r="C837" s="37" t="s">
        <v>790</v>
      </c>
      <c r="D837" s="35">
        <v>7843</v>
      </c>
      <c r="E837" s="4" t="s">
        <v>1620</v>
      </c>
      <c r="F837" s="5">
        <v>40179</v>
      </c>
      <c r="G837" s="5">
        <v>41274</v>
      </c>
      <c r="H837" s="4" t="s">
        <v>40</v>
      </c>
      <c r="I837" s="6">
        <v>5921.5</v>
      </c>
      <c r="J837" s="6">
        <f>4810.5+1111</f>
        <v>5921.5</v>
      </c>
      <c r="K837" s="37" t="s">
        <v>790</v>
      </c>
      <c r="L837" s="119"/>
      <c r="M837" s="3"/>
    </row>
    <row r="838" spans="1:13" s="4" customFormat="1" ht="25.5" x14ac:dyDescent="0.25">
      <c r="A838" s="4" t="s">
        <v>1621</v>
      </c>
      <c r="B838" s="4" t="s">
        <v>38</v>
      </c>
      <c r="C838" s="37" t="s">
        <v>790</v>
      </c>
      <c r="D838" s="35">
        <v>7844</v>
      </c>
      <c r="E838" s="4" t="s">
        <v>1622</v>
      </c>
      <c r="F838" s="5">
        <v>40179</v>
      </c>
      <c r="G838" s="5">
        <v>41639</v>
      </c>
      <c r="H838" s="4" t="s">
        <v>40</v>
      </c>
      <c r="I838" s="6">
        <v>1733.1</v>
      </c>
      <c r="J838" s="6">
        <v>1733.1</v>
      </c>
      <c r="K838" s="37" t="s">
        <v>790</v>
      </c>
      <c r="L838" s="119"/>
      <c r="M838" s="3"/>
    </row>
    <row r="839" spans="1:13" s="4" customFormat="1" ht="38.25" x14ac:dyDescent="0.25">
      <c r="A839" s="4" t="s">
        <v>1623</v>
      </c>
      <c r="B839" s="4" t="s">
        <v>38</v>
      </c>
      <c r="C839" s="37" t="s">
        <v>790</v>
      </c>
      <c r="D839" s="35">
        <v>7845</v>
      </c>
      <c r="E839" s="4" t="s">
        <v>1624</v>
      </c>
      <c r="F839" s="5">
        <v>40179</v>
      </c>
      <c r="G839" s="5">
        <v>41639</v>
      </c>
      <c r="H839" s="4" t="s">
        <v>40</v>
      </c>
      <c r="I839" s="6">
        <v>810</v>
      </c>
      <c r="J839" s="6">
        <v>810</v>
      </c>
      <c r="K839" s="37" t="s">
        <v>790</v>
      </c>
      <c r="L839" s="119"/>
      <c r="M839" s="3"/>
    </row>
    <row r="840" spans="1:13" s="4" customFormat="1" ht="38.25" x14ac:dyDescent="0.25">
      <c r="A840" s="4" t="s">
        <v>1625</v>
      </c>
      <c r="B840" s="4" t="s">
        <v>38</v>
      </c>
      <c r="C840" s="37" t="s">
        <v>790</v>
      </c>
      <c r="D840" s="35">
        <v>7846</v>
      </c>
      <c r="E840" s="4" t="s">
        <v>1626</v>
      </c>
      <c r="F840" s="5">
        <v>40179</v>
      </c>
      <c r="G840" s="5">
        <v>41639</v>
      </c>
      <c r="H840" s="4" t="s">
        <v>40</v>
      </c>
      <c r="I840" s="6">
        <v>2814</v>
      </c>
      <c r="J840" s="6">
        <v>2814</v>
      </c>
      <c r="K840" s="37" t="s">
        <v>790</v>
      </c>
      <c r="L840" s="119"/>
      <c r="M840" s="3"/>
    </row>
    <row r="841" spans="1:13" s="4" customFormat="1" ht="63.75" x14ac:dyDescent="0.25">
      <c r="A841" s="4" t="s">
        <v>1627</v>
      </c>
      <c r="B841" s="4" t="s">
        <v>38</v>
      </c>
      <c r="C841" s="37" t="s">
        <v>790</v>
      </c>
      <c r="D841" s="35">
        <v>7847</v>
      </c>
      <c r="E841" s="4" t="s">
        <v>1628</v>
      </c>
      <c r="F841" s="5">
        <v>40179</v>
      </c>
      <c r="G841" s="5">
        <v>41274</v>
      </c>
      <c r="H841" s="4" t="s">
        <v>40</v>
      </c>
      <c r="I841" s="6">
        <v>2041.13</v>
      </c>
      <c r="J841" s="6">
        <v>2041.13</v>
      </c>
      <c r="K841" s="37" t="s">
        <v>790</v>
      </c>
      <c r="L841" s="119"/>
      <c r="M841" s="3"/>
    </row>
    <row r="842" spans="1:13" s="4" customFormat="1" ht="38.25" x14ac:dyDescent="0.25">
      <c r="A842" s="4" t="s">
        <v>1629</v>
      </c>
      <c r="B842" s="4" t="s">
        <v>38</v>
      </c>
      <c r="C842" s="37" t="s">
        <v>790</v>
      </c>
      <c r="D842" s="35">
        <v>7848</v>
      </c>
      <c r="E842" s="4" t="s">
        <v>1630</v>
      </c>
      <c r="F842" s="5">
        <v>40179</v>
      </c>
      <c r="G842" s="5">
        <v>41639</v>
      </c>
      <c r="H842" s="4" t="s">
        <v>40</v>
      </c>
      <c r="I842" s="6">
        <v>1260</v>
      </c>
      <c r="J842" s="6">
        <v>1260</v>
      </c>
      <c r="K842" s="37" t="s">
        <v>790</v>
      </c>
      <c r="L842" s="119"/>
      <c r="M842" s="3"/>
    </row>
    <row r="843" spans="1:13" s="4" customFormat="1" ht="38.25" x14ac:dyDescent="0.25">
      <c r="A843" s="4" t="s">
        <v>1631</v>
      </c>
      <c r="B843" s="4" t="s">
        <v>38</v>
      </c>
      <c r="C843" s="37" t="s">
        <v>790</v>
      </c>
      <c r="D843" s="35">
        <v>7849</v>
      </c>
      <c r="E843" s="4" t="s">
        <v>1632</v>
      </c>
      <c r="F843" s="5">
        <v>40179</v>
      </c>
      <c r="G843" s="5">
        <v>41639</v>
      </c>
      <c r="H843" s="4" t="s">
        <v>40</v>
      </c>
      <c r="I843" s="6">
        <v>1675</v>
      </c>
      <c r="J843" s="6">
        <v>1675</v>
      </c>
      <c r="K843" s="37" t="s">
        <v>790</v>
      </c>
      <c r="L843" s="119"/>
      <c r="M843" s="3"/>
    </row>
    <row r="844" spans="1:13" s="4" customFormat="1" ht="38.25" x14ac:dyDescent="0.25">
      <c r="A844" s="4" t="s">
        <v>1633</v>
      </c>
      <c r="B844" s="4" t="s">
        <v>38</v>
      </c>
      <c r="C844" s="37" t="s">
        <v>790</v>
      </c>
      <c r="D844" s="35">
        <v>7850</v>
      </c>
      <c r="E844" s="4" t="s">
        <v>1634</v>
      </c>
      <c r="F844" s="5">
        <v>40179</v>
      </c>
      <c r="G844" s="5">
        <v>41274</v>
      </c>
      <c r="H844" s="4" t="s">
        <v>40</v>
      </c>
      <c r="I844" s="6">
        <v>31050.5</v>
      </c>
      <c r="J844" s="6">
        <f>26436.5+4614</f>
        <v>31050.5</v>
      </c>
      <c r="K844" s="37" t="s">
        <v>790</v>
      </c>
      <c r="L844" s="119"/>
      <c r="M844" s="3"/>
    </row>
    <row r="845" spans="1:13" s="4" customFormat="1" ht="38.25" x14ac:dyDescent="0.25">
      <c r="A845" s="4" t="s">
        <v>1635</v>
      </c>
      <c r="B845" s="4" t="s">
        <v>38</v>
      </c>
      <c r="C845" s="37" t="s">
        <v>790</v>
      </c>
      <c r="D845" s="35">
        <v>7881</v>
      </c>
      <c r="E845" s="4" t="s">
        <v>1636</v>
      </c>
      <c r="F845" s="5">
        <v>40544</v>
      </c>
      <c r="G845" s="5">
        <v>41639</v>
      </c>
      <c r="H845" s="4" t="s">
        <v>40</v>
      </c>
      <c r="I845" s="6">
        <v>34510.93</v>
      </c>
      <c r="J845" s="6">
        <v>34510.93</v>
      </c>
      <c r="K845" s="37" t="s">
        <v>790</v>
      </c>
      <c r="L845" s="119"/>
      <c r="M845" s="3"/>
    </row>
    <row r="846" spans="1:13" s="4" customFormat="1" ht="38.25" x14ac:dyDescent="0.25">
      <c r="A846" s="4" t="s">
        <v>1637</v>
      </c>
      <c r="B846" s="4" t="s">
        <v>183</v>
      </c>
      <c r="C846" s="37" t="s">
        <v>790</v>
      </c>
      <c r="D846" s="35">
        <v>8619</v>
      </c>
      <c r="E846" s="4" t="s">
        <v>1638</v>
      </c>
      <c r="F846" s="5">
        <v>40525</v>
      </c>
      <c r="G846" s="5">
        <v>40908</v>
      </c>
      <c r="H846" s="4" t="s">
        <v>40</v>
      </c>
      <c r="I846" s="6">
        <v>51853.64</v>
      </c>
      <c r="J846" s="6">
        <v>25926.82</v>
      </c>
      <c r="K846" s="37" t="s">
        <v>790</v>
      </c>
      <c r="L846" s="119"/>
      <c r="M846" s="3"/>
    </row>
    <row r="847" spans="1:13" s="4" customFormat="1" ht="38.25" x14ac:dyDescent="0.25">
      <c r="A847" s="4" t="s">
        <v>1639</v>
      </c>
      <c r="B847" s="4" t="s">
        <v>190</v>
      </c>
      <c r="C847" s="37" t="s">
        <v>790</v>
      </c>
      <c r="D847" s="35">
        <v>8620</v>
      </c>
      <c r="E847" s="4" t="s">
        <v>1640</v>
      </c>
      <c r="F847" s="5">
        <v>40805</v>
      </c>
      <c r="G847" s="5">
        <v>41274</v>
      </c>
      <c r="H847" s="4" t="s">
        <v>40</v>
      </c>
      <c r="I847" s="6">
        <v>17426.98</v>
      </c>
      <c r="J847" s="6">
        <v>8713.49</v>
      </c>
      <c r="K847" s="37" t="s">
        <v>790</v>
      </c>
      <c r="L847" s="119"/>
      <c r="M847" s="3"/>
    </row>
    <row r="848" spans="1:13" s="4" customFormat="1" ht="38.25" x14ac:dyDescent="0.25">
      <c r="A848" s="4" t="s">
        <v>1641</v>
      </c>
      <c r="B848" s="4" t="s">
        <v>183</v>
      </c>
      <c r="C848" s="37" t="s">
        <v>790</v>
      </c>
      <c r="D848" s="35">
        <v>8621</v>
      </c>
      <c r="E848" s="4" t="s">
        <v>1642</v>
      </c>
      <c r="F848" s="5">
        <v>40805</v>
      </c>
      <c r="G848" s="5">
        <v>41274</v>
      </c>
      <c r="H848" s="4" t="s">
        <v>40</v>
      </c>
      <c r="I848" s="6">
        <v>80252.2</v>
      </c>
      <c r="J848" s="6">
        <v>52126</v>
      </c>
      <c r="K848" s="37" t="s">
        <v>790</v>
      </c>
      <c r="L848" s="119"/>
      <c r="M848" s="3"/>
    </row>
    <row r="849" spans="1:13" s="4" customFormat="1" ht="38.25" x14ac:dyDescent="0.25">
      <c r="A849" s="4" t="s">
        <v>1643</v>
      </c>
      <c r="B849" s="4" t="s">
        <v>183</v>
      </c>
      <c r="C849" s="37" t="s">
        <v>790</v>
      </c>
      <c r="D849" s="35">
        <v>8622</v>
      </c>
      <c r="E849" s="4" t="s">
        <v>1644</v>
      </c>
      <c r="F849" s="5">
        <v>40588</v>
      </c>
      <c r="G849" s="5">
        <v>40953</v>
      </c>
      <c r="H849" s="4" t="s">
        <v>40</v>
      </c>
      <c r="I849" s="6">
        <v>40779.1</v>
      </c>
      <c r="J849" s="6">
        <v>27889.55</v>
      </c>
      <c r="K849" s="37" t="s">
        <v>790</v>
      </c>
      <c r="L849" s="119"/>
      <c r="M849" s="3"/>
    </row>
    <row r="850" spans="1:13" s="4" customFormat="1" ht="38.25" x14ac:dyDescent="0.25">
      <c r="A850" s="4" t="s">
        <v>1645</v>
      </c>
      <c r="B850" s="4" t="s">
        <v>190</v>
      </c>
      <c r="C850" s="37" t="s">
        <v>790</v>
      </c>
      <c r="D850" s="35">
        <v>8624</v>
      </c>
      <c r="E850" s="4" t="s">
        <v>1646</v>
      </c>
      <c r="F850" s="5">
        <v>40882</v>
      </c>
      <c r="G850" s="5">
        <v>41274</v>
      </c>
      <c r="H850" s="4" t="s">
        <v>40</v>
      </c>
      <c r="I850" s="6">
        <v>27720.720000000001</v>
      </c>
      <c r="J850" s="6">
        <v>21360.36</v>
      </c>
      <c r="K850" s="37" t="s">
        <v>790</v>
      </c>
      <c r="L850" s="119"/>
      <c r="M850" s="3"/>
    </row>
    <row r="851" spans="1:13" s="4" customFormat="1" ht="38.25" x14ac:dyDescent="0.25">
      <c r="A851" s="4" t="s">
        <v>1647</v>
      </c>
      <c r="B851" s="4" t="s">
        <v>38</v>
      </c>
      <c r="C851" s="37" t="s">
        <v>790</v>
      </c>
      <c r="D851" s="35">
        <v>8625</v>
      </c>
      <c r="E851" s="4" t="s">
        <v>1648</v>
      </c>
      <c r="F851" s="5">
        <v>40725</v>
      </c>
      <c r="G851" s="5">
        <v>41060</v>
      </c>
      <c r="H851" s="4" t="s">
        <v>40</v>
      </c>
      <c r="I851" s="6">
        <v>6333.75</v>
      </c>
      <c r="J851" s="6">
        <v>6335.75</v>
      </c>
      <c r="K851" s="37" t="s">
        <v>790</v>
      </c>
      <c r="L851" s="119"/>
      <c r="M851" s="3"/>
    </row>
    <row r="852" spans="1:13" s="4" customFormat="1" ht="38.25" x14ac:dyDescent="0.25">
      <c r="A852" s="4" t="s">
        <v>1649</v>
      </c>
      <c r="B852" s="4" t="s">
        <v>38</v>
      </c>
      <c r="C852" s="37" t="s">
        <v>790</v>
      </c>
      <c r="D852" s="35">
        <v>8626</v>
      </c>
      <c r="E852" s="4" t="s">
        <v>1294</v>
      </c>
      <c r="F852" s="5">
        <v>40544</v>
      </c>
      <c r="H852" s="4" t="s">
        <v>40</v>
      </c>
      <c r="I852" s="6">
        <v>16574.580000000002</v>
      </c>
      <c r="J852" s="6">
        <v>16574.580000000002</v>
      </c>
      <c r="K852" s="37" t="s">
        <v>790</v>
      </c>
      <c r="L852" s="119"/>
      <c r="M852" s="3"/>
    </row>
    <row r="853" spans="1:13" s="4" customFormat="1" ht="63.75" x14ac:dyDescent="0.25">
      <c r="A853" s="4" t="s">
        <v>1650</v>
      </c>
      <c r="B853" s="4" t="s">
        <v>38</v>
      </c>
      <c r="C853" s="37" t="s">
        <v>790</v>
      </c>
      <c r="D853" s="35">
        <v>8627</v>
      </c>
      <c r="E853" s="4" t="s">
        <v>1651</v>
      </c>
      <c r="F853" s="5">
        <v>40544</v>
      </c>
      <c r="G853" s="5">
        <v>40908</v>
      </c>
      <c r="H853" s="4" t="s">
        <v>40</v>
      </c>
      <c r="I853" s="6">
        <v>2364.5300000000002</v>
      </c>
      <c r="J853" s="6">
        <v>2364.5300000000002</v>
      </c>
      <c r="K853" s="37" t="s">
        <v>790</v>
      </c>
      <c r="L853" s="119"/>
      <c r="M853" s="3"/>
    </row>
    <row r="854" spans="1:13" s="4" customFormat="1" ht="38.25" x14ac:dyDescent="0.25">
      <c r="A854" s="4" t="s">
        <v>1652</v>
      </c>
      <c r="B854" s="4" t="s">
        <v>38</v>
      </c>
      <c r="C854" s="37" t="s">
        <v>790</v>
      </c>
      <c r="D854" s="35">
        <v>8730</v>
      </c>
      <c r="E854" s="4" t="s">
        <v>1653</v>
      </c>
      <c r="F854" s="5">
        <v>40544</v>
      </c>
      <c r="G854" s="5">
        <v>40908</v>
      </c>
      <c r="H854" s="4" t="s">
        <v>40</v>
      </c>
      <c r="I854" s="6">
        <v>17639.009999999998</v>
      </c>
      <c r="J854" s="6">
        <v>17639.009999999998</v>
      </c>
      <c r="K854" s="37" t="s">
        <v>790</v>
      </c>
      <c r="L854" s="119"/>
      <c r="M854" s="3"/>
    </row>
    <row r="855" spans="1:13" s="4" customFormat="1" ht="140.25" x14ac:dyDescent="0.25">
      <c r="A855" s="4" t="s">
        <v>1654</v>
      </c>
      <c r="B855" s="4" t="s">
        <v>38</v>
      </c>
      <c r="C855" s="37" t="s">
        <v>790</v>
      </c>
      <c r="D855" s="35">
        <v>8732</v>
      </c>
      <c r="E855" s="7" t="s">
        <v>1298</v>
      </c>
      <c r="F855" s="5">
        <v>40544</v>
      </c>
      <c r="G855" s="5">
        <v>40908</v>
      </c>
      <c r="H855" s="4" t="s">
        <v>40</v>
      </c>
      <c r="I855" s="6">
        <v>4000</v>
      </c>
      <c r="J855" s="6">
        <v>4000</v>
      </c>
      <c r="K855" s="37" t="s">
        <v>790</v>
      </c>
      <c r="L855" s="119"/>
      <c r="M855" s="3"/>
    </row>
    <row r="856" spans="1:13" s="4" customFormat="1" ht="25.5" x14ac:dyDescent="0.25">
      <c r="A856" s="4" t="s">
        <v>1655</v>
      </c>
      <c r="B856" s="4" t="s">
        <v>38</v>
      </c>
      <c r="C856" s="37" t="s">
        <v>790</v>
      </c>
      <c r="D856" s="35">
        <v>8733</v>
      </c>
      <c r="E856" s="4" t="s">
        <v>1656</v>
      </c>
      <c r="F856" s="5">
        <v>40544</v>
      </c>
      <c r="G856" s="5">
        <v>40908</v>
      </c>
      <c r="H856" s="4" t="s">
        <v>40</v>
      </c>
      <c r="I856" s="6">
        <v>2500</v>
      </c>
      <c r="J856" s="6">
        <v>2500</v>
      </c>
      <c r="K856" s="37" t="s">
        <v>790</v>
      </c>
      <c r="L856" s="119"/>
      <c r="M856" s="3"/>
    </row>
    <row r="857" spans="1:13" s="4" customFormat="1" ht="63.75" x14ac:dyDescent="0.25">
      <c r="A857" s="4" t="s">
        <v>1657</v>
      </c>
      <c r="B857" s="4" t="s">
        <v>38</v>
      </c>
      <c r="C857" s="37" t="s">
        <v>790</v>
      </c>
      <c r="D857" s="35">
        <v>8735</v>
      </c>
      <c r="E857" s="4" t="s">
        <v>1658</v>
      </c>
      <c r="F857" s="5">
        <v>40544</v>
      </c>
      <c r="G857" s="5">
        <v>40908</v>
      </c>
      <c r="H857" s="4" t="s">
        <v>40</v>
      </c>
      <c r="I857" s="6">
        <v>734.88</v>
      </c>
      <c r="J857" s="6">
        <v>734.88</v>
      </c>
      <c r="K857" s="37" t="s">
        <v>790</v>
      </c>
      <c r="L857" s="119"/>
      <c r="M857" s="3"/>
    </row>
    <row r="858" spans="1:13" s="4" customFormat="1" ht="25.5" x14ac:dyDescent="0.25">
      <c r="A858" s="4" t="s">
        <v>1659</v>
      </c>
      <c r="B858" s="4" t="s">
        <v>38</v>
      </c>
      <c r="C858" s="37" t="s">
        <v>790</v>
      </c>
      <c r="D858" s="35">
        <v>8736</v>
      </c>
      <c r="E858" s="4" t="s">
        <v>1300</v>
      </c>
      <c r="F858" s="5">
        <v>40544</v>
      </c>
      <c r="G858" s="5">
        <v>40908</v>
      </c>
      <c r="H858" s="4" t="s">
        <v>40</v>
      </c>
      <c r="I858" s="6">
        <v>13105.8</v>
      </c>
      <c r="J858" s="6">
        <v>6552.9</v>
      </c>
      <c r="K858" s="37" t="s">
        <v>790</v>
      </c>
      <c r="L858" s="119"/>
      <c r="M858" s="3"/>
    </row>
    <row r="859" spans="1:13" s="4" customFormat="1" ht="63.75" x14ac:dyDescent="0.25">
      <c r="A859" s="4" t="s">
        <v>1660</v>
      </c>
      <c r="B859" s="4" t="s">
        <v>38</v>
      </c>
      <c r="C859" s="37" t="s">
        <v>790</v>
      </c>
      <c r="D859" s="35">
        <v>8738</v>
      </c>
      <c r="E859" s="4" t="s">
        <v>1661</v>
      </c>
      <c r="F859" s="5">
        <v>40544</v>
      </c>
      <c r="G859" s="5">
        <v>40908</v>
      </c>
      <c r="H859" s="4" t="s">
        <v>40</v>
      </c>
      <c r="I859" s="6">
        <v>3714.91</v>
      </c>
      <c r="J859" s="6">
        <v>3714.91</v>
      </c>
      <c r="K859" s="37" t="s">
        <v>790</v>
      </c>
      <c r="L859" s="119"/>
      <c r="M859" s="3"/>
    </row>
    <row r="860" spans="1:13" s="4" customFormat="1" ht="38.25" x14ac:dyDescent="0.25">
      <c r="A860" s="4" t="s">
        <v>1662</v>
      </c>
      <c r="B860" s="4" t="s">
        <v>38</v>
      </c>
      <c r="C860" s="37" t="s">
        <v>790</v>
      </c>
      <c r="D860" s="35">
        <v>8741</v>
      </c>
      <c r="E860" s="4" t="s">
        <v>1663</v>
      </c>
      <c r="F860" s="5">
        <v>40544</v>
      </c>
      <c r="G860" s="5">
        <v>40908</v>
      </c>
      <c r="H860" s="4" t="s">
        <v>40</v>
      </c>
      <c r="I860" s="6">
        <v>2681.2</v>
      </c>
      <c r="J860" s="6">
        <v>2681.2</v>
      </c>
      <c r="K860" s="37" t="s">
        <v>790</v>
      </c>
      <c r="L860" s="119"/>
      <c r="M860" s="3"/>
    </row>
    <row r="861" spans="1:13" s="4" customFormat="1" ht="63.75" x14ac:dyDescent="0.25">
      <c r="A861" s="4" t="s">
        <v>1664</v>
      </c>
      <c r="B861" s="4" t="s">
        <v>38</v>
      </c>
      <c r="C861" s="37" t="s">
        <v>790</v>
      </c>
      <c r="D861" s="35">
        <v>8767</v>
      </c>
      <c r="E861" s="4" t="s">
        <v>1665</v>
      </c>
      <c r="F861" s="5">
        <v>40544</v>
      </c>
      <c r="G861" s="5">
        <v>40908</v>
      </c>
      <c r="H861" s="4" t="s">
        <v>40</v>
      </c>
      <c r="I861" s="6">
        <v>10000</v>
      </c>
      <c r="J861" s="6">
        <v>10000</v>
      </c>
      <c r="K861" s="37" t="s">
        <v>790</v>
      </c>
      <c r="L861" s="119"/>
      <c r="M861" s="3"/>
    </row>
    <row r="862" spans="1:13" s="4" customFormat="1" ht="76.5" x14ac:dyDescent="0.25">
      <c r="A862" s="4" t="s">
        <v>1666</v>
      </c>
      <c r="B862" s="4" t="s">
        <v>38</v>
      </c>
      <c r="C862" s="37" t="s">
        <v>790</v>
      </c>
      <c r="D862" s="35">
        <v>8770</v>
      </c>
      <c r="E862" s="7" t="s">
        <v>1533</v>
      </c>
      <c r="F862" s="5">
        <v>40544</v>
      </c>
      <c r="G862" s="5">
        <v>40908</v>
      </c>
      <c r="H862" s="4" t="s">
        <v>40</v>
      </c>
      <c r="I862" s="6">
        <v>699.37</v>
      </c>
      <c r="J862" s="6">
        <v>699.37</v>
      </c>
      <c r="K862" s="37" t="s">
        <v>790</v>
      </c>
      <c r="L862" s="119"/>
      <c r="M862" s="3"/>
    </row>
    <row r="863" spans="1:13" s="4" customFormat="1" ht="127.5" x14ac:dyDescent="0.25">
      <c r="A863" s="4" t="s">
        <v>1667</v>
      </c>
      <c r="B863" s="4" t="s">
        <v>38</v>
      </c>
      <c r="C863" s="37" t="s">
        <v>790</v>
      </c>
      <c r="D863" s="35">
        <v>8774</v>
      </c>
      <c r="E863" s="7" t="s">
        <v>1668</v>
      </c>
      <c r="F863" s="5">
        <v>40544</v>
      </c>
      <c r="G863" s="5">
        <v>40908</v>
      </c>
      <c r="H863" s="4" t="s">
        <v>40</v>
      </c>
      <c r="I863" s="6">
        <v>789.12</v>
      </c>
      <c r="J863" s="6">
        <v>789.12</v>
      </c>
      <c r="K863" s="37" t="s">
        <v>790</v>
      </c>
      <c r="L863" s="119"/>
      <c r="M863" s="3"/>
    </row>
    <row r="864" spans="1:13" s="4" customFormat="1" ht="63.75" x14ac:dyDescent="0.25">
      <c r="A864" s="4" t="s">
        <v>1669</v>
      </c>
      <c r="B864" s="4" t="s">
        <v>38</v>
      </c>
      <c r="C864" s="37" t="s">
        <v>790</v>
      </c>
      <c r="D864" s="35">
        <v>8775</v>
      </c>
      <c r="E864" s="4" t="s">
        <v>1670</v>
      </c>
      <c r="F864" s="5">
        <v>40544</v>
      </c>
      <c r="G864" s="5">
        <v>41274</v>
      </c>
      <c r="H864" s="4" t="s">
        <v>40</v>
      </c>
      <c r="I864" s="6">
        <v>1000</v>
      </c>
      <c r="J864" s="6">
        <v>1000</v>
      </c>
      <c r="K864" s="37" t="s">
        <v>790</v>
      </c>
      <c r="L864" s="119"/>
      <c r="M864" s="3"/>
    </row>
    <row r="865" spans="1:13" s="4" customFormat="1" ht="114.75" x14ac:dyDescent="0.25">
      <c r="A865" s="4" t="s">
        <v>1671</v>
      </c>
      <c r="B865" s="4" t="s">
        <v>38</v>
      </c>
      <c r="C865" s="37" t="s">
        <v>790</v>
      </c>
      <c r="D865" s="35">
        <v>8776</v>
      </c>
      <c r="E865" s="7" t="s">
        <v>1672</v>
      </c>
      <c r="F865" s="5">
        <v>40544</v>
      </c>
      <c r="G865" s="5">
        <v>40908</v>
      </c>
      <c r="H865" s="4" t="s">
        <v>40</v>
      </c>
      <c r="I865" s="6">
        <v>915.05</v>
      </c>
      <c r="J865" s="6">
        <v>915.05</v>
      </c>
      <c r="K865" s="37" t="s">
        <v>790</v>
      </c>
      <c r="L865" s="119"/>
      <c r="M865" s="3"/>
    </row>
    <row r="866" spans="1:13" s="4" customFormat="1" ht="38.25" x14ac:dyDescent="0.25">
      <c r="A866" s="4" t="s">
        <v>1673</v>
      </c>
      <c r="B866" s="4" t="s">
        <v>38</v>
      </c>
      <c r="C866" s="37" t="s">
        <v>790</v>
      </c>
      <c r="D866" s="35">
        <v>8777</v>
      </c>
      <c r="E866" s="4" t="s">
        <v>1674</v>
      </c>
      <c r="F866" s="5">
        <v>40544</v>
      </c>
      <c r="G866" s="5">
        <v>40908</v>
      </c>
      <c r="H866" s="4" t="s">
        <v>40</v>
      </c>
      <c r="I866" s="6">
        <v>2049.5700000000002</v>
      </c>
      <c r="J866" s="6">
        <v>2049.5700000000002</v>
      </c>
      <c r="K866" s="37" t="s">
        <v>790</v>
      </c>
      <c r="L866" s="119"/>
      <c r="M866" s="3"/>
    </row>
    <row r="867" spans="1:13" s="4" customFormat="1" ht="51" x14ac:dyDescent="0.25">
      <c r="A867" s="4" t="s">
        <v>1675</v>
      </c>
      <c r="B867" s="4" t="s">
        <v>38</v>
      </c>
      <c r="C867" s="37" t="s">
        <v>790</v>
      </c>
      <c r="D867" s="35">
        <v>8779</v>
      </c>
      <c r="E867" s="4" t="s">
        <v>1676</v>
      </c>
      <c r="F867" s="5">
        <v>40544</v>
      </c>
      <c r="G867" s="5">
        <v>40908</v>
      </c>
      <c r="H867" s="4" t="s">
        <v>40</v>
      </c>
      <c r="I867" s="6">
        <v>3346.59</v>
      </c>
      <c r="J867" s="6">
        <v>3346.59</v>
      </c>
      <c r="K867" s="37" t="s">
        <v>790</v>
      </c>
      <c r="L867" s="119"/>
      <c r="M867" s="3"/>
    </row>
    <row r="868" spans="1:13" s="4" customFormat="1" ht="127.5" x14ac:dyDescent="0.25">
      <c r="A868" s="4" t="s">
        <v>1677</v>
      </c>
      <c r="B868" s="4" t="s">
        <v>38</v>
      </c>
      <c r="C868" s="37" t="s">
        <v>790</v>
      </c>
      <c r="D868" s="35">
        <v>8780</v>
      </c>
      <c r="E868" s="7" t="s">
        <v>1678</v>
      </c>
      <c r="F868" s="5">
        <v>40544</v>
      </c>
      <c r="G868" s="5">
        <v>40908</v>
      </c>
      <c r="H868" s="4" t="s">
        <v>40</v>
      </c>
      <c r="I868" s="6">
        <v>3119.45</v>
      </c>
      <c r="J868" s="6">
        <v>3119.45</v>
      </c>
      <c r="K868" s="37" t="s">
        <v>790</v>
      </c>
      <c r="L868" s="119"/>
      <c r="M868" s="3"/>
    </row>
    <row r="869" spans="1:13" s="4" customFormat="1" ht="38.25" x14ac:dyDescent="0.25">
      <c r="A869" s="4" t="s">
        <v>1679</v>
      </c>
      <c r="B869" s="4" t="s">
        <v>38</v>
      </c>
      <c r="C869" s="37" t="s">
        <v>790</v>
      </c>
      <c r="D869" s="35">
        <v>8781</v>
      </c>
      <c r="E869" s="4" t="s">
        <v>1125</v>
      </c>
      <c r="F869" s="5">
        <v>40544</v>
      </c>
      <c r="G869" s="5">
        <v>40908</v>
      </c>
      <c r="H869" s="4" t="s">
        <v>40</v>
      </c>
      <c r="I869" s="6">
        <v>29630</v>
      </c>
      <c r="J869" s="6">
        <v>29630</v>
      </c>
      <c r="K869" s="37" t="s">
        <v>790</v>
      </c>
      <c r="L869" s="119"/>
      <c r="M869" s="3"/>
    </row>
    <row r="870" spans="1:13" s="4" customFormat="1" ht="114.75" x14ac:dyDescent="0.25">
      <c r="A870" s="4" t="s">
        <v>1680</v>
      </c>
      <c r="B870" s="4" t="s">
        <v>38</v>
      </c>
      <c r="C870" s="37" t="s">
        <v>790</v>
      </c>
      <c r="D870" s="35">
        <v>8782</v>
      </c>
      <c r="E870" s="7" t="s">
        <v>1541</v>
      </c>
      <c r="F870" s="5">
        <v>40544</v>
      </c>
      <c r="G870" s="5">
        <v>40908</v>
      </c>
      <c r="H870" s="4" t="s">
        <v>40</v>
      </c>
      <c r="I870" s="6">
        <v>1938</v>
      </c>
      <c r="J870" s="6">
        <v>1938</v>
      </c>
      <c r="K870" s="37" t="s">
        <v>790</v>
      </c>
      <c r="L870" s="119"/>
      <c r="M870" s="3"/>
    </row>
    <row r="871" spans="1:13" s="4" customFormat="1" ht="38.25" x14ac:dyDescent="0.25">
      <c r="A871" s="4" t="s">
        <v>1681</v>
      </c>
      <c r="B871" s="4" t="s">
        <v>38</v>
      </c>
      <c r="C871" s="37" t="s">
        <v>790</v>
      </c>
      <c r="D871" s="35">
        <v>8783</v>
      </c>
      <c r="E871" s="4" t="s">
        <v>1682</v>
      </c>
      <c r="F871" s="5">
        <v>40544</v>
      </c>
      <c r="G871" s="5">
        <v>40908</v>
      </c>
      <c r="H871" s="4" t="s">
        <v>40</v>
      </c>
      <c r="I871" s="6">
        <v>3220.51</v>
      </c>
      <c r="J871" s="6">
        <v>3220.51</v>
      </c>
      <c r="K871" s="37" t="s">
        <v>790</v>
      </c>
      <c r="L871" s="119"/>
      <c r="M871" s="3"/>
    </row>
    <row r="872" spans="1:13" s="4" customFormat="1" ht="76.5" x14ac:dyDescent="0.25">
      <c r="A872" s="4" t="s">
        <v>1683</v>
      </c>
      <c r="B872" s="4" t="s">
        <v>38</v>
      </c>
      <c r="C872" s="37" t="s">
        <v>790</v>
      </c>
      <c r="D872" s="35">
        <v>8785</v>
      </c>
      <c r="E872" s="4" t="s">
        <v>1543</v>
      </c>
      <c r="F872" s="5">
        <v>40544</v>
      </c>
      <c r="G872" s="5">
        <v>40908</v>
      </c>
      <c r="H872" s="4" t="s">
        <v>40</v>
      </c>
      <c r="I872" s="6">
        <v>2458.4</v>
      </c>
      <c r="J872" s="6">
        <v>2458.4</v>
      </c>
      <c r="K872" s="37" t="s">
        <v>790</v>
      </c>
      <c r="L872" s="119"/>
      <c r="M872" s="3"/>
    </row>
    <row r="873" spans="1:13" s="4" customFormat="1" ht="63.75" x14ac:dyDescent="0.25">
      <c r="A873" s="4" t="s">
        <v>1684</v>
      </c>
      <c r="B873" s="4" t="s">
        <v>38</v>
      </c>
      <c r="C873" s="37" t="s">
        <v>790</v>
      </c>
      <c r="D873" s="35">
        <v>8786</v>
      </c>
      <c r="E873" s="4" t="s">
        <v>1685</v>
      </c>
      <c r="F873" s="5">
        <v>40544</v>
      </c>
      <c r="G873" s="5">
        <v>40908</v>
      </c>
      <c r="H873" s="4" t="s">
        <v>40</v>
      </c>
      <c r="I873" s="6">
        <v>851.31</v>
      </c>
      <c r="J873" s="6">
        <v>851.31</v>
      </c>
      <c r="K873" s="37" t="s">
        <v>790</v>
      </c>
      <c r="L873" s="119"/>
      <c r="M873" s="3"/>
    </row>
    <row r="874" spans="1:13" s="4" customFormat="1" ht="38.25" x14ac:dyDescent="0.25">
      <c r="A874" s="4" t="s">
        <v>1686</v>
      </c>
      <c r="B874" s="4" t="s">
        <v>38</v>
      </c>
      <c r="C874" s="37" t="s">
        <v>790</v>
      </c>
      <c r="D874" s="35">
        <v>8787</v>
      </c>
      <c r="E874" s="4" t="s">
        <v>1687</v>
      </c>
      <c r="F874" s="5">
        <v>40544</v>
      </c>
      <c r="G874" s="5">
        <v>40908</v>
      </c>
      <c r="H874" s="4" t="s">
        <v>40</v>
      </c>
      <c r="I874" s="6">
        <v>1674.17</v>
      </c>
      <c r="J874" s="6">
        <v>1674.17</v>
      </c>
      <c r="K874" s="37" t="s">
        <v>790</v>
      </c>
      <c r="L874" s="119"/>
      <c r="M874" s="3"/>
    </row>
    <row r="875" spans="1:13" s="4" customFormat="1" ht="38.25" x14ac:dyDescent="0.25">
      <c r="A875" s="4" t="s">
        <v>1688</v>
      </c>
      <c r="B875" s="4" t="s">
        <v>38</v>
      </c>
      <c r="C875" s="37" t="s">
        <v>790</v>
      </c>
      <c r="D875" s="35">
        <v>8788</v>
      </c>
      <c r="E875" s="4" t="s">
        <v>1689</v>
      </c>
      <c r="F875" s="5">
        <v>40544</v>
      </c>
      <c r="G875" s="5">
        <v>40908</v>
      </c>
      <c r="H875" s="4" t="s">
        <v>40</v>
      </c>
      <c r="I875" s="6">
        <v>3604.84</v>
      </c>
      <c r="J875" s="6">
        <v>3604.84</v>
      </c>
      <c r="K875" s="37" t="s">
        <v>790</v>
      </c>
      <c r="L875" s="119"/>
      <c r="M875" s="3"/>
    </row>
    <row r="876" spans="1:13" s="4" customFormat="1" ht="63.75" x14ac:dyDescent="0.25">
      <c r="A876" s="4" t="s">
        <v>1690</v>
      </c>
      <c r="B876" s="4" t="s">
        <v>38</v>
      </c>
      <c r="C876" s="37" t="s">
        <v>790</v>
      </c>
      <c r="D876" s="35">
        <v>8790</v>
      </c>
      <c r="E876" s="4" t="s">
        <v>1691</v>
      </c>
      <c r="F876" s="5">
        <v>40544</v>
      </c>
      <c r="G876" s="5">
        <v>40908</v>
      </c>
      <c r="H876" s="4" t="s">
        <v>40</v>
      </c>
      <c r="I876" s="6">
        <v>8308.25</v>
      </c>
      <c r="J876" s="6">
        <v>8308.25</v>
      </c>
      <c r="K876" s="37" t="s">
        <v>790</v>
      </c>
      <c r="L876" s="119"/>
      <c r="M876" s="3"/>
    </row>
    <row r="877" spans="1:13" s="4" customFormat="1" ht="63.75" x14ac:dyDescent="0.25">
      <c r="A877" s="4" t="s">
        <v>1692</v>
      </c>
      <c r="B877" s="4" t="s">
        <v>38</v>
      </c>
      <c r="C877" s="37" t="s">
        <v>790</v>
      </c>
      <c r="D877" s="35">
        <v>8791</v>
      </c>
      <c r="E877" s="4" t="s">
        <v>1693</v>
      </c>
      <c r="F877" s="5">
        <v>40787</v>
      </c>
      <c r="H877" s="4" t="s">
        <v>40</v>
      </c>
      <c r="I877" s="6">
        <v>4962.6000000000004</v>
      </c>
      <c r="J877" s="6">
        <v>4942.6000000000004</v>
      </c>
      <c r="K877" s="37" t="s">
        <v>790</v>
      </c>
      <c r="L877" s="119"/>
      <c r="M877" s="3"/>
    </row>
    <row r="878" spans="1:13" s="4" customFormat="1" ht="38.25" x14ac:dyDescent="0.25">
      <c r="A878" s="4" t="s">
        <v>1694</v>
      </c>
      <c r="B878" s="4" t="s">
        <v>38</v>
      </c>
      <c r="C878" s="37" t="s">
        <v>790</v>
      </c>
      <c r="D878" s="35">
        <v>8794</v>
      </c>
      <c r="E878" s="4" t="s">
        <v>1151</v>
      </c>
      <c r="F878" s="5">
        <v>40595</v>
      </c>
      <c r="G878" s="5">
        <v>40908</v>
      </c>
      <c r="H878" s="4" t="s">
        <v>40</v>
      </c>
      <c r="I878" s="6">
        <v>5045.34</v>
      </c>
      <c r="J878" s="6">
        <v>3117.75</v>
      </c>
      <c r="K878" s="37" t="s">
        <v>790</v>
      </c>
      <c r="L878" s="119"/>
      <c r="M878" s="3"/>
    </row>
    <row r="879" spans="1:13" s="4" customFormat="1" ht="127.5" x14ac:dyDescent="0.25">
      <c r="A879" s="4" t="s">
        <v>1695</v>
      </c>
      <c r="B879" s="4" t="s">
        <v>38</v>
      </c>
      <c r="C879" s="37" t="s">
        <v>790</v>
      </c>
      <c r="D879" s="35">
        <v>8795</v>
      </c>
      <c r="E879" s="7" t="s">
        <v>1696</v>
      </c>
      <c r="F879" s="5">
        <v>40544</v>
      </c>
      <c r="G879" s="5">
        <v>40908</v>
      </c>
      <c r="H879" s="4" t="s">
        <v>40</v>
      </c>
      <c r="I879" s="6">
        <v>1230.92</v>
      </c>
      <c r="J879" s="6">
        <v>1230.92</v>
      </c>
      <c r="K879" s="37" t="s">
        <v>790</v>
      </c>
      <c r="L879" s="119"/>
      <c r="M879" s="3"/>
    </row>
    <row r="880" spans="1:13" s="4" customFormat="1" ht="51" x14ac:dyDescent="0.25">
      <c r="A880" s="4" t="s">
        <v>1697</v>
      </c>
      <c r="B880" s="4" t="s">
        <v>38</v>
      </c>
      <c r="C880" s="37" t="s">
        <v>790</v>
      </c>
      <c r="D880" s="35">
        <v>8796</v>
      </c>
      <c r="E880" s="4" t="s">
        <v>1698</v>
      </c>
      <c r="F880" s="5">
        <v>40544</v>
      </c>
      <c r="G880" s="5">
        <v>40908</v>
      </c>
      <c r="H880" s="4" t="s">
        <v>40</v>
      </c>
      <c r="I880" s="6">
        <v>5000</v>
      </c>
      <c r="J880" s="6">
        <v>5000</v>
      </c>
      <c r="K880" s="37" t="s">
        <v>790</v>
      </c>
      <c r="L880" s="119"/>
      <c r="M880" s="3"/>
    </row>
    <row r="881" spans="1:13" s="4" customFormat="1" ht="127.5" x14ac:dyDescent="0.25">
      <c r="A881" s="4" t="s">
        <v>1699</v>
      </c>
      <c r="B881" s="4" t="s">
        <v>38</v>
      </c>
      <c r="C881" s="37" t="s">
        <v>790</v>
      </c>
      <c r="D881" s="35">
        <v>8797</v>
      </c>
      <c r="E881" s="7" t="s">
        <v>1700</v>
      </c>
      <c r="F881" s="5">
        <v>40544</v>
      </c>
      <c r="G881" s="5">
        <v>40908</v>
      </c>
      <c r="H881" s="4" t="s">
        <v>40</v>
      </c>
      <c r="I881" s="6">
        <v>2231.63</v>
      </c>
      <c r="J881" s="6">
        <v>2231.63</v>
      </c>
      <c r="K881" s="37" t="s">
        <v>790</v>
      </c>
      <c r="L881" s="119"/>
      <c r="M881" s="3"/>
    </row>
    <row r="882" spans="1:13" s="4" customFormat="1" ht="38.25" x14ac:dyDescent="0.25">
      <c r="A882" s="4" t="s">
        <v>1701</v>
      </c>
      <c r="B882" s="4" t="s">
        <v>38</v>
      </c>
      <c r="C882" s="37" t="s">
        <v>790</v>
      </c>
      <c r="D882" s="35">
        <v>8798</v>
      </c>
      <c r="E882" s="4" t="s">
        <v>1362</v>
      </c>
      <c r="F882" s="5">
        <v>40544</v>
      </c>
      <c r="G882" s="5">
        <v>40908</v>
      </c>
      <c r="H882" s="4" t="s">
        <v>40</v>
      </c>
      <c r="I882" s="6">
        <v>29318.27</v>
      </c>
      <c r="J882" s="6">
        <v>29318.27</v>
      </c>
      <c r="K882" s="37" t="s">
        <v>790</v>
      </c>
      <c r="L882" s="119"/>
      <c r="M882" s="3"/>
    </row>
    <row r="883" spans="1:13" s="4" customFormat="1" ht="102" x14ac:dyDescent="0.25">
      <c r="A883" s="4" t="s">
        <v>1702</v>
      </c>
      <c r="B883" s="4" t="s">
        <v>38</v>
      </c>
      <c r="C883" s="37" t="s">
        <v>790</v>
      </c>
      <c r="D883" s="35">
        <v>8799</v>
      </c>
      <c r="E883" s="7" t="s">
        <v>1703</v>
      </c>
      <c r="F883" s="5">
        <v>40544</v>
      </c>
      <c r="G883" s="5">
        <v>40908</v>
      </c>
      <c r="H883" s="4" t="s">
        <v>40</v>
      </c>
      <c r="I883" s="6">
        <v>7250</v>
      </c>
      <c r="J883" s="6">
        <v>7250</v>
      </c>
      <c r="K883" s="37" t="s">
        <v>790</v>
      </c>
      <c r="L883" s="119"/>
      <c r="M883" s="3"/>
    </row>
    <row r="884" spans="1:13" s="4" customFormat="1" ht="102" x14ac:dyDescent="0.25">
      <c r="A884" s="4" t="s">
        <v>1704</v>
      </c>
      <c r="B884" s="4" t="s">
        <v>38</v>
      </c>
      <c r="C884" s="37" t="s">
        <v>790</v>
      </c>
      <c r="D884" s="35">
        <v>8800</v>
      </c>
      <c r="E884" s="7" t="s">
        <v>1705</v>
      </c>
      <c r="F884" s="5">
        <v>40544</v>
      </c>
      <c r="G884" s="5">
        <v>40908</v>
      </c>
      <c r="H884" s="4" t="s">
        <v>40</v>
      </c>
      <c r="I884" s="6">
        <v>1000</v>
      </c>
      <c r="J884" s="6">
        <v>1000</v>
      </c>
      <c r="K884" s="37" t="s">
        <v>790</v>
      </c>
      <c r="L884" s="119"/>
      <c r="M884" s="3"/>
    </row>
    <row r="885" spans="1:13" s="4" customFormat="1" ht="127.5" x14ac:dyDescent="0.25">
      <c r="A885" s="4" t="s">
        <v>1706</v>
      </c>
      <c r="B885" s="4" t="s">
        <v>38</v>
      </c>
      <c r="C885" s="37" t="s">
        <v>790</v>
      </c>
      <c r="D885" s="35">
        <v>8801</v>
      </c>
      <c r="E885" s="7" t="s">
        <v>1707</v>
      </c>
      <c r="F885" s="5">
        <v>40544</v>
      </c>
      <c r="G885" s="5">
        <v>40908</v>
      </c>
      <c r="H885" s="4" t="s">
        <v>40</v>
      </c>
      <c r="I885" s="6">
        <v>450</v>
      </c>
      <c r="J885" s="6">
        <v>450</v>
      </c>
      <c r="K885" s="37" t="s">
        <v>790</v>
      </c>
      <c r="L885" s="119"/>
      <c r="M885" s="3"/>
    </row>
    <row r="886" spans="1:13" s="4" customFormat="1" ht="127.5" x14ac:dyDescent="0.25">
      <c r="A886" s="4" t="s">
        <v>1708</v>
      </c>
      <c r="B886" s="4" t="s">
        <v>38</v>
      </c>
      <c r="C886" s="37" t="s">
        <v>790</v>
      </c>
      <c r="D886" s="35">
        <v>8808</v>
      </c>
      <c r="E886" s="7" t="s">
        <v>1527</v>
      </c>
      <c r="F886" s="5">
        <v>40544</v>
      </c>
      <c r="G886" s="5">
        <v>40908</v>
      </c>
      <c r="H886" s="4" t="s">
        <v>40</v>
      </c>
      <c r="I886" s="6">
        <v>6500</v>
      </c>
      <c r="J886" s="6">
        <v>6500</v>
      </c>
      <c r="K886" s="37" t="s">
        <v>790</v>
      </c>
      <c r="L886" s="119"/>
      <c r="M886" s="3"/>
    </row>
    <row r="887" spans="1:13" s="4" customFormat="1" ht="51" x14ac:dyDescent="0.25">
      <c r="A887" s="4" t="s">
        <v>1709</v>
      </c>
      <c r="B887" s="4" t="s">
        <v>183</v>
      </c>
      <c r="C887" s="37" t="s">
        <v>790</v>
      </c>
      <c r="D887" s="35">
        <v>9219</v>
      </c>
      <c r="E887" s="4" t="s">
        <v>1710</v>
      </c>
      <c r="F887" s="5">
        <v>40814</v>
      </c>
      <c r="G887" s="5">
        <v>41274</v>
      </c>
      <c r="H887" s="4" t="s">
        <v>40</v>
      </c>
      <c r="I887" s="6">
        <f>26995.2+35106.36+10288.64</f>
        <v>72390.2</v>
      </c>
      <c r="J887" s="6">
        <f>31050.78+8894.32</f>
        <v>39945.1</v>
      </c>
      <c r="K887" s="37" t="s">
        <v>790</v>
      </c>
      <c r="L887" s="119"/>
      <c r="M887" s="3"/>
    </row>
    <row r="888" spans="1:13" s="4" customFormat="1" ht="38.25" x14ac:dyDescent="0.25">
      <c r="A888" s="4" t="s">
        <v>1713</v>
      </c>
      <c r="B888" s="4" t="s">
        <v>190</v>
      </c>
      <c r="C888" s="37" t="s">
        <v>790</v>
      </c>
      <c r="D888" s="35">
        <v>9221</v>
      </c>
      <c r="E888" s="4" t="s">
        <v>1714</v>
      </c>
      <c r="F888" s="5">
        <v>40577</v>
      </c>
      <c r="G888" s="5">
        <v>41639</v>
      </c>
      <c r="H888" s="4" t="s">
        <v>40</v>
      </c>
      <c r="I888" s="6">
        <v>31000</v>
      </c>
      <c r="J888" s="6">
        <v>20000</v>
      </c>
      <c r="K888" s="37" t="s">
        <v>790</v>
      </c>
      <c r="L888" s="119"/>
      <c r="M888" s="3"/>
    </row>
    <row r="889" spans="1:13" s="4" customFormat="1" ht="51" x14ac:dyDescent="0.25">
      <c r="A889" s="4" t="s">
        <v>1715</v>
      </c>
      <c r="B889" s="4" t="s">
        <v>183</v>
      </c>
      <c r="C889" s="37" t="s">
        <v>790</v>
      </c>
      <c r="D889" s="35">
        <v>9222</v>
      </c>
      <c r="E889" s="4" t="s">
        <v>1716</v>
      </c>
      <c r="F889" s="5">
        <v>40849</v>
      </c>
      <c r="G889" s="5">
        <v>41274</v>
      </c>
      <c r="H889" s="4" t="s">
        <v>40</v>
      </c>
      <c r="I889" s="6">
        <v>23937.42</v>
      </c>
      <c r="J889" s="6">
        <v>19468.71</v>
      </c>
      <c r="K889" s="37" t="s">
        <v>790</v>
      </c>
      <c r="L889" s="119"/>
      <c r="M889" s="3"/>
    </row>
    <row r="890" spans="1:13" s="4" customFormat="1" ht="63.75" x14ac:dyDescent="0.25">
      <c r="A890" s="4" t="s">
        <v>1717</v>
      </c>
      <c r="B890" s="4" t="s">
        <v>183</v>
      </c>
      <c r="C890" s="37" t="s">
        <v>790</v>
      </c>
      <c r="D890" s="35">
        <v>9223</v>
      </c>
      <c r="E890" s="4" t="s">
        <v>1718</v>
      </c>
      <c r="F890" s="5">
        <v>40618</v>
      </c>
      <c r="G890" s="5">
        <v>41639</v>
      </c>
      <c r="H890" s="4" t="s">
        <v>40</v>
      </c>
      <c r="I890" s="6">
        <v>16363.38</v>
      </c>
      <c r="J890" s="6">
        <v>13181.69</v>
      </c>
      <c r="K890" s="37" t="s">
        <v>790</v>
      </c>
      <c r="L890" s="119"/>
      <c r="M890" s="3"/>
    </row>
    <row r="891" spans="1:13" s="4" customFormat="1" ht="38.25" x14ac:dyDescent="0.25">
      <c r="A891" s="4" t="s">
        <v>1719</v>
      </c>
      <c r="B891" s="4" t="s">
        <v>183</v>
      </c>
      <c r="C891" s="37" t="s">
        <v>790</v>
      </c>
      <c r="D891" s="35">
        <v>9224</v>
      </c>
      <c r="E891" s="4" t="s">
        <v>1720</v>
      </c>
      <c r="F891" s="5">
        <v>40852</v>
      </c>
      <c r="G891" s="5">
        <v>41639</v>
      </c>
      <c r="H891" s="4" t="s">
        <v>40</v>
      </c>
      <c r="I891" s="6">
        <v>19089</v>
      </c>
      <c r="J891" s="6">
        <v>11931</v>
      </c>
      <c r="K891" s="37" t="s">
        <v>790</v>
      </c>
      <c r="L891" s="119"/>
      <c r="M891" s="3"/>
    </row>
    <row r="892" spans="1:13" s="4" customFormat="1" ht="63.75" x14ac:dyDescent="0.25">
      <c r="A892" s="4" t="s">
        <v>1721</v>
      </c>
      <c r="B892" s="4" t="s">
        <v>183</v>
      </c>
      <c r="C892" s="37" t="s">
        <v>790</v>
      </c>
      <c r="D892" s="35">
        <v>9225</v>
      </c>
      <c r="E892" s="4" t="s">
        <v>1722</v>
      </c>
      <c r="F892" s="5">
        <v>40577</v>
      </c>
      <c r="G892" s="5">
        <v>41639</v>
      </c>
      <c r="H892" s="4" t="s">
        <v>40</v>
      </c>
      <c r="I892" s="6">
        <v>71263.7</v>
      </c>
      <c r="J892" s="6">
        <v>43131.85</v>
      </c>
      <c r="K892" s="37" t="s">
        <v>790</v>
      </c>
      <c r="L892" s="119"/>
      <c r="M892" s="3"/>
    </row>
    <row r="893" spans="1:13" s="4" customFormat="1" ht="51" x14ac:dyDescent="0.25">
      <c r="A893" s="4" t="s">
        <v>1723</v>
      </c>
      <c r="B893" s="4" t="s">
        <v>183</v>
      </c>
      <c r="C893" s="37" t="s">
        <v>790</v>
      </c>
      <c r="D893" s="35">
        <v>9226</v>
      </c>
      <c r="E893" s="4" t="s">
        <v>1724</v>
      </c>
      <c r="F893" s="5">
        <v>40668</v>
      </c>
      <c r="G893" s="5">
        <v>41274</v>
      </c>
      <c r="H893" s="4" t="s">
        <v>40</v>
      </c>
      <c r="I893" s="6">
        <f>17955.16+25000</f>
        <v>42955.16</v>
      </c>
      <c r="J893" s="6">
        <f>16477.58+25000</f>
        <v>41477.58</v>
      </c>
      <c r="K893" s="37" t="s">
        <v>790</v>
      </c>
      <c r="L893" s="119"/>
      <c r="M893" s="3"/>
    </row>
    <row r="894" spans="1:13" s="4" customFormat="1" ht="63.75" x14ac:dyDescent="0.25">
      <c r="A894" s="4" t="s">
        <v>1725</v>
      </c>
      <c r="B894" s="4" t="s">
        <v>190</v>
      </c>
      <c r="C894" s="37" t="s">
        <v>790</v>
      </c>
      <c r="D894" s="35">
        <v>9227</v>
      </c>
      <c r="E894" s="4" t="s">
        <v>1726</v>
      </c>
      <c r="F894" s="5">
        <v>40668</v>
      </c>
      <c r="G894" s="5">
        <v>41274</v>
      </c>
      <c r="H894" s="4" t="s">
        <v>40</v>
      </c>
      <c r="I894" s="6">
        <v>40309.160000000003</v>
      </c>
      <c r="J894" s="6">
        <v>27654.58</v>
      </c>
      <c r="K894" s="37" t="s">
        <v>790</v>
      </c>
      <c r="L894" s="119"/>
      <c r="M894" s="3"/>
    </row>
    <row r="895" spans="1:13" s="4" customFormat="1" ht="51" x14ac:dyDescent="0.25">
      <c r="A895" s="4" t="s">
        <v>1727</v>
      </c>
      <c r="B895" s="4" t="s">
        <v>183</v>
      </c>
      <c r="C895" s="37" t="s">
        <v>790</v>
      </c>
      <c r="D895" s="35">
        <v>9228</v>
      </c>
      <c r="E895" s="4" t="s">
        <v>1728</v>
      </c>
      <c r="F895" s="5">
        <v>40883</v>
      </c>
      <c r="G895" s="5">
        <v>41639</v>
      </c>
      <c r="H895" s="4" t="s">
        <v>40</v>
      </c>
      <c r="I895" s="6">
        <f>7500+29100</f>
        <v>36600</v>
      </c>
      <c r="J895" s="6">
        <f>7500+19550</f>
        <v>27050</v>
      </c>
      <c r="K895" s="37" t="s">
        <v>790</v>
      </c>
      <c r="L895" s="119"/>
      <c r="M895" s="3"/>
    </row>
    <row r="896" spans="1:13" s="4" customFormat="1" ht="51" x14ac:dyDescent="0.25">
      <c r="A896" s="4" t="s">
        <v>1729</v>
      </c>
      <c r="B896" s="4" t="s">
        <v>183</v>
      </c>
      <c r="C896" s="37" t="s">
        <v>790</v>
      </c>
      <c r="D896" s="35">
        <v>9229</v>
      </c>
      <c r="E896" s="4" t="s">
        <v>1730</v>
      </c>
      <c r="F896" s="5">
        <v>40883</v>
      </c>
      <c r="G896" s="5">
        <v>41274</v>
      </c>
      <c r="H896" s="4" t="s">
        <v>40</v>
      </c>
      <c r="I896" s="6">
        <v>19350</v>
      </c>
      <c r="J896" s="6">
        <v>17175</v>
      </c>
      <c r="K896" s="37" t="s">
        <v>790</v>
      </c>
      <c r="L896" s="119"/>
      <c r="M896" s="3"/>
    </row>
    <row r="897" spans="1:13" s="4" customFormat="1" ht="25.5" x14ac:dyDescent="0.25">
      <c r="A897" s="4" t="s">
        <v>1731</v>
      </c>
      <c r="B897" s="4" t="s">
        <v>90</v>
      </c>
      <c r="C897" s="37" t="s">
        <v>790</v>
      </c>
      <c r="D897" s="35">
        <v>9230</v>
      </c>
      <c r="E897" s="4" t="s">
        <v>1732</v>
      </c>
      <c r="F897" s="5">
        <v>40618</v>
      </c>
      <c r="G897" s="5">
        <v>41639</v>
      </c>
      <c r="H897" s="4" t="s">
        <v>40</v>
      </c>
      <c r="I897" s="6">
        <v>4200</v>
      </c>
      <c r="J897" s="6">
        <v>2100</v>
      </c>
      <c r="K897" s="37" t="s">
        <v>790</v>
      </c>
      <c r="L897" s="119"/>
      <c r="M897" s="3"/>
    </row>
    <row r="898" spans="1:13" s="4" customFormat="1" ht="25.5" x14ac:dyDescent="0.25">
      <c r="A898" s="4" t="s">
        <v>1733</v>
      </c>
      <c r="B898" s="4" t="s">
        <v>90</v>
      </c>
      <c r="C898" s="37" t="s">
        <v>790</v>
      </c>
      <c r="D898" s="35">
        <v>9231</v>
      </c>
      <c r="E898" s="4" t="s">
        <v>1734</v>
      </c>
      <c r="F898" s="5">
        <v>40849</v>
      </c>
      <c r="G898" s="5">
        <v>41639</v>
      </c>
      <c r="H898" s="4" t="s">
        <v>40</v>
      </c>
      <c r="I898" s="6">
        <v>1490.14</v>
      </c>
      <c r="J898" s="6">
        <v>745.07</v>
      </c>
      <c r="K898" s="37" t="s">
        <v>790</v>
      </c>
      <c r="L898" s="119"/>
      <c r="M898" s="3"/>
    </row>
    <row r="899" spans="1:13" s="4" customFormat="1" ht="38.25" x14ac:dyDescent="0.25">
      <c r="A899" s="4" t="s">
        <v>1735</v>
      </c>
      <c r="B899" s="4" t="s">
        <v>183</v>
      </c>
      <c r="C899" s="37" t="s">
        <v>790</v>
      </c>
      <c r="D899" s="35">
        <v>9232</v>
      </c>
      <c r="E899" s="4" t="s">
        <v>1736</v>
      </c>
      <c r="F899" s="5">
        <v>40883</v>
      </c>
      <c r="G899" s="5">
        <v>41639</v>
      </c>
      <c r="H899" s="4" t="s">
        <v>40</v>
      </c>
      <c r="I899" s="6">
        <v>40000</v>
      </c>
      <c r="J899" s="6">
        <v>30000</v>
      </c>
      <c r="K899" s="37" t="s">
        <v>790</v>
      </c>
      <c r="L899" s="119"/>
      <c r="M899" s="3"/>
    </row>
    <row r="900" spans="1:13" s="4" customFormat="1" ht="102" x14ac:dyDescent="0.25">
      <c r="A900" s="4" t="s">
        <v>1737</v>
      </c>
      <c r="B900" s="4" t="s">
        <v>183</v>
      </c>
      <c r="C900" s="37" t="s">
        <v>790</v>
      </c>
      <c r="D900" s="35">
        <v>9233</v>
      </c>
      <c r="E900" s="7" t="s">
        <v>1738</v>
      </c>
      <c r="F900" s="5">
        <v>40708</v>
      </c>
      <c r="G900" s="5">
        <v>41274</v>
      </c>
      <c r="H900" s="4" t="s">
        <v>40</v>
      </c>
      <c r="I900" s="6">
        <v>51250</v>
      </c>
      <c r="J900" s="6">
        <v>36250</v>
      </c>
      <c r="K900" s="37" t="s">
        <v>790</v>
      </c>
      <c r="L900" s="119"/>
      <c r="M900" s="3"/>
    </row>
    <row r="901" spans="1:13" s="4" customFormat="1" ht="38.25" x14ac:dyDescent="0.25">
      <c r="A901" s="4" t="s">
        <v>1739</v>
      </c>
      <c r="B901" s="4" t="s">
        <v>183</v>
      </c>
      <c r="C901" s="37" t="s">
        <v>790</v>
      </c>
      <c r="D901" s="35">
        <v>9234</v>
      </c>
      <c r="E901" s="4" t="s">
        <v>1740</v>
      </c>
      <c r="F901" s="5">
        <v>40849</v>
      </c>
      <c r="G901" s="5">
        <v>41639</v>
      </c>
      <c r="H901" s="4" t="s">
        <v>40</v>
      </c>
      <c r="I901" s="6">
        <v>10288.1</v>
      </c>
      <c r="J901" s="6">
        <v>7644.05</v>
      </c>
      <c r="K901" s="37" t="s">
        <v>790</v>
      </c>
      <c r="L901" s="119"/>
      <c r="M901" s="3"/>
    </row>
    <row r="902" spans="1:13" s="4" customFormat="1" ht="38.25" x14ac:dyDescent="0.25">
      <c r="A902" s="4" t="s">
        <v>1741</v>
      </c>
      <c r="B902" s="4" t="s">
        <v>183</v>
      </c>
      <c r="C902" s="37" t="s">
        <v>790</v>
      </c>
      <c r="D902" s="35">
        <v>9235</v>
      </c>
      <c r="E902" s="4" t="s">
        <v>1742</v>
      </c>
      <c r="F902" s="5">
        <v>40708</v>
      </c>
      <c r="G902" s="5">
        <v>41639</v>
      </c>
      <c r="H902" s="4" t="s">
        <v>40</v>
      </c>
      <c r="I902" s="6">
        <v>7414.28</v>
      </c>
      <c r="J902" s="6">
        <v>6207.14</v>
      </c>
      <c r="K902" s="37" t="s">
        <v>790</v>
      </c>
      <c r="L902" s="119"/>
      <c r="M902" s="3"/>
    </row>
    <row r="903" spans="1:13" s="4" customFormat="1" ht="38.25" x14ac:dyDescent="0.25">
      <c r="A903" s="4" t="s">
        <v>1743</v>
      </c>
      <c r="B903" s="4" t="s">
        <v>190</v>
      </c>
      <c r="C903" s="37" t="s">
        <v>790</v>
      </c>
      <c r="D903" s="35">
        <v>9236</v>
      </c>
      <c r="E903" s="4" t="s">
        <v>1744</v>
      </c>
      <c r="F903" s="5">
        <v>40883</v>
      </c>
      <c r="G903" s="5">
        <v>41274</v>
      </c>
      <c r="H903" s="4" t="s">
        <v>40</v>
      </c>
      <c r="I903" s="6">
        <f>45000+44250</f>
        <v>89250</v>
      </c>
      <c r="J903" s="6">
        <f>30000+32125</f>
        <v>62125</v>
      </c>
      <c r="K903" s="37" t="s">
        <v>790</v>
      </c>
      <c r="L903" s="119"/>
      <c r="M903" s="3"/>
    </row>
    <row r="904" spans="1:13" s="4" customFormat="1" ht="38.25" x14ac:dyDescent="0.25">
      <c r="A904" s="4" t="s">
        <v>1745</v>
      </c>
      <c r="B904" s="4" t="s">
        <v>183</v>
      </c>
      <c r="C904" s="37" t="s">
        <v>790</v>
      </c>
      <c r="D904" s="35">
        <v>9237</v>
      </c>
      <c r="E904" s="4" t="s">
        <v>1746</v>
      </c>
      <c r="F904" s="5">
        <v>40668</v>
      </c>
      <c r="G904" s="5">
        <v>41639</v>
      </c>
      <c r="H904" s="4" t="s">
        <v>40</v>
      </c>
      <c r="I904" s="6">
        <v>6250.7</v>
      </c>
      <c r="J904" s="6">
        <v>3125.35</v>
      </c>
      <c r="K904" s="37" t="s">
        <v>790</v>
      </c>
      <c r="L904" s="119"/>
      <c r="M904" s="3"/>
    </row>
    <row r="905" spans="1:13" s="4" customFormat="1" ht="25.5" x14ac:dyDescent="0.25">
      <c r="A905" s="4" t="s">
        <v>1747</v>
      </c>
      <c r="B905" s="4" t="s">
        <v>183</v>
      </c>
      <c r="C905" s="37" t="s">
        <v>790</v>
      </c>
      <c r="D905" s="35">
        <v>9238</v>
      </c>
      <c r="E905" s="4" t="s">
        <v>1748</v>
      </c>
      <c r="F905" s="5">
        <v>40814</v>
      </c>
      <c r="G905" s="5">
        <v>41274</v>
      </c>
      <c r="H905" s="4" t="s">
        <v>40</v>
      </c>
      <c r="I905" s="6">
        <f>39951.22+15000</f>
        <v>54951.22</v>
      </c>
      <c r="J905" s="6">
        <f>23725.61+15000</f>
        <v>38725.61</v>
      </c>
      <c r="K905" s="37" t="s">
        <v>790</v>
      </c>
      <c r="L905" s="119"/>
      <c r="M905" s="3"/>
    </row>
    <row r="906" spans="1:13" s="4" customFormat="1" ht="38.25" x14ac:dyDescent="0.25">
      <c r="A906" s="4" t="s">
        <v>1749</v>
      </c>
      <c r="B906" s="4" t="s">
        <v>183</v>
      </c>
      <c r="C906" s="37" t="s">
        <v>790</v>
      </c>
      <c r="D906" s="35">
        <v>9239</v>
      </c>
      <c r="E906" s="4" t="s">
        <v>1750</v>
      </c>
      <c r="F906" s="5">
        <v>40618</v>
      </c>
      <c r="G906" s="5">
        <v>41274</v>
      </c>
      <c r="H906" s="4" t="s">
        <v>40</v>
      </c>
      <c r="I906" s="6">
        <v>29700.68</v>
      </c>
      <c r="J906" s="6">
        <v>20546.52</v>
      </c>
      <c r="K906" s="37" t="s">
        <v>790</v>
      </c>
      <c r="L906" s="119"/>
      <c r="M906" s="3"/>
    </row>
    <row r="907" spans="1:13" s="4" customFormat="1" ht="38.25" x14ac:dyDescent="0.25">
      <c r="A907" s="4" t="s">
        <v>1751</v>
      </c>
      <c r="B907" s="4" t="s">
        <v>183</v>
      </c>
      <c r="C907" s="37" t="s">
        <v>790</v>
      </c>
      <c r="D907" s="35">
        <v>9240</v>
      </c>
      <c r="E907" s="4" t="s">
        <v>1752</v>
      </c>
      <c r="F907" s="5">
        <v>40577</v>
      </c>
      <c r="G907" s="5">
        <v>41639</v>
      </c>
      <c r="H907" s="4" t="s">
        <v>40</v>
      </c>
      <c r="I907" s="6">
        <v>40337.5</v>
      </c>
      <c r="J907" s="6">
        <v>38918.75</v>
      </c>
      <c r="K907" s="37" t="s">
        <v>790</v>
      </c>
      <c r="L907" s="119"/>
      <c r="M907" s="3"/>
    </row>
    <row r="908" spans="1:13" s="4" customFormat="1" ht="38.25" x14ac:dyDescent="0.25">
      <c r="A908" s="4" t="s">
        <v>1753</v>
      </c>
      <c r="B908" s="4" t="s">
        <v>183</v>
      </c>
      <c r="C908" s="37" t="s">
        <v>790</v>
      </c>
      <c r="D908" s="35">
        <v>9241</v>
      </c>
      <c r="E908" s="4" t="s">
        <v>1754</v>
      </c>
      <c r="F908" s="5">
        <v>40544</v>
      </c>
      <c r="G908" s="5">
        <v>41639</v>
      </c>
      <c r="H908" s="4" t="s">
        <v>40</v>
      </c>
      <c r="I908" s="6">
        <v>35000</v>
      </c>
      <c r="J908" s="6">
        <v>25000</v>
      </c>
      <c r="K908" s="37" t="s">
        <v>790</v>
      </c>
      <c r="L908" s="119"/>
      <c r="M908" s="3"/>
    </row>
    <row r="909" spans="1:13" s="4" customFormat="1" ht="38.25" x14ac:dyDescent="0.25">
      <c r="A909" s="4" t="s">
        <v>1755</v>
      </c>
      <c r="B909" s="4" t="s">
        <v>183</v>
      </c>
      <c r="C909" s="37" t="s">
        <v>790</v>
      </c>
      <c r="D909" s="35">
        <v>9242</v>
      </c>
      <c r="E909" s="4" t="s">
        <v>1756</v>
      </c>
      <c r="F909" s="5">
        <v>40668</v>
      </c>
      <c r="G909" s="5">
        <v>41639</v>
      </c>
      <c r="H909" s="4" t="s">
        <v>40</v>
      </c>
      <c r="I909" s="6">
        <v>10000</v>
      </c>
      <c r="J909" s="6">
        <v>10000</v>
      </c>
      <c r="K909" s="37" t="s">
        <v>790</v>
      </c>
      <c r="L909" s="119"/>
      <c r="M909" s="3"/>
    </row>
    <row r="910" spans="1:13" s="4" customFormat="1" ht="38.25" x14ac:dyDescent="0.25">
      <c r="A910" s="4" t="s">
        <v>1757</v>
      </c>
      <c r="B910" s="4" t="s">
        <v>183</v>
      </c>
      <c r="C910" s="37" t="s">
        <v>790</v>
      </c>
      <c r="D910" s="35">
        <v>9243</v>
      </c>
      <c r="E910" s="4" t="s">
        <v>1758</v>
      </c>
      <c r="F910" s="5">
        <v>40849</v>
      </c>
      <c r="G910" s="5">
        <v>41639</v>
      </c>
      <c r="H910" s="4" t="s">
        <v>40</v>
      </c>
      <c r="I910" s="6">
        <v>5000</v>
      </c>
      <c r="J910" s="6">
        <v>5000</v>
      </c>
      <c r="K910" s="37" t="s">
        <v>790</v>
      </c>
      <c r="L910" s="119"/>
      <c r="M910" s="3"/>
    </row>
    <row r="911" spans="1:13" s="4" customFormat="1" ht="25.5" x14ac:dyDescent="0.25">
      <c r="A911" s="4" t="s">
        <v>1759</v>
      </c>
      <c r="B911" s="4" t="s">
        <v>183</v>
      </c>
      <c r="C911" s="37" t="s">
        <v>790</v>
      </c>
      <c r="D911" s="35">
        <v>9244</v>
      </c>
      <c r="E911" s="4" t="s">
        <v>1760</v>
      </c>
      <c r="F911" s="5">
        <v>40883</v>
      </c>
      <c r="G911" s="5">
        <v>41639</v>
      </c>
      <c r="H911" s="4" t="s">
        <v>40</v>
      </c>
      <c r="I911" s="6">
        <v>7600</v>
      </c>
      <c r="J911" s="6">
        <v>3800</v>
      </c>
      <c r="K911" s="37" t="s">
        <v>790</v>
      </c>
      <c r="L911" s="119"/>
      <c r="M911" s="3"/>
    </row>
    <row r="912" spans="1:13" s="4" customFormat="1" ht="51" x14ac:dyDescent="0.25">
      <c r="A912" s="4" t="s">
        <v>1761</v>
      </c>
      <c r="B912" s="4" t="s">
        <v>190</v>
      </c>
      <c r="C912" s="37" t="s">
        <v>790</v>
      </c>
      <c r="D912" s="35">
        <v>9245</v>
      </c>
      <c r="E912" s="4" t="s">
        <v>1762</v>
      </c>
      <c r="F912" s="5">
        <v>40849</v>
      </c>
      <c r="G912" s="5">
        <v>41639</v>
      </c>
      <c r="H912" s="4" t="s">
        <v>40</v>
      </c>
      <c r="I912" s="6">
        <v>20480</v>
      </c>
      <c r="J912" s="6">
        <v>10240</v>
      </c>
      <c r="K912" s="37" t="s">
        <v>790</v>
      </c>
      <c r="L912" s="119"/>
      <c r="M912" s="3"/>
    </row>
    <row r="913" spans="1:13" s="4" customFormat="1" ht="38.25" x14ac:dyDescent="0.25">
      <c r="A913" s="4" t="s">
        <v>1763</v>
      </c>
      <c r="B913" s="4" t="s">
        <v>183</v>
      </c>
      <c r="C913" s="37" t="s">
        <v>790</v>
      </c>
      <c r="D913" s="35">
        <v>9246</v>
      </c>
      <c r="E913" s="4" t="s">
        <v>1764</v>
      </c>
      <c r="F913" s="5">
        <v>40849</v>
      </c>
      <c r="G913" s="5">
        <v>41639</v>
      </c>
      <c r="H913" s="4" t="s">
        <v>40</v>
      </c>
      <c r="I913" s="6">
        <v>11328</v>
      </c>
      <c r="J913" s="6">
        <v>9414</v>
      </c>
      <c r="K913" s="37" t="s">
        <v>790</v>
      </c>
      <c r="L913" s="119"/>
      <c r="M913" s="3"/>
    </row>
    <row r="914" spans="1:13" s="4" customFormat="1" ht="38.25" x14ac:dyDescent="0.25">
      <c r="A914" s="4" t="s">
        <v>1765</v>
      </c>
      <c r="B914" s="4" t="s">
        <v>190</v>
      </c>
      <c r="C914" s="37" t="s">
        <v>790</v>
      </c>
      <c r="D914" s="35">
        <v>9247</v>
      </c>
      <c r="E914" s="4" t="s">
        <v>1766</v>
      </c>
      <c r="F914" s="5">
        <v>40814</v>
      </c>
      <c r="G914" s="5">
        <v>41274</v>
      </c>
      <c r="H914" s="4" t="s">
        <v>40</v>
      </c>
      <c r="I914" s="6">
        <v>43000</v>
      </c>
      <c r="J914" s="6">
        <v>26500</v>
      </c>
      <c r="K914" s="37" t="s">
        <v>790</v>
      </c>
      <c r="L914" s="119"/>
      <c r="M914" s="3"/>
    </row>
    <row r="915" spans="1:13" s="4" customFormat="1" ht="51" x14ac:dyDescent="0.25">
      <c r="A915" s="4" t="s">
        <v>1767</v>
      </c>
      <c r="B915" s="4" t="s">
        <v>38</v>
      </c>
      <c r="C915" s="37" t="s">
        <v>790</v>
      </c>
      <c r="D915" s="35">
        <v>9256</v>
      </c>
      <c r="E915" s="4" t="s">
        <v>1768</v>
      </c>
      <c r="F915" s="5">
        <v>40849</v>
      </c>
      <c r="G915" s="5">
        <v>41639</v>
      </c>
      <c r="H915" s="4" t="s">
        <v>40</v>
      </c>
      <c r="I915" s="6">
        <v>1000</v>
      </c>
      <c r="J915" s="6">
        <v>1000</v>
      </c>
      <c r="K915" s="37" t="s">
        <v>790</v>
      </c>
      <c r="L915" s="119"/>
      <c r="M915" s="3"/>
    </row>
    <row r="916" spans="1:13" s="4" customFormat="1" ht="38.25" x14ac:dyDescent="0.25">
      <c r="A916" s="4" t="s">
        <v>1769</v>
      </c>
      <c r="B916" s="4" t="s">
        <v>38</v>
      </c>
      <c r="C916" s="37" t="s">
        <v>790</v>
      </c>
      <c r="D916" s="35">
        <v>9257</v>
      </c>
      <c r="E916" s="4" t="s">
        <v>1770</v>
      </c>
      <c r="F916" s="5">
        <v>40544</v>
      </c>
      <c r="G916" s="5">
        <v>41274</v>
      </c>
      <c r="H916" s="4" t="s">
        <v>40</v>
      </c>
      <c r="I916" s="6">
        <v>2542</v>
      </c>
      <c r="J916" s="6">
        <v>2542</v>
      </c>
      <c r="K916" s="37" t="s">
        <v>790</v>
      </c>
      <c r="L916" s="119"/>
      <c r="M916" s="3"/>
    </row>
    <row r="917" spans="1:13" s="4" customFormat="1" ht="51" x14ac:dyDescent="0.25">
      <c r="A917" s="4" t="s">
        <v>1771</v>
      </c>
      <c r="B917" s="4" t="s">
        <v>38</v>
      </c>
      <c r="C917" s="37" t="s">
        <v>790</v>
      </c>
      <c r="D917" s="35">
        <v>9258</v>
      </c>
      <c r="E917" s="4" t="s">
        <v>1772</v>
      </c>
      <c r="F917" s="5">
        <v>40544</v>
      </c>
      <c r="G917" s="5">
        <v>41639</v>
      </c>
      <c r="H917" s="4" t="s">
        <v>40</v>
      </c>
      <c r="I917" s="6">
        <f>811.7+3092</f>
        <v>3903.7</v>
      </c>
      <c r="J917" s="6">
        <f>811.7+3092</f>
        <v>3903.7</v>
      </c>
      <c r="K917" s="37" t="s">
        <v>790</v>
      </c>
      <c r="L917" s="119"/>
      <c r="M917" s="3"/>
    </row>
    <row r="918" spans="1:13" s="4" customFormat="1" ht="25.5" x14ac:dyDescent="0.25">
      <c r="A918" s="4" t="s">
        <v>1773</v>
      </c>
      <c r="B918" s="4" t="s">
        <v>38</v>
      </c>
      <c r="C918" s="37" t="s">
        <v>790</v>
      </c>
      <c r="D918" s="35">
        <v>9259</v>
      </c>
      <c r="E918" s="4" t="s">
        <v>1774</v>
      </c>
      <c r="F918" s="5">
        <v>40544</v>
      </c>
      <c r="G918" s="5">
        <v>41639</v>
      </c>
      <c r="H918" s="4" t="s">
        <v>40</v>
      </c>
      <c r="I918" s="6">
        <v>13951.41</v>
      </c>
      <c r="J918" s="6">
        <v>13951.41</v>
      </c>
      <c r="K918" s="37" t="s">
        <v>790</v>
      </c>
      <c r="L918" s="119"/>
      <c r="M918" s="3"/>
    </row>
    <row r="919" spans="1:13" s="4" customFormat="1" ht="25.5" x14ac:dyDescent="0.25">
      <c r="A919" s="4" t="s">
        <v>1775</v>
      </c>
      <c r="B919" s="4" t="s">
        <v>38</v>
      </c>
      <c r="C919" s="37" t="s">
        <v>790</v>
      </c>
      <c r="D919" s="35">
        <v>9260</v>
      </c>
      <c r="E919" s="4" t="s">
        <v>1776</v>
      </c>
      <c r="F919" s="5">
        <v>40544</v>
      </c>
      <c r="G919" s="5">
        <v>41639</v>
      </c>
      <c r="H919" s="4" t="s">
        <v>40</v>
      </c>
      <c r="I919" s="6">
        <v>16477.72</v>
      </c>
      <c r="J919" s="6">
        <v>16477.72</v>
      </c>
      <c r="K919" s="37" t="s">
        <v>790</v>
      </c>
      <c r="L919" s="119"/>
      <c r="M919" s="3"/>
    </row>
    <row r="920" spans="1:13" s="4" customFormat="1" ht="38.25" x14ac:dyDescent="0.25">
      <c r="A920" s="4" t="s">
        <v>1777</v>
      </c>
      <c r="B920" s="4" t="s">
        <v>38</v>
      </c>
      <c r="C920" s="37" t="s">
        <v>790</v>
      </c>
      <c r="D920" s="35">
        <v>9261</v>
      </c>
      <c r="E920" s="4" t="s">
        <v>1778</v>
      </c>
      <c r="F920" s="5">
        <v>40544</v>
      </c>
      <c r="G920" s="5">
        <v>41274</v>
      </c>
      <c r="H920" s="4" t="s">
        <v>40</v>
      </c>
      <c r="I920" s="6">
        <v>2316.5</v>
      </c>
      <c r="J920" s="6">
        <v>2316.5</v>
      </c>
      <c r="K920" s="37" t="s">
        <v>790</v>
      </c>
      <c r="L920" s="119"/>
      <c r="M920" s="3"/>
    </row>
    <row r="921" spans="1:13" s="4" customFormat="1" ht="25.5" x14ac:dyDescent="0.25">
      <c r="A921" s="4" t="s">
        <v>11766</v>
      </c>
      <c r="B921" s="4" t="s">
        <v>38</v>
      </c>
      <c r="C921" s="37" t="s">
        <v>790</v>
      </c>
      <c r="D921" s="35">
        <v>9373</v>
      </c>
      <c r="E921" s="4" t="s">
        <v>1780</v>
      </c>
      <c r="F921" s="5">
        <v>40544</v>
      </c>
      <c r="G921" s="5">
        <v>40908</v>
      </c>
      <c r="H921" s="4" t="s">
        <v>40</v>
      </c>
      <c r="I921" s="6">
        <v>3717.26</v>
      </c>
      <c r="J921" s="6">
        <v>3717.26</v>
      </c>
      <c r="K921" s="37" t="s">
        <v>790</v>
      </c>
      <c r="L921" s="119"/>
      <c r="M921" s="3"/>
    </row>
    <row r="922" spans="1:13" s="4" customFormat="1" ht="51" x14ac:dyDescent="0.25">
      <c r="A922" s="4" t="s">
        <v>1781</v>
      </c>
      <c r="B922" s="4" t="s">
        <v>38</v>
      </c>
      <c r="C922" s="37" t="s">
        <v>790</v>
      </c>
      <c r="D922" s="35">
        <v>9396</v>
      </c>
      <c r="E922" s="4" t="s">
        <v>1782</v>
      </c>
      <c r="F922" s="5">
        <v>40544</v>
      </c>
      <c r="G922" s="5">
        <v>41274</v>
      </c>
      <c r="H922" s="4" t="s">
        <v>40</v>
      </c>
      <c r="I922" s="6">
        <v>14817.72</v>
      </c>
      <c r="J922" s="6">
        <v>14817.72</v>
      </c>
      <c r="K922" s="37" t="s">
        <v>790</v>
      </c>
      <c r="L922" s="119"/>
      <c r="M922" s="3"/>
    </row>
    <row r="923" spans="1:13" s="4" customFormat="1" ht="25.5" x14ac:dyDescent="0.25">
      <c r="A923" s="4" t="s">
        <v>1783</v>
      </c>
      <c r="B923" s="4" t="s">
        <v>183</v>
      </c>
      <c r="C923" s="37" t="s">
        <v>790</v>
      </c>
      <c r="D923" s="35">
        <v>9397</v>
      </c>
      <c r="E923" s="4" t="s">
        <v>1784</v>
      </c>
      <c r="F923" s="5">
        <v>40519</v>
      </c>
      <c r="G923" s="5">
        <v>40908</v>
      </c>
      <c r="H923" s="4" t="s">
        <v>40</v>
      </c>
      <c r="I923" s="6">
        <v>24000</v>
      </c>
      <c r="J923" s="6">
        <v>12000</v>
      </c>
      <c r="K923" s="37" t="s">
        <v>790</v>
      </c>
      <c r="L923" s="119"/>
      <c r="M923" s="3"/>
    </row>
    <row r="924" spans="1:13" s="4" customFormat="1" ht="114.75" x14ac:dyDescent="0.25">
      <c r="A924" s="4" t="s">
        <v>1785</v>
      </c>
      <c r="B924" s="4" t="s">
        <v>183</v>
      </c>
      <c r="C924" s="37" t="s">
        <v>790</v>
      </c>
      <c r="D924" s="35">
        <v>9398</v>
      </c>
      <c r="E924" s="7" t="s">
        <v>1786</v>
      </c>
      <c r="F924" s="5">
        <v>40519</v>
      </c>
      <c r="G924" s="5">
        <v>40765</v>
      </c>
      <c r="H924" s="4" t="s">
        <v>40</v>
      </c>
      <c r="I924" s="6">
        <v>9000</v>
      </c>
      <c r="J924" s="6">
        <v>9000</v>
      </c>
      <c r="K924" s="37" t="s">
        <v>790</v>
      </c>
      <c r="L924" s="119"/>
      <c r="M924" s="3"/>
    </row>
    <row r="925" spans="1:13" s="4" customFormat="1" ht="127.5" x14ac:dyDescent="0.25">
      <c r="A925" s="4" t="s">
        <v>1789</v>
      </c>
      <c r="B925" s="4" t="s">
        <v>90</v>
      </c>
      <c r="C925" s="37" t="s">
        <v>790</v>
      </c>
      <c r="D925" s="35">
        <v>9401</v>
      </c>
      <c r="E925" s="7" t="s">
        <v>1790</v>
      </c>
      <c r="F925" s="5">
        <v>40261</v>
      </c>
      <c r="G925" s="5">
        <v>40663</v>
      </c>
      <c r="H925" s="4" t="s">
        <v>40</v>
      </c>
      <c r="I925" s="6">
        <v>30000</v>
      </c>
      <c r="J925" s="6">
        <v>15000</v>
      </c>
      <c r="K925" s="37" t="s">
        <v>790</v>
      </c>
      <c r="L925" s="119"/>
      <c r="M925" s="3"/>
    </row>
    <row r="926" spans="1:13" s="4" customFormat="1" ht="63.75" x14ac:dyDescent="0.25">
      <c r="A926" s="4" t="s">
        <v>1791</v>
      </c>
      <c r="B926" s="4" t="s">
        <v>183</v>
      </c>
      <c r="C926" s="37" t="s">
        <v>790</v>
      </c>
      <c r="D926" s="35">
        <v>9402</v>
      </c>
      <c r="E926" s="4" t="s">
        <v>1792</v>
      </c>
      <c r="F926" s="5">
        <v>40714</v>
      </c>
      <c r="G926" s="5">
        <v>41274</v>
      </c>
      <c r="H926" s="4" t="s">
        <v>40</v>
      </c>
      <c r="I926" s="6">
        <v>80000</v>
      </c>
      <c r="J926" s="6">
        <v>40000</v>
      </c>
      <c r="K926" s="37" t="s">
        <v>790</v>
      </c>
      <c r="L926" s="119"/>
      <c r="M926" s="3"/>
    </row>
    <row r="927" spans="1:13" s="4" customFormat="1" ht="76.5" x14ac:dyDescent="0.25">
      <c r="A927" s="4" t="s">
        <v>1793</v>
      </c>
      <c r="B927" s="4" t="s">
        <v>183</v>
      </c>
      <c r="C927" s="37" t="s">
        <v>790</v>
      </c>
      <c r="D927" s="35">
        <v>9403</v>
      </c>
      <c r="E927" s="4" t="s">
        <v>1794</v>
      </c>
      <c r="F927" s="5">
        <v>40812</v>
      </c>
      <c r="G927" s="5">
        <v>41274</v>
      </c>
      <c r="H927" s="4" t="s">
        <v>40</v>
      </c>
      <c r="I927" s="6">
        <v>10000</v>
      </c>
      <c r="J927" s="6">
        <v>5000</v>
      </c>
      <c r="K927" s="37" t="s">
        <v>790</v>
      </c>
      <c r="L927" s="119"/>
      <c r="M927" s="3"/>
    </row>
    <row r="928" spans="1:13" s="4" customFormat="1" ht="38.25" x14ac:dyDescent="0.25">
      <c r="A928" s="4" t="s">
        <v>1797</v>
      </c>
      <c r="B928" s="4" t="s">
        <v>38</v>
      </c>
      <c r="C928" s="37" t="s">
        <v>790</v>
      </c>
      <c r="D928" s="35">
        <v>9405</v>
      </c>
      <c r="E928" s="4" t="s">
        <v>1798</v>
      </c>
      <c r="F928" s="5">
        <v>40544</v>
      </c>
      <c r="G928" s="5">
        <v>40908</v>
      </c>
      <c r="H928" s="4" t="s">
        <v>40</v>
      </c>
      <c r="I928" s="6">
        <v>31371.62</v>
      </c>
      <c r="J928" s="6">
        <v>31371.62</v>
      </c>
      <c r="K928" s="37" t="s">
        <v>790</v>
      </c>
      <c r="L928" s="119"/>
      <c r="M928" s="3"/>
    </row>
    <row r="929" spans="1:13" s="4" customFormat="1" ht="38.25" x14ac:dyDescent="0.25">
      <c r="A929" s="4" t="s">
        <v>1799</v>
      </c>
      <c r="B929" s="4" t="s">
        <v>38</v>
      </c>
      <c r="C929" s="37" t="s">
        <v>790</v>
      </c>
      <c r="D929" s="35">
        <v>9406</v>
      </c>
      <c r="E929" s="4" t="s">
        <v>1800</v>
      </c>
      <c r="F929" s="5">
        <v>40544</v>
      </c>
      <c r="G929" s="5">
        <v>40908</v>
      </c>
      <c r="H929" s="4" t="s">
        <v>40</v>
      </c>
      <c r="I929" s="6">
        <v>2032.85</v>
      </c>
      <c r="J929" s="6">
        <v>2032.85</v>
      </c>
      <c r="K929" s="37" t="s">
        <v>790</v>
      </c>
      <c r="L929" s="119"/>
      <c r="M929" s="3"/>
    </row>
    <row r="930" spans="1:13" s="4" customFormat="1" ht="102" x14ac:dyDescent="0.25">
      <c r="A930" s="4" t="s">
        <v>1801</v>
      </c>
      <c r="B930" s="4" t="s">
        <v>38</v>
      </c>
      <c r="C930" s="37" t="s">
        <v>790</v>
      </c>
      <c r="D930" s="35">
        <v>9407</v>
      </c>
      <c r="E930" s="7" t="s">
        <v>1802</v>
      </c>
      <c r="F930" s="5">
        <v>40544</v>
      </c>
      <c r="G930" s="5">
        <v>40908</v>
      </c>
      <c r="H930" s="4" t="s">
        <v>40</v>
      </c>
      <c r="I930" s="6">
        <v>3780.5</v>
      </c>
      <c r="J930" s="6">
        <v>3780.5</v>
      </c>
      <c r="K930" s="37" t="s">
        <v>790</v>
      </c>
      <c r="L930" s="119"/>
      <c r="M930" s="3"/>
    </row>
    <row r="931" spans="1:13" s="4" customFormat="1" ht="63.75" x14ac:dyDescent="0.25">
      <c r="A931" s="4" t="s">
        <v>1803</v>
      </c>
      <c r="B931" s="4" t="s">
        <v>38</v>
      </c>
      <c r="C931" s="37" t="s">
        <v>790</v>
      </c>
      <c r="D931" s="35">
        <v>9408</v>
      </c>
      <c r="E931" s="4" t="s">
        <v>1804</v>
      </c>
      <c r="F931" s="5">
        <v>40544</v>
      </c>
      <c r="G931" s="5">
        <v>41274</v>
      </c>
      <c r="H931" s="4" t="s">
        <v>40</v>
      </c>
      <c r="I931" s="6">
        <v>2269.06</v>
      </c>
      <c r="J931" s="6">
        <v>2269.06</v>
      </c>
      <c r="K931" s="37" t="s">
        <v>790</v>
      </c>
      <c r="L931" s="119"/>
      <c r="M931" s="3"/>
    </row>
    <row r="932" spans="1:13" s="4" customFormat="1" ht="63.75" x14ac:dyDescent="0.25">
      <c r="A932" s="4" t="s">
        <v>1660</v>
      </c>
      <c r="B932" s="4" t="s">
        <v>38</v>
      </c>
      <c r="C932" s="37" t="s">
        <v>790</v>
      </c>
      <c r="D932" s="35">
        <v>9409</v>
      </c>
      <c r="E932" s="4" t="s">
        <v>1805</v>
      </c>
      <c r="F932" s="5">
        <v>40544</v>
      </c>
      <c r="G932" s="5">
        <v>41274</v>
      </c>
      <c r="H932" s="4" t="s">
        <v>40</v>
      </c>
      <c r="I932" s="6">
        <v>5911.29</v>
      </c>
      <c r="J932" s="6">
        <v>5911.29</v>
      </c>
      <c r="K932" s="37" t="s">
        <v>790</v>
      </c>
      <c r="L932" s="119"/>
      <c r="M932" s="3"/>
    </row>
    <row r="933" spans="1:13" s="4" customFormat="1" ht="25.5" x14ac:dyDescent="0.25">
      <c r="A933" s="4" t="s">
        <v>1806</v>
      </c>
      <c r="B933" s="4" t="s">
        <v>38</v>
      </c>
      <c r="C933" s="37" t="s">
        <v>790</v>
      </c>
      <c r="D933" s="35">
        <v>9410</v>
      </c>
      <c r="E933" s="4" t="s">
        <v>1807</v>
      </c>
      <c r="F933" s="5">
        <v>40544</v>
      </c>
      <c r="G933" s="5">
        <v>40908</v>
      </c>
      <c r="H933" s="4" t="s">
        <v>40</v>
      </c>
      <c r="I933" s="6">
        <v>2557.04</v>
      </c>
      <c r="J933" s="6">
        <v>1278.52</v>
      </c>
      <c r="K933" s="37" t="s">
        <v>790</v>
      </c>
      <c r="L933" s="119"/>
      <c r="M933" s="3"/>
    </row>
    <row r="934" spans="1:13" s="4" customFormat="1" ht="38.25" x14ac:dyDescent="0.25">
      <c r="A934" s="4" t="s">
        <v>1647</v>
      </c>
      <c r="B934" s="4" t="s">
        <v>38</v>
      </c>
      <c r="C934" s="37" t="s">
        <v>790</v>
      </c>
      <c r="D934" s="35">
        <v>9411</v>
      </c>
      <c r="E934" s="4" t="s">
        <v>1808</v>
      </c>
      <c r="F934" s="5">
        <v>40544</v>
      </c>
      <c r="G934" s="5">
        <v>41274</v>
      </c>
      <c r="H934" s="4" t="s">
        <v>40</v>
      </c>
      <c r="I934" s="6">
        <v>3386.45</v>
      </c>
      <c r="J934" s="6">
        <v>3386.45</v>
      </c>
      <c r="K934" s="37" t="s">
        <v>790</v>
      </c>
      <c r="L934" s="119"/>
      <c r="M934" s="3"/>
    </row>
    <row r="935" spans="1:13" s="4" customFormat="1" ht="76.5" x14ac:dyDescent="0.25">
      <c r="A935" s="4" t="s">
        <v>1666</v>
      </c>
      <c r="B935" s="4" t="s">
        <v>38</v>
      </c>
      <c r="C935" s="37" t="s">
        <v>790</v>
      </c>
      <c r="D935" s="35">
        <v>9412</v>
      </c>
      <c r="E935" s="7" t="s">
        <v>1809</v>
      </c>
      <c r="F935" s="5">
        <v>40544</v>
      </c>
      <c r="G935" s="5">
        <v>40908</v>
      </c>
      <c r="H935" s="4" t="s">
        <v>40</v>
      </c>
      <c r="I935" s="6">
        <v>699.37</v>
      </c>
      <c r="J935" s="6">
        <v>699.37</v>
      </c>
      <c r="K935" s="37" t="s">
        <v>790</v>
      </c>
      <c r="L935" s="119"/>
      <c r="M935" s="3"/>
    </row>
    <row r="936" spans="1:13" s="4" customFormat="1" ht="114.75" x14ac:dyDescent="0.25">
      <c r="A936" s="4" t="s">
        <v>1810</v>
      </c>
      <c r="B936" s="4" t="s">
        <v>38</v>
      </c>
      <c r="C936" s="37" t="s">
        <v>790</v>
      </c>
      <c r="D936" s="35">
        <v>9413</v>
      </c>
      <c r="E936" s="7" t="s">
        <v>1811</v>
      </c>
      <c r="F936" s="5">
        <v>40544</v>
      </c>
      <c r="G936" s="5">
        <v>40908</v>
      </c>
      <c r="H936" s="4" t="s">
        <v>40</v>
      </c>
      <c r="I936" s="6">
        <v>868.66</v>
      </c>
      <c r="J936" s="6">
        <v>868.66</v>
      </c>
      <c r="K936" s="37" t="s">
        <v>790</v>
      </c>
      <c r="L936" s="119"/>
      <c r="M936" s="3"/>
    </row>
    <row r="937" spans="1:13" s="4" customFormat="1" ht="63.75" x14ac:dyDescent="0.25">
      <c r="A937" s="4" t="s">
        <v>1812</v>
      </c>
      <c r="B937" s="4" t="s">
        <v>38</v>
      </c>
      <c r="C937" s="37" t="s">
        <v>790</v>
      </c>
      <c r="D937" s="35">
        <v>9414</v>
      </c>
      <c r="E937" s="4" t="s">
        <v>1813</v>
      </c>
      <c r="F937" s="5">
        <v>40544</v>
      </c>
      <c r="G937" s="5">
        <v>40908</v>
      </c>
      <c r="H937" s="4" t="s">
        <v>40</v>
      </c>
      <c r="I937" s="6">
        <v>3576.97</v>
      </c>
      <c r="J937" s="6">
        <v>3576.97</v>
      </c>
      <c r="K937" s="37" t="s">
        <v>790</v>
      </c>
      <c r="L937" s="119"/>
      <c r="M937" s="3"/>
    </row>
    <row r="938" spans="1:13" s="4" customFormat="1" ht="127.5" x14ac:dyDescent="0.25">
      <c r="A938" s="4" t="s">
        <v>1814</v>
      </c>
      <c r="B938" s="4" t="s">
        <v>38</v>
      </c>
      <c r="C938" s="37" t="s">
        <v>790</v>
      </c>
      <c r="D938" s="35">
        <v>9415</v>
      </c>
      <c r="E938" s="7" t="s">
        <v>1815</v>
      </c>
      <c r="F938" s="5">
        <v>40544</v>
      </c>
      <c r="G938" s="5">
        <v>40908</v>
      </c>
      <c r="H938" s="4" t="s">
        <v>40</v>
      </c>
      <c r="I938" s="6">
        <v>902</v>
      </c>
      <c r="J938" s="6">
        <v>902</v>
      </c>
      <c r="K938" s="37" t="s">
        <v>790</v>
      </c>
      <c r="L938" s="119"/>
      <c r="M938" s="3"/>
    </row>
    <row r="939" spans="1:13" s="4" customFormat="1" ht="51" x14ac:dyDescent="0.25">
      <c r="A939" s="4" t="s">
        <v>1816</v>
      </c>
      <c r="B939" s="4" t="s">
        <v>38</v>
      </c>
      <c r="C939" s="37" t="s">
        <v>790</v>
      </c>
      <c r="D939" s="35">
        <v>9416</v>
      </c>
      <c r="E939" s="4" t="s">
        <v>1817</v>
      </c>
      <c r="F939" s="5">
        <v>40544</v>
      </c>
      <c r="G939" s="5">
        <v>40908</v>
      </c>
      <c r="H939" s="4" t="s">
        <v>40</v>
      </c>
      <c r="I939" s="6">
        <v>5000</v>
      </c>
      <c r="J939" s="6">
        <v>5000</v>
      </c>
      <c r="K939" s="37" t="s">
        <v>790</v>
      </c>
      <c r="L939" s="119"/>
      <c r="M939" s="3"/>
    </row>
    <row r="940" spans="1:13" s="4" customFormat="1" ht="63.75" x14ac:dyDescent="0.25">
      <c r="A940" s="4" t="s">
        <v>1818</v>
      </c>
      <c r="B940" s="4" t="s">
        <v>38</v>
      </c>
      <c r="C940" s="37" t="s">
        <v>790</v>
      </c>
      <c r="D940" s="35">
        <v>9417</v>
      </c>
      <c r="E940" s="4" t="s">
        <v>1819</v>
      </c>
      <c r="F940" s="5">
        <v>40544</v>
      </c>
      <c r="G940" s="5">
        <v>40908</v>
      </c>
      <c r="H940" s="4" t="s">
        <v>40</v>
      </c>
      <c r="I940" s="6">
        <v>1519.78</v>
      </c>
      <c r="J940" s="6">
        <v>1519.78</v>
      </c>
      <c r="K940" s="37" t="s">
        <v>790</v>
      </c>
      <c r="L940" s="119"/>
      <c r="M940" s="3"/>
    </row>
    <row r="941" spans="1:13" s="4" customFormat="1" ht="38.25" x14ac:dyDescent="0.25">
      <c r="A941" s="4" t="s">
        <v>1820</v>
      </c>
      <c r="B941" s="4" t="s">
        <v>38</v>
      </c>
      <c r="C941" s="37" t="s">
        <v>790</v>
      </c>
      <c r="D941" s="35">
        <v>9418</v>
      </c>
      <c r="E941" s="4" t="s">
        <v>1821</v>
      </c>
      <c r="F941" s="5">
        <v>40544</v>
      </c>
      <c r="G941" s="5">
        <v>40908</v>
      </c>
      <c r="H941" s="4" t="s">
        <v>40</v>
      </c>
      <c r="I941" s="6">
        <v>2327</v>
      </c>
      <c r="J941" s="6">
        <v>2327</v>
      </c>
      <c r="K941" s="37" t="s">
        <v>790</v>
      </c>
      <c r="L941" s="119"/>
      <c r="M941" s="3"/>
    </row>
    <row r="942" spans="1:13" s="4" customFormat="1" ht="140.25" x14ac:dyDescent="0.25">
      <c r="A942" s="4" t="s">
        <v>1822</v>
      </c>
      <c r="B942" s="4" t="s">
        <v>38</v>
      </c>
      <c r="C942" s="37" t="s">
        <v>790</v>
      </c>
      <c r="D942" s="35">
        <v>9419</v>
      </c>
      <c r="E942" s="7" t="s">
        <v>1298</v>
      </c>
      <c r="F942" s="5">
        <v>40544</v>
      </c>
      <c r="G942" s="5">
        <v>41274</v>
      </c>
      <c r="H942" s="4" t="s">
        <v>40</v>
      </c>
      <c r="I942" s="6">
        <v>8000</v>
      </c>
      <c r="J942" s="6">
        <v>8000</v>
      </c>
      <c r="K942" s="37" t="s">
        <v>790</v>
      </c>
      <c r="L942" s="119"/>
      <c r="M942" s="3"/>
    </row>
    <row r="943" spans="1:13" s="4" customFormat="1" ht="38.25" x14ac:dyDescent="0.25">
      <c r="A943" s="4" t="s">
        <v>1823</v>
      </c>
      <c r="B943" s="4" t="s">
        <v>38</v>
      </c>
      <c r="C943" s="37" t="s">
        <v>790</v>
      </c>
      <c r="D943" s="35">
        <v>9421</v>
      </c>
      <c r="E943" s="4" t="s">
        <v>1824</v>
      </c>
      <c r="F943" s="5">
        <v>40544</v>
      </c>
      <c r="G943" s="5">
        <v>40908</v>
      </c>
      <c r="H943" s="4" t="s">
        <v>40</v>
      </c>
      <c r="I943" s="6">
        <v>1030</v>
      </c>
      <c r="J943" s="6">
        <v>1030</v>
      </c>
      <c r="K943" s="37" t="s">
        <v>790</v>
      </c>
      <c r="L943" s="119"/>
      <c r="M943" s="3"/>
    </row>
    <row r="944" spans="1:13" s="4" customFormat="1" ht="51" x14ac:dyDescent="0.25">
      <c r="A944" s="4" t="s">
        <v>1825</v>
      </c>
      <c r="B944" s="4" t="s">
        <v>38</v>
      </c>
      <c r="C944" s="37" t="s">
        <v>790</v>
      </c>
      <c r="D944" s="35">
        <v>9422</v>
      </c>
      <c r="E944" s="4" t="s">
        <v>1826</v>
      </c>
      <c r="F944" s="5">
        <v>40544</v>
      </c>
      <c r="G944" s="5">
        <v>40908</v>
      </c>
      <c r="H944" s="4" t="s">
        <v>40</v>
      </c>
      <c r="I944" s="6">
        <v>2017</v>
      </c>
      <c r="J944" s="6">
        <v>2017</v>
      </c>
      <c r="K944" s="37" t="s">
        <v>790</v>
      </c>
      <c r="L944" s="119"/>
      <c r="M944" s="3"/>
    </row>
    <row r="945" spans="1:13" s="4" customFormat="1" ht="51" x14ac:dyDescent="0.25">
      <c r="A945" s="4" t="s">
        <v>1827</v>
      </c>
      <c r="B945" s="4" t="s">
        <v>38</v>
      </c>
      <c r="C945" s="37" t="s">
        <v>790</v>
      </c>
      <c r="D945" s="35">
        <v>9423</v>
      </c>
      <c r="E945" s="4" t="s">
        <v>1828</v>
      </c>
      <c r="F945" s="5">
        <v>40544</v>
      </c>
      <c r="G945" s="5">
        <v>41274</v>
      </c>
      <c r="H945" s="4" t="s">
        <v>40</v>
      </c>
      <c r="I945" s="6">
        <v>79583.100000000006</v>
      </c>
      <c r="J945" s="6">
        <v>79583.100000000006</v>
      </c>
      <c r="K945" s="37" t="s">
        <v>790</v>
      </c>
      <c r="L945" s="119"/>
      <c r="M945" s="3"/>
    </row>
    <row r="946" spans="1:13" s="4" customFormat="1" ht="38.25" x14ac:dyDescent="0.25">
      <c r="A946" s="4" t="s">
        <v>1829</v>
      </c>
      <c r="B946" s="4" t="s">
        <v>38</v>
      </c>
      <c r="C946" s="37" t="s">
        <v>790</v>
      </c>
      <c r="D946" s="35">
        <v>9424</v>
      </c>
      <c r="E946" s="4" t="s">
        <v>1830</v>
      </c>
      <c r="F946" s="5">
        <v>40544</v>
      </c>
      <c r="G946" s="5">
        <v>40908</v>
      </c>
      <c r="H946" s="4" t="s">
        <v>40</v>
      </c>
      <c r="I946" s="6">
        <v>300</v>
      </c>
      <c r="J946" s="6">
        <v>300</v>
      </c>
      <c r="K946" s="37" t="s">
        <v>790</v>
      </c>
      <c r="L946" s="119"/>
      <c r="M946" s="3"/>
    </row>
    <row r="947" spans="1:13" s="4" customFormat="1" ht="38.25" x14ac:dyDescent="0.25">
      <c r="A947" s="4" t="s">
        <v>1831</v>
      </c>
      <c r="B947" s="4" t="s">
        <v>38</v>
      </c>
      <c r="C947" s="37" t="s">
        <v>790</v>
      </c>
      <c r="D947" s="35">
        <v>9425</v>
      </c>
      <c r="E947" s="4" t="s">
        <v>1832</v>
      </c>
      <c r="F947" s="5">
        <v>40544</v>
      </c>
      <c r="G947" s="5">
        <v>40908</v>
      </c>
      <c r="H947" s="4" t="s">
        <v>40</v>
      </c>
      <c r="I947" s="6">
        <v>2850.5</v>
      </c>
      <c r="J947" s="6">
        <v>2850.5</v>
      </c>
      <c r="K947" s="37" t="s">
        <v>790</v>
      </c>
      <c r="L947" s="119"/>
      <c r="M947" s="3"/>
    </row>
    <row r="948" spans="1:13" s="4" customFormat="1" ht="38.25" x14ac:dyDescent="0.25">
      <c r="A948" s="4" t="s">
        <v>1833</v>
      </c>
      <c r="B948" s="4" t="s">
        <v>38</v>
      </c>
      <c r="C948" s="37" t="s">
        <v>790</v>
      </c>
      <c r="D948" s="35">
        <v>9426</v>
      </c>
      <c r="E948" s="4" t="s">
        <v>1834</v>
      </c>
      <c r="F948" s="5">
        <v>40544</v>
      </c>
      <c r="G948" s="5">
        <v>40908</v>
      </c>
      <c r="H948" s="4" t="s">
        <v>40</v>
      </c>
      <c r="I948" s="6">
        <v>1301.9000000000001</v>
      </c>
      <c r="J948" s="6">
        <v>1301.9000000000001</v>
      </c>
      <c r="K948" s="37" t="s">
        <v>790</v>
      </c>
      <c r="L948" s="119"/>
      <c r="M948" s="3"/>
    </row>
    <row r="949" spans="1:13" s="4" customFormat="1" ht="114.75" x14ac:dyDescent="0.25">
      <c r="A949" s="4" t="s">
        <v>1835</v>
      </c>
      <c r="B949" s="4" t="s">
        <v>38</v>
      </c>
      <c r="C949" s="37" t="s">
        <v>790</v>
      </c>
      <c r="D949" s="35">
        <v>9427</v>
      </c>
      <c r="E949" s="7" t="s">
        <v>1379</v>
      </c>
      <c r="F949" s="5">
        <v>40544</v>
      </c>
      <c r="G949" s="5">
        <v>40908</v>
      </c>
      <c r="H949" s="4" t="s">
        <v>40</v>
      </c>
      <c r="I949" s="6">
        <v>1981.92</v>
      </c>
      <c r="J949" s="6">
        <v>1981.92</v>
      </c>
      <c r="K949" s="37" t="s">
        <v>790</v>
      </c>
      <c r="L949" s="119"/>
      <c r="M949" s="3"/>
    </row>
    <row r="950" spans="1:13" s="4" customFormat="1" ht="38.25" x14ac:dyDescent="0.25">
      <c r="A950" s="4" t="s">
        <v>1836</v>
      </c>
      <c r="B950" s="4" t="s">
        <v>38</v>
      </c>
      <c r="C950" s="37" t="s">
        <v>790</v>
      </c>
      <c r="D950" s="35">
        <v>9428</v>
      </c>
      <c r="E950" s="4" t="s">
        <v>1837</v>
      </c>
      <c r="F950" s="5">
        <v>40544</v>
      </c>
      <c r="G950" s="5">
        <v>40908</v>
      </c>
      <c r="H950" s="4" t="s">
        <v>40</v>
      </c>
      <c r="I950" s="6">
        <v>3927.26</v>
      </c>
      <c r="J950" s="6">
        <v>1963.63</v>
      </c>
      <c r="K950" s="37" t="s">
        <v>790</v>
      </c>
      <c r="L950" s="119"/>
      <c r="M950" s="3"/>
    </row>
    <row r="951" spans="1:13" s="4" customFormat="1" ht="63.75" x14ac:dyDescent="0.25">
      <c r="A951" s="4" t="s">
        <v>1838</v>
      </c>
      <c r="B951" s="4" t="s">
        <v>38</v>
      </c>
      <c r="C951" s="37" t="s">
        <v>790</v>
      </c>
      <c r="D951" s="35">
        <v>9429</v>
      </c>
      <c r="E951" s="4" t="s">
        <v>1839</v>
      </c>
      <c r="F951" s="5">
        <v>40544</v>
      </c>
      <c r="G951" s="5">
        <v>40908</v>
      </c>
      <c r="H951" s="4" t="s">
        <v>40</v>
      </c>
      <c r="I951" s="6">
        <v>2500</v>
      </c>
      <c r="J951" s="6">
        <v>2500</v>
      </c>
      <c r="K951" s="37" t="s">
        <v>790</v>
      </c>
      <c r="L951" s="119"/>
      <c r="M951" s="3"/>
    </row>
    <row r="952" spans="1:13" s="4" customFormat="1" ht="25.5" x14ac:dyDescent="0.25">
      <c r="A952" s="4" t="s">
        <v>1840</v>
      </c>
      <c r="B952" s="4" t="s">
        <v>38</v>
      </c>
      <c r="C952" s="37" t="s">
        <v>790</v>
      </c>
      <c r="D952" s="35">
        <v>9430</v>
      </c>
      <c r="E952" s="4" t="s">
        <v>1841</v>
      </c>
      <c r="F952" s="5">
        <v>40544</v>
      </c>
      <c r="G952" s="5">
        <v>41274</v>
      </c>
      <c r="H952" s="4" t="s">
        <v>40</v>
      </c>
      <c r="I952" s="6">
        <v>11189.6</v>
      </c>
      <c r="J952" s="6">
        <v>11189.6</v>
      </c>
      <c r="K952" s="37" t="s">
        <v>790</v>
      </c>
      <c r="L952" s="119"/>
      <c r="M952" s="3"/>
    </row>
    <row r="953" spans="1:13" s="4" customFormat="1" ht="25.5" x14ac:dyDescent="0.25">
      <c r="A953" s="4" t="s">
        <v>1842</v>
      </c>
      <c r="B953" s="4" t="s">
        <v>38</v>
      </c>
      <c r="C953" s="37" t="s">
        <v>790</v>
      </c>
      <c r="D953" s="35">
        <v>9431</v>
      </c>
      <c r="E953" s="4" t="s">
        <v>1843</v>
      </c>
      <c r="F953" s="5">
        <v>40544</v>
      </c>
      <c r="G953" s="5">
        <v>40908</v>
      </c>
      <c r="H953" s="4" t="s">
        <v>40</v>
      </c>
      <c r="I953" s="6">
        <v>7000</v>
      </c>
      <c r="J953" s="6">
        <v>7000</v>
      </c>
      <c r="K953" s="37" t="s">
        <v>790</v>
      </c>
      <c r="L953" s="119"/>
      <c r="M953" s="3"/>
    </row>
    <row r="954" spans="1:13" s="4" customFormat="1" ht="38.25" x14ac:dyDescent="0.25">
      <c r="A954" s="4" t="s">
        <v>1844</v>
      </c>
      <c r="B954" s="4" t="s">
        <v>38</v>
      </c>
      <c r="C954" s="37" t="s">
        <v>790</v>
      </c>
      <c r="D954" s="35">
        <v>9432</v>
      </c>
      <c r="E954" s="4" t="s">
        <v>1845</v>
      </c>
      <c r="F954" s="5">
        <v>40544</v>
      </c>
      <c r="G954" s="5">
        <v>40908</v>
      </c>
      <c r="H954" s="4" t="s">
        <v>40</v>
      </c>
      <c r="I954" s="6">
        <v>27000</v>
      </c>
      <c r="J954" s="6">
        <v>27000</v>
      </c>
      <c r="K954" s="37" t="s">
        <v>790</v>
      </c>
      <c r="L954" s="119"/>
      <c r="M954" s="3"/>
    </row>
    <row r="955" spans="1:13" s="4" customFormat="1" ht="25.5" x14ac:dyDescent="0.25">
      <c r="A955" s="4" t="s">
        <v>1846</v>
      </c>
      <c r="B955" s="4" t="s">
        <v>38</v>
      </c>
      <c r="C955" s="37" t="s">
        <v>790</v>
      </c>
      <c r="D955" s="35">
        <v>9433</v>
      </c>
      <c r="E955" s="4" t="s">
        <v>1847</v>
      </c>
      <c r="F955" s="5">
        <v>40544</v>
      </c>
      <c r="G955" s="5">
        <v>40908</v>
      </c>
      <c r="H955" s="4" t="s">
        <v>40</v>
      </c>
      <c r="I955" s="6">
        <v>1454</v>
      </c>
      <c r="J955" s="6">
        <v>1454</v>
      </c>
      <c r="K955" s="37" t="s">
        <v>790</v>
      </c>
      <c r="L955" s="119"/>
      <c r="M955" s="3"/>
    </row>
    <row r="956" spans="1:13" s="4" customFormat="1" ht="51" x14ac:dyDescent="0.25">
      <c r="A956" s="4" t="s">
        <v>1848</v>
      </c>
      <c r="B956" s="4" t="s">
        <v>38</v>
      </c>
      <c r="C956" s="37" t="s">
        <v>790</v>
      </c>
      <c r="D956" s="35">
        <v>9434</v>
      </c>
      <c r="E956" s="4" t="s">
        <v>1849</v>
      </c>
      <c r="F956" s="5">
        <v>40544</v>
      </c>
      <c r="G956" s="5">
        <v>40908</v>
      </c>
      <c r="H956" s="4" t="s">
        <v>40</v>
      </c>
      <c r="I956" s="6">
        <v>5036.5</v>
      </c>
      <c r="J956" s="6">
        <v>5036.5</v>
      </c>
      <c r="K956" s="37" t="s">
        <v>790</v>
      </c>
      <c r="L956" s="119"/>
      <c r="M956" s="3"/>
    </row>
    <row r="957" spans="1:13" s="4" customFormat="1" ht="25.5" x14ac:dyDescent="0.25">
      <c r="A957" s="4" t="s">
        <v>1850</v>
      </c>
      <c r="B957" s="4" t="s">
        <v>38</v>
      </c>
      <c r="C957" s="37" t="s">
        <v>790</v>
      </c>
      <c r="D957" s="35">
        <v>9435</v>
      </c>
      <c r="E957" s="4" t="s">
        <v>1851</v>
      </c>
      <c r="F957" s="5">
        <v>40544</v>
      </c>
      <c r="G957" s="5">
        <v>40908</v>
      </c>
      <c r="H957" s="4" t="s">
        <v>40</v>
      </c>
      <c r="I957" s="6">
        <v>1000</v>
      </c>
      <c r="J957" s="6">
        <v>1000</v>
      </c>
      <c r="K957" s="37" t="s">
        <v>790</v>
      </c>
      <c r="L957" s="119"/>
      <c r="M957" s="3"/>
    </row>
    <row r="958" spans="1:13" s="4" customFormat="1" ht="38.25" x14ac:dyDescent="0.25">
      <c r="A958" s="4" t="s">
        <v>1852</v>
      </c>
      <c r="B958" s="4" t="s">
        <v>38</v>
      </c>
      <c r="C958" s="37" t="s">
        <v>790</v>
      </c>
      <c r="D958" s="35">
        <v>9436</v>
      </c>
      <c r="E958" s="4" t="s">
        <v>1853</v>
      </c>
      <c r="F958" s="5">
        <v>40544</v>
      </c>
      <c r="G958" s="5">
        <v>41274</v>
      </c>
      <c r="H958" s="4" t="s">
        <v>40</v>
      </c>
      <c r="I958" s="6">
        <v>11029.15</v>
      </c>
      <c r="J958" s="6">
        <v>11029.15</v>
      </c>
      <c r="K958" s="37" t="s">
        <v>790</v>
      </c>
      <c r="L958" s="119"/>
      <c r="M958" s="3"/>
    </row>
    <row r="959" spans="1:13" s="4" customFormat="1" ht="25.5" x14ac:dyDescent="0.25">
      <c r="A959" s="4" t="s">
        <v>1854</v>
      </c>
      <c r="B959" s="4" t="s">
        <v>38</v>
      </c>
      <c r="C959" s="37" t="s">
        <v>790</v>
      </c>
      <c r="D959" s="35">
        <v>9522</v>
      </c>
      <c r="E959" s="4" t="s">
        <v>1855</v>
      </c>
      <c r="F959" s="5">
        <v>40544</v>
      </c>
      <c r="G959" s="5">
        <v>40908</v>
      </c>
      <c r="H959" s="4" t="s">
        <v>40</v>
      </c>
      <c r="I959" s="6">
        <v>15000</v>
      </c>
      <c r="J959" s="6">
        <v>15000</v>
      </c>
      <c r="K959" s="37" t="s">
        <v>790</v>
      </c>
      <c r="L959" s="119"/>
      <c r="M959" s="3"/>
    </row>
    <row r="960" spans="1:13" s="4" customFormat="1" ht="38.25" x14ac:dyDescent="0.25">
      <c r="A960" s="4" t="s">
        <v>1856</v>
      </c>
      <c r="B960" s="4" t="s">
        <v>38</v>
      </c>
      <c r="C960" s="37" t="s">
        <v>790</v>
      </c>
      <c r="D960" s="35">
        <v>9526</v>
      </c>
      <c r="E960" s="4" t="s">
        <v>1857</v>
      </c>
      <c r="F960" s="5">
        <v>40544</v>
      </c>
      <c r="G960" s="5">
        <v>41274</v>
      </c>
      <c r="H960" s="4" t="s">
        <v>40</v>
      </c>
      <c r="I960" s="6">
        <f>94.77-32.51-0.47</f>
        <v>61.79</v>
      </c>
      <c r="J960" s="6">
        <v>94.77</v>
      </c>
      <c r="K960" s="37" t="s">
        <v>790</v>
      </c>
      <c r="L960" s="119"/>
      <c r="M960" s="3"/>
    </row>
    <row r="961" spans="1:13" s="4" customFormat="1" ht="63.75" x14ac:dyDescent="0.25">
      <c r="A961" s="4" t="s">
        <v>1858</v>
      </c>
      <c r="B961" s="4" t="s">
        <v>190</v>
      </c>
      <c r="C961" s="37" t="s">
        <v>790</v>
      </c>
      <c r="D961" s="35">
        <v>10292</v>
      </c>
      <c r="E961" s="4" t="s">
        <v>1859</v>
      </c>
      <c r="F961" s="5">
        <v>41169</v>
      </c>
      <c r="H961" s="4" t="s">
        <v>40</v>
      </c>
      <c r="I961" s="6">
        <v>24313.52</v>
      </c>
      <c r="J961" s="6">
        <v>12156.76</v>
      </c>
      <c r="K961" s="37" t="s">
        <v>790</v>
      </c>
      <c r="L961" s="119"/>
      <c r="M961" s="3"/>
    </row>
    <row r="962" spans="1:13" s="4" customFormat="1" ht="89.25" x14ac:dyDescent="0.25">
      <c r="A962" s="4" t="s">
        <v>1860</v>
      </c>
      <c r="B962" s="4" t="s">
        <v>190</v>
      </c>
      <c r="C962" s="37" t="s">
        <v>790</v>
      </c>
      <c r="D962" s="35">
        <v>10293</v>
      </c>
      <c r="E962" s="7" t="s">
        <v>1861</v>
      </c>
      <c r="F962" s="5">
        <v>40917</v>
      </c>
      <c r="G962" s="5">
        <v>41274</v>
      </c>
      <c r="H962" s="4" t="s">
        <v>40</v>
      </c>
      <c r="I962" s="6">
        <v>9403.66</v>
      </c>
      <c r="J962" s="6">
        <v>4701.83</v>
      </c>
      <c r="K962" s="37" t="s">
        <v>790</v>
      </c>
      <c r="L962" s="119"/>
      <c r="M962" s="3"/>
    </row>
    <row r="963" spans="1:13" s="4" customFormat="1" ht="76.5" x14ac:dyDescent="0.25">
      <c r="A963" s="4" t="s">
        <v>1862</v>
      </c>
      <c r="B963" s="4" t="s">
        <v>183</v>
      </c>
      <c r="C963" s="37" t="s">
        <v>790</v>
      </c>
      <c r="D963" s="35">
        <v>10294</v>
      </c>
      <c r="E963" s="4" t="s">
        <v>1863</v>
      </c>
      <c r="F963" s="5">
        <v>41015</v>
      </c>
      <c r="G963" s="5">
        <v>41639</v>
      </c>
      <c r="H963" s="4" t="s">
        <v>40</v>
      </c>
      <c r="I963" s="6">
        <v>50000</v>
      </c>
      <c r="J963" s="6">
        <f>19833.75+5166.25</f>
        <v>25000</v>
      </c>
      <c r="K963" s="37" t="s">
        <v>790</v>
      </c>
      <c r="L963" s="119"/>
      <c r="M963" s="3"/>
    </row>
    <row r="964" spans="1:13" s="4" customFormat="1" ht="89.25" x14ac:dyDescent="0.25">
      <c r="A964" s="4" t="s">
        <v>1864</v>
      </c>
      <c r="B964" s="4" t="s">
        <v>190</v>
      </c>
      <c r="C964" s="37" t="s">
        <v>790</v>
      </c>
      <c r="D964" s="35">
        <v>10295</v>
      </c>
      <c r="E964" s="7" t="s">
        <v>1865</v>
      </c>
      <c r="F964" s="5">
        <v>41254</v>
      </c>
      <c r="G964" s="5">
        <v>41639</v>
      </c>
      <c r="H964" s="4" t="s">
        <v>40</v>
      </c>
      <c r="I964" s="6">
        <v>35000</v>
      </c>
      <c r="J964" s="6">
        <f>10000+25000</f>
        <v>35000</v>
      </c>
      <c r="K964" s="37" t="s">
        <v>790</v>
      </c>
      <c r="L964" s="119"/>
      <c r="M964" s="3"/>
    </row>
    <row r="965" spans="1:13" s="4" customFormat="1" ht="76.5" x14ac:dyDescent="0.25">
      <c r="A965" s="4" t="s">
        <v>1866</v>
      </c>
      <c r="B965" s="4" t="s">
        <v>190</v>
      </c>
      <c r="C965" s="37" t="s">
        <v>790</v>
      </c>
      <c r="D965" s="35">
        <v>10296</v>
      </c>
      <c r="E965" s="7" t="s">
        <v>1867</v>
      </c>
      <c r="F965" s="5">
        <v>41254</v>
      </c>
      <c r="G965" s="5">
        <v>41639</v>
      </c>
      <c r="H965" s="4" t="s">
        <v>40</v>
      </c>
      <c r="I965" s="6">
        <f>15000+24741</f>
        <v>39741</v>
      </c>
      <c r="J965" s="6">
        <f>15000+19870.5</f>
        <v>34870.5</v>
      </c>
      <c r="K965" s="37" t="s">
        <v>790</v>
      </c>
      <c r="L965" s="119"/>
      <c r="M965" s="3"/>
    </row>
    <row r="966" spans="1:13" s="4" customFormat="1" ht="63.75" x14ac:dyDescent="0.25">
      <c r="A966" s="4" t="s">
        <v>1868</v>
      </c>
      <c r="B966" s="4" t="s">
        <v>190</v>
      </c>
      <c r="C966" s="37" t="s">
        <v>790</v>
      </c>
      <c r="D966" s="35">
        <v>10297</v>
      </c>
      <c r="E966" s="4" t="s">
        <v>1869</v>
      </c>
      <c r="F966" s="5">
        <v>40805</v>
      </c>
      <c r="G966" s="5">
        <v>41274</v>
      </c>
      <c r="H966" s="4" t="s">
        <v>40</v>
      </c>
      <c r="I966" s="6">
        <v>100000</v>
      </c>
      <c r="J966" s="6">
        <v>50000</v>
      </c>
      <c r="K966" s="37" t="s">
        <v>790</v>
      </c>
      <c r="L966" s="119"/>
      <c r="M966" s="3"/>
    </row>
    <row r="967" spans="1:13" s="4" customFormat="1" ht="153" x14ac:dyDescent="0.25">
      <c r="A967" s="4" t="s">
        <v>1870</v>
      </c>
      <c r="B967" s="4" t="s">
        <v>190</v>
      </c>
      <c r="C967" s="37" t="s">
        <v>790</v>
      </c>
      <c r="D967" s="35">
        <v>10298</v>
      </c>
      <c r="E967" s="7" t="s">
        <v>1871</v>
      </c>
      <c r="F967" s="5">
        <v>40917</v>
      </c>
      <c r="G967" s="5">
        <v>41639</v>
      </c>
      <c r="H967" s="4" t="s">
        <v>40</v>
      </c>
      <c r="I967" s="6">
        <v>55739.82</v>
      </c>
      <c r="J967" s="6">
        <f>19859.34+8010.57</f>
        <v>27869.91</v>
      </c>
      <c r="K967" s="37" t="s">
        <v>790</v>
      </c>
      <c r="L967" s="119"/>
      <c r="M967" s="3"/>
    </row>
    <row r="968" spans="1:13" s="4" customFormat="1" ht="114.75" x14ac:dyDescent="0.25">
      <c r="A968" s="4" t="s">
        <v>1872</v>
      </c>
      <c r="B968" s="4" t="s">
        <v>183</v>
      </c>
      <c r="C968" s="37" t="s">
        <v>790</v>
      </c>
      <c r="D968" s="35">
        <v>10299</v>
      </c>
      <c r="E968" s="7" t="s">
        <v>1873</v>
      </c>
      <c r="F968" s="5">
        <v>40917</v>
      </c>
      <c r="G968" s="5">
        <v>41639</v>
      </c>
      <c r="H968" s="4" t="s">
        <v>40</v>
      </c>
      <c r="I968" s="6">
        <v>78385.039999999994</v>
      </c>
      <c r="J968" s="6">
        <f>20647.43+18545.09</f>
        <v>39192.520000000004</v>
      </c>
      <c r="K968" s="37" t="s">
        <v>790</v>
      </c>
      <c r="L968" s="119"/>
      <c r="M968" s="3"/>
    </row>
    <row r="969" spans="1:13" s="4" customFormat="1" ht="63.75" x14ac:dyDescent="0.25">
      <c r="A969" s="4" t="s">
        <v>1874</v>
      </c>
      <c r="B969" s="4" t="s">
        <v>190</v>
      </c>
      <c r="C969" s="37" t="s">
        <v>790</v>
      </c>
      <c r="D969" s="35">
        <v>10300</v>
      </c>
      <c r="E969" s="4" t="s">
        <v>1875</v>
      </c>
      <c r="F969" s="5">
        <v>41015</v>
      </c>
      <c r="G969" s="5">
        <v>41639</v>
      </c>
      <c r="H969" s="4" t="s">
        <v>40</v>
      </c>
      <c r="I969" s="6">
        <v>9469.52</v>
      </c>
      <c r="J969" s="6">
        <f>3716.01+1018.75</f>
        <v>4734.76</v>
      </c>
      <c r="K969" s="37" t="s">
        <v>790</v>
      </c>
      <c r="L969" s="119"/>
      <c r="M969" s="3"/>
    </row>
    <row r="970" spans="1:13" s="4" customFormat="1" ht="89.25" x14ac:dyDescent="0.25">
      <c r="A970" s="4" t="s">
        <v>1876</v>
      </c>
      <c r="B970" s="4" t="s">
        <v>183</v>
      </c>
      <c r="C970" s="37" t="s">
        <v>790</v>
      </c>
      <c r="D970" s="35">
        <v>10301</v>
      </c>
      <c r="E970" s="7" t="s">
        <v>1877</v>
      </c>
      <c r="F970" s="5">
        <v>41015</v>
      </c>
      <c r="G970" s="5">
        <v>41274</v>
      </c>
      <c r="H970" s="4" t="s">
        <v>40</v>
      </c>
      <c r="I970" s="6">
        <v>16000</v>
      </c>
      <c r="J970" s="6">
        <v>13000</v>
      </c>
      <c r="K970" s="37" t="s">
        <v>790</v>
      </c>
      <c r="L970" s="119"/>
      <c r="M970" s="3"/>
    </row>
    <row r="971" spans="1:13" s="4" customFormat="1" ht="63.75" x14ac:dyDescent="0.25">
      <c r="A971" s="4" t="s">
        <v>1878</v>
      </c>
      <c r="B971" s="4" t="s">
        <v>183</v>
      </c>
      <c r="C971" s="37" t="s">
        <v>790</v>
      </c>
      <c r="D971" s="35">
        <v>10302</v>
      </c>
      <c r="E971" s="4" t="s">
        <v>1879</v>
      </c>
      <c r="F971" s="5">
        <v>41015</v>
      </c>
      <c r="G971" s="5">
        <v>41274</v>
      </c>
      <c r="H971" s="4" t="s">
        <v>40</v>
      </c>
      <c r="I971" s="6">
        <v>49330</v>
      </c>
      <c r="J971" s="6">
        <v>24665</v>
      </c>
      <c r="K971" s="37" t="s">
        <v>790</v>
      </c>
      <c r="L971" s="119"/>
      <c r="M971" s="3"/>
    </row>
    <row r="972" spans="1:13" s="4" customFormat="1" ht="38.25" x14ac:dyDescent="0.25">
      <c r="A972" s="4" t="s">
        <v>1880</v>
      </c>
      <c r="B972" s="4" t="s">
        <v>38</v>
      </c>
      <c r="C972" s="37" t="s">
        <v>790</v>
      </c>
      <c r="D972" s="35">
        <v>10303</v>
      </c>
      <c r="E972" s="4" t="s">
        <v>1294</v>
      </c>
      <c r="F972" s="5">
        <v>40909</v>
      </c>
      <c r="G972" s="5">
        <v>41274</v>
      </c>
      <c r="H972" s="4" t="s">
        <v>40</v>
      </c>
      <c r="I972" s="6">
        <v>10507.88</v>
      </c>
      <c r="J972" s="6">
        <v>10507.88</v>
      </c>
      <c r="K972" s="37" t="s">
        <v>790</v>
      </c>
      <c r="L972" s="119"/>
      <c r="M972" s="3"/>
    </row>
    <row r="973" spans="1:13" s="4" customFormat="1" ht="51" x14ac:dyDescent="0.25">
      <c r="A973" s="4" t="s">
        <v>1881</v>
      </c>
      <c r="B973" s="4" t="s">
        <v>38</v>
      </c>
      <c r="C973" s="37" t="s">
        <v>790</v>
      </c>
      <c r="D973" s="35">
        <v>10304</v>
      </c>
      <c r="E973" s="4" t="s">
        <v>1882</v>
      </c>
      <c r="F973" s="5">
        <v>40909</v>
      </c>
      <c r="G973" s="5">
        <v>41274</v>
      </c>
      <c r="H973" s="4" t="s">
        <v>40</v>
      </c>
      <c r="I973" s="6">
        <v>3969.92</v>
      </c>
      <c r="J973" s="6">
        <v>3969.92</v>
      </c>
      <c r="K973" s="37" t="s">
        <v>790</v>
      </c>
      <c r="L973" s="119"/>
      <c r="M973" s="3"/>
    </row>
    <row r="974" spans="1:13" s="4" customFormat="1" ht="140.25" x14ac:dyDescent="0.25">
      <c r="A974" s="4" t="s">
        <v>1883</v>
      </c>
      <c r="B974" s="4" t="s">
        <v>38</v>
      </c>
      <c r="C974" s="37" t="s">
        <v>790</v>
      </c>
      <c r="D974" s="35">
        <v>10306</v>
      </c>
      <c r="E974" s="7" t="s">
        <v>1298</v>
      </c>
      <c r="F974" s="5">
        <v>40909</v>
      </c>
      <c r="G974" s="5">
        <v>41274</v>
      </c>
      <c r="H974" s="4" t="s">
        <v>40</v>
      </c>
      <c r="I974" s="6">
        <v>4000</v>
      </c>
      <c r="J974" s="6">
        <v>4000</v>
      </c>
      <c r="K974" s="37" t="s">
        <v>790</v>
      </c>
      <c r="L974" s="119"/>
      <c r="M974" s="3"/>
    </row>
    <row r="975" spans="1:13" s="4" customFormat="1" ht="25.5" x14ac:dyDescent="0.25">
      <c r="A975" s="4" t="s">
        <v>1884</v>
      </c>
      <c r="B975" s="4" t="s">
        <v>38</v>
      </c>
      <c r="C975" s="37" t="s">
        <v>790</v>
      </c>
      <c r="D975" s="35">
        <v>10307</v>
      </c>
      <c r="E975" s="4" t="s">
        <v>1300</v>
      </c>
      <c r="F975" s="5">
        <v>40909</v>
      </c>
      <c r="G975" s="5">
        <v>41274</v>
      </c>
      <c r="H975" s="4" t="s">
        <v>40</v>
      </c>
      <c r="I975" s="6">
        <v>5000</v>
      </c>
      <c r="J975" s="6">
        <v>2500</v>
      </c>
      <c r="K975" s="37" t="s">
        <v>790</v>
      </c>
      <c r="L975" s="119"/>
      <c r="M975" s="3"/>
    </row>
    <row r="976" spans="1:13" s="4" customFormat="1" ht="63.75" x14ac:dyDescent="0.25">
      <c r="A976" s="4" t="s">
        <v>1885</v>
      </c>
      <c r="B976" s="4" t="s">
        <v>38</v>
      </c>
      <c r="C976" s="37" t="s">
        <v>790</v>
      </c>
      <c r="D976" s="35">
        <v>10308</v>
      </c>
      <c r="E976" s="4" t="s">
        <v>1886</v>
      </c>
      <c r="F976" s="5">
        <v>40909</v>
      </c>
      <c r="G976" s="5">
        <v>41274</v>
      </c>
      <c r="H976" s="4" t="s">
        <v>40</v>
      </c>
      <c r="I976" s="6">
        <v>10135.02</v>
      </c>
      <c r="J976" s="6">
        <v>10135.02</v>
      </c>
      <c r="K976" s="37" t="s">
        <v>790</v>
      </c>
      <c r="L976" s="119"/>
      <c r="M976" s="3"/>
    </row>
    <row r="977" spans="1:13" s="4" customFormat="1" ht="38.25" x14ac:dyDescent="0.25">
      <c r="A977" s="4" t="s">
        <v>1887</v>
      </c>
      <c r="B977" s="4" t="s">
        <v>38</v>
      </c>
      <c r="C977" s="37" t="s">
        <v>790</v>
      </c>
      <c r="D977" s="35">
        <v>10309</v>
      </c>
      <c r="E977" s="4" t="s">
        <v>1888</v>
      </c>
      <c r="F977" s="5">
        <v>41244</v>
      </c>
      <c r="G977" s="5">
        <v>41639</v>
      </c>
      <c r="H977" s="4" t="s">
        <v>40</v>
      </c>
      <c r="I977" s="6">
        <v>15199</v>
      </c>
      <c r="J977" s="6">
        <f>6212.95+8986.65</f>
        <v>15199.599999999999</v>
      </c>
      <c r="K977" s="37" t="s">
        <v>790</v>
      </c>
      <c r="L977" s="119"/>
      <c r="M977" s="3"/>
    </row>
    <row r="978" spans="1:13" s="4" customFormat="1" ht="127.5" x14ac:dyDescent="0.25">
      <c r="A978" s="4" t="s">
        <v>1889</v>
      </c>
      <c r="B978" s="4" t="s">
        <v>38</v>
      </c>
      <c r="C978" s="37" t="s">
        <v>790</v>
      </c>
      <c r="D978" s="35">
        <v>10310</v>
      </c>
      <c r="E978" s="7" t="s">
        <v>1890</v>
      </c>
      <c r="F978" s="5">
        <v>41244</v>
      </c>
      <c r="G978" s="5">
        <v>41274</v>
      </c>
      <c r="H978" s="4" t="s">
        <v>40</v>
      </c>
      <c r="I978" s="6">
        <v>3293.25</v>
      </c>
      <c r="J978" s="6">
        <v>3293.25</v>
      </c>
      <c r="K978" s="37" t="s">
        <v>790</v>
      </c>
      <c r="L978" s="119"/>
      <c r="M978" s="3"/>
    </row>
    <row r="979" spans="1:13" s="4" customFormat="1" ht="63.75" x14ac:dyDescent="0.25">
      <c r="A979" s="4" t="s">
        <v>1891</v>
      </c>
      <c r="B979" s="4" t="s">
        <v>38</v>
      </c>
      <c r="C979" s="37" t="s">
        <v>790</v>
      </c>
      <c r="D979" s="35">
        <v>10311</v>
      </c>
      <c r="E979" s="4" t="s">
        <v>1892</v>
      </c>
      <c r="F979" s="5">
        <v>40909</v>
      </c>
      <c r="G979" s="5">
        <v>41274</v>
      </c>
      <c r="H979" s="4" t="s">
        <v>40</v>
      </c>
      <c r="I979" s="6">
        <v>2231.27</v>
      </c>
      <c r="J979" s="6">
        <v>2231.27</v>
      </c>
      <c r="K979" s="37" t="s">
        <v>790</v>
      </c>
      <c r="L979" s="119"/>
      <c r="M979" s="3"/>
    </row>
    <row r="980" spans="1:13" s="4" customFormat="1" ht="38.25" x14ac:dyDescent="0.25">
      <c r="A980" s="4" t="s">
        <v>1893</v>
      </c>
      <c r="B980" s="4" t="s">
        <v>38</v>
      </c>
      <c r="C980" s="37" t="s">
        <v>790</v>
      </c>
      <c r="D980" s="35">
        <v>10312</v>
      </c>
      <c r="E980" s="4" t="s">
        <v>1125</v>
      </c>
      <c r="F980" s="5">
        <v>40909</v>
      </c>
      <c r="G980" s="5">
        <v>41639</v>
      </c>
      <c r="H980" s="4" t="s">
        <v>40</v>
      </c>
      <c r="I980" s="6">
        <v>35944.519999999997</v>
      </c>
      <c r="J980" s="6">
        <v>35944.519999999997</v>
      </c>
      <c r="K980" s="37" t="s">
        <v>790</v>
      </c>
      <c r="L980" s="119"/>
      <c r="M980" s="3"/>
    </row>
    <row r="981" spans="1:13" s="4" customFormat="1" ht="89.25" x14ac:dyDescent="0.25">
      <c r="A981" s="4" t="s">
        <v>1894</v>
      </c>
      <c r="B981" s="4" t="s">
        <v>38</v>
      </c>
      <c r="C981" s="37" t="s">
        <v>790</v>
      </c>
      <c r="D981" s="35">
        <v>10313</v>
      </c>
      <c r="E981" s="7" t="s">
        <v>1895</v>
      </c>
      <c r="F981" s="5">
        <v>40909</v>
      </c>
      <c r="G981" s="5">
        <v>41639</v>
      </c>
      <c r="H981" s="4" t="s">
        <v>40</v>
      </c>
      <c r="I981" s="6">
        <v>23279.54</v>
      </c>
      <c r="J981" s="6">
        <f>21622.54+1657</f>
        <v>23279.54</v>
      </c>
      <c r="K981" s="37" t="s">
        <v>790</v>
      </c>
      <c r="L981" s="119"/>
      <c r="M981" s="3"/>
    </row>
    <row r="982" spans="1:13" s="4" customFormat="1" ht="51" x14ac:dyDescent="0.25">
      <c r="A982" s="4" t="s">
        <v>1896</v>
      </c>
      <c r="B982" s="4" t="s">
        <v>38</v>
      </c>
      <c r="C982" s="37" t="s">
        <v>790</v>
      </c>
      <c r="D982" s="35">
        <v>10314</v>
      </c>
      <c r="E982" s="4" t="s">
        <v>1676</v>
      </c>
      <c r="F982" s="5">
        <v>40909</v>
      </c>
      <c r="G982" s="5">
        <v>41274</v>
      </c>
      <c r="H982" s="4" t="s">
        <v>40</v>
      </c>
      <c r="I982" s="6">
        <v>3099.74</v>
      </c>
      <c r="J982" s="6">
        <v>3099.74</v>
      </c>
      <c r="K982" s="37" t="s">
        <v>790</v>
      </c>
      <c r="L982" s="119"/>
      <c r="M982" s="3"/>
    </row>
    <row r="983" spans="1:13" s="4" customFormat="1" ht="38.25" x14ac:dyDescent="0.25">
      <c r="A983" s="4" t="s">
        <v>1897</v>
      </c>
      <c r="B983" s="4" t="s">
        <v>38</v>
      </c>
      <c r="C983" s="37" t="s">
        <v>790</v>
      </c>
      <c r="D983" s="35">
        <v>10315</v>
      </c>
      <c r="E983" s="4" t="s">
        <v>1687</v>
      </c>
      <c r="F983" s="5">
        <v>40909</v>
      </c>
      <c r="G983" s="5">
        <v>41274</v>
      </c>
      <c r="H983" s="4" t="s">
        <v>40</v>
      </c>
      <c r="I983" s="6">
        <v>2999.98</v>
      </c>
      <c r="J983" s="6">
        <v>2999.98</v>
      </c>
      <c r="K983" s="37" t="s">
        <v>790</v>
      </c>
      <c r="L983" s="119"/>
      <c r="M983" s="3"/>
    </row>
    <row r="984" spans="1:13" s="4" customFormat="1" ht="38.25" x14ac:dyDescent="0.25">
      <c r="A984" s="4" t="s">
        <v>1898</v>
      </c>
      <c r="B984" s="4" t="s">
        <v>38</v>
      </c>
      <c r="C984" s="37" t="s">
        <v>790</v>
      </c>
      <c r="D984" s="35">
        <v>10316</v>
      </c>
      <c r="E984" s="4" t="s">
        <v>1899</v>
      </c>
      <c r="F984" s="5">
        <v>40909</v>
      </c>
      <c r="G984" s="5">
        <v>41274</v>
      </c>
      <c r="H984" s="4" t="s">
        <v>40</v>
      </c>
      <c r="I984" s="6">
        <v>2251.79</v>
      </c>
      <c r="J984" s="6">
        <v>2251.79</v>
      </c>
      <c r="K984" s="37" t="s">
        <v>790</v>
      </c>
      <c r="L984" s="119"/>
      <c r="M984" s="3"/>
    </row>
    <row r="985" spans="1:13" s="4" customFormat="1" ht="51" x14ac:dyDescent="0.25">
      <c r="A985" s="4" t="s">
        <v>1900</v>
      </c>
      <c r="B985" s="4" t="s">
        <v>38</v>
      </c>
      <c r="C985" s="37" t="s">
        <v>790</v>
      </c>
      <c r="D985" s="35">
        <v>10318</v>
      </c>
      <c r="E985" s="4" t="s">
        <v>1901</v>
      </c>
      <c r="F985" s="5">
        <v>40909</v>
      </c>
      <c r="G985" s="5">
        <v>41274</v>
      </c>
      <c r="H985" s="4" t="s">
        <v>40</v>
      </c>
      <c r="I985" s="6">
        <v>2823.35</v>
      </c>
      <c r="J985" s="6">
        <v>2823.35</v>
      </c>
      <c r="K985" s="37" t="s">
        <v>790</v>
      </c>
      <c r="L985" s="119"/>
      <c r="M985" s="3"/>
    </row>
    <row r="986" spans="1:13" s="4" customFormat="1" ht="76.5" x14ac:dyDescent="0.25">
      <c r="A986" s="4" t="s">
        <v>1902</v>
      </c>
      <c r="B986" s="4" t="s">
        <v>38</v>
      </c>
      <c r="C986" s="37" t="s">
        <v>790</v>
      </c>
      <c r="D986" s="35">
        <v>10319</v>
      </c>
      <c r="E986" s="4" t="s">
        <v>1903</v>
      </c>
      <c r="F986" s="5">
        <v>40909</v>
      </c>
      <c r="G986" s="5">
        <v>41274</v>
      </c>
      <c r="H986" s="4" t="s">
        <v>40</v>
      </c>
      <c r="I986" s="6">
        <v>10900.97</v>
      </c>
      <c r="J986" s="6">
        <v>10900.97</v>
      </c>
      <c r="K986" s="37" t="s">
        <v>790</v>
      </c>
      <c r="L986" s="119"/>
      <c r="M986" s="3"/>
    </row>
    <row r="987" spans="1:13" s="4" customFormat="1" ht="38.25" x14ac:dyDescent="0.25">
      <c r="A987" s="4" t="s">
        <v>1904</v>
      </c>
      <c r="B987" s="4" t="s">
        <v>38</v>
      </c>
      <c r="C987" s="37" t="s">
        <v>790</v>
      </c>
      <c r="D987" s="35">
        <v>10321</v>
      </c>
      <c r="E987" s="4" t="s">
        <v>1362</v>
      </c>
      <c r="F987" s="5">
        <v>40909</v>
      </c>
      <c r="G987" s="5">
        <v>41639</v>
      </c>
      <c r="H987" s="4" t="s">
        <v>40</v>
      </c>
      <c r="I987" s="6">
        <v>28584.05</v>
      </c>
      <c r="J987" s="6">
        <f>27502.55+1081.5</f>
        <v>28584.05</v>
      </c>
      <c r="K987" s="37" t="s">
        <v>790</v>
      </c>
      <c r="L987" s="119"/>
      <c r="M987" s="3"/>
    </row>
    <row r="988" spans="1:13" s="4" customFormat="1" ht="38.25" x14ac:dyDescent="0.25">
      <c r="A988" s="4" t="s">
        <v>1905</v>
      </c>
      <c r="B988" s="4" t="s">
        <v>38</v>
      </c>
      <c r="C988" s="37" t="s">
        <v>790</v>
      </c>
      <c r="D988" s="35">
        <v>10322</v>
      </c>
      <c r="E988" s="4" t="s">
        <v>1324</v>
      </c>
      <c r="F988" s="5">
        <v>40909</v>
      </c>
      <c r="G988" s="5">
        <v>41274</v>
      </c>
      <c r="H988" s="4" t="s">
        <v>40</v>
      </c>
      <c r="I988" s="6">
        <v>983</v>
      </c>
      <c r="J988" s="6">
        <v>983</v>
      </c>
      <c r="K988" s="37" t="s">
        <v>790</v>
      </c>
      <c r="L988" s="119"/>
      <c r="M988" s="3"/>
    </row>
    <row r="989" spans="1:13" s="4" customFormat="1" ht="38.25" x14ac:dyDescent="0.25">
      <c r="A989" s="4" t="s">
        <v>1906</v>
      </c>
      <c r="B989" s="4" t="s">
        <v>38</v>
      </c>
      <c r="C989" s="37" t="s">
        <v>790</v>
      </c>
      <c r="D989" s="35">
        <v>10323</v>
      </c>
      <c r="E989" s="4" t="s">
        <v>1907</v>
      </c>
      <c r="F989" s="5">
        <v>40909</v>
      </c>
      <c r="G989" s="5">
        <v>41274</v>
      </c>
      <c r="H989" s="4" t="s">
        <v>40</v>
      </c>
      <c r="I989" s="6">
        <v>3009.24</v>
      </c>
      <c r="J989" s="6">
        <v>3009.24</v>
      </c>
      <c r="K989" s="37" t="s">
        <v>790</v>
      </c>
      <c r="L989" s="119"/>
      <c r="M989" s="3"/>
    </row>
    <row r="990" spans="1:13" s="4" customFormat="1" ht="89.25" x14ac:dyDescent="0.25">
      <c r="A990" s="4" t="s">
        <v>1908</v>
      </c>
      <c r="B990" s="4" t="s">
        <v>38</v>
      </c>
      <c r="C990" s="37" t="s">
        <v>790</v>
      </c>
      <c r="D990" s="35">
        <v>10324</v>
      </c>
      <c r="E990" s="7" t="s">
        <v>1909</v>
      </c>
      <c r="F990" s="5">
        <v>40909</v>
      </c>
      <c r="G990" s="5">
        <v>41274</v>
      </c>
      <c r="H990" s="4" t="s">
        <v>40</v>
      </c>
      <c r="I990" s="6">
        <v>1112.24</v>
      </c>
      <c r="J990" s="6">
        <v>1112.24</v>
      </c>
      <c r="K990" s="37" t="s">
        <v>790</v>
      </c>
      <c r="L990" s="119"/>
      <c r="M990" s="3"/>
    </row>
    <row r="991" spans="1:13" s="4" customFormat="1" ht="153" x14ac:dyDescent="0.25">
      <c r="A991" s="4" t="s">
        <v>1910</v>
      </c>
      <c r="B991" s="4" t="s">
        <v>38</v>
      </c>
      <c r="C991" s="37" t="s">
        <v>790</v>
      </c>
      <c r="D991" s="35">
        <v>10325</v>
      </c>
      <c r="E991" s="7" t="s">
        <v>1911</v>
      </c>
      <c r="F991" s="5">
        <v>40909</v>
      </c>
      <c r="G991" s="5">
        <v>41274</v>
      </c>
      <c r="H991" s="4" t="s">
        <v>40</v>
      </c>
      <c r="I991" s="6">
        <v>1167.55</v>
      </c>
      <c r="J991" s="6">
        <v>1167.55</v>
      </c>
      <c r="K991" s="37" t="s">
        <v>790</v>
      </c>
      <c r="L991" s="119"/>
      <c r="M991" s="3"/>
    </row>
    <row r="992" spans="1:13" s="4" customFormat="1" ht="63.75" x14ac:dyDescent="0.25">
      <c r="A992" s="4" t="s">
        <v>1912</v>
      </c>
      <c r="B992" s="4" t="s">
        <v>38</v>
      </c>
      <c r="C992" s="37" t="s">
        <v>790</v>
      </c>
      <c r="D992" s="35">
        <v>10326</v>
      </c>
      <c r="E992" s="4" t="s">
        <v>1913</v>
      </c>
      <c r="F992" s="5">
        <v>40909</v>
      </c>
      <c r="G992" s="5">
        <v>41639</v>
      </c>
      <c r="H992" s="4" t="s">
        <v>40</v>
      </c>
      <c r="I992" s="6">
        <v>5964.21</v>
      </c>
      <c r="J992" s="6">
        <f>2869.21+3095</f>
        <v>5964.21</v>
      </c>
      <c r="K992" s="37" t="s">
        <v>790</v>
      </c>
      <c r="L992" s="119"/>
      <c r="M992" s="3"/>
    </row>
    <row r="993" spans="1:13" s="4" customFormat="1" ht="38.25" x14ac:dyDescent="0.25">
      <c r="A993" s="4" t="s">
        <v>1647</v>
      </c>
      <c r="B993" s="4" t="s">
        <v>38</v>
      </c>
      <c r="C993" s="37" t="s">
        <v>790</v>
      </c>
      <c r="D993" s="35">
        <v>10327</v>
      </c>
      <c r="E993" s="4" t="s">
        <v>1648</v>
      </c>
      <c r="F993" s="5">
        <v>40909</v>
      </c>
      <c r="G993" s="5">
        <v>41060</v>
      </c>
      <c r="H993" s="4" t="s">
        <v>40</v>
      </c>
      <c r="I993" s="6">
        <v>9491.68</v>
      </c>
      <c r="J993" s="6">
        <v>9491.68</v>
      </c>
      <c r="K993" s="37" t="s">
        <v>790</v>
      </c>
      <c r="L993" s="119"/>
      <c r="M993" s="3"/>
    </row>
    <row r="994" spans="1:13" s="4" customFormat="1" ht="38.25" x14ac:dyDescent="0.25">
      <c r="A994" s="4" t="s">
        <v>1914</v>
      </c>
      <c r="B994" s="4" t="s">
        <v>183</v>
      </c>
      <c r="C994" s="37" t="s">
        <v>790</v>
      </c>
      <c r="D994" s="35">
        <v>10348</v>
      </c>
      <c r="E994" s="4" t="s">
        <v>1915</v>
      </c>
      <c r="F994" s="5">
        <v>41071</v>
      </c>
      <c r="G994" s="5">
        <v>41274</v>
      </c>
      <c r="H994" s="4" t="s">
        <v>40</v>
      </c>
      <c r="I994" s="6">
        <v>20000</v>
      </c>
      <c r="J994" s="6">
        <v>20000</v>
      </c>
      <c r="K994" s="37" t="s">
        <v>790</v>
      </c>
      <c r="L994" s="119"/>
      <c r="M994" s="3"/>
    </row>
    <row r="995" spans="1:13" s="4" customFormat="1" ht="38.25" x14ac:dyDescent="0.25">
      <c r="A995" s="4" t="s">
        <v>1918</v>
      </c>
      <c r="B995" s="4" t="s">
        <v>183</v>
      </c>
      <c r="C995" s="37" t="s">
        <v>790</v>
      </c>
      <c r="D995" s="35">
        <v>10357</v>
      </c>
      <c r="E995" s="4" t="s">
        <v>1919</v>
      </c>
      <c r="F995" s="5">
        <v>41071</v>
      </c>
      <c r="G995" s="5">
        <v>41274</v>
      </c>
      <c r="H995" s="4" t="s">
        <v>40</v>
      </c>
      <c r="I995" s="6">
        <v>50344</v>
      </c>
      <c r="J995" s="6">
        <v>35797</v>
      </c>
      <c r="K995" s="37" t="s">
        <v>790</v>
      </c>
      <c r="L995" s="119"/>
      <c r="M995" s="3"/>
    </row>
    <row r="996" spans="1:13" s="4" customFormat="1" ht="51" x14ac:dyDescent="0.25">
      <c r="A996" s="4" t="s">
        <v>1920</v>
      </c>
      <c r="B996" s="4" t="s">
        <v>38</v>
      </c>
      <c r="C996" s="37" t="s">
        <v>790</v>
      </c>
      <c r="D996" s="35">
        <v>10360</v>
      </c>
      <c r="E996" s="4" t="s">
        <v>1921</v>
      </c>
      <c r="F996" s="5">
        <v>40909</v>
      </c>
      <c r="G996" s="5">
        <v>41274</v>
      </c>
      <c r="H996" s="4" t="s">
        <v>40</v>
      </c>
      <c r="I996" s="6">
        <v>26753.85</v>
      </c>
      <c r="J996" s="6">
        <v>26753.85</v>
      </c>
      <c r="K996" s="37" t="s">
        <v>790</v>
      </c>
      <c r="L996" s="119"/>
      <c r="M996" s="3"/>
    </row>
    <row r="997" spans="1:13" s="4" customFormat="1" ht="127.5" x14ac:dyDescent="0.25">
      <c r="A997" s="4" t="s">
        <v>1922</v>
      </c>
      <c r="B997" s="4" t="s">
        <v>38</v>
      </c>
      <c r="C997" s="37" t="s">
        <v>790</v>
      </c>
      <c r="D997" s="35">
        <v>10362</v>
      </c>
      <c r="E997" s="7" t="s">
        <v>1923</v>
      </c>
      <c r="F997" s="5">
        <v>40909</v>
      </c>
      <c r="G997" s="5">
        <v>41274</v>
      </c>
      <c r="H997" s="4" t="s">
        <v>40</v>
      </c>
      <c r="I997" s="6">
        <v>4652.5600000000004</v>
      </c>
      <c r="J997" s="6">
        <v>4652.5600000000004</v>
      </c>
      <c r="K997" s="37" t="s">
        <v>790</v>
      </c>
      <c r="L997" s="119"/>
      <c r="M997" s="3"/>
    </row>
    <row r="998" spans="1:13" s="4" customFormat="1" ht="63.75" x14ac:dyDescent="0.25">
      <c r="A998" s="4" t="s">
        <v>1924</v>
      </c>
      <c r="B998" s="4" t="s">
        <v>38</v>
      </c>
      <c r="C998" s="37" t="s">
        <v>790</v>
      </c>
      <c r="D998" s="35">
        <v>10363</v>
      </c>
      <c r="E998" s="4" t="s">
        <v>1925</v>
      </c>
      <c r="F998" s="5">
        <v>40909</v>
      </c>
      <c r="G998" s="5">
        <v>41274</v>
      </c>
      <c r="H998" s="4" t="s">
        <v>40</v>
      </c>
      <c r="I998" s="6">
        <v>13140.6</v>
      </c>
      <c r="J998" s="6">
        <v>13140.6</v>
      </c>
      <c r="K998" s="37" t="s">
        <v>790</v>
      </c>
      <c r="L998" s="119"/>
      <c r="M998" s="3"/>
    </row>
    <row r="999" spans="1:13" s="4" customFormat="1" ht="25.5" x14ac:dyDescent="0.25">
      <c r="A999" s="4" t="s">
        <v>1926</v>
      </c>
      <c r="B999" s="4" t="s">
        <v>38</v>
      </c>
      <c r="C999" s="37" t="s">
        <v>790</v>
      </c>
      <c r="D999" s="35">
        <v>10364</v>
      </c>
      <c r="E999" s="4" t="s">
        <v>1927</v>
      </c>
      <c r="F999" s="5">
        <v>41153</v>
      </c>
      <c r="H999" s="4" t="s">
        <v>40</v>
      </c>
      <c r="I999" s="6">
        <v>1566.4</v>
      </c>
      <c r="J999" s="6">
        <v>1566.4</v>
      </c>
      <c r="K999" s="37" t="s">
        <v>790</v>
      </c>
      <c r="L999" s="119"/>
      <c r="M999" s="3"/>
    </row>
    <row r="1000" spans="1:13" s="4" customFormat="1" ht="127.5" x14ac:dyDescent="0.25">
      <c r="A1000" s="4" t="s">
        <v>1885</v>
      </c>
      <c r="B1000" s="4" t="s">
        <v>38</v>
      </c>
      <c r="C1000" s="37" t="s">
        <v>790</v>
      </c>
      <c r="D1000" s="35">
        <v>10366</v>
      </c>
      <c r="E1000" s="7" t="s">
        <v>1928</v>
      </c>
      <c r="F1000" s="5">
        <v>40909</v>
      </c>
      <c r="G1000" s="5">
        <v>41274</v>
      </c>
      <c r="H1000" s="4" t="s">
        <v>40</v>
      </c>
      <c r="I1000" s="6">
        <v>3929.15</v>
      </c>
      <c r="J1000" s="6">
        <v>3929.15</v>
      </c>
      <c r="K1000" s="37" t="s">
        <v>790</v>
      </c>
      <c r="L1000" s="119"/>
      <c r="M1000" s="3"/>
    </row>
    <row r="1001" spans="1:13" s="4" customFormat="1" ht="102" x14ac:dyDescent="0.25">
      <c r="A1001" s="4" t="s">
        <v>1929</v>
      </c>
      <c r="B1001" s="4" t="s">
        <v>38</v>
      </c>
      <c r="C1001" s="37" t="s">
        <v>790</v>
      </c>
      <c r="D1001" s="35">
        <v>10367</v>
      </c>
      <c r="E1001" s="7" t="s">
        <v>1930</v>
      </c>
      <c r="F1001" s="5">
        <v>40909</v>
      </c>
      <c r="G1001" s="5">
        <v>41274</v>
      </c>
      <c r="H1001" s="4" t="s">
        <v>40</v>
      </c>
      <c r="I1001" s="6">
        <v>601.4</v>
      </c>
      <c r="J1001" s="6">
        <v>601.4</v>
      </c>
      <c r="K1001" s="37" t="s">
        <v>790</v>
      </c>
      <c r="L1001" s="119"/>
      <c r="M1001" s="3"/>
    </row>
    <row r="1002" spans="1:13" s="4" customFormat="1" ht="51" x14ac:dyDescent="0.25">
      <c r="A1002" s="4" t="s">
        <v>1931</v>
      </c>
      <c r="B1002" s="4" t="s">
        <v>38</v>
      </c>
      <c r="C1002" s="37" t="s">
        <v>790</v>
      </c>
      <c r="D1002" s="35">
        <v>10368</v>
      </c>
      <c r="E1002" s="4" t="s">
        <v>1932</v>
      </c>
      <c r="F1002" s="5">
        <v>40909</v>
      </c>
      <c r="G1002" s="5">
        <v>41274</v>
      </c>
      <c r="H1002" s="4" t="s">
        <v>40</v>
      </c>
      <c r="I1002" s="6">
        <v>226.32</v>
      </c>
      <c r="J1002" s="6">
        <v>226.32</v>
      </c>
      <c r="K1002" s="37" t="s">
        <v>790</v>
      </c>
      <c r="L1002" s="119"/>
      <c r="M1002" s="3"/>
    </row>
    <row r="1003" spans="1:13" s="4" customFormat="1" ht="38.25" x14ac:dyDescent="0.25">
      <c r="A1003" s="4" t="s">
        <v>1933</v>
      </c>
      <c r="B1003" s="4" t="s">
        <v>38</v>
      </c>
      <c r="C1003" s="37" t="s">
        <v>790</v>
      </c>
      <c r="D1003" s="35">
        <v>10369</v>
      </c>
      <c r="E1003" s="4" t="s">
        <v>1934</v>
      </c>
      <c r="F1003" s="5">
        <v>40909</v>
      </c>
      <c r="G1003" s="5">
        <v>41274</v>
      </c>
      <c r="H1003" s="4" t="s">
        <v>40</v>
      </c>
      <c r="I1003" s="6">
        <v>3069.19</v>
      </c>
      <c r="J1003" s="6">
        <v>3069.19</v>
      </c>
      <c r="K1003" s="37" t="s">
        <v>790</v>
      </c>
      <c r="L1003" s="119"/>
      <c r="M1003" s="3"/>
    </row>
    <row r="1004" spans="1:13" s="4" customFormat="1" ht="25.5" x14ac:dyDescent="0.25">
      <c r="A1004" s="4" t="s">
        <v>1935</v>
      </c>
      <c r="B1004" s="4" t="s">
        <v>38</v>
      </c>
      <c r="C1004" s="37" t="s">
        <v>790</v>
      </c>
      <c r="D1004" s="35">
        <v>10370</v>
      </c>
      <c r="E1004" s="4" t="s">
        <v>1936</v>
      </c>
      <c r="F1004" s="5">
        <v>40909</v>
      </c>
      <c r="G1004" s="5">
        <v>41274</v>
      </c>
      <c r="H1004" s="4" t="s">
        <v>40</v>
      </c>
      <c r="I1004" s="6">
        <v>325.7</v>
      </c>
      <c r="J1004" s="6">
        <v>325.7</v>
      </c>
      <c r="K1004" s="37" t="s">
        <v>790</v>
      </c>
      <c r="L1004" s="119"/>
      <c r="M1004" s="3"/>
    </row>
    <row r="1005" spans="1:13" s="4" customFormat="1" ht="25.5" x14ac:dyDescent="0.25">
      <c r="A1005" s="4" t="s">
        <v>1937</v>
      </c>
      <c r="B1005" s="4" t="s">
        <v>38</v>
      </c>
      <c r="C1005" s="37" t="s">
        <v>790</v>
      </c>
      <c r="D1005" s="35">
        <v>10371</v>
      </c>
      <c r="E1005" s="4" t="s">
        <v>1938</v>
      </c>
      <c r="F1005" s="5">
        <v>40909</v>
      </c>
      <c r="G1005" s="5">
        <v>41274</v>
      </c>
      <c r="H1005" s="4" t="s">
        <v>40</v>
      </c>
      <c r="I1005" s="6">
        <v>311.60000000000002</v>
      </c>
      <c r="J1005" s="6">
        <f>311.6</f>
        <v>311.60000000000002</v>
      </c>
      <c r="K1005" s="37" t="s">
        <v>790</v>
      </c>
      <c r="L1005" s="119"/>
      <c r="M1005" s="3"/>
    </row>
    <row r="1006" spans="1:13" s="4" customFormat="1" ht="25.5" x14ac:dyDescent="0.25">
      <c r="A1006" s="4" t="s">
        <v>1939</v>
      </c>
      <c r="B1006" s="4" t="s">
        <v>38</v>
      </c>
      <c r="C1006" s="37" t="s">
        <v>790</v>
      </c>
      <c r="D1006" s="35">
        <v>10372</v>
      </c>
      <c r="E1006" s="4" t="s">
        <v>1940</v>
      </c>
      <c r="F1006" s="5">
        <v>40909</v>
      </c>
      <c r="G1006" s="5">
        <v>41274</v>
      </c>
      <c r="H1006" s="4" t="s">
        <v>40</v>
      </c>
      <c r="I1006" s="6">
        <v>311.60000000000002</v>
      </c>
      <c r="J1006" s="6">
        <v>311.60000000000002</v>
      </c>
      <c r="K1006" s="37" t="s">
        <v>790</v>
      </c>
      <c r="L1006" s="119"/>
      <c r="M1006" s="3"/>
    </row>
    <row r="1007" spans="1:13" s="4" customFormat="1" ht="63.75" x14ac:dyDescent="0.25">
      <c r="A1007" s="4" t="s">
        <v>1941</v>
      </c>
      <c r="B1007" s="4" t="s">
        <v>38</v>
      </c>
      <c r="C1007" s="37" t="s">
        <v>790</v>
      </c>
      <c r="D1007" s="35">
        <v>10373</v>
      </c>
      <c r="E1007" s="4" t="s">
        <v>1942</v>
      </c>
      <c r="F1007" s="5">
        <v>40909</v>
      </c>
      <c r="G1007" s="5">
        <v>41274</v>
      </c>
      <c r="H1007" s="4" t="s">
        <v>40</v>
      </c>
      <c r="I1007" s="6">
        <v>6331.1</v>
      </c>
      <c r="J1007" s="6">
        <v>6331.1</v>
      </c>
      <c r="K1007" s="37" t="s">
        <v>790</v>
      </c>
      <c r="L1007" s="119"/>
      <c r="M1007" s="3"/>
    </row>
    <row r="1008" spans="1:13" s="4" customFormat="1" ht="89.25" x14ac:dyDescent="0.25">
      <c r="A1008" s="4" t="s">
        <v>1943</v>
      </c>
      <c r="B1008" s="4" t="s">
        <v>38</v>
      </c>
      <c r="C1008" s="37" t="s">
        <v>790</v>
      </c>
      <c r="D1008" s="35">
        <v>10374</v>
      </c>
      <c r="E1008" s="7" t="s">
        <v>1944</v>
      </c>
      <c r="F1008" s="5">
        <v>40909</v>
      </c>
      <c r="G1008" s="5">
        <v>41274</v>
      </c>
      <c r="H1008" s="4" t="s">
        <v>40</v>
      </c>
      <c r="I1008" s="6">
        <v>2548.4499999999998</v>
      </c>
      <c r="J1008" s="6">
        <v>2548.4499999999998</v>
      </c>
      <c r="K1008" s="37" t="s">
        <v>790</v>
      </c>
      <c r="L1008" s="119"/>
      <c r="M1008" s="3"/>
    </row>
    <row r="1009" spans="1:13" s="4" customFormat="1" ht="25.5" x14ac:dyDescent="0.25">
      <c r="A1009" s="4" t="s">
        <v>1893</v>
      </c>
      <c r="B1009" s="4" t="s">
        <v>38</v>
      </c>
      <c r="C1009" s="37" t="s">
        <v>790</v>
      </c>
      <c r="D1009" s="35">
        <v>10375</v>
      </c>
      <c r="E1009" s="4" t="s">
        <v>1945</v>
      </c>
      <c r="F1009" s="5">
        <v>40909</v>
      </c>
      <c r="G1009" s="5">
        <v>41274</v>
      </c>
      <c r="H1009" s="4" t="s">
        <v>40</v>
      </c>
      <c r="I1009" s="6">
        <v>5340</v>
      </c>
      <c r="J1009" s="6">
        <v>5340</v>
      </c>
      <c r="K1009" s="37" t="s">
        <v>790</v>
      </c>
      <c r="L1009" s="119"/>
      <c r="M1009" s="3"/>
    </row>
    <row r="1010" spans="1:13" s="4" customFormat="1" ht="51" x14ac:dyDescent="0.25">
      <c r="A1010" s="4" t="s">
        <v>1946</v>
      </c>
      <c r="B1010" s="4" t="s">
        <v>38</v>
      </c>
      <c r="C1010" s="37" t="s">
        <v>790</v>
      </c>
      <c r="D1010" s="35">
        <v>10376</v>
      </c>
      <c r="E1010" s="4" t="s">
        <v>1947</v>
      </c>
      <c r="F1010" s="5">
        <v>40909</v>
      </c>
      <c r="G1010" s="5">
        <v>41274</v>
      </c>
      <c r="H1010" s="4" t="s">
        <v>40</v>
      </c>
      <c r="I1010" s="6">
        <v>400</v>
      </c>
      <c r="J1010" s="6">
        <v>400</v>
      </c>
      <c r="K1010" s="37" t="s">
        <v>790</v>
      </c>
      <c r="L1010" s="119"/>
      <c r="M1010" s="3"/>
    </row>
    <row r="1011" spans="1:13" s="4" customFormat="1" ht="25.5" x14ac:dyDescent="0.25">
      <c r="A1011" s="4" t="s">
        <v>1948</v>
      </c>
      <c r="B1011" s="4" t="s">
        <v>38</v>
      </c>
      <c r="C1011" s="37" t="s">
        <v>790</v>
      </c>
      <c r="D1011" s="35">
        <v>10377</v>
      </c>
      <c r="E1011" s="4" t="s">
        <v>1949</v>
      </c>
      <c r="F1011" s="5">
        <v>40909</v>
      </c>
      <c r="G1011" s="5">
        <v>41274</v>
      </c>
      <c r="H1011" s="4" t="s">
        <v>40</v>
      </c>
      <c r="I1011" s="6">
        <v>5042.05</v>
      </c>
      <c r="J1011" s="6">
        <v>5042.05</v>
      </c>
      <c r="K1011" s="37" t="s">
        <v>790</v>
      </c>
      <c r="L1011" s="119"/>
      <c r="M1011" s="3"/>
    </row>
    <row r="1012" spans="1:13" s="4" customFormat="1" ht="63.75" x14ac:dyDescent="0.25">
      <c r="A1012" s="4" t="s">
        <v>1950</v>
      </c>
      <c r="B1012" s="4" t="s">
        <v>38</v>
      </c>
      <c r="C1012" s="37" t="s">
        <v>790</v>
      </c>
      <c r="D1012" s="35">
        <v>10379</v>
      </c>
      <c r="E1012" s="4" t="s">
        <v>1951</v>
      </c>
      <c r="F1012" s="5">
        <v>40909</v>
      </c>
      <c r="G1012" s="5">
        <v>41274</v>
      </c>
      <c r="H1012" s="4" t="s">
        <v>40</v>
      </c>
      <c r="I1012" s="6">
        <v>1923.2</v>
      </c>
      <c r="J1012" s="6">
        <v>1923.2</v>
      </c>
      <c r="K1012" s="37" t="s">
        <v>790</v>
      </c>
      <c r="L1012" s="119"/>
      <c r="M1012" s="3"/>
    </row>
    <row r="1013" spans="1:13" s="4" customFormat="1" ht="76.5" x14ac:dyDescent="0.25">
      <c r="A1013" s="4" t="s">
        <v>1952</v>
      </c>
      <c r="B1013" s="4" t="s">
        <v>38</v>
      </c>
      <c r="C1013" s="37" t="s">
        <v>790</v>
      </c>
      <c r="D1013" s="35">
        <v>10380</v>
      </c>
      <c r="E1013" s="4" t="s">
        <v>1953</v>
      </c>
      <c r="F1013" s="5">
        <v>40909</v>
      </c>
      <c r="G1013" s="5">
        <v>41274</v>
      </c>
      <c r="H1013" s="4" t="s">
        <v>40</v>
      </c>
      <c r="I1013" s="6">
        <v>1872.67</v>
      </c>
      <c r="J1013" s="6">
        <v>1872.67</v>
      </c>
      <c r="K1013" s="37" t="s">
        <v>790</v>
      </c>
      <c r="L1013" s="119"/>
      <c r="M1013" s="3"/>
    </row>
    <row r="1014" spans="1:13" s="4" customFormat="1" ht="38.25" x14ac:dyDescent="0.25">
      <c r="A1014" s="4" t="s">
        <v>1954</v>
      </c>
      <c r="B1014" s="4" t="s">
        <v>38</v>
      </c>
      <c r="C1014" s="37" t="s">
        <v>790</v>
      </c>
      <c r="D1014" s="35">
        <v>10381</v>
      </c>
      <c r="E1014" s="4" t="s">
        <v>1955</v>
      </c>
      <c r="F1014" s="5">
        <v>40909</v>
      </c>
      <c r="G1014" s="5">
        <v>41274</v>
      </c>
      <c r="H1014" s="4" t="s">
        <v>40</v>
      </c>
      <c r="I1014" s="6">
        <v>2077</v>
      </c>
      <c r="J1014" s="6">
        <v>2077</v>
      </c>
      <c r="K1014" s="37" t="s">
        <v>790</v>
      </c>
      <c r="L1014" s="119"/>
      <c r="M1014" s="3"/>
    </row>
    <row r="1015" spans="1:13" s="4" customFormat="1" ht="38.25" x14ac:dyDescent="0.25">
      <c r="A1015" s="4" t="s">
        <v>1956</v>
      </c>
      <c r="B1015" s="4" t="s">
        <v>38</v>
      </c>
      <c r="C1015" s="37" t="s">
        <v>790</v>
      </c>
      <c r="D1015" s="35">
        <v>10382</v>
      </c>
      <c r="E1015" s="4" t="s">
        <v>1957</v>
      </c>
      <c r="F1015" s="5">
        <v>40909</v>
      </c>
      <c r="G1015" s="5">
        <v>41274</v>
      </c>
      <c r="H1015" s="4" t="s">
        <v>40</v>
      </c>
      <c r="I1015" s="6">
        <v>4340.67</v>
      </c>
      <c r="J1015" s="6">
        <v>4340.67</v>
      </c>
      <c r="K1015" s="37" t="s">
        <v>790</v>
      </c>
      <c r="L1015" s="119"/>
      <c r="M1015" s="3"/>
    </row>
    <row r="1016" spans="1:13" s="4" customFormat="1" ht="38.25" x14ac:dyDescent="0.25">
      <c r="A1016" s="4" t="s">
        <v>1958</v>
      </c>
      <c r="B1016" s="4" t="s">
        <v>38</v>
      </c>
      <c r="C1016" s="37" t="s">
        <v>790</v>
      </c>
      <c r="D1016" s="35">
        <v>10383</v>
      </c>
      <c r="E1016" s="4" t="s">
        <v>1837</v>
      </c>
      <c r="F1016" s="5">
        <v>40909</v>
      </c>
      <c r="G1016" s="5">
        <v>41274</v>
      </c>
      <c r="H1016" s="4" t="s">
        <v>40</v>
      </c>
      <c r="I1016" s="6">
        <v>4000</v>
      </c>
      <c r="J1016" s="6">
        <v>2000</v>
      </c>
      <c r="K1016" s="37" t="s">
        <v>790</v>
      </c>
      <c r="L1016" s="119"/>
      <c r="M1016" s="3"/>
    </row>
    <row r="1017" spans="1:13" s="4" customFormat="1" ht="38.25" x14ac:dyDescent="0.25">
      <c r="A1017" s="4" t="s">
        <v>1959</v>
      </c>
      <c r="B1017" s="4" t="s">
        <v>38</v>
      </c>
      <c r="C1017" s="37" t="s">
        <v>790</v>
      </c>
      <c r="D1017" s="35">
        <v>10384</v>
      </c>
      <c r="E1017" s="4" t="s">
        <v>1960</v>
      </c>
      <c r="F1017" s="5">
        <v>40909</v>
      </c>
      <c r="G1017" s="5">
        <v>41274</v>
      </c>
      <c r="H1017" s="4" t="s">
        <v>40</v>
      </c>
      <c r="I1017" s="6">
        <v>949.1</v>
      </c>
      <c r="J1017" s="6">
        <v>949.1</v>
      </c>
      <c r="K1017" s="37" t="s">
        <v>790</v>
      </c>
      <c r="L1017" s="119"/>
      <c r="M1017" s="3"/>
    </row>
    <row r="1018" spans="1:13" s="4" customFormat="1" ht="89.25" x14ac:dyDescent="0.25">
      <c r="A1018" s="4" t="s">
        <v>1961</v>
      </c>
      <c r="B1018" s="4" t="s">
        <v>38</v>
      </c>
      <c r="C1018" s="37" t="s">
        <v>790</v>
      </c>
      <c r="D1018" s="35">
        <v>10385</v>
      </c>
      <c r="E1018" s="7" t="s">
        <v>1962</v>
      </c>
      <c r="F1018" s="5">
        <v>40909</v>
      </c>
      <c r="G1018" s="5">
        <v>41274</v>
      </c>
      <c r="H1018" s="4" t="s">
        <v>40</v>
      </c>
      <c r="I1018" s="6">
        <v>5306.37</v>
      </c>
      <c r="J1018" s="6">
        <v>5306.37</v>
      </c>
      <c r="K1018" s="37" t="s">
        <v>790</v>
      </c>
      <c r="L1018" s="119"/>
      <c r="M1018" s="3"/>
    </row>
    <row r="1019" spans="1:13" s="4" customFormat="1" ht="63.75" x14ac:dyDescent="0.25">
      <c r="A1019" s="4" t="s">
        <v>1963</v>
      </c>
      <c r="B1019" s="4" t="s">
        <v>38</v>
      </c>
      <c r="C1019" s="37" t="s">
        <v>790</v>
      </c>
      <c r="D1019" s="35">
        <v>10386</v>
      </c>
      <c r="E1019" s="4" t="s">
        <v>1964</v>
      </c>
      <c r="F1019" s="5">
        <v>40909</v>
      </c>
      <c r="G1019" s="5">
        <v>41274</v>
      </c>
      <c r="H1019" s="4" t="s">
        <v>40</v>
      </c>
      <c r="I1019" s="6">
        <v>1361</v>
      </c>
      <c r="J1019" s="6">
        <v>1361</v>
      </c>
      <c r="K1019" s="37" t="s">
        <v>790</v>
      </c>
      <c r="L1019" s="119"/>
      <c r="M1019" s="3"/>
    </row>
    <row r="1020" spans="1:13" s="4" customFormat="1" ht="51" x14ac:dyDescent="0.25">
      <c r="A1020" s="4" t="s">
        <v>1965</v>
      </c>
      <c r="B1020" s="4" t="s">
        <v>38</v>
      </c>
      <c r="C1020" s="37" t="s">
        <v>790</v>
      </c>
      <c r="D1020" s="35">
        <v>10387</v>
      </c>
      <c r="E1020" s="4" t="s">
        <v>1966</v>
      </c>
      <c r="F1020" s="5">
        <v>40909</v>
      </c>
      <c r="G1020" s="5">
        <v>41274</v>
      </c>
      <c r="H1020" s="4" t="s">
        <v>40</v>
      </c>
      <c r="I1020" s="6">
        <v>18510.25</v>
      </c>
      <c r="J1020" s="6">
        <v>18510.25</v>
      </c>
      <c r="K1020" s="37" t="s">
        <v>790</v>
      </c>
      <c r="L1020" s="119"/>
      <c r="M1020" s="3"/>
    </row>
    <row r="1021" spans="1:13" s="4" customFormat="1" ht="51" x14ac:dyDescent="0.25">
      <c r="A1021" s="4" t="s">
        <v>1967</v>
      </c>
      <c r="B1021" s="4" t="s">
        <v>38</v>
      </c>
      <c r="C1021" s="37" t="s">
        <v>790</v>
      </c>
      <c r="D1021" s="35">
        <v>10388</v>
      </c>
      <c r="E1021" s="4" t="s">
        <v>1968</v>
      </c>
      <c r="F1021" s="5">
        <v>40909</v>
      </c>
      <c r="G1021" s="5">
        <v>41274</v>
      </c>
      <c r="H1021" s="4" t="s">
        <v>40</v>
      </c>
      <c r="I1021" s="6">
        <v>2937.62</v>
      </c>
      <c r="J1021" s="6">
        <v>2937.62</v>
      </c>
      <c r="K1021" s="37" t="s">
        <v>790</v>
      </c>
      <c r="L1021" s="119"/>
      <c r="M1021" s="3"/>
    </row>
    <row r="1022" spans="1:13" s="4" customFormat="1" ht="38.25" x14ac:dyDescent="0.25">
      <c r="A1022" s="4" t="s">
        <v>1969</v>
      </c>
      <c r="B1022" s="4" t="s">
        <v>38</v>
      </c>
      <c r="C1022" s="37" t="s">
        <v>790</v>
      </c>
      <c r="D1022" s="35">
        <v>10390</v>
      </c>
      <c r="E1022" s="4" t="s">
        <v>1970</v>
      </c>
      <c r="F1022" s="5">
        <v>40909</v>
      </c>
      <c r="G1022" s="5">
        <v>41274</v>
      </c>
      <c r="H1022" s="4" t="s">
        <v>40</v>
      </c>
      <c r="I1022" s="6">
        <v>9213.83</v>
      </c>
      <c r="J1022" s="6">
        <v>5106.95</v>
      </c>
      <c r="K1022" s="37" t="s">
        <v>790</v>
      </c>
      <c r="L1022" s="119"/>
      <c r="M1022" s="3"/>
    </row>
    <row r="1023" spans="1:13" s="4" customFormat="1" ht="38.25" x14ac:dyDescent="0.25">
      <c r="A1023" s="4" t="s">
        <v>1522</v>
      </c>
      <c r="B1023" s="4" t="s">
        <v>38</v>
      </c>
      <c r="C1023" s="37" t="s">
        <v>790</v>
      </c>
      <c r="D1023" s="35">
        <v>10392</v>
      </c>
      <c r="E1023" s="4" t="s">
        <v>1971</v>
      </c>
      <c r="F1023" s="5">
        <v>40909</v>
      </c>
      <c r="G1023" s="5">
        <v>41274</v>
      </c>
      <c r="H1023" s="4" t="s">
        <v>40</v>
      </c>
      <c r="I1023" s="6">
        <v>605</v>
      </c>
      <c r="J1023" s="6">
        <v>605</v>
      </c>
      <c r="K1023" s="37" t="s">
        <v>790</v>
      </c>
      <c r="L1023" s="119"/>
      <c r="M1023" s="3"/>
    </row>
    <row r="1024" spans="1:13" s="4" customFormat="1" ht="38.25" x14ac:dyDescent="0.25">
      <c r="A1024" s="4" t="s">
        <v>1972</v>
      </c>
      <c r="B1024" s="4" t="s">
        <v>190</v>
      </c>
      <c r="C1024" s="37" t="s">
        <v>790</v>
      </c>
      <c r="D1024" s="35">
        <v>10869</v>
      </c>
      <c r="E1024" s="4" t="s">
        <v>1973</v>
      </c>
      <c r="F1024" s="5">
        <v>41207</v>
      </c>
      <c r="G1024" s="5">
        <v>41274</v>
      </c>
      <c r="H1024" s="4" t="s">
        <v>40</v>
      </c>
      <c r="I1024" s="6">
        <v>20960</v>
      </c>
      <c r="J1024" s="6">
        <v>10480</v>
      </c>
      <c r="K1024" s="37" t="s">
        <v>790</v>
      </c>
      <c r="L1024" s="119"/>
      <c r="M1024" s="3"/>
    </row>
    <row r="1025" spans="1:13" s="4" customFormat="1" ht="76.5" x14ac:dyDescent="0.25">
      <c r="A1025" s="4" t="s">
        <v>1974</v>
      </c>
      <c r="B1025" s="4" t="s">
        <v>183</v>
      </c>
      <c r="C1025" s="37" t="s">
        <v>790</v>
      </c>
      <c r="D1025" s="35">
        <v>10870</v>
      </c>
      <c r="E1025" s="4" t="s">
        <v>1975</v>
      </c>
      <c r="F1025" s="5">
        <v>40968</v>
      </c>
      <c r="G1025" s="5">
        <v>41274</v>
      </c>
      <c r="H1025" s="4" t="s">
        <v>40</v>
      </c>
      <c r="I1025" s="6">
        <v>25038.959999999999</v>
      </c>
      <c r="J1025" s="6">
        <v>16269.48</v>
      </c>
      <c r="K1025" s="37" t="s">
        <v>790</v>
      </c>
      <c r="L1025" s="119"/>
      <c r="M1025" s="3"/>
    </row>
    <row r="1026" spans="1:13" s="4" customFormat="1" ht="76.5" x14ac:dyDescent="0.25">
      <c r="A1026" s="4" t="s">
        <v>1976</v>
      </c>
      <c r="B1026" s="4" t="s">
        <v>183</v>
      </c>
      <c r="C1026" s="37" t="s">
        <v>790</v>
      </c>
      <c r="D1026" s="35">
        <v>10871</v>
      </c>
      <c r="E1026" s="4" t="s">
        <v>1977</v>
      </c>
      <c r="F1026" s="5">
        <v>40996</v>
      </c>
      <c r="G1026" s="5">
        <v>41274</v>
      </c>
      <c r="H1026" s="4" t="s">
        <v>40</v>
      </c>
      <c r="I1026" s="6">
        <v>26000</v>
      </c>
      <c r="J1026" s="6">
        <v>18000</v>
      </c>
      <c r="K1026" s="37" t="s">
        <v>790</v>
      </c>
      <c r="L1026" s="119"/>
      <c r="M1026" s="3"/>
    </row>
    <row r="1027" spans="1:13" s="4" customFormat="1" ht="38.25" x14ac:dyDescent="0.25">
      <c r="A1027" s="4" t="s">
        <v>1980</v>
      </c>
      <c r="B1027" s="4" t="s">
        <v>183</v>
      </c>
      <c r="C1027" s="37" t="s">
        <v>790</v>
      </c>
      <c r="D1027" s="35">
        <v>10887</v>
      </c>
      <c r="E1027" s="4" t="s">
        <v>1981</v>
      </c>
      <c r="F1027" s="5">
        <v>41207</v>
      </c>
      <c r="G1027" s="5">
        <v>41274</v>
      </c>
      <c r="H1027" s="4" t="s">
        <v>40</v>
      </c>
      <c r="I1027" s="6">
        <v>15000</v>
      </c>
      <c r="J1027" s="6">
        <v>15000</v>
      </c>
      <c r="K1027" s="37" t="s">
        <v>790</v>
      </c>
      <c r="L1027" s="119"/>
      <c r="M1027" s="3"/>
    </row>
    <row r="1028" spans="1:13" s="4" customFormat="1" ht="51" x14ac:dyDescent="0.25">
      <c r="A1028" s="4" t="s">
        <v>1982</v>
      </c>
      <c r="B1028" s="4" t="s">
        <v>183</v>
      </c>
      <c r="C1028" s="37" t="s">
        <v>790</v>
      </c>
      <c r="D1028" s="35">
        <v>10888</v>
      </c>
      <c r="E1028" s="4" t="s">
        <v>1983</v>
      </c>
      <c r="F1028" s="5">
        <v>41207</v>
      </c>
      <c r="G1028" s="5">
        <v>41274</v>
      </c>
      <c r="H1028" s="4" t="s">
        <v>40</v>
      </c>
      <c r="I1028" s="6">
        <f>34908.06+40000</f>
        <v>74908.06</v>
      </c>
      <c r="J1028" s="6">
        <v>44954.03</v>
      </c>
      <c r="K1028" s="37" t="s">
        <v>790</v>
      </c>
      <c r="L1028" s="119"/>
      <c r="M1028" s="3"/>
    </row>
    <row r="1029" spans="1:13" s="4" customFormat="1" ht="51" x14ac:dyDescent="0.25">
      <c r="A1029" s="4" t="s">
        <v>1984</v>
      </c>
      <c r="B1029" s="4" t="s">
        <v>183</v>
      </c>
      <c r="C1029" s="37" t="s">
        <v>790</v>
      </c>
      <c r="D1029" s="35">
        <v>10889</v>
      </c>
      <c r="E1029" s="4" t="s">
        <v>1985</v>
      </c>
      <c r="F1029" s="5">
        <v>41046</v>
      </c>
      <c r="G1029" s="5">
        <v>41274</v>
      </c>
      <c r="H1029" s="4" t="s">
        <v>40</v>
      </c>
      <c r="I1029" s="6">
        <v>10000</v>
      </c>
      <c r="J1029" s="6">
        <v>10000</v>
      </c>
      <c r="K1029" s="37" t="s">
        <v>790</v>
      </c>
      <c r="L1029" s="119"/>
      <c r="M1029" s="3"/>
    </row>
    <row r="1030" spans="1:13" s="4" customFormat="1" ht="51" x14ac:dyDescent="0.25">
      <c r="A1030" s="4" t="s">
        <v>1986</v>
      </c>
      <c r="B1030" s="4" t="s">
        <v>190</v>
      </c>
      <c r="C1030" s="37" t="s">
        <v>790</v>
      </c>
      <c r="D1030" s="35">
        <v>10890</v>
      </c>
      <c r="E1030" s="4" t="s">
        <v>1987</v>
      </c>
      <c r="F1030" s="5">
        <v>41207</v>
      </c>
      <c r="G1030" s="5">
        <v>41274</v>
      </c>
      <c r="H1030" s="4" t="s">
        <v>40</v>
      </c>
      <c r="I1030" s="6">
        <v>160000</v>
      </c>
      <c r="J1030" s="6">
        <v>80000</v>
      </c>
      <c r="K1030" s="37" t="s">
        <v>790</v>
      </c>
      <c r="L1030" s="119"/>
      <c r="M1030" s="3"/>
    </row>
    <row r="1031" spans="1:13" s="4" customFormat="1" ht="51" x14ac:dyDescent="0.25">
      <c r="A1031" s="4" t="s">
        <v>1988</v>
      </c>
      <c r="B1031" s="4" t="s">
        <v>190</v>
      </c>
      <c r="C1031" s="37" t="s">
        <v>790</v>
      </c>
      <c r="D1031" s="35">
        <v>10903</v>
      </c>
      <c r="E1031" s="4" t="s">
        <v>1989</v>
      </c>
      <c r="F1031" s="5">
        <v>40708</v>
      </c>
      <c r="G1031" s="5">
        <v>41274</v>
      </c>
      <c r="H1031" s="4" t="s">
        <v>40</v>
      </c>
      <c r="I1031" s="6">
        <v>18488.48</v>
      </c>
      <c r="J1031" s="6">
        <v>9244.24</v>
      </c>
      <c r="K1031" s="37" t="s">
        <v>790</v>
      </c>
      <c r="L1031" s="119"/>
      <c r="M1031" s="3"/>
    </row>
    <row r="1032" spans="1:13" s="4" customFormat="1" ht="25.5" x14ac:dyDescent="0.25">
      <c r="A1032" s="4" t="s">
        <v>1990</v>
      </c>
      <c r="B1032" s="4" t="s">
        <v>90</v>
      </c>
      <c r="C1032" s="37" t="s">
        <v>790</v>
      </c>
      <c r="D1032" s="35">
        <v>10904</v>
      </c>
      <c r="E1032" s="4" t="s">
        <v>1991</v>
      </c>
      <c r="F1032" s="5">
        <v>41172</v>
      </c>
      <c r="G1032" s="5">
        <v>41274</v>
      </c>
      <c r="H1032" s="4" t="s">
        <v>40</v>
      </c>
      <c r="I1032" s="6">
        <v>2352.1799999999998</v>
      </c>
      <c r="J1032" s="6">
        <v>1176.0899999999999</v>
      </c>
      <c r="K1032" s="37" t="s">
        <v>790</v>
      </c>
      <c r="L1032" s="119"/>
      <c r="M1032" s="3"/>
    </row>
    <row r="1033" spans="1:13" s="4" customFormat="1" ht="63.75" x14ac:dyDescent="0.25">
      <c r="A1033" s="4" t="s">
        <v>1992</v>
      </c>
      <c r="B1033" s="4" t="s">
        <v>190</v>
      </c>
      <c r="C1033" s="37" t="s">
        <v>790</v>
      </c>
      <c r="D1033" s="35">
        <v>10905</v>
      </c>
      <c r="E1033" s="4" t="s">
        <v>1993</v>
      </c>
      <c r="F1033" s="5">
        <v>41172</v>
      </c>
      <c r="G1033" s="5">
        <v>41274</v>
      </c>
      <c r="H1033" s="4" t="s">
        <v>40</v>
      </c>
      <c r="I1033" s="6">
        <v>48250</v>
      </c>
      <c r="J1033" s="6">
        <v>41625</v>
      </c>
      <c r="K1033" s="37" t="s">
        <v>790</v>
      </c>
      <c r="L1033" s="119"/>
      <c r="M1033" s="3"/>
    </row>
    <row r="1034" spans="1:13" s="4" customFormat="1" ht="51" x14ac:dyDescent="0.25">
      <c r="A1034" s="4" t="s">
        <v>1994</v>
      </c>
      <c r="B1034" s="4" t="s">
        <v>183</v>
      </c>
      <c r="C1034" s="37" t="s">
        <v>790</v>
      </c>
      <c r="D1034" s="35">
        <v>10906</v>
      </c>
      <c r="E1034" s="4" t="s">
        <v>1995</v>
      </c>
      <c r="F1034" s="5">
        <v>41172</v>
      </c>
      <c r="G1034" s="5">
        <v>41274</v>
      </c>
      <c r="H1034" s="4" t="s">
        <v>40</v>
      </c>
      <c r="I1034" s="6">
        <v>20000</v>
      </c>
      <c r="J1034" s="6">
        <v>10000</v>
      </c>
      <c r="K1034" s="37" t="s">
        <v>790</v>
      </c>
      <c r="L1034" s="119"/>
      <c r="M1034" s="3"/>
    </row>
    <row r="1035" spans="1:13" s="4" customFormat="1" ht="38.25" x14ac:dyDescent="0.25">
      <c r="A1035" s="4" t="s">
        <v>1996</v>
      </c>
      <c r="B1035" s="4" t="s">
        <v>183</v>
      </c>
      <c r="C1035" s="37" t="s">
        <v>790</v>
      </c>
      <c r="D1035" s="35">
        <v>10907</v>
      </c>
      <c r="E1035" s="4" t="s">
        <v>1997</v>
      </c>
      <c r="F1035" s="5">
        <v>40618</v>
      </c>
      <c r="G1035" s="5">
        <v>41274</v>
      </c>
      <c r="H1035" s="4" t="s">
        <v>40</v>
      </c>
      <c r="I1035" s="6">
        <v>10027.959999999999</v>
      </c>
      <c r="J1035" s="6">
        <v>5013.9799999999996</v>
      </c>
      <c r="K1035" s="37" t="s">
        <v>790</v>
      </c>
      <c r="L1035" s="119"/>
      <c r="M1035" s="3"/>
    </row>
    <row r="1036" spans="1:13" s="4" customFormat="1" ht="51" x14ac:dyDescent="0.25">
      <c r="A1036" s="4" t="s">
        <v>1998</v>
      </c>
      <c r="B1036" s="4" t="s">
        <v>190</v>
      </c>
      <c r="C1036" s="37" t="s">
        <v>790</v>
      </c>
      <c r="D1036" s="35">
        <v>10908</v>
      </c>
      <c r="E1036" s="4" t="s">
        <v>1999</v>
      </c>
      <c r="F1036" s="5">
        <v>40996</v>
      </c>
      <c r="G1036" s="5">
        <v>41274</v>
      </c>
      <c r="H1036" s="4" t="s">
        <v>40</v>
      </c>
      <c r="I1036" s="6">
        <v>40001.74</v>
      </c>
      <c r="J1036" s="6">
        <f>20660.87+9340</f>
        <v>30000.87</v>
      </c>
      <c r="K1036" s="37" t="s">
        <v>790</v>
      </c>
      <c r="L1036" s="119"/>
      <c r="M1036" s="3"/>
    </row>
    <row r="1037" spans="1:13" s="4" customFormat="1" ht="51" x14ac:dyDescent="0.25">
      <c r="A1037" s="4" t="s">
        <v>2000</v>
      </c>
      <c r="B1037" s="4" t="s">
        <v>190</v>
      </c>
      <c r="C1037" s="37" t="s">
        <v>790</v>
      </c>
      <c r="D1037" s="35">
        <v>10909</v>
      </c>
      <c r="E1037" s="4" t="s">
        <v>2001</v>
      </c>
      <c r="F1037" s="5">
        <v>40968</v>
      </c>
      <c r="G1037" s="5">
        <v>41274</v>
      </c>
      <c r="H1037" s="4" t="s">
        <v>40</v>
      </c>
      <c r="I1037" s="6">
        <f>51353.5+11593</f>
        <v>62946.5</v>
      </c>
      <c r="J1037" s="6">
        <v>46473.25</v>
      </c>
      <c r="K1037" s="37" t="s">
        <v>790</v>
      </c>
      <c r="L1037" s="119"/>
      <c r="M1037" s="3"/>
    </row>
    <row r="1038" spans="1:13" s="4" customFormat="1" ht="63.75" x14ac:dyDescent="0.25">
      <c r="A1038" s="4" t="s">
        <v>2002</v>
      </c>
      <c r="B1038" s="4" t="s">
        <v>190</v>
      </c>
      <c r="C1038" s="37" t="s">
        <v>790</v>
      </c>
      <c r="D1038" s="35">
        <v>10910</v>
      </c>
      <c r="E1038" s="4" t="s">
        <v>2003</v>
      </c>
      <c r="F1038" s="5">
        <v>41172</v>
      </c>
      <c r="G1038" s="5">
        <v>41274</v>
      </c>
      <c r="H1038" s="4" t="s">
        <v>40</v>
      </c>
      <c r="I1038" s="6">
        <v>29978.18</v>
      </c>
      <c r="J1038" s="6">
        <v>22489.09</v>
      </c>
      <c r="K1038" s="37" t="s">
        <v>790</v>
      </c>
      <c r="L1038" s="119"/>
      <c r="M1038" s="3"/>
    </row>
    <row r="1039" spans="1:13" s="4" customFormat="1" ht="51" x14ac:dyDescent="0.25">
      <c r="A1039" s="4" t="s">
        <v>2004</v>
      </c>
      <c r="B1039" s="4" t="s">
        <v>183</v>
      </c>
      <c r="C1039" s="37" t="s">
        <v>790</v>
      </c>
      <c r="D1039" s="35">
        <v>10911</v>
      </c>
      <c r="E1039" s="4" t="s">
        <v>2005</v>
      </c>
      <c r="F1039" s="5">
        <v>40968</v>
      </c>
      <c r="G1039" s="5">
        <v>41274</v>
      </c>
      <c r="H1039" s="4" t="s">
        <v>40</v>
      </c>
      <c r="I1039" s="6">
        <v>36000</v>
      </c>
      <c r="J1039" s="6">
        <v>33000</v>
      </c>
      <c r="K1039" s="37" t="s">
        <v>790</v>
      </c>
      <c r="L1039" s="119"/>
      <c r="M1039" s="3"/>
    </row>
    <row r="1040" spans="1:13" s="4" customFormat="1" ht="38.25" x14ac:dyDescent="0.25">
      <c r="A1040" s="4" t="s">
        <v>2006</v>
      </c>
      <c r="B1040" s="4" t="s">
        <v>190</v>
      </c>
      <c r="C1040" s="37" t="s">
        <v>790</v>
      </c>
      <c r="D1040" s="35">
        <v>10912</v>
      </c>
      <c r="E1040" s="4" t="s">
        <v>2007</v>
      </c>
      <c r="F1040" s="5">
        <v>41172</v>
      </c>
      <c r="G1040" s="5">
        <v>41274</v>
      </c>
      <c r="H1040" s="4" t="s">
        <v>40</v>
      </c>
      <c r="I1040" s="6">
        <v>14800</v>
      </c>
      <c r="J1040" s="6">
        <v>12400</v>
      </c>
      <c r="K1040" s="37" t="s">
        <v>790</v>
      </c>
      <c r="L1040" s="119"/>
      <c r="M1040" s="3"/>
    </row>
    <row r="1041" spans="1:13" s="4" customFormat="1" ht="38.25" x14ac:dyDescent="0.25">
      <c r="A1041" s="4" t="s">
        <v>2008</v>
      </c>
      <c r="B1041" s="4" t="s">
        <v>183</v>
      </c>
      <c r="C1041" s="37" t="s">
        <v>790</v>
      </c>
      <c r="D1041" s="35">
        <v>10913</v>
      </c>
      <c r="E1041" s="4" t="s">
        <v>2009</v>
      </c>
      <c r="F1041" s="5">
        <v>40996</v>
      </c>
      <c r="G1041" s="5">
        <v>41274</v>
      </c>
      <c r="H1041" s="4" t="s">
        <v>40</v>
      </c>
      <c r="I1041" s="6">
        <v>37500</v>
      </c>
      <c r="J1041" s="6">
        <v>37500</v>
      </c>
      <c r="K1041" s="37" t="s">
        <v>790</v>
      </c>
      <c r="L1041" s="119"/>
      <c r="M1041" s="3"/>
    </row>
    <row r="1042" spans="1:13" s="4" customFormat="1" ht="38.25" x14ac:dyDescent="0.25">
      <c r="A1042" s="4" t="s">
        <v>2010</v>
      </c>
      <c r="B1042" s="4" t="s">
        <v>190</v>
      </c>
      <c r="C1042" s="37" t="s">
        <v>790</v>
      </c>
      <c r="D1042" s="35">
        <v>10914</v>
      </c>
      <c r="E1042" s="4" t="s">
        <v>2011</v>
      </c>
      <c r="F1042" s="5">
        <v>40996</v>
      </c>
      <c r="G1042" s="5">
        <v>41274</v>
      </c>
      <c r="H1042" s="4" t="s">
        <v>40</v>
      </c>
      <c r="I1042" s="6">
        <f>45679+4321</f>
        <v>50000</v>
      </c>
      <c r="J1042" s="6">
        <f>33179+4321</f>
        <v>37500</v>
      </c>
      <c r="K1042" s="37" t="s">
        <v>790</v>
      </c>
      <c r="L1042" s="119"/>
      <c r="M1042" s="3"/>
    </row>
    <row r="1043" spans="1:13" s="4" customFormat="1" ht="25.5" x14ac:dyDescent="0.25">
      <c r="A1043" s="4" t="s">
        <v>2012</v>
      </c>
      <c r="B1043" s="4" t="s">
        <v>183</v>
      </c>
      <c r="C1043" s="37" t="s">
        <v>790</v>
      </c>
      <c r="D1043" s="35">
        <v>10915</v>
      </c>
      <c r="E1043" s="4" t="s">
        <v>2013</v>
      </c>
      <c r="F1043" s="5">
        <v>41107</v>
      </c>
      <c r="G1043" s="5">
        <v>41274</v>
      </c>
      <c r="H1043" s="4" t="s">
        <v>40</v>
      </c>
      <c r="I1043" s="6">
        <v>25000</v>
      </c>
      <c r="J1043" s="6">
        <v>25000</v>
      </c>
      <c r="K1043" s="37" t="s">
        <v>790</v>
      </c>
      <c r="L1043" s="119"/>
      <c r="M1043" s="3"/>
    </row>
    <row r="1044" spans="1:13" s="4" customFormat="1" ht="38.25" x14ac:dyDescent="0.25">
      <c r="A1044" s="4" t="s">
        <v>2014</v>
      </c>
      <c r="B1044" s="4" t="s">
        <v>183</v>
      </c>
      <c r="C1044" s="37" t="s">
        <v>790</v>
      </c>
      <c r="D1044" s="35">
        <v>10916</v>
      </c>
      <c r="E1044" s="4" t="s">
        <v>2015</v>
      </c>
      <c r="F1044" s="5">
        <v>40996</v>
      </c>
      <c r="G1044" s="5">
        <v>41274</v>
      </c>
      <c r="H1044" s="4" t="s">
        <v>40</v>
      </c>
      <c r="I1044" s="6">
        <v>22500</v>
      </c>
      <c r="J1044" s="6">
        <v>15000</v>
      </c>
      <c r="K1044" s="37" t="s">
        <v>790</v>
      </c>
      <c r="L1044" s="119"/>
      <c r="M1044" s="3"/>
    </row>
    <row r="1045" spans="1:13" s="4" customFormat="1" ht="51" x14ac:dyDescent="0.25">
      <c r="A1045" s="4" t="s">
        <v>2016</v>
      </c>
      <c r="B1045" s="4" t="s">
        <v>183</v>
      </c>
      <c r="C1045" s="37" t="s">
        <v>790</v>
      </c>
      <c r="D1045" s="35">
        <v>10917</v>
      </c>
      <c r="E1045" s="4" t="s">
        <v>2017</v>
      </c>
      <c r="F1045" s="5">
        <v>40968</v>
      </c>
      <c r="G1045" s="5">
        <v>41274</v>
      </c>
      <c r="H1045" s="4" t="s">
        <v>40</v>
      </c>
      <c r="I1045" s="6">
        <v>36000</v>
      </c>
      <c r="J1045" s="6">
        <v>25500</v>
      </c>
      <c r="K1045" s="37" t="s">
        <v>790</v>
      </c>
      <c r="L1045" s="119"/>
      <c r="M1045" s="3"/>
    </row>
    <row r="1046" spans="1:13" s="4" customFormat="1" ht="38.25" x14ac:dyDescent="0.25">
      <c r="A1046" s="4" t="s">
        <v>2019</v>
      </c>
      <c r="B1046" s="4" t="s">
        <v>183</v>
      </c>
      <c r="C1046" s="37" t="s">
        <v>790</v>
      </c>
      <c r="D1046" s="35">
        <v>10919</v>
      </c>
      <c r="E1046" s="4" t="s">
        <v>2020</v>
      </c>
      <c r="F1046" s="5">
        <v>41207</v>
      </c>
      <c r="G1046" s="5">
        <v>41274</v>
      </c>
      <c r="H1046" s="4" t="s">
        <v>40</v>
      </c>
      <c r="I1046" s="6">
        <f>12165+26000</f>
        <v>38165</v>
      </c>
      <c r="J1046" s="6">
        <f>11082.75+23000</f>
        <v>34082.75</v>
      </c>
      <c r="K1046" s="37" t="s">
        <v>790</v>
      </c>
      <c r="L1046" s="119"/>
      <c r="M1046" s="3"/>
    </row>
    <row r="1047" spans="1:13" s="4" customFormat="1" ht="38.25" x14ac:dyDescent="0.25">
      <c r="A1047" s="4" t="s">
        <v>2021</v>
      </c>
      <c r="B1047" s="4" t="s">
        <v>38</v>
      </c>
      <c r="C1047" s="37" t="s">
        <v>790</v>
      </c>
      <c r="D1047" s="35">
        <v>10934</v>
      </c>
      <c r="E1047" s="4" t="s">
        <v>2022</v>
      </c>
      <c r="F1047" s="5">
        <v>40849</v>
      </c>
      <c r="G1047" s="5">
        <v>41274</v>
      </c>
      <c r="H1047" s="4" t="s">
        <v>40</v>
      </c>
      <c r="I1047" s="6">
        <v>2056</v>
      </c>
      <c r="J1047" s="6">
        <v>2056</v>
      </c>
      <c r="K1047" s="37" t="s">
        <v>790</v>
      </c>
      <c r="L1047" s="119"/>
      <c r="M1047" s="3"/>
    </row>
    <row r="1048" spans="1:13" s="4" customFormat="1" ht="51" x14ac:dyDescent="0.25">
      <c r="A1048" s="4" t="s">
        <v>2023</v>
      </c>
      <c r="B1048" s="4" t="s">
        <v>38</v>
      </c>
      <c r="C1048" s="37" t="s">
        <v>790</v>
      </c>
      <c r="D1048" s="35">
        <v>10935</v>
      </c>
      <c r="E1048" s="4" t="s">
        <v>2024</v>
      </c>
      <c r="F1048" s="5">
        <v>40849</v>
      </c>
      <c r="G1048" s="5">
        <v>41274</v>
      </c>
      <c r="H1048" s="4" t="s">
        <v>40</v>
      </c>
      <c r="I1048" s="6">
        <f>12500+12500</f>
        <v>25000</v>
      </c>
      <c r="J1048" s="6">
        <f>12500+12500</f>
        <v>25000</v>
      </c>
      <c r="K1048" s="37" t="s">
        <v>790</v>
      </c>
      <c r="L1048" s="119"/>
      <c r="M1048" s="3"/>
    </row>
    <row r="1049" spans="1:13" ht="63.75" x14ac:dyDescent="0.25">
      <c r="A1049" s="13" t="s">
        <v>10323</v>
      </c>
      <c r="B1049" s="13" t="s">
        <v>38</v>
      </c>
      <c r="C1049" s="20" t="s">
        <v>790</v>
      </c>
      <c r="D1049" s="19">
        <v>12084</v>
      </c>
      <c r="E1049" s="13" t="s">
        <v>10324</v>
      </c>
      <c r="F1049" s="14">
        <v>41275</v>
      </c>
      <c r="G1049" s="14">
        <v>41639</v>
      </c>
      <c r="H1049" s="13" t="s">
        <v>651</v>
      </c>
      <c r="I1049" s="18">
        <v>8361.73</v>
      </c>
      <c r="J1049" s="18">
        <v>8361.73</v>
      </c>
      <c r="K1049" s="20" t="s">
        <v>790</v>
      </c>
      <c r="M1049" s="3"/>
    </row>
    <row r="1050" spans="1:13" ht="38.25" x14ac:dyDescent="0.25">
      <c r="A1050" s="13" t="s">
        <v>10325</v>
      </c>
      <c r="B1050" s="13" t="s">
        <v>38</v>
      </c>
      <c r="C1050" s="20" t="s">
        <v>790</v>
      </c>
      <c r="D1050" s="19">
        <v>12085</v>
      </c>
      <c r="E1050" s="13" t="s">
        <v>1888</v>
      </c>
      <c r="F1050" s="14">
        <v>41275</v>
      </c>
      <c r="G1050" s="14">
        <v>41639</v>
      </c>
      <c r="H1050" s="13" t="s">
        <v>651</v>
      </c>
      <c r="I1050" s="18">
        <v>7999</v>
      </c>
      <c r="J1050" s="18">
        <v>7999</v>
      </c>
      <c r="K1050" s="20" t="s">
        <v>790</v>
      </c>
      <c r="M1050" s="3"/>
    </row>
    <row r="1051" spans="1:13" ht="63.75" x14ac:dyDescent="0.25">
      <c r="A1051" s="13" t="s">
        <v>10326</v>
      </c>
      <c r="B1051" s="13" t="s">
        <v>38</v>
      </c>
      <c r="C1051" s="20" t="s">
        <v>790</v>
      </c>
      <c r="D1051" s="19">
        <v>12086</v>
      </c>
      <c r="E1051" s="13" t="s">
        <v>10327</v>
      </c>
      <c r="F1051" s="14">
        <v>41275</v>
      </c>
      <c r="G1051" s="14">
        <v>41639</v>
      </c>
      <c r="H1051" s="13" t="s">
        <v>651</v>
      </c>
      <c r="I1051" s="18">
        <v>2636.98</v>
      </c>
      <c r="J1051" s="18">
        <v>2636.98</v>
      </c>
      <c r="K1051" s="20" t="s">
        <v>790</v>
      </c>
      <c r="M1051" s="3"/>
    </row>
    <row r="1052" spans="1:13" ht="76.5" x14ac:dyDescent="0.25">
      <c r="A1052" s="13" t="s">
        <v>10328</v>
      </c>
      <c r="B1052" s="13" t="s">
        <v>38</v>
      </c>
      <c r="C1052" s="20" t="s">
        <v>790</v>
      </c>
      <c r="D1052" s="19">
        <v>12087</v>
      </c>
      <c r="E1052" s="13" t="s">
        <v>10329</v>
      </c>
      <c r="F1052" s="14">
        <v>41275</v>
      </c>
      <c r="G1052" s="14">
        <v>41639</v>
      </c>
      <c r="H1052" s="13" t="s">
        <v>651</v>
      </c>
      <c r="I1052" s="18">
        <v>7716.9</v>
      </c>
      <c r="J1052" s="18">
        <v>7716.9</v>
      </c>
      <c r="K1052" s="20" t="s">
        <v>790</v>
      </c>
      <c r="M1052" s="3"/>
    </row>
    <row r="1053" spans="1:13" ht="63.75" x14ac:dyDescent="0.25">
      <c r="A1053" s="13" t="s">
        <v>10330</v>
      </c>
      <c r="B1053" s="13" t="s">
        <v>38</v>
      </c>
      <c r="C1053" s="20" t="s">
        <v>790</v>
      </c>
      <c r="D1053" s="19">
        <v>12088</v>
      </c>
      <c r="E1053" s="13" t="s">
        <v>10331</v>
      </c>
      <c r="F1053" s="14">
        <v>41275</v>
      </c>
      <c r="G1053" s="14">
        <v>41639</v>
      </c>
      <c r="H1053" s="13" t="s">
        <v>651</v>
      </c>
      <c r="I1053" s="18">
        <v>2885.24</v>
      </c>
      <c r="J1053" s="18">
        <v>2885.24</v>
      </c>
      <c r="K1053" s="20" t="s">
        <v>790</v>
      </c>
      <c r="M1053" s="3"/>
    </row>
    <row r="1054" spans="1:13" ht="38.25" x14ac:dyDescent="0.25">
      <c r="A1054" s="13" t="s">
        <v>10332</v>
      </c>
      <c r="B1054" s="13" t="s">
        <v>38</v>
      </c>
      <c r="C1054" s="20" t="s">
        <v>790</v>
      </c>
      <c r="D1054" s="19">
        <v>12089</v>
      </c>
      <c r="E1054" s="13" t="s">
        <v>10333</v>
      </c>
      <c r="F1054" s="14">
        <v>41275</v>
      </c>
      <c r="G1054" s="14">
        <v>41639</v>
      </c>
      <c r="H1054" s="13" t="s">
        <v>651</v>
      </c>
      <c r="I1054" s="18">
        <v>1230.52</v>
      </c>
      <c r="J1054" s="18">
        <v>1230.52</v>
      </c>
      <c r="K1054" s="20" t="s">
        <v>790</v>
      </c>
      <c r="M1054" s="3"/>
    </row>
    <row r="1055" spans="1:13" ht="38.25" x14ac:dyDescent="0.25">
      <c r="A1055" s="13" t="s">
        <v>10334</v>
      </c>
      <c r="B1055" s="13" t="s">
        <v>38</v>
      </c>
      <c r="C1055" s="20" t="s">
        <v>790</v>
      </c>
      <c r="D1055" s="19">
        <v>12090</v>
      </c>
      <c r="E1055" s="13" t="s">
        <v>1653</v>
      </c>
      <c r="F1055" s="14">
        <v>41275</v>
      </c>
      <c r="G1055" s="14">
        <v>41639</v>
      </c>
      <c r="H1055" s="13" t="s">
        <v>651</v>
      </c>
      <c r="I1055" s="18">
        <v>15127.39</v>
      </c>
      <c r="J1055" s="18">
        <v>15127.39</v>
      </c>
      <c r="K1055" s="20" t="s">
        <v>790</v>
      </c>
      <c r="M1055" s="3"/>
    </row>
    <row r="1056" spans="1:13" ht="25.5" x14ac:dyDescent="0.25">
      <c r="A1056" s="13" t="s">
        <v>10335</v>
      </c>
      <c r="B1056" s="13" t="s">
        <v>38</v>
      </c>
      <c r="C1056" s="20" t="s">
        <v>790</v>
      </c>
      <c r="D1056" s="19">
        <v>12092</v>
      </c>
      <c r="E1056" s="13" t="s">
        <v>1300</v>
      </c>
      <c r="F1056" s="14">
        <v>41275</v>
      </c>
      <c r="G1056" s="14">
        <v>41639</v>
      </c>
      <c r="H1056" s="13" t="s">
        <v>651</v>
      </c>
      <c r="I1056" s="18">
        <v>11016</v>
      </c>
      <c r="J1056" s="18">
        <v>5508</v>
      </c>
      <c r="K1056" s="20" t="s">
        <v>790</v>
      </c>
      <c r="M1056" s="3"/>
    </row>
    <row r="1057" spans="1:13" ht="38.25" x14ac:dyDescent="0.25">
      <c r="A1057" s="13" t="s">
        <v>10336</v>
      </c>
      <c r="B1057" s="13" t="s">
        <v>38</v>
      </c>
      <c r="C1057" s="20" t="s">
        <v>790</v>
      </c>
      <c r="D1057" s="19">
        <v>12093</v>
      </c>
      <c r="E1057" s="13" t="s">
        <v>1125</v>
      </c>
      <c r="F1057" s="14">
        <v>41275</v>
      </c>
      <c r="G1057" s="14">
        <v>41639</v>
      </c>
      <c r="H1057" s="13" t="s">
        <v>651</v>
      </c>
      <c r="I1057" s="18">
        <v>52647.02</v>
      </c>
      <c r="J1057" s="18">
        <v>52647.02</v>
      </c>
      <c r="K1057" s="20" t="s">
        <v>790</v>
      </c>
      <c r="M1057" s="3"/>
    </row>
    <row r="1058" spans="1:13" ht="89.25" x14ac:dyDescent="0.25">
      <c r="A1058" s="13" t="s">
        <v>10337</v>
      </c>
      <c r="B1058" s="13" t="s">
        <v>38</v>
      </c>
      <c r="C1058" s="20" t="s">
        <v>790</v>
      </c>
      <c r="D1058" s="19">
        <v>12094</v>
      </c>
      <c r="E1058" s="13" t="s">
        <v>1895</v>
      </c>
      <c r="F1058" s="14">
        <v>41275</v>
      </c>
      <c r="G1058" s="14">
        <v>41639</v>
      </c>
      <c r="H1058" s="13" t="s">
        <v>651</v>
      </c>
      <c r="I1058" s="18">
        <v>25677.05</v>
      </c>
      <c r="J1058" s="18">
        <v>25677.05</v>
      </c>
      <c r="K1058" s="20" t="s">
        <v>790</v>
      </c>
      <c r="M1058" s="3"/>
    </row>
    <row r="1059" spans="1:13" ht="51" x14ac:dyDescent="0.25">
      <c r="A1059" s="13" t="s">
        <v>10338</v>
      </c>
      <c r="B1059" s="13" t="s">
        <v>38</v>
      </c>
      <c r="C1059" s="20" t="s">
        <v>790</v>
      </c>
      <c r="D1059" s="19">
        <v>12095</v>
      </c>
      <c r="E1059" s="13" t="s">
        <v>1676</v>
      </c>
      <c r="F1059" s="14">
        <v>41275</v>
      </c>
      <c r="G1059" s="14">
        <v>41639</v>
      </c>
      <c r="H1059" s="13" t="s">
        <v>651</v>
      </c>
      <c r="I1059" s="18">
        <v>1363.35</v>
      </c>
      <c r="J1059" s="18">
        <v>1363.35</v>
      </c>
      <c r="K1059" s="20" t="s">
        <v>790</v>
      </c>
      <c r="M1059" s="3"/>
    </row>
    <row r="1060" spans="1:13" ht="38.25" x14ac:dyDescent="0.25">
      <c r="A1060" s="13" t="s">
        <v>10339</v>
      </c>
      <c r="B1060" s="13" t="s">
        <v>38</v>
      </c>
      <c r="C1060" s="20" t="s">
        <v>790</v>
      </c>
      <c r="D1060" s="19">
        <v>12096</v>
      </c>
      <c r="E1060" s="13" t="s">
        <v>1687</v>
      </c>
      <c r="F1060" s="14">
        <v>41275</v>
      </c>
      <c r="G1060" s="14">
        <v>41639</v>
      </c>
      <c r="H1060" s="13" t="s">
        <v>651</v>
      </c>
      <c r="I1060" s="18">
        <v>1554.07</v>
      </c>
      <c r="J1060" s="18">
        <v>1554.07</v>
      </c>
      <c r="K1060" s="20" t="s">
        <v>790</v>
      </c>
      <c r="M1060" s="3"/>
    </row>
    <row r="1061" spans="1:13" ht="38.25" x14ac:dyDescent="0.25">
      <c r="A1061" s="13" t="s">
        <v>10340</v>
      </c>
      <c r="B1061" s="13" t="s">
        <v>38</v>
      </c>
      <c r="C1061" s="20" t="s">
        <v>790</v>
      </c>
      <c r="D1061" s="19">
        <v>12097</v>
      </c>
      <c r="E1061" s="13" t="s">
        <v>10341</v>
      </c>
      <c r="F1061" s="14">
        <v>41275</v>
      </c>
      <c r="G1061" s="14">
        <v>41639</v>
      </c>
      <c r="H1061" s="13" t="s">
        <v>651</v>
      </c>
      <c r="I1061" s="18">
        <v>2627.28</v>
      </c>
      <c r="J1061" s="18">
        <v>2627.28</v>
      </c>
      <c r="K1061" s="20" t="s">
        <v>790</v>
      </c>
      <c r="M1061" s="3"/>
    </row>
    <row r="1062" spans="1:13" ht="127.5" x14ac:dyDescent="0.25">
      <c r="A1062" s="13" t="s">
        <v>10342</v>
      </c>
      <c r="B1062" s="13" t="s">
        <v>38</v>
      </c>
      <c r="C1062" s="20" t="s">
        <v>790</v>
      </c>
      <c r="D1062" s="19">
        <v>12098</v>
      </c>
      <c r="E1062" s="13" t="s">
        <v>10343</v>
      </c>
      <c r="F1062" s="14">
        <v>41275</v>
      </c>
      <c r="G1062" s="14">
        <v>41639</v>
      </c>
      <c r="H1062" s="13" t="s">
        <v>651</v>
      </c>
      <c r="I1062" s="18">
        <v>1664.72</v>
      </c>
      <c r="J1062" s="18">
        <v>1664.72</v>
      </c>
      <c r="K1062" s="20" t="s">
        <v>790</v>
      </c>
      <c r="M1062" s="3"/>
    </row>
    <row r="1063" spans="1:13" ht="38.25" x14ac:dyDescent="0.25">
      <c r="A1063" s="13" t="s">
        <v>10344</v>
      </c>
      <c r="B1063" s="13" t="s">
        <v>38</v>
      </c>
      <c r="C1063" s="20" t="s">
        <v>790</v>
      </c>
      <c r="D1063" s="19">
        <v>12099</v>
      </c>
      <c r="E1063" s="13" t="s">
        <v>1970</v>
      </c>
      <c r="F1063" s="14">
        <v>41275</v>
      </c>
      <c r="G1063" s="14">
        <v>41639</v>
      </c>
      <c r="H1063" s="13" t="s">
        <v>651</v>
      </c>
      <c r="I1063" s="18">
        <v>7694.5</v>
      </c>
      <c r="J1063" s="18">
        <v>3847.25</v>
      </c>
      <c r="K1063" s="20" t="s">
        <v>790</v>
      </c>
      <c r="M1063" s="3"/>
    </row>
    <row r="1064" spans="1:13" ht="51" x14ac:dyDescent="0.25">
      <c r="A1064" s="13" t="s">
        <v>10345</v>
      </c>
      <c r="B1064" s="13" t="s">
        <v>38</v>
      </c>
      <c r="C1064" s="20" t="s">
        <v>790</v>
      </c>
      <c r="D1064" s="19">
        <v>12100</v>
      </c>
      <c r="E1064" s="13" t="s">
        <v>1901</v>
      </c>
      <c r="F1064" s="14">
        <v>41275</v>
      </c>
      <c r="G1064" s="14">
        <v>41639</v>
      </c>
      <c r="H1064" s="13" t="s">
        <v>651</v>
      </c>
      <c r="I1064" s="18">
        <v>1952.49</v>
      </c>
      <c r="J1064" s="18">
        <v>1952.49</v>
      </c>
      <c r="K1064" s="20" t="s">
        <v>790</v>
      </c>
      <c r="M1064" s="3"/>
    </row>
    <row r="1065" spans="1:13" ht="76.5" x14ac:dyDescent="0.25">
      <c r="A1065" s="13" t="s">
        <v>10346</v>
      </c>
      <c r="B1065" s="13" t="s">
        <v>38</v>
      </c>
      <c r="C1065" s="20" t="s">
        <v>790</v>
      </c>
      <c r="D1065" s="19">
        <v>12101</v>
      </c>
      <c r="E1065" s="13" t="s">
        <v>1903</v>
      </c>
      <c r="F1065" s="14">
        <v>41275</v>
      </c>
      <c r="G1065" s="14">
        <v>41639</v>
      </c>
      <c r="H1065" s="13" t="s">
        <v>651</v>
      </c>
      <c r="I1065" s="18">
        <v>8401.92</v>
      </c>
      <c r="J1065" s="18">
        <v>8401.92</v>
      </c>
      <c r="K1065" s="20" t="s">
        <v>790</v>
      </c>
      <c r="M1065" s="3"/>
    </row>
    <row r="1066" spans="1:13" ht="38.25" x14ac:dyDescent="0.25">
      <c r="A1066" s="13" t="s">
        <v>10347</v>
      </c>
      <c r="B1066" s="13" t="s">
        <v>38</v>
      </c>
      <c r="C1066" s="20" t="s">
        <v>790</v>
      </c>
      <c r="D1066" s="19">
        <v>12102</v>
      </c>
      <c r="E1066" s="13" t="s">
        <v>1362</v>
      </c>
      <c r="F1066" s="14">
        <v>41275</v>
      </c>
      <c r="G1066" s="14">
        <v>41639</v>
      </c>
      <c r="H1066" s="13" t="s">
        <v>651</v>
      </c>
      <c r="I1066" s="18">
        <v>19838.98</v>
      </c>
      <c r="J1066" s="18">
        <v>19838.98</v>
      </c>
      <c r="K1066" s="20" t="s">
        <v>790</v>
      </c>
      <c r="M1066" s="3"/>
    </row>
    <row r="1067" spans="1:13" ht="38.25" x14ac:dyDescent="0.25">
      <c r="A1067" s="13" t="s">
        <v>10348</v>
      </c>
      <c r="B1067" s="13" t="s">
        <v>38</v>
      </c>
      <c r="C1067" s="20" t="s">
        <v>790</v>
      </c>
      <c r="D1067" s="19">
        <v>12103</v>
      </c>
      <c r="E1067" s="13" t="s">
        <v>1907</v>
      </c>
      <c r="F1067" s="14">
        <v>41275</v>
      </c>
      <c r="G1067" s="14">
        <v>41639</v>
      </c>
      <c r="H1067" s="13" t="s">
        <v>651</v>
      </c>
      <c r="I1067" s="18">
        <v>1364.39</v>
      </c>
      <c r="J1067" s="18">
        <v>1364.39</v>
      </c>
      <c r="K1067" s="20" t="s">
        <v>790</v>
      </c>
      <c r="M1067" s="3"/>
    </row>
    <row r="1068" spans="1:13" ht="89.25" x14ac:dyDescent="0.25">
      <c r="A1068" s="13" t="s">
        <v>10349</v>
      </c>
      <c r="B1068" s="13" t="s">
        <v>38</v>
      </c>
      <c r="C1068" s="20" t="s">
        <v>790</v>
      </c>
      <c r="D1068" s="19">
        <v>12104</v>
      </c>
      <c r="E1068" s="13" t="s">
        <v>1909</v>
      </c>
      <c r="F1068" s="14">
        <v>41275</v>
      </c>
      <c r="G1068" s="14">
        <v>41639</v>
      </c>
      <c r="H1068" s="13" t="s">
        <v>651</v>
      </c>
      <c r="I1068" s="18">
        <v>3482.21</v>
      </c>
      <c r="J1068" s="18">
        <v>3482.21</v>
      </c>
      <c r="K1068" s="20" t="s">
        <v>790</v>
      </c>
      <c r="M1068" s="3"/>
    </row>
    <row r="1069" spans="1:13" ht="153" x14ac:dyDescent="0.25">
      <c r="A1069" s="13" t="s">
        <v>10350</v>
      </c>
      <c r="B1069" s="13" t="s">
        <v>38</v>
      </c>
      <c r="C1069" s="20" t="s">
        <v>790</v>
      </c>
      <c r="D1069" s="19">
        <v>12105</v>
      </c>
      <c r="E1069" s="13" t="s">
        <v>10351</v>
      </c>
      <c r="F1069" s="14">
        <v>41275</v>
      </c>
      <c r="G1069" s="14">
        <v>41639</v>
      </c>
      <c r="H1069" s="13" t="s">
        <v>651</v>
      </c>
      <c r="I1069" s="18">
        <v>1652.86</v>
      </c>
      <c r="J1069" s="18">
        <v>1652.86</v>
      </c>
      <c r="K1069" s="20" t="s">
        <v>790</v>
      </c>
      <c r="M1069" s="3"/>
    </row>
    <row r="1070" spans="1:13" ht="63.75" x14ac:dyDescent="0.25">
      <c r="A1070" s="13" t="s">
        <v>10352</v>
      </c>
      <c r="B1070" s="13" t="s">
        <v>10195</v>
      </c>
      <c r="C1070" s="20" t="s">
        <v>790</v>
      </c>
      <c r="D1070" s="19">
        <v>12106</v>
      </c>
      <c r="E1070" s="13" t="s">
        <v>10353</v>
      </c>
      <c r="F1070" s="14">
        <v>41576</v>
      </c>
      <c r="H1070" s="13" t="s">
        <v>651</v>
      </c>
      <c r="I1070" s="18">
        <v>7500</v>
      </c>
      <c r="J1070" s="18">
        <v>7500</v>
      </c>
      <c r="K1070" s="20" t="s">
        <v>790</v>
      </c>
      <c r="M1070" s="3"/>
    </row>
    <row r="1071" spans="1:13" ht="89.25" x14ac:dyDescent="0.25">
      <c r="A1071" s="13" t="s">
        <v>10354</v>
      </c>
      <c r="B1071" s="13" t="s">
        <v>10195</v>
      </c>
      <c r="C1071" s="20" t="s">
        <v>790</v>
      </c>
      <c r="D1071" s="19">
        <v>12107</v>
      </c>
      <c r="E1071" s="13" t="s">
        <v>10355</v>
      </c>
      <c r="F1071" s="14">
        <v>41576</v>
      </c>
      <c r="H1071" s="13" t="s">
        <v>651</v>
      </c>
      <c r="I1071" s="18">
        <v>11250</v>
      </c>
      <c r="J1071" s="18">
        <v>11250</v>
      </c>
      <c r="K1071" s="20" t="s">
        <v>790</v>
      </c>
      <c r="M1071" s="3"/>
    </row>
    <row r="1072" spans="1:13" ht="114.75" x14ac:dyDescent="0.25">
      <c r="A1072" s="13" t="s">
        <v>10356</v>
      </c>
      <c r="B1072" s="13" t="s">
        <v>10192</v>
      </c>
      <c r="C1072" s="20" t="s">
        <v>790</v>
      </c>
      <c r="D1072" s="19">
        <v>12108</v>
      </c>
      <c r="E1072" s="13" t="s">
        <v>10357</v>
      </c>
      <c r="F1072" s="14">
        <v>41323</v>
      </c>
      <c r="G1072" s="14">
        <v>41639</v>
      </c>
      <c r="H1072" s="13" t="s">
        <v>651</v>
      </c>
      <c r="I1072" s="18">
        <v>37870</v>
      </c>
      <c r="J1072" s="18">
        <v>37870</v>
      </c>
      <c r="K1072" s="20" t="s">
        <v>790</v>
      </c>
      <c r="M1072" s="3"/>
    </row>
    <row r="1073" spans="1:13" ht="89.25" x14ac:dyDescent="0.25">
      <c r="A1073" s="13" t="s">
        <v>10358</v>
      </c>
      <c r="B1073" s="13" t="s">
        <v>10192</v>
      </c>
      <c r="C1073" s="20" t="s">
        <v>790</v>
      </c>
      <c r="D1073" s="19">
        <v>12109</v>
      </c>
      <c r="E1073" s="13" t="s">
        <v>10359</v>
      </c>
      <c r="F1073" s="14">
        <v>41576</v>
      </c>
      <c r="H1073" s="13" t="s">
        <v>651</v>
      </c>
      <c r="I1073" s="18">
        <v>8550</v>
      </c>
      <c r="J1073" s="18">
        <v>6150</v>
      </c>
      <c r="K1073" s="20" t="s">
        <v>790</v>
      </c>
      <c r="M1073" s="3"/>
    </row>
    <row r="1074" spans="1:13" ht="89.25" x14ac:dyDescent="0.25">
      <c r="A1074" s="13" t="s">
        <v>10360</v>
      </c>
      <c r="B1074" s="13" t="s">
        <v>10220</v>
      </c>
      <c r="C1074" s="20" t="s">
        <v>790</v>
      </c>
      <c r="D1074" s="19">
        <v>12110</v>
      </c>
      <c r="E1074" s="13" t="s">
        <v>10361</v>
      </c>
      <c r="F1074" s="14">
        <v>41379</v>
      </c>
      <c r="G1074" s="14">
        <v>41639</v>
      </c>
      <c r="H1074" s="13" t="s">
        <v>651</v>
      </c>
      <c r="I1074" s="18">
        <v>28938.5</v>
      </c>
      <c r="J1074" s="18">
        <v>14469.25</v>
      </c>
      <c r="K1074" s="20" t="s">
        <v>790</v>
      </c>
      <c r="M1074" s="3"/>
    </row>
    <row r="1075" spans="1:13" ht="114.75" x14ac:dyDescent="0.25">
      <c r="A1075" s="13" t="s">
        <v>10362</v>
      </c>
      <c r="B1075" s="13" t="s">
        <v>10192</v>
      </c>
      <c r="C1075" s="20" t="s">
        <v>790</v>
      </c>
      <c r="D1075" s="19">
        <v>12111</v>
      </c>
      <c r="E1075" s="13" t="s">
        <v>10363</v>
      </c>
      <c r="F1075" s="14">
        <v>41576</v>
      </c>
      <c r="H1075" s="13" t="s">
        <v>651</v>
      </c>
      <c r="I1075" s="18">
        <v>5000</v>
      </c>
      <c r="J1075" s="18">
        <v>5000</v>
      </c>
      <c r="K1075" s="20" t="s">
        <v>790</v>
      </c>
      <c r="M1075" s="3"/>
    </row>
    <row r="1076" spans="1:13" ht="102" x14ac:dyDescent="0.25">
      <c r="A1076" s="13" t="s">
        <v>10364</v>
      </c>
      <c r="B1076" s="13" t="s">
        <v>10192</v>
      </c>
      <c r="C1076" s="20" t="s">
        <v>790</v>
      </c>
      <c r="D1076" s="19">
        <v>12112</v>
      </c>
      <c r="E1076" s="13" t="s">
        <v>10365</v>
      </c>
      <c r="F1076" s="14">
        <v>41463</v>
      </c>
      <c r="G1076" s="14">
        <v>41639</v>
      </c>
      <c r="H1076" s="13" t="s">
        <v>651</v>
      </c>
      <c r="I1076" s="18">
        <v>27073</v>
      </c>
      <c r="J1076" s="18">
        <v>13536</v>
      </c>
      <c r="K1076" s="20" t="s">
        <v>790</v>
      </c>
      <c r="M1076" s="3"/>
    </row>
    <row r="1077" spans="1:13" ht="63.75" x14ac:dyDescent="0.25">
      <c r="A1077" s="13" t="s">
        <v>10366</v>
      </c>
      <c r="B1077" s="13" t="s">
        <v>10192</v>
      </c>
      <c r="C1077" s="20" t="s">
        <v>790</v>
      </c>
      <c r="D1077" s="19">
        <v>12113</v>
      </c>
      <c r="E1077" s="13" t="s">
        <v>10367</v>
      </c>
      <c r="F1077" s="14">
        <v>41463</v>
      </c>
      <c r="H1077" s="13" t="s">
        <v>651</v>
      </c>
      <c r="I1077" s="18">
        <v>20635.11</v>
      </c>
      <c r="J1077" s="18">
        <v>10317.4</v>
      </c>
      <c r="K1077" s="20" t="s">
        <v>790</v>
      </c>
      <c r="M1077" s="3"/>
    </row>
    <row r="1078" spans="1:13" ht="25.5" x14ac:dyDescent="0.25">
      <c r="A1078" s="13" t="s">
        <v>10368</v>
      </c>
      <c r="B1078" s="13" t="s">
        <v>10192</v>
      </c>
      <c r="C1078" s="20" t="s">
        <v>790</v>
      </c>
      <c r="D1078" s="19">
        <v>12114</v>
      </c>
      <c r="E1078" s="13" t="s">
        <v>10369</v>
      </c>
      <c r="F1078" s="14">
        <v>41071</v>
      </c>
      <c r="G1078" s="14">
        <v>41639</v>
      </c>
      <c r="H1078" s="13" t="s">
        <v>651</v>
      </c>
      <c r="I1078" s="18">
        <v>20000</v>
      </c>
      <c r="J1078" s="18">
        <v>20000</v>
      </c>
      <c r="K1078" s="20" t="s">
        <v>790</v>
      </c>
      <c r="M1078" s="3"/>
    </row>
    <row r="1079" spans="1:13" ht="25.5" x14ac:dyDescent="0.25">
      <c r="A1079" s="13" t="s">
        <v>10368</v>
      </c>
      <c r="B1079" s="13" t="s">
        <v>10195</v>
      </c>
      <c r="C1079" s="20" t="s">
        <v>790</v>
      </c>
      <c r="D1079" s="19">
        <v>12116</v>
      </c>
      <c r="E1079" s="13" t="s">
        <v>10370</v>
      </c>
      <c r="F1079" s="14">
        <v>41596</v>
      </c>
      <c r="G1079" s="14">
        <v>41639</v>
      </c>
      <c r="H1079" s="13" t="s">
        <v>651</v>
      </c>
      <c r="I1079" s="18">
        <v>4000</v>
      </c>
      <c r="J1079" s="18">
        <v>4000</v>
      </c>
      <c r="K1079" s="20" t="s">
        <v>790</v>
      </c>
      <c r="M1079" s="3"/>
    </row>
    <row r="1080" spans="1:13" ht="38.25" x14ac:dyDescent="0.25">
      <c r="A1080" s="13" t="s">
        <v>10371</v>
      </c>
      <c r="B1080" s="13" t="s">
        <v>10192</v>
      </c>
      <c r="C1080" s="20" t="s">
        <v>790</v>
      </c>
      <c r="D1080" s="19">
        <v>12117</v>
      </c>
      <c r="E1080" s="13" t="s">
        <v>10372</v>
      </c>
      <c r="F1080" s="14">
        <v>41477</v>
      </c>
      <c r="G1080" s="14">
        <v>41639</v>
      </c>
      <c r="H1080" s="13" t="s">
        <v>651</v>
      </c>
      <c r="I1080" s="18">
        <v>7500</v>
      </c>
      <c r="J1080" s="18">
        <v>7500</v>
      </c>
      <c r="K1080" s="20" t="s">
        <v>790</v>
      </c>
      <c r="M1080" s="3"/>
    </row>
    <row r="1081" spans="1:13" x14ac:dyDescent="0.25">
      <c r="A1081" s="13" t="s">
        <v>10373</v>
      </c>
      <c r="B1081" s="13" t="s">
        <v>10192</v>
      </c>
      <c r="C1081" s="20" t="s">
        <v>790</v>
      </c>
      <c r="D1081" s="19">
        <v>12118</v>
      </c>
      <c r="E1081" s="13" t="s">
        <v>10374</v>
      </c>
      <c r="F1081" s="14">
        <v>41477</v>
      </c>
      <c r="G1081" s="14">
        <v>41639</v>
      </c>
      <c r="H1081" s="13" t="s">
        <v>651</v>
      </c>
      <c r="I1081" s="18">
        <v>7951.92</v>
      </c>
      <c r="J1081" s="18">
        <v>3975.96</v>
      </c>
      <c r="K1081" s="20" t="s">
        <v>790</v>
      </c>
      <c r="M1081" s="3"/>
    </row>
    <row r="1082" spans="1:13" ht="25.5" x14ac:dyDescent="0.25">
      <c r="A1082" s="13" t="s">
        <v>10377</v>
      </c>
      <c r="B1082" s="13" t="s">
        <v>10192</v>
      </c>
      <c r="C1082" s="20" t="s">
        <v>790</v>
      </c>
      <c r="D1082" s="19">
        <v>12120</v>
      </c>
      <c r="E1082" s="13" t="s">
        <v>10378</v>
      </c>
      <c r="F1082" s="14">
        <v>41596</v>
      </c>
      <c r="G1082" s="14">
        <v>41639</v>
      </c>
      <c r="H1082" s="13" t="s">
        <v>651</v>
      </c>
      <c r="I1082" s="18">
        <v>16650.060000000001</v>
      </c>
      <c r="J1082" s="18">
        <v>8325.0300000000007</v>
      </c>
      <c r="K1082" s="20" t="s">
        <v>790</v>
      </c>
      <c r="M1082" s="3"/>
    </row>
    <row r="1083" spans="1:13" ht="38.25" x14ac:dyDescent="0.25">
      <c r="A1083" s="13" t="s">
        <v>11386</v>
      </c>
      <c r="B1083" s="13" t="s">
        <v>13</v>
      </c>
      <c r="C1083" s="20" t="s">
        <v>790</v>
      </c>
      <c r="D1083" s="19">
        <v>12121</v>
      </c>
      <c r="E1083" s="13" t="s">
        <v>11387</v>
      </c>
      <c r="F1083" s="14">
        <v>41261</v>
      </c>
      <c r="G1083" s="14">
        <v>41639</v>
      </c>
      <c r="H1083" s="13" t="s">
        <v>651</v>
      </c>
      <c r="I1083" s="18">
        <v>40000</v>
      </c>
      <c r="J1083" s="18">
        <v>20000</v>
      </c>
      <c r="K1083" s="20" t="s">
        <v>790</v>
      </c>
      <c r="M1083" s="3"/>
    </row>
    <row r="1084" spans="1:13" ht="38.25" x14ac:dyDescent="0.25">
      <c r="A1084" s="13" t="s">
        <v>10379</v>
      </c>
      <c r="B1084" s="13" t="s">
        <v>10192</v>
      </c>
      <c r="C1084" s="20" t="s">
        <v>790</v>
      </c>
      <c r="D1084" s="19">
        <v>12123</v>
      </c>
      <c r="E1084" s="13" t="s">
        <v>10380</v>
      </c>
      <c r="F1084" s="14">
        <v>41477</v>
      </c>
      <c r="G1084" s="14">
        <v>41639</v>
      </c>
      <c r="H1084" s="13" t="s">
        <v>651</v>
      </c>
      <c r="I1084" s="18">
        <v>20000</v>
      </c>
      <c r="J1084" s="18">
        <v>10000</v>
      </c>
      <c r="K1084" s="20" t="s">
        <v>790</v>
      </c>
      <c r="M1084" s="3"/>
    </row>
    <row r="1085" spans="1:13" ht="38.25" x14ac:dyDescent="0.25">
      <c r="A1085" s="13" t="s">
        <v>10381</v>
      </c>
      <c r="B1085" s="13" t="s">
        <v>10192</v>
      </c>
      <c r="C1085" s="20" t="s">
        <v>790</v>
      </c>
      <c r="D1085" s="19">
        <v>12125</v>
      </c>
      <c r="E1085" s="13" t="s">
        <v>10382</v>
      </c>
      <c r="F1085" s="14">
        <v>41037</v>
      </c>
      <c r="G1085" s="14">
        <v>41639</v>
      </c>
      <c r="H1085" s="13" t="s">
        <v>651</v>
      </c>
      <c r="I1085" s="18">
        <v>21250</v>
      </c>
      <c r="J1085" s="18">
        <v>21250</v>
      </c>
      <c r="K1085" s="20" t="s">
        <v>790</v>
      </c>
      <c r="M1085" s="3"/>
    </row>
    <row r="1086" spans="1:13" ht="38.25" x14ac:dyDescent="0.25">
      <c r="A1086" s="13" t="s">
        <v>10383</v>
      </c>
      <c r="B1086" s="13" t="s">
        <v>10192</v>
      </c>
      <c r="C1086" s="20" t="s">
        <v>790</v>
      </c>
      <c r="D1086" s="19">
        <v>12126</v>
      </c>
      <c r="E1086" s="13" t="s">
        <v>10384</v>
      </c>
      <c r="F1086" s="14">
        <v>41071</v>
      </c>
      <c r="G1086" s="14">
        <v>41639</v>
      </c>
      <c r="H1086" s="13" t="s">
        <v>651</v>
      </c>
      <c r="I1086" s="18">
        <v>31000</v>
      </c>
      <c r="J1086" s="18">
        <v>15500</v>
      </c>
      <c r="K1086" s="20" t="s">
        <v>790</v>
      </c>
      <c r="M1086" s="3"/>
    </row>
    <row r="1087" spans="1:13" ht="25.5" x14ac:dyDescent="0.25">
      <c r="A1087" s="13" t="s">
        <v>10385</v>
      </c>
      <c r="B1087" s="13" t="s">
        <v>10192</v>
      </c>
      <c r="C1087" s="20" t="s">
        <v>790</v>
      </c>
      <c r="D1087" s="19">
        <v>12128</v>
      </c>
      <c r="E1087" s="13" t="s">
        <v>10386</v>
      </c>
      <c r="F1087" s="14">
        <v>41393</v>
      </c>
      <c r="G1087" s="14">
        <v>41639</v>
      </c>
      <c r="H1087" s="13" t="s">
        <v>651</v>
      </c>
      <c r="I1087" s="18">
        <v>5046.5200000000004</v>
      </c>
      <c r="J1087" s="18">
        <v>2523.2600000000002</v>
      </c>
      <c r="K1087" s="20" t="s">
        <v>790</v>
      </c>
      <c r="M1087" s="3"/>
    </row>
    <row r="1088" spans="1:13" ht="25.5" x14ac:dyDescent="0.25">
      <c r="A1088" s="13" t="s">
        <v>10387</v>
      </c>
      <c r="B1088" s="13" t="s">
        <v>10192</v>
      </c>
      <c r="C1088" s="20" t="s">
        <v>790</v>
      </c>
      <c r="D1088" s="19">
        <v>12129</v>
      </c>
      <c r="E1088" s="13" t="s">
        <v>10388</v>
      </c>
      <c r="F1088" s="14">
        <v>41477</v>
      </c>
      <c r="G1088" s="14">
        <v>41639</v>
      </c>
      <c r="H1088" s="13" t="s">
        <v>651</v>
      </c>
      <c r="I1088" s="18">
        <v>50000</v>
      </c>
      <c r="J1088" s="18">
        <v>25000</v>
      </c>
      <c r="K1088" s="20" t="s">
        <v>790</v>
      </c>
      <c r="M1088" s="3"/>
    </row>
    <row r="1089" spans="1:13" ht="51" x14ac:dyDescent="0.25">
      <c r="A1089" s="13" t="s">
        <v>10389</v>
      </c>
      <c r="B1089" s="13" t="s">
        <v>10192</v>
      </c>
      <c r="C1089" s="20" t="s">
        <v>790</v>
      </c>
      <c r="D1089" s="19">
        <v>12130</v>
      </c>
      <c r="E1089" s="13" t="s">
        <v>10390</v>
      </c>
      <c r="F1089" s="14">
        <v>41358</v>
      </c>
      <c r="G1089" s="14">
        <v>41639</v>
      </c>
      <c r="H1089" s="13" t="s">
        <v>651</v>
      </c>
      <c r="I1089" s="18">
        <v>35000</v>
      </c>
      <c r="J1089" s="18">
        <v>25000</v>
      </c>
      <c r="K1089" s="20" t="s">
        <v>790</v>
      </c>
      <c r="M1089" s="3"/>
    </row>
    <row r="1090" spans="1:13" ht="25.5" x14ac:dyDescent="0.25">
      <c r="A1090" s="13" t="s">
        <v>104</v>
      </c>
      <c r="B1090" s="13" t="s">
        <v>38</v>
      </c>
      <c r="C1090" s="20" t="s">
        <v>790</v>
      </c>
      <c r="D1090" s="19">
        <v>12134</v>
      </c>
      <c r="E1090" s="13" t="s">
        <v>10391</v>
      </c>
      <c r="F1090" s="14">
        <v>41275</v>
      </c>
      <c r="G1090" s="14">
        <v>41639</v>
      </c>
      <c r="H1090" s="13" t="s">
        <v>651</v>
      </c>
      <c r="I1090" s="18">
        <v>61285.47</v>
      </c>
      <c r="J1090" s="18">
        <v>61285.47</v>
      </c>
      <c r="K1090" s="20" t="s">
        <v>790</v>
      </c>
      <c r="M1090" s="3"/>
    </row>
    <row r="1091" spans="1:13" ht="140.25" x14ac:dyDescent="0.25">
      <c r="A1091" s="13" t="s">
        <v>10392</v>
      </c>
      <c r="B1091" s="13" t="s">
        <v>38</v>
      </c>
      <c r="C1091" s="20" t="s">
        <v>790</v>
      </c>
      <c r="D1091" s="19">
        <v>12135</v>
      </c>
      <c r="E1091" s="13" t="s">
        <v>10393</v>
      </c>
      <c r="F1091" s="14">
        <v>40909</v>
      </c>
      <c r="G1091" s="14">
        <v>41639</v>
      </c>
      <c r="H1091" s="13" t="s">
        <v>651</v>
      </c>
      <c r="I1091" s="18">
        <v>600</v>
      </c>
      <c r="J1091" s="18">
        <v>600</v>
      </c>
      <c r="K1091" s="20" t="s">
        <v>790</v>
      </c>
      <c r="M1091" s="3"/>
    </row>
    <row r="1092" spans="1:13" ht="140.25" x14ac:dyDescent="0.25">
      <c r="A1092" s="13" t="s">
        <v>10394</v>
      </c>
      <c r="B1092" s="13" t="s">
        <v>38</v>
      </c>
      <c r="C1092" s="20" t="s">
        <v>790</v>
      </c>
      <c r="D1092" s="19">
        <v>12136</v>
      </c>
      <c r="E1092" s="13" t="s">
        <v>10395</v>
      </c>
      <c r="F1092" s="14">
        <v>40909</v>
      </c>
      <c r="G1092" s="14">
        <v>41639</v>
      </c>
      <c r="H1092" s="13" t="s">
        <v>651</v>
      </c>
      <c r="I1092" s="18">
        <v>5864.41</v>
      </c>
      <c r="J1092" s="18">
        <v>5864.41</v>
      </c>
      <c r="K1092" s="20" t="s">
        <v>790</v>
      </c>
      <c r="M1092" s="3"/>
    </row>
    <row r="1093" spans="1:13" ht="153" x14ac:dyDescent="0.25">
      <c r="A1093" s="13" t="s">
        <v>9309</v>
      </c>
      <c r="B1093" s="13" t="s">
        <v>38</v>
      </c>
      <c r="C1093" s="20" t="s">
        <v>790</v>
      </c>
      <c r="D1093" s="19">
        <v>12137</v>
      </c>
      <c r="E1093" s="13" t="s">
        <v>10396</v>
      </c>
      <c r="F1093" s="14">
        <v>41275</v>
      </c>
      <c r="G1093" s="14">
        <v>41639</v>
      </c>
      <c r="H1093" s="13" t="s">
        <v>651</v>
      </c>
      <c r="I1093" s="18">
        <v>300</v>
      </c>
      <c r="J1093" s="18">
        <v>300</v>
      </c>
      <c r="K1093" s="20" t="s">
        <v>790</v>
      </c>
      <c r="M1093" s="3"/>
    </row>
    <row r="1094" spans="1:13" ht="51" x14ac:dyDescent="0.25">
      <c r="A1094" s="13" t="s">
        <v>10397</v>
      </c>
      <c r="B1094" s="13" t="s">
        <v>38</v>
      </c>
      <c r="C1094" s="20" t="s">
        <v>790</v>
      </c>
      <c r="D1094" s="19">
        <v>12138</v>
      </c>
      <c r="E1094" s="13" t="s">
        <v>10398</v>
      </c>
      <c r="F1094" s="14">
        <v>41275</v>
      </c>
      <c r="G1094" s="14">
        <v>41639</v>
      </c>
      <c r="H1094" s="13" t="s">
        <v>651</v>
      </c>
      <c r="I1094" s="18">
        <v>8765.4</v>
      </c>
      <c r="J1094" s="18">
        <v>8765.4</v>
      </c>
      <c r="K1094" s="20" t="s">
        <v>790</v>
      </c>
      <c r="M1094" s="3"/>
    </row>
    <row r="1095" spans="1:13" ht="38.25" x14ac:dyDescent="0.25">
      <c r="A1095" s="13" t="s">
        <v>10399</v>
      </c>
      <c r="B1095" s="13" t="s">
        <v>38</v>
      </c>
      <c r="C1095" s="20" t="s">
        <v>790</v>
      </c>
      <c r="D1095" s="19">
        <v>12139</v>
      </c>
      <c r="E1095" s="13" t="s">
        <v>10400</v>
      </c>
      <c r="F1095" s="14">
        <v>40544</v>
      </c>
      <c r="G1095" s="14">
        <v>41639</v>
      </c>
      <c r="H1095" s="13" t="s">
        <v>651</v>
      </c>
      <c r="I1095" s="18">
        <v>2521.13</v>
      </c>
      <c r="J1095" s="18">
        <v>2521.13</v>
      </c>
      <c r="K1095" s="20" t="s">
        <v>790</v>
      </c>
      <c r="M1095" s="3"/>
    </row>
    <row r="1096" spans="1:13" ht="114.75" x14ac:dyDescent="0.25">
      <c r="A1096" s="13" t="s">
        <v>10401</v>
      </c>
      <c r="B1096" s="13" t="s">
        <v>38</v>
      </c>
      <c r="C1096" s="20" t="s">
        <v>790</v>
      </c>
      <c r="D1096" s="19">
        <v>12140</v>
      </c>
      <c r="E1096" s="13" t="s">
        <v>10402</v>
      </c>
      <c r="F1096" s="14">
        <v>41275</v>
      </c>
      <c r="G1096" s="14">
        <v>41639</v>
      </c>
      <c r="H1096" s="13" t="s">
        <v>651</v>
      </c>
      <c r="I1096" s="18">
        <v>13541</v>
      </c>
      <c r="J1096" s="18">
        <v>13541</v>
      </c>
      <c r="K1096" s="20" t="s">
        <v>790</v>
      </c>
      <c r="M1096" s="3"/>
    </row>
    <row r="1097" spans="1:13" ht="127.5" x14ac:dyDescent="0.25">
      <c r="A1097" s="13" t="s">
        <v>10403</v>
      </c>
      <c r="B1097" s="13" t="s">
        <v>38</v>
      </c>
      <c r="C1097" s="20" t="s">
        <v>790</v>
      </c>
      <c r="D1097" s="19">
        <v>12143</v>
      </c>
      <c r="E1097" s="13" t="s">
        <v>10404</v>
      </c>
      <c r="F1097" s="14">
        <v>41275</v>
      </c>
      <c r="G1097" s="14">
        <v>41639</v>
      </c>
      <c r="H1097" s="13" t="s">
        <v>651</v>
      </c>
      <c r="I1097" s="18">
        <v>701.1</v>
      </c>
      <c r="J1097" s="18">
        <v>701.1</v>
      </c>
      <c r="K1097" s="20" t="s">
        <v>790</v>
      </c>
      <c r="M1097" s="3"/>
    </row>
    <row r="1098" spans="1:13" ht="140.25" x14ac:dyDescent="0.25">
      <c r="A1098" s="13" t="s">
        <v>10405</v>
      </c>
      <c r="B1098" s="13" t="s">
        <v>38</v>
      </c>
      <c r="C1098" s="20" t="s">
        <v>790</v>
      </c>
      <c r="D1098" s="19">
        <v>12145</v>
      </c>
      <c r="E1098" s="13" t="s">
        <v>10395</v>
      </c>
      <c r="F1098" s="14">
        <v>41275</v>
      </c>
      <c r="G1098" s="14">
        <v>41639</v>
      </c>
      <c r="H1098" s="13" t="s">
        <v>651</v>
      </c>
      <c r="I1098" s="18">
        <v>10631.54</v>
      </c>
      <c r="J1098" s="18">
        <v>10631.54</v>
      </c>
      <c r="K1098" s="20" t="s">
        <v>790</v>
      </c>
      <c r="M1098" s="3"/>
    </row>
    <row r="1099" spans="1:13" ht="25.5" x14ac:dyDescent="0.25">
      <c r="A1099" s="13" t="s">
        <v>10406</v>
      </c>
      <c r="B1099" s="13" t="s">
        <v>38</v>
      </c>
      <c r="C1099" s="20" t="s">
        <v>790</v>
      </c>
      <c r="D1099" s="19">
        <v>12147</v>
      </c>
      <c r="E1099" s="13" t="s">
        <v>10407</v>
      </c>
      <c r="F1099" s="14">
        <v>41275</v>
      </c>
      <c r="G1099" s="14">
        <v>41639</v>
      </c>
      <c r="H1099" s="13" t="s">
        <v>651</v>
      </c>
      <c r="I1099" s="18">
        <v>1492.19</v>
      </c>
      <c r="J1099" s="18">
        <v>1492.19</v>
      </c>
      <c r="K1099" s="20" t="s">
        <v>790</v>
      </c>
      <c r="M1099" s="3"/>
    </row>
    <row r="1100" spans="1:13" ht="38.25" x14ac:dyDescent="0.25">
      <c r="A1100" s="13" t="s">
        <v>10408</v>
      </c>
      <c r="B1100" s="13" t="s">
        <v>38</v>
      </c>
      <c r="C1100" s="20" t="s">
        <v>790</v>
      </c>
      <c r="D1100" s="19">
        <v>12148</v>
      </c>
      <c r="E1100" s="13" t="s">
        <v>1934</v>
      </c>
      <c r="F1100" s="14">
        <v>41275</v>
      </c>
      <c r="G1100" s="14">
        <v>41639</v>
      </c>
      <c r="H1100" s="13" t="s">
        <v>651</v>
      </c>
      <c r="I1100" s="18">
        <v>1328.01</v>
      </c>
      <c r="J1100" s="18">
        <v>1328.01</v>
      </c>
      <c r="K1100" s="20" t="s">
        <v>790</v>
      </c>
      <c r="M1100" s="3"/>
    </row>
    <row r="1101" spans="1:13" ht="38.25" x14ac:dyDescent="0.25">
      <c r="A1101" s="13" t="s">
        <v>10409</v>
      </c>
      <c r="B1101" s="13" t="s">
        <v>38</v>
      </c>
      <c r="C1101" s="20" t="s">
        <v>790</v>
      </c>
      <c r="D1101" s="19">
        <v>12150</v>
      </c>
      <c r="E1101" s="13" t="s">
        <v>10410</v>
      </c>
      <c r="F1101" s="14">
        <v>41275</v>
      </c>
      <c r="G1101" s="14">
        <v>41639</v>
      </c>
      <c r="H1101" s="13" t="s">
        <v>651</v>
      </c>
      <c r="I1101" s="18">
        <v>2280.75</v>
      </c>
      <c r="J1101" s="18">
        <v>2280.75</v>
      </c>
      <c r="K1101" s="20" t="s">
        <v>790</v>
      </c>
      <c r="M1101" s="3"/>
    </row>
    <row r="1102" spans="1:13" ht="63.75" x14ac:dyDescent="0.25">
      <c r="A1102" s="13" t="s">
        <v>10411</v>
      </c>
      <c r="B1102" s="13" t="s">
        <v>38</v>
      </c>
      <c r="C1102" s="20" t="s">
        <v>790</v>
      </c>
      <c r="D1102" s="19">
        <v>12151</v>
      </c>
      <c r="E1102" s="13" t="s">
        <v>10412</v>
      </c>
      <c r="F1102" s="14">
        <v>41275</v>
      </c>
      <c r="G1102" s="14">
        <v>41639</v>
      </c>
      <c r="H1102" s="13" t="s">
        <v>651</v>
      </c>
      <c r="I1102" s="18">
        <v>1015.5</v>
      </c>
      <c r="J1102" s="18">
        <v>1015.5</v>
      </c>
      <c r="K1102" s="20" t="s">
        <v>790</v>
      </c>
      <c r="M1102" s="3"/>
    </row>
    <row r="1103" spans="1:13" ht="102" x14ac:dyDescent="0.25">
      <c r="A1103" s="13" t="s">
        <v>10413</v>
      </c>
      <c r="B1103" s="13" t="s">
        <v>38</v>
      </c>
      <c r="C1103" s="20" t="s">
        <v>790</v>
      </c>
      <c r="D1103" s="19">
        <v>12152</v>
      </c>
      <c r="E1103" s="13" t="s">
        <v>10414</v>
      </c>
      <c r="F1103" s="14">
        <v>41275</v>
      </c>
      <c r="G1103" s="14">
        <v>41639</v>
      </c>
      <c r="H1103" s="13" t="s">
        <v>651</v>
      </c>
      <c r="I1103" s="18">
        <v>749</v>
      </c>
      <c r="J1103" s="18">
        <v>749</v>
      </c>
      <c r="K1103" s="20" t="s">
        <v>790</v>
      </c>
      <c r="M1103" s="3"/>
    </row>
    <row r="1104" spans="1:13" ht="51" x14ac:dyDescent="0.25">
      <c r="A1104" s="13" t="s">
        <v>10336</v>
      </c>
      <c r="B1104" s="13" t="s">
        <v>38</v>
      </c>
      <c r="C1104" s="20" t="s">
        <v>790</v>
      </c>
      <c r="D1104" s="19">
        <v>12153</v>
      </c>
      <c r="E1104" s="13" t="s">
        <v>10415</v>
      </c>
      <c r="F1104" s="14">
        <v>41275</v>
      </c>
      <c r="G1104" s="14">
        <v>41639</v>
      </c>
      <c r="H1104" s="13" t="s">
        <v>651</v>
      </c>
      <c r="I1104" s="18">
        <v>7900.92</v>
      </c>
      <c r="J1104" s="18">
        <v>7900.92</v>
      </c>
      <c r="K1104" s="20" t="s">
        <v>790</v>
      </c>
      <c r="M1104" s="3"/>
    </row>
    <row r="1105" spans="1:13" ht="38.25" x14ac:dyDescent="0.25">
      <c r="A1105" s="13" t="s">
        <v>10416</v>
      </c>
      <c r="B1105" s="13" t="s">
        <v>38</v>
      </c>
      <c r="C1105" s="20" t="s">
        <v>790</v>
      </c>
      <c r="D1105" s="19">
        <v>12155</v>
      </c>
      <c r="E1105" s="13" t="s">
        <v>10417</v>
      </c>
      <c r="F1105" s="14">
        <v>41275</v>
      </c>
      <c r="G1105" s="14">
        <v>41639</v>
      </c>
      <c r="H1105" s="13" t="s">
        <v>651</v>
      </c>
      <c r="I1105" s="18">
        <v>300</v>
      </c>
      <c r="J1105" s="18">
        <v>300</v>
      </c>
      <c r="K1105" s="20" t="s">
        <v>790</v>
      </c>
      <c r="M1105" s="3"/>
    </row>
    <row r="1106" spans="1:13" ht="38.25" x14ac:dyDescent="0.25">
      <c r="A1106" s="13" t="s">
        <v>10418</v>
      </c>
      <c r="B1106" s="13" t="s">
        <v>38</v>
      </c>
      <c r="C1106" s="20" t="s">
        <v>790</v>
      </c>
      <c r="D1106" s="19">
        <v>12156</v>
      </c>
      <c r="E1106" s="13" t="s">
        <v>10419</v>
      </c>
      <c r="F1106" s="14">
        <v>41275</v>
      </c>
      <c r="G1106" s="14">
        <v>41639</v>
      </c>
      <c r="H1106" s="13" t="s">
        <v>651</v>
      </c>
      <c r="I1106" s="18">
        <v>7517.94</v>
      </c>
      <c r="J1106" s="18">
        <v>7517.94</v>
      </c>
      <c r="K1106" s="20" t="s">
        <v>790</v>
      </c>
      <c r="M1106" s="3"/>
    </row>
    <row r="1107" spans="1:13" ht="140.25" x14ac:dyDescent="0.25">
      <c r="A1107" s="13" t="s">
        <v>10420</v>
      </c>
      <c r="B1107" s="13" t="s">
        <v>38</v>
      </c>
      <c r="C1107" s="20" t="s">
        <v>790</v>
      </c>
      <c r="D1107" s="19">
        <v>12157</v>
      </c>
      <c r="E1107" s="13" t="s">
        <v>10421</v>
      </c>
      <c r="F1107" s="14">
        <v>41275</v>
      </c>
      <c r="G1107" s="14">
        <v>41639</v>
      </c>
      <c r="H1107" s="13" t="s">
        <v>651</v>
      </c>
      <c r="I1107" s="18">
        <v>33026.03</v>
      </c>
      <c r="J1107" s="18">
        <v>33026.03</v>
      </c>
      <c r="K1107" s="20" t="s">
        <v>790</v>
      </c>
      <c r="M1107" s="3"/>
    </row>
    <row r="1108" spans="1:13" ht="76.5" x14ac:dyDescent="0.25">
      <c r="A1108" s="13" t="s">
        <v>10422</v>
      </c>
      <c r="B1108" s="13" t="s">
        <v>38</v>
      </c>
      <c r="C1108" s="20" t="s">
        <v>790</v>
      </c>
      <c r="D1108" s="19">
        <v>12158</v>
      </c>
      <c r="E1108" s="13" t="s">
        <v>10423</v>
      </c>
      <c r="F1108" s="14">
        <v>41275</v>
      </c>
      <c r="G1108" s="14">
        <v>41639</v>
      </c>
      <c r="H1108" s="13" t="s">
        <v>651</v>
      </c>
      <c r="I1108" s="18">
        <v>1905.7</v>
      </c>
      <c r="J1108" s="18">
        <v>1905.7</v>
      </c>
      <c r="K1108" s="20" t="s">
        <v>790</v>
      </c>
      <c r="M1108" s="3"/>
    </row>
    <row r="1109" spans="1:13" ht="63.75" x14ac:dyDescent="0.25">
      <c r="A1109" s="13" t="s">
        <v>10424</v>
      </c>
      <c r="B1109" s="13" t="s">
        <v>38</v>
      </c>
      <c r="C1109" s="20" t="s">
        <v>790</v>
      </c>
      <c r="D1109" s="19">
        <v>12160</v>
      </c>
      <c r="E1109" s="13" t="s">
        <v>10425</v>
      </c>
      <c r="F1109" s="14">
        <v>41275</v>
      </c>
      <c r="G1109" s="14">
        <v>41639</v>
      </c>
      <c r="H1109" s="13" t="s">
        <v>651</v>
      </c>
      <c r="I1109" s="18">
        <v>3327.18</v>
      </c>
      <c r="J1109" s="18">
        <v>3327.18</v>
      </c>
      <c r="K1109" s="20" t="s">
        <v>790</v>
      </c>
      <c r="M1109" s="3"/>
    </row>
    <row r="1110" spans="1:13" ht="63.75" x14ac:dyDescent="0.25">
      <c r="A1110" s="13" t="s">
        <v>10426</v>
      </c>
      <c r="B1110" s="13" t="s">
        <v>38</v>
      </c>
      <c r="C1110" s="20" t="s">
        <v>790</v>
      </c>
      <c r="D1110" s="19">
        <v>12161</v>
      </c>
      <c r="E1110" s="13" t="s">
        <v>1951</v>
      </c>
      <c r="F1110" s="14">
        <v>41275</v>
      </c>
      <c r="G1110" s="14">
        <v>41639</v>
      </c>
      <c r="H1110" s="13" t="s">
        <v>651</v>
      </c>
      <c r="I1110" s="18">
        <v>1980.27</v>
      </c>
      <c r="J1110" s="18">
        <v>1980.27</v>
      </c>
      <c r="K1110" s="20" t="s">
        <v>790</v>
      </c>
      <c r="M1110" s="3"/>
    </row>
    <row r="1111" spans="1:13" ht="76.5" x14ac:dyDescent="0.25">
      <c r="A1111" s="13" t="s">
        <v>10427</v>
      </c>
      <c r="B1111" s="13" t="s">
        <v>38</v>
      </c>
      <c r="C1111" s="20" t="s">
        <v>790</v>
      </c>
      <c r="D1111" s="19">
        <v>12163</v>
      </c>
      <c r="E1111" s="13" t="s">
        <v>10428</v>
      </c>
      <c r="F1111" s="14">
        <v>41275</v>
      </c>
      <c r="G1111" s="14">
        <v>41639</v>
      </c>
      <c r="H1111" s="13" t="s">
        <v>651</v>
      </c>
      <c r="I1111" s="18">
        <v>1569.25</v>
      </c>
      <c r="J1111" s="18">
        <v>1569.25</v>
      </c>
      <c r="K1111" s="20" t="s">
        <v>790</v>
      </c>
      <c r="M1111" s="3"/>
    </row>
    <row r="1112" spans="1:13" ht="51" x14ac:dyDescent="0.25">
      <c r="A1112" s="13" t="s">
        <v>10429</v>
      </c>
      <c r="B1112" s="13" t="s">
        <v>38</v>
      </c>
      <c r="C1112" s="20" t="s">
        <v>790</v>
      </c>
      <c r="D1112" s="19">
        <v>12164</v>
      </c>
      <c r="E1112" s="13" t="s">
        <v>10430</v>
      </c>
      <c r="F1112" s="14">
        <v>41275</v>
      </c>
      <c r="G1112" s="14">
        <v>41639</v>
      </c>
      <c r="H1112" s="13" t="s">
        <v>651</v>
      </c>
      <c r="I1112" s="18">
        <v>1335</v>
      </c>
      <c r="J1112" s="18">
        <v>1335</v>
      </c>
      <c r="K1112" s="20" t="s">
        <v>790</v>
      </c>
      <c r="M1112" s="3"/>
    </row>
    <row r="1113" spans="1:13" ht="89.25" x14ac:dyDescent="0.25">
      <c r="A1113" s="13" t="s">
        <v>10431</v>
      </c>
      <c r="B1113" s="13" t="s">
        <v>38</v>
      </c>
      <c r="C1113" s="20" t="s">
        <v>790</v>
      </c>
      <c r="D1113" s="19">
        <v>12165</v>
      </c>
      <c r="E1113" s="13" t="s">
        <v>1962</v>
      </c>
      <c r="F1113" s="14">
        <v>41275</v>
      </c>
      <c r="G1113" s="14">
        <v>41639</v>
      </c>
      <c r="H1113" s="13" t="s">
        <v>651</v>
      </c>
      <c r="I1113" s="18">
        <v>5052.8</v>
      </c>
      <c r="J1113" s="18">
        <v>5052.8</v>
      </c>
      <c r="K1113" s="20" t="s">
        <v>790</v>
      </c>
      <c r="M1113" s="3"/>
    </row>
    <row r="1114" spans="1:13" ht="51" x14ac:dyDescent="0.25">
      <c r="A1114" s="13" t="s">
        <v>10432</v>
      </c>
      <c r="B1114" s="13" t="s">
        <v>38</v>
      </c>
      <c r="C1114" s="20" t="s">
        <v>790</v>
      </c>
      <c r="D1114" s="19">
        <v>12167</v>
      </c>
      <c r="E1114" s="13" t="s">
        <v>10433</v>
      </c>
      <c r="F1114" s="14">
        <v>41275</v>
      </c>
      <c r="G1114" s="14">
        <v>41639</v>
      </c>
      <c r="H1114" s="13" t="s">
        <v>651</v>
      </c>
      <c r="I1114" s="18">
        <v>4397.2</v>
      </c>
      <c r="J1114" s="18">
        <v>4397.2</v>
      </c>
      <c r="K1114" s="20" t="s">
        <v>790</v>
      </c>
      <c r="M1114" s="3"/>
    </row>
    <row r="1115" spans="1:13" ht="63.75" x14ac:dyDescent="0.25">
      <c r="A1115" s="13" t="s">
        <v>10347</v>
      </c>
      <c r="B1115" s="13" t="s">
        <v>38</v>
      </c>
      <c r="C1115" s="20" t="s">
        <v>790</v>
      </c>
      <c r="D1115" s="19">
        <v>12168</v>
      </c>
      <c r="E1115" s="13" t="s">
        <v>10434</v>
      </c>
      <c r="F1115" s="14">
        <v>41275</v>
      </c>
      <c r="G1115" s="14">
        <v>41639</v>
      </c>
      <c r="H1115" s="13" t="s">
        <v>651</v>
      </c>
      <c r="I1115" s="18">
        <f>35182.3-19.05</f>
        <v>35163.25</v>
      </c>
      <c r="J1115" s="18">
        <v>35182.300000000003</v>
      </c>
      <c r="K1115" s="20" t="s">
        <v>790</v>
      </c>
      <c r="M1115" s="3"/>
    </row>
    <row r="1116" spans="1:13" ht="76.5" x14ac:dyDescent="0.25">
      <c r="A1116" s="13" t="s">
        <v>10435</v>
      </c>
      <c r="B1116" s="13" t="s">
        <v>38</v>
      </c>
      <c r="C1116" s="20" t="s">
        <v>790</v>
      </c>
      <c r="D1116" s="19">
        <v>12170</v>
      </c>
      <c r="E1116" s="13" t="s">
        <v>10436</v>
      </c>
      <c r="F1116" s="14">
        <v>41275</v>
      </c>
      <c r="G1116" s="14">
        <v>41639</v>
      </c>
      <c r="H1116" s="13" t="s">
        <v>651</v>
      </c>
      <c r="I1116" s="18">
        <v>2615.5300000000002</v>
      </c>
      <c r="J1116" s="18">
        <v>2615.5300000000002</v>
      </c>
      <c r="K1116" s="20" t="s">
        <v>790</v>
      </c>
      <c r="M1116" s="3"/>
    </row>
    <row r="1117" spans="1:13" ht="25.5" x14ac:dyDescent="0.25">
      <c r="A1117" s="13" t="s">
        <v>10437</v>
      </c>
      <c r="B1117" s="13" t="s">
        <v>10192</v>
      </c>
      <c r="C1117" s="20" t="s">
        <v>790</v>
      </c>
      <c r="D1117" s="19">
        <v>12868</v>
      </c>
      <c r="E1117" s="13" t="s">
        <v>10438</v>
      </c>
      <c r="F1117" s="14">
        <v>41317</v>
      </c>
      <c r="H1117" s="13" t="s">
        <v>651</v>
      </c>
      <c r="I1117" s="18">
        <v>4526.84</v>
      </c>
      <c r="J1117" s="18">
        <v>2263.42</v>
      </c>
      <c r="K1117" s="20" t="s">
        <v>790</v>
      </c>
      <c r="M1117" s="3"/>
    </row>
    <row r="1118" spans="1:13" ht="38.25" x14ac:dyDescent="0.25">
      <c r="A1118" s="13" t="s">
        <v>10439</v>
      </c>
      <c r="B1118" s="13" t="s">
        <v>10192</v>
      </c>
      <c r="C1118" s="20" t="s">
        <v>790</v>
      </c>
      <c r="D1118" s="19">
        <v>12869</v>
      </c>
      <c r="E1118" s="13" t="s">
        <v>10440</v>
      </c>
      <c r="F1118" s="14">
        <v>41578</v>
      </c>
      <c r="H1118" s="13" t="s">
        <v>651</v>
      </c>
      <c r="I1118" s="18">
        <v>30000</v>
      </c>
      <c r="J1118" s="18">
        <v>30000</v>
      </c>
      <c r="K1118" s="20" t="s">
        <v>790</v>
      </c>
      <c r="M1118" s="3"/>
    </row>
    <row r="1119" spans="1:13" ht="51" x14ac:dyDescent="0.25">
      <c r="A1119" s="13" t="s">
        <v>10441</v>
      </c>
      <c r="B1119" s="13" t="s">
        <v>10192</v>
      </c>
      <c r="C1119" s="20" t="s">
        <v>790</v>
      </c>
      <c r="D1119" s="19">
        <v>12870</v>
      </c>
      <c r="E1119" s="13" t="s">
        <v>10442</v>
      </c>
      <c r="F1119" s="14">
        <v>41599</v>
      </c>
      <c r="H1119" s="13" t="s">
        <v>651</v>
      </c>
      <c r="I1119" s="18">
        <v>15000</v>
      </c>
      <c r="J1119" s="18">
        <v>15000</v>
      </c>
      <c r="K1119" s="20" t="s">
        <v>790</v>
      </c>
      <c r="M1119" s="3"/>
    </row>
    <row r="1120" spans="1:13" ht="51" x14ac:dyDescent="0.25">
      <c r="A1120" s="13" t="s">
        <v>10443</v>
      </c>
      <c r="B1120" s="13" t="s">
        <v>10192</v>
      </c>
      <c r="C1120" s="20" t="s">
        <v>790</v>
      </c>
      <c r="D1120" s="19">
        <v>12871</v>
      </c>
      <c r="E1120" s="13" t="s">
        <v>10444</v>
      </c>
      <c r="F1120" s="14">
        <v>41578</v>
      </c>
      <c r="H1120" s="13" t="s">
        <v>651</v>
      </c>
      <c r="I1120" s="18">
        <v>31716</v>
      </c>
      <c r="J1120" s="18">
        <v>23358</v>
      </c>
      <c r="K1120" s="20" t="s">
        <v>790</v>
      </c>
      <c r="M1120" s="3"/>
    </row>
    <row r="1121" spans="1:13" ht="51" x14ac:dyDescent="0.25">
      <c r="A1121" s="13" t="s">
        <v>10445</v>
      </c>
      <c r="B1121" s="13" t="s">
        <v>10192</v>
      </c>
      <c r="C1121" s="20" t="s">
        <v>790</v>
      </c>
      <c r="D1121" s="19">
        <v>12872</v>
      </c>
      <c r="E1121" s="13" t="s">
        <v>10446</v>
      </c>
      <c r="F1121" s="14">
        <v>41578</v>
      </c>
      <c r="H1121" s="13" t="s">
        <v>651</v>
      </c>
      <c r="I1121" s="18">
        <v>23746.68</v>
      </c>
      <c r="J1121" s="18">
        <v>19373.34</v>
      </c>
      <c r="K1121" s="20" t="s">
        <v>790</v>
      </c>
      <c r="M1121" s="3"/>
    </row>
    <row r="1122" spans="1:13" ht="38.25" x14ac:dyDescent="0.25">
      <c r="A1122" s="13" t="s">
        <v>10447</v>
      </c>
      <c r="B1122" s="13" t="s">
        <v>10192</v>
      </c>
      <c r="C1122" s="20" t="s">
        <v>790</v>
      </c>
      <c r="D1122" s="19">
        <v>12873</v>
      </c>
      <c r="E1122" s="13" t="s">
        <v>10448</v>
      </c>
      <c r="F1122" s="14">
        <v>41411</v>
      </c>
      <c r="H1122" s="13" t="s">
        <v>651</v>
      </c>
      <c r="I1122" s="18">
        <v>15178.92</v>
      </c>
      <c r="J1122" s="18">
        <v>7589.46</v>
      </c>
      <c r="K1122" s="20" t="s">
        <v>790</v>
      </c>
      <c r="M1122" s="3"/>
    </row>
    <row r="1123" spans="1:13" ht="38.25" x14ac:dyDescent="0.25">
      <c r="A1123" s="13" t="s">
        <v>10449</v>
      </c>
      <c r="B1123" s="13" t="s">
        <v>10195</v>
      </c>
      <c r="C1123" s="20" t="s">
        <v>790</v>
      </c>
      <c r="D1123" s="19">
        <v>12874</v>
      </c>
      <c r="E1123" s="13" t="s">
        <v>10450</v>
      </c>
      <c r="F1123" s="14">
        <v>41361</v>
      </c>
      <c r="H1123" s="13" t="s">
        <v>651</v>
      </c>
      <c r="I1123" s="18">
        <f>30322.02-803.12</f>
        <v>29518.9</v>
      </c>
      <c r="J1123" s="18">
        <f>15161.01-401.56</f>
        <v>14759.45</v>
      </c>
      <c r="K1123" s="20" t="s">
        <v>790</v>
      </c>
      <c r="M1123" s="3"/>
    </row>
    <row r="1124" spans="1:13" ht="38.25" x14ac:dyDescent="0.25">
      <c r="A1124" s="13" t="s">
        <v>10451</v>
      </c>
      <c r="B1124" s="13" t="s">
        <v>10195</v>
      </c>
      <c r="C1124" s="20" t="s">
        <v>790</v>
      </c>
      <c r="D1124" s="19">
        <v>12875</v>
      </c>
      <c r="E1124" s="13" t="s">
        <v>10452</v>
      </c>
      <c r="F1124" s="14">
        <v>41172</v>
      </c>
      <c r="H1124" s="13" t="s">
        <v>651</v>
      </c>
      <c r="I1124" s="18">
        <v>19200</v>
      </c>
      <c r="J1124" s="18">
        <v>9600</v>
      </c>
      <c r="K1124" s="20" t="s">
        <v>790</v>
      </c>
      <c r="M1124" s="3"/>
    </row>
    <row r="1125" spans="1:13" ht="51" x14ac:dyDescent="0.25">
      <c r="A1125" s="13" t="s">
        <v>10453</v>
      </c>
      <c r="B1125" s="13" t="s">
        <v>10192</v>
      </c>
      <c r="C1125" s="20" t="s">
        <v>790</v>
      </c>
      <c r="D1125" s="19">
        <v>12876</v>
      </c>
      <c r="E1125" s="13" t="s">
        <v>10454</v>
      </c>
      <c r="F1125" s="14">
        <v>41578</v>
      </c>
      <c r="H1125" s="13" t="s">
        <v>651</v>
      </c>
      <c r="I1125" s="18">
        <v>25000</v>
      </c>
      <c r="J1125" s="18">
        <v>20000</v>
      </c>
      <c r="K1125" s="20" t="s">
        <v>790</v>
      </c>
      <c r="M1125" s="3"/>
    </row>
    <row r="1126" spans="1:13" ht="38.25" x14ac:dyDescent="0.25">
      <c r="A1126" s="13" t="s">
        <v>10455</v>
      </c>
      <c r="B1126" s="13" t="s">
        <v>10195</v>
      </c>
      <c r="C1126" s="20" t="s">
        <v>790</v>
      </c>
      <c r="D1126" s="19">
        <v>12877</v>
      </c>
      <c r="E1126" s="13" t="s">
        <v>10456</v>
      </c>
      <c r="F1126" s="14">
        <v>41578</v>
      </c>
      <c r="H1126" s="13" t="s">
        <v>651</v>
      </c>
      <c r="I1126" s="18">
        <v>120000</v>
      </c>
      <c r="J1126" s="18">
        <v>70000</v>
      </c>
      <c r="K1126" s="20" t="s">
        <v>790</v>
      </c>
      <c r="M1126" s="3"/>
    </row>
    <row r="1127" spans="1:13" ht="51" x14ac:dyDescent="0.25">
      <c r="A1127" s="13" t="s">
        <v>10457</v>
      </c>
      <c r="B1127" s="13" t="s">
        <v>10192</v>
      </c>
      <c r="C1127" s="20" t="s">
        <v>790</v>
      </c>
      <c r="D1127" s="19">
        <v>12878</v>
      </c>
      <c r="E1127" s="13" t="s">
        <v>10458</v>
      </c>
      <c r="F1127" s="14">
        <v>41361</v>
      </c>
      <c r="H1127" s="13" t="s">
        <v>651</v>
      </c>
      <c r="I1127" s="18">
        <v>13463.9</v>
      </c>
      <c r="J1127" s="18">
        <v>6731.95</v>
      </c>
      <c r="K1127" s="20" t="s">
        <v>790</v>
      </c>
      <c r="M1127" s="3"/>
    </row>
    <row r="1128" spans="1:13" ht="38.25" x14ac:dyDescent="0.25">
      <c r="A1128" s="13" t="s">
        <v>10459</v>
      </c>
      <c r="B1128" s="13" t="s">
        <v>10192</v>
      </c>
      <c r="C1128" s="20" t="s">
        <v>790</v>
      </c>
      <c r="D1128" s="19">
        <v>12879</v>
      </c>
      <c r="E1128" s="13" t="s">
        <v>10460</v>
      </c>
      <c r="F1128" s="14">
        <v>41410</v>
      </c>
      <c r="H1128" s="13" t="s">
        <v>651</v>
      </c>
      <c r="I1128" s="18">
        <v>5000</v>
      </c>
      <c r="J1128" s="18">
        <v>5000</v>
      </c>
      <c r="K1128" s="20" t="s">
        <v>790</v>
      </c>
      <c r="M1128" s="3"/>
    </row>
    <row r="1129" spans="1:13" ht="63.75" x14ac:dyDescent="0.25">
      <c r="A1129" s="13" t="s">
        <v>10461</v>
      </c>
      <c r="B1129" s="13" t="s">
        <v>10192</v>
      </c>
      <c r="C1129" s="20" t="s">
        <v>790</v>
      </c>
      <c r="D1129" s="19">
        <v>12880</v>
      </c>
      <c r="E1129" s="13" t="s">
        <v>10462</v>
      </c>
      <c r="F1129" s="14">
        <v>41578</v>
      </c>
      <c r="H1129" s="13" t="s">
        <v>651</v>
      </c>
      <c r="I1129" s="18">
        <v>15000</v>
      </c>
      <c r="J1129" s="18">
        <v>15000</v>
      </c>
      <c r="K1129" s="20" t="s">
        <v>790</v>
      </c>
      <c r="M1129" s="3"/>
    </row>
    <row r="1130" spans="1:13" ht="38.25" x14ac:dyDescent="0.25">
      <c r="A1130" s="13" t="s">
        <v>10463</v>
      </c>
      <c r="B1130" s="13" t="s">
        <v>10220</v>
      </c>
      <c r="C1130" s="20" t="s">
        <v>790</v>
      </c>
      <c r="D1130" s="19">
        <v>12881</v>
      </c>
      <c r="E1130" s="13" t="s">
        <v>10464</v>
      </c>
      <c r="F1130" s="14">
        <v>41361</v>
      </c>
      <c r="H1130" s="13" t="s">
        <v>651</v>
      </c>
      <c r="I1130" s="18">
        <v>20000</v>
      </c>
      <c r="J1130" s="18">
        <v>10000</v>
      </c>
      <c r="K1130" s="20" t="s">
        <v>790</v>
      </c>
      <c r="M1130" s="3"/>
    </row>
    <row r="1131" spans="1:13" ht="63.75" x14ac:dyDescent="0.25">
      <c r="A1131" s="13" t="s">
        <v>10465</v>
      </c>
      <c r="B1131" s="13" t="s">
        <v>10195</v>
      </c>
      <c r="C1131" s="20" t="s">
        <v>790</v>
      </c>
      <c r="D1131" s="19">
        <v>12882</v>
      </c>
      <c r="E1131" s="13" t="s">
        <v>10466</v>
      </c>
      <c r="F1131" s="14">
        <v>41410</v>
      </c>
      <c r="H1131" s="13" t="s">
        <v>651</v>
      </c>
      <c r="I1131" s="18">
        <v>21318.92</v>
      </c>
      <c r="J1131" s="18">
        <v>15659.46</v>
      </c>
      <c r="K1131" s="20" t="s">
        <v>790</v>
      </c>
      <c r="M1131" s="3"/>
    </row>
    <row r="1132" spans="1:13" ht="38.25" x14ac:dyDescent="0.25">
      <c r="A1132" s="13" t="s">
        <v>10467</v>
      </c>
      <c r="B1132" s="13" t="s">
        <v>10192</v>
      </c>
      <c r="C1132" s="20" t="s">
        <v>790</v>
      </c>
      <c r="D1132" s="19">
        <v>12883</v>
      </c>
      <c r="E1132" s="13" t="s">
        <v>10468</v>
      </c>
      <c r="F1132" s="14">
        <v>41361</v>
      </c>
      <c r="H1132" s="13" t="s">
        <v>651</v>
      </c>
      <c r="I1132" s="18">
        <v>17500</v>
      </c>
      <c r="J1132" s="18">
        <v>12500</v>
      </c>
      <c r="K1132" s="20" t="s">
        <v>790</v>
      </c>
      <c r="M1132" s="3"/>
    </row>
    <row r="1133" spans="1:13" ht="51" x14ac:dyDescent="0.25">
      <c r="A1133" s="13" t="s">
        <v>10469</v>
      </c>
      <c r="B1133" s="13" t="s">
        <v>10192</v>
      </c>
      <c r="C1133" s="20" t="s">
        <v>790</v>
      </c>
      <c r="D1133" s="19">
        <v>12884</v>
      </c>
      <c r="E1133" s="13" t="s">
        <v>10470</v>
      </c>
      <c r="F1133" s="14">
        <v>41361</v>
      </c>
      <c r="H1133" s="13" t="s">
        <v>651</v>
      </c>
      <c r="I1133" s="18">
        <v>26196.799999999999</v>
      </c>
      <c r="J1133" s="18">
        <v>15598.4</v>
      </c>
      <c r="K1133" s="20" t="s">
        <v>790</v>
      </c>
      <c r="M1133" s="3"/>
    </row>
    <row r="1134" spans="1:13" ht="25.5" x14ac:dyDescent="0.25">
      <c r="A1134" s="13" t="s">
        <v>10471</v>
      </c>
      <c r="B1134" s="13" t="s">
        <v>10192</v>
      </c>
      <c r="C1134" s="20" t="s">
        <v>790</v>
      </c>
      <c r="D1134" s="19">
        <v>12885</v>
      </c>
      <c r="E1134" s="13" t="s">
        <v>10472</v>
      </c>
      <c r="F1134" s="14">
        <v>41172</v>
      </c>
      <c r="H1134" s="13" t="s">
        <v>651</v>
      </c>
      <c r="I1134" s="18">
        <f>3344.24-1352.84</f>
        <v>1991.3999999999999</v>
      </c>
      <c r="J1134" s="18">
        <f>1672.12-676.41</f>
        <v>995.70999999999992</v>
      </c>
      <c r="K1134" s="20" t="s">
        <v>790</v>
      </c>
      <c r="M1134" s="3"/>
    </row>
    <row r="1135" spans="1:13" ht="51" x14ac:dyDescent="0.25">
      <c r="A1135" s="13" t="s">
        <v>10473</v>
      </c>
      <c r="B1135" s="13" t="s">
        <v>10192</v>
      </c>
      <c r="C1135" s="20" t="s">
        <v>790</v>
      </c>
      <c r="D1135" s="19">
        <v>12886</v>
      </c>
      <c r="E1135" s="13" t="s">
        <v>10474</v>
      </c>
      <c r="F1135" s="14">
        <v>41599</v>
      </c>
      <c r="H1135" s="13" t="s">
        <v>651</v>
      </c>
      <c r="I1135" s="18">
        <v>39100</v>
      </c>
      <c r="J1135" s="18">
        <v>27014.73</v>
      </c>
      <c r="K1135" s="20" t="s">
        <v>790</v>
      </c>
      <c r="M1135" s="3"/>
    </row>
    <row r="1136" spans="1:13" ht="38.25" x14ac:dyDescent="0.25">
      <c r="A1136" s="13" t="s">
        <v>10475</v>
      </c>
      <c r="B1136" s="13" t="s">
        <v>10192</v>
      </c>
      <c r="C1136" s="20" t="s">
        <v>790</v>
      </c>
      <c r="D1136" s="19">
        <v>12887</v>
      </c>
      <c r="E1136" s="13" t="s">
        <v>10476</v>
      </c>
      <c r="F1136" s="14">
        <v>41578</v>
      </c>
      <c r="H1136" s="13" t="s">
        <v>651</v>
      </c>
      <c r="I1136" s="18">
        <v>50000</v>
      </c>
      <c r="J1136" s="18">
        <v>25000</v>
      </c>
      <c r="K1136" s="20" t="s">
        <v>790</v>
      </c>
      <c r="M1136" s="3"/>
    </row>
    <row r="1137" spans="1:13" ht="38.25" x14ac:dyDescent="0.25">
      <c r="A1137" s="13" t="s">
        <v>10477</v>
      </c>
      <c r="B1137" s="13" t="s">
        <v>10192</v>
      </c>
      <c r="C1137" s="20" t="s">
        <v>790</v>
      </c>
      <c r="D1137" s="19">
        <v>12888</v>
      </c>
      <c r="E1137" s="13" t="s">
        <v>10478</v>
      </c>
      <c r="F1137" s="14">
        <v>41578</v>
      </c>
      <c r="H1137" s="13" t="s">
        <v>651</v>
      </c>
      <c r="I1137" s="18">
        <v>26496</v>
      </c>
      <c r="J1137" s="18">
        <v>20748</v>
      </c>
      <c r="K1137" s="20" t="s">
        <v>790</v>
      </c>
      <c r="M1137" s="3"/>
    </row>
    <row r="1138" spans="1:13" ht="38.25" x14ac:dyDescent="0.25">
      <c r="A1138" s="13" t="s">
        <v>10479</v>
      </c>
      <c r="B1138" s="13" t="s">
        <v>10192</v>
      </c>
      <c r="C1138" s="20" t="s">
        <v>790</v>
      </c>
      <c r="D1138" s="19">
        <v>12889</v>
      </c>
      <c r="E1138" s="13" t="s">
        <v>10480</v>
      </c>
      <c r="F1138" s="14">
        <v>41410</v>
      </c>
      <c r="H1138" s="13" t="s">
        <v>651</v>
      </c>
      <c r="I1138" s="18">
        <v>20000</v>
      </c>
      <c r="J1138" s="18">
        <v>13750</v>
      </c>
      <c r="K1138" s="20" t="s">
        <v>790</v>
      </c>
      <c r="M1138" s="3"/>
    </row>
    <row r="1139" spans="1:13" ht="25.5" x14ac:dyDescent="0.25">
      <c r="A1139" s="13" t="s">
        <v>10481</v>
      </c>
      <c r="B1139" s="13" t="s">
        <v>10192</v>
      </c>
      <c r="C1139" s="20" t="s">
        <v>790</v>
      </c>
      <c r="D1139" s="19">
        <v>12890</v>
      </c>
      <c r="E1139" s="13" t="s">
        <v>10482</v>
      </c>
      <c r="F1139" s="14">
        <v>41317</v>
      </c>
      <c r="H1139" s="13" t="s">
        <v>651</v>
      </c>
      <c r="I1139" s="18">
        <v>30000</v>
      </c>
      <c r="J1139" s="18">
        <v>20000</v>
      </c>
      <c r="K1139" s="20" t="s">
        <v>790</v>
      </c>
      <c r="M1139" s="3"/>
    </row>
    <row r="1140" spans="1:13" ht="38.25" x14ac:dyDescent="0.25">
      <c r="A1140" s="13" t="s">
        <v>10485</v>
      </c>
      <c r="B1140" s="13" t="s">
        <v>10192</v>
      </c>
      <c r="C1140" s="20" t="s">
        <v>790</v>
      </c>
      <c r="D1140" s="19">
        <v>12892</v>
      </c>
      <c r="E1140" s="13" t="s">
        <v>10486</v>
      </c>
      <c r="F1140" s="14">
        <v>41578</v>
      </c>
      <c r="H1140" s="13" t="s">
        <v>651</v>
      </c>
      <c r="I1140" s="18">
        <v>15000</v>
      </c>
      <c r="J1140" s="18">
        <v>15000</v>
      </c>
      <c r="K1140" s="20" t="s">
        <v>790</v>
      </c>
      <c r="M1140" s="3"/>
    </row>
    <row r="1141" spans="1:13" ht="38.25" x14ac:dyDescent="0.25">
      <c r="A1141" s="13" t="s">
        <v>10467</v>
      </c>
      <c r="B1141" s="13" t="s">
        <v>10220</v>
      </c>
      <c r="C1141" s="20" t="s">
        <v>790</v>
      </c>
      <c r="D1141" s="19">
        <v>12893</v>
      </c>
      <c r="E1141" s="13" t="s">
        <v>11145</v>
      </c>
      <c r="F1141" s="14">
        <v>41361</v>
      </c>
      <c r="H1141" s="13" t="s">
        <v>651</v>
      </c>
      <c r="I1141" s="18">
        <v>6000</v>
      </c>
      <c r="J1141" s="18">
        <v>3000</v>
      </c>
      <c r="K1141" s="20" t="s">
        <v>790</v>
      </c>
      <c r="M1141" s="3"/>
    </row>
    <row r="1142" spans="1:13" ht="25.5" x14ac:dyDescent="0.25">
      <c r="A1142" s="13" t="s">
        <v>10487</v>
      </c>
      <c r="B1142" s="13" t="s">
        <v>38</v>
      </c>
      <c r="C1142" s="20" t="s">
        <v>790</v>
      </c>
      <c r="D1142" s="19">
        <v>12894</v>
      </c>
      <c r="E1142" s="13" t="s">
        <v>10488</v>
      </c>
      <c r="F1142" s="14">
        <v>41030</v>
      </c>
      <c r="H1142" s="13" t="s">
        <v>651</v>
      </c>
      <c r="I1142" s="18">
        <v>2724.6</v>
      </c>
      <c r="J1142" s="18">
        <v>2724.6</v>
      </c>
      <c r="K1142" s="20" t="s">
        <v>790</v>
      </c>
      <c r="M1142" s="3"/>
    </row>
    <row r="1143" spans="1:13" ht="25.5" x14ac:dyDescent="0.25">
      <c r="A1143" s="13" t="s">
        <v>10489</v>
      </c>
      <c r="B1143" s="13" t="s">
        <v>38</v>
      </c>
      <c r="C1143" s="20" t="s">
        <v>790</v>
      </c>
      <c r="D1143" s="19">
        <v>12895</v>
      </c>
      <c r="E1143" s="13" t="s">
        <v>10490</v>
      </c>
      <c r="F1143" s="14">
        <v>41395</v>
      </c>
      <c r="H1143" s="13" t="s">
        <v>651</v>
      </c>
      <c r="I1143" s="18">
        <v>5713.09</v>
      </c>
      <c r="J1143" s="18">
        <v>5713.09</v>
      </c>
      <c r="K1143" s="20" t="s">
        <v>790</v>
      </c>
      <c r="M1143" s="3"/>
    </row>
    <row r="1144" spans="1:13" s="4" customFormat="1" ht="114.75" x14ac:dyDescent="0.25">
      <c r="A1144" s="4" t="s">
        <v>2025</v>
      </c>
      <c r="B1144" s="4" t="s">
        <v>13</v>
      </c>
      <c r="C1144" s="37" t="s">
        <v>790</v>
      </c>
      <c r="D1144" s="35">
        <v>9998</v>
      </c>
      <c r="E1144" s="7" t="s">
        <v>2026</v>
      </c>
      <c r="F1144" s="5">
        <v>40353</v>
      </c>
      <c r="G1144" s="5">
        <v>40898</v>
      </c>
      <c r="H1144" s="4" t="s">
        <v>2027</v>
      </c>
      <c r="I1144" s="6">
        <v>166222.76999999999</v>
      </c>
      <c r="J1144" s="6">
        <v>37724.67</v>
      </c>
      <c r="K1144" s="37" t="s">
        <v>790</v>
      </c>
      <c r="L1144" s="119"/>
      <c r="M1144" s="3"/>
    </row>
    <row r="1145" spans="1:13" s="4" customFormat="1" x14ac:dyDescent="0.25">
      <c r="C1145" s="37" t="s">
        <v>790</v>
      </c>
      <c r="D1145" s="35"/>
      <c r="E1145" s="26" t="s">
        <v>351</v>
      </c>
      <c r="F1145" s="28"/>
      <c r="G1145" s="28"/>
      <c r="H1145" s="26"/>
      <c r="I1145" s="27">
        <f>SUM(I407:I487)</f>
        <v>9037097.8999999966</v>
      </c>
      <c r="J1145" s="27">
        <f>SUM(J407:J487)</f>
        <v>2278267.13</v>
      </c>
      <c r="K1145" s="37" t="s">
        <v>790</v>
      </c>
      <c r="L1145" s="119"/>
      <c r="M1145" s="3"/>
    </row>
    <row r="1146" spans="1:13" s="4" customFormat="1" x14ac:dyDescent="0.25">
      <c r="C1146" s="37" t="s">
        <v>790</v>
      </c>
      <c r="D1146" s="35"/>
      <c r="E1146" s="26" t="s">
        <v>786</v>
      </c>
      <c r="F1146" s="28"/>
      <c r="G1146" s="28"/>
      <c r="H1146" s="26"/>
      <c r="I1146" s="25">
        <f>SUM(I488:I511)</f>
        <v>9067994.9400000013</v>
      </c>
      <c r="J1146" s="25">
        <f>SUM(J488:J511)</f>
        <v>2832303.37</v>
      </c>
      <c r="K1146" s="37" t="s">
        <v>790</v>
      </c>
      <c r="L1146" s="119"/>
      <c r="M1146" s="3"/>
    </row>
    <row r="1147" spans="1:13" s="4" customFormat="1" x14ac:dyDescent="0.25">
      <c r="C1147" s="37" t="s">
        <v>790</v>
      </c>
      <c r="D1147" s="35"/>
      <c r="E1147" s="26" t="s">
        <v>352</v>
      </c>
      <c r="F1147" s="28"/>
      <c r="G1147" s="28"/>
      <c r="H1147" s="26"/>
      <c r="I1147" s="27">
        <f>SUM(I512:I1143)</f>
        <v>13291328.069999991</v>
      </c>
      <c r="J1147" s="27">
        <f>SUM(J512:J1143)</f>
        <v>10696732.879999992</v>
      </c>
      <c r="K1147" s="37" t="s">
        <v>790</v>
      </c>
      <c r="L1147" s="119"/>
      <c r="M1147" s="3"/>
    </row>
    <row r="1148" spans="1:13" s="4" customFormat="1" x14ac:dyDescent="0.25">
      <c r="C1148" s="37" t="s">
        <v>790</v>
      </c>
      <c r="D1148" s="35"/>
      <c r="E1148" s="26" t="s">
        <v>2028</v>
      </c>
      <c r="F1148" s="28"/>
      <c r="G1148" s="28"/>
      <c r="H1148" s="26"/>
      <c r="I1148" s="27">
        <f>SUM(I1144)</f>
        <v>166222.76999999999</v>
      </c>
      <c r="J1148" s="27">
        <f>SUM(J1144)</f>
        <v>37724.67</v>
      </c>
      <c r="K1148" s="37" t="s">
        <v>790</v>
      </c>
      <c r="L1148" s="119"/>
      <c r="M1148" s="3"/>
    </row>
    <row r="1149" spans="1:13" s="4" customFormat="1" x14ac:dyDescent="0.25">
      <c r="C1149" s="37" t="s">
        <v>790</v>
      </c>
      <c r="D1149" s="35"/>
      <c r="E1149" s="26" t="s">
        <v>2029</v>
      </c>
      <c r="F1149" s="28"/>
      <c r="G1149" s="28"/>
      <c r="H1149" s="26"/>
      <c r="I1149" s="27">
        <f>SUM(I1145:I1148)</f>
        <v>31562643.679999989</v>
      </c>
      <c r="J1149" s="27">
        <f>SUM(J1145:J1148)</f>
        <v>15845028.049999991</v>
      </c>
      <c r="K1149" s="37" t="s">
        <v>790</v>
      </c>
      <c r="L1149" s="119">
        <f>J1149</f>
        <v>15845028.049999991</v>
      </c>
      <c r="M1149" s="3">
        <f>SUM(J1149*0.4)</f>
        <v>6338011.2199999969</v>
      </c>
    </row>
    <row r="1150" spans="1:13" s="4" customFormat="1" x14ac:dyDescent="0.25">
      <c r="C1150" s="37"/>
      <c r="D1150" s="35"/>
      <c r="E1150" s="7"/>
      <c r="F1150" s="5"/>
      <c r="G1150" s="5"/>
      <c r="I1150" s="6"/>
      <c r="J1150" s="6"/>
      <c r="K1150" s="37"/>
      <c r="L1150" s="119"/>
      <c r="M1150" s="3"/>
    </row>
    <row r="1151" spans="1:13" s="32" customFormat="1" ht="63.75" x14ac:dyDescent="0.25">
      <c r="A1151" s="13" t="s">
        <v>4316</v>
      </c>
      <c r="B1151" s="32" t="s">
        <v>13</v>
      </c>
      <c r="C1151" s="38" t="s">
        <v>2033</v>
      </c>
      <c r="D1151" s="33">
        <v>4410</v>
      </c>
      <c r="E1151" s="13" t="s">
        <v>11617</v>
      </c>
      <c r="F1151" s="34">
        <v>39553</v>
      </c>
      <c r="G1151" s="34">
        <v>41274</v>
      </c>
      <c r="H1151" s="32" t="s">
        <v>11618</v>
      </c>
      <c r="I1151" s="94">
        <v>1203692.6299999999</v>
      </c>
      <c r="J1151" s="94">
        <v>1203692.6299999999</v>
      </c>
      <c r="K1151" s="38" t="s">
        <v>2033</v>
      </c>
      <c r="L1151" s="122"/>
      <c r="M1151" s="3"/>
    </row>
    <row r="1152" spans="1:13" s="32" customFormat="1" ht="51" x14ac:dyDescent="0.25">
      <c r="A1152" s="13" t="s">
        <v>2030</v>
      </c>
      <c r="B1152" s="32" t="s">
        <v>13</v>
      </c>
      <c r="C1152" s="38" t="s">
        <v>2033</v>
      </c>
      <c r="D1152" s="33">
        <v>6186</v>
      </c>
      <c r="E1152" s="13" t="s">
        <v>2031</v>
      </c>
      <c r="F1152" s="34">
        <v>39643</v>
      </c>
      <c r="G1152" s="34">
        <v>41104</v>
      </c>
      <c r="H1152" s="32" t="s">
        <v>11618</v>
      </c>
      <c r="I1152" s="94">
        <v>1009069.9</v>
      </c>
      <c r="J1152" s="94">
        <v>1009069.9</v>
      </c>
      <c r="K1152" s="38" t="s">
        <v>2033</v>
      </c>
      <c r="L1152" s="122"/>
      <c r="M1152" s="3"/>
    </row>
    <row r="1153" spans="1:13" s="32" customFormat="1" x14ac:dyDescent="0.25">
      <c r="A1153" s="13" t="s">
        <v>11404</v>
      </c>
      <c r="B1153" s="32" t="s">
        <v>13</v>
      </c>
      <c r="C1153" s="38" t="s">
        <v>2033</v>
      </c>
      <c r="D1153" s="33">
        <v>10984</v>
      </c>
      <c r="E1153" s="13" t="s">
        <v>11404</v>
      </c>
      <c r="F1153" s="34">
        <v>40544</v>
      </c>
      <c r="G1153" s="34">
        <v>41274</v>
      </c>
      <c r="H1153" s="32" t="s">
        <v>11618</v>
      </c>
      <c r="I1153" s="94">
        <v>291845.84999999998</v>
      </c>
      <c r="J1153" s="94">
        <v>291845.84999999998</v>
      </c>
      <c r="K1153" s="38" t="s">
        <v>2033</v>
      </c>
      <c r="L1153" s="122"/>
      <c r="M1153" s="3"/>
    </row>
    <row r="1154" spans="1:13" s="4" customFormat="1" x14ac:dyDescent="0.25">
      <c r="A1154" s="4" t="s">
        <v>2034</v>
      </c>
      <c r="B1154" s="4" t="s">
        <v>13</v>
      </c>
      <c r="C1154" s="37" t="s">
        <v>2033</v>
      </c>
      <c r="D1154" s="35">
        <v>3907</v>
      </c>
      <c r="E1154" s="4" t="s">
        <v>2035</v>
      </c>
      <c r="F1154" s="5">
        <v>39770</v>
      </c>
      <c r="G1154" s="5">
        <v>40170</v>
      </c>
      <c r="H1154" s="4" t="s">
        <v>16</v>
      </c>
      <c r="I1154" s="6">
        <v>228870</v>
      </c>
      <c r="J1154" s="6">
        <v>44493</v>
      </c>
      <c r="K1154" s="37" t="s">
        <v>2033</v>
      </c>
      <c r="L1154" s="119"/>
      <c r="M1154" s="3"/>
    </row>
    <row r="1155" spans="1:13" s="4" customFormat="1" ht="38.25" x14ac:dyDescent="0.25">
      <c r="A1155" s="4" t="s">
        <v>839</v>
      </c>
      <c r="B1155" s="4" t="s">
        <v>13</v>
      </c>
      <c r="C1155" s="37" t="s">
        <v>2033</v>
      </c>
      <c r="D1155" s="35">
        <v>4163</v>
      </c>
      <c r="E1155" s="4" t="s">
        <v>2036</v>
      </c>
      <c r="F1155" s="5">
        <v>39545</v>
      </c>
      <c r="G1155" s="5">
        <v>39903</v>
      </c>
      <c r="H1155" s="4" t="s">
        <v>16</v>
      </c>
      <c r="I1155" s="6">
        <v>18800</v>
      </c>
      <c r="J1155" s="6">
        <v>5640</v>
      </c>
      <c r="K1155" s="37" t="s">
        <v>2033</v>
      </c>
      <c r="L1155" s="119"/>
      <c r="M1155" s="3"/>
    </row>
    <row r="1156" spans="1:13" s="4" customFormat="1" ht="114.75" x14ac:dyDescent="0.25">
      <c r="A1156" s="4" t="s">
        <v>2037</v>
      </c>
      <c r="B1156" s="4" t="s">
        <v>13</v>
      </c>
      <c r="C1156" s="37" t="s">
        <v>2033</v>
      </c>
      <c r="D1156" s="35">
        <v>4401</v>
      </c>
      <c r="E1156" s="7" t="s">
        <v>2038</v>
      </c>
      <c r="F1156" s="5">
        <v>39356</v>
      </c>
      <c r="G1156" s="5">
        <v>40298</v>
      </c>
      <c r="H1156" s="4" t="s">
        <v>2039</v>
      </c>
      <c r="I1156" s="6">
        <f>298915.62+29792.91</f>
        <v>328708.52999999997</v>
      </c>
      <c r="J1156" s="6">
        <f>328708.53</f>
        <v>328708.53000000003</v>
      </c>
      <c r="K1156" s="37" t="s">
        <v>2033</v>
      </c>
      <c r="L1156" s="119"/>
      <c r="M1156" s="3"/>
    </row>
    <row r="1157" spans="1:13" s="4" customFormat="1" ht="127.5" x14ac:dyDescent="0.25">
      <c r="A1157" s="4" t="s">
        <v>2040</v>
      </c>
      <c r="B1157" s="4" t="s">
        <v>13</v>
      </c>
      <c r="C1157" s="37" t="s">
        <v>2033</v>
      </c>
      <c r="D1157" s="35">
        <v>4727</v>
      </c>
      <c r="E1157" s="7" t="s">
        <v>2041</v>
      </c>
      <c r="F1157" s="5">
        <v>39417</v>
      </c>
      <c r="G1157" s="5">
        <v>39903</v>
      </c>
      <c r="H1157" s="4" t="s">
        <v>2039</v>
      </c>
      <c r="I1157" s="6">
        <v>63642.69</v>
      </c>
      <c r="J1157" s="6">
        <v>63642.69</v>
      </c>
      <c r="K1157" s="37" t="s">
        <v>2033</v>
      </c>
      <c r="L1157" s="119"/>
      <c r="M1157" s="3"/>
    </row>
    <row r="1158" spans="1:13" s="4" customFormat="1" ht="114.75" x14ac:dyDescent="0.25">
      <c r="A1158" s="4" t="s">
        <v>2042</v>
      </c>
      <c r="B1158" s="4" t="s">
        <v>13</v>
      </c>
      <c r="C1158" s="37" t="s">
        <v>2033</v>
      </c>
      <c r="D1158" s="35">
        <v>4730</v>
      </c>
      <c r="E1158" s="7" t="s">
        <v>2043</v>
      </c>
      <c r="F1158" s="5">
        <v>39332</v>
      </c>
      <c r="G1158" s="5">
        <v>39887</v>
      </c>
      <c r="H1158" s="4" t="s">
        <v>2039</v>
      </c>
      <c r="I1158" s="6">
        <v>74657.41</v>
      </c>
      <c r="J1158" s="6">
        <v>74657.41</v>
      </c>
      <c r="K1158" s="37" t="s">
        <v>2033</v>
      </c>
      <c r="L1158" s="119"/>
      <c r="M1158" s="3"/>
    </row>
    <row r="1159" spans="1:13" s="4" customFormat="1" ht="140.25" x14ac:dyDescent="0.25">
      <c r="A1159" s="4" t="s">
        <v>2044</v>
      </c>
      <c r="B1159" s="4" t="s">
        <v>13</v>
      </c>
      <c r="C1159" s="37" t="s">
        <v>2033</v>
      </c>
      <c r="D1159" s="35">
        <v>4732</v>
      </c>
      <c r="E1159" s="7" t="s">
        <v>2045</v>
      </c>
      <c r="F1159" s="5">
        <v>40179</v>
      </c>
      <c r="G1159" s="5">
        <v>41090</v>
      </c>
      <c r="H1159" s="4" t="s">
        <v>2039</v>
      </c>
      <c r="I1159" s="6">
        <f>92880.18+72581.22+12995.58+14506.25</f>
        <v>192963.22999999998</v>
      </c>
      <c r="J1159" s="6">
        <f>178456.98+14506.25</f>
        <v>192963.23</v>
      </c>
      <c r="K1159" s="37" t="s">
        <v>2033</v>
      </c>
      <c r="L1159" s="119"/>
      <c r="M1159" s="3"/>
    </row>
    <row r="1160" spans="1:13" s="4" customFormat="1" ht="89.25" x14ac:dyDescent="0.25">
      <c r="A1160" s="4" t="s">
        <v>2046</v>
      </c>
      <c r="B1160" s="4" t="s">
        <v>13</v>
      </c>
      <c r="C1160" s="37" t="s">
        <v>2033</v>
      </c>
      <c r="D1160" s="35">
        <v>4734</v>
      </c>
      <c r="E1160" s="7" t="s">
        <v>2047</v>
      </c>
      <c r="F1160" s="5">
        <v>39873</v>
      </c>
      <c r="G1160" s="5">
        <v>40245</v>
      </c>
      <c r="H1160" s="4" t="s">
        <v>2039</v>
      </c>
      <c r="I1160" s="6">
        <v>80356.88</v>
      </c>
      <c r="J1160" s="6">
        <v>80356.88</v>
      </c>
      <c r="K1160" s="37" t="s">
        <v>2033</v>
      </c>
      <c r="L1160" s="119"/>
      <c r="M1160" s="3"/>
    </row>
    <row r="1161" spans="1:13" s="4" customFormat="1" ht="51" x14ac:dyDescent="0.25">
      <c r="A1161" s="4" t="s">
        <v>2048</v>
      </c>
      <c r="B1161" s="4" t="s">
        <v>13</v>
      </c>
      <c r="C1161" s="37" t="s">
        <v>2033</v>
      </c>
      <c r="D1161" s="35">
        <v>4736</v>
      </c>
      <c r="E1161" s="4" t="s">
        <v>2049</v>
      </c>
      <c r="F1161" s="5">
        <v>39873</v>
      </c>
      <c r="G1161" s="5">
        <v>40451</v>
      </c>
      <c r="H1161" s="4" t="s">
        <v>2039</v>
      </c>
      <c r="I1161" s="6">
        <v>79934.37</v>
      </c>
      <c r="J1161" s="6">
        <v>79934.37</v>
      </c>
      <c r="K1161" s="37" t="s">
        <v>2033</v>
      </c>
      <c r="L1161" s="119"/>
      <c r="M1161" s="3"/>
    </row>
    <row r="1162" spans="1:13" s="4" customFormat="1" ht="153" x14ac:dyDescent="0.25">
      <c r="A1162" s="4" t="s">
        <v>2050</v>
      </c>
      <c r="B1162" s="4" t="s">
        <v>13</v>
      </c>
      <c r="C1162" s="37" t="s">
        <v>2033</v>
      </c>
      <c r="D1162" s="35">
        <v>4737</v>
      </c>
      <c r="E1162" s="7" t="s">
        <v>2051</v>
      </c>
      <c r="F1162" s="5">
        <v>39904</v>
      </c>
      <c r="G1162" s="5">
        <v>40817</v>
      </c>
      <c r="H1162" s="4" t="s">
        <v>2039</v>
      </c>
      <c r="I1162" s="6">
        <v>355589.24</v>
      </c>
      <c r="J1162" s="6">
        <v>355589.24</v>
      </c>
      <c r="K1162" s="37" t="s">
        <v>2033</v>
      </c>
      <c r="L1162" s="119"/>
      <c r="M1162" s="3"/>
    </row>
    <row r="1163" spans="1:13" s="4" customFormat="1" ht="127.5" x14ac:dyDescent="0.25">
      <c r="A1163" s="4" t="s">
        <v>2052</v>
      </c>
      <c r="B1163" s="4" t="s">
        <v>13</v>
      </c>
      <c r="C1163" s="37" t="s">
        <v>2033</v>
      </c>
      <c r="D1163" s="35">
        <v>4739</v>
      </c>
      <c r="E1163" s="7" t="s">
        <v>2053</v>
      </c>
      <c r="F1163" s="5">
        <v>40057</v>
      </c>
      <c r="G1163" s="5">
        <v>40421</v>
      </c>
      <c r="H1163" s="4" t="s">
        <v>2039</v>
      </c>
      <c r="I1163" s="6">
        <v>84495.02</v>
      </c>
      <c r="J1163" s="6">
        <v>84495.02</v>
      </c>
      <c r="K1163" s="37" t="s">
        <v>2033</v>
      </c>
      <c r="L1163" s="119"/>
      <c r="M1163" s="3"/>
    </row>
    <row r="1164" spans="1:13" s="4" customFormat="1" ht="127.5" x14ac:dyDescent="0.25">
      <c r="A1164" s="4" t="s">
        <v>2054</v>
      </c>
      <c r="B1164" s="4" t="s">
        <v>13</v>
      </c>
      <c r="C1164" s="37" t="s">
        <v>2033</v>
      </c>
      <c r="D1164" s="35">
        <v>4741</v>
      </c>
      <c r="E1164" s="7" t="s">
        <v>2055</v>
      </c>
      <c r="F1164" s="5">
        <v>40087</v>
      </c>
      <c r="G1164" s="5">
        <v>40451</v>
      </c>
      <c r="H1164" s="4" t="s">
        <v>2039</v>
      </c>
      <c r="I1164" s="6">
        <v>87034.96</v>
      </c>
      <c r="J1164" s="6">
        <v>87034.96</v>
      </c>
      <c r="K1164" s="37" t="s">
        <v>2033</v>
      </c>
      <c r="L1164" s="119"/>
      <c r="M1164" s="3"/>
    </row>
    <row r="1165" spans="1:13" s="4" customFormat="1" ht="153" x14ac:dyDescent="0.25">
      <c r="A1165" s="4" t="s">
        <v>2056</v>
      </c>
      <c r="B1165" s="4" t="s">
        <v>13</v>
      </c>
      <c r="C1165" s="37" t="s">
        <v>2033</v>
      </c>
      <c r="D1165" s="35">
        <v>4742</v>
      </c>
      <c r="E1165" s="7" t="s">
        <v>2057</v>
      </c>
      <c r="F1165" s="5">
        <v>39387</v>
      </c>
      <c r="G1165" s="5">
        <v>39752</v>
      </c>
      <c r="H1165" s="4" t="s">
        <v>2039</v>
      </c>
      <c r="I1165" s="6">
        <v>70261.350000000006</v>
      </c>
      <c r="J1165" s="6">
        <v>70261.350000000006</v>
      </c>
      <c r="K1165" s="37" t="s">
        <v>2033</v>
      </c>
      <c r="L1165" s="119"/>
      <c r="M1165" s="3"/>
    </row>
    <row r="1166" spans="1:13" s="4" customFormat="1" ht="140.25" x14ac:dyDescent="0.25">
      <c r="A1166" s="4" t="s">
        <v>2058</v>
      </c>
      <c r="B1166" s="4" t="s">
        <v>13</v>
      </c>
      <c r="C1166" s="37" t="s">
        <v>2033</v>
      </c>
      <c r="D1166" s="35">
        <v>4743</v>
      </c>
      <c r="E1166" s="7" t="s">
        <v>2059</v>
      </c>
      <c r="F1166" s="5">
        <v>40119</v>
      </c>
      <c r="G1166" s="5">
        <v>40786</v>
      </c>
      <c r="H1166" s="4" t="s">
        <v>2039</v>
      </c>
      <c r="I1166" s="6">
        <v>89185.81</v>
      </c>
      <c r="J1166" s="6">
        <v>89185.81</v>
      </c>
      <c r="K1166" s="37" t="s">
        <v>2033</v>
      </c>
      <c r="L1166" s="119"/>
      <c r="M1166" s="3"/>
    </row>
    <row r="1167" spans="1:13" s="4" customFormat="1" ht="25.5" x14ac:dyDescent="0.25">
      <c r="A1167" s="4" t="s">
        <v>2060</v>
      </c>
      <c r="B1167" s="4" t="s">
        <v>13</v>
      </c>
      <c r="C1167" s="37" t="s">
        <v>2033</v>
      </c>
      <c r="D1167" s="35">
        <v>4745</v>
      </c>
      <c r="E1167" s="4" t="s">
        <v>2060</v>
      </c>
      <c r="F1167" s="5">
        <v>39448</v>
      </c>
      <c r="G1167" s="5">
        <v>39994</v>
      </c>
      <c r="H1167" s="4" t="s">
        <v>2039</v>
      </c>
      <c r="I1167" s="6">
        <v>33161.93</v>
      </c>
      <c r="J1167" s="6">
        <v>33161.93</v>
      </c>
      <c r="K1167" s="37" t="s">
        <v>2033</v>
      </c>
      <c r="L1167" s="119"/>
      <c r="M1167" s="3"/>
    </row>
    <row r="1168" spans="1:13" s="4" customFormat="1" ht="127.5" x14ac:dyDescent="0.25">
      <c r="A1168" s="4" t="s">
        <v>2061</v>
      </c>
      <c r="B1168" s="4" t="s">
        <v>13</v>
      </c>
      <c r="C1168" s="37" t="s">
        <v>2033</v>
      </c>
      <c r="D1168" s="35">
        <v>4764</v>
      </c>
      <c r="E1168" s="7" t="s">
        <v>2062</v>
      </c>
      <c r="F1168" s="5">
        <v>39508</v>
      </c>
      <c r="G1168" s="5">
        <v>40602</v>
      </c>
      <c r="H1168" s="4" t="s">
        <v>2039</v>
      </c>
      <c r="I1168" s="6">
        <v>106597.83</v>
      </c>
      <c r="J1168" s="6">
        <v>106597.83</v>
      </c>
      <c r="K1168" s="37" t="s">
        <v>2033</v>
      </c>
      <c r="L1168" s="119"/>
      <c r="M1168" s="3"/>
    </row>
    <row r="1169" spans="1:60" s="4" customFormat="1" ht="178.5" x14ac:dyDescent="0.25">
      <c r="A1169" s="4" t="s">
        <v>2063</v>
      </c>
      <c r="B1169" s="4" t="s">
        <v>13</v>
      </c>
      <c r="C1169" s="37" t="s">
        <v>2033</v>
      </c>
      <c r="D1169" s="35">
        <v>4765</v>
      </c>
      <c r="E1169" s="7" t="s">
        <v>2064</v>
      </c>
      <c r="F1169" s="5">
        <v>39569</v>
      </c>
      <c r="G1169" s="5">
        <v>39933</v>
      </c>
      <c r="H1169" s="4" t="s">
        <v>2039</v>
      </c>
      <c r="I1169" s="6">
        <v>51086.48</v>
      </c>
      <c r="J1169" s="6">
        <v>51086.48</v>
      </c>
      <c r="K1169" s="37" t="s">
        <v>2033</v>
      </c>
      <c r="L1169" s="119"/>
      <c r="M1169" s="3"/>
    </row>
    <row r="1170" spans="1:60" s="4" customFormat="1" ht="153" x14ac:dyDescent="0.25">
      <c r="A1170" s="4" t="s">
        <v>2065</v>
      </c>
      <c r="B1170" s="4" t="s">
        <v>13</v>
      </c>
      <c r="C1170" s="37" t="s">
        <v>2033</v>
      </c>
      <c r="D1170" s="35">
        <v>4766</v>
      </c>
      <c r="E1170" s="7" t="s">
        <v>2066</v>
      </c>
      <c r="F1170" s="5">
        <v>39753</v>
      </c>
      <c r="G1170" s="5">
        <v>40117</v>
      </c>
      <c r="H1170" s="4" t="s">
        <v>2039</v>
      </c>
      <c r="I1170" s="6">
        <v>78334.350000000006</v>
      </c>
      <c r="J1170" s="6">
        <v>78334.350000000006</v>
      </c>
      <c r="K1170" s="37" t="s">
        <v>2033</v>
      </c>
      <c r="L1170" s="119"/>
      <c r="M1170" s="3"/>
    </row>
    <row r="1171" spans="1:60" s="4" customFormat="1" ht="51" x14ac:dyDescent="0.25">
      <c r="A1171" s="4" t="s">
        <v>2067</v>
      </c>
      <c r="B1171" s="4" t="s">
        <v>13</v>
      </c>
      <c r="C1171" s="37" t="s">
        <v>2033</v>
      </c>
      <c r="D1171" s="35">
        <v>4772</v>
      </c>
      <c r="E1171" s="4" t="s">
        <v>2068</v>
      </c>
      <c r="F1171" s="5">
        <v>39948</v>
      </c>
      <c r="G1171" s="5">
        <v>40132</v>
      </c>
      <c r="H1171" s="4" t="s">
        <v>2039</v>
      </c>
      <c r="I1171" s="6">
        <v>46931.6</v>
      </c>
      <c r="J1171" s="6">
        <v>46931.6</v>
      </c>
      <c r="K1171" s="37" t="s">
        <v>2033</v>
      </c>
      <c r="L1171" s="119"/>
      <c r="M1171" s="3"/>
    </row>
    <row r="1172" spans="1:60" s="4" customFormat="1" ht="127.5" x14ac:dyDescent="0.25">
      <c r="A1172" s="4" t="s">
        <v>2069</v>
      </c>
      <c r="B1172" s="4" t="s">
        <v>13</v>
      </c>
      <c r="C1172" s="37" t="s">
        <v>2033</v>
      </c>
      <c r="D1172" s="35">
        <v>4775</v>
      </c>
      <c r="E1172" s="7" t="s">
        <v>2070</v>
      </c>
      <c r="F1172" s="5">
        <v>39510</v>
      </c>
      <c r="G1172" s="5">
        <v>39996</v>
      </c>
      <c r="H1172" s="4" t="s">
        <v>2039</v>
      </c>
      <c r="I1172" s="6">
        <v>71756.240000000005</v>
      </c>
      <c r="J1172" s="6">
        <v>71756.240000000005</v>
      </c>
      <c r="K1172" s="37" t="s">
        <v>2033</v>
      </c>
      <c r="L1172" s="119"/>
      <c r="M1172" s="3"/>
    </row>
    <row r="1173" spans="1:60" s="4" customFormat="1" ht="140.25" x14ac:dyDescent="0.25">
      <c r="A1173" s="4" t="s">
        <v>2071</v>
      </c>
      <c r="B1173" s="4" t="s">
        <v>13</v>
      </c>
      <c r="C1173" s="37" t="s">
        <v>2033</v>
      </c>
      <c r="D1173" s="35">
        <v>4796</v>
      </c>
      <c r="E1173" s="7" t="s">
        <v>2072</v>
      </c>
      <c r="F1173" s="5">
        <v>39448</v>
      </c>
      <c r="G1173" s="5">
        <v>40663</v>
      </c>
      <c r="H1173" s="4" t="s">
        <v>2039</v>
      </c>
      <c r="I1173" s="6">
        <v>193979.61</v>
      </c>
      <c r="J1173" s="6">
        <v>193979.61</v>
      </c>
      <c r="K1173" s="37" t="s">
        <v>2033</v>
      </c>
      <c r="L1173" s="119"/>
      <c r="M1173" s="3"/>
    </row>
    <row r="1174" spans="1:60" s="4" customFormat="1" ht="76.5" x14ac:dyDescent="0.25">
      <c r="A1174" s="4" t="s">
        <v>2073</v>
      </c>
      <c r="B1174" s="4" t="s">
        <v>13</v>
      </c>
      <c r="C1174" s="37" t="s">
        <v>2033</v>
      </c>
      <c r="D1174" s="35">
        <v>4797</v>
      </c>
      <c r="E1174" s="4" t="s">
        <v>2074</v>
      </c>
      <c r="F1174" s="5">
        <v>39722</v>
      </c>
      <c r="G1174" s="5">
        <v>40086</v>
      </c>
      <c r="H1174" s="4" t="s">
        <v>2039</v>
      </c>
      <c r="I1174" s="6">
        <v>58590.98</v>
      </c>
      <c r="J1174" s="6">
        <v>58590.98</v>
      </c>
      <c r="K1174" s="37" t="s">
        <v>2033</v>
      </c>
      <c r="L1174" s="119"/>
      <c r="M1174" s="3"/>
    </row>
    <row r="1175" spans="1:60" s="4" customFormat="1" ht="76.5" x14ac:dyDescent="0.25">
      <c r="A1175" s="4" t="s">
        <v>2075</v>
      </c>
      <c r="B1175" s="4" t="s">
        <v>13</v>
      </c>
      <c r="C1175" s="37" t="s">
        <v>2033</v>
      </c>
      <c r="D1175" s="35">
        <v>4837</v>
      </c>
      <c r="E1175" s="4" t="s">
        <v>2076</v>
      </c>
      <c r="F1175" s="5">
        <v>39234</v>
      </c>
      <c r="G1175" s="5">
        <v>39599</v>
      </c>
      <c r="H1175" s="4" t="s">
        <v>2039</v>
      </c>
      <c r="I1175" s="6">
        <v>78675.25</v>
      </c>
      <c r="J1175" s="6">
        <v>78675.25</v>
      </c>
      <c r="K1175" s="37" t="s">
        <v>2033</v>
      </c>
      <c r="L1175" s="119"/>
      <c r="M1175" s="3"/>
    </row>
    <row r="1176" spans="1:60" s="4" customFormat="1" ht="63.75" x14ac:dyDescent="0.25">
      <c r="A1176" s="4" t="s">
        <v>2077</v>
      </c>
      <c r="B1176" s="4" t="s">
        <v>13</v>
      </c>
      <c r="C1176" s="37" t="s">
        <v>2033</v>
      </c>
      <c r="D1176" s="35">
        <v>4838</v>
      </c>
      <c r="E1176" s="4" t="s">
        <v>2078</v>
      </c>
      <c r="F1176" s="5">
        <v>39448</v>
      </c>
      <c r="G1176" s="5">
        <v>40847</v>
      </c>
      <c r="H1176" s="4" t="s">
        <v>2039</v>
      </c>
      <c r="I1176" s="6">
        <f>-6991.33+88331+15578.85</f>
        <v>96918.52</v>
      </c>
      <c r="J1176" s="6">
        <v>96918.52</v>
      </c>
      <c r="K1176" s="37" t="s">
        <v>2033</v>
      </c>
      <c r="L1176" s="119"/>
      <c r="M1176" s="3"/>
    </row>
    <row r="1177" spans="1:60" s="4" customFormat="1" ht="38.25" x14ac:dyDescent="0.25">
      <c r="A1177" s="4" t="s">
        <v>2079</v>
      </c>
      <c r="B1177" s="4" t="s">
        <v>13</v>
      </c>
      <c r="C1177" s="37" t="s">
        <v>2033</v>
      </c>
      <c r="D1177" s="35">
        <v>4840</v>
      </c>
      <c r="E1177" s="4" t="s">
        <v>2079</v>
      </c>
      <c r="F1177" s="5">
        <v>39722</v>
      </c>
      <c r="G1177" s="5">
        <v>40177</v>
      </c>
      <c r="H1177" s="4" t="s">
        <v>2039</v>
      </c>
      <c r="I1177" s="6">
        <v>72489.62</v>
      </c>
      <c r="J1177" s="6">
        <v>72489.62</v>
      </c>
      <c r="K1177" s="37" t="s">
        <v>2033</v>
      </c>
      <c r="L1177" s="119"/>
      <c r="M1177" s="3"/>
    </row>
    <row r="1178" spans="1:60" s="4" customFormat="1" ht="114.75" x14ac:dyDescent="0.25">
      <c r="A1178" s="4" t="s">
        <v>2080</v>
      </c>
      <c r="B1178" s="4" t="s">
        <v>13</v>
      </c>
      <c r="C1178" s="37" t="s">
        <v>2033</v>
      </c>
      <c r="D1178" s="35">
        <v>4842</v>
      </c>
      <c r="E1178" s="7" t="s">
        <v>2081</v>
      </c>
      <c r="F1178" s="5">
        <v>39783</v>
      </c>
      <c r="G1178" s="5">
        <v>41213</v>
      </c>
      <c r="H1178" s="4" t="s">
        <v>2039</v>
      </c>
      <c r="I1178" s="6">
        <f>133314.36+54407.91+2018.37</f>
        <v>189740.63999999998</v>
      </c>
      <c r="J1178" s="6">
        <f>133314.36+54407.91+2018.37</f>
        <v>189740.63999999998</v>
      </c>
      <c r="K1178" s="37" t="s">
        <v>2033</v>
      </c>
      <c r="L1178" s="119"/>
      <c r="M1178" s="3"/>
    </row>
    <row r="1179" spans="1:60" s="9" customFormat="1" ht="25.5" x14ac:dyDescent="0.25">
      <c r="A1179" s="4" t="s">
        <v>2082</v>
      </c>
      <c r="B1179" s="4" t="s">
        <v>13</v>
      </c>
      <c r="C1179" s="37" t="s">
        <v>2033</v>
      </c>
      <c r="D1179" s="35">
        <v>4953</v>
      </c>
      <c r="E1179" s="4" t="s">
        <v>2082</v>
      </c>
      <c r="F1179" s="5">
        <v>39691</v>
      </c>
      <c r="G1179" s="5">
        <v>40057</v>
      </c>
      <c r="H1179" s="4" t="s">
        <v>2039</v>
      </c>
      <c r="I1179" s="6">
        <v>56203.45</v>
      </c>
      <c r="J1179" s="6">
        <v>56203.45</v>
      </c>
      <c r="K1179" s="37" t="s">
        <v>2033</v>
      </c>
      <c r="L1179" s="119"/>
      <c r="M1179" s="3"/>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row>
    <row r="1180" spans="1:60" s="4" customFormat="1" ht="51" x14ac:dyDescent="0.25">
      <c r="A1180" s="4" t="s">
        <v>2083</v>
      </c>
      <c r="B1180" s="4" t="s">
        <v>13</v>
      </c>
      <c r="C1180" s="37" t="s">
        <v>2033</v>
      </c>
      <c r="D1180" s="35">
        <v>5840</v>
      </c>
      <c r="E1180" s="4" t="s">
        <v>2084</v>
      </c>
      <c r="F1180" s="5">
        <v>39846</v>
      </c>
      <c r="G1180" s="5">
        <v>40025</v>
      </c>
      <c r="H1180" s="4" t="s">
        <v>2039</v>
      </c>
      <c r="I1180" s="6">
        <v>140530.87</v>
      </c>
      <c r="J1180" s="6">
        <v>140530.87</v>
      </c>
      <c r="K1180" s="37" t="s">
        <v>2033</v>
      </c>
      <c r="L1180" s="119"/>
      <c r="M1180" s="3"/>
    </row>
    <row r="1181" spans="1:60" s="4" customFormat="1" ht="76.5" x14ac:dyDescent="0.25">
      <c r="A1181" s="4" t="s">
        <v>2085</v>
      </c>
      <c r="B1181" s="4" t="s">
        <v>13</v>
      </c>
      <c r="C1181" s="37" t="s">
        <v>2033</v>
      </c>
      <c r="D1181" s="35">
        <v>5860</v>
      </c>
      <c r="E1181" s="4" t="s">
        <v>2086</v>
      </c>
      <c r="F1181" s="5">
        <v>39204</v>
      </c>
      <c r="G1181" s="5">
        <v>40147</v>
      </c>
      <c r="H1181" s="4" t="s">
        <v>2039</v>
      </c>
      <c r="I1181" s="6">
        <v>91960.04</v>
      </c>
      <c r="J1181" s="6">
        <v>91960.04</v>
      </c>
      <c r="K1181" s="37" t="s">
        <v>2033</v>
      </c>
      <c r="L1181" s="119"/>
      <c r="M1181" s="3"/>
    </row>
    <row r="1182" spans="1:60" s="4" customFormat="1" ht="76.5" x14ac:dyDescent="0.25">
      <c r="A1182" s="4" t="s">
        <v>2087</v>
      </c>
      <c r="B1182" s="4" t="s">
        <v>13</v>
      </c>
      <c r="C1182" s="37" t="s">
        <v>2033</v>
      </c>
      <c r="D1182" s="35">
        <v>5861</v>
      </c>
      <c r="E1182" s="4" t="s">
        <v>2088</v>
      </c>
      <c r="F1182" s="5">
        <v>39426</v>
      </c>
      <c r="G1182" s="5">
        <v>39903</v>
      </c>
      <c r="H1182" s="4" t="s">
        <v>2039</v>
      </c>
      <c r="I1182" s="6">
        <v>87879.79</v>
      </c>
      <c r="J1182" s="6">
        <v>87879.79</v>
      </c>
      <c r="K1182" s="37" t="s">
        <v>2033</v>
      </c>
      <c r="L1182" s="119"/>
      <c r="M1182" s="3"/>
    </row>
    <row r="1183" spans="1:60" s="4" customFormat="1" ht="63.75" x14ac:dyDescent="0.25">
      <c r="A1183" s="4" t="s">
        <v>2089</v>
      </c>
      <c r="B1183" s="4" t="s">
        <v>13</v>
      </c>
      <c r="C1183" s="37" t="s">
        <v>2033</v>
      </c>
      <c r="D1183" s="35">
        <v>5862</v>
      </c>
      <c r="E1183" s="4" t="s">
        <v>2090</v>
      </c>
      <c r="F1183" s="5">
        <v>39580</v>
      </c>
      <c r="G1183" s="5">
        <v>40237</v>
      </c>
      <c r="H1183" s="4" t="s">
        <v>2039</v>
      </c>
      <c r="I1183" s="6">
        <v>58330.75</v>
      </c>
      <c r="J1183" s="6">
        <v>58330.75</v>
      </c>
      <c r="K1183" s="37" t="s">
        <v>2033</v>
      </c>
      <c r="L1183" s="119"/>
      <c r="M1183" s="3"/>
    </row>
    <row r="1184" spans="1:60" s="4" customFormat="1" ht="76.5" x14ac:dyDescent="0.25">
      <c r="A1184" s="4" t="s">
        <v>2091</v>
      </c>
      <c r="B1184" s="4" t="s">
        <v>13</v>
      </c>
      <c r="C1184" s="37" t="s">
        <v>2033</v>
      </c>
      <c r="D1184" s="35">
        <v>5864</v>
      </c>
      <c r="E1184" s="4" t="s">
        <v>2086</v>
      </c>
      <c r="F1184" s="5">
        <v>39630</v>
      </c>
      <c r="G1184" s="5">
        <v>40086</v>
      </c>
      <c r="H1184" s="4" t="s">
        <v>2039</v>
      </c>
      <c r="I1184" s="6">
        <v>96454.66</v>
      </c>
      <c r="J1184" s="6">
        <v>96454.66</v>
      </c>
      <c r="K1184" s="37" t="s">
        <v>2033</v>
      </c>
      <c r="L1184" s="119"/>
      <c r="M1184" s="3"/>
    </row>
    <row r="1185" spans="1:13" s="4" customFormat="1" ht="51" x14ac:dyDescent="0.25">
      <c r="A1185" s="4" t="s">
        <v>2092</v>
      </c>
      <c r="B1185" s="4" t="s">
        <v>13</v>
      </c>
      <c r="C1185" s="37" t="s">
        <v>2033</v>
      </c>
      <c r="D1185" s="35">
        <v>5865</v>
      </c>
      <c r="E1185" s="4" t="s">
        <v>2093</v>
      </c>
      <c r="F1185" s="5">
        <v>39814</v>
      </c>
      <c r="G1185" s="5">
        <v>40268</v>
      </c>
      <c r="H1185" s="4" t="s">
        <v>2039</v>
      </c>
      <c r="I1185" s="6">
        <v>94218.67</v>
      </c>
      <c r="J1185" s="6">
        <v>94218.67</v>
      </c>
      <c r="K1185" s="37" t="s">
        <v>2033</v>
      </c>
      <c r="L1185" s="119"/>
      <c r="M1185" s="3"/>
    </row>
    <row r="1186" spans="1:13" s="4" customFormat="1" ht="102" x14ac:dyDescent="0.25">
      <c r="A1186" s="4" t="s">
        <v>2094</v>
      </c>
      <c r="B1186" s="4" t="s">
        <v>13</v>
      </c>
      <c r="C1186" s="37" t="s">
        <v>2033</v>
      </c>
      <c r="D1186" s="35">
        <v>5866</v>
      </c>
      <c r="E1186" s="7" t="s">
        <v>2095</v>
      </c>
      <c r="F1186" s="5">
        <v>39797</v>
      </c>
      <c r="G1186" s="5">
        <v>40251</v>
      </c>
      <c r="H1186" s="4" t="s">
        <v>2039</v>
      </c>
      <c r="I1186" s="6">
        <v>100560.91</v>
      </c>
      <c r="J1186" s="6">
        <v>100560.91</v>
      </c>
      <c r="K1186" s="37" t="s">
        <v>2033</v>
      </c>
      <c r="L1186" s="119"/>
      <c r="M1186" s="3"/>
    </row>
    <row r="1187" spans="1:13" s="4" customFormat="1" ht="89.25" x14ac:dyDescent="0.25">
      <c r="A1187" s="4" t="s">
        <v>2096</v>
      </c>
      <c r="B1187" s="4" t="s">
        <v>13</v>
      </c>
      <c r="C1187" s="37" t="s">
        <v>2033</v>
      </c>
      <c r="D1187" s="35">
        <v>5867</v>
      </c>
      <c r="E1187" s="7" t="s">
        <v>2097</v>
      </c>
      <c r="F1187" s="5">
        <v>39767</v>
      </c>
      <c r="G1187" s="5">
        <v>40313</v>
      </c>
      <c r="H1187" s="4" t="s">
        <v>2039</v>
      </c>
      <c r="I1187" s="6">
        <v>97651.58</v>
      </c>
      <c r="J1187" s="6">
        <v>97651.58</v>
      </c>
      <c r="K1187" s="37" t="s">
        <v>2033</v>
      </c>
      <c r="L1187" s="119"/>
      <c r="M1187" s="3"/>
    </row>
    <row r="1188" spans="1:13" s="4" customFormat="1" ht="89.25" x14ac:dyDescent="0.25">
      <c r="A1188" s="4" t="s">
        <v>2098</v>
      </c>
      <c r="B1188" s="4" t="s">
        <v>13</v>
      </c>
      <c r="C1188" s="37" t="s">
        <v>2033</v>
      </c>
      <c r="D1188" s="35">
        <v>5868</v>
      </c>
      <c r="E1188" s="7" t="s">
        <v>2099</v>
      </c>
      <c r="F1188" s="5">
        <v>39845</v>
      </c>
      <c r="G1188" s="5">
        <v>40390</v>
      </c>
      <c r="H1188" s="4" t="s">
        <v>2039</v>
      </c>
      <c r="I1188" s="6">
        <v>90916.18</v>
      </c>
      <c r="J1188" s="6">
        <v>90916.18</v>
      </c>
      <c r="K1188" s="37" t="s">
        <v>2033</v>
      </c>
      <c r="L1188" s="119"/>
      <c r="M1188" s="3"/>
    </row>
    <row r="1189" spans="1:13" s="4" customFormat="1" ht="102" x14ac:dyDescent="0.25">
      <c r="A1189" s="4" t="s">
        <v>2100</v>
      </c>
      <c r="B1189" s="4" t="s">
        <v>13</v>
      </c>
      <c r="C1189" s="37" t="s">
        <v>2033</v>
      </c>
      <c r="D1189" s="35">
        <v>5869</v>
      </c>
      <c r="E1189" s="7" t="s">
        <v>2101</v>
      </c>
      <c r="F1189" s="5">
        <v>39845</v>
      </c>
      <c r="G1189" s="5">
        <v>40391</v>
      </c>
      <c r="H1189" s="4" t="s">
        <v>2039</v>
      </c>
      <c r="I1189" s="6">
        <v>90390.54</v>
      </c>
      <c r="J1189" s="6">
        <v>90390.54</v>
      </c>
      <c r="K1189" s="37" t="s">
        <v>2033</v>
      </c>
      <c r="L1189" s="119"/>
      <c r="M1189" s="3"/>
    </row>
    <row r="1190" spans="1:13" s="4" customFormat="1" ht="76.5" x14ac:dyDescent="0.25">
      <c r="A1190" s="4" t="s">
        <v>2102</v>
      </c>
      <c r="B1190" s="4" t="s">
        <v>13</v>
      </c>
      <c r="C1190" s="37" t="s">
        <v>2033</v>
      </c>
      <c r="D1190" s="35">
        <v>5870</v>
      </c>
      <c r="E1190" s="4" t="s">
        <v>2103</v>
      </c>
      <c r="F1190" s="5">
        <v>39783</v>
      </c>
      <c r="G1190" s="5">
        <v>40237</v>
      </c>
      <c r="H1190" s="4" t="s">
        <v>2039</v>
      </c>
      <c r="I1190" s="6">
        <f>81707.54-13399.58</f>
        <v>68307.959999999992</v>
      </c>
      <c r="J1190" s="6">
        <v>68307.960000000006</v>
      </c>
      <c r="K1190" s="37" t="s">
        <v>2033</v>
      </c>
      <c r="L1190" s="119"/>
      <c r="M1190" s="3"/>
    </row>
    <row r="1191" spans="1:13" s="4" customFormat="1" ht="114.75" x14ac:dyDescent="0.25">
      <c r="A1191" s="4" t="s">
        <v>2104</v>
      </c>
      <c r="B1191" s="4" t="s">
        <v>13</v>
      </c>
      <c r="C1191" s="37" t="s">
        <v>2033</v>
      </c>
      <c r="D1191" s="35">
        <v>5871</v>
      </c>
      <c r="E1191" s="7" t="s">
        <v>2105</v>
      </c>
      <c r="F1191" s="5">
        <v>39873</v>
      </c>
      <c r="G1191" s="5">
        <v>40441</v>
      </c>
      <c r="H1191" s="4" t="s">
        <v>2039</v>
      </c>
      <c r="I1191" s="6">
        <f>73010.85-2830.4+31118.81</f>
        <v>101299.26000000001</v>
      </c>
      <c r="J1191" s="6">
        <v>101299.26</v>
      </c>
      <c r="K1191" s="37" t="s">
        <v>2033</v>
      </c>
      <c r="L1191" s="119"/>
      <c r="M1191" s="3"/>
    </row>
    <row r="1192" spans="1:13" s="4" customFormat="1" ht="89.25" x14ac:dyDescent="0.25">
      <c r="A1192" s="4" t="s">
        <v>2106</v>
      </c>
      <c r="B1192" s="4" t="s">
        <v>13</v>
      </c>
      <c r="C1192" s="37" t="s">
        <v>2033</v>
      </c>
      <c r="D1192" s="35">
        <v>5872</v>
      </c>
      <c r="E1192" s="7" t="s">
        <v>2107</v>
      </c>
      <c r="F1192" s="5">
        <v>39904</v>
      </c>
      <c r="G1192" s="5">
        <v>40497</v>
      </c>
      <c r="H1192" s="4" t="s">
        <v>2039</v>
      </c>
      <c r="I1192" s="6">
        <v>83876.25</v>
      </c>
      <c r="J1192" s="6">
        <v>83876.25</v>
      </c>
      <c r="K1192" s="37" t="s">
        <v>2033</v>
      </c>
      <c r="L1192" s="119"/>
      <c r="M1192" s="3"/>
    </row>
    <row r="1193" spans="1:13" s="4" customFormat="1" ht="51" x14ac:dyDescent="0.25">
      <c r="A1193" s="4" t="s">
        <v>2108</v>
      </c>
      <c r="B1193" s="4" t="s">
        <v>13</v>
      </c>
      <c r="C1193" s="37" t="s">
        <v>2033</v>
      </c>
      <c r="D1193" s="35">
        <v>5873</v>
      </c>
      <c r="E1193" s="4" t="s">
        <v>2109</v>
      </c>
      <c r="F1193" s="5">
        <v>39844</v>
      </c>
      <c r="G1193" s="5">
        <v>40391</v>
      </c>
      <c r="H1193" s="4" t="s">
        <v>2039</v>
      </c>
      <c r="I1193" s="6">
        <v>88745.53</v>
      </c>
      <c r="J1193" s="6">
        <v>88745.53</v>
      </c>
      <c r="K1193" s="37" t="s">
        <v>2033</v>
      </c>
      <c r="L1193" s="119"/>
      <c r="M1193" s="3"/>
    </row>
    <row r="1194" spans="1:13" s="4" customFormat="1" ht="76.5" x14ac:dyDescent="0.25">
      <c r="A1194" s="4" t="s">
        <v>2110</v>
      </c>
      <c r="B1194" s="4" t="s">
        <v>13</v>
      </c>
      <c r="C1194" s="37" t="s">
        <v>2033</v>
      </c>
      <c r="D1194" s="35">
        <v>5874</v>
      </c>
      <c r="E1194" s="4" t="s">
        <v>2111</v>
      </c>
      <c r="F1194" s="5">
        <v>40087</v>
      </c>
      <c r="G1194" s="5">
        <v>40633</v>
      </c>
      <c r="H1194" s="4" t="s">
        <v>2039</v>
      </c>
      <c r="I1194" s="6">
        <v>62667.07</v>
      </c>
      <c r="J1194" s="6">
        <v>62667.07</v>
      </c>
      <c r="K1194" s="37" t="s">
        <v>2033</v>
      </c>
      <c r="L1194" s="119"/>
      <c r="M1194" s="3"/>
    </row>
    <row r="1195" spans="1:13" s="4" customFormat="1" ht="89.25" x14ac:dyDescent="0.25">
      <c r="A1195" s="4" t="s">
        <v>2112</v>
      </c>
      <c r="B1195" s="4" t="s">
        <v>13</v>
      </c>
      <c r="C1195" s="37" t="s">
        <v>2033</v>
      </c>
      <c r="D1195" s="35">
        <v>5875</v>
      </c>
      <c r="E1195" s="7" t="s">
        <v>2113</v>
      </c>
      <c r="F1195" s="5">
        <v>40210</v>
      </c>
      <c r="G1195" s="5">
        <v>40755</v>
      </c>
      <c r="H1195" s="4" t="s">
        <v>2039</v>
      </c>
      <c r="I1195" s="6">
        <f>13689.01+33360.24+50080.8</f>
        <v>97130.05</v>
      </c>
      <c r="J1195" s="6">
        <v>97130.05</v>
      </c>
      <c r="K1195" s="37" t="s">
        <v>2033</v>
      </c>
      <c r="L1195" s="119"/>
      <c r="M1195" s="3"/>
    </row>
    <row r="1196" spans="1:13" s="4" customFormat="1" ht="114.75" x14ac:dyDescent="0.25">
      <c r="A1196" s="4" t="s">
        <v>2114</v>
      </c>
      <c r="B1196" s="4" t="s">
        <v>13</v>
      </c>
      <c r="C1196" s="37" t="s">
        <v>2033</v>
      </c>
      <c r="D1196" s="35">
        <v>5876</v>
      </c>
      <c r="E1196" s="7" t="s">
        <v>2115</v>
      </c>
      <c r="F1196" s="5">
        <v>39328</v>
      </c>
      <c r="G1196" s="5">
        <v>39823</v>
      </c>
      <c r="H1196" s="4" t="s">
        <v>2039</v>
      </c>
      <c r="I1196" s="6">
        <v>93355.34</v>
      </c>
      <c r="J1196" s="6">
        <v>93355.34</v>
      </c>
      <c r="K1196" s="37" t="s">
        <v>2033</v>
      </c>
      <c r="L1196" s="119"/>
      <c r="M1196" s="3"/>
    </row>
    <row r="1197" spans="1:13" s="4" customFormat="1" ht="89.25" x14ac:dyDescent="0.25">
      <c r="A1197" s="4" t="s">
        <v>2116</v>
      </c>
      <c r="B1197" s="4" t="s">
        <v>13</v>
      </c>
      <c r="C1197" s="37" t="s">
        <v>2033</v>
      </c>
      <c r="D1197" s="35">
        <v>5877</v>
      </c>
      <c r="E1197" s="7" t="s">
        <v>2117</v>
      </c>
      <c r="F1197" s="5">
        <v>39448</v>
      </c>
      <c r="G1197" s="5">
        <v>40663</v>
      </c>
      <c r="H1197" s="4" t="s">
        <v>2039</v>
      </c>
      <c r="I1197" s="6">
        <v>132969.66</v>
      </c>
      <c r="J1197" s="6">
        <v>132969.66</v>
      </c>
      <c r="K1197" s="37" t="s">
        <v>2033</v>
      </c>
      <c r="L1197" s="119"/>
      <c r="M1197" s="3"/>
    </row>
    <row r="1198" spans="1:13" s="4" customFormat="1" ht="63.75" x14ac:dyDescent="0.25">
      <c r="A1198" s="4" t="s">
        <v>2118</v>
      </c>
      <c r="B1198" s="4" t="s">
        <v>13</v>
      </c>
      <c r="C1198" s="37" t="s">
        <v>2033</v>
      </c>
      <c r="D1198" s="35">
        <v>5878</v>
      </c>
      <c r="E1198" s="4" t="s">
        <v>2119</v>
      </c>
      <c r="F1198" s="5">
        <v>39479</v>
      </c>
      <c r="G1198" s="5">
        <v>40862</v>
      </c>
      <c r="H1198" s="4" t="s">
        <v>2039</v>
      </c>
      <c r="I1198" s="6">
        <f>156928.05+76964.5+72961-2431.13</f>
        <v>304422.42</v>
      </c>
      <c r="J1198" s="6">
        <f>306853.55-2431.13</f>
        <v>304422.42</v>
      </c>
      <c r="K1198" s="37" t="s">
        <v>2033</v>
      </c>
      <c r="L1198" s="119"/>
      <c r="M1198" s="3"/>
    </row>
    <row r="1199" spans="1:13" s="4" customFormat="1" ht="63.75" x14ac:dyDescent="0.25">
      <c r="A1199" s="4" t="s">
        <v>2120</v>
      </c>
      <c r="B1199" s="4" t="s">
        <v>13</v>
      </c>
      <c r="C1199" s="37" t="s">
        <v>2033</v>
      </c>
      <c r="D1199" s="35">
        <v>5879</v>
      </c>
      <c r="E1199" s="4" t="s">
        <v>2121</v>
      </c>
      <c r="F1199" s="5">
        <v>39797</v>
      </c>
      <c r="G1199" s="5">
        <v>41214</v>
      </c>
      <c r="H1199" s="4" t="s">
        <v>2039</v>
      </c>
      <c r="I1199" s="6">
        <f>45071.26+57715.84</f>
        <v>102787.1</v>
      </c>
      <c r="J1199" s="6">
        <f>45071.26+57715.84</f>
        <v>102787.1</v>
      </c>
      <c r="K1199" s="37" t="s">
        <v>2033</v>
      </c>
      <c r="L1199" s="119"/>
      <c r="M1199" s="3"/>
    </row>
    <row r="1200" spans="1:13" s="4" customFormat="1" ht="140.25" x14ac:dyDescent="0.25">
      <c r="A1200" s="4" t="s">
        <v>2122</v>
      </c>
      <c r="B1200" s="4" t="s">
        <v>13</v>
      </c>
      <c r="C1200" s="37" t="s">
        <v>2033</v>
      </c>
      <c r="D1200" s="35">
        <v>5880</v>
      </c>
      <c r="E1200" s="7" t="s">
        <v>2123</v>
      </c>
      <c r="F1200" s="5">
        <v>39845</v>
      </c>
      <c r="G1200" s="5">
        <v>41030</v>
      </c>
      <c r="H1200" s="4" t="s">
        <v>2039</v>
      </c>
      <c r="I1200" s="6">
        <f>59605.14+17364.74+88077.92+54048.4</f>
        <v>219096.19999999998</v>
      </c>
      <c r="J1200" s="6">
        <v>219096.196</v>
      </c>
      <c r="K1200" s="37" t="s">
        <v>2033</v>
      </c>
      <c r="L1200" s="119"/>
      <c r="M1200" s="3"/>
    </row>
    <row r="1201" spans="1:13" s="4" customFormat="1" ht="102" x14ac:dyDescent="0.25">
      <c r="A1201" s="4" t="s">
        <v>2124</v>
      </c>
      <c r="B1201" s="4" t="s">
        <v>13</v>
      </c>
      <c r="C1201" s="37" t="s">
        <v>2033</v>
      </c>
      <c r="D1201" s="35">
        <v>5881</v>
      </c>
      <c r="E1201" s="7" t="s">
        <v>2125</v>
      </c>
      <c r="F1201" s="5">
        <v>39814</v>
      </c>
      <c r="G1201" s="5">
        <v>40663</v>
      </c>
      <c r="H1201" s="4" t="s">
        <v>2039</v>
      </c>
      <c r="I1201" s="6">
        <v>369313.58</v>
      </c>
      <c r="J1201" s="6">
        <v>369313.58</v>
      </c>
      <c r="K1201" s="37" t="s">
        <v>2033</v>
      </c>
      <c r="L1201" s="119"/>
      <c r="M1201" s="3"/>
    </row>
    <row r="1202" spans="1:13" s="4" customFormat="1" ht="76.5" x14ac:dyDescent="0.25">
      <c r="A1202" s="4" t="s">
        <v>2126</v>
      </c>
      <c r="B1202" s="4" t="s">
        <v>13</v>
      </c>
      <c r="C1202" s="37" t="s">
        <v>2033</v>
      </c>
      <c r="D1202" s="35">
        <v>5882</v>
      </c>
      <c r="E1202" s="4" t="s">
        <v>2127</v>
      </c>
      <c r="F1202" s="5">
        <v>39904</v>
      </c>
      <c r="G1202" s="5">
        <v>41000</v>
      </c>
      <c r="H1202" s="4" t="s">
        <v>2039</v>
      </c>
      <c r="I1202" s="6">
        <f>256137.65+44972.52</f>
        <v>301110.17</v>
      </c>
      <c r="J1202" s="6">
        <f>256137.65+44972.52</f>
        <v>301110.17</v>
      </c>
      <c r="K1202" s="37" t="s">
        <v>2033</v>
      </c>
      <c r="L1202" s="119"/>
      <c r="M1202" s="3"/>
    </row>
    <row r="1203" spans="1:13" s="4" customFormat="1" ht="38.25" x14ac:dyDescent="0.25">
      <c r="A1203" s="4" t="s">
        <v>2128</v>
      </c>
      <c r="B1203" s="4" t="s">
        <v>13</v>
      </c>
      <c r="C1203" s="37" t="s">
        <v>2033</v>
      </c>
      <c r="D1203" s="35">
        <v>6180</v>
      </c>
      <c r="E1203" s="4" t="s">
        <v>2129</v>
      </c>
      <c r="F1203" s="5">
        <v>39447</v>
      </c>
      <c r="G1203" s="5">
        <v>40056</v>
      </c>
      <c r="H1203" s="4" t="s">
        <v>2039</v>
      </c>
      <c r="I1203" s="6">
        <v>83679.759999999995</v>
      </c>
      <c r="J1203" s="6">
        <v>83679.759999999995</v>
      </c>
      <c r="K1203" s="37" t="s">
        <v>2033</v>
      </c>
      <c r="L1203" s="119"/>
      <c r="M1203" s="3"/>
    </row>
    <row r="1204" spans="1:13" s="4" customFormat="1" ht="38.25" x14ac:dyDescent="0.25">
      <c r="A1204" s="4" t="s">
        <v>2130</v>
      </c>
      <c r="B1204" s="4" t="s">
        <v>13</v>
      </c>
      <c r="C1204" s="37" t="s">
        <v>2033</v>
      </c>
      <c r="D1204" s="35">
        <v>6181</v>
      </c>
      <c r="E1204" s="4" t="s">
        <v>2131</v>
      </c>
      <c r="F1204" s="5">
        <v>39448</v>
      </c>
      <c r="G1204" s="5">
        <v>40830</v>
      </c>
      <c r="H1204" s="4" t="s">
        <v>2039</v>
      </c>
      <c r="I1204" s="6">
        <v>321712.77</v>
      </c>
      <c r="J1204" s="6">
        <v>321712.77</v>
      </c>
      <c r="K1204" s="37" t="s">
        <v>2033</v>
      </c>
      <c r="L1204" s="119"/>
      <c r="M1204" s="3"/>
    </row>
    <row r="1205" spans="1:13" s="4" customFormat="1" ht="38.25" x14ac:dyDescent="0.25">
      <c r="A1205" s="4" t="s">
        <v>2132</v>
      </c>
      <c r="B1205" s="4" t="s">
        <v>13</v>
      </c>
      <c r="C1205" s="37" t="s">
        <v>2033</v>
      </c>
      <c r="D1205" s="35">
        <v>6182</v>
      </c>
      <c r="E1205" s="4" t="s">
        <v>2133</v>
      </c>
      <c r="F1205" s="5">
        <v>39431</v>
      </c>
      <c r="G1205" s="5">
        <v>40147</v>
      </c>
      <c r="H1205" s="4" t="s">
        <v>2039</v>
      </c>
      <c r="I1205" s="6">
        <v>88680.41</v>
      </c>
      <c r="J1205" s="6">
        <v>88680.41</v>
      </c>
      <c r="K1205" s="37" t="s">
        <v>2033</v>
      </c>
      <c r="L1205" s="119"/>
      <c r="M1205" s="3"/>
    </row>
    <row r="1206" spans="1:13" s="4" customFormat="1" ht="63.75" x14ac:dyDescent="0.25">
      <c r="A1206" s="4" t="s">
        <v>2134</v>
      </c>
      <c r="B1206" s="4" t="s">
        <v>13</v>
      </c>
      <c r="C1206" s="37" t="s">
        <v>2033</v>
      </c>
      <c r="D1206" s="35">
        <v>6191</v>
      </c>
      <c r="E1206" s="4" t="s">
        <v>2135</v>
      </c>
      <c r="F1206" s="5">
        <v>39904</v>
      </c>
      <c r="G1206" s="5">
        <v>40359</v>
      </c>
      <c r="H1206" s="4" t="s">
        <v>2039</v>
      </c>
      <c r="I1206" s="6">
        <v>73456.5</v>
      </c>
      <c r="J1206" s="6">
        <f>62500.05+10956.45</f>
        <v>73456.5</v>
      </c>
      <c r="K1206" s="37" t="s">
        <v>2033</v>
      </c>
      <c r="L1206" s="119"/>
      <c r="M1206" s="3"/>
    </row>
    <row r="1207" spans="1:13" s="4" customFormat="1" ht="51" x14ac:dyDescent="0.25">
      <c r="A1207" s="4" t="s">
        <v>2136</v>
      </c>
      <c r="B1207" s="4" t="s">
        <v>13</v>
      </c>
      <c r="C1207" s="37" t="s">
        <v>2033</v>
      </c>
      <c r="D1207" s="35">
        <v>6192</v>
      </c>
      <c r="E1207" s="4" t="s">
        <v>2137</v>
      </c>
      <c r="F1207" s="5">
        <v>39661</v>
      </c>
      <c r="G1207" s="5">
        <v>40512</v>
      </c>
      <c r="H1207" s="4" t="s">
        <v>2039</v>
      </c>
      <c r="I1207" s="6">
        <v>127888.47</v>
      </c>
      <c r="J1207" s="6">
        <v>127888.47</v>
      </c>
      <c r="K1207" s="37" t="s">
        <v>2033</v>
      </c>
      <c r="L1207" s="119"/>
      <c r="M1207" s="3"/>
    </row>
    <row r="1208" spans="1:13" s="4" customFormat="1" ht="25.5" x14ac:dyDescent="0.25">
      <c r="A1208" s="4" t="s">
        <v>2138</v>
      </c>
      <c r="B1208" s="4" t="s">
        <v>13</v>
      </c>
      <c r="C1208" s="37" t="s">
        <v>2033</v>
      </c>
      <c r="D1208" s="35">
        <v>6193</v>
      </c>
      <c r="E1208" s="4" t="s">
        <v>2138</v>
      </c>
      <c r="F1208" s="5">
        <v>39417</v>
      </c>
      <c r="G1208" s="5">
        <v>39782</v>
      </c>
      <c r="H1208" s="4" t="s">
        <v>2039</v>
      </c>
      <c r="I1208" s="6">
        <v>55987.51</v>
      </c>
      <c r="J1208" s="6">
        <v>55987.51</v>
      </c>
      <c r="K1208" s="37" t="s">
        <v>2033</v>
      </c>
      <c r="L1208" s="119"/>
      <c r="M1208" s="3"/>
    </row>
    <row r="1209" spans="1:13" s="4" customFormat="1" ht="38.25" x14ac:dyDescent="0.25">
      <c r="A1209" s="4" t="s">
        <v>2139</v>
      </c>
      <c r="B1209" s="4" t="s">
        <v>13</v>
      </c>
      <c r="C1209" s="37" t="s">
        <v>2033</v>
      </c>
      <c r="D1209" s="35">
        <v>6194</v>
      </c>
      <c r="E1209" s="4" t="s">
        <v>2140</v>
      </c>
      <c r="F1209" s="5">
        <v>39203</v>
      </c>
      <c r="G1209" s="5">
        <v>39568</v>
      </c>
      <c r="H1209" s="4" t="s">
        <v>2039</v>
      </c>
      <c r="I1209" s="6">
        <v>77607.289999999994</v>
      </c>
      <c r="J1209" s="6">
        <v>77607.289999999994</v>
      </c>
      <c r="K1209" s="37" t="s">
        <v>2033</v>
      </c>
      <c r="L1209" s="119"/>
      <c r="M1209" s="3"/>
    </row>
    <row r="1210" spans="1:13" s="4" customFormat="1" ht="25.5" x14ac:dyDescent="0.25">
      <c r="A1210" s="4" t="s">
        <v>2141</v>
      </c>
      <c r="B1210" s="4" t="s">
        <v>13</v>
      </c>
      <c r="C1210" s="37" t="s">
        <v>2033</v>
      </c>
      <c r="D1210" s="35">
        <v>6195</v>
      </c>
      <c r="E1210" s="4" t="s">
        <v>2142</v>
      </c>
      <c r="F1210" s="5">
        <v>40118</v>
      </c>
      <c r="G1210" s="5">
        <v>40573</v>
      </c>
      <c r="H1210" s="4" t="s">
        <v>2039</v>
      </c>
      <c r="I1210" s="6">
        <f>17187.34+21152.1+45259.93</f>
        <v>83599.37</v>
      </c>
      <c r="J1210" s="6">
        <v>83599.37</v>
      </c>
      <c r="K1210" s="37" t="s">
        <v>2033</v>
      </c>
      <c r="L1210" s="119"/>
      <c r="M1210" s="3"/>
    </row>
    <row r="1211" spans="1:13" s="4" customFormat="1" ht="51" x14ac:dyDescent="0.25">
      <c r="A1211" s="4" t="s">
        <v>2143</v>
      </c>
      <c r="B1211" s="4" t="s">
        <v>13</v>
      </c>
      <c r="C1211" s="37" t="s">
        <v>2033</v>
      </c>
      <c r="D1211" s="35">
        <v>6196</v>
      </c>
      <c r="E1211" s="4" t="s">
        <v>2144</v>
      </c>
      <c r="F1211" s="5">
        <v>40056</v>
      </c>
      <c r="G1211" s="5">
        <v>40602</v>
      </c>
      <c r="H1211" s="4" t="s">
        <v>2039</v>
      </c>
      <c r="I1211" s="6">
        <f>21416.42+39631.49+27560.43</f>
        <v>88608.34</v>
      </c>
      <c r="J1211" s="6">
        <v>88608.34</v>
      </c>
      <c r="K1211" s="37" t="s">
        <v>2033</v>
      </c>
      <c r="L1211" s="119"/>
      <c r="M1211" s="3"/>
    </row>
    <row r="1212" spans="1:13" s="4" customFormat="1" ht="38.25" x14ac:dyDescent="0.25">
      <c r="A1212" s="4" t="s">
        <v>2145</v>
      </c>
      <c r="B1212" s="4" t="s">
        <v>13</v>
      </c>
      <c r="C1212" s="37" t="s">
        <v>2033</v>
      </c>
      <c r="D1212" s="35">
        <v>6198</v>
      </c>
      <c r="E1212" s="4" t="s">
        <v>2146</v>
      </c>
      <c r="F1212" s="5">
        <v>39265</v>
      </c>
      <c r="G1212" s="5">
        <v>39721</v>
      </c>
      <c r="H1212" s="4" t="s">
        <v>2039</v>
      </c>
      <c r="I1212" s="6">
        <v>61773.120000000003</v>
      </c>
      <c r="J1212" s="6">
        <v>61773.120000000003</v>
      </c>
      <c r="K1212" s="37" t="s">
        <v>2033</v>
      </c>
      <c r="L1212" s="119"/>
      <c r="M1212" s="3"/>
    </row>
    <row r="1213" spans="1:13" s="4" customFormat="1" ht="38.25" x14ac:dyDescent="0.25">
      <c r="A1213" s="13" t="s">
        <v>2147</v>
      </c>
      <c r="B1213" s="4" t="s">
        <v>13</v>
      </c>
      <c r="C1213" s="37" t="s">
        <v>2033</v>
      </c>
      <c r="D1213" s="35">
        <v>6535</v>
      </c>
      <c r="E1213" s="13" t="s">
        <v>2148</v>
      </c>
      <c r="F1213" s="14">
        <v>40360</v>
      </c>
      <c r="G1213" s="14">
        <v>40816</v>
      </c>
      <c r="H1213" s="4" t="s">
        <v>2039</v>
      </c>
      <c r="I1213" s="6">
        <f>62516.3+21458.27</f>
        <v>83974.57</v>
      </c>
      <c r="J1213" s="6">
        <v>83974.57</v>
      </c>
      <c r="K1213" s="37" t="s">
        <v>2033</v>
      </c>
      <c r="L1213" s="119"/>
      <c r="M1213" s="3"/>
    </row>
    <row r="1214" spans="1:13" s="4" customFormat="1" ht="153" x14ac:dyDescent="0.25">
      <c r="A1214" s="4" t="s">
        <v>2149</v>
      </c>
      <c r="B1214" s="4" t="s">
        <v>13</v>
      </c>
      <c r="C1214" s="37" t="s">
        <v>2033</v>
      </c>
      <c r="D1214" s="35">
        <v>6536</v>
      </c>
      <c r="E1214" s="7" t="s">
        <v>2150</v>
      </c>
      <c r="F1214" s="5">
        <v>40308</v>
      </c>
      <c r="G1214" s="5">
        <v>40718</v>
      </c>
      <c r="H1214" s="4" t="s">
        <v>2039</v>
      </c>
      <c r="I1214" s="6">
        <v>61336.41</v>
      </c>
      <c r="J1214" s="6">
        <v>61336.41</v>
      </c>
      <c r="K1214" s="37" t="s">
        <v>2033</v>
      </c>
      <c r="L1214" s="119"/>
      <c r="M1214" s="3"/>
    </row>
    <row r="1215" spans="1:13" s="4" customFormat="1" ht="25.5" x14ac:dyDescent="0.25">
      <c r="A1215" s="4" t="s">
        <v>2151</v>
      </c>
      <c r="B1215" s="4" t="s">
        <v>13</v>
      </c>
      <c r="C1215" s="37" t="s">
        <v>2033</v>
      </c>
      <c r="D1215" s="35">
        <v>8465</v>
      </c>
      <c r="E1215" s="4" t="s">
        <v>2152</v>
      </c>
      <c r="F1215" s="5">
        <v>40269</v>
      </c>
      <c r="G1215" s="5">
        <v>40893</v>
      </c>
      <c r="H1215" s="4" t="s">
        <v>2039</v>
      </c>
      <c r="I1215" s="6">
        <v>71363.28</v>
      </c>
      <c r="J1215" s="6">
        <v>71363.28</v>
      </c>
      <c r="K1215" s="37" t="s">
        <v>2033</v>
      </c>
      <c r="L1215" s="119"/>
      <c r="M1215" s="3"/>
    </row>
    <row r="1216" spans="1:13" s="4" customFormat="1" ht="25.5" x14ac:dyDescent="0.25">
      <c r="A1216" s="4" t="s">
        <v>2153</v>
      </c>
      <c r="B1216" s="4" t="s">
        <v>13</v>
      </c>
      <c r="C1216" s="37" t="s">
        <v>2033</v>
      </c>
      <c r="D1216" s="35">
        <v>10146</v>
      </c>
      <c r="E1216" s="4" t="s">
        <v>2154</v>
      </c>
      <c r="F1216" s="5">
        <v>39630</v>
      </c>
      <c r="G1216" s="5">
        <v>40131</v>
      </c>
      <c r="H1216" s="4" t="s">
        <v>2155</v>
      </c>
      <c r="I1216" s="6">
        <v>102.53</v>
      </c>
      <c r="J1216" s="6">
        <v>102.53</v>
      </c>
      <c r="K1216" s="37" t="s">
        <v>2033</v>
      </c>
      <c r="L1216" s="119"/>
      <c r="M1216" s="3"/>
    </row>
    <row r="1217" spans="1:13" s="4" customFormat="1" ht="25.5" x14ac:dyDescent="0.25">
      <c r="A1217" s="4" t="s">
        <v>2157</v>
      </c>
      <c r="B1217" s="4" t="s">
        <v>13</v>
      </c>
      <c r="C1217" s="37" t="s">
        <v>2033</v>
      </c>
      <c r="D1217" s="35">
        <v>10972</v>
      </c>
      <c r="E1217" s="4" t="s">
        <v>2158</v>
      </c>
      <c r="F1217" s="5">
        <v>40603</v>
      </c>
      <c r="G1217" s="5">
        <v>40967</v>
      </c>
      <c r="H1217" s="4" t="s">
        <v>2039</v>
      </c>
      <c r="I1217" s="6">
        <v>90002.42</v>
      </c>
      <c r="J1217" s="8">
        <f>67149.18+22853.24</f>
        <v>90002.42</v>
      </c>
      <c r="K1217" s="37" t="s">
        <v>2033</v>
      </c>
      <c r="L1217" s="119"/>
      <c r="M1217" s="3"/>
    </row>
    <row r="1218" spans="1:13" s="4" customFormat="1" ht="25.5" x14ac:dyDescent="0.25">
      <c r="A1218" s="4" t="s">
        <v>2159</v>
      </c>
      <c r="B1218" s="4" t="s">
        <v>13</v>
      </c>
      <c r="C1218" s="37" t="s">
        <v>2033</v>
      </c>
      <c r="D1218" s="35">
        <v>10973</v>
      </c>
      <c r="E1218" s="4" t="s">
        <v>2160</v>
      </c>
      <c r="F1218" s="5">
        <v>40728</v>
      </c>
      <c r="G1218" s="5">
        <v>41131</v>
      </c>
      <c r="H1218" s="4" t="s">
        <v>2039</v>
      </c>
      <c r="I1218" s="6">
        <f>8867.18+77789.12</f>
        <v>86656.299999999988</v>
      </c>
      <c r="J1218" s="8">
        <f>8867.18+77789.12</f>
        <v>86656.299999999988</v>
      </c>
      <c r="K1218" s="37" t="s">
        <v>2033</v>
      </c>
      <c r="L1218" s="119"/>
      <c r="M1218" s="3"/>
    </row>
    <row r="1219" spans="1:13" s="4" customFormat="1" ht="25.5" x14ac:dyDescent="0.25">
      <c r="A1219" s="4" t="s">
        <v>2161</v>
      </c>
      <c r="B1219" s="4" t="s">
        <v>13</v>
      </c>
      <c r="C1219" s="37" t="s">
        <v>2033</v>
      </c>
      <c r="D1219" s="35">
        <v>10974</v>
      </c>
      <c r="E1219" s="4" t="s">
        <v>2161</v>
      </c>
      <c r="F1219" s="5">
        <v>40784</v>
      </c>
      <c r="G1219" s="5">
        <v>40929</v>
      </c>
      <c r="H1219" s="4" t="s">
        <v>2039</v>
      </c>
      <c r="I1219" s="6">
        <v>7151.62</v>
      </c>
      <c r="J1219" s="8">
        <f>3085.5+4066.12</f>
        <v>7151.62</v>
      </c>
      <c r="K1219" s="37" t="s">
        <v>2033</v>
      </c>
      <c r="L1219" s="119"/>
      <c r="M1219" s="3"/>
    </row>
    <row r="1220" spans="1:13" s="4" customFormat="1" ht="25.5" x14ac:dyDescent="0.25">
      <c r="A1220" s="4" t="s">
        <v>2162</v>
      </c>
      <c r="B1220" s="4" t="s">
        <v>13</v>
      </c>
      <c r="C1220" s="37" t="s">
        <v>2033</v>
      </c>
      <c r="D1220" s="35">
        <v>10975</v>
      </c>
      <c r="E1220" s="4" t="s">
        <v>2162</v>
      </c>
      <c r="F1220" s="5">
        <v>40805</v>
      </c>
      <c r="G1220" s="5">
        <v>40893</v>
      </c>
      <c r="H1220" s="4" t="s">
        <v>2039</v>
      </c>
      <c r="I1220" s="6">
        <v>9167.89</v>
      </c>
      <c r="J1220" s="8">
        <v>9167.89</v>
      </c>
      <c r="K1220" s="37" t="s">
        <v>2033</v>
      </c>
      <c r="L1220" s="119"/>
      <c r="M1220" s="3"/>
    </row>
    <row r="1221" spans="1:13" s="4" customFormat="1" ht="25.5" x14ac:dyDescent="0.25">
      <c r="A1221" s="4" t="s">
        <v>2163</v>
      </c>
      <c r="B1221" s="4" t="s">
        <v>13</v>
      </c>
      <c r="C1221" s="37" t="s">
        <v>2033</v>
      </c>
      <c r="D1221" s="35">
        <v>10976</v>
      </c>
      <c r="E1221" s="4" t="s">
        <v>2163</v>
      </c>
      <c r="F1221" s="5">
        <v>40758</v>
      </c>
      <c r="G1221" s="5">
        <v>40897</v>
      </c>
      <c r="H1221" s="4" t="s">
        <v>2039</v>
      </c>
      <c r="I1221" s="6">
        <v>9396.0300000000007</v>
      </c>
      <c r="J1221" s="8">
        <v>9396.0300000000007</v>
      </c>
      <c r="K1221" s="37" t="s">
        <v>2033</v>
      </c>
      <c r="L1221" s="119"/>
      <c r="M1221" s="3"/>
    </row>
    <row r="1222" spans="1:13" s="4" customFormat="1" ht="25.5" x14ac:dyDescent="0.25">
      <c r="A1222" s="4" t="s">
        <v>2164</v>
      </c>
      <c r="B1222" s="4" t="s">
        <v>13</v>
      </c>
      <c r="C1222" s="37" t="s">
        <v>2033</v>
      </c>
      <c r="D1222" s="35">
        <v>10977</v>
      </c>
      <c r="E1222" s="4" t="s">
        <v>2164</v>
      </c>
      <c r="F1222" s="5">
        <v>40791</v>
      </c>
      <c r="G1222" s="5">
        <v>40872</v>
      </c>
      <c r="H1222" s="4" t="s">
        <v>2039</v>
      </c>
      <c r="I1222" s="6">
        <v>9438</v>
      </c>
      <c r="J1222" s="8">
        <v>9438</v>
      </c>
      <c r="K1222" s="37" t="s">
        <v>2033</v>
      </c>
      <c r="L1222" s="119"/>
      <c r="M1222" s="3"/>
    </row>
    <row r="1223" spans="1:13" s="4" customFormat="1" ht="25.5" x14ac:dyDescent="0.25">
      <c r="A1223" s="4" t="s">
        <v>2165</v>
      </c>
      <c r="B1223" s="4" t="s">
        <v>13</v>
      </c>
      <c r="C1223" s="37" t="s">
        <v>2033</v>
      </c>
      <c r="D1223" s="35">
        <v>10978</v>
      </c>
      <c r="E1223" s="4" t="s">
        <v>2165</v>
      </c>
      <c r="F1223" s="5">
        <v>40819</v>
      </c>
      <c r="G1223" s="5">
        <v>40900</v>
      </c>
      <c r="H1223" s="4" t="s">
        <v>2039</v>
      </c>
      <c r="I1223" s="6">
        <v>5288.91</v>
      </c>
      <c r="J1223" s="8">
        <v>5288.91</v>
      </c>
      <c r="K1223" s="37" t="s">
        <v>2033</v>
      </c>
      <c r="L1223" s="119"/>
      <c r="M1223" s="3"/>
    </row>
    <row r="1224" spans="1:13" s="4" customFormat="1" ht="25.5" x14ac:dyDescent="0.25">
      <c r="A1224" s="4" t="s">
        <v>2166</v>
      </c>
      <c r="B1224" s="4" t="s">
        <v>13</v>
      </c>
      <c r="C1224" s="37" t="s">
        <v>2033</v>
      </c>
      <c r="D1224" s="35">
        <v>10979</v>
      </c>
      <c r="E1224" s="4" t="s">
        <v>2167</v>
      </c>
      <c r="F1224" s="5">
        <v>40805</v>
      </c>
      <c r="G1224" s="5">
        <v>40896</v>
      </c>
      <c r="H1224" s="4" t="s">
        <v>2039</v>
      </c>
      <c r="I1224" s="6">
        <v>5936.01</v>
      </c>
      <c r="J1224" s="8">
        <v>5936.01</v>
      </c>
      <c r="K1224" s="37" t="s">
        <v>2033</v>
      </c>
      <c r="L1224" s="119"/>
      <c r="M1224" s="3"/>
    </row>
    <row r="1225" spans="1:13" s="4" customFormat="1" ht="25.5" x14ac:dyDescent="0.25">
      <c r="A1225" s="4" t="s">
        <v>2168</v>
      </c>
      <c r="B1225" s="4" t="s">
        <v>13</v>
      </c>
      <c r="C1225" s="37" t="s">
        <v>2033</v>
      </c>
      <c r="D1225" s="35">
        <v>10980</v>
      </c>
      <c r="E1225" s="4" t="s">
        <v>2169</v>
      </c>
      <c r="F1225" s="5">
        <v>40787</v>
      </c>
      <c r="G1225" s="5">
        <v>41243</v>
      </c>
      <c r="H1225" s="4" t="s">
        <v>2039</v>
      </c>
      <c r="I1225" s="6">
        <v>77585.91</v>
      </c>
      <c r="J1225" s="8">
        <f>1338+76247.91</f>
        <v>77585.91</v>
      </c>
      <c r="K1225" s="37" t="s">
        <v>2033</v>
      </c>
      <c r="L1225" s="119"/>
      <c r="M1225" s="3"/>
    </row>
    <row r="1226" spans="1:13" s="32" customFormat="1" ht="25.5" x14ac:dyDescent="0.25">
      <c r="A1226" s="13" t="s">
        <v>11401</v>
      </c>
      <c r="B1226" s="32" t="s">
        <v>13</v>
      </c>
      <c r="C1226" s="38" t="s">
        <v>2033</v>
      </c>
      <c r="D1226" s="33">
        <v>10981</v>
      </c>
      <c r="E1226" s="13" t="s">
        <v>11401</v>
      </c>
      <c r="F1226" s="34">
        <v>40938</v>
      </c>
      <c r="G1226" s="34">
        <v>41020</v>
      </c>
      <c r="H1226" s="4" t="s">
        <v>2039</v>
      </c>
      <c r="I1226" s="94">
        <v>6190.03</v>
      </c>
      <c r="J1226" s="94">
        <v>6190.03</v>
      </c>
      <c r="K1226" s="38" t="s">
        <v>2033</v>
      </c>
      <c r="L1226" s="119"/>
      <c r="M1226" s="3"/>
    </row>
    <row r="1227" spans="1:13" s="32" customFormat="1" ht="25.5" x14ac:dyDescent="0.25">
      <c r="A1227" s="13" t="s">
        <v>11402</v>
      </c>
      <c r="B1227" s="32" t="s">
        <v>13</v>
      </c>
      <c r="C1227" s="38" t="s">
        <v>2033</v>
      </c>
      <c r="D1227" s="33">
        <v>10982</v>
      </c>
      <c r="E1227" s="13" t="s">
        <v>11403</v>
      </c>
      <c r="H1227" s="4" t="s">
        <v>2039</v>
      </c>
      <c r="I1227" s="94">
        <v>14253.22</v>
      </c>
      <c r="J1227" s="94">
        <v>14253.22</v>
      </c>
      <c r="K1227" s="38" t="s">
        <v>2033</v>
      </c>
      <c r="L1227" s="119"/>
      <c r="M1227" s="3"/>
    </row>
    <row r="1228" spans="1:13" s="4" customFormat="1" ht="25.5" x14ac:dyDescent="0.25">
      <c r="A1228" s="4" t="s">
        <v>2170</v>
      </c>
      <c r="B1228" s="4" t="s">
        <v>13</v>
      </c>
      <c r="C1228" s="37" t="s">
        <v>2033</v>
      </c>
      <c r="D1228" s="35">
        <v>11107</v>
      </c>
      <c r="E1228" s="4" t="s">
        <v>2170</v>
      </c>
      <c r="F1228" s="5">
        <v>39797</v>
      </c>
      <c r="G1228" s="5">
        <v>41258</v>
      </c>
      <c r="H1228" s="4" t="s">
        <v>2039</v>
      </c>
      <c r="I1228" s="6">
        <v>67932.17</v>
      </c>
      <c r="J1228" s="6">
        <v>67932.17</v>
      </c>
      <c r="K1228" s="37" t="s">
        <v>2033</v>
      </c>
      <c r="L1228" s="119"/>
      <c r="M1228" s="3"/>
    </row>
    <row r="1229" spans="1:13" s="4" customFormat="1" ht="25.5" x14ac:dyDescent="0.25">
      <c r="A1229" s="4" t="s">
        <v>2171</v>
      </c>
      <c r="B1229" s="4" t="s">
        <v>13</v>
      </c>
      <c r="C1229" s="37" t="s">
        <v>2033</v>
      </c>
      <c r="D1229" s="35">
        <v>11108</v>
      </c>
      <c r="E1229" s="4" t="s">
        <v>2171</v>
      </c>
      <c r="F1229" s="5">
        <v>40483</v>
      </c>
      <c r="G1229" s="5">
        <v>41090</v>
      </c>
      <c r="H1229" s="4" t="s">
        <v>2039</v>
      </c>
      <c r="I1229" s="6">
        <f>33686.08+33385.38</f>
        <v>67071.459999999992</v>
      </c>
      <c r="J1229" s="6">
        <f>33686.08+33385.38</f>
        <v>67071.459999999992</v>
      </c>
      <c r="K1229" s="37" t="s">
        <v>2033</v>
      </c>
      <c r="L1229" s="119"/>
      <c r="M1229" s="3"/>
    </row>
    <row r="1230" spans="1:13" s="4" customFormat="1" ht="25.5" x14ac:dyDescent="0.25">
      <c r="A1230" s="4" t="s">
        <v>2172</v>
      </c>
      <c r="B1230" s="4" t="s">
        <v>13</v>
      </c>
      <c r="C1230" s="37" t="s">
        <v>2033</v>
      </c>
      <c r="D1230" s="35">
        <v>11109</v>
      </c>
      <c r="E1230" s="4" t="s">
        <v>2172</v>
      </c>
      <c r="F1230" s="5">
        <v>40575</v>
      </c>
      <c r="G1230" s="5">
        <v>41029</v>
      </c>
      <c r="H1230" s="4" t="s">
        <v>2039</v>
      </c>
      <c r="I1230" s="6">
        <v>51695.72</v>
      </c>
      <c r="J1230" s="6">
        <v>51695.72</v>
      </c>
      <c r="K1230" s="37" t="s">
        <v>2033</v>
      </c>
      <c r="L1230" s="119"/>
      <c r="M1230" s="3"/>
    </row>
    <row r="1231" spans="1:13" s="4" customFormat="1" ht="25.5" x14ac:dyDescent="0.25">
      <c r="A1231" s="4" t="s">
        <v>2173</v>
      </c>
      <c r="B1231" s="4" t="s">
        <v>13</v>
      </c>
      <c r="C1231" s="37" t="s">
        <v>2033</v>
      </c>
      <c r="D1231" s="35">
        <v>11110</v>
      </c>
      <c r="E1231" s="4" t="s">
        <v>2173</v>
      </c>
      <c r="F1231" s="5">
        <v>40718</v>
      </c>
      <c r="G1231" s="5">
        <v>40831</v>
      </c>
      <c r="H1231" s="4" t="s">
        <v>2039</v>
      </c>
      <c r="I1231" s="6">
        <f>12402.66-1684.2</f>
        <v>10718.46</v>
      </c>
      <c r="J1231" s="6">
        <f>12402.66-1684.2</f>
        <v>10718.46</v>
      </c>
      <c r="K1231" s="37" t="s">
        <v>2033</v>
      </c>
      <c r="L1231" s="119"/>
      <c r="M1231" s="3"/>
    </row>
    <row r="1232" spans="1:13" s="4" customFormat="1" ht="25.5" x14ac:dyDescent="0.25">
      <c r="A1232" s="4" t="s">
        <v>2174</v>
      </c>
      <c r="B1232" s="4" t="s">
        <v>13</v>
      </c>
      <c r="C1232" s="37" t="s">
        <v>2033</v>
      </c>
      <c r="D1232" s="35">
        <v>11111</v>
      </c>
      <c r="E1232" s="4" t="s">
        <v>2175</v>
      </c>
      <c r="F1232" s="5">
        <v>40787</v>
      </c>
      <c r="G1232" s="5">
        <v>40896</v>
      </c>
      <c r="H1232" s="4" t="s">
        <v>2039</v>
      </c>
      <c r="I1232" s="6">
        <v>12306.64</v>
      </c>
      <c r="J1232" s="6">
        <v>12306.64</v>
      </c>
      <c r="K1232" s="37" t="s">
        <v>2033</v>
      </c>
      <c r="L1232" s="119"/>
      <c r="M1232" s="3"/>
    </row>
    <row r="1233" spans="1:13" s="4" customFormat="1" ht="25.5" x14ac:dyDescent="0.25">
      <c r="A1233" s="4" t="s">
        <v>2176</v>
      </c>
      <c r="B1233" s="4" t="s">
        <v>13</v>
      </c>
      <c r="C1233" s="37" t="s">
        <v>2033</v>
      </c>
      <c r="D1233" s="35">
        <v>11112</v>
      </c>
      <c r="E1233" s="4" t="s">
        <v>2176</v>
      </c>
      <c r="F1233" s="5">
        <v>40787</v>
      </c>
      <c r="G1233" s="5">
        <v>41213</v>
      </c>
      <c r="H1233" s="4" t="s">
        <v>2039</v>
      </c>
      <c r="I1233" s="6">
        <f>10552.93+101561.29</f>
        <v>112114.22</v>
      </c>
      <c r="J1233" s="6">
        <f>10552.93+101561.29</f>
        <v>112114.22</v>
      </c>
      <c r="K1233" s="37" t="s">
        <v>2033</v>
      </c>
      <c r="L1233" s="119"/>
      <c r="M1233" s="3"/>
    </row>
    <row r="1234" spans="1:13" s="4" customFormat="1" ht="51" x14ac:dyDescent="0.25">
      <c r="A1234" s="13" t="s">
        <v>2177</v>
      </c>
      <c r="B1234" s="4" t="s">
        <v>13</v>
      </c>
      <c r="C1234" s="37" t="s">
        <v>2033</v>
      </c>
      <c r="D1234" s="35">
        <v>11675</v>
      </c>
      <c r="E1234" s="13" t="s">
        <v>2178</v>
      </c>
      <c r="F1234" s="14">
        <v>40629</v>
      </c>
      <c r="G1234" s="14">
        <v>41275</v>
      </c>
      <c r="H1234" s="4" t="s">
        <v>2039</v>
      </c>
      <c r="I1234" s="6">
        <f>46559.59+74014.77</f>
        <v>120574.36</v>
      </c>
      <c r="J1234" s="6">
        <f>46559.59+74014.77</f>
        <v>120574.36</v>
      </c>
      <c r="K1234" s="37" t="s">
        <v>2033</v>
      </c>
      <c r="L1234" s="119"/>
      <c r="M1234" s="3"/>
    </row>
    <row r="1235" spans="1:13" s="4" customFormat="1" ht="51" x14ac:dyDescent="0.25">
      <c r="A1235" s="13" t="s">
        <v>2179</v>
      </c>
      <c r="B1235" s="4" t="s">
        <v>13</v>
      </c>
      <c r="C1235" s="37" t="s">
        <v>2033</v>
      </c>
      <c r="D1235" s="35">
        <v>11676</v>
      </c>
      <c r="E1235" s="13" t="s">
        <v>2180</v>
      </c>
      <c r="F1235" s="14">
        <v>40634</v>
      </c>
      <c r="G1235" s="14">
        <v>41455</v>
      </c>
      <c r="H1235" s="4" t="s">
        <v>2039</v>
      </c>
      <c r="I1235" s="6">
        <f>57389.21+6283.61</f>
        <v>63672.82</v>
      </c>
      <c r="J1235" s="6">
        <f>57389.21+6283.61</f>
        <v>63672.82</v>
      </c>
      <c r="K1235" s="37" t="s">
        <v>2033</v>
      </c>
      <c r="L1235" s="119"/>
      <c r="M1235" s="3"/>
    </row>
    <row r="1236" spans="1:13" s="4" customFormat="1" ht="38.25" x14ac:dyDescent="0.25">
      <c r="A1236" s="13" t="s">
        <v>2181</v>
      </c>
      <c r="B1236" s="4" t="s">
        <v>13</v>
      </c>
      <c r="C1236" s="37" t="s">
        <v>2033</v>
      </c>
      <c r="D1236" s="35">
        <v>11677</v>
      </c>
      <c r="E1236" s="13" t="s">
        <v>2182</v>
      </c>
      <c r="F1236" s="14">
        <v>40695</v>
      </c>
      <c r="G1236" s="14">
        <v>41243</v>
      </c>
      <c r="H1236" s="4" t="s">
        <v>2039</v>
      </c>
      <c r="I1236" s="6">
        <f>28868.42+103231.68</f>
        <v>132100.09999999998</v>
      </c>
      <c r="J1236" s="6">
        <f>28868.42+103231.68</f>
        <v>132100.09999999998</v>
      </c>
      <c r="K1236" s="37" t="s">
        <v>2033</v>
      </c>
      <c r="L1236" s="119"/>
      <c r="M1236" s="3"/>
    </row>
    <row r="1237" spans="1:13" s="4" customFormat="1" ht="63.75" x14ac:dyDescent="0.25">
      <c r="A1237" s="13" t="s">
        <v>2183</v>
      </c>
      <c r="B1237" s="4" t="s">
        <v>13</v>
      </c>
      <c r="C1237" s="37" t="s">
        <v>2033</v>
      </c>
      <c r="D1237" s="35">
        <v>11678</v>
      </c>
      <c r="E1237" s="13" t="s">
        <v>2184</v>
      </c>
      <c r="F1237" s="14">
        <v>40756</v>
      </c>
      <c r="G1237" s="14">
        <v>41593</v>
      </c>
      <c r="H1237" s="4" t="s">
        <v>2039</v>
      </c>
      <c r="I1237" s="6">
        <f>31911.33+109536.29+94793.63</f>
        <v>236241.25</v>
      </c>
      <c r="J1237" s="6">
        <f>31911.33+109536.29+94793.63</f>
        <v>236241.25</v>
      </c>
      <c r="K1237" s="37" t="s">
        <v>2033</v>
      </c>
      <c r="L1237" s="119"/>
      <c r="M1237" s="3"/>
    </row>
    <row r="1238" spans="1:13" s="4" customFormat="1" ht="63.75" x14ac:dyDescent="0.25">
      <c r="A1238" s="13" t="s">
        <v>2185</v>
      </c>
      <c r="B1238" s="4" t="s">
        <v>13</v>
      </c>
      <c r="C1238" s="37" t="s">
        <v>2033</v>
      </c>
      <c r="D1238" s="35">
        <v>11679</v>
      </c>
      <c r="E1238" s="13" t="s">
        <v>2186</v>
      </c>
      <c r="F1238" s="14">
        <v>40725</v>
      </c>
      <c r="G1238" s="14">
        <v>41883</v>
      </c>
      <c r="H1238" s="4" t="s">
        <v>2039</v>
      </c>
      <c r="I1238" s="6">
        <f>49559.21+83315.1+122829.88</f>
        <v>255704.19</v>
      </c>
      <c r="J1238" s="6">
        <f>49559.21+83315.14+122829.84</f>
        <v>255704.19</v>
      </c>
      <c r="K1238" s="37" t="s">
        <v>2033</v>
      </c>
      <c r="L1238" s="119"/>
      <c r="M1238" s="3"/>
    </row>
    <row r="1239" spans="1:13" s="4" customFormat="1" ht="76.5" x14ac:dyDescent="0.25">
      <c r="A1239" s="13" t="s">
        <v>2187</v>
      </c>
      <c r="B1239" s="4" t="s">
        <v>13</v>
      </c>
      <c r="C1239" s="37" t="s">
        <v>2033</v>
      </c>
      <c r="D1239" s="35">
        <v>11680</v>
      </c>
      <c r="E1239" s="13" t="s">
        <v>2188</v>
      </c>
      <c r="F1239" s="14">
        <v>40787</v>
      </c>
      <c r="G1239" s="14">
        <v>41883</v>
      </c>
      <c r="H1239" s="4" t="s">
        <v>2039</v>
      </c>
      <c r="I1239" s="6">
        <f>10188.12+58942.49+132909.94</f>
        <v>202040.55</v>
      </c>
      <c r="J1239" s="6">
        <f>10188.12+58942.45+132909.98</f>
        <v>202040.55</v>
      </c>
      <c r="K1239" s="37" t="s">
        <v>2033</v>
      </c>
      <c r="L1239" s="119"/>
      <c r="M1239" s="3"/>
    </row>
    <row r="1240" spans="1:13" s="32" customFormat="1" ht="25.5" x14ac:dyDescent="0.25">
      <c r="A1240" s="13" t="s">
        <v>11405</v>
      </c>
      <c r="B1240" s="32" t="s">
        <v>13</v>
      </c>
      <c r="C1240" s="38" t="s">
        <v>2033</v>
      </c>
      <c r="D1240" s="33">
        <v>12915</v>
      </c>
      <c r="E1240" s="13" t="s">
        <v>11406</v>
      </c>
      <c r="F1240" s="34">
        <v>41115</v>
      </c>
      <c r="G1240" s="34">
        <v>41480</v>
      </c>
      <c r="H1240" s="4" t="s">
        <v>2039</v>
      </c>
      <c r="I1240" s="94">
        <f>39794.15</f>
        <v>39794.15</v>
      </c>
      <c r="J1240" s="94">
        <f>39794.15</f>
        <v>39794.15</v>
      </c>
      <c r="K1240" s="38" t="s">
        <v>2033</v>
      </c>
      <c r="L1240" s="119"/>
      <c r="M1240" s="3"/>
    </row>
    <row r="1241" spans="1:13" s="32" customFormat="1" ht="25.5" x14ac:dyDescent="0.25">
      <c r="A1241" s="13" t="s">
        <v>11604</v>
      </c>
      <c r="B1241" s="32" t="s">
        <v>13</v>
      </c>
      <c r="C1241" s="38" t="s">
        <v>2033</v>
      </c>
      <c r="D1241" s="33">
        <v>12916</v>
      </c>
      <c r="E1241" s="13" t="s">
        <v>11604</v>
      </c>
      <c r="H1241" s="4" t="s">
        <v>2039</v>
      </c>
      <c r="I1241" s="94">
        <v>12975.4</v>
      </c>
      <c r="J1241" s="94">
        <v>12975.4</v>
      </c>
      <c r="K1241" s="38" t="s">
        <v>2033</v>
      </c>
      <c r="L1241" s="119"/>
      <c r="M1241" s="3"/>
    </row>
    <row r="1242" spans="1:13" s="32" customFormat="1" ht="25.5" x14ac:dyDescent="0.25">
      <c r="A1242" s="13" t="s">
        <v>11605</v>
      </c>
      <c r="B1242" s="32" t="s">
        <v>13</v>
      </c>
      <c r="C1242" s="38" t="s">
        <v>2033</v>
      </c>
      <c r="D1242" s="33">
        <v>12950</v>
      </c>
      <c r="E1242" s="13" t="s">
        <v>11605</v>
      </c>
      <c r="F1242" s="34">
        <v>40969</v>
      </c>
      <c r="G1242" s="34">
        <v>41152</v>
      </c>
      <c r="H1242" s="4" t="s">
        <v>2039</v>
      </c>
      <c r="I1242" s="94">
        <v>10492</v>
      </c>
      <c r="J1242" s="94">
        <v>10492</v>
      </c>
      <c r="K1242" s="38" t="s">
        <v>2033</v>
      </c>
      <c r="L1242" s="119"/>
      <c r="M1242" s="3"/>
    </row>
    <row r="1243" spans="1:13" s="32" customFormat="1" ht="38.25" x14ac:dyDescent="0.25">
      <c r="A1243" s="13" t="s">
        <v>11606</v>
      </c>
      <c r="B1243" s="32" t="s">
        <v>13</v>
      </c>
      <c r="C1243" s="38" t="s">
        <v>2033</v>
      </c>
      <c r="D1243" s="33">
        <v>12951</v>
      </c>
      <c r="E1243" s="13" t="s">
        <v>11606</v>
      </c>
      <c r="F1243" s="34">
        <v>40969</v>
      </c>
      <c r="G1243" s="34">
        <v>41152</v>
      </c>
      <c r="H1243" s="4" t="s">
        <v>2039</v>
      </c>
      <c r="I1243" s="94">
        <v>4228.53</v>
      </c>
      <c r="J1243" s="94">
        <v>4228.53</v>
      </c>
      <c r="K1243" s="38" t="s">
        <v>2033</v>
      </c>
      <c r="L1243" s="119"/>
      <c r="M1243" s="3"/>
    </row>
    <row r="1244" spans="1:13" s="32" customFormat="1" ht="25.5" x14ac:dyDescent="0.25">
      <c r="A1244" s="13" t="s">
        <v>11607</v>
      </c>
      <c r="B1244" s="32" t="s">
        <v>13</v>
      </c>
      <c r="C1244" s="38" t="s">
        <v>2033</v>
      </c>
      <c r="D1244" s="33">
        <v>12952</v>
      </c>
      <c r="E1244" s="13" t="s">
        <v>11607</v>
      </c>
      <c r="F1244" s="34">
        <v>41147</v>
      </c>
      <c r="G1244" s="34">
        <v>41269</v>
      </c>
      <c r="H1244" s="4" t="s">
        <v>2039</v>
      </c>
      <c r="I1244" s="94">
        <v>2169.7199999999998</v>
      </c>
      <c r="J1244" s="94">
        <v>2169.7199999999998</v>
      </c>
      <c r="K1244" s="38" t="s">
        <v>2033</v>
      </c>
      <c r="L1244" s="119"/>
      <c r="M1244" s="3"/>
    </row>
    <row r="1245" spans="1:13" s="32" customFormat="1" ht="25.5" x14ac:dyDescent="0.25">
      <c r="A1245" s="13" t="s">
        <v>11608</v>
      </c>
      <c r="B1245" s="32" t="s">
        <v>13</v>
      </c>
      <c r="C1245" s="38" t="s">
        <v>2033</v>
      </c>
      <c r="D1245" s="33">
        <v>12953</v>
      </c>
      <c r="E1245" s="13" t="s">
        <v>11608</v>
      </c>
      <c r="F1245" s="34">
        <v>40909</v>
      </c>
      <c r="G1245" s="34">
        <v>41684</v>
      </c>
      <c r="H1245" s="4" t="s">
        <v>2039</v>
      </c>
      <c r="I1245" s="94">
        <f>108421.6+167112.72</f>
        <v>275534.32</v>
      </c>
      <c r="J1245" s="94">
        <f>108421.6+167112.72</f>
        <v>275534.32</v>
      </c>
      <c r="K1245" s="38" t="s">
        <v>2033</v>
      </c>
      <c r="L1245" s="119"/>
      <c r="M1245" s="3"/>
    </row>
    <row r="1246" spans="1:13" s="32" customFormat="1" ht="25.5" x14ac:dyDescent="0.25">
      <c r="A1246" s="13" t="s">
        <v>11609</v>
      </c>
      <c r="B1246" s="32" t="s">
        <v>13</v>
      </c>
      <c r="C1246" s="38" t="s">
        <v>2033</v>
      </c>
      <c r="D1246" s="33">
        <v>12954</v>
      </c>
      <c r="E1246" s="13" t="s">
        <v>11609</v>
      </c>
      <c r="F1246" s="34">
        <v>40969</v>
      </c>
      <c r="G1246" s="34">
        <v>41578</v>
      </c>
      <c r="H1246" s="4" t="s">
        <v>2039</v>
      </c>
      <c r="I1246" s="94">
        <f>36725.44+37381.81</f>
        <v>74107.25</v>
      </c>
      <c r="J1246" s="94">
        <f>36725.44+37381.81</f>
        <v>74107.25</v>
      </c>
      <c r="K1246" s="38" t="s">
        <v>2033</v>
      </c>
      <c r="L1246" s="119"/>
      <c r="M1246" s="3"/>
    </row>
    <row r="1247" spans="1:13" s="32" customFormat="1" ht="38.25" x14ac:dyDescent="0.25">
      <c r="A1247" s="13" t="s">
        <v>11610</v>
      </c>
      <c r="B1247" s="32" t="s">
        <v>13</v>
      </c>
      <c r="C1247" s="38" t="s">
        <v>2033</v>
      </c>
      <c r="D1247" s="33">
        <v>12955</v>
      </c>
      <c r="E1247" s="13" t="s">
        <v>11610</v>
      </c>
      <c r="F1247" s="34">
        <v>41153</v>
      </c>
      <c r="G1247" s="34">
        <v>41943</v>
      </c>
      <c r="H1247" s="4" t="s">
        <v>2039</v>
      </c>
      <c r="I1247" s="94">
        <v>20673.330000000002</v>
      </c>
      <c r="J1247" s="94">
        <v>20673.330000000002</v>
      </c>
      <c r="K1247" s="38" t="s">
        <v>2033</v>
      </c>
      <c r="L1247" s="119"/>
      <c r="M1247" s="3"/>
    </row>
    <row r="1248" spans="1:13" s="32" customFormat="1" ht="25.5" x14ac:dyDescent="0.25">
      <c r="A1248" s="13" t="s">
        <v>11611</v>
      </c>
      <c r="B1248" s="32" t="s">
        <v>13</v>
      </c>
      <c r="C1248" s="38" t="s">
        <v>2033</v>
      </c>
      <c r="D1248" s="33">
        <v>12956</v>
      </c>
      <c r="E1248" s="13" t="s">
        <v>11611</v>
      </c>
      <c r="F1248" s="34">
        <v>40817</v>
      </c>
      <c r="G1248" s="34">
        <v>41912</v>
      </c>
      <c r="H1248" s="4" t="s">
        <v>2039</v>
      </c>
      <c r="I1248" s="94">
        <f>59412.8+150342.61</f>
        <v>209755.40999999997</v>
      </c>
      <c r="J1248" s="94">
        <f>59412.8+150342.61</f>
        <v>209755.40999999997</v>
      </c>
      <c r="K1248" s="38" t="s">
        <v>2033</v>
      </c>
      <c r="L1248" s="119"/>
      <c r="M1248" s="3"/>
    </row>
    <row r="1249" spans="1:13" s="32" customFormat="1" ht="25.5" x14ac:dyDescent="0.25">
      <c r="A1249" s="13" t="s">
        <v>11407</v>
      </c>
      <c r="B1249" s="32" t="s">
        <v>13</v>
      </c>
      <c r="C1249" s="38" t="s">
        <v>2033</v>
      </c>
      <c r="D1249" s="33">
        <v>13110</v>
      </c>
      <c r="E1249" s="13" t="s">
        <v>11407</v>
      </c>
      <c r="F1249" s="34">
        <v>41136</v>
      </c>
      <c r="G1249" s="34">
        <v>41228</v>
      </c>
      <c r="H1249" s="4" t="s">
        <v>2039</v>
      </c>
      <c r="I1249" s="94">
        <v>13529.99</v>
      </c>
      <c r="J1249" s="94">
        <v>13529.99</v>
      </c>
      <c r="K1249" s="38" t="s">
        <v>2033</v>
      </c>
      <c r="L1249" s="119"/>
      <c r="M1249" s="3"/>
    </row>
    <row r="1250" spans="1:13" s="32" customFormat="1" ht="25.5" x14ac:dyDescent="0.25">
      <c r="A1250" s="13" t="s">
        <v>11408</v>
      </c>
      <c r="B1250" s="32" t="s">
        <v>13</v>
      </c>
      <c r="C1250" s="38" t="s">
        <v>2033</v>
      </c>
      <c r="D1250" s="33">
        <v>13111</v>
      </c>
      <c r="E1250" s="13" t="s">
        <v>11408</v>
      </c>
      <c r="F1250" s="34">
        <v>41106</v>
      </c>
      <c r="G1250" s="34">
        <v>41218</v>
      </c>
      <c r="H1250" s="4" t="s">
        <v>2039</v>
      </c>
      <c r="I1250" s="94">
        <v>3997.5</v>
      </c>
      <c r="J1250" s="94">
        <v>3997.5</v>
      </c>
      <c r="K1250" s="38" t="s">
        <v>2033</v>
      </c>
      <c r="L1250" s="119"/>
      <c r="M1250" s="3"/>
    </row>
    <row r="1251" spans="1:13" s="32" customFormat="1" ht="25.5" x14ac:dyDescent="0.25">
      <c r="A1251" s="13" t="s">
        <v>11409</v>
      </c>
      <c r="B1251" s="32" t="s">
        <v>13</v>
      </c>
      <c r="C1251" s="38" t="s">
        <v>2033</v>
      </c>
      <c r="D1251" s="33">
        <v>13112</v>
      </c>
      <c r="E1251" s="13" t="s">
        <v>11410</v>
      </c>
      <c r="F1251" s="34">
        <v>40966</v>
      </c>
      <c r="G1251" s="34">
        <v>41136</v>
      </c>
      <c r="H1251" s="4" t="s">
        <v>2039</v>
      </c>
      <c r="I1251" s="94">
        <v>11999.88</v>
      </c>
      <c r="J1251" s="94">
        <v>11999.88</v>
      </c>
      <c r="K1251" s="38" t="s">
        <v>2033</v>
      </c>
      <c r="L1251" s="119"/>
      <c r="M1251" s="3"/>
    </row>
    <row r="1252" spans="1:13" s="32" customFormat="1" ht="38.25" x14ac:dyDescent="0.25">
      <c r="A1252" s="13" t="s">
        <v>11494</v>
      </c>
      <c r="B1252" s="32" t="s">
        <v>13</v>
      </c>
      <c r="C1252" s="38" t="s">
        <v>2033</v>
      </c>
      <c r="D1252" s="33">
        <v>13113</v>
      </c>
      <c r="E1252" s="13" t="s">
        <v>11495</v>
      </c>
      <c r="F1252" s="34">
        <v>41153</v>
      </c>
      <c r="G1252" s="34">
        <v>41599</v>
      </c>
      <c r="H1252" s="4" t="s">
        <v>2039</v>
      </c>
      <c r="I1252" s="94">
        <v>21487.54</v>
      </c>
      <c r="J1252" s="94">
        <v>21487.54</v>
      </c>
      <c r="K1252" s="38" t="s">
        <v>2033</v>
      </c>
      <c r="L1252" s="119"/>
      <c r="M1252" s="3"/>
    </row>
    <row r="1253" spans="1:13" s="32" customFormat="1" ht="25.5" x14ac:dyDescent="0.25">
      <c r="A1253" s="13" t="s">
        <v>11411</v>
      </c>
      <c r="B1253" s="32" t="s">
        <v>13</v>
      </c>
      <c r="C1253" s="38" t="s">
        <v>2033</v>
      </c>
      <c r="D1253" s="33">
        <v>13115</v>
      </c>
      <c r="E1253" s="13" t="s">
        <v>11412</v>
      </c>
      <c r="F1253" s="34">
        <v>41122</v>
      </c>
      <c r="G1253" s="34">
        <v>41608</v>
      </c>
      <c r="H1253" s="4" t="s">
        <v>2039</v>
      </c>
      <c r="I1253" s="94">
        <v>4014.57</v>
      </c>
      <c r="J1253" s="94">
        <v>4014.57</v>
      </c>
      <c r="K1253" s="38" t="s">
        <v>2033</v>
      </c>
      <c r="L1253" s="119"/>
      <c r="M1253" s="3"/>
    </row>
    <row r="1254" spans="1:13" s="32" customFormat="1" ht="25.5" x14ac:dyDescent="0.25">
      <c r="A1254" s="13" t="s">
        <v>11413</v>
      </c>
      <c r="B1254" s="32" t="s">
        <v>13</v>
      </c>
      <c r="C1254" s="38" t="s">
        <v>2033</v>
      </c>
      <c r="D1254" s="33">
        <v>13116</v>
      </c>
      <c r="E1254" s="13" t="s">
        <v>11413</v>
      </c>
      <c r="F1254" s="34">
        <v>40878</v>
      </c>
      <c r="G1254" s="34">
        <v>41578</v>
      </c>
      <c r="H1254" s="4" t="s">
        <v>2039</v>
      </c>
      <c r="I1254" s="94">
        <v>49459.63</v>
      </c>
      <c r="J1254" s="94">
        <v>49459.63</v>
      </c>
      <c r="K1254" s="38" t="s">
        <v>2033</v>
      </c>
      <c r="L1254" s="119"/>
      <c r="M1254" s="3"/>
    </row>
    <row r="1255" spans="1:13" s="32" customFormat="1" ht="25.5" x14ac:dyDescent="0.25">
      <c r="A1255" s="13" t="s">
        <v>11414</v>
      </c>
      <c r="B1255" s="32" t="s">
        <v>13</v>
      </c>
      <c r="C1255" s="38" t="s">
        <v>2033</v>
      </c>
      <c r="D1255" s="33">
        <v>13117</v>
      </c>
      <c r="E1255" s="13" t="s">
        <v>11414</v>
      </c>
      <c r="F1255" s="34">
        <v>41065</v>
      </c>
      <c r="G1255" s="34">
        <v>41578</v>
      </c>
      <c r="H1255" s="4" t="s">
        <v>2039</v>
      </c>
      <c r="I1255" s="94">
        <v>33053.01</v>
      </c>
      <c r="J1255" s="94">
        <v>33053.01</v>
      </c>
      <c r="K1255" s="38" t="s">
        <v>2033</v>
      </c>
      <c r="L1255" s="119"/>
      <c r="M1255" s="3"/>
    </row>
    <row r="1256" spans="1:13" s="32" customFormat="1" ht="25.5" x14ac:dyDescent="0.25">
      <c r="A1256" s="13" t="s">
        <v>11415</v>
      </c>
      <c r="B1256" s="32" t="s">
        <v>13</v>
      </c>
      <c r="C1256" s="38" t="s">
        <v>2033</v>
      </c>
      <c r="D1256" s="33">
        <v>13118</v>
      </c>
      <c r="E1256" s="13" t="s">
        <v>11415</v>
      </c>
      <c r="F1256" s="34">
        <v>40969</v>
      </c>
      <c r="G1256" s="34">
        <v>41577</v>
      </c>
      <c r="H1256" s="4" t="s">
        <v>2039</v>
      </c>
      <c r="I1256" s="94">
        <v>1115.8599999999999</v>
      </c>
      <c r="J1256" s="94">
        <v>1115.8599999999999</v>
      </c>
      <c r="K1256" s="38" t="s">
        <v>2033</v>
      </c>
      <c r="L1256" s="119"/>
      <c r="M1256" s="3"/>
    </row>
    <row r="1257" spans="1:13" s="32" customFormat="1" ht="25.5" x14ac:dyDescent="0.2">
      <c r="A1257" s="91" t="s">
        <v>11666</v>
      </c>
      <c r="B1257" s="32" t="s">
        <v>13</v>
      </c>
      <c r="C1257" s="38" t="s">
        <v>2033</v>
      </c>
      <c r="D1257" s="33">
        <v>13435</v>
      </c>
      <c r="E1257" s="91" t="s">
        <v>11666</v>
      </c>
      <c r="F1257" s="34">
        <v>41487</v>
      </c>
      <c r="G1257" s="34">
        <v>42400</v>
      </c>
      <c r="H1257" s="4" t="s">
        <v>2039</v>
      </c>
      <c r="I1257" s="94">
        <v>44275.45</v>
      </c>
      <c r="J1257" s="94">
        <v>44275.45</v>
      </c>
      <c r="K1257" s="38" t="s">
        <v>2033</v>
      </c>
      <c r="L1257" s="119"/>
      <c r="M1257" s="3"/>
    </row>
    <row r="1258" spans="1:13" s="32" customFormat="1" ht="25.5" x14ac:dyDescent="0.25">
      <c r="A1258" s="107" t="s">
        <v>11667</v>
      </c>
      <c r="B1258" s="32" t="s">
        <v>13</v>
      </c>
      <c r="C1258" s="38" t="s">
        <v>2033</v>
      </c>
      <c r="D1258" s="33">
        <v>13437</v>
      </c>
      <c r="E1258" s="107" t="s">
        <v>11667</v>
      </c>
      <c r="F1258" s="34">
        <v>41306</v>
      </c>
      <c r="G1258" s="34">
        <v>42094</v>
      </c>
      <c r="H1258" s="4" t="s">
        <v>2039</v>
      </c>
      <c r="I1258" s="94">
        <v>127241.98</v>
      </c>
      <c r="J1258" s="94">
        <v>127241.98</v>
      </c>
      <c r="K1258" s="38" t="s">
        <v>2033</v>
      </c>
      <c r="L1258" s="119"/>
      <c r="M1258" s="3"/>
    </row>
    <row r="1259" spans="1:13" s="32" customFormat="1" ht="25.5" x14ac:dyDescent="0.25">
      <c r="A1259" s="107" t="s">
        <v>11668</v>
      </c>
      <c r="B1259" s="32" t="s">
        <v>13</v>
      </c>
      <c r="C1259" s="38" t="s">
        <v>2033</v>
      </c>
      <c r="D1259" s="33">
        <v>13438</v>
      </c>
      <c r="E1259" s="107" t="s">
        <v>11668</v>
      </c>
      <c r="F1259" s="34">
        <v>41334</v>
      </c>
      <c r="G1259" s="34">
        <v>42216</v>
      </c>
      <c r="H1259" s="4" t="s">
        <v>2039</v>
      </c>
      <c r="I1259" s="94">
        <v>165015.18</v>
      </c>
      <c r="J1259" s="94">
        <v>165015.18</v>
      </c>
      <c r="K1259" s="38" t="s">
        <v>2033</v>
      </c>
      <c r="L1259" s="119"/>
      <c r="M1259" s="3"/>
    </row>
    <row r="1260" spans="1:13" s="4" customFormat="1" ht="25.5" x14ac:dyDescent="0.25">
      <c r="A1260" s="4" t="s">
        <v>2189</v>
      </c>
      <c r="B1260" s="4" t="s">
        <v>13</v>
      </c>
      <c r="C1260" s="37" t="s">
        <v>2033</v>
      </c>
      <c r="D1260" s="35">
        <v>9462</v>
      </c>
      <c r="E1260" s="4" t="s">
        <v>2190</v>
      </c>
      <c r="F1260" s="5">
        <v>39400</v>
      </c>
      <c r="G1260" s="5">
        <v>39446</v>
      </c>
      <c r="H1260" s="4" t="s">
        <v>389</v>
      </c>
      <c r="I1260" s="6">
        <v>48146.8</v>
      </c>
      <c r="J1260" s="6">
        <v>19258.2</v>
      </c>
      <c r="K1260" s="37" t="s">
        <v>2033</v>
      </c>
      <c r="L1260" s="119"/>
      <c r="M1260" s="3"/>
    </row>
    <row r="1261" spans="1:13" s="4" customFormat="1" ht="25.5" x14ac:dyDescent="0.25">
      <c r="A1261" s="4" t="s">
        <v>2191</v>
      </c>
      <c r="B1261" s="4" t="s">
        <v>13</v>
      </c>
      <c r="C1261" s="37" t="s">
        <v>2033</v>
      </c>
      <c r="D1261" s="35">
        <v>9886</v>
      </c>
      <c r="E1261" s="4" t="s">
        <v>2192</v>
      </c>
      <c r="F1261" s="5">
        <v>40406</v>
      </c>
      <c r="G1261" s="5">
        <v>40535</v>
      </c>
      <c r="H1261" s="4" t="s">
        <v>392</v>
      </c>
      <c r="I1261" s="6">
        <v>97306.92</v>
      </c>
      <c r="J1261" s="6">
        <v>13038.7</v>
      </c>
      <c r="K1261" s="37" t="s">
        <v>2033</v>
      </c>
      <c r="L1261" s="119"/>
      <c r="M1261" s="3"/>
    </row>
    <row r="1262" spans="1:13" s="4" customFormat="1" ht="102" x14ac:dyDescent="0.25">
      <c r="A1262" s="4" t="s">
        <v>2193</v>
      </c>
      <c r="B1262" s="4" t="s">
        <v>13</v>
      </c>
      <c r="C1262" s="37" t="s">
        <v>2033</v>
      </c>
      <c r="D1262" s="35">
        <v>6929</v>
      </c>
      <c r="E1262" s="7" t="s">
        <v>2194</v>
      </c>
      <c r="F1262" s="5">
        <v>39083</v>
      </c>
      <c r="G1262" s="5">
        <v>40908</v>
      </c>
      <c r="H1262" s="4" t="s">
        <v>2195</v>
      </c>
      <c r="I1262" s="6">
        <v>5316686.01</v>
      </c>
      <c r="J1262" s="6">
        <v>5316686.01</v>
      </c>
      <c r="K1262" s="37" t="s">
        <v>2033</v>
      </c>
      <c r="L1262" s="119"/>
      <c r="M1262" s="3"/>
    </row>
    <row r="1263" spans="1:13" s="4" customFormat="1" ht="25.5" x14ac:dyDescent="0.25">
      <c r="A1263" s="4" t="s">
        <v>2196</v>
      </c>
      <c r="B1263" s="4" t="s">
        <v>50</v>
      </c>
      <c r="C1263" s="37" t="s">
        <v>2033</v>
      </c>
      <c r="D1263" s="35">
        <v>950</v>
      </c>
      <c r="E1263" s="4" t="s">
        <v>2197</v>
      </c>
      <c r="F1263" s="5">
        <v>39132</v>
      </c>
      <c r="G1263" s="5">
        <v>40227</v>
      </c>
      <c r="H1263" s="4" t="s">
        <v>40</v>
      </c>
      <c r="I1263" s="6">
        <v>57000</v>
      </c>
      <c r="J1263" s="6">
        <v>28500</v>
      </c>
      <c r="K1263" s="37" t="s">
        <v>2033</v>
      </c>
      <c r="L1263" s="119"/>
      <c r="M1263" s="3"/>
    </row>
    <row r="1264" spans="1:13" s="4" customFormat="1" x14ac:dyDescent="0.25">
      <c r="A1264" s="4" t="s">
        <v>2198</v>
      </c>
      <c r="B1264" s="4" t="s">
        <v>50</v>
      </c>
      <c r="C1264" s="37" t="s">
        <v>2033</v>
      </c>
      <c r="D1264" s="35">
        <v>965</v>
      </c>
      <c r="E1264" s="4" t="s">
        <v>2199</v>
      </c>
      <c r="F1264" s="5">
        <v>39132</v>
      </c>
      <c r="G1264" s="5">
        <v>39189</v>
      </c>
      <c r="H1264" s="4" t="s">
        <v>40</v>
      </c>
      <c r="I1264" s="6">
        <v>11532.24</v>
      </c>
      <c r="J1264" s="6">
        <v>5766.12</v>
      </c>
      <c r="K1264" s="37" t="s">
        <v>2033</v>
      </c>
      <c r="L1264" s="119"/>
      <c r="M1264" s="3"/>
    </row>
    <row r="1265" spans="1:13" s="4" customFormat="1" x14ac:dyDescent="0.25">
      <c r="A1265" s="4" t="s">
        <v>2202</v>
      </c>
      <c r="B1265" s="4" t="s">
        <v>59</v>
      </c>
      <c r="C1265" s="37" t="s">
        <v>2033</v>
      </c>
      <c r="D1265" s="35">
        <v>967</v>
      </c>
      <c r="E1265" s="4" t="s">
        <v>2203</v>
      </c>
      <c r="F1265" s="5">
        <v>39230</v>
      </c>
      <c r="G1265" s="5">
        <v>39510</v>
      </c>
      <c r="H1265" s="4" t="s">
        <v>40</v>
      </c>
      <c r="I1265" s="6">
        <v>7500</v>
      </c>
      <c r="J1265" s="6">
        <v>7500</v>
      </c>
      <c r="K1265" s="37" t="s">
        <v>2033</v>
      </c>
      <c r="L1265" s="119"/>
      <c r="M1265" s="3"/>
    </row>
    <row r="1266" spans="1:13" s="4" customFormat="1" x14ac:dyDescent="0.25">
      <c r="A1266" s="4" t="s">
        <v>2204</v>
      </c>
      <c r="B1266" s="4" t="s">
        <v>50</v>
      </c>
      <c r="C1266" s="37" t="s">
        <v>2033</v>
      </c>
      <c r="D1266" s="35">
        <v>969</v>
      </c>
      <c r="E1266" s="4" t="s">
        <v>2205</v>
      </c>
      <c r="F1266" s="5">
        <v>39230</v>
      </c>
      <c r="G1266" s="5">
        <v>39303</v>
      </c>
      <c r="H1266" s="4" t="s">
        <v>40</v>
      </c>
      <c r="I1266" s="6">
        <v>25206.12</v>
      </c>
      <c r="J1266" s="6">
        <v>12603.06</v>
      </c>
      <c r="K1266" s="37" t="s">
        <v>2033</v>
      </c>
      <c r="L1266" s="119"/>
      <c r="M1266" s="3"/>
    </row>
    <row r="1267" spans="1:13" s="4" customFormat="1" x14ac:dyDescent="0.25">
      <c r="A1267" s="4" t="s">
        <v>2206</v>
      </c>
      <c r="B1267" s="4" t="s">
        <v>90</v>
      </c>
      <c r="C1267" s="37" t="s">
        <v>2033</v>
      </c>
      <c r="D1267" s="35">
        <v>970</v>
      </c>
      <c r="E1267" s="4" t="s">
        <v>2207</v>
      </c>
      <c r="F1267" s="5">
        <v>39230</v>
      </c>
      <c r="G1267" s="5">
        <v>39332</v>
      </c>
      <c r="H1267" s="4" t="s">
        <v>40</v>
      </c>
      <c r="I1267" s="6">
        <v>10200</v>
      </c>
      <c r="J1267" s="6">
        <v>5100</v>
      </c>
      <c r="K1267" s="37" t="s">
        <v>2033</v>
      </c>
      <c r="L1267" s="119"/>
      <c r="M1267" s="3"/>
    </row>
    <row r="1268" spans="1:13" s="4" customFormat="1" x14ac:dyDescent="0.25">
      <c r="A1268" s="4" t="s">
        <v>2208</v>
      </c>
      <c r="B1268" s="4" t="s">
        <v>59</v>
      </c>
      <c r="C1268" s="37" t="s">
        <v>2033</v>
      </c>
      <c r="D1268" s="35">
        <v>971</v>
      </c>
      <c r="E1268" s="4" t="s">
        <v>2209</v>
      </c>
      <c r="F1268" s="5">
        <v>39287</v>
      </c>
      <c r="G1268" s="5">
        <v>39597</v>
      </c>
      <c r="H1268" s="4" t="s">
        <v>40</v>
      </c>
      <c r="I1268" s="6">
        <v>7500</v>
      </c>
      <c r="J1268" s="6">
        <v>7500</v>
      </c>
      <c r="K1268" s="37" t="s">
        <v>2033</v>
      </c>
      <c r="L1268" s="119"/>
      <c r="M1268" s="3"/>
    </row>
    <row r="1269" spans="1:13" s="4" customFormat="1" x14ac:dyDescent="0.25">
      <c r="A1269" s="4" t="s">
        <v>2210</v>
      </c>
      <c r="B1269" s="4" t="s">
        <v>59</v>
      </c>
      <c r="C1269" s="37" t="s">
        <v>2033</v>
      </c>
      <c r="D1269" s="35">
        <v>974</v>
      </c>
      <c r="E1269" s="4" t="s">
        <v>2211</v>
      </c>
      <c r="F1269" s="5">
        <v>39188</v>
      </c>
      <c r="G1269" s="5">
        <v>39757</v>
      </c>
      <c r="H1269" s="4" t="s">
        <v>40</v>
      </c>
      <c r="I1269" s="6">
        <v>7500</v>
      </c>
      <c r="J1269" s="6">
        <v>7500</v>
      </c>
      <c r="K1269" s="37" t="s">
        <v>2033</v>
      </c>
      <c r="L1269" s="119"/>
      <c r="M1269" s="3"/>
    </row>
    <row r="1270" spans="1:13" s="4" customFormat="1" x14ac:dyDescent="0.25">
      <c r="A1270" s="4" t="s">
        <v>2214</v>
      </c>
      <c r="B1270" s="4" t="s">
        <v>50</v>
      </c>
      <c r="C1270" s="37" t="s">
        <v>2033</v>
      </c>
      <c r="D1270" s="35">
        <v>979</v>
      </c>
      <c r="E1270" s="4" t="s">
        <v>2215</v>
      </c>
      <c r="F1270" s="5">
        <v>39188</v>
      </c>
      <c r="G1270" s="5">
        <v>39510</v>
      </c>
      <c r="H1270" s="4" t="s">
        <v>40</v>
      </c>
      <c r="I1270" s="6">
        <v>30000</v>
      </c>
      <c r="J1270" s="6">
        <v>15000</v>
      </c>
      <c r="K1270" s="37" t="s">
        <v>2033</v>
      </c>
      <c r="L1270" s="119"/>
      <c r="M1270" s="3"/>
    </row>
    <row r="1271" spans="1:13" s="4" customFormat="1" x14ac:dyDescent="0.25">
      <c r="A1271" s="4" t="s">
        <v>2216</v>
      </c>
      <c r="B1271" s="4" t="s">
        <v>59</v>
      </c>
      <c r="C1271" s="37" t="s">
        <v>2033</v>
      </c>
      <c r="D1271" s="35">
        <v>982</v>
      </c>
      <c r="E1271" s="4" t="s">
        <v>2217</v>
      </c>
      <c r="F1271" s="5">
        <v>39475</v>
      </c>
      <c r="G1271" s="5">
        <v>39507</v>
      </c>
      <c r="H1271" s="4" t="s">
        <v>40</v>
      </c>
      <c r="I1271" s="6">
        <v>7500</v>
      </c>
      <c r="J1271" s="6">
        <v>7500</v>
      </c>
      <c r="K1271" s="37" t="s">
        <v>2033</v>
      </c>
      <c r="L1271" s="119"/>
      <c r="M1271" s="3"/>
    </row>
    <row r="1272" spans="1:13" s="4" customFormat="1" x14ac:dyDescent="0.25">
      <c r="A1272" s="4" t="s">
        <v>2218</v>
      </c>
      <c r="B1272" s="4" t="s">
        <v>50</v>
      </c>
      <c r="C1272" s="37" t="s">
        <v>2033</v>
      </c>
      <c r="D1272" s="35">
        <v>984</v>
      </c>
      <c r="F1272" s="5">
        <v>39475</v>
      </c>
      <c r="G1272" s="5">
        <v>39539</v>
      </c>
      <c r="H1272" s="4" t="s">
        <v>40</v>
      </c>
      <c r="I1272" s="6">
        <v>29000</v>
      </c>
      <c r="J1272" s="6">
        <v>14500</v>
      </c>
      <c r="K1272" s="37" t="s">
        <v>2033</v>
      </c>
      <c r="L1272" s="119"/>
      <c r="M1272" s="3"/>
    </row>
    <row r="1273" spans="1:13" s="4" customFormat="1" x14ac:dyDescent="0.25">
      <c r="A1273" s="4" t="s">
        <v>2219</v>
      </c>
      <c r="B1273" s="4" t="s">
        <v>59</v>
      </c>
      <c r="C1273" s="37" t="s">
        <v>2033</v>
      </c>
      <c r="D1273" s="35">
        <v>986</v>
      </c>
      <c r="E1273" s="4" t="s">
        <v>2220</v>
      </c>
      <c r="F1273" s="5">
        <v>39580</v>
      </c>
      <c r="G1273" s="5">
        <v>39790</v>
      </c>
      <c r="H1273" s="4" t="s">
        <v>40</v>
      </c>
      <c r="I1273" s="6">
        <v>7500</v>
      </c>
      <c r="J1273" s="6">
        <v>7500</v>
      </c>
      <c r="K1273" s="37" t="s">
        <v>2033</v>
      </c>
      <c r="L1273" s="119"/>
      <c r="M1273" s="3"/>
    </row>
    <row r="1274" spans="1:13" s="4" customFormat="1" ht="25.5" x14ac:dyDescent="0.25">
      <c r="A1274" s="4" t="s">
        <v>2221</v>
      </c>
      <c r="B1274" s="4" t="s">
        <v>59</v>
      </c>
      <c r="C1274" s="37" t="s">
        <v>2033</v>
      </c>
      <c r="D1274" s="35">
        <v>989</v>
      </c>
      <c r="E1274" s="4" t="s">
        <v>2222</v>
      </c>
      <c r="F1274" s="5">
        <v>39657</v>
      </c>
      <c r="G1274" s="5">
        <v>39869</v>
      </c>
      <c r="H1274" s="4" t="s">
        <v>40</v>
      </c>
      <c r="I1274" s="6">
        <v>15000</v>
      </c>
      <c r="J1274" s="6">
        <v>15000</v>
      </c>
      <c r="K1274" s="37" t="s">
        <v>2033</v>
      </c>
      <c r="L1274" s="119"/>
      <c r="M1274" s="3"/>
    </row>
    <row r="1275" spans="1:13" s="4" customFormat="1" x14ac:dyDescent="0.25">
      <c r="A1275" s="4" t="s">
        <v>2223</v>
      </c>
      <c r="B1275" s="4" t="s">
        <v>59</v>
      </c>
      <c r="C1275" s="37" t="s">
        <v>2033</v>
      </c>
      <c r="D1275" s="35">
        <v>990</v>
      </c>
      <c r="E1275" s="4" t="s">
        <v>2224</v>
      </c>
      <c r="F1275" s="5">
        <v>39517</v>
      </c>
      <c r="G1275" s="5">
        <v>39910</v>
      </c>
      <c r="H1275" s="4" t="s">
        <v>40</v>
      </c>
      <c r="I1275" s="6">
        <v>7500</v>
      </c>
      <c r="J1275" s="6">
        <v>7500</v>
      </c>
      <c r="K1275" s="37" t="s">
        <v>2033</v>
      </c>
      <c r="L1275" s="119"/>
      <c r="M1275" s="3"/>
    </row>
    <row r="1276" spans="1:13" s="4" customFormat="1" x14ac:dyDescent="0.25">
      <c r="A1276" s="4" t="s">
        <v>2227</v>
      </c>
      <c r="B1276" s="4" t="s">
        <v>50</v>
      </c>
      <c r="C1276" s="37" t="s">
        <v>2033</v>
      </c>
      <c r="D1276" s="35">
        <v>1019</v>
      </c>
      <c r="E1276" s="4" t="s">
        <v>2228</v>
      </c>
      <c r="F1276" s="5">
        <v>39475</v>
      </c>
      <c r="G1276" s="5">
        <v>39722</v>
      </c>
      <c r="H1276" s="4" t="s">
        <v>40</v>
      </c>
      <c r="I1276" s="6">
        <v>75000</v>
      </c>
      <c r="J1276" s="6">
        <v>37500</v>
      </c>
      <c r="K1276" s="37" t="s">
        <v>2033</v>
      </c>
      <c r="L1276" s="119"/>
      <c r="M1276" s="3"/>
    </row>
    <row r="1277" spans="1:13" s="4" customFormat="1" x14ac:dyDescent="0.25">
      <c r="A1277" s="4" t="s">
        <v>2229</v>
      </c>
      <c r="B1277" s="4" t="s">
        <v>90</v>
      </c>
      <c r="C1277" s="37" t="s">
        <v>2033</v>
      </c>
      <c r="D1277" s="35">
        <v>1024</v>
      </c>
      <c r="E1277" s="4" t="s">
        <v>2230</v>
      </c>
      <c r="F1277" s="5">
        <v>39657</v>
      </c>
      <c r="G1277" s="5">
        <v>39722</v>
      </c>
      <c r="H1277" s="4" t="s">
        <v>40</v>
      </c>
      <c r="I1277" s="6">
        <v>1800</v>
      </c>
      <c r="J1277" s="6">
        <v>900</v>
      </c>
      <c r="K1277" s="37" t="s">
        <v>2033</v>
      </c>
      <c r="L1277" s="119"/>
      <c r="M1277" s="3"/>
    </row>
    <row r="1278" spans="1:13" s="4" customFormat="1" x14ac:dyDescent="0.25">
      <c r="A1278" s="4" t="s">
        <v>2231</v>
      </c>
      <c r="B1278" s="4" t="s">
        <v>90</v>
      </c>
      <c r="C1278" s="37" t="s">
        <v>2033</v>
      </c>
      <c r="D1278" s="35">
        <v>1025</v>
      </c>
      <c r="E1278" s="4" t="s">
        <v>2232</v>
      </c>
      <c r="F1278" s="5">
        <v>39713</v>
      </c>
      <c r="G1278" s="5">
        <v>39722</v>
      </c>
      <c r="H1278" s="4" t="s">
        <v>40</v>
      </c>
      <c r="I1278" s="6">
        <v>1599.97</v>
      </c>
      <c r="J1278" s="6">
        <v>799.98</v>
      </c>
      <c r="K1278" s="37" t="s">
        <v>2033</v>
      </c>
      <c r="L1278" s="119"/>
      <c r="M1278" s="3"/>
    </row>
    <row r="1279" spans="1:13" s="4" customFormat="1" ht="25.5" x14ac:dyDescent="0.25">
      <c r="A1279" s="4" t="s">
        <v>2233</v>
      </c>
      <c r="B1279" s="4" t="s">
        <v>50</v>
      </c>
      <c r="C1279" s="37" t="s">
        <v>2033</v>
      </c>
      <c r="D1279" s="35">
        <v>1026</v>
      </c>
      <c r="E1279" s="4" t="s">
        <v>2234</v>
      </c>
      <c r="F1279" s="5">
        <v>39475</v>
      </c>
      <c r="G1279" s="5">
        <v>39728</v>
      </c>
      <c r="H1279" s="4" t="s">
        <v>40</v>
      </c>
      <c r="I1279" s="6">
        <v>44886.16</v>
      </c>
      <c r="J1279" s="6">
        <v>22443.08</v>
      </c>
      <c r="K1279" s="37" t="s">
        <v>2033</v>
      </c>
      <c r="L1279" s="119"/>
      <c r="M1279" s="3"/>
    </row>
    <row r="1280" spans="1:13" s="4" customFormat="1" ht="25.5" x14ac:dyDescent="0.25">
      <c r="A1280" s="4" t="s">
        <v>2235</v>
      </c>
      <c r="B1280" s="4" t="s">
        <v>50</v>
      </c>
      <c r="C1280" s="37" t="s">
        <v>2033</v>
      </c>
      <c r="D1280" s="35">
        <v>1027</v>
      </c>
      <c r="E1280" s="4" t="s">
        <v>2236</v>
      </c>
      <c r="F1280" s="5">
        <v>39517</v>
      </c>
      <c r="G1280" s="5">
        <v>39975</v>
      </c>
      <c r="H1280" s="4" t="s">
        <v>40</v>
      </c>
      <c r="I1280" s="6">
        <v>101793.68</v>
      </c>
      <c r="J1280" s="6">
        <v>50896.84</v>
      </c>
      <c r="K1280" s="37" t="s">
        <v>2033</v>
      </c>
      <c r="L1280" s="119"/>
      <c r="M1280" s="3"/>
    </row>
    <row r="1281" spans="1:13" s="4" customFormat="1" x14ac:dyDescent="0.25">
      <c r="A1281" s="4" t="s">
        <v>2237</v>
      </c>
      <c r="B1281" s="4" t="s">
        <v>59</v>
      </c>
      <c r="C1281" s="37" t="s">
        <v>2033</v>
      </c>
      <c r="D1281" s="35">
        <v>1028</v>
      </c>
      <c r="E1281" s="4" t="s">
        <v>2238</v>
      </c>
      <c r="F1281" s="5">
        <v>39713</v>
      </c>
      <c r="G1281" s="5">
        <v>39975</v>
      </c>
      <c r="H1281" s="4" t="s">
        <v>40</v>
      </c>
      <c r="I1281" s="6">
        <v>7500</v>
      </c>
      <c r="J1281" s="6">
        <v>7500</v>
      </c>
      <c r="K1281" s="37" t="s">
        <v>2033</v>
      </c>
      <c r="L1281" s="119"/>
      <c r="M1281" s="3"/>
    </row>
    <row r="1282" spans="1:13" s="4" customFormat="1" ht="25.5" x14ac:dyDescent="0.25">
      <c r="A1282" s="4" t="s">
        <v>2239</v>
      </c>
      <c r="B1282" s="4" t="s">
        <v>59</v>
      </c>
      <c r="C1282" s="37" t="s">
        <v>2033</v>
      </c>
      <c r="D1282" s="35">
        <v>1029</v>
      </c>
      <c r="E1282" s="4" t="s">
        <v>2240</v>
      </c>
      <c r="F1282" s="5">
        <v>39713</v>
      </c>
      <c r="G1282" s="5">
        <v>39995</v>
      </c>
      <c r="H1282" s="4" t="s">
        <v>40</v>
      </c>
      <c r="I1282" s="6">
        <v>7500</v>
      </c>
      <c r="J1282" s="6">
        <v>7500</v>
      </c>
      <c r="K1282" s="37" t="s">
        <v>2033</v>
      </c>
      <c r="L1282" s="119"/>
      <c r="M1282" s="3"/>
    </row>
    <row r="1283" spans="1:13" s="4" customFormat="1" ht="38.25" x14ac:dyDescent="0.25">
      <c r="A1283" s="4" t="s">
        <v>2241</v>
      </c>
      <c r="B1283" s="4" t="s">
        <v>38</v>
      </c>
      <c r="C1283" s="37" t="s">
        <v>2033</v>
      </c>
      <c r="D1283" s="35">
        <v>1032</v>
      </c>
      <c r="E1283" s="4" t="s">
        <v>2242</v>
      </c>
      <c r="F1283" s="5">
        <v>39084</v>
      </c>
      <c r="G1283" s="5">
        <v>40576</v>
      </c>
      <c r="H1283" s="4" t="s">
        <v>40</v>
      </c>
      <c r="I1283" s="6">
        <v>6650</v>
      </c>
      <c r="J1283" s="6">
        <v>6650</v>
      </c>
      <c r="K1283" s="37" t="s">
        <v>2033</v>
      </c>
      <c r="L1283" s="119"/>
      <c r="M1283" s="3"/>
    </row>
    <row r="1284" spans="1:13" s="4" customFormat="1" ht="127.5" x14ac:dyDescent="0.25">
      <c r="A1284" s="4" t="s">
        <v>433</v>
      </c>
      <c r="B1284" s="4" t="s">
        <v>38</v>
      </c>
      <c r="C1284" s="37" t="s">
        <v>2033</v>
      </c>
      <c r="D1284" s="35">
        <v>1755</v>
      </c>
      <c r="E1284" s="7" t="s">
        <v>2243</v>
      </c>
      <c r="F1284" s="5">
        <v>39083</v>
      </c>
      <c r="G1284" s="5">
        <v>41639</v>
      </c>
      <c r="H1284" s="4" t="s">
        <v>40</v>
      </c>
      <c r="I1284" s="6">
        <f>8951.54+1095+1580+5478.64</f>
        <v>17105.18</v>
      </c>
      <c r="J1284" s="6">
        <f>16010.18+1095</f>
        <v>17105.18</v>
      </c>
      <c r="K1284" s="37" t="s">
        <v>2033</v>
      </c>
      <c r="L1284" s="119"/>
      <c r="M1284" s="3"/>
    </row>
    <row r="1285" spans="1:13" s="4" customFormat="1" ht="89.25" x14ac:dyDescent="0.25">
      <c r="A1285" s="4" t="s">
        <v>2244</v>
      </c>
      <c r="B1285" s="4" t="s">
        <v>38</v>
      </c>
      <c r="C1285" s="37" t="s">
        <v>2033</v>
      </c>
      <c r="D1285" s="35">
        <v>1758</v>
      </c>
      <c r="E1285" s="7" t="s">
        <v>2245</v>
      </c>
      <c r="F1285" s="5">
        <v>39428</v>
      </c>
      <c r="G1285" s="5">
        <v>40178</v>
      </c>
      <c r="H1285" s="4" t="s">
        <v>40</v>
      </c>
      <c r="I1285" s="6">
        <v>44500</v>
      </c>
      <c r="J1285" s="6">
        <v>44500</v>
      </c>
      <c r="K1285" s="37" t="s">
        <v>2033</v>
      </c>
      <c r="L1285" s="119"/>
      <c r="M1285" s="3"/>
    </row>
    <row r="1286" spans="1:13" s="4" customFormat="1" ht="102" x14ac:dyDescent="0.25">
      <c r="A1286" s="4" t="s">
        <v>2246</v>
      </c>
      <c r="B1286" s="4" t="s">
        <v>38</v>
      </c>
      <c r="C1286" s="37" t="s">
        <v>2033</v>
      </c>
      <c r="D1286" s="35">
        <v>1765</v>
      </c>
      <c r="E1286" s="7" t="s">
        <v>2247</v>
      </c>
      <c r="F1286" s="5">
        <v>39083</v>
      </c>
      <c r="G1286" s="5">
        <v>40882</v>
      </c>
      <c r="H1286" s="4" t="s">
        <v>40</v>
      </c>
      <c r="I1286" s="6">
        <v>56560.99</v>
      </c>
      <c r="J1286" s="6">
        <v>56560.99</v>
      </c>
      <c r="K1286" s="37" t="s">
        <v>2033</v>
      </c>
      <c r="L1286" s="119"/>
      <c r="M1286" s="3"/>
    </row>
    <row r="1287" spans="1:13" s="4" customFormat="1" ht="51" x14ac:dyDescent="0.25">
      <c r="A1287" s="4" t="s">
        <v>2248</v>
      </c>
      <c r="B1287" s="4" t="s">
        <v>38</v>
      </c>
      <c r="C1287" s="37" t="s">
        <v>2033</v>
      </c>
      <c r="D1287" s="35">
        <v>1767</v>
      </c>
      <c r="E1287" s="4" t="s">
        <v>2249</v>
      </c>
      <c r="F1287" s="5">
        <v>39132</v>
      </c>
      <c r="G1287" s="5">
        <v>41274</v>
      </c>
      <c r="H1287" s="4" t="s">
        <v>40</v>
      </c>
      <c r="I1287" s="6">
        <v>181197.2</v>
      </c>
      <c r="J1287" s="6">
        <v>181197.2</v>
      </c>
      <c r="K1287" s="37" t="s">
        <v>2033</v>
      </c>
      <c r="L1287" s="119"/>
      <c r="M1287" s="3"/>
    </row>
    <row r="1288" spans="1:13" s="4" customFormat="1" ht="63.75" x14ac:dyDescent="0.25">
      <c r="A1288" s="4" t="s">
        <v>2250</v>
      </c>
      <c r="B1288" s="4" t="s">
        <v>38</v>
      </c>
      <c r="C1288" s="37" t="s">
        <v>2033</v>
      </c>
      <c r="D1288" s="35">
        <v>1772</v>
      </c>
      <c r="E1288" s="4" t="s">
        <v>2251</v>
      </c>
      <c r="F1288" s="5">
        <v>39083</v>
      </c>
      <c r="G1288" s="5">
        <v>40908</v>
      </c>
      <c r="H1288" s="4" t="s">
        <v>40</v>
      </c>
      <c r="I1288" s="6">
        <v>217185</v>
      </c>
      <c r="J1288" s="6">
        <v>217185</v>
      </c>
      <c r="K1288" s="37" t="s">
        <v>2033</v>
      </c>
      <c r="L1288" s="119"/>
      <c r="M1288" s="3"/>
    </row>
    <row r="1289" spans="1:13" s="4" customFormat="1" ht="51" x14ac:dyDescent="0.25">
      <c r="A1289" s="4" t="s">
        <v>2254</v>
      </c>
      <c r="B1289" s="4" t="s">
        <v>38</v>
      </c>
      <c r="C1289" s="37" t="s">
        <v>2033</v>
      </c>
      <c r="D1289" s="35">
        <v>1783</v>
      </c>
      <c r="E1289" s="4" t="s">
        <v>2255</v>
      </c>
      <c r="F1289" s="5">
        <v>39083</v>
      </c>
      <c r="G1289" s="5">
        <v>40870</v>
      </c>
      <c r="H1289" s="4" t="s">
        <v>40</v>
      </c>
      <c r="I1289" s="6">
        <v>7495</v>
      </c>
      <c r="J1289" s="6">
        <v>7495</v>
      </c>
      <c r="K1289" s="37" t="s">
        <v>2033</v>
      </c>
      <c r="L1289" s="119"/>
      <c r="M1289" s="3"/>
    </row>
    <row r="1290" spans="1:13" s="4" customFormat="1" ht="76.5" x14ac:dyDescent="0.25">
      <c r="A1290" s="4" t="s">
        <v>2256</v>
      </c>
      <c r="B1290" s="4" t="s">
        <v>38</v>
      </c>
      <c r="C1290" s="37" t="s">
        <v>2033</v>
      </c>
      <c r="D1290" s="35">
        <v>1785</v>
      </c>
      <c r="E1290" s="4" t="s">
        <v>2257</v>
      </c>
      <c r="F1290" s="5">
        <v>39083</v>
      </c>
      <c r="G1290" s="5">
        <v>40178</v>
      </c>
      <c r="H1290" s="4" t="s">
        <v>40</v>
      </c>
      <c r="I1290" s="6">
        <v>11171</v>
      </c>
      <c r="J1290" s="6">
        <v>11171</v>
      </c>
      <c r="K1290" s="37" t="s">
        <v>2033</v>
      </c>
      <c r="L1290" s="119"/>
      <c r="M1290" s="3"/>
    </row>
    <row r="1291" spans="1:13" s="4" customFormat="1" ht="38.25" x14ac:dyDescent="0.25">
      <c r="A1291" s="4" t="s">
        <v>2258</v>
      </c>
      <c r="B1291" s="4" t="s">
        <v>38</v>
      </c>
      <c r="C1291" s="37" t="s">
        <v>2033</v>
      </c>
      <c r="D1291" s="35">
        <v>1794</v>
      </c>
      <c r="E1291" s="4" t="s">
        <v>2259</v>
      </c>
      <c r="F1291" s="5">
        <v>39132</v>
      </c>
      <c r="G1291" s="5">
        <v>40773</v>
      </c>
      <c r="H1291" s="4" t="s">
        <v>40</v>
      </c>
      <c r="I1291" s="6">
        <v>2000</v>
      </c>
      <c r="J1291" s="6">
        <v>2000</v>
      </c>
      <c r="K1291" s="37" t="s">
        <v>2033</v>
      </c>
      <c r="L1291" s="119"/>
      <c r="M1291" s="3"/>
    </row>
    <row r="1292" spans="1:13" s="4" customFormat="1" ht="25.5" x14ac:dyDescent="0.25">
      <c r="A1292" s="4" t="s">
        <v>2260</v>
      </c>
      <c r="B1292" s="4" t="s">
        <v>38</v>
      </c>
      <c r="C1292" s="37" t="s">
        <v>2033</v>
      </c>
      <c r="D1292" s="35">
        <v>1796</v>
      </c>
      <c r="E1292" s="4" t="s">
        <v>2261</v>
      </c>
      <c r="F1292" s="5">
        <v>39083</v>
      </c>
      <c r="G1292" s="5">
        <v>39813</v>
      </c>
      <c r="H1292" s="4" t="s">
        <v>40</v>
      </c>
      <c r="I1292" s="6">
        <v>1846.66</v>
      </c>
      <c r="J1292" s="6">
        <v>1846.66</v>
      </c>
      <c r="K1292" s="37" t="s">
        <v>2033</v>
      </c>
      <c r="L1292" s="119"/>
      <c r="M1292" s="3"/>
    </row>
    <row r="1293" spans="1:13" s="4" customFormat="1" ht="63.75" x14ac:dyDescent="0.25">
      <c r="A1293" s="4" t="s">
        <v>2262</v>
      </c>
      <c r="B1293" s="4" t="s">
        <v>38</v>
      </c>
      <c r="C1293" s="37" t="s">
        <v>2033</v>
      </c>
      <c r="D1293" s="35">
        <v>1798</v>
      </c>
      <c r="E1293" s="4" t="s">
        <v>2263</v>
      </c>
      <c r="F1293" s="5">
        <v>39083</v>
      </c>
      <c r="G1293" s="5">
        <v>40178</v>
      </c>
      <c r="H1293" s="4" t="s">
        <v>40</v>
      </c>
      <c r="I1293" s="6">
        <v>38999</v>
      </c>
      <c r="J1293" s="6">
        <v>38999</v>
      </c>
      <c r="K1293" s="37" t="s">
        <v>2033</v>
      </c>
      <c r="L1293" s="119"/>
      <c r="M1293" s="3"/>
    </row>
    <row r="1294" spans="1:13" s="4" customFormat="1" ht="51" x14ac:dyDescent="0.25">
      <c r="A1294" s="4" t="s">
        <v>2264</v>
      </c>
      <c r="B1294" s="4" t="s">
        <v>38</v>
      </c>
      <c r="C1294" s="37" t="s">
        <v>2033</v>
      </c>
      <c r="D1294" s="35">
        <v>1800</v>
      </c>
      <c r="E1294" s="4" t="s">
        <v>2265</v>
      </c>
      <c r="F1294" s="5">
        <v>39083</v>
      </c>
      <c r="G1294" s="5">
        <v>40255</v>
      </c>
      <c r="H1294" s="4" t="s">
        <v>40</v>
      </c>
      <c r="I1294" s="6">
        <v>7655.13</v>
      </c>
      <c r="J1294" s="6">
        <v>7655.13</v>
      </c>
      <c r="K1294" s="37" t="s">
        <v>2033</v>
      </c>
      <c r="L1294" s="119"/>
      <c r="M1294" s="3"/>
    </row>
    <row r="1295" spans="1:13" s="4" customFormat="1" ht="114.75" x14ac:dyDescent="0.25">
      <c r="A1295" s="4" t="s">
        <v>2266</v>
      </c>
      <c r="B1295" s="4" t="s">
        <v>38</v>
      </c>
      <c r="C1295" s="37" t="s">
        <v>2033</v>
      </c>
      <c r="D1295" s="35">
        <v>1801</v>
      </c>
      <c r="E1295" s="7" t="s">
        <v>2267</v>
      </c>
      <c r="F1295" s="5">
        <v>39083</v>
      </c>
      <c r="G1295" s="5">
        <v>40178</v>
      </c>
      <c r="H1295" s="4" t="s">
        <v>40</v>
      </c>
      <c r="I1295" s="6">
        <v>40389.089999999997</v>
      </c>
      <c r="J1295" s="6">
        <v>40389.089999999997</v>
      </c>
      <c r="K1295" s="37" t="s">
        <v>2033</v>
      </c>
      <c r="L1295" s="119"/>
      <c r="M1295" s="3"/>
    </row>
    <row r="1296" spans="1:13" s="4" customFormat="1" ht="25.5" x14ac:dyDescent="0.25">
      <c r="A1296" s="4" t="s">
        <v>2268</v>
      </c>
      <c r="B1296" s="4" t="s">
        <v>38</v>
      </c>
      <c r="C1296" s="37" t="s">
        <v>2033</v>
      </c>
      <c r="D1296" s="35">
        <v>1802</v>
      </c>
      <c r="E1296" s="4" t="s">
        <v>2269</v>
      </c>
      <c r="F1296" s="5">
        <v>39083</v>
      </c>
      <c r="G1296" s="5">
        <v>39447</v>
      </c>
      <c r="H1296" s="4" t="s">
        <v>40</v>
      </c>
      <c r="I1296" s="6">
        <v>2117.5</v>
      </c>
      <c r="J1296" s="6">
        <v>2117.5</v>
      </c>
      <c r="K1296" s="37" t="s">
        <v>2033</v>
      </c>
      <c r="L1296" s="119"/>
      <c r="M1296" s="3"/>
    </row>
    <row r="1297" spans="1:13" s="4" customFormat="1" ht="51" x14ac:dyDescent="0.25">
      <c r="A1297" s="4" t="s">
        <v>2270</v>
      </c>
      <c r="B1297" s="4" t="s">
        <v>38</v>
      </c>
      <c r="C1297" s="37" t="s">
        <v>2033</v>
      </c>
      <c r="D1297" s="35">
        <v>1812</v>
      </c>
      <c r="E1297" s="4" t="s">
        <v>2271</v>
      </c>
      <c r="F1297" s="5">
        <v>39132</v>
      </c>
      <c r="G1297" s="5">
        <v>41274</v>
      </c>
      <c r="H1297" s="4" t="s">
        <v>40</v>
      </c>
      <c r="I1297" s="6">
        <v>35580.32</v>
      </c>
      <c r="J1297" s="6">
        <v>35580.32</v>
      </c>
      <c r="K1297" s="37" t="s">
        <v>2033</v>
      </c>
      <c r="L1297" s="119"/>
      <c r="M1297" s="3"/>
    </row>
    <row r="1298" spans="1:13" s="4" customFormat="1" ht="25.5" x14ac:dyDescent="0.25">
      <c r="A1298" s="4" t="s">
        <v>2272</v>
      </c>
      <c r="B1298" s="4" t="s">
        <v>38</v>
      </c>
      <c r="C1298" s="37" t="s">
        <v>2033</v>
      </c>
      <c r="D1298" s="35">
        <v>1815</v>
      </c>
      <c r="E1298" s="4" t="s">
        <v>2273</v>
      </c>
      <c r="F1298" s="5">
        <v>39083</v>
      </c>
      <c r="G1298" s="5">
        <v>39813</v>
      </c>
      <c r="H1298" s="4" t="s">
        <v>40</v>
      </c>
      <c r="I1298" s="6">
        <v>4920</v>
      </c>
      <c r="J1298" s="6">
        <v>4920</v>
      </c>
      <c r="K1298" s="37" t="s">
        <v>2033</v>
      </c>
      <c r="L1298" s="119"/>
      <c r="M1298" s="3"/>
    </row>
    <row r="1299" spans="1:13" s="4" customFormat="1" ht="114.75" x14ac:dyDescent="0.25">
      <c r="A1299" s="4" t="s">
        <v>2274</v>
      </c>
      <c r="B1299" s="4" t="s">
        <v>38</v>
      </c>
      <c r="C1299" s="37" t="s">
        <v>2033</v>
      </c>
      <c r="D1299" s="35">
        <v>1820</v>
      </c>
      <c r="E1299" s="7" t="s">
        <v>2275</v>
      </c>
      <c r="F1299" s="5">
        <v>39083</v>
      </c>
      <c r="G1299" s="5">
        <v>41274</v>
      </c>
      <c r="H1299" s="4" t="s">
        <v>40</v>
      </c>
      <c r="I1299" s="6">
        <v>57625.89</v>
      </c>
      <c r="J1299" s="6">
        <f>46840.49+10785.4</f>
        <v>57625.89</v>
      </c>
      <c r="K1299" s="37" t="s">
        <v>2033</v>
      </c>
      <c r="L1299" s="119"/>
      <c r="M1299" s="3"/>
    </row>
    <row r="1300" spans="1:13" s="4" customFormat="1" ht="51" x14ac:dyDescent="0.25">
      <c r="A1300" s="4" t="s">
        <v>2276</v>
      </c>
      <c r="B1300" s="4" t="s">
        <v>38</v>
      </c>
      <c r="C1300" s="37" t="s">
        <v>2033</v>
      </c>
      <c r="D1300" s="35">
        <v>1826</v>
      </c>
      <c r="E1300" s="4" t="s">
        <v>2277</v>
      </c>
      <c r="F1300" s="5">
        <v>39083</v>
      </c>
      <c r="G1300" s="5">
        <v>40178</v>
      </c>
      <c r="H1300" s="4" t="s">
        <v>40</v>
      </c>
      <c r="I1300" s="6">
        <v>9100</v>
      </c>
      <c r="J1300" s="6">
        <v>9100</v>
      </c>
      <c r="K1300" s="37" t="s">
        <v>2033</v>
      </c>
      <c r="L1300" s="119"/>
      <c r="M1300" s="3"/>
    </row>
    <row r="1301" spans="1:13" s="4" customFormat="1" ht="38.25" x14ac:dyDescent="0.25">
      <c r="A1301" s="4" t="s">
        <v>2278</v>
      </c>
      <c r="B1301" s="4" t="s">
        <v>38</v>
      </c>
      <c r="C1301" s="37" t="s">
        <v>2033</v>
      </c>
      <c r="D1301" s="35">
        <v>1828</v>
      </c>
      <c r="E1301" s="4" t="s">
        <v>2279</v>
      </c>
      <c r="F1301" s="5">
        <v>39083</v>
      </c>
      <c r="G1301" s="5">
        <v>39447</v>
      </c>
      <c r="H1301" s="4" t="s">
        <v>40</v>
      </c>
      <c r="I1301" s="6">
        <v>4522.3999999999996</v>
      </c>
      <c r="J1301" s="6">
        <v>4522.3999999999996</v>
      </c>
      <c r="K1301" s="37" t="s">
        <v>2033</v>
      </c>
      <c r="L1301" s="119"/>
      <c r="M1301" s="3"/>
    </row>
    <row r="1302" spans="1:13" s="4" customFormat="1" ht="38.25" x14ac:dyDescent="0.25">
      <c r="A1302" s="4" t="s">
        <v>2280</v>
      </c>
      <c r="B1302" s="4" t="s">
        <v>38</v>
      </c>
      <c r="C1302" s="37" t="s">
        <v>2033</v>
      </c>
      <c r="D1302" s="35">
        <v>1835</v>
      </c>
      <c r="E1302" s="4" t="s">
        <v>2281</v>
      </c>
      <c r="F1302" s="5">
        <v>39083</v>
      </c>
      <c r="G1302" s="5">
        <v>40178</v>
      </c>
      <c r="H1302" s="4" t="s">
        <v>40</v>
      </c>
      <c r="I1302" s="6">
        <v>6240</v>
      </c>
      <c r="J1302" s="6">
        <v>6240</v>
      </c>
      <c r="K1302" s="37" t="s">
        <v>2033</v>
      </c>
      <c r="L1302" s="119"/>
      <c r="M1302" s="3"/>
    </row>
    <row r="1303" spans="1:13" s="4" customFormat="1" ht="25.5" x14ac:dyDescent="0.25">
      <c r="A1303" s="4" t="s">
        <v>2282</v>
      </c>
      <c r="B1303" s="4" t="s">
        <v>38</v>
      </c>
      <c r="C1303" s="37" t="s">
        <v>2033</v>
      </c>
      <c r="D1303" s="35">
        <v>1876</v>
      </c>
      <c r="E1303" s="4" t="s">
        <v>2283</v>
      </c>
      <c r="F1303" s="5">
        <v>39083</v>
      </c>
      <c r="G1303" s="5">
        <v>40178</v>
      </c>
      <c r="H1303" s="4" t="s">
        <v>40</v>
      </c>
      <c r="I1303" s="6">
        <v>6760</v>
      </c>
      <c r="J1303" s="6">
        <v>6760</v>
      </c>
      <c r="K1303" s="37" t="s">
        <v>2033</v>
      </c>
      <c r="L1303" s="119"/>
      <c r="M1303" s="3"/>
    </row>
    <row r="1304" spans="1:13" s="4" customFormat="1" ht="25.5" x14ac:dyDescent="0.25">
      <c r="A1304" s="4" t="s">
        <v>2284</v>
      </c>
      <c r="B1304" s="4" t="s">
        <v>38</v>
      </c>
      <c r="C1304" s="37" t="s">
        <v>2033</v>
      </c>
      <c r="D1304" s="35">
        <v>1878</v>
      </c>
      <c r="E1304" s="4" t="s">
        <v>2285</v>
      </c>
      <c r="F1304" s="5">
        <v>39083</v>
      </c>
      <c r="G1304" s="5">
        <v>39447</v>
      </c>
      <c r="H1304" s="4" t="s">
        <v>40</v>
      </c>
      <c r="I1304" s="6">
        <v>600</v>
      </c>
      <c r="J1304" s="6">
        <v>600</v>
      </c>
      <c r="K1304" s="37" t="s">
        <v>2033</v>
      </c>
      <c r="L1304" s="119"/>
      <c r="M1304" s="3"/>
    </row>
    <row r="1305" spans="1:13" s="4" customFormat="1" ht="63.75" x14ac:dyDescent="0.25">
      <c r="A1305" s="4" t="s">
        <v>2286</v>
      </c>
      <c r="B1305" s="4" t="s">
        <v>38</v>
      </c>
      <c r="C1305" s="37" t="s">
        <v>2033</v>
      </c>
      <c r="D1305" s="35">
        <v>1881</v>
      </c>
      <c r="E1305" s="4" t="s">
        <v>2287</v>
      </c>
      <c r="F1305" s="5">
        <v>39230</v>
      </c>
      <c r="G1305" s="5">
        <v>40178</v>
      </c>
      <c r="H1305" s="4" t="s">
        <v>40</v>
      </c>
      <c r="I1305" s="6">
        <v>3100</v>
      </c>
      <c r="J1305" s="6">
        <v>3100</v>
      </c>
      <c r="K1305" s="37" t="s">
        <v>2033</v>
      </c>
      <c r="L1305" s="119"/>
      <c r="M1305" s="3"/>
    </row>
    <row r="1306" spans="1:13" s="4" customFormat="1" ht="25.5" x14ac:dyDescent="0.25">
      <c r="A1306" s="4" t="s">
        <v>2288</v>
      </c>
      <c r="B1306" s="4" t="s">
        <v>38</v>
      </c>
      <c r="C1306" s="37" t="s">
        <v>2033</v>
      </c>
      <c r="D1306" s="35">
        <v>1885</v>
      </c>
      <c r="E1306" s="4" t="s">
        <v>2289</v>
      </c>
      <c r="F1306" s="5">
        <v>39083</v>
      </c>
      <c r="G1306" s="5">
        <v>39447</v>
      </c>
      <c r="H1306" s="4" t="s">
        <v>40</v>
      </c>
      <c r="I1306" s="6">
        <v>12000</v>
      </c>
      <c r="J1306" s="6">
        <v>12000</v>
      </c>
      <c r="K1306" s="37" t="s">
        <v>2033</v>
      </c>
      <c r="L1306" s="119"/>
      <c r="M1306" s="3"/>
    </row>
    <row r="1307" spans="1:13" s="4" customFormat="1" ht="153" x14ac:dyDescent="0.25">
      <c r="A1307" s="4" t="s">
        <v>2290</v>
      </c>
      <c r="B1307" s="4" t="s">
        <v>38</v>
      </c>
      <c r="C1307" s="37" t="s">
        <v>2033</v>
      </c>
      <c r="D1307" s="35">
        <v>1888</v>
      </c>
      <c r="E1307" s="7" t="s">
        <v>2291</v>
      </c>
      <c r="F1307" s="5">
        <v>39083</v>
      </c>
      <c r="G1307" s="5">
        <v>41274</v>
      </c>
      <c r="H1307" s="4" t="s">
        <v>40</v>
      </c>
      <c r="I1307" s="6">
        <v>153146.34</v>
      </c>
      <c r="J1307" s="6">
        <f>152216.33+930.01</f>
        <v>153146.34</v>
      </c>
      <c r="K1307" s="37" t="s">
        <v>2033</v>
      </c>
      <c r="L1307" s="119"/>
      <c r="M1307" s="3"/>
    </row>
    <row r="1308" spans="1:13" s="4" customFormat="1" ht="25.5" x14ac:dyDescent="0.25">
      <c r="A1308" s="4" t="s">
        <v>2292</v>
      </c>
      <c r="B1308" s="4" t="s">
        <v>38</v>
      </c>
      <c r="C1308" s="37" t="s">
        <v>2033</v>
      </c>
      <c r="D1308" s="35">
        <v>1889</v>
      </c>
      <c r="E1308" s="4" t="s">
        <v>2293</v>
      </c>
      <c r="F1308" s="5">
        <v>39083</v>
      </c>
      <c r="G1308" s="5">
        <v>39813</v>
      </c>
      <c r="H1308" s="4" t="s">
        <v>40</v>
      </c>
      <c r="I1308" s="6">
        <v>5800</v>
      </c>
      <c r="J1308" s="6">
        <v>5800</v>
      </c>
      <c r="K1308" s="37" t="s">
        <v>2033</v>
      </c>
      <c r="L1308" s="119"/>
      <c r="M1308" s="3"/>
    </row>
    <row r="1309" spans="1:13" s="4" customFormat="1" ht="25.5" x14ac:dyDescent="0.25">
      <c r="A1309" s="4" t="s">
        <v>2294</v>
      </c>
      <c r="B1309" s="4" t="s">
        <v>38</v>
      </c>
      <c r="C1309" s="37" t="s">
        <v>2033</v>
      </c>
      <c r="D1309" s="35">
        <v>1890</v>
      </c>
      <c r="E1309" s="4" t="s">
        <v>2295</v>
      </c>
      <c r="F1309" s="5">
        <v>39083</v>
      </c>
      <c r="G1309" s="5">
        <v>39447</v>
      </c>
      <c r="H1309" s="4" t="s">
        <v>40</v>
      </c>
      <c r="I1309" s="6">
        <v>2117.5</v>
      </c>
      <c r="J1309" s="6">
        <v>2117.5</v>
      </c>
      <c r="K1309" s="37" t="s">
        <v>2033</v>
      </c>
      <c r="L1309" s="119"/>
      <c r="M1309" s="3"/>
    </row>
    <row r="1310" spans="1:13" s="4" customFormat="1" ht="63.75" x14ac:dyDescent="0.25">
      <c r="A1310" s="4" t="s">
        <v>2296</v>
      </c>
      <c r="B1310" s="4" t="s">
        <v>38</v>
      </c>
      <c r="C1310" s="37" t="s">
        <v>2033</v>
      </c>
      <c r="D1310" s="35">
        <v>1892</v>
      </c>
      <c r="E1310" s="4" t="s">
        <v>2297</v>
      </c>
      <c r="F1310" s="5">
        <v>39083</v>
      </c>
      <c r="G1310" s="5">
        <v>40891</v>
      </c>
      <c r="H1310" s="4" t="s">
        <v>40</v>
      </c>
      <c r="I1310" s="6">
        <v>84834</v>
      </c>
      <c r="J1310" s="6">
        <v>84834</v>
      </c>
      <c r="K1310" s="37" t="s">
        <v>2033</v>
      </c>
      <c r="L1310" s="119"/>
      <c r="M1310" s="3"/>
    </row>
    <row r="1311" spans="1:13" s="4" customFormat="1" ht="25.5" x14ac:dyDescent="0.25">
      <c r="A1311" s="4" t="s">
        <v>2284</v>
      </c>
      <c r="B1311" s="4" t="s">
        <v>38</v>
      </c>
      <c r="C1311" s="37" t="s">
        <v>2033</v>
      </c>
      <c r="D1311" s="35">
        <v>1893</v>
      </c>
      <c r="E1311" s="4" t="s">
        <v>2298</v>
      </c>
      <c r="F1311" s="5">
        <v>39083</v>
      </c>
      <c r="G1311" s="5">
        <v>39447</v>
      </c>
      <c r="H1311" s="4" t="s">
        <v>40</v>
      </c>
      <c r="I1311" s="6">
        <v>1120</v>
      </c>
      <c r="J1311" s="6">
        <v>1120</v>
      </c>
      <c r="K1311" s="37" t="s">
        <v>2033</v>
      </c>
      <c r="L1311" s="119"/>
      <c r="M1311" s="3"/>
    </row>
    <row r="1312" spans="1:13" s="4" customFormat="1" ht="127.5" x14ac:dyDescent="0.25">
      <c r="A1312" s="4" t="s">
        <v>2299</v>
      </c>
      <c r="B1312" s="4" t="s">
        <v>38</v>
      </c>
      <c r="C1312" s="37" t="s">
        <v>2033</v>
      </c>
      <c r="D1312" s="35">
        <v>1897</v>
      </c>
      <c r="E1312" s="7" t="s">
        <v>2300</v>
      </c>
      <c r="F1312" s="5">
        <v>39083</v>
      </c>
      <c r="G1312" s="5">
        <v>41274</v>
      </c>
      <c r="H1312" s="4" t="s">
        <v>40</v>
      </c>
      <c r="I1312" s="6">
        <v>9996.18</v>
      </c>
      <c r="J1312" s="6">
        <v>9996.18</v>
      </c>
      <c r="K1312" s="37" t="s">
        <v>2033</v>
      </c>
      <c r="L1312" s="119"/>
      <c r="M1312" s="3"/>
    </row>
    <row r="1313" spans="1:13" s="4" customFormat="1" ht="25.5" x14ac:dyDescent="0.25">
      <c r="A1313" s="4" t="s">
        <v>2301</v>
      </c>
      <c r="B1313" s="4" t="s">
        <v>38</v>
      </c>
      <c r="C1313" s="37" t="s">
        <v>2033</v>
      </c>
      <c r="D1313" s="35">
        <v>2075</v>
      </c>
      <c r="E1313" s="4" t="s">
        <v>2302</v>
      </c>
      <c r="F1313" s="5">
        <v>39356</v>
      </c>
      <c r="G1313" s="5">
        <v>39356</v>
      </c>
      <c r="H1313" s="4" t="s">
        <v>40</v>
      </c>
      <c r="I1313" s="6">
        <v>1000</v>
      </c>
      <c r="J1313" s="6">
        <v>1000</v>
      </c>
      <c r="K1313" s="37" t="s">
        <v>2033</v>
      </c>
      <c r="L1313" s="119"/>
      <c r="M1313" s="3"/>
    </row>
    <row r="1314" spans="1:13" s="4" customFormat="1" ht="25.5" x14ac:dyDescent="0.25">
      <c r="A1314" s="4" t="s">
        <v>2303</v>
      </c>
      <c r="B1314" s="4" t="s">
        <v>38</v>
      </c>
      <c r="C1314" s="37" t="s">
        <v>2033</v>
      </c>
      <c r="D1314" s="35">
        <v>2076</v>
      </c>
      <c r="E1314" s="4" t="s">
        <v>2285</v>
      </c>
      <c r="F1314" s="5">
        <v>39132</v>
      </c>
      <c r="G1314" s="5">
        <v>39357</v>
      </c>
      <c r="H1314" s="4" t="s">
        <v>40</v>
      </c>
      <c r="I1314" s="6">
        <v>1000</v>
      </c>
      <c r="J1314" s="6">
        <v>1000</v>
      </c>
      <c r="K1314" s="37" t="s">
        <v>2033</v>
      </c>
      <c r="L1314" s="119"/>
      <c r="M1314" s="3"/>
    </row>
    <row r="1315" spans="1:13" s="4" customFormat="1" ht="102" x14ac:dyDescent="0.25">
      <c r="A1315" s="4" t="s">
        <v>2304</v>
      </c>
      <c r="B1315" s="4" t="s">
        <v>38</v>
      </c>
      <c r="C1315" s="37" t="s">
        <v>2033</v>
      </c>
      <c r="D1315" s="35">
        <v>2077</v>
      </c>
      <c r="E1315" s="7" t="s">
        <v>2305</v>
      </c>
      <c r="F1315" s="5">
        <v>39357</v>
      </c>
      <c r="G1315" s="5">
        <v>40465</v>
      </c>
      <c r="H1315" s="4" t="s">
        <v>40</v>
      </c>
      <c r="I1315" s="6">
        <v>1050</v>
      </c>
      <c r="J1315" s="6">
        <v>1050</v>
      </c>
      <c r="K1315" s="37" t="s">
        <v>2033</v>
      </c>
      <c r="L1315" s="119"/>
      <c r="M1315" s="3"/>
    </row>
    <row r="1316" spans="1:13" s="4" customFormat="1" ht="25.5" x14ac:dyDescent="0.25">
      <c r="A1316" s="4" t="s">
        <v>2306</v>
      </c>
      <c r="B1316" s="4" t="s">
        <v>38</v>
      </c>
      <c r="C1316" s="37" t="s">
        <v>2033</v>
      </c>
      <c r="D1316" s="35">
        <v>2078</v>
      </c>
      <c r="E1316" s="4" t="s">
        <v>2307</v>
      </c>
      <c r="F1316" s="5">
        <v>39132</v>
      </c>
      <c r="G1316" s="5">
        <v>39659</v>
      </c>
      <c r="H1316" s="4" t="s">
        <v>40</v>
      </c>
      <c r="I1316" s="6">
        <v>8335</v>
      </c>
      <c r="J1316" s="6">
        <v>8335</v>
      </c>
      <c r="K1316" s="37" t="s">
        <v>2033</v>
      </c>
      <c r="L1316" s="119"/>
      <c r="M1316" s="3"/>
    </row>
    <row r="1317" spans="1:13" s="4" customFormat="1" ht="51" x14ac:dyDescent="0.25">
      <c r="A1317" s="4" t="s">
        <v>2308</v>
      </c>
      <c r="B1317" s="4" t="s">
        <v>38</v>
      </c>
      <c r="C1317" s="37" t="s">
        <v>2033</v>
      </c>
      <c r="D1317" s="35">
        <v>2079</v>
      </c>
      <c r="E1317" s="4" t="s">
        <v>2309</v>
      </c>
      <c r="F1317" s="5">
        <v>39230</v>
      </c>
      <c r="G1317" s="5">
        <v>41274</v>
      </c>
      <c r="H1317" s="4" t="s">
        <v>40</v>
      </c>
      <c r="I1317" s="6">
        <f>25000+5000</f>
        <v>30000</v>
      </c>
      <c r="J1317" s="6">
        <f>25000+5000</f>
        <v>30000</v>
      </c>
      <c r="K1317" s="37" t="s">
        <v>2033</v>
      </c>
      <c r="L1317" s="119"/>
      <c r="M1317" s="3"/>
    </row>
    <row r="1318" spans="1:13" s="4" customFormat="1" ht="25.5" x14ac:dyDescent="0.25">
      <c r="A1318" s="4" t="s">
        <v>2310</v>
      </c>
      <c r="B1318" s="4" t="s">
        <v>38</v>
      </c>
      <c r="C1318" s="37" t="s">
        <v>2033</v>
      </c>
      <c r="D1318" s="35">
        <v>2080</v>
      </c>
      <c r="E1318" s="4" t="s">
        <v>2311</v>
      </c>
      <c r="F1318" s="5">
        <v>39132</v>
      </c>
      <c r="G1318" s="5">
        <v>39597</v>
      </c>
      <c r="H1318" s="4" t="s">
        <v>40</v>
      </c>
      <c r="I1318" s="6">
        <v>7775</v>
      </c>
      <c r="J1318" s="6">
        <v>7775</v>
      </c>
      <c r="K1318" s="37" t="s">
        <v>2033</v>
      </c>
      <c r="L1318" s="119"/>
      <c r="M1318" s="3"/>
    </row>
    <row r="1319" spans="1:13" s="4" customFormat="1" ht="51" x14ac:dyDescent="0.25">
      <c r="A1319" s="4" t="s">
        <v>2312</v>
      </c>
      <c r="B1319" s="4" t="s">
        <v>38</v>
      </c>
      <c r="C1319" s="37" t="s">
        <v>2033</v>
      </c>
      <c r="D1319" s="35">
        <v>2081</v>
      </c>
      <c r="E1319" s="4" t="s">
        <v>2313</v>
      </c>
      <c r="F1319" s="5">
        <v>39132</v>
      </c>
      <c r="G1319" s="5">
        <v>39391</v>
      </c>
      <c r="H1319" s="4" t="s">
        <v>40</v>
      </c>
      <c r="I1319" s="6">
        <v>829.48</v>
      </c>
      <c r="J1319" s="6">
        <v>829.48</v>
      </c>
      <c r="K1319" s="37" t="s">
        <v>2033</v>
      </c>
      <c r="L1319" s="119"/>
      <c r="M1319" s="3"/>
    </row>
    <row r="1320" spans="1:13" s="4" customFormat="1" ht="63.75" x14ac:dyDescent="0.25">
      <c r="A1320" s="13" t="s">
        <v>2314</v>
      </c>
      <c r="B1320" s="4" t="s">
        <v>38</v>
      </c>
      <c r="C1320" s="37" t="s">
        <v>2033</v>
      </c>
      <c r="D1320" s="35">
        <v>2082</v>
      </c>
      <c r="E1320" s="13" t="s">
        <v>2315</v>
      </c>
      <c r="F1320" s="5">
        <v>39132</v>
      </c>
      <c r="G1320" s="5">
        <v>39391</v>
      </c>
      <c r="H1320" s="4" t="s">
        <v>40</v>
      </c>
      <c r="I1320" s="6">
        <v>8200</v>
      </c>
      <c r="J1320" s="6">
        <v>8200</v>
      </c>
      <c r="K1320" s="37" t="s">
        <v>2033</v>
      </c>
      <c r="L1320" s="119"/>
      <c r="M1320" s="3"/>
    </row>
    <row r="1321" spans="1:13" s="4" customFormat="1" ht="25.5" x14ac:dyDescent="0.25">
      <c r="A1321" s="4" t="s">
        <v>2284</v>
      </c>
      <c r="B1321" s="4" t="s">
        <v>38</v>
      </c>
      <c r="C1321" s="37" t="s">
        <v>2033</v>
      </c>
      <c r="D1321" s="35">
        <v>2083</v>
      </c>
      <c r="E1321" s="4" t="s">
        <v>2316</v>
      </c>
      <c r="F1321" s="5">
        <v>39083</v>
      </c>
      <c r="G1321" s="5">
        <v>39395</v>
      </c>
      <c r="H1321" s="4" t="s">
        <v>40</v>
      </c>
      <c r="I1321" s="6">
        <v>1000</v>
      </c>
      <c r="J1321" s="6">
        <v>1000</v>
      </c>
      <c r="K1321" s="37" t="s">
        <v>2033</v>
      </c>
      <c r="L1321" s="119"/>
      <c r="M1321" s="3"/>
    </row>
    <row r="1322" spans="1:13" s="4" customFormat="1" ht="63.75" x14ac:dyDescent="0.25">
      <c r="A1322" s="4" t="s">
        <v>2317</v>
      </c>
      <c r="B1322" s="4" t="s">
        <v>38</v>
      </c>
      <c r="C1322" s="37" t="s">
        <v>2033</v>
      </c>
      <c r="D1322" s="35">
        <v>2084</v>
      </c>
      <c r="E1322" s="4" t="s">
        <v>2318</v>
      </c>
      <c r="F1322" s="5">
        <v>39132</v>
      </c>
      <c r="G1322" s="5">
        <v>41274</v>
      </c>
      <c r="H1322" s="4" t="s">
        <v>40</v>
      </c>
      <c r="I1322" s="6">
        <v>21823.5</v>
      </c>
      <c r="J1322" s="6">
        <f>15311+6512.5</f>
        <v>21823.5</v>
      </c>
      <c r="K1322" s="37" t="s">
        <v>2033</v>
      </c>
      <c r="L1322" s="119"/>
      <c r="M1322" s="3"/>
    </row>
    <row r="1323" spans="1:13" s="4" customFormat="1" ht="25.5" x14ac:dyDescent="0.25">
      <c r="A1323" s="4" t="s">
        <v>2319</v>
      </c>
      <c r="B1323" s="4" t="s">
        <v>38</v>
      </c>
      <c r="C1323" s="37" t="s">
        <v>2033</v>
      </c>
      <c r="D1323" s="35">
        <v>2097</v>
      </c>
      <c r="E1323" s="4" t="s">
        <v>2320</v>
      </c>
      <c r="F1323" s="5">
        <v>39423</v>
      </c>
      <c r="G1323" s="5">
        <v>39423</v>
      </c>
      <c r="H1323" s="4" t="s">
        <v>40</v>
      </c>
      <c r="I1323" s="6">
        <v>150</v>
      </c>
      <c r="J1323" s="6">
        <v>150</v>
      </c>
      <c r="K1323" s="37" t="s">
        <v>2033</v>
      </c>
      <c r="L1323" s="119"/>
      <c r="M1323" s="3"/>
    </row>
    <row r="1324" spans="1:13" s="4" customFormat="1" ht="25.5" x14ac:dyDescent="0.25">
      <c r="A1324" s="4" t="s">
        <v>2284</v>
      </c>
      <c r="B1324" s="4" t="s">
        <v>38</v>
      </c>
      <c r="C1324" s="37" t="s">
        <v>2033</v>
      </c>
      <c r="D1324" s="35">
        <v>2098</v>
      </c>
      <c r="E1324" s="4" t="s">
        <v>2321</v>
      </c>
      <c r="F1324" s="5">
        <v>39230</v>
      </c>
      <c r="G1324" s="5">
        <v>39423</v>
      </c>
      <c r="H1324" s="4" t="s">
        <v>40</v>
      </c>
      <c r="I1324" s="6">
        <v>1000</v>
      </c>
      <c r="J1324" s="6">
        <v>1000</v>
      </c>
      <c r="K1324" s="37" t="s">
        <v>2033</v>
      </c>
      <c r="L1324" s="119"/>
      <c r="M1324" s="3"/>
    </row>
    <row r="1325" spans="1:13" s="4" customFormat="1" ht="25.5" x14ac:dyDescent="0.25">
      <c r="A1325" s="4" t="s">
        <v>2322</v>
      </c>
      <c r="B1325" s="4" t="s">
        <v>38</v>
      </c>
      <c r="C1325" s="37" t="s">
        <v>2033</v>
      </c>
      <c r="D1325" s="35">
        <v>2099</v>
      </c>
      <c r="E1325" s="4" t="s">
        <v>2323</v>
      </c>
      <c r="F1325" s="5">
        <v>39423</v>
      </c>
      <c r="G1325" s="5">
        <v>40179</v>
      </c>
      <c r="H1325" s="4" t="s">
        <v>40</v>
      </c>
      <c r="I1325" s="6">
        <v>676</v>
      </c>
      <c r="J1325" s="6">
        <v>676</v>
      </c>
      <c r="K1325" s="37" t="s">
        <v>2033</v>
      </c>
      <c r="L1325" s="119"/>
      <c r="M1325" s="3"/>
    </row>
    <row r="1326" spans="1:13" s="4" customFormat="1" ht="76.5" x14ac:dyDescent="0.25">
      <c r="A1326" s="4" t="s">
        <v>2322</v>
      </c>
      <c r="B1326" s="4" t="s">
        <v>38</v>
      </c>
      <c r="C1326" s="37" t="s">
        <v>2033</v>
      </c>
      <c r="D1326" s="35">
        <v>2101</v>
      </c>
      <c r="E1326" s="4" t="s">
        <v>2324</v>
      </c>
      <c r="F1326" s="5">
        <v>39230</v>
      </c>
      <c r="G1326" s="5">
        <v>41639</v>
      </c>
      <c r="H1326" s="4" t="s">
        <v>40</v>
      </c>
      <c r="I1326" s="6">
        <v>4605.21</v>
      </c>
      <c r="J1326" s="6">
        <v>4605.21</v>
      </c>
      <c r="K1326" s="37" t="s">
        <v>2033</v>
      </c>
      <c r="L1326" s="119"/>
      <c r="M1326" s="3"/>
    </row>
    <row r="1327" spans="1:13" s="4" customFormat="1" ht="25.5" x14ac:dyDescent="0.25">
      <c r="A1327" s="4" t="s">
        <v>2284</v>
      </c>
      <c r="B1327" s="4" t="s">
        <v>38</v>
      </c>
      <c r="C1327" s="37" t="s">
        <v>2033</v>
      </c>
      <c r="D1327" s="35">
        <v>2102</v>
      </c>
      <c r="E1327" s="4" t="s">
        <v>2325</v>
      </c>
      <c r="F1327" s="5">
        <v>39132</v>
      </c>
      <c r="G1327" s="5">
        <v>39549</v>
      </c>
      <c r="H1327" s="4" t="s">
        <v>40</v>
      </c>
      <c r="I1327" s="6">
        <v>2891.9</v>
      </c>
      <c r="J1327" s="6">
        <v>2891.9</v>
      </c>
      <c r="K1327" s="37" t="s">
        <v>2033</v>
      </c>
      <c r="L1327" s="119"/>
      <c r="M1327" s="3"/>
    </row>
    <row r="1328" spans="1:13" s="4" customFormat="1" ht="63.75" x14ac:dyDescent="0.25">
      <c r="A1328" s="4" t="s">
        <v>2326</v>
      </c>
      <c r="B1328" s="4" t="s">
        <v>38</v>
      </c>
      <c r="C1328" s="37" t="s">
        <v>2033</v>
      </c>
      <c r="D1328" s="35">
        <v>2104</v>
      </c>
      <c r="E1328" s="4" t="s">
        <v>2327</v>
      </c>
      <c r="F1328" s="5">
        <v>39433</v>
      </c>
      <c r="G1328" s="5">
        <v>40882</v>
      </c>
      <c r="H1328" s="4" t="s">
        <v>40</v>
      </c>
      <c r="I1328" s="6">
        <v>21110</v>
      </c>
      <c r="J1328" s="6">
        <v>21110</v>
      </c>
      <c r="K1328" s="37" t="s">
        <v>2033</v>
      </c>
      <c r="L1328" s="119"/>
      <c r="M1328" s="3"/>
    </row>
    <row r="1329" spans="1:13" s="4" customFormat="1" ht="25.5" x14ac:dyDescent="0.25">
      <c r="A1329" s="4" t="s">
        <v>2328</v>
      </c>
      <c r="B1329" s="4" t="s">
        <v>38</v>
      </c>
      <c r="C1329" s="37" t="s">
        <v>2033</v>
      </c>
      <c r="D1329" s="35">
        <v>2106</v>
      </c>
      <c r="E1329" s="4" t="s">
        <v>2329</v>
      </c>
      <c r="F1329" s="5">
        <v>39083</v>
      </c>
      <c r="G1329" s="5">
        <v>40543</v>
      </c>
      <c r="H1329" s="4" t="s">
        <v>40</v>
      </c>
      <c r="I1329" s="6">
        <f>277438.27+52383.56</f>
        <v>329821.83</v>
      </c>
      <c r="J1329" s="6">
        <f>277438.27+52383.56</f>
        <v>329821.83</v>
      </c>
      <c r="K1329" s="37" t="s">
        <v>2033</v>
      </c>
      <c r="L1329" s="119"/>
      <c r="M1329" s="3"/>
    </row>
    <row r="1330" spans="1:13" s="4" customFormat="1" ht="127.5" x14ac:dyDescent="0.25">
      <c r="A1330" s="4" t="s">
        <v>2330</v>
      </c>
      <c r="B1330" s="4" t="s">
        <v>38</v>
      </c>
      <c r="C1330" s="37" t="s">
        <v>2033</v>
      </c>
      <c r="D1330" s="35">
        <v>2107</v>
      </c>
      <c r="E1330" s="7" t="s">
        <v>2331</v>
      </c>
      <c r="F1330" s="5">
        <v>39132</v>
      </c>
      <c r="G1330" s="5">
        <v>40178</v>
      </c>
      <c r="H1330" s="4" t="s">
        <v>40</v>
      </c>
      <c r="I1330" s="6">
        <v>23732.49</v>
      </c>
      <c r="J1330" s="6">
        <v>23732.49</v>
      </c>
      <c r="K1330" s="37" t="s">
        <v>2033</v>
      </c>
      <c r="L1330" s="119"/>
      <c r="M1330" s="3"/>
    </row>
    <row r="1331" spans="1:13" s="4" customFormat="1" ht="25.5" x14ac:dyDescent="0.25">
      <c r="A1331" s="4" t="s">
        <v>2284</v>
      </c>
      <c r="B1331" s="4" t="s">
        <v>38</v>
      </c>
      <c r="C1331" s="37" t="s">
        <v>2033</v>
      </c>
      <c r="D1331" s="35">
        <v>2109</v>
      </c>
      <c r="E1331" s="4" t="s">
        <v>2332</v>
      </c>
      <c r="F1331" s="5">
        <v>39469</v>
      </c>
      <c r="G1331" s="5">
        <v>39786</v>
      </c>
      <c r="H1331" s="4" t="s">
        <v>40</v>
      </c>
      <c r="I1331" s="6">
        <v>672</v>
      </c>
      <c r="J1331" s="6">
        <v>672</v>
      </c>
      <c r="K1331" s="37" t="s">
        <v>2033</v>
      </c>
      <c r="L1331" s="119"/>
      <c r="M1331" s="3"/>
    </row>
    <row r="1332" spans="1:13" s="4" customFormat="1" ht="63.75" x14ac:dyDescent="0.25">
      <c r="A1332" s="4" t="s">
        <v>2333</v>
      </c>
      <c r="B1332" s="4" t="s">
        <v>38</v>
      </c>
      <c r="C1332" s="37" t="s">
        <v>2033</v>
      </c>
      <c r="D1332" s="35">
        <v>2154</v>
      </c>
      <c r="E1332" s="4" t="s">
        <v>2334</v>
      </c>
      <c r="F1332" s="5">
        <v>39469</v>
      </c>
      <c r="G1332" s="5">
        <v>40160</v>
      </c>
      <c r="H1332" s="4" t="s">
        <v>40</v>
      </c>
      <c r="I1332" s="6">
        <v>15981</v>
      </c>
      <c r="J1332" s="6">
        <v>15981</v>
      </c>
      <c r="K1332" s="37" t="s">
        <v>2033</v>
      </c>
      <c r="L1332" s="119"/>
      <c r="M1332" s="3"/>
    </row>
    <row r="1333" spans="1:13" s="4" customFormat="1" ht="25.5" x14ac:dyDescent="0.25">
      <c r="A1333" s="4" t="s">
        <v>2335</v>
      </c>
      <c r="B1333" s="4" t="s">
        <v>38</v>
      </c>
      <c r="C1333" s="37" t="s">
        <v>2033</v>
      </c>
      <c r="D1333" s="35">
        <v>2159</v>
      </c>
      <c r="E1333" s="4" t="s">
        <v>2336</v>
      </c>
      <c r="F1333" s="5">
        <v>39469</v>
      </c>
      <c r="G1333" s="5">
        <v>39575</v>
      </c>
      <c r="H1333" s="4" t="s">
        <v>40</v>
      </c>
      <c r="I1333" s="6">
        <v>0</v>
      </c>
      <c r="J1333" s="6">
        <v>0</v>
      </c>
      <c r="K1333" s="37" t="s">
        <v>2033</v>
      </c>
      <c r="L1333" s="119"/>
      <c r="M1333" s="3"/>
    </row>
    <row r="1334" spans="1:13" s="4" customFormat="1" ht="25.5" x14ac:dyDescent="0.25">
      <c r="A1334" s="4" t="s">
        <v>2337</v>
      </c>
      <c r="B1334" s="4" t="s">
        <v>38</v>
      </c>
      <c r="C1334" s="37" t="s">
        <v>2033</v>
      </c>
      <c r="D1334" s="35">
        <v>2161</v>
      </c>
      <c r="E1334" s="4" t="s">
        <v>2338</v>
      </c>
      <c r="F1334" s="5">
        <v>39507</v>
      </c>
      <c r="G1334" s="5">
        <v>39507</v>
      </c>
      <c r="H1334" s="4" t="s">
        <v>40</v>
      </c>
      <c r="I1334" s="6">
        <v>625</v>
      </c>
      <c r="J1334" s="6">
        <v>625</v>
      </c>
      <c r="K1334" s="37" t="s">
        <v>2033</v>
      </c>
      <c r="L1334" s="119"/>
      <c r="M1334" s="3"/>
    </row>
    <row r="1335" spans="1:13" s="4" customFormat="1" ht="25.5" x14ac:dyDescent="0.25">
      <c r="A1335" s="4" t="s">
        <v>2339</v>
      </c>
      <c r="B1335" s="4" t="s">
        <v>38</v>
      </c>
      <c r="C1335" s="37" t="s">
        <v>2033</v>
      </c>
      <c r="D1335" s="35">
        <v>2164</v>
      </c>
      <c r="E1335" s="4" t="s">
        <v>2340</v>
      </c>
      <c r="F1335" s="5">
        <v>39510</v>
      </c>
      <c r="G1335" s="5">
        <v>39510</v>
      </c>
      <c r="H1335" s="4" t="s">
        <v>40</v>
      </c>
      <c r="I1335" s="6">
        <v>295</v>
      </c>
      <c r="J1335" s="6">
        <v>295</v>
      </c>
      <c r="K1335" s="37" t="s">
        <v>2033</v>
      </c>
      <c r="L1335" s="119"/>
      <c r="M1335" s="3"/>
    </row>
    <row r="1336" spans="1:13" s="4" customFormat="1" ht="51" x14ac:dyDescent="0.25">
      <c r="A1336" s="4" t="s">
        <v>2341</v>
      </c>
      <c r="B1336" s="4" t="s">
        <v>38</v>
      </c>
      <c r="C1336" s="37" t="s">
        <v>2033</v>
      </c>
      <c r="D1336" s="35">
        <v>2167</v>
      </c>
      <c r="E1336" s="4" t="s">
        <v>2342</v>
      </c>
      <c r="F1336" s="5">
        <v>39539</v>
      </c>
      <c r="G1336" s="5">
        <v>39575</v>
      </c>
      <c r="H1336" s="4" t="s">
        <v>40</v>
      </c>
      <c r="I1336" s="6">
        <v>474.83</v>
      </c>
      <c r="J1336" s="6">
        <v>474.83</v>
      </c>
      <c r="K1336" s="37" t="s">
        <v>2033</v>
      </c>
      <c r="L1336" s="119"/>
      <c r="M1336" s="3"/>
    </row>
    <row r="1337" spans="1:13" s="4" customFormat="1" ht="51" x14ac:dyDescent="0.25">
      <c r="A1337" s="4" t="s">
        <v>2343</v>
      </c>
      <c r="B1337" s="4" t="s">
        <v>38</v>
      </c>
      <c r="C1337" s="37" t="s">
        <v>2033</v>
      </c>
      <c r="D1337" s="35">
        <v>2171</v>
      </c>
      <c r="E1337" s="4" t="s">
        <v>2344</v>
      </c>
      <c r="F1337" s="5">
        <v>39539</v>
      </c>
      <c r="G1337" s="5">
        <v>41274</v>
      </c>
      <c r="H1337" s="4" t="s">
        <v>40</v>
      </c>
      <c r="I1337" s="6">
        <v>19594.22</v>
      </c>
      <c r="J1337" s="6">
        <f>16731.22+2863</f>
        <v>19594.22</v>
      </c>
      <c r="K1337" s="37" t="s">
        <v>2033</v>
      </c>
      <c r="L1337" s="119"/>
      <c r="M1337" s="3"/>
    </row>
    <row r="1338" spans="1:13" s="4" customFormat="1" ht="89.25" x14ac:dyDescent="0.25">
      <c r="A1338" s="4" t="s">
        <v>2345</v>
      </c>
      <c r="B1338" s="4" t="s">
        <v>38</v>
      </c>
      <c r="C1338" s="37" t="s">
        <v>2033</v>
      </c>
      <c r="D1338" s="35">
        <v>2178</v>
      </c>
      <c r="E1338" s="7" t="s">
        <v>2346</v>
      </c>
      <c r="F1338" s="5">
        <v>39549</v>
      </c>
      <c r="G1338" s="5">
        <v>40178</v>
      </c>
      <c r="H1338" s="4" t="s">
        <v>40</v>
      </c>
      <c r="I1338" s="6">
        <v>8343</v>
      </c>
      <c r="J1338" s="6">
        <v>8483</v>
      </c>
      <c r="K1338" s="37" t="s">
        <v>2033</v>
      </c>
      <c r="L1338" s="119"/>
      <c r="M1338" s="3"/>
    </row>
    <row r="1339" spans="1:13" s="4" customFormat="1" ht="25.5" x14ac:dyDescent="0.25">
      <c r="A1339" s="4" t="s">
        <v>2347</v>
      </c>
      <c r="B1339" s="4" t="s">
        <v>38</v>
      </c>
      <c r="C1339" s="37" t="s">
        <v>2033</v>
      </c>
      <c r="D1339" s="35">
        <v>2181</v>
      </c>
      <c r="E1339" s="4" t="s">
        <v>2348</v>
      </c>
      <c r="F1339" s="5">
        <v>39549</v>
      </c>
      <c r="G1339" s="5">
        <v>39696</v>
      </c>
      <c r="H1339" s="4" t="s">
        <v>40</v>
      </c>
      <c r="I1339" s="6">
        <v>2000</v>
      </c>
      <c r="J1339" s="6">
        <v>2000</v>
      </c>
      <c r="K1339" s="37" t="s">
        <v>2033</v>
      </c>
      <c r="L1339" s="119"/>
      <c r="M1339" s="3"/>
    </row>
    <row r="1340" spans="1:13" s="4" customFormat="1" ht="25.5" x14ac:dyDescent="0.25">
      <c r="A1340" s="4" t="s">
        <v>433</v>
      </c>
      <c r="B1340" s="4" t="s">
        <v>38</v>
      </c>
      <c r="C1340" s="37" t="s">
        <v>2033</v>
      </c>
      <c r="D1340" s="35">
        <v>2207</v>
      </c>
      <c r="E1340" s="4" t="s">
        <v>2349</v>
      </c>
      <c r="F1340" s="5">
        <v>39549</v>
      </c>
      <c r="G1340" s="5">
        <v>39549</v>
      </c>
      <c r="H1340" s="4" t="s">
        <v>40</v>
      </c>
      <c r="I1340" s="6">
        <v>363</v>
      </c>
      <c r="J1340" s="6">
        <v>363</v>
      </c>
      <c r="K1340" s="37" t="s">
        <v>2033</v>
      </c>
      <c r="L1340" s="119"/>
      <c r="M1340" s="3"/>
    </row>
    <row r="1341" spans="1:13" s="4" customFormat="1" x14ac:dyDescent="0.25">
      <c r="A1341" s="4" t="s">
        <v>2350</v>
      </c>
      <c r="B1341" s="4" t="s">
        <v>13</v>
      </c>
      <c r="C1341" s="37" t="s">
        <v>2033</v>
      </c>
      <c r="D1341" s="35">
        <v>2211</v>
      </c>
      <c r="E1341" s="4" t="s">
        <v>2285</v>
      </c>
      <c r="F1341" s="5">
        <v>39575</v>
      </c>
      <c r="G1341" s="5">
        <v>39722</v>
      </c>
      <c r="H1341" s="4" t="s">
        <v>40</v>
      </c>
      <c r="I1341" s="6">
        <v>1400</v>
      </c>
      <c r="J1341" s="6">
        <v>1400</v>
      </c>
      <c r="K1341" s="37" t="s">
        <v>2033</v>
      </c>
      <c r="L1341" s="119"/>
      <c r="M1341" s="3"/>
    </row>
    <row r="1342" spans="1:13" s="4" customFormat="1" ht="25.5" x14ac:dyDescent="0.25">
      <c r="A1342" s="4" t="s">
        <v>2284</v>
      </c>
      <c r="B1342" s="4" t="s">
        <v>38</v>
      </c>
      <c r="C1342" s="37" t="s">
        <v>2033</v>
      </c>
      <c r="D1342" s="35">
        <v>2214</v>
      </c>
      <c r="E1342" s="4" t="s">
        <v>2351</v>
      </c>
      <c r="F1342" s="5">
        <v>39575</v>
      </c>
      <c r="G1342" s="5">
        <v>39757</v>
      </c>
      <c r="H1342" s="4" t="s">
        <v>40</v>
      </c>
      <c r="I1342" s="6">
        <v>2688</v>
      </c>
      <c r="J1342" s="6">
        <v>2688</v>
      </c>
      <c r="K1342" s="37" t="s">
        <v>2033</v>
      </c>
      <c r="L1342" s="119"/>
      <c r="M1342" s="3"/>
    </row>
    <row r="1343" spans="1:13" s="4" customFormat="1" ht="25.5" x14ac:dyDescent="0.25">
      <c r="A1343" s="4" t="s">
        <v>2352</v>
      </c>
      <c r="B1343" s="4" t="s">
        <v>38</v>
      </c>
      <c r="C1343" s="37" t="s">
        <v>2033</v>
      </c>
      <c r="D1343" s="35">
        <v>2216</v>
      </c>
      <c r="E1343" s="4" t="s">
        <v>2353</v>
      </c>
      <c r="F1343" s="5">
        <v>39597</v>
      </c>
      <c r="G1343" s="5">
        <v>39722</v>
      </c>
      <c r="H1343" s="4" t="s">
        <v>40</v>
      </c>
      <c r="I1343" s="6">
        <v>624.26</v>
      </c>
      <c r="J1343" s="6">
        <v>624.26</v>
      </c>
      <c r="K1343" s="37" t="s">
        <v>2033</v>
      </c>
      <c r="L1343" s="119"/>
      <c r="M1343" s="3"/>
    </row>
    <row r="1344" spans="1:13" s="4" customFormat="1" ht="76.5" x14ac:dyDescent="0.25">
      <c r="A1344" s="4" t="s">
        <v>2354</v>
      </c>
      <c r="B1344" s="4" t="s">
        <v>38</v>
      </c>
      <c r="C1344" s="37" t="s">
        <v>2033</v>
      </c>
      <c r="D1344" s="35">
        <v>2218</v>
      </c>
      <c r="E1344" s="4" t="s">
        <v>2355</v>
      </c>
      <c r="F1344" s="5">
        <v>39659</v>
      </c>
      <c r="G1344" s="5">
        <v>41274</v>
      </c>
      <c r="H1344" s="4" t="s">
        <v>40</v>
      </c>
      <c r="I1344" s="6">
        <f>6600+12610+11294+5930.5+5200</f>
        <v>41634.5</v>
      </c>
      <c r="J1344" s="6">
        <f>35704+5930.5</f>
        <v>41634.5</v>
      </c>
      <c r="K1344" s="37" t="s">
        <v>2033</v>
      </c>
      <c r="L1344" s="119"/>
      <c r="M1344" s="3"/>
    </row>
    <row r="1345" spans="1:13" s="4" customFormat="1" ht="25.5" x14ac:dyDescent="0.25">
      <c r="A1345" s="4" t="s">
        <v>2284</v>
      </c>
      <c r="B1345" s="4" t="s">
        <v>38</v>
      </c>
      <c r="C1345" s="37" t="s">
        <v>2033</v>
      </c>
      <c r="D1345" s="35">
        <v>2220</v>
      </c>
      <c r="E1345" s="4" t="s">
        <v>2356</v>
      </c>
      <c r="F1345" s="5">
        <v>39629</v>
      </c>
      <c r="G1345" s="5">
        <v>39728</v>
      </c>
      <c r="H1345" s="4" t="s">
        <v>40</v>
      </c>
      <c r="I1345" s="6">
        <v>1404.65</v>
      </c>
      <c r="J1345" s="6">
        <v>1404.65</v>
      </c>
      <c r="K1345" s="37" t="s">
        <v>2033</v>
      </c>
      <c r="L1345" s="119"/>
      <c r="M1345" s="3"/>
    </row>
    <row r="1346" spans="1:13" s="4" customFormat="1" ht="25.5" x14ac:dyDescent="0.25">
      <c r="A1346" s="4" t="s">
        <v>2357</v>
      </c>
      <c r="B1346" s="4" t="s">
        <v>38</v>
      </c>
      <c r="C1346" s="37" t="s">
        <v>2033</v>
      </c>
      <c r="D1346" s="35">
        <v>2367</v>
      </c>
      <c r="E1346" s="4" t="s">
        <v>2358</v>
      </c>
      <c r="F1346" s="5">
        <v>39659</v>
      </c>
      <c r="G1346" s="5">
        <v>39659</v>
      </c>
      <c r="H1346" s="4" t="s">
        <v>40</v>
      </c>
      <c r="I1346" s="6">
        <v>1355.6</v>
      </c>
      <c r="J1346" s="6">
        <v>1355.6</v>
      </c>
      <c r="K1346" s="37" t="s">
        <v>2033</v>
      </c>
      <c r="L1346" s="119"/>
      <c r="M1346" s="3"/>
    </row>
    <row r="1347" spans="1:13" s="4" customFormat="1" ht="38.25" x14ac:dyDescent="0.25">
      <c r="A1347" s="4" t="s">
        <v>2359</v>
      </c>
      <c r="B1347" s="4" t="s">
        <v>38</v>
      </c>
      <c r="C1347" s="37" t="s">
        <v>2033</v>
      </c>
      <c r="D1347" s="35">
        <v>2370</v>
      </c>
      <c r="E1347" s="4" t="s">
        <v>2360</v>
      </c>
      <c r="F1347" s="5">
        <v>39494</v>
      </c>
      <c r="G1347" s="5">
        <v>39696</v>
      </c>
      <c r="H1347" s="4" t="s">
        <v>40</v>
      </c>
      <c r="I1347" s="6">
        <v>1500</v>
      </c>
      <c r="J1347" s="6">
        <v>1500</v>
      </c>
      <c r="K1347" s="37" t="s">
        <v>2033</v>
      </c>
      <c r="L1347" s="119"/>
      <c r="M1347" s="3"/>
    </row>
    <row r="1348" spans="1:13" s="4" customFormat="1" ht="25.5" x14ac:dyDescent="0.25">
      <c r="A1348" s="4" t="s">
        <v>2361</v>
      </c>
      <c r="B1348" s="4" t="s">
        <v>38</v>
      </c>
      <c r="C1348" s="37" t="s">
        <v>2033</v>
      </c>
      <c r="D1348" s="35">
        <v>2374</v>
      </c>
      <c r="E1348" s="4" t="s">
        <v>2362</v>
      </c>
      <c r="F1348" s="5">
        <v>39494</v>
      </c>
      <c r="G1348" s="5">
        <v>39722</v>
      </c>
      <c r="H1348" s="4" t="s">
        <v>40</v>
      </c>
      <c r="I1348" s="6">
        <v>1250</v>
      </c>
      <c r="J1348" s="6">
        <v>1250</v>
      </c>
      <c r="K1348" s="37" t="s">
        <v>2033</v>
      </c>
      <c r="L1348" s="119"/>
      <c r="M1348" s="3"/>
    </row>
    <row r="1349" spans="1:13" s="4" customFormat="1" ht="25.5" x14ac:dyDescent="0.25">
      <c r="A1349" s="4" t="s">
        <v>2363</v>
      </c>
      <c r="B1349" s="4" t="s">
        <v>38</v>
      </c>
      <c r="C1349" s="37" t="s">
        <v>2033</v>
      </c>
      <c r="D1349" s="35">
        <v>2378</v>
      </c>
      <c r="E1349" s="4" t="s">
        <v>2364</v>
      </c>
      <c r="F1349" s="5">
        <v>39757</v>
      </c>
      <c r="G1349" s="5">
        <v>39757</v>
      </c>
      <c r="H1349" s="4" t="s">
        <v>40</v>
      </c>
      <c r="I1349" s="6">
        <v>0</v>
      </c>
      <c r="J1349" s="6">
        <v>0</v>
      </c>
      <c r="K1349" s="37" t="s">
        <v>2033</v>
      </c>
      <c r="L1349" s="119"/>
      <c r="M1349" s="3"/>
    </row>
    <row r="1350" spans="1:13" s="4" customFormat="1" ht="51" x14ac:dyDescent="0.25">
      <c r="A1350" s="4" t="s">
        <v>2365</v>
      </c>
      <c r="B1350" s="4" t="s">
        <v>38</v>
      </c>
      <c r="C1350" s="37" t="s">
        <v>2033</v>
      </c>
      <c r="D1350" s="35">
        <v>2380</v>
      </c>
      <c r="E1350" s="4" t="s">
        <v>2366</v>
      </c>
      <c r="F1350" s="5">
        <v>39757</v>
      </c>
      <c r="G1350" s="5">
        <v>41274</v>
      </c>
      <c r="H1350" s="4" t="s">
        <v>40</v>
      </c>
      <c r="I1350" s="6">
        <f>600+400</f>
        <v>1000</v>
      </c>
      <c r="J1350" s="6">
        <f>600+400</f>
        <v>1000</v>
      </c>
      <c r="K1350" s="37" t="s">
        <v>2033</v>
      </c>
      <c r="L1350" s="119"/>
      <c r="M1350" s="3"/>
    </row>
    <row r="1351" spans="1:13" s="4" customFormat="1" ht="38.25" x14ac:dyDescent="0.25">
      <c r="A1351" s="4" t="s">
        <v>2367</v>
      </c>
      <c r="B1351" s="4" t="s">
        <v>38</v>
      </c>
      <c r="C1351" s="37" t="s">
        <v>2033</v>
      </c>
      <c r="D1351" s="35">
        <v>2382</v>
      </c>
      <c r="E1351" s="4" t="s">
        <v>2368</v>
      </c>
      <c r="F1351" s="5">
        <v>39757</v>
      </c>
      <c r="G1351" s="5">
        <v>39757</v>
      </c>
      <c r="H1351" s="4" t="s">
        <v>40</v>
      </c>
      <c r="I1351" s="6">
        <v>100</v>
      </c>
      <c r="J1351" s="6">
        <v>100</v>
      </c>
      <c r="K1351" s="37" t="s">
        <v>2033</v>
      </c>
      <c r="L1351" s="119"/>
      <c r="M1351" s="3"/>
    </row>
    <row r="1352" spans="1:13" s="4" customFormat="1" ht="38.25" x14ac:dyDescent="0.25">
      <c r="A1352" s="4" t="s">
        <v>2367</v>
      </c>
      <c r="B1352" s="4" t="s">
        <v>38</v>
      </c>
      <c r="C1352" s="37" t="s">
        <v>2033</v>
      </c>
      <c r="D1352" s="35">
        <v>2383</v>
      </c>
      <c r="E1352" s="4" t="s">
        <v>2368</v>
      </c>
      <c r="F1352" s="5">
        <v>39764</v>
      </c>
      <c r="G1352" s="5">
        <v>39764</v>
      </c>
      <c r="H1352" s="4" t="s">
        <v>40</v>
      </c>
      <c r="I1352" s="6">
        <v>100</v>
      </c>
      <c r="J1352" s="6">
        <v>100</v>
      </c>
      <c r="K1352" s="37" t="s">
        <v>2033</v>
      </c>
      <c r="L1352" s="119"/>
      <c r="M1352" s="3"/>
    </row>
    <row r="1353" spans="1:13" s="4" customFormat="1" ht="51" x14ac:dyDescent="0.25">
      <c r="A1353" s="4" t="s">
        <v>2266</v>
      </c>
      <c r="B1353" s="4" t="s">
        <v>38</v>
      </c>
      <c r="C1353" s="37" t="s">
        <v>2033</v>
      </c>
      <c r="D1353" s="35">
        <v>2385</v>
      </c>
      <c r="E1353" s="4" t="s">
        <v>2369</v>
      </c>
      <c r="F1353" s="5">
        <v>39479</v>
      </c>
      <c r="G1353" s="5">
        <v>39786</v>
      </c>
      <c r="H1353" s="4" t="s">
        <v>40</v>
      </c>
      <c r="I1353" s="6">
        <v>2970</v>
      </c>
      <c r="J1353" s="6">
        <v>2970</v>
      </c>
      <c r="K1353" s="37" t="s">
        <v>2033</v>
      </c>
      <c r="L1353" s="119"/>
      <c r="M1353" s="3"/>
    </row>
    <row r="1354" spans="1:13" s="4" customFormat="1" ht="38.25" x14ac:dyDescent="0.25">
      <c r="A1354" s="4" t="s">
        <v>2367</v>
      </c>
      <c r="B1354" s="4" t="s">
        <v>38</v>
      </c>
      <c r="C1354" s="37" t="s">
        <v>2033</v>
      </c>
      <c r="D1354" s="35">
        <v>2389</v>
      </c>
      <c r="E1354" s="4" t="s">
        <v>2370</v>
      </c>
      <c r="F1354" s="5">
        <v>39786</v>
      </c>
      <c r="G1354" s="5">
        <v>39786</v>
      </c>
      <c r="H1354" s="4" t="s">
        <v>40</v>
      </c>
      <c r="I1354" s="6">
        <v>100</v>
      </c>
      <c r="J1354" s="6">
        <v>100</v>
      </c>
      <c r="K1354" s="37" t="s">
        <v>2033</v>
      </c>
      <c r="L1354" s="119"/>
      <c r="M1354" s="3"/>
    </row>
    <row r="1355" spans="1:13" s="4" customFormat="1" ht="38.25" x14ac:dyDescent="0.25">
      <c r="A1355" s="4" t="s">
        <v>2367</v>
      </c>
      <c r="B1355" s="4" t="s">
        <v>38</v>
      </c>
      <c r="C1355" s="37" t="s">
        <v>2033</v>
      </c>
      <c r="D1355" s="35">
        <v>2391</v>
      </c>
      <c r="E1355" s="4" t="s">
        <v>2370</v>
      </c>
      <c r="F1355" s="5">
        <v>39786</v>
      </c>
      <c r="G1355" s="5">
        <v>39786</v>
      </c>
      <c r="H1355" s="4" t="s">
        <v>40</v>
      </c>
      <c r="I1355" s="6">
        <v>100</v>
      </c>
      <c r="J1355" s="6">
        <v>100</v>
      </c>
      <c r="K1355" s="37" t="s">
        <v>2033</v>
      </c>
      <c r="L1355" s="119"/>
      <c r="M1355" s="3"/>
    </row>
    <row r="1356" spans="1:13" s="4" customFormat="1" ht="25.5" x14ac:dyDescent="0.25">
      <c r="A1356" s="4" t="s">
        <v>2371</v>
      </c>
      <c r="B1356" s="4" t="s">
        <v>38</v>
      </c>
      <c r="C1356" s="37" t="s">
        <v>2033</v>
      </c>
      <c r="D1356" s="35">
        <v>2394</v>
      </c>
      <c r="E1356" s="4" t="s">
        <v>2372</v>
      </c>
      <c r="F1356" s="5">
        <v>39790</v>
      </c>
      <c r="G1356" s="5">
        <v>39790</v>
      </c>
      <c r="H1356" s="4" t="s">
        <v>40</v>
      </c>
      <c r="I1356" s="6">
        <v>2510</v>
      </c>
      <c r="J1356" s="6">
        <v>2510</v>
      </c>
      <c r="K1356" s="37" t="s">
        <v>2033</v>
      </c>
      <c r="L1356" s="119"/>
      <c r="M1356" s="3"/>
    </row>
    <row r="1357" spans="1:13" s="4" customFormat="1" ht="63.75" x14ac:dyDescent="0.25">
      <c r="A1357" s="4" t="s">
        <v>2373</v>
      </c>
      <c r="B1357" s="4" t="s">
        <v>38</v>
      </c>
      <c r="C1357" s="37" t="s">
        <v>2033</v>
      </c>
      <c r="D1357" s="35">
        <v>2396</v>
      </c>
      <c r="E1357" s="4" t="s">
        <v>2374</v>
      </c>
      <c r="F1357" s="5">
        <v>39494</v>
      </c>
      <c r="G1357" s="5">
        <v>41274</v>
      </c>
      <c r="H1357" s="4" t="s">
        <v>40</v>
      </c>
      <c r="I1357" s="6">
        <f>23928.61+5000</f>
        <v>28928.61</v>
      </c>
      <c r="J1357" s="6">
        <f>23928.61+5000</f>
        <v>28928.61</v>
      </c>
      <c r="K1357" s="37" t="s">
        <v>2033</v>
      </c>
      <c r="L1357" s="119"/>
      <c r="M1357" s="3"/>
    </row>
    <row r="1358" spans="1:13" s="4" customFormat="1" ht="38.25" x14ac:dyDescent="0.25">
      <c r="A1358" s="4" t="s">
        <v>2375</v>
      </c>
      <c r="B1358" s="4" t="s">
        <v>38</v>
      </c>
      <c r="C1358" s="37" t="s">
        <v>2033</v>
      </c>
      <c r="D1358" s="35">
        <v>2399</v>
      </c>
      <c r="E1358" s="4" t="s">
        <v>2376</v>
      </c>
      <c r="F1358" s="5">
        <v>39356</v>
      </c>
      <c r="G1358" s="5">
        <v>39798</v>
      </c>
      <c r="H1358" s="4" t="s">
        <v>40</v>
      </c>
      <c r="I1358" s="6">
        <v>2138.65</v>
      </c>
      <c r="J1358" s="6">
        <v>2138.65</v>
      </c>
      <c r="K1358" s="37" t="s">
        <v>2033</v>
      </c>
      <c r="L1358" s="119"/>
      <c r="M1358" s="3"/>
    </row>
    <row r="1359" spans="1:13" s="4" customFormat="1" ht="25.5" x14ac:dyDescent="0.25">
      <c r="A1359" s="4" t="s">
        <v>2284</v>
      </c>
      <c r="B1359" s="4" t="s">
        <v>38</v>
      </c>
      <c r="C1359" s="37" t="s">
        <v>2033</v>
      </c>
      <c r="D1359" s="35">
        <v>2405</v>
      </c>
      <c r="E1359" s="4" t="s">
        <v>2377</v>
      </c>
      <c r="F1359" s="5">
        <v>39580</v>
      </c>
      <c r="G1359" s="5">
        <v>40632</v>
      </c>
      <c r="H1359" s="4" t="s">
        <v>40</v>
      </c>
      <c r="I1359" s="6">
        <v>1240</v>
      </c>
      <c r="J1359" s="6">
        <v>1240</v>
      </c>
      <c r="K1359" s="37" t="s">
        <v>2033</v>
      </c>
      <c r="L1359" s="119"/>
      <c r="M1359" s="3"/>
    </row>
    <row r="1360" spans="1:13" s="4" customFormat="1" ht="38.25" x14ac:dyDescent="0.25">
      <c r="A1360" s="4" t="s">
        <v>2378</v>
      </c>
      <c r="B1360" s="4" t="s">
        <v>38</v>
      </c>
      <c r="C1360" s="37" t="s">
        <v>2033</v>
      </c>
      <c r="D1360" s="35">
        <v>2407</v>
      </c>
      <c r="E1360" s="4" t="s">
        <v>2379</v>
      </c>
      <c r="F1360" s="5">
        <v>39479</v>
      </c>
      <c r="G1360" s="5">
        <v>39800</v>
      </c>
      <c r="H1360" s="4" t="s">
        <v>40</v>
      </c>
      <c r="I1360" s="6">
        <v>5795</v>
      </c>
      <c r="J1360" s="6">
        <v>5795</v>
      </c>
      <c r="K1360" s="37" t="s">
        <v>2033</v>
      </c>
      <c r="L1360" s="119"/>
      <c r="M1360" s="3"/>
    </row>
    <row r="1361" spans="1:13" s="4" customFormat="1" ht="25.5" x14ac:dyDescent="0.25">
      <c r="A1361" s="4" t="s">
        <v>2380</v>
      </c>
      <c r="B1361" s="4" t="s">
        <v>38</v>
      </c>
      <c r="C1361" s="37" t="s">
        <v>2033</v>
      </c>
      <c r="D1361" s="35">
        <v>2580</v>
      </c>
      <c r="E1361" s="4" t="s">
        <v>2381</v>
      </c>
      <c r="F1361" s="5">
        <v>39448</v>
      </c>
      <c r="G1361" s="5">
        <v>39813</v>
      </c>
      <c r="H1361" s="4" t="s">
        <v>40</v>
      </c>
      <c r="I1361" s="6">
        <v>3674.32</v>
      </c>
      <c r="J1361" s="6">
        <v>3674.32</v>
      </c>
      <c r="K1361" s="37" t="s">
        <v>2033</v>
      </c>
      <c r="L1361" s="119"/>
      <c r="M1361" s="3"/>
    </row>
    <row r="1362" spans="1:13" s="4" customFormat="1" ht="38.25" x14ac:dyDescent="0.25">
      <c r="A1362" s="4" t="s">
        <v>2382</v>
      </c>
      <c r="B1362" s="4" t="s">
        <v>90</v>
      </c>
      <c r="C1362" s="37" t="s">
        <v>2033</v>
      </c>
      <c r="D1362" s="35">
        <v>5794</v>
      </c>
      <c r="E1362" s="4" t="s">
        <v>2383</v>
      </c>
      <c r="F1362" s="5">
        <v>39874</v>
      </c>
      <c r="G1362" s="5">
        <v>39906</v>
      </c>
      <c r="H1362" s="4" t="s">
        <v>40</v>
      </c>
      <c r="I1362" s="6">
        <v>644.64</v>
      </c>
      <c r="J1362" s="6">
        <v>322.32</v>
      </c>
      <c r="K1362" s="37" t="s">
        <v>2033</v>
      </c>
      <c r="L1362" s="119"/>
      <c r="M1362" s="3"/>
    </row>
    <row r="1363" spans="1:13" s="4" customFormat="1" ht="25.5" x14ac:dyDescent="0.25">
      <c r="A1363" s="4" t="s">
        <v>2384</v>
      </c>
      <c r="B1363" s="4" t="s">
        <v>90</v>
      </c>
      <c r="C1363" s="37" t="s">
        <v>2033</v>
      </c>
      <c r="D1363" s="35">
        <v>5796</v>
      </c>
      <c r="E1363" s="4" t="s">
        <v>2385</v>
      </c>
      <c r="F1363" s="5">
        <v>39814</v>
      </c>
      <c r="G1363" s="5">
        <v>39910</v>
      </c>
      <c r="H1363" s="4" t="s">
        <v>40</v>
      </c>
      <c r="I1363" s="6">
        <v>5850</v>
      </c>
      <c r="J1363" s="6">
        <v>2925</v>
      </c>
      <c r="K1363" s="37" t="s">
        <v>2033</v>
      </c>
      <c r="L1363" s="119"/>
      <c r="M1363" s="3"/>
    </row>
    <row r="1364" spans="1:13" s="4" customFormat="1" ht="25.5" x14ac:dyDescent="0.25">
      <c r="A1364" s="4" t="s">
        <v>2386</v>
      </c>
      <c r="B1364" s="4" t="s">
        <v>50</v>
      </c>
      <c r="C1364" s="37" t="s">
        <v>2033</v>
      </c>
      <c r="D1364" s="35">
        <v>5797</v>
      </c>
      <c r="E1364" s="4" t="s">
        <v>2387</v>
      </c>
      <c r="F1364" s="5">
        <v>39925</v>
      </c>
      <c r="G1364" s="5">
        <v>39953</v>
      </c>
      <c r="H1364" s="4" t="s">
        <v>40</v>
      </c>
      <c r="I1364" s="6">
        <v>5398.62</v>
      </c>
      <c r="J1364" s="6">
        <v>2699.31</v>
      </c>
      <c r="K1364" s="37" t="s">
        <v>2033</v>
      </c>
      <c r="L1364" s="119"/>
      <c r="M1364" s="3"/>
    </row>
    <row r="1365" spans="1:13" s="4" customFormat="1" ht="38.25" x14ac:dyDescent="0.25">
      <c r="A1365" s="4" t="s">
        <v>2388</v>
      </c>
      <c r="B1365" s="4" t="s">
        <v>59</v>
      </c>
      <c r="C1365" s="37" t="s">
        <v>2033</v>
      </c>
      <c r="D1365" s="35">
        <v>5799</v>
      </c>
      <c r="E1365" s="4" t="s">
        <v>2389</v>
      </c>
      <c r="F1365" s="5">
        <v>39874</v>
      </c>
      <c r="G1365" s="5">
        <v>40249</v>
      </c>
      <c r="H1365" s="4" t="s">
        <v>40</v>
      </c>
      <c r="I1365" s="6">
        <v>7500</v>
      </c>
      <c r="J1365" s="6">
        <v>7500</v>
      </c>
      <c r="K1365" s="37" t="s">
        <v>2033</v>
      </c>
      <c r="L1365" s="119"/>
      <c r="M1365" s="3"/>
    </row>
    <row r="1366" spans="1:13" s="4" customFormat="1" ht="25.5" x14ac:dyDescent="0.25">
      <c r="A1366" s="4" t="s">
        <v>2390</v>
      </c>
      <c r="B1366" s="4" t="s">
        <v>59</v>
      </c>
      <c r="C1366" s="37" t="s">
        <v>2033</v>
      </c>
      <c r="D1366" s="35">
        <v>5801</v>
      </c>
      <c r="E1366" s="4" t="s">
        <v>2391</v>
      </c>
      <c r="F1366" s="5">
        <v>39946</v>
      </c>
      <c r="G1366" s="5">
        <v>40134</v>
      </c>
      <c r="H1366" s="4" t="s">
        <v>40</v>
      </c>
      <c r="I1366" s="6">
        <v>7500</v>
      </c>
      <c r="J1366" s="6">
        <v>7500</v>
      </c>
      <c r="K1366" s="37" t="s">
        <v>2033</v>
      </c>
      <c r="L1366" s="119"/>
      <c r="M1366" s="3"/>
    </row>
    <row r="1367" spans="1:13" s="4" customFormat="1" ht="25.5" x14ac:dyDescent="0.25">
      <c r="A1367" s="4" t="s">
        <v>2392</v>
      </c>
      <c r="B1367" s="4" t="s">
        <v>13</v>
      </c>
      <c r="C1367" s="37" t="s">
        <v>2033</v>
      </c>
      <c r="D1367" s="35">
        <v>5802</v>
      </c>
      <c r="E1367" s="4" t="s">
        <v>2393</v>
      </c>
      <c r="F1367" s="5">
        <v>39874</v>
      </c>
      <c r="G1367" s="5">
        <v>40035</v>
      </c>
      <c r="H1367" s="4" t="s">
        <v>40</v>
      </c>
      <c r="I1367" s="6">
        <v>15000</v>
      </c>
      <c r="J1367" s="6">
        <v>7500</v>
      </c>
      <c r="K1367" s="37" t="s">
        <v>2033</v>
      </c>
      <c r="L1367" s="119"/>
      <c r="M1367" s="3"/>
    </row>
    <row r="1368" spans="1:13" s="4" customFormat="1" ht="38.25" x14ac:dyDescent="0.25">
      <c r="A1368" s="4" t="s">
        <v>2394</v>
      </c>
      <c r="B1368" s="4" t="s">
        <v>2395</v>
      </c>
      <c r="C1368" s="37" t="s">
        <v>2033</v>
      </c>
      <c r="D1368" s="35">
        <v>5804</v>
      </c>
      <c r="E1368" s="4" t="s">
        <v>2396</v>
      </c>
      <c r="F1368" s="5">
        <v>39946</v>
      </c>
      <c r="H1368" s="4" t="s">
        <v>40</v>
      </c>
      <c r="I1368" s="6">
        <v>50000</v>
      </c>
      <c r="J1368" s="6">
        <v>25000</v>
      </c>
      <c r="K1368" s="37" t="s">
        <v>2033</v>
      </c>
      <c r="L1368" s="119"/>
      <c r="M1368" s="3"/>
    </row>
    <row r="1369" spans="1:13" s="4" customFormat="1" ht="63.75" x14ac:dyDescent="0.25">
      <c r="A1369" s="4" t="s">
        <v>2397</v>
      </c>
      <c r="B1369" s="4" t="s">
        <v>2395</v>
      </c>
      <c r="C1369" s="37" t="s">
        <v>2033</v>
      </c>
      <c r="D1369" s="35">
        <v>5807</v>
      </c>
      <c r="E1369" s="4" t="s">
        <v>2398</v>
      </c>
      <c r="F1369" s="5">
        <v>40008</v>
      </c>
      <c r="H1369" s="4" t="s">
        <v>40</v>
      </c>
      <c r="I1369" s="6">
        <v>100000</v>
      </c>
      <c r="J1369" s="6">
        <v>25000</v>
      </c>
      <c r="K1369" s="37" t="s">
        <v>2033</v>
      </c>
      <c r="L1369" s="119"/>
      <c r="M1369" s="3"/>
    </row>
    <row r="1370" spans="1:13" s="4" customFormat="1" ht="25.5" x14ac:dyDescent="0.25">
      <c r="A1370" s="4" t="s">
        <v>2399</v>
      </c>
      <c r="B1370" s="4" t="s">
        <v>59</v>
      </c>
      <c r="C1370" s="37" t="s">
        <v>2033</v>
      </c>
      <c r="D1370" s="35">
        <v>5808</v>
      </c>
      <c r="E1370" s="4" t="s">
        <v>2400</v>
      </c>
      <c r="F1370" s="5">
        <v>40008</v>
      </c>
      <c r="G1370" s="5">
        <v>40400</v>
      </c>
      <c r="H1370" s="4" t="s">
        <v>40</v>
      </c>
      <c r="I1370" s="6">
        <v>5625</v>
      </c>
      <c r="J1370" s="6">
        <v>5625</v>
      </c>
      <c r="K1370" s="37" t="s">
        <v>2033</v>
      </c>
      <c r="L1370" s="119"/>
      <c r="M1370" s="3"/>
    </row>
    <row r="1371" spans="1:13" s="4" customFormat="1" ht="38.25" x14ac:dyDescent="0.25">
      <c r="A1371" s="4" t="s">
        <v>2401</v>
      </c>
      <c r="B1371" s="4" t="s">
        <v>59</v>
      </c>
      <c r="C1371" s="37" t="s">
        <v>2033</v>
      </c>
      <c r="D1371" s="35">
        <v>5884</v>
      </c>
      <c r="E1371" s="4" t="s">
        <v>2402</v>
      </c>
      <c r="F1371" s="5">
        <v>40070</v>
      </c>
      <c r="G1371" s="5">
        <v>40291</v>
      </c>
      <c r="H1371" s="4" t="s">
        <v>40</v>
      </c>
      <c r="I1371" s="6">
        <v>45000</v>
      </c>
      <c r="J1371" s="6">
        <v>45000</v>
      </c>
      <c r="K1371" s="37" t="s">
        <v>2033</v>
      </c>
      <c r="L1371" s="119"/>
      <c r="M1371" s="3"/>
    </row>
    <row r="1372" spans="1:13" s="4" customFormat="1" ht="25.5" x14ac:dyDescent="0.25">
      <c r="A1372" s="4" t="s">
        <v>2403</v>
      </c>
      <c r="B1372" s="4" t="s">
        <v>90</v>
      </c>
      <c r="C1372" s="37" t="s">
        <v>2033</v>
      </c>
      <c r="D1372" s="35">
        <v>5885</v>
      </c>
      <c r="E1372" s="4" t="s">
        <v>2404</v>
      </c>
      <c r="F1372" s="5">
        <v>40133</v>
      </c>
      <c r="G1372" s="5">
        <v>40308</v>
      </c>
      <c r="H1372" s="4" t="s">
        <v>40</v>
      </c>
      <c r="I1372" s="6">
        <v>10200</v>
      </c>
      <c r="J1372" s="6">
        <v>5100</v>
      </c>
      <c r="K1372" s="37" t="s">
        <v>2033</v>
      </c>
      <c r="L1372" s="119"/>
      <c r="M1372" s="3"/>
    </row>
    <row r="1373" spans="1:13" s="4" customFormat="1" ht="38.25" x14ac:dyDescent="0.25">
      <c r="A1373" s="4" t="s">
        <v>2405</v>
      </c>
      <c r="B1373" s="4" t="s">
        <v>90</v>
      </c>
      <c r="C1373" s="37" t="s">
        <v>2033</v>
      </c>
      <c r="D1373" s="35">
        <v>5886</v>
      </c>
      <c r="E1373" s="4" t="s">
        <v>2406</v>
      </c>
      <c r="F1373" s="5">
        <v>40008</v>
      </c>
      <c r="G1373" s="5">
        <v>40165</v>
      </c>
      <c r="H1373" s="4" t="s">
        <v>40</v>
      </c>
      <c r="I1373" s="6">
        <v>10200</v>
      </c>
      <c r="J1373" s="6">
        <v>5100</v>
      </c>
      <c r="K1373" s="37" t="s">
        <v>2033</v>
      </c>
      <c r="L1373" s="119"/>
      <c r="M1373" s="3"/>
    </row>
    <row r="1374" spans="1:13" s="4" customFormat="1" ht="63.75" x14ac:dyDescent="0.25">
      <c r="A1374" s="4" t="s">
        <v>2407</v>
      </c>
      <c r="B1374" s="4" t="s">
        <v>190</v>
      </c>
      <c r="C1374" s="37" t="s">
        <v>2033</v>
      </c>
      <c r="D1374" s="35">
        <v>5887</v>
      </c>
      <c r="E1374" s="4" t="s">
        <v>2408</v>
      </c>
      <c r="F1374" s="5">
        <v>40070</v>
      </c>
      <c r="G1374" s="5">
        <v>40590</v>
      </c>
      <c r="H1374" s="4" t="s">
        <v>40</v>
      </c>
      <c r="I1374" s="6">
        <f>7500+22500</f>
        <v>30000</v>
      </c>
      <c r="J1374" s="6">
        <f>7500+22500</f>
        <v>30000</v>
      </c>
      <c r="K1374" s="37" t="s">
        <v>2033</v>
      </c>
      <c r="L1374" s="119"/>
      <c r="M1374" s="3"/>
    </row>
    <row r="1375" spans="1:13" s="4" customFormat="1" ht="76.5" x14ac:dyDescent="0.25">
      <c r="A1375" s="4" t="s">
        <v>2411</v>
      </c>
      <c r="B1375" s="4" t="s">
        <v>38</v>
      </c>
      <c r="C1375" s="37" t="s">
        <v>2033</v>
      </c>
      <c r="D1375" s="35">
        <v>5889</v>
      </c>
      <c r="E1375" s="4" t="s">
        <v>2412</v>
      </c>
      <c r="F1375" s="5">
        <v>39814</v>
      </c>
      <c r="G1375" s="5">
        <v>40891</v>
      </c>
      <c r="H1375" s="4" t="s">
        <v>40</v>
      </c>
      <c r="I1375" s="6">
        <v>900</v>
      </c>
      <c r="J1375" s="6">
        <v>900</v>
      </c>
      <c r="K1375" s="37" t="s">
        <v>2033</v>
      </c>
      <c r="L1375" s="119"/>
      <c r="M1375" s="3"/>
    </row>
    <row r="1376" spans="1:13" s="4" customFormat="1" ht="51" x14ac:dyDescent="0.25">
      <c r="A1376" s="4" t="s">
        <v>2413</v>
      </c>
      <c r="B1376" s="4" t="s">
        <v>38</v>
      </c>
      <c r="C1376" s="37" t="s">
        <v>2033</v>
      </c>
      <c r="D1376" s="35">
        <v>5890</v>
      </c>
      <c r="E1376" s="4" t="s">
        <v>2414</v>
      </c>
      <c r="F1376" s="5">
        <v>39953</v>
      </c>
      <c r="G1376" s="5">
        <v>41639</v>
      </c>
      <c r="H1376" s="4" t="s">
        <v>40</v>
      </c>
      <c r="I1376" s="6">
        <v>20440.53</v>
      </c>
      <c r="J1376" s="6">
        <f>14711.8+5728.73</f>
        <v>20440.53</v>
      </c>
      <c r="K1376" s="37" t="s">
        <v>2033</v>
      </c>
      <c r="L1376" s="119"/>
      <c r="M1376" s="3"/>
    </row>
    <row r="1377" spans="1:13" s="4" customFormat="1" ht="63.75" x14ac:dyDescent="0.25">
      <c r="A1377" s="4" t="s">
        <v>2415</v>
      </c>
      <c r="B1377" s="4" t="s">
        <v>38</v>
      </c>
      <c r="C1377" s="37" t="s">
        <v>2033</v>
      </c>
      <c r="D1377" s="35">
        <v>5891</v>
      </c>
      <c r="E1377" s="4" t="s">
        <v>2416</v>
      </c>
      <c r="F1377" s="5">
        <v>39953</v>
      </c>
      <c r="G1377" s="5">
        <v>41274</v>
      </c>
      <c r="H1377" s="4" t="s">
        <v>40</v>
      </c>
      <c r="I1377" s="6">
        <v>6505.55</v>
      </c>
      <c r="J1377" s="6">
        <v>6505.55</v>
      </c>
      <c r="K1377" s="37" t="s">
        <v>2033</v>
      </c>
      <c r="L1377" s="119"/>
      <c r="M1377" s="3"/>
    </row>
    <row r="1378" spans="1:13" s="4" customFormat="1" ht="127.5" x14ac:dyDescent="0.25">
      <c r="A1378" s="4" t="s">
        <v>2417</v>
      </c>
      <c r="B1378" s="4" t="s">
        <v>38</v>
      </c>
      <c r="C1378" s="37" t="s">
        <v>2033</v>
      </c>
      <c r="D1378" s="35">
        <v>5892</v>
      </c>
      <c r="E1378" s="7" t="s">
        <v>2418</v>
      </c>
      <c r="F1378" s="5">
        <v>39975</v>
      </c>
      <c r="G1378" s="5">
        <v>41274</v>
      </c>
      <c r="H1378" s="4" t="s">
        <v>40</v>
      </c>
      <c r="I1378" s="6">
        <v>32925</v>
      </c>
      <c r="J1378" s="6">
        <f>24975+7950</f>
        <v>32925</v>
      </c>
      <c r="K1378" s="37" t="s">
        <v>2033</v>
      </c>
      <c r="L1378" s="119"/>
      <c r="M1378" s="3"/>
    </row>
    <row r="1379" spans="1:13" s="4" customFormat="1" ht="51" x14ac:dyDescent="0.25">
      <c r="A1379" s="4" t="s">
        <v>2419</v>
      </c>
      <c r="B1379" s="4" t="s">
        <v>38</v>
      </c>
      <c r="C1379" s="37" t="s">
        <v>2033</v>
      </c>
      <c r="D1379" s="35">
        <v>5893</v>
      </c>
      <c r="E1379" s="4" t="s">
        <v>2420</v>
      </c>
      <c r="F1379" s="5">
        <v>39975</v>
      </c>
      <c r="G1379" s="5">
        <v>41274</v>
      </c>
      <c r="H1379" s="4" t="s">
        <v>40</v>
      </c>
      <c r="I1379" s="6">
        <v>9569</v>
      </c>
      <c r="J1379" s="6">
        <f>7579+1990</f>
        <v>9569</v>
      </c>
      <c r="K1379" s="37" t="s">
        <v>2033</v>
      </c>
      <c r="L1379" s="119"/>
      <c r="M1379" s="3"/>
    </row>
    <row r="1380" spans="1:13" s="4" customFormat="1" ht="38.25" x14ac:dyDescent="0.25">
      <c r="A1380" s="4" t="s">
        <v>2421</v>
      </c>
      <c r="B1380" s="4" t="s">
        <v>38</v>
      </c>
      <c r="C1380" s="37" t="s">
        <v>2033</v>
      </c>
      <c r="D1380" s="35">
        <v>5894</v>
      </c>
      <c r="E1380" s="4" t="s">
        <v>2422</v>
      </c>
      <c r="F1380" s="5">
        <v>40016</v>
      </c>
      <c r="G1380" s="5">
        <v>40178</v>
      </c>
      <c r="H1380" s="4" t="s">
        <v>40</v>
      </c>
      <c r="I1380" s="6">
        <v>1180</v>
      </c>
      <c r="J1380" s="6">
        <v>1180</v>
      </c>
      <c r="K1380" s="37" t="s">
        <v>2033</v>
      </c>
      <c r="L1380" s="119"/>
      <c r="M1380" s="3"/>
    </row>
    <row r="1381" spans="1:13" s="4" customFormat="1" ht="38.25" x14ac:dyDescent="0.25">
      <c r="A1381" s="4" t="s">
        <v>2423</v>
      </c>
      <c r="B1381" s="4" t="s">
        <v>38</v>
      </c>
      <c r="C1381" s="37" t="s">
        <v>2033</v>
      </c>
      <c r="D1381" s="35">
        <v>5895</v>
      </c>
      <c r="E1381" s="4" t="s">
        <v>2424</v>
      </c>
      <c r="F1381" s="5">
        <v>40087</v>
      </c>
      <c r="G1381" s="5">
        <v>40178</v>
      </c>
      <c r="H1381" s="4" t="s">
        <v>40</v>
      </c>
      <c r="I1381" s="6">
        <v>226.38</v>
      </c>
      <c r="J1381" s="6">
        <v>226.38</v>
      </c>
      <c r="K1381" s="37" t="s">
        <v>2033</v>
      </c>
      <c r="L1381" s="119"/>
      <c r="M1381" s="3"/>
    </row>
    <row r="1382" spans="1:13" s="4" customFormat="1" ht="63.75" x14ac:dyDescent="0.25">
      <c r="A1382" s="4" t="s">
        <v>2354</v>
      </c>
      <c r="B1382" s="4" t="s">
        <v>38</v>
      </c>
      <c r="C1382" s="37" t="s">
        <v>2033</v>
      </c>
      <c r="D1382" s="35">
        <v>5896</v>
      </c>
      <c r="E1382" s="4" t="s">
        <v>2425</v>
      </c>
      <c r="F1382" s="5">
        <v>40105</v>
      </c>
      <c r="G1382" s="5">
        <v>40891</v>
      </c>
      <c r="H1382" s="4" t="s">
        <v>40</v>
      </c>
      <c r="I1382" s="6">
        <v>45622.93</v>
      </c>
      <c r="J1382" s="6">
        <f>33382.93+12240</f>
        <v>45622.93</v>
      </c>
      <c r="K1382" s="37" t="s">
        <v>2033</v>
      </c>
      <c r="L1382" s="119"/>
      <c r="M1382" s="3"/>
    </row>
    <row r="1383" spans="1:13" s="4" customFormat="1" ht="63.75" x14ac:dyDescent="0.25">
      <c r="A1383" s="4" t="s">
        <v>2426</v>
      </c>
      <c r="B1383" s="4" t="s">
        <v>38</v>
      </c>
      <c r="C1383" s="37" t="s">
        <v>2033</v>
      </c>
      <c r="D1383" s="35">
        <v>5897</v>
      </c>
      <c r="E1383" s="4" t="s">
        <v>2427</v>
      </c>
      <c r="F1383" s="5">
        <v>40134</v>
      </c>
      <c r="G1383" s="5">
        <v>40178</v>
      </c>
      <c r="H1383" s="4" t="s">
        <v>40</v>
      </c>
      <c r="I1383" s="6">
        <v>1200</v>
      </c>
      <c r="J1383" s="6">
        <v>1200</v>
      </c>
      <c r="K1383" s="37" t="s">
        <v>2033</v>
      </c>
      <c r="L1383" s="119"/>
      <c r="M1383" s="3"/>
    </row>
    <row r="1384" spans="1:13" s="4" customFormat="1" ht="38.25" x14ac:dyDescent="0.25">
      <c r="A1384" s="4" t="s">
        <v>2428</v>
      </c>
      <c r="B1384" s="4" t="s">
        <v>38</v>
      </c>
      <c r="C1384" s="37" t="s">
        <v>2033</v>
      </c>
      <c r="D1384" s="35">
        <v>5898</v>
      </c>
      <c r="E1384" s="4" t="s">
        <v>2429</v>
      </c>
      <c r="F1384" s="5">
        <v>40149</v>
      </c>
      <c r="G1384" s="5">
        <v>40178</v>
      </c>
      <c r="H1384" s="4" t="s">
        <v>40</v>
      </c>
      <c r="I1384" s="6">
        <v>1456</v>
      </c>
      <c r="J1384" s="6">
        <v>1456</v>
      </c>
      <c r="K1384" s="37" t="s">
        <v>2033</v>
      </c>
      <c r="L1384" s="119"/>
      <c r="M1384" s="3"/>
    </row>
    <row r="1385" spans="1:13" s="4" customFormat="1" ht="102" x14ac:dyDescent="0.25">
      <c r="A1385" s="4" t="s">
        <v>2430</v>
      </c>
      <c r="B1385" s="4" t="s">
        <v>38</v>
      </c>
      <c r="C1385" s="37" t="s">
        <v>2033</v>
      </c>
      <c r="D1385" s="35">
        <v>5899</v>
      </c>
      <c r="E1385" s="7" t="s">
        <v>2431</v>
      </c>
      <c r="F1385" s="5">
        <v>40087</v>
      </c>
      <c r="G1385" s="5">
        <v>40178</v>
      </c>
      <c r="H1385" s="4" t="s">
        <v>40</v>
      </c>
      <c r="I1385" s="6">
        <v>29500</v>
      </c>
      <c r="J1385" s="6">
        <v>29500</v>
      </c>
      <c r="K1385" s="37" t="s">
        <v>2033</v>
      </c>
      <c r="L1385" s="119"/>
      <c r="M1385" s="3"/>
    </row>
    <row r="1386" spans="1:13" s="4" customFormat="1" ht="38.25" x14ac:dyDescent="0.25">
      <c r="A1386" s="4" t="s">
        <v>2432</v>
      </c>
      <c r="B1386" s="4" t="s">
        <v>38</v>
      </c>
      <c r="C1386" s="37" t="s">
        <v>2033</v>
      </c>
      <c r="D1386" s="35">
        <v>5900</v>
      </c>
      <c r="E1386" s="4" t="s">
        <v>2433</v>
      </c>
      <c r="F1386" s="5">
        <v>40087</v>
      </c>
      <c r="G1386" s="5">
        <v>40178</v>
      </c>
      <c r="H1386" s="4" t="s">
        <v>40</v>
      </c>
      <c r="I1386" s="6">
        <v>1438.72</v>
      </c>
      <c r="J1386" s="6">
        <v>1438.72</v>
      </c>
      <c r="K1386" s="37" t="s">
        <v>2033</v>
      </c>
      <c r="L1386" s="119"/>
      <c r="M1386" s="3"/>
    </row>
    <row r="1387" spans="1:13" s="4" customFormat="1" ht="38.25" x14ac:dyDescent="0.25">
      <c r="A1387" s="4" t="s">
        <v>2434</v>
      </c>
      <c r="B1387" s="4" t="s">
        <v>90</v>
      </c>
      <c r="C1387" s="37" t="s">
        <v>2033</v>
      </c>
      <c r="D1387" s="35">
        <v>7378</v>
      </c>
      <c r="E1387" s="4" t="s">
        <v>2435</v>
      </c>
      <c r="F1387" s="5">
        <v>40133</v>
      </c>
      <c r="G1387" s="5">
        <v>40305</v>
      </c>
      <c r="H1387" s="4" t="s">
        <v>40</v>
      </c>
      <c r="I1387" s="6">
        <v>10000</v>
      </c>
      <c r="J1387" s="6">
        <v>5000</v>
      </c>
      <c r="K1387" s="37" t="s">
        <v>2033</v>
      </c>
      <c r="L1387" s="119"/>
      <c r="M1387" s="3"/>
    </row>
    <row r="1388" spans="1:13" s="4" customFormat="1" ht="25.5" x14ac:dyDescent="0.25">
      <c r="A1388" s="4" t="s">
        <v>2436</v>
      </c>
      <c r="B1388" s="4" t="s">
        <v>2395</v>
      </c>
      <c r="C1388" s="37" t="s">
        <v>2033</v>
      </c>
      <c r="D1388" s="35">
        <v>7379</v>
      </c>
      <c r="E1388" s="4" t="s">
        <v>2437</v>
      </c>
      <c r="F1388" s="5">
        <v>40442</v>
      </c>
      <c r="G1388" s="5">
        <v>40508</v>
      </c>
      <c r="H1388" s="4" t="s">
        <v>40</v>
      </c>
      <c r="I1388" s="6">
        <v>80000</v>
      </c>
      <c r="J1388" s="6">
        <v>40000</v>
      </c>
      <c r="K1388" s="37" t="s">
        <v>2033</v>
      </c>
      <c r="L1388" s="119"/>
      <c r="M1388" s="3"/>
    </row>
    <row r="1389" spans="1:13" s="4" customFormat="1" ht="25.5" x14ac:dyDescent="0.25">
      <c r="A1389" s="4" t="s">
        <v>2438</v>
      </c>
      <c r="B1389" s="4" t="s">
        <v>90</v>
      </c>
      <c r="C1389" s="37" t="s">
        <v>2033</v>
      </c>
      <c r="D1389" s="35">
        <v>7380</v>
      </c>
      <c r="E1389" s="4" t="s">
        <v>2439</v>
      </c>
      <c r="F1389" s="5">
        <v>40442</v>
      </c>
      <c r="G1389" s="5">
        <v>40451</v>
      </c>
      <c r="H1389" s="4" t="s">
        <v>40</v>
      </c>
      <c r="I1389" s="6">
        <v>10060.66</v>
      </c>
      <c r="J1389" s="6">
        <v>5030.33</v>
      </c>
      <c r="K1389" s="37" t="s">
        <v>2033</v>
      </c>
      <c r="L1389" s="119"/>
      <c r="M1389" s="3"/>
    </row>
    <row r="1390" spans="1:13" s="4" customFormat="1" ht="38.25" x14ac:dyDescent="0.25">
      <c r="A1390" s="4" t="s">
        <v>2440</v>
      </c>
      <c r="B1390" s="4" t="s">
        <v>183</v>
      </c>
      <c r="C1390" s="37" t="s">
        <v>2033</v>
      </c>
      <c r="D1390" s="35">
        <v>7381</v>
      </c>
      <c r="E1390" s="4" t="s">
        <v>2441</v>
      </c>
      <c r="F1390" s="5">
        <v>40193</v>
      </c>
      <c r="G1390" s="5">
        <v>40407</v>
      </c>
      <c r="H1390" s="4" t="s">
        <v>40</v>
      </c>
      <c r="I1390" s="6">
        <f>15000+3750</f>
        <v>18750</v>
      </c>
      <c r="J1390" s="6">
        <f>15000+3750</f>
        <v>18750</v>
      </c>
      <c r="K1390" s="37" t="s">
        <v>2033</v>
      </c>
      <c r="L1390" s="119"/>
      <c r="M1390" s="3"/>
    </row>
    <row r="1391" spans="1:13" s="4" customFormat="1" ht="25.5" x14ac:dyDescent="0.25">
      <c r="A1391" s="4" t="s">
        <v>2444</v>
      </c>
      <c r="B1391" s="4" t="s">
        <v>183</v>
      </c>
      <c r="C1391" s="37" t="s">
        <v>2033</v>
      </c>
      <c r="D1391" s="35">
        <v>7497</v>
      </c>
      <c r="E1391" s="4" t="s">
        <v>2445</v>
      </c>
      <c r="F1391" s="5">
        <v>40320</v>
      </c>
      <c r="G1391" s="5">
        <v>40617</v>
      </c>
      <c r="H1391" s="4" t="s">
        <v>40</v>
      </c>
      <c r="I1391" s="6">
        <v>20000</v>
      </c>
      <c r="J1391" s="6">
        <v>20000</v>
      </c>
      <c r="K1391" s="37" t="s">
        <v>2033</v>
      </c>
      <c r="L1391" s="119"/>
      <c r="M1391" s="3"/>
    </row>
    <row r="1392" spans="1:13" s="4" customFormat="1" ht="25.5" x14ac:dyDescent="0.25">
      <c r="A1392" s="4" t="s">
        <v>2446</v>
      </c>
      <c r="B1392" s="4" t="s">
        <v>190</v>
      </c>
      <c r="C1392" s="37" t="s">
        <v>2033</v>
      </c>
      <c r="D1392" s="35">
        <v>7508</v>
      </c>
      <c r="E1392" s="4" t="s">
        <v>2447</v>
      </c>
      <c r="F1392" s="5">
        <v>40442</v>
      </c>
      <c r="G1392" s="5">
        <v>40515</v>
      </c>
      <c r="H1392" s="4" t="s">
        <v>40</v>
      </c>
      <c r="I1392" s="6">
        <v>5600</v>
      </c>
      <c r="J1392" s="6">
        <v>2800</v>
      </c>
      <c r="K1392" s="37" t="s">
        <v>2033</v>
      </c>
      <c r="L1392" s="119"/>
      <c r="M1392" s="3"/>
    </row>
    <row r="1393" spans="1:13" s="4" customFormat="1" ht="38.25" x14ac:dyDescent="0.25">
      <c r="A1393" s="4" t="s">
        <v>2450</v>
      </c>
      <c r="B1393" s="4" t="s">
        <v>90</v>
      </c>
      <c r="C1393" s="37" t="s">
        <v>2033</v>
      </c>
      <c r="D1393" s="35">
        <v>7515</v>
      </c>
      <c r="E1393" s="4" t="s">
        <v>2451</v>
      </c>
      <c r="F1393" s="5">
        <v>40193</v>
      </c>
      <c r="G1393" s="5">
        <v>40793</v>
      </c>
      <c r="H1393" s="4" t="s">
        <v>40</v>
      </c>
      <c r="I1393" s="6">
        <v>10200</v>
      </c>
      <c r="J1393" s="6">
        <v>5100</v>
      </c>
      <c r="K1393" s="37" t="s">
        <v>2033</v>
      </c>
      <c r="L1393" s="119"/>
      <c r="M1393" s="3"/>
    </row>
    <row r="1394" spans="1:13" s="4" customFormat="1" ht="51" x14ac:dyDescent="0.25">
      <c r="A1394" s="4" t="s">
        <v>2452</v>
      </c>
      <c r="B1394" s="4" t="s">
        <v>190</v>
      </c>
      <c r="C1394" s="37" t="s">
        <v>2033</v>
      </c>
      <c r="D1394" s="35">
        <v>7518</v>
      </c>
      <c r="E1394" s="4" t="s">
        <v>2453</v>
      </c>
      <c r="F1394" s="5">
        <v>40442</v>
      </c>
      <c r="G1394" s="5">
        <v>40508</v>
      </c>
      <c r="H1394" s="4" t="s">
        <v>40</v>
      </c>
      <c r="I1394" s="6">
        <v>20000</v>
      </c>
      <c r="J1394" s="6">
        <v>10000</v>
      </c>
      <c r="K1394" s="37" t="s">
        <v>2033</v>
      </c>
      <c r="L1394" s="119"/>
      <c r="M1394" s="3"/>
    </row>
    <row r="1395" spans="1:13" s="4" customFormat="1" ht="38.25" x14ac:dyDescent="0.25">
      <c r="A1395" s="4" t="s">
        <v>2454</v>
      </c>
      <c r="B1395" s="4" t="s">
        <v>50</v>
      </c>
      <c r="C1395" s="37" t="s">
        <v>2033</v>
      </c>
      <c r="D1395" s="35">
        <v>7520</v>
      </c>
      <c r="E1395" s="4" t="s">
        <v>2455</v>
      </c>
      <c r="F1395" s="5">
        <v>40442</v>
      </c>
      <c r="G1395" s="5">
        <v>40508</v>
      </c>
      <c r="H1395" s="4" t="s">
        <v>40</v>
      </c>
      <c r="I1395" s="6">
        <v>40000</v>
      </c>
      <c r="J1395" s="6">
        <v>20000</v>
      </c>
      <c r="K1395" s="37" t="s">
        <v>2033</v>
      </c>
      <c r="L1395" s="119"/>
      <c r="M1395" s="3"/>
    </row>
    <row r="1396" spans="1:13" s="4" customFormat="1" ht="25.5" x14ac:dyDescent="0.25">
      <c r="A1396" s="4" t="s">
        <v>2456</v>
      </c>
      <c r="B1396" s="4" t="s">
        <v>50</v>
      </c>
      <c r="C1396" s="37" t="s">
        <v>2033</v>
      </c>
      <c r="D1396" s="35">
        <v>7522</v>
      </c>
      <c r="E1396" s="4" t="s">
        <v>2457</v>
      </c>
      <c r="F1396" s="5">
        <v>40070</v>
      </c>
      <c r="G1396" s="5">
        <v>40305</v>
      </c>
      <c r="H1396" s="4" t="s">
        <v>40</v>
      </c>
      <c r="I1396" s="6">
        <v>6899</v>
      </c>
      <c r="J1396" s="6">
        <v>3449.5</v>
      </c>
      <c r="K1396" s="37" t="s">
        <v>2033</v>
      </c>
      <c r="L1396" s="119"/>
      <c r="M1396" s="3"/>
    </row>
    <row r="1397" spans="1:13" s="4" customFormat="1" ht="38.25" x14ac:dyDescent="0.25">
      <c r="A1397" s="4" t="s">
        <v>2458</v>
      </c>
      <c r="B1397" s="4" t="s">
        <v>90</v>
      </c>
      <c r="C1397" s="37" t="s">
        <v>2033</v>
      </c>
      <c r="D1397" s="35">
        <v>7697</v>
      </c>
      <c r="E1397" s="4" t="s">
        <v>2459</v>
      </c>
      <c r="F1397" s="5">
        <v>40310</v>
      </c>
      <c r="G1397" s="5">
        <v>40491</v>
      </c>
      <c r="H1397" s="4" t="s">
        <v>40</v>
      </c>
      <c r="I1397" s="6">
        <v>1166.78</v>
      </c>
      <c r="J1397" s="6">
        <v>583.39</v>
      </c>
      <c r="K1397" s="37" t="s">
        <v>2033</v>
      </c>
      <c r="L1397" s="119"/>
      <c r="M1397" s="3"/>
    </row>
    <row r="1398" spans="1:13" s="4" customFormat="1" ht="63.75" x14ac:dyDescent="0.25">
      <c r="A1398" s="4" t="s">
        <v>2462</v>
      </c>
      <c r="B1398" s="4" t="s">
        <v>2395</v>
      </c>
      <c r="C1398" s="37" t="s">
        <v>2033</v>
      </c>
      <c r="D1398" s="35">
        <v>7699</v>
      </c>
      <c r="E1398" s="4" t="s">
        <v>2463</v>
      </c>
      <c r="F1398" s="5">
        <v>40477</v>
      </c>
      <c r="G1398" s="5">
        <v>40508</v>
      </c>
      <c r="H1398" s="4" t="s">
        <v>40</v>
      </c>
      <c r="I1398" s="6">
        <v>140000</v>
      </c>
      <c r="J1398" s="6">
        <v>70000</v>
      </c>
      <c r="K1398" s="37" t="s">
        <v>2033</v>
      </c>
      <c r="L1398" s="119"/>
      <c r="M1398" s="3"/>
    </row>
    <row r="1399" spans="1:13" s="4" customFormat="1" ht="51" x14ac:dyDescent="0.25">
      <c r="A1399" s="4" t="s">
        <v>2464</v>
      </c>
      <c r="B1399" s="4" t="s">
        <v>183</v>
      </c>
      <c r="C1399" s="37" t="s">
        <v>2033</v>
      </c>
      <c r="D1399" s="35">
        <v>7700</v>
      </c>
      <c r="E1399" s="4" t="s">
        <v>2465</v>
      </c>
      <c r="F1399" s="5">
        <v>40526</v>
      </c>
      <c r="G1399" s="5">
        <v>40617</v>
      </c>
      <c r="H1399" s="4" t="s">
        <v>40</v>
      </c>
      <c r="I1399" s="6">
        <v>7500</v>
      </c>
      <c r="J1399" s="6">
        <v>7500</v>
      </c>
      <c r="K1399" s="37" t="s">
        <v>2033</v>
      </c>
      <c r="L1399" s="119"/>
      <c r="M1399" s="3"/>
    </row>
    <row r="1400" spans="1:13" s="4" customFormat="1" ht="102" x14ac:dyDescent="0.25">
      <c r="A1400" s="4" t="s">
        <v>2468</v>
      </c>
      <c r="B1400" s="4" t="s">
        <v>183</v>
      </c>
      <c r="C1400" s="37" t="s">
        <v>2033</v>
      </c>
      <c r="D1400" s="35">
        <v>7702</v>
      </c>
      <c r="E1400" s="7" t="s">
        <v>2469</v>
      </c>
      <c r="F1400" s="5">
        <v>40310</v>
      </c>
      <c r="G1400" s="5">
        <v>41274</v>
      </c>
      <c r="H1400" s="4" t="s">
        <v>40</v>
      </c>
      <c r="I1400" s="6">
        <v>15000</v>
      </c>
      <c r="J1400" s="6">
        <v>15000</v>
      </c>
      <c r="K1400" s="37" t="s">
        <v>2033</v>
      </c>
      <c r="L1400" s="119"/>
      <c r="M1400" s="3"/>
    </row>
    <row r="1401" spans="1:13" s="4" customFormat="1" ht="38.25" x14ac:dyDescent="0.25">
      <c r="A1401" s="4" t="s">
        <v>2284</v>
      </c>
      <c r="B1401" s="4" t="s">
        <v>38</v>
      </c>
      <c r="C1401" s="37" t="s">
        <v>2033</v>
      </c>
      <c r="D1401" s="35">
        <v>7703</v>
      </c>
      <c r="E1401" s="4" t="s">
        <v>2470</v>
      </c>
      <c r="F1401" s="5">
        <v>40372</v>
      </c>
      <c r="G1401" s="5">
        <v>40598</v>
      </c>
      <c r="H1401" s="4" t="s">
        <v>40</v>
      </c>
      <c r="I1401" s="6">
        <v>1119.25</v>
      </c>
      <c r="J1401" s="6">
        <v>1119.25</v>
      </c>
      <c r="K1401" s="37" t="s">
        <v>2033</v>
      </c>
      <c r="L1401" s="119"/>
      <c r="M1401" s="3"/>
    </row>
    <row r="1402" spans="1:13" s="4" customFormat="1" ht="63.75" x14ac:dyDescent="0.25">
      <c r="A1402" s="4" t="s">
        <v>2284</v>
      </c>
      <c r="B1402" s="4" t="s">
        <v>38</v>
      </c>
      <c r="C1402" s="37" t="s">
        <v>2033</v>
      </c>
      <c r="D1402" s="35">
        <v>7704</v>
      </c>
      <c r="E1402" s="4" t="s">
        <v>2471</v>
      </c>
      <c r="F1402" s="5">
        <v>40317</v>
      </c>
      <c r="G1402" s="5">
        <v>40819</v>
      </c>
      <c r="H1402" s="4" t="s">
        <v>40</v>
      </c>
      <c r="I1402" s="6">
        <v>3230</v>
      </c>
      <c r="J1402" s="6">
        <v>3230</v>
      </c>
      <c r="K1402" s="37" t="s">
        <v>2033</v>
      </c>
      <c r="L1402" s="119"/>
      <c r="M1402" s="3"/>
    </row>
    <row r="1403" spans="1:13" s="4" customFormat="1" ht="76.5" x14ac:dyDescent="0.25">
      <c r="A1403" s="4" t="s">
        <v>2472</v>
      </c>
      <c r="B1403" s="4" t="s">
        <v>38</v>
      </c>
      <c r="C1403" s="37" t="s">
        <v>2033</v>
      </c>
      <c r="D1403" s="35">
        <v>7705</v>
      </c>
      <c r="E1403" s="4" t="s">
        <v>2473</v>
      </c>
      <c r="F1403" s="5">
        <v>40436</v>
      </c>
      <c r="G1403" s="5">
        <v>40436</v>
      </c>
      <c r="H1403" s="4" t="s">
        <v>40</v>
      </c>
      <c r="I1403" s="6">
        <v>3049</v>
      </c>
      <c r="J1403" s="6">
        <v>3049</v>
      </c>
      <c r="K1403" s="37" t="s">
        <v>2033</v>
      </c>
      <c r="L1403" s="119"/>
      <c r="M1403" s="3"/>
    </row>
    <row r="1404" spans="1:13" s="4" customFormat="1" ht="25.5" x14ac:dyDescent="0.25">
      <c r="A1404" s="4" t="s">
        <v>2474</v>
      </c>
      <c r="B1404" s="4" t="s">
        <v>38</v>
      </c>
      <c r="C1404" s="37" t="s">
        <v>2033</v>
      </c>
      <c r="D1404" s="35">
        <v>7707</v>
      </c>
      <c r="E1404" s="4" t="s">
        <v>2475</v>
      </c>
      <c r="F1404" s="5">
        <v>40211</v>
      </c>
      <c r="G1404" s="5">
        <v>40211</v>
      </c>
      <c r="H1404" s="4" t="s">
        <v>40</v>
      </c>
      <c r="I1404" s="6">
        <v>555</v>
      </c>
      <c r="J1404" s="6">
        <v>555</v>
      </c>
      <c r="K1404" s="37" t="s">
        <v>2033</v>
      </c>
      <c r="L1404" s="119"/>
      <c r="M1404" s="3"/>
    </row>
    <row r="1405" spans="1:13" s="4" customFormat="1" ht="38.25" x14ac:dyDescent="0.25">
      <c r="A1405" s="4" t="s">
        <v>2476</v>
      </c>
      <c r="B1405" s="4" t="s">
        <v>38</v>
      </c>
      <c r="C1405" s="37" t="s">
        <v>2033</v>
      </c>
      <c r="D1405" s="35">
        <v>7708</v>
      </c>
      <c r="E1405" s="4" t="s">
        <v>2477</v>
      </c>
      <c r="F1405" s="5">
        <v>40528</v>
      </c>
      <c r="G1405" s="5">
        <v>41274</v>
      </c>
      <c r="H1405" s="4" t="s">
        <v>40</v>
      </c>
      <c r="I1405" s="6">
        <v>5770</v>
      </c>
      <c r="J1405" s="6">
        <f>4111.5+1658.5</f>
        <v>5770</v>
      </c>
      <c r="K1405" s="37" t="s">
        <v>2033</v>
      </c>
      <c r="L1405" s="119"/>
      <c r="M1405" s="3"/>
    </row>
    <row r="1406" spans="1:13" s="4" customFormat="1" ht="114.75" x14ac:dyDescent="0.25">
      <c r="A1406" s="4" t="s">
        <v>2284</v>
      </c>
      <c r="B1406" s="4" t="s">
        <v>38</v>
      </c>
      <c r="C1406" s="37" t="s">
        <v>2033</v>
      </c>
      <c r="D1406" s="35">
        <v>7709</v>
      </c>
      <c r="E1406" s="7" t="s">
        <v>2478</v>
      </c>
      <c r="F1406" s="5">
        <v>40179</v>
      </c>
      <c r="G1406" s="5">
        <v>41274</v>
      </c>
      <c r="H1406" s="4" t="s">
        <v>40</v>
      </c>
      <c r="I1406" s="6">
        <f>22587.29+24135.93</f>
        <v>46723.22</v>
      </c>
      <c r="J1406" s="6">
        <f>22587.29+24135.93</f>
        <v>46723.22</v>
      </c>
      <c r="K1406" s="37" t="s">
        <v>2033</v>
      </c>
      <c r="L1406" s="119"/>
      <c r="M1406" s="3"/>
    </row>
    <row r="1407" spans="1:13" s="4" customFormat="1" ht="76.5" x14ac:dyDescent="0.25">
      <c r="A1407" s="4" t="s">
        <v>2479</v>
      </c>
      <c r="B1407" s="4" t="s">
        <v>38</v>
      </c>
      <c r="C1407" s="37" t="s">
        <v>2033</v>
      </c>
      <c r="D1407" s="35">
        <v>7710</v>
      </c>
      <c r="E1407" s="4" t="s">
        <v>2480</v>
      </c>
      <c r="F1407" s="5">
        <v>40179</v>
      </c>
      <c r="G1407" s="5">
        <v>41274</v>
      </c>
      <c r="H1407" s="4" t="s">
        <v>40</v>
      </c>
      <c r="I1407" s="6">
        <v>19515</v>
      </c>
      <c r="J1407" s="6">
        <v>19515</v>
      </c>
      <c r="K1407" s="37" t="s">
        <v>2033</v>
      </c>
      <c r="L1407" s="119"/>
      <c r="M1407" s="3"/>
    </row>
    <row r="1408" spans="1:13" s="4" customFormat="1" ht="63.75" x14ac:dyDescent="0.25">
      <c r="A1408" s="4" t="s">
        <v>2481</v>
      </c>
      <c r="B1408" s="4" t="s">
        <v>38</v>
      </c>
      <c r="C1408" s="37" t="s">
        <v>2033</v>
      </c>
      <c r="D1408" s="35">
        <v>7711</v>
      </c>
      <c r="E1408" s="4" t="s">
        <v>2482</v>
      </c>
      <c r="F1408" s="5">
        <v>40535</v>
      </c>
      <c r="G1408" s="5">
        <v>40535</v>
      </c>
      <c r="H1408" s="4" t="s">
        <v>40</v>
      </c>
      <c r="I1408" s="6">
        <v>188.97</v>
      </c>
      <c r="J1408" s="6">
        <v>188.97</v>
      </c>
      <c r="K1408" s="37" t="s">
        <v>2033</v>
      </c>
      <c r="L1408" s="119"/>
      <c r="M1408" s="3"/>
    </row>
    <row r="1409" spans="1:13" s="4" customFormat="1" ht="89.25" x14ac:dyDescent="0.25">
      <c r="A1409" s="4" t="s">
        <v>2483</v>
      </c>
      <c r="B1409" s="4" t="s">
        <v>38</v>
      </c>
      <c r="C1409" s="37" t="s">
        <v>2033</v>
      </c>
      <c r="D1409" s="35">
        <v>7712</v>
      </c>
      <c r="E1409" s="7" t="s">
        <v>2484</v>
      </c>
      <c r="F1409" s="5">
        <v>40217</v>
      </c>
      <c r="G1409" s="5">
        <v>40891</v>
      </c>
      <c r="H1409" s="4" t="s">
        <v>40</v>
      </c>
      <c r="I1409" s="6">
        <f>29521.14+25000</f>
        <v>54521.14</v>
      </c>
      <c r="J1409" s="6">
        <f>29521.14+25000</f>
        <v>54521.14</v>
      </c>
      <c r="K1409" s="37" t="s">
        <v>2033</v>
      </c>
      <c r="L1409" s="119"/>
      <c r="M1409" s="3"/>
    </row>
    <row r="1410" spans="1:13" s="4" customFormat="1" ht="51" x14ac:dyDescent="0.25">
      <c r="A1410" s="4" t="s">
        <v>2485</v>
      </c>
      <c r="B1410" s="4" t="s">
        <v>38</v>
      </c>
      <c r="C1410" s="37" t="s">
        <v>2033</v>
      </c>
      <c r="D1410" s="35">
        <v>7713</v>
      </c>
      <c r="E1410" s="4" t="s">
        <v>2486</v>
      </c>
      <c r="F1410" s="5">
        <v>40420</v>
      </c>
      <c r="G1410" s="5">
        <v>41274</v>
      </c>
      <c r="H1410" s="4" t="s">
        <v>40</v>
      </c>
      <c r="I1410" s="6">
        <v>17750</v>
      </c>
      <c r="J1410" s="6">
        <v>17750</v>
      </c>
      <c r="K1410" s="37" t="s">
        <v>2033</v>
      </c>
      <c r="L1410" s="119"/>
      <c r="M1410" s="3"/>
    </row>
    <row r="1411" spans="1:13" s="4" customFormat="1" ht="63.75" x14ac:dyDescent="0.25">
      <c r="A1411" s="4" t="s">
        <v>2487</v>
      </c>
      <c r="B1411" s="4" t="s">
        <v>38</v>
      </c>
      <c r="C1411" s="37" t="s">
        <v>2033</v>
      </c>
      <c r="D1411" s="35">
        <v>7714</v>
      </c>
      <c r="E1411" s="4" t="s">
        <v>2488</v>
      </c>
      <c r="F1411" s="5">
        <v>40382</v>
      </c>
      <c r="G1411" s="5">
        <v>41274</v>
      </c>
      <c r="H1411" s="4" t="s">
        <v>40</v>
      </c>
      <c r="I1411" s="6">
        <v>19410.07</v>
      </c>
      <c r="J1411" s="6">
        <f>15252.14+4157.93</f>
        <v>19410.07</v>
      </c>
      <c r="K1411" s="37" t="s">
        <v>2033</v>
      </c>
      <c r="L1411" s="119"/>
      <c r="M1411" s="3"/>
    </row>
    <row r="1412" spans="1:13" s="4" customFormat="1" ht="76.5" x14ac:dyDescent="0.25">
      <c r="A1412" s="4" t="s">
        <v>2489</v>
      </c>
      <c r="B1412" s="4" t="s">
        <v>38</v>
      </c>
      <c r="C1412" s="37" t="s">
        <v>2033</v>
      </c>
      <c r="D1412" s="35">
        <v>7715</v>
      </c>
      <c r="E1412" s="4" t="s">
        <v>2490</v>
      </c>
      <c r="F1412" s="5">
        <v>40494</v>
      </c>
      <c r="G1412" s="5">
        <v>40840</v>
      </c>
      <c r="H1412" s="4" t="s">
        <v>40</v>
      </c>
      <c r="I1412" s="6">
        <v>14788.72</v>
      </c>
      <c r="J1412" s="6">
        <v>7394.36</v>
      </c>
      <c r="K1412" s="37" t="s">
        <v>2033</v>
      </c>
      <c r="L1412" s="119"/>
      <c r="M1412" s="3"/>
    </row>
    <row r="1413" spans="1:13" s="4" customFormat="1" ht="25.5" x14ac:dyDescent="0.25">
      <c r="A1413" s="4" t="s">
        <v>2491</v>
      </c>
      <c r="B1413" s="4" t="s">
        <v>38</v>
      </c>
      <c r="C1413" s="37" t="s">
        <v>2033</v>
      </c>
      <c r="D1413" s="35">
        <v>7716</v>
      </c>
      <c r="E1413" s="4" t="s">
        <v>2492</v>
      </c>
      <c r="F1413" s="5">
        <v>40262</v>
      </c>
      <c r="G1413" s="5">
        <v>40387</v>
      </c>
      <c r="H1413" s="4" t="s">
        <v>40</v>
      </c>
      <c r="I1413" s="6">
        <f>1229.37+1210.17</f>
        <v>2439.54</v>
      </c>
      <c r="J1413" s="6">
        <f>1210.17+1229.37</f>
        <v>2439.54</v>
      </c>
      <c r="K1413" s="37" t="s">
        <v>2033</v>
      </c>
      <c r="L1413" s="119"/>
      <c r="M1413" s="3"/>
    </row>
    <row r="1414" spans="1:13" s="4" customFormat="1" ht="38.25" x14ac:dyDescent="0.25">
      <c r="A1414" s="4" t="s">
        <v>2493</v>
      </c>
      <c r="B1414" s="4" t="s">
        <v>38</v>
      </c>
      <c r="C1414" s="37" t="s">
        <v>2033</v>
      </c>
      <c r="D1414" s="35">
        <v>7717</v>
      </c>
      <c r="E1414" s="4" t="s">
        <v>2494</v>
      </c>
      <c r="F1414" s="5">
        <v>40529</v>
      </c>
      <c r="G1414" s="5">
        <v>40529</v>
      </c>
      <c r="H1414" s="4" t="s">
        <v>40</v>
      </c>
      <c r="I1414" s="6">
        <v>1500</v>
      </c>
      <c r="J1414" s="6">
        <v>1500</v>
      </c>
      <c r="K1414" s="37" t="s">
        <v>2033</v>
      </c>
      <c r="L1414" s="119"/>
      <c r="M1414" s="3"/>
    </row>
    <row r="1415" spans="1:13" s="4" customFormat="1" ht="51" x14ac:dyDescent="0.25">
      <c r="A1415" s="4" t="s">
        <v>2495</v>
      </c>
      <c r="B1415" s="4" t="s">
        <v>59</v>
      </c>
      <c r="C1415" s="37" t="s">
        <v>2033</v>
      </c>
      <c r="D1415" s="35">
        <v>7801</v>
      </c>
      <c r="E1415" s="4" t="s">
        <v>2496</v>
      </c>
      <c r="F1415" s="5">
        <v>40105</v>
      </c>
      <c r="G1415" s="5">
        <v>40322</v>
      </c>
      <c r="H1415" s="4" t="s">
        <v>40</v>
      </c>
      <c r="I1415" s="6">
        <v>26250</v>
      </c>
      <c r="J1415" s="6">
        <v>26250</v>
      </c>
      <c r="K1415" s="37" t="s">
        <v>2033</v>
      </c>
      <c r="L1415" s="119"/>
      <c r="M1415" s="3"/>
    </row>
    <row r="1416" spans="1:13" s="4" customFormat="1" ht="51" x14ac:dyDescent="0.25">
      <c r="A1416" s="4" t="s">
        <v>2497</v>
      </c>
      <c r="B1416" s="4" t="s">
        <v>183</v>
      </c>
      <c r="C1416" s="37" t="s">
        <v>2033</v>
      </c>
      <c r="D1416" s="35">
        <v>7806</v>
      </c>
      <c r="E1416" s="4" t="s">
        <v>2498</v>
      </c>
      <c r="F1416" s="5">
        <v>40400</v>
      </c>
      <c r="G1416" s="5">
        <v>40400</v>
      </c>
      <c r="H1416" s="4" t="s">
        <v>40</v>
      </c>
      <c r="I1416" s="6">
        <v>1875</v>
      </c>
      <c r="J1416" s="6">
        <v>1875</v>
      </c>
      <c r="K1416" s="37" t="s">
        <v>2033</v>
      </c>
      <c r="L1416" s="119"/>
      <c r="M1416" s="3"/>
    </row>
    <row r="1417" spans="1:13" s="4" customFormat="1" ht="38.25" x14ac:dyDescent="0.25">
      <c r="A1417" s="4" t="s">
        <v>2499</v>
      </c>
      <c r="B1417" s="4" t="s">
        <v>183</v>
      </c>
      <c r="C1417" s="37" t="s">
        <v>2033</v>
      </c>
      <c r="D1417" s="35">
        <v>8559</v>
      </c>
      <c r="E1417" s="4" t="s">
        <v>2500</v>
      </c>
      <c r="F1417" s="5">
        <v>40882</v>
      </c>
      <c r="G1417" s="5">
        <v>41274</v>
      </c>
      <c r="H1417" s="4" t="s">
        <v>40</v>
      </c>
      <c r="I1417" s="6">
        <v>7500</v>
      </c>
      <c r="J1417" s="6">
        <v>7500</v>
      </c>
      <c r="K1417" s="37" t="s">
        <v>2033</v>
      </c>
      <c r="L1417" s="119"/>
      <c r="M1417" s="3"/>
    </row>
    <row r="1418" spans="1:13" s="4" customFormat="1" x14ac:dyDescent="0.25">
      <c r="A1418" s="4" t="s">
        <v>2501</v>
      </c>
      <c r="B1418" s="4" t="s">
        <v>59</v>
      </c>
      <c r="C1418" s="37" t="s">
        <v>2033</v>
      </c>
      <c r="D1418" s="35">
        <v>8560</v>
      </c>
      <c r="E1418" s="4" t="s">
        <v>2502</v>
      </c>
      <c r="F1418" s="5">
        <v>40583</v>
      </c>
      <c r="G1418" s="5">
        <v>40840</v>
      </c>
      <c r="H1418" s="4" t="s">
        <v>40</v>
      </c>
      <c r="I1418" s="6">
        <v>10000</v>
      </c>
      <c r="J1418" s="6">
        <v>10000</v>
      </c>
      <c r="K1418" s="37" t="s">
        <v>2033</v>
      </c>
      <c r="L1418" s="119"/>
      <c r="M1418" s="3"/>
    </row>
    <row r="1419" spans="1:13" s="4" customFormat="1" ht="38.25" x14ac:dyDescent="0.25">
      <c r="A1419" s="4" t="s">
        <v>2503</v>
      </c>
      <c r="B1419" s="4" t="s">
        <v>59</v>
      </c>
      <c r="C1419" s="37" t="s">
        <v>2033</v>
      </c>
      <c r="D1419" s="35">
        <v>8561</v>
      </c>
      <c r="E1419" s="4" t="s">
        <v>2504</v>
      </c>
      <c r="F1419" s="5">
        <v>40724</v>
      </c>
      <c r="G1419" s="5">
        <v>40840</v>
      </c>
      <c r="H1419" s="4" t="s">
        <v>40</v>
      </c>
      <c r="I1419" s="6">
        <v>6400</v>
      </c>
      <c r="J1419" s="6">
        <v>3200</v>
      </c>
      <c r="K1419" s="37" t="s">
        <v>2033</v>
      </c>
      <c r="L1419" s="119"/>
      <c r="M1419" s="3"/>
    </row>
    <row r="1420" spans="1:13" s="4" customFormat="1" ht="63.75" x14ac:dyDescent="0.25">
      <c r="A1420" s="4" t="s">
        <v>2505</v>
      </c>
      <c r="B1420" s="4" t="s">
        <v>183</v>
      </c>
      <c r="C1420" s="37" t="s">
        <v>2033</v>
      </c>
      <c r="D1420" s="35">
        <v>8562</v>
      </c>
      <c r="E1420" s="4" t="s">
        <v>2506</v>
      </c>
      <c r="F1420" s="5">
        <v>40784</v>
      </c>
      <c r="G1420" s="5">
        <v>41274</v>
      </c>
      <c r="H1420" s="4" t="s">
        <v>40</v>
      </c>
      <c r="I1420" s="6">
        <v>27500</v>
      </c>
      <c r="J1420" s="6">
        <v>25000</v>
      </c>
      <c r="K1420" s="37" t="s">
        <v>2033</v>
      </c>
      <c r="L1420" s="119"/>
      <c r="M1420" s="3"/>
    </row>
    <row r="1421" spans="1:13" s="4" customFormat="1" ht="38.25" x14ac:dyDescent="0.25">
      <c r="A1421" s="4" t="s">
        <v>2507</v>
      </c>
      <c r="B1421" s="4" t="s">
        <v>183</v>
      </c>
      <c r="C1421" s="37" t="s">
        <v>2033</v>
      </c>
      <c r="D1421" s="35">
        <v>8563</v>
      </c>
      <c r="E1421" s="4" t="s">
        <v>2508</v>
      </c>
      <c r="F1421" s="5">
        <v>40882</v>
      </c>
      <c r="H1421" s="4" t="s">
        <v>40</v>
      </c>
      <c r="I1421" s="6">
        <v>3750</v>
      </c>
      <c r="J1421" s="6">
        <v>3750</v>
      </c>
      <c r="K1421" s="37" t="s">
        <v>2033</v>
      </c>
      <c r="L1421" s="119"/>
      <c r="M1421" s="3"/>
    </row>
    <row r="1422" spans="1:13" s="4" customFormat="1" ht="38.25" x14ac:dyDescent="0.25">
      <c r="A1422" s="4" t="s">
        <v>2509</v>
      </c>
      <c r="B1422" s="4" t="s">
        <v>183</v>
      </c>
      <c r="C1422" s="37" t="s">
        <v>2033</v>
      </c>
      <c r="D1422" s="35">
        <v>8564</v>
      </c>
      <c r="E1422" s="4" t="s">
        <v>2510</v>
      </c>
      <c r="F1422" s="5">
        <v>40863</v>
      </c>
      <c r="H1422" s="4" t="s">
        <v>40</v>
      </c>
      <c r="I1422" s="6">
        <v>7500</v>
      </c>
      <c r="J1422" s="6">
        <v>7500</v>
      </c>
      <c r="K1422" s="37" t="s">
        <v>2033</v>
      </c>
      <c r="L1422" s="119"/>
      <c r="M1422" s="3"/>
    </row>
    <row r="1423" spans="1:13" s="4" customFormat="1" ht="38.25" x14ac:dyDescent="0.25">
      <c r="A1423" s="4" t="s">
        <v>2513</v>
      </c>
      <c r="B1423" s="4" t="s">
        <v>183</v>
      </c>
      <c r="C1423" s="37" t="s">
        <v>2033</v>
      </c>
      <c r="D1423" s="35">
        <v>8566</v>
      </c>
      <c r="E1423" s="4" t="s">
        <v>2514</v>
      </c>
      <c r="F1423" s="5">
        <v>40896</v>
      </c>
      <c r="G1423" s="5">
        <v>41274</v>
      </c>
      <c r="H1423" s="4" t="s">
        <v>40</v>
      </c>
      <c r="I1423" s="6">
        <f>13750+7500</f>
        <v>21250</v>
      </c>
      <c r="J1423" s="6">
        <f>13750+7500</f>
        <v>21250</v>
      </c>
      <c r="K1423" s="37" t="s">
        <v>2033</v>
      </c>
      <c r="L1423" s="119"/>
      <c r="M1423" s="3"/>
    </row>
    <row r="1424" spans="1:13" s="4" customFormat="1" ht="63.75" x14ac:dyDescent="0.25">
      <c r="A1424" s="4" t="s">
        <v>2515</v>
      </c>
      <c r="B1424" s="4" t="s">
        <v>190</v>
      </c>
      <c r="C1424" s="37" t="s">
        <v>2033</v>
      </c>
      <c r="D1424" s="35">
        <v>8567</v>
      </c>
      <c r="E1424" s="4" t="s">
        <v>2516</v>
      </c>
      <c r="F1424" s="5">
        <v>40729</v>
      </c>
      <c r="G1424" s="5">
        <v>40729</v>
      </c>
      <c r="H1424" s="4" t="s">
        <v>40</v>
      </c>
      <c r="I1424" s="6">
        <v>21250</v>
      </c>
      <c r="J1424" s="6">
        <v>16250</v>
      </c>
      <c r="K1424" s="37" t="s">
        <v>2033</v>
      </c>
      <c r="L1424" s="119"/>
      <c r="M1424" s="3"/>
    </row>
    <row r="1425" spans="1:13" s="4" customFormat="1" ht="38.25" x14ac:dyDescent="0.25">
      <c r="A1425" s="4" t="s">
        <v>2517</v>
      </c>
      <c r="B1425" s="4" t="s">
        <v>183</v>
      </c>
      <c r="C1425" s="37" t="s">
        <v>2033</v>
      </c>
      <c r="D1425" s="35">
        <v>8568</v>
      </c>
      <c r="E1425" s="4" t="s">
        <v>2518</v>
      </c>
      <c r="F1425" s="5">
        <v>40891</v>
      </c>
      <c r="G1425" s="5">
        <v>41274</v>
      </c>
      <c r="H1425" s="4" t="s">
        <v>40</v>
      </c>
      <c r="I1425" s="6">
        <v>7500</v>
      </c>
      <c r="J1425" s="6">
        <v>7500</v>
      </c>
      <c r="K1425" s="37" t="s">
        <v>2033</v>
      </c>
      <c r="L1425" s="119"/>
      <c r="M1425" s="3"/>
    </row>
    <row r="1426" spans="1:13" s="4" customFormat="1" ht="38.25" x14ac:dyDescent="0.25">
      <c r="A1426" s="4" t="s">
        <v>2519</v>
      </c>
      <c r="B1426" s="4" t="s">
        <v>183</v>
      </c>
      <c r="C1426" s="37" t="s">
        <v>2033</v>
      </c>
      <c r="D1426" s="35">
        <v>8569</v>
      </c>
      <c r="E1426" s="4" t="s">
        <v>2520</v>
      </c>
      <c r="F1426" s="5">
        <v>40723</v>
      </c>
      <c r="G1426" s="5">
        <v>40840</v>
      </c>
      <c r="H1426" s="4" t="s">
        <v>40</v>
      </c>
      <c r="I1426" s="6">
        <v>7500</v>
      </c>
      <c r="J1426" s="6">
        <v>7500</v>
      </c>
      <c r="K1426" s="37" t="s">
        <v>2033</v>
      </c>
      <c r="L1426" s="119"/>
      <c r="M1426" s="3"/>
    </row>
    <row r="1427" spans="1:13" s="4" customFormat="1" ht="25.5" x14ac:dyDescent="0.25">
      <c r="A1427" s="4" t="s">
        <v>2521</v>
      </c>
      <c r="B1427" s="4" t="s">
        <v>59</v>
      </c>
      <c r="C1427" s="37" t="s">
        <v>2033</v>
      </c>
      <c r="D1427" s="35">
        <v>8570</v>
      </c>
      <c r="E1427" s="4" t="s">
        <v>2522</v>
      </c>
      <c r="F1427" s="5">
        <v>40674</v>
      </c>
      <c r="G1427" s="5">
        <v>40840</v>
      </c>
      <c r="H1427" s="4" t="s">
        <v>40</v>
      </c>
      <c r="I1427" s="6">
        <v>9000</v>
      </c>
      <c r="J1427" s="6">
        <v>9000</v>
      </c>
      <c r="K1427" s="37" t="s">
        <v>2033</v>
      </c>
      <c r="L1427" s="119"/>
      <c r="M1427" s="3"/>
    </row>
    <row r="1428" spans="1:13" s="4" customFormat="1" ht="38.25" x14ac:dyDescent="0.25">
      <c r="A1428" s="4" t="s">
        <v>2523</v>
      </c>
      <c r="B1428" s="4" t="s">
        <v>183</v>
      </c>
      <c r="C1428" s="37" t="s">
        <v>2033</v>
      </c>
      <c r="D1428" s="35">
        <v>8571</v>
      </c>
      <c r="E1428" s="4" t="s">
        <v>2524</v>
      </c>
      <c r="F1428" s="5">
        <v>40793</v>
      </c>
      <c r="G1428" s="5">
        <v>40793</v>
      </c>
      <c r="H1428" s="4" t="s">
        <v>40</v>
      </c>
      <c r="I1428" s="6">
        <v>7500</v>
      </c>
      <c r="J1428" s="6">
        <v>7500</v>
      </c>
      <c r="K1428" s="37" t="s">
        <v>2033</v>
      </c>
      <c r="L1428" s="119"/>
      <c r="M1428" s="3"/>
    </row>
    <row r="1429" spans="1:13" s="4" customFormat="1" ht="25.5" x14ac:dyDescent="0.25">
      <c r="A1429" s="4" t="s">
        <v>2525</v>
      </c>
      <c r="B1429" s="4" t="s">
        <v>190</v>
      </c>
      <c r="C1429" s="37" t="s">
        <v>2033</v>
      </c>
      <c r="D1429" s="35">
        <v>8572</v>
      </c>
      <c r="E1429" s="4" t="s">
        <v>2526</v>
      </c>
      <c r="F1429" s="5">
        <v>40624</v>
      </c>
      <c r="G1429" s="5">
        <v>40624</v>
      </c>
      <c r="H1429" s="4" t="s">
        <v>40</v>
      </c>
      <c r="I1429" s="6">
        <v>10000</v>
      </c>
      <c r="J1429" s="6">
        <v>10000</v>
      </c>
      <c r="K1429" s="37" t="s">
        <v>2033</v>
      </c>
      <c r="L1429" s="119"/>
      <c r="M1429" s="3"/>
    </row>
    <row r="1430" spans="1:13" s="4" customFormat="1" ht="63.75" x14ac:dyDescent="0.25">
      <c r="A1430" s="4" t="s">
        <v>2527</v>
      </c>
      <c r="B1430" s="4" t="s">
        <v>38</v>
      </c>
      <c r="C1430" s="37" t="s">
        <v>2033</v>
      </c>
      <c r="D1430" s="35">
        <v>8965</v>
      </c>
      <c r="E1430" s="4" t="s">
        <v>2528</v>
      </c>
      <c r="F1430" s="5">
        <v>40840</v>
      </c>
      <c r="G1430" s="5">
        <v>41639</v>
      </c>
      <c r="H1430" s="4" t="s">
        <v>40</v>
      </c>
      <c r="I1430" s="6">
        <v>7425</v>
      </c>
      <c r="J1430" s="6">
        <f>2985+4440</f>
        <v>7425</v>
      </c>
      <c r="K1430" s="37" t="s">
        <v>2033</v>
      </c>
      <c r="L1430" s="119"/>
      <c r="M1430" s="3"/>
    </row>
    <row r="1431" spans="1:13" s="4" customFormat="1" ht="25.5" x14ac:dyDescent="0.25">
      <c r="A1431" s="4" t="s">
        <v>2284</v>
      </c>
      <c r="B1431" s="4" t="s">
        <v>38</v>
      </c>
      <c r="C1431" s="37" t="s">
        <v>2033</v>
      </c>
      <c r="D1431" s="35">
        <v>8968</v>
      </c>
      <c r="E1431" s="4" t="s">
        <v>2529</v>
      </c>
      <c r="F1431" s="5">
        <v>40544</v>
      </c>
      <c r="G1431" s="5">
        <v>40819</v>
      </c>
      <c r="H1431" s="4" t="s">
        <v>40</v>
      </c>
      <c r="I1431" s="6">
        <v>447.7</v>
      </c>
      <c r="J1431" s="6">
        <v>447.7</v>
      </c>
      <c r="K1431" s="37" t="s">
        <v>2033</v>
      </c>
      <c r="L1431" s="119"/>
      <c r="M1431" s="3"/>
    </row>
    <row r="1432" spans="1:13" s="4" customFormat="1" ht="25.5" x14ac:dyDescent="0.25">
      <c r="A1432" s="4" t="s">
        <v>2284</v>
      </c>
      <c r="B1432" s="4" t="s">
        <v>38</v>
      </c>
      <c r="C1432" s="37" t="s">
        <v>2033</v>
      </c>
      <c r="D1432" s="35">
        <v>8971</v>
      </c>
      <c r="E1432" s="4" t="s">
        <v>2530</v>
      </c>
      <c r="F1432" s="5">
        <v>40544</v>
      </c>
      <c r="G1432" s="5">
        <v>40882</v>
      </c>
      <c r="H1432" s="4" t="s">
        <v>40</v>
      </c>
      <c r="I1432" s="6">
        <v>925</v>
      </c>
      <c r="J1432" s="6">
        <v>925</v>
      </c>
      <c r="K1432" s="37" t="s">
        <v>2033</v>
      </c>
      <c r="L1432" s="119"/>
      <c r="M1432" s="3"/>
    </row>
    <row r="1433" spans="1:13" s="4" customFormat="1" ht="25.5" x14ac:dyDescent="0.25">
      <c r="A1433" s="4" t="s">
        <v>2531</v>
      </c>
      <c r="B1433" s="4" t="s">
        <v>38</v>
      </c>
      <c r="C1433" s="37" t="s">
        <v>2033</v>
      </c>
      <c r="D1433" s="35">
        <v>8972</v>
      </c>
      <c r="E1433" s="4" t="s">
        <v>2532</v>
      </c>
      <c r="F1433" s="5">
        <v>40544</v>
      </c>
      <c r="G1433" s="5">
        <v>40863</v>
      </c>
      <c r="H1433" s="4" t="s">
        <v>40</v>
      </c>
      <c r="I1433" s="6">
        <v>423.5</v>
      </c>
      <c r="J1433" s="6">
        <v>423.5</v>
      </c>
      <c r="K1433" s="37" t="s">
        <v>2033</v>
      </c>
      <c r="L1433" s="119"/>
      <c r="M1433" s="3"/>
    </row>
    <row r="1434" spans="1:13" s="4" customFormat="1" ht="25.5" x14ac:dyDescent="0.25">
      <c r="A1434" s="4" t="s">
        <v>2284</v>
      </c>
      <c r="B1434" s="4" t="s">
        <v>38</v>
      </c>
      <c r="C1434" s="37" t="s">
        <v>2033</v>
      </c>
      <c r="D1434" s="35">
        <v>8973</v>
      </c>
      <c r="E1434" s="4" t="s">
        <v>2533</v>
      </c>
      <c r="F1434" s="5">
        <v>40544</v>
      </c>
      <c r="G1434" s="5">
        <v>40882</v>
      </c>
      <c r="H1434" s="4" t="s">
        <v>40</v>
      </c>
      <c r="I1434" s="6">
        <v>555</v>
      </c>
      <c r="J1434" s="6">
        <v>555</v>
      </c>
      <c r="K1434" s="37" t="s">
        <v>2033</v>
      </c>
      <c r="L1434" s="119"/>
      <c r="M1434" s="3"/>
    </row>
    <row r="1435" spans="1:13" s="4" customFormat="1" ht="25.5" x14ac:dyDescent="0.25">
      <c r="A1435" s="4" t="s">
        <v>2284</v>
      </c>
      <c r="B1435" s="4" t="s">
        <v>38</v>
      </c>
      <c r="C1435" s="37" t="s">
        <v>2033</v>
      </c>
      <c r="D1435" s="35">
        <v>8974</v>
      </c>
      <c r="E1435" s="4" t="s">
        <v>2534</v>
      </c>
      <c r="F1435" s="5">
        <v>40891</v>
      </c>
      <c r="G1435" s="5">
        <v>40891</v>
      </c>
      <c r="H1435" s="4" t="s">
        <v>40</v>
      </c>
      <c r="I1435" s="6">
        <v>148</v>
      </c>
      <c r="J1435" s="6">
        <v>148</v>
      </c>
      <c r="K1435" s="37" t="s">
        <v>2033</v>
      </c>
      <c r="L1435" s="119"/>
      <c r="M1435" s="3"/>
    </row>
    <row r="1436" spans="1:13" s="4" customFormat="1" ht="25.5" x14ac:dyDescent="0.25">
      <c r="A1436" s="4" t="s">
        <v>2284</v>
      </c>
      <c r="B1436" s="4" t="s">
        <v>38</v>
      </c>
      <c r="C1436" s="37" t="s">
        <v>2033</v>
      </c>
      <c r="D1436" s="35">
        <v>8975</v>
      </c>
      <c r="E1436" s="4" t="s">
        <v>2535</v>
      </c>
      <c r="F1436" s="5">
        <v>40544</v>
      </c>
      <c r="G1436" s="5">
        <v>40863</v>
      </c>
      <c r="H1436" s="4" t="s">
        <v>40</v>
      </c>
      <c r="I1436" s="6">
        <v>350</v>
      </c>
      <c r="J1436" s="6">
        <v>350</v>
      </c>
      <c r="K1436" s="37" t="s">
        <v>2033</v>
      </c>
      <c r="L1436" s="119"/>
      <c r="M1436" s="3"/>
    </row>
    <row r="1437" spans="1:13" s="4" customFormat="1" ht="38.25" x14ac:dyDescent="0.25">
      <c r="A1437" s="4" t="s">
        <v>2536</v>
      </c>
      <c r="B1437" s="4" t="s">
        <v>38</v>
      </c>
      <c r="C1437" s="37" t="s">
        <v>2033</v>
      </c>
      <c r="D1437" s="35">
        <v>8976</v>
      </c>
      <c r="E1437" s="4" t="s">
        <v>2537</v>
      </c>
      <c r="F1437" s="5">
        <v>40544</v>
      </c>
      <c r="G1437" s="5">
        <v>41274</v>
      </c>
      <c r="H1437" s="4" t="s">
        <v>40</v>
      </c>
      <c r="I1437" s="6">
        <v>9360</v>
      </c>
      <c r="J1437" s="6">
        <f>6190+3170</f>
        <v>9360</v>
      </c>
      <c r="K1437" s="37" t="s">
        <v>2033</v>
      </c>
      <c r="L1437" s="119"/>
      <c r="M1437" s="3"/>
    </row>
    <row r="1438" spans="1:13" s="4" customFormat="1" ht="25.5" x14ac:dyDescent="0.25">
      <c r="A1438" s="4" t="s">
        <v>2538</v>
      </c>
      <c r="B1438" s="4" t="s">
        <v>38</v>
      </c>
      <c r="C1438" s="37" t="s">
        <v>2033</v>
      </c>
      <c r="D1438" s="35">
        <v>8977</v>
      </c>
      <c r="E1438" s="4" t="s">
        <v>2539</v>
      </c>
      <c r="F1438" s="5">
        <v>40544</v>
      </c>
      <c r="G1438" s="5">
        <v>41274</v>
      </c>
      <c r="H1438" s="4" t="s">
        <v>40</v>
      </c>
      <c r="I1438" s="6">
        <v>4077</v>
      </c>
      <c r="J1438" s="6">
        <v>4077</v>
      </c>
      <c r="K1438" s="37" t="s">
        <v>2033</v>
      </c>
      <c r="L1438" s="119"/>
      <c r="M1438" s="3"/>
    </row>
    <row r="1439" spans="1:13" s="4" customFormat="1" ht="25.5" x14ac:dyDescent="0.25">
      <c r="A1439" s="4" t="s">
        <v>2540</v>
      </c>
      <c r="B1439" s="4" t="s">
        <v>38</v>
      </c>
      <c r="C1439" s="37" t="s">
        <v>2033</v>
      </c>
      <c r="D1439" s="35">
        <v>8978</v>
      </c>
      <c r="E1439" s="4" t="s">
        <v>2541</v>
      </c>
      <c r="F1439" s="5">
        <v>40694</v>
      </c>
      <c r="G1439" s="5">
        <v>40694</v>
      </c>
      <c r="H1439" s="4" t="s">
        <v>40</v>
      </c>
      <c r="I1439" s="6">
        <v>185.5</v>
      </c>
      <c r="J1439" s="6">
        <v>185.5</v>
      </c>
      <c r="K1439" s="37" t="s">
        <v>2033</v>
      </c>
      <c r="L1439" s="119"/>
      <c r="M1439" s="3"/>
    </row>
    <row r="1440" spans="1:13" s="4" customFormat="1" ht="25.5" x14ac:dyDescent="0.25">
      <c r="A1440" s="4" t="s">
        <v>2284</v>
      </c>
      <c r="B1440" s="4" t="s">
        <v>38</v>
      </c>
      <c r="C1440" s="37" t="s">
        <v>2033</v>
      </c>
      <c r="D1440" s="35">
        <v>8979</v>
      </c>
      <c r="E1440" s="4" t="s">
        <v>2542</v>
      </c>
      <c r="F1440" s="5">
        <v>40544</v>
      </c>
      <c r="G1440" s="5">
        <v>40773</v>
      </c>
      <c r="H1440" s="4" t="s">
        <v>40</v>
      </c>
      <c r="I1440" s="6">
        <v>223.85</v>
      </c>
      <c r="J1440" s="6">
        <v>223.85</v>
      </c>
      <c r="K1440" s="37" t="s">
        <v>2033</v>
      </c>
      <c r="L1440" s="119"/>
      <c r="M1440" s="3"/>
    </row>
    <row r="1441" spans="1:13" s="4" customFormat="1" ht="25.5" x14ac:dyDescent="0.25">
      <c r="A1441" s="4" t="s">
        <v>2284</v>
      </c>
      <c r="B1441" s="4" t="s">
        <v>38</v>
      </c>
      <c r="C1441" s="37" t="s">
        <v>2033</v>
      </c>
      <c r="D1441" s="35">
        <v>8980</v>
      </c>
      <c r="E1441" s="4" t="s">
        <v>2543</v>
      </c>
      <c r="F1441" s="5">
        <v>40544</v>
      </c>
      <c r="G1441" s="5">
        <v>40703</v>
      </c>
      <c r="H1441" s="4" t="s">
        <v>40</v>
      </c>
      <c r="I1441" s="6">
        <v>585</v>
      </c>
      <c r="J1441" s="6">
        <v>585</v>
      </c>
      <c r="K1441" s="37" t="s">
        <v>2033</v>
      </c>
      <c r="L1441" s="119"/>
      <c r="M1441" s="3"/>
    </row>
    <row r="1442" spans="1:13" s="4" customFormat="1" ht="25.5" x14ac:dyDescent="0.25">
      <c r="A1442" s="4" t="s">
        <v>2544</v>
      </c>
      <c r="B1442" s="4" t="s">
        <v>38</v>
      </c>
      <c r="C1442" s="37" t="s">
        <v>2033</v>
      </c>
      <c r="D1442" s="35">
        <v>8981</v>
      </c>
      <c r="E1442" s="4" t="s">
        <v>2545</v>
      </c>
      <c r="F1442" s="5">
        <v>40544</v>
      </c>
      <c r="G1442" s="5">
        <v>40703</v>
      </c>
      <c r="H1442" s="4" t="s">
        <v>40</v>
      </c>
      <c r="I1442" s="6">
        <v>302.5</v>
      </c>
      <c r="J1442" s="6">
        <v>302.5</v>
      </c>
      <c r="K1442" s="37" t="s">
        <v>2033</v>
      </c>
      <c r="L1442" s="119"/>
      <c r="M1442" s="3"/>
    </row>
    <row r="1443" spans="1:13" s="4" customFormat="1" ht="25.5" x14ac:dyDescent="0.25">
      <c r="A1443" s="4" t="s">
        <v>2284</v>
      </c>
      <c r="B1443" s="4" t="s">
        <v>38</v>
      </c>
      <c r="C1443" s="37" t="s">
        <v>2033</v>
      </c>
      <c r="D1443" s="35">
        <v>8982</v>
      </c>
      <c r="E1443" s="4" t="s">
        <v>2546</v>
      </c>
      <c r="F1443" s="5">
        <v>40544</v>
      </c>
      <c r="G1443" s="5">
        <v>40703</v>
      </c>
      <c r="H1443" s="4" t="s">
        <v>40</v>
      </c>
      <c r="I1443" s="6">
        <v>555</v>
      </c>
      <c r="J1443" s="6">
        <v>555</v>
      </c>
      <c r="K1443" s="37" t="s">
        <v>2033</v>
      </c>
      <c r="L1443" s="119"/>
      <c r="M1443" s="3"/>
    </row>
    <row r="1444" spans="1:13" s="4" customFormat="1" ht="63.75" x14ac:dyDescent="0.25">
      <c r="A1444" s="4" t="s">
        <v>2547</v>
      </c>
      <c r="B1444" s="4" t="s">
        <v>38</v>
      </c>
      <c r="C1444" s="37" t="s">
        <v>2033</v>
      </c>
      <c r="D1444" s="35">
        <v>8983</v>
      </c>
      <c r="E1444" s="4" t="s">
        <v>2548</v>
      </c>
      <c r="F1444" s="5">
        <v>40544</v>
      </c>
      <c r="G1444" s="5">
        <v>41274</v>
      </c>
      <c r="H1444" s="4" t="s">
        <v>40</v>
      </c>
      <c r="I1444" s="6">
        <v>3939.43</v>
      </c>
      <c r="J1444" s="6">
        <v>3939.43</v>
      </c>
      <c r="K1444" s="37" t="s">
        <v>2033</v>
      </c>
      <c r="L1444" s="119"/>
      <c r="M1444" s="3"/>
    </row>
    <row r="1445" spans="1:13" s="4" customFormat="1" ht="76.5" x14ac:dyDescent="0.25">
      <c r="A1445" s="4" t="s">
        <v>2549</v>
      </c>
      <c r="B1445" s="4" t="s">
        <v>38</v>
      </c>
      <c r="C1445" s="37" t="s">
        <v>2033</v>
      </c>
      <c r="D1445" s="35">
        <v>8984</v>
      </c>
      <c r="E1445" s="7" t="s">
        <v>2550</v>
      </c>
      <c r="F1445" s="5">
        <v>40544</v>
      </c>
      <c r="G1445" s="5">
        <v>41274</v>
      </c>
      <c r="H1445" s="4" t="s">
        <v>40</v>
      </c>
      <c r="I1445" s="6">
        <v>12500</v>
      </c>
      <c r="J1445" s="6">
        <v>12500</v>
      </c>
      <c r="K1445" s="37" t="s">
        <v>2033</v>
      </c>
      <c r="L1445" s="119"/>
      <c r="M1445" s="3"/>
    </row>
    <row r="1446" spans="1:13" s="4" customFormat="1" ht="51" x14ac:dyDescent="0.25">
      <c r="A1446" s="4" t="s">
        <v>2551</v>
      </c>
      <c r="B1446" s="4" t="s">
        <v>190</v>
      </c>
      <c r="C1446" s="37" t="s">
        <v>2033</v>
      </c>
      <c r="D1446" s="35">
        <v>9523</v>
      </c>
      <c r="E1446" s="4" t="s">
        <v>2552</v>
      </c>
      <c r="F1446" s="5">
        <v>40724</v>
      </c>
      <c r="G1446" s="5">
        <v>40840</v>
      </c>
      <c r="H1446" s="4" t="s">
        <v>40</v>
      </c>
      <c r="I1446" s="6">
        <v>15000</v>
      </c>
      <c r="J1446" s="6">
        <v>15000</v>
      </c>
      <c r="K1446" s="37" t="s">
        <v>2033</v>
      </c>
      <c r="L1446" s="119"/>
      <c r="M1446" s="3"/>
    </row>
    <row r="1447" spans="1:13" s="4" customFormat="1" ht="51" x14ac:dyDescent="0.25">
      <c r="A1447" s="4" t="s">
        <v>2553</v>
      </c>
      <c r="B1447" s="4" t="s">
        <v>59</v>
      </c>
      <c r="C1447" s="37" t="s">
        <v>2033</v>
      </c>
      <c r="D1447" s="35">
        <v>9524</v>
      </c>
      <c r="E1447" s="4" t="s">
        <v>2554</v>
      </c>
      <c r="F1447" s="5">
        <v>40724</v>
      </c>
      <c r="G1447" s="5">
        <v>41026</v>
      </c>
      <c r="H1447" s="4" t="s">
        <v>40</v>
      </c>
      <c r="I1447" s="6">
        <v>10000</v>
      </c>
      <c r="J1447" s="6">
        <v>10000</v>
      </c>
      <c r="K1447" s="37" t="s">
        <v>2033</v>
      </c>
      <c r="L1447" s="119"/>
      <c r="M1447" s="3"/>
    </row>
    <row r="1448" spans="1:13" s="4" customFormat="1" ht="38.25" x14ac:dyDescent="0.25">
      <c r="A1448" s="4" t="s">
        <v>2555</v>
      </c>
      <c r="B1448" s="4" t="s">
        <v>183</v>
      </c>
      <c r="C1448" s="37" t="s">
        <v>2033</v>
      </c>
      <c r="D1448" s="35">
        <v>10985</v>
      </c>
      <c r="E1448" s="4" t="s">
        <v>2556</v>
      </c>
      <c r="F1448" s="5">
        <v>40909</v>
      </c>
      <c r="G1448" s="5">
        <v>41274</v>
      </c>
      <c r="H1448" s="4" t="s">
        <v>40</v>
      </c>
      <c r="I1448" s="6">
        <f>36638.18+1540</f>
        <v>38178.18</v>
      </c>
      <c r="J1448" s="6">
        <f>18319.09+770</f>
        <v>19089.09</v>
      </c>
      <c r="K1448" s="37" t="s">
        <v>2033</v>
      </c>
      <c r="L1448" s="119"/>
      <c r="M1448" s="3"/>
    </row>
    <row r="1449" spans="1:13" s="4" customFormat="1" ht="51" x14ac:dyDescent="0.25">
      <c r="A1449" s="4" t="s">
        <v>2557</v>
      </c>
      <c r="B1449" s="4" t="s">
        <v>183</v>
      </c>
      <c r="C1449" s="37" t="s">
        <v>2033</v>
      </c>
      <c r="D1449" s="35">
        <v>10986</v>
      </c>
      <c r="E1449" s="4" t="s">
        <v>2558</v>
      </c>
      <c r="F1449" s="5">
        <v>40909</v>
      </c>
      <c r="G1449" s="5">
        <v>41617</v>
      </c>
      <c r="H1449" s="4" t="s">
        <v>40</v>
      </c>
      <c r="I1449" s="6">
        <v>10531.1</v>
      </c>
      <c r="J1449" s="6">
        <f>3825.55+750</f>
        <v>4575.55</v>
      </c>
      <c r="K1449" s="37" t="s">
        <v>2033</v>
      </c>
      <c r="L1449" s="119"/>
      <c r="M1449" s="3"/>
    </row>
    <row r="1450" spans="1:13" s="4" customFormat="1" ht="76.5" x14ac:dyDescent="0.25">
      <c r="A1450" s="4" t="s">
        <v>2559</v>
      </c>
      <c r="B1450" s="4" t="s">
        <v>183</v>
      </c>
      <c r="C1450" s="37" t="s">
        <v>2033</v>
      </c>
      <c r="D1450" s="35">
        <v>10987</v>
      </c>
      <c r="E1450" s="4" t="s">
        <v>2560</v>
      </c>
      <c r="F1450" s="5">
        <v>40945</v>
      </c>
      <c r="G1450" s="5">
        <v>41274</v>
      </c>
      <c r="H1450" s="4" t="s">
        <v>40</v>
      </c>
      <c r="I1450" s="6">
        <v>15000</v>
      </c>
      <c r="J1450" s="6">
        <v>15000</v>
      </c>
      <c r="K1450" s="37" t="s">
        <v>2033</v>
      </c>
      <c r="L1450" s="119"/>
      <c r="M1450" s="3"/>
    </row>
    <row r="1451" spans="1:13" s="4" customFormat="1" ht="51" x14ac:dyDescent="0.25">
      <c r="A1451" s="4" t="s">
        <v>2561</v>
      </c>
      <c r="B1451" s="4" t="s">
        <v>183</v>
      </c>
      <c r="C1451" s="37" t="s">
        <v>2033</v>
      </c>
      <c r="D1451" s="35">
        <v>10988</v>
      </c>
      <c r="E1451" s="4" t="s">
        <v>2562</v>
      </c>
      <c r="F1451" s="5">
        <v>40945</v>
      </c>
      <c r="G1451" s="5">
        <v>41274</v>
      </c>
      <c r="H1451" s="4" t="s">
        <v>40</v>
      </c>
      <c r="I1451" s="6">
        <v>30000</v>
      </c>
      <c r="J1451" s="6">
        <v>30000</v>
      </c>
      <c r="K1451" s="37" t="s">
        <v>2033</v>
      </c>
      <c r="L1451" s="119"/>
      <c r="M1451" s="3"/>
    </row>
    <row r="1452" spans="1:13" s="4" customFormat="1" ht="38.25" x14ac:dyDescent="0.25">
      <c r="A1452" s="4" t="s">
        <v>2563</v>
      </c>
      <c r="B1452" s="4" t="s">
        <v>183</v>
      </c>
      <c r="C1452" s="37" t="s">
        <v>2033</v>
      </c>
      <c r="D1452" s="35">
        <v>10989</v>
      </c>
      <c r="E1452" s="4" t="s">
        <v>2564</v>
      </c>
      <c r="F1452" s="5">
        <v>40891</v>
      </c>
      <c r="G1452" s="5">
        <v>41274</v>
      </c>
      <c r="H1452" s="4" t="s">
        <v>40</v>
      </c>
      <c r="I1452" s="6">
        <v>15000</v>
      </c>
      <c r="J1452" s="6">
        <v>15000</v>
      </c>
      <c r="K1452" s="37" t="s">
        <v>2033</v>
      </c>
      <c r="L1452" s="119"/>
      <c r="M1452" s="3"/>
    </row>
    <row r="1453" spans="1:13" s="4" customFormat="1" ht="51" x14ac:dyDescent="0.25">
      <c r="A1453" s="4" t="s">
        <v>2565</v>
      </c>
      <c r="B1453" s="4" t="s">
        <v>183</v>
      </c>
      <c r="C1453" s="37" t="s">
        <v>2033</v>
      </c>
      <c r="D1453" s="35">
        <v>10990</v>
      </c>
      <c r="E1453" s="4" t="s">
        <v>2566</v>
      </c>
      <c r="F1453" s="5">
        <v>41086</v>
      </c>
      <c r="G1453" s="5">
        <v>41274</v>
      </c>
      <c r="H1453" s="4" t="s">
        <v>40</v>
      </c>
      <c r="I1453" s="6">
        <v>50000</v>
      </c>
      <c r="J1453" s="6">
        <v>25000</v>
      </c>
      <c r="K1453" s="37" t="s">
        <v>2033</v>
      </c>
      <c r="L1453" s="119"/>
      <c r="M1453" s="3"/>
    </row>
    <row r="1454" spans="1:13" s="4" customFormat="1" ht="51" x14ac:dyDescent="0.25">
      <c r="A1454" s="4" t="s">
        <v>2567</v>
      </c>
      <c r="B1454" s="4" t="s">
        <v>90</v>
      </c>
      <c r="C1454" s="37" t="s">
        <v>2033</v>
      </c>
      <c r="D1454" s="35">
        <v>10991</v>
      </c>
      <c r="E1454" s="4" t="s">
        <v>2568</v>
      </c>
      <c r="F1454" s="5">
        <v>40891</v>
      </c>
      <c r="G1454" s="5">
        <v>41274</v>
      </c>
      <c r="H1454" s="4" t="s">
        <v>40</v>
      </c>
      <c r="I1454" s="6">
        <v>9500</v>
      </c>
      <c r="J1454" s="6">
        <v>4750</v>
      </c>
      <c r="K1454" s="37" t="s">
        <v>2033</v>
      </c>
      <c r="L1454" s="119"/>
      <c r="M1454" s="3"/>
    </row>
    <row r="1455" spans="1:13" s="4" customFormat="1" ht="25.5" x14ac:dyDescent="0.25">
      <c r="A1455" s="4" t="s">
        <v>2569</v>
      </c>
      <c r="B1455" s="4" t="s">
        <v>183</v>
      </c>
      <c r="C1455" s="37" t="s">
        <v>2033</v>
      </c>
      <c r="D1455" s="35">
        <v>10993</v>
      </c>
      <c r="E1455" s="4" t="s">
        <v>2570</v>
      </c>
      <c r="F1455" s="5">
        <v>40945</v>
      </c>
      <c r="G1455" s="5">
        <v>41274</v>
      </c>
      <c r="H1455" s="4" t="s">
        <v>40</v>
      </c>
      <c r="I1455" s="6">
        <f>3750+3750</f>
        <v>7500</v>
      </c>
      <c r="J1455" s="6">
        <f>3750+3750</f>
        <v>7500</v>
      </c>
      <c r="K1455" s="37" t="s">
        <v>2033</v>
      </c>
      <c r="L1455" s="119"/>
      <c r="M1455" s="3"/>
    </row>
    <row r="1456" spans="1:13" s="4" customFormat="1" ht="51" x14ac:dyDescent="0.25">
      <c r="A1456" s="4" t="s">
        <v>2571</v>
      </c>
      <c r="B1456" s="4" t="s">
        <v>183</v>
      </c>
      <c r="C1456" s="37" t="s">
        <v>2033</v>
      </c>
      <c r="D1456" s="35">
        <v>10996</v>
      </c>
      <c r="E1456" s="4" t="s">
        <v>2572</v>
      </c>
      <c r="F1456" s="5">
        <v>41018</v>
      </c>
      <c r="G1456" s="5">
        <v>41274</v>
      </c>
      <c r="H1456" s="4" t="s">
        <v>40</v>
      </c>
      <c r="I1456" s="6">
        <f>16987+7500</f>
        <v>24487</v>
      </c>
      <c r="J1456" s="6">
        <v>19743.5</v>
      </c>
      <c r="K1456" s="37" t="s">
        <v>2033</v>
      </c>
      <c r="L1456" s="119"/>
      <c r="M1456" s="3"/>
    </row>
    <row r="1457" spans="1:13" s="4" customFormat="1" ht="25.5" x14ac:dyDescent="0.25">
      <c r="A1457" s="4" t="s">
        <v>2573</v>
      </c>
      <c r="B1457" s="4" t="s">
        <v>38</v>
      </c>
      <c r="C1457" s="37" t="s">
        <v>2033</v>
      </c>
      <c r="D1457" s="35">
        <v>11125</v>
      </c>
      <c r="E1457" s="4" t="s">
        <v>2574</v>
      </c>
      <c r="F1457" s="5">
        <v>40909</v>
      </c>
      <c r="G1457" s="5">
        <v>41274</v>
      </c>
      <c r="H1457" s="4" t="s">
        <v>40</v>
      </c>
      <c r="I1457" s="6">
        <v>22688.05</v>
      </c>
      <c r="J1457" s="6">
        <f>13582.65+9105.4</f>
        <v>22688.05</v>
      </c>
      <c r="K1457" s="37" t="s">
        <v>2033</v>
      </c>
      <c r="L1457" s="119"/>
      <c r="M1457" s="3"/>
    </row>
    <row r="1458" spans="1:13" s="4" customFormat="1" ht="38.25" x14ac:dyDescent="0.25">
      <c r="A1458" s="4" t="s">
        <v>2575</v>
      </c>
      <c r="B1458" s="4" t="s">
        <v>38</v>
      </c>
      <c r="C1458" s="37" t="s">
        <v>2033</v>
      </c>
      <c r="D1458" s="35">
        <v>11129</v>
      </c>
      <c r="E1458" s="4" t="s">
        <v>2576</v>
      </c>
      <c r="F1458" s="5">
        <v>40909</v>
      </c>
      <c r="G1458" s="5">
        <v>41274</v>
      </c>
      <c r="H1458" s="4" t="s">
        <v>40</v>
      </c>
      <c r="I1458" s="6">
        <v>5961.78</v>
      </c>
      <c r="J1458" s="6">
        <v>2980.89</v>
      </c>
      <c r="K1458" s="37" t="s">
        <v>2033</v>
      </c>
      <c r="L1458" s="119"/>
      <c r="M1458" s="3"/>
    </row>
    <row r="1459" spans="1:13" s="4" customFormat="1" ht="51" x14ac:dyDescent="0.25">
      <c r="A1459" s="4" t="s">
        <v>2577</v>
      </c>
      <c r="B1459" s="4" t="s">
        <v>38</v>
      </c>
      <c r="C1459" s="37" t="s">
        <v>2033</v>
      </c>
      <c r="D1459" s="35">
        <v>11130</v>
      </c>
      <c r="E1459" s="4" t="s">
        <v>2578</v>
      </c>
      <c r="F1459" s="5">
        <v>40909</v>
      </c>
      <c r="G1459" s="5">
        <v>41274</v>
      </c>
      <c r="H1459" s="4" t="s">
        <v>40</v>
      </c>
      <c r="I1459" s="6">
        <v>31401.599999999999</v>
      </c>
      <c r="J1459" s="6">
        <f>18311.2+13090.4</f>
        <v>31401.599999999999</v>
      </c>
      <c r="K1459" s="37" t="s">
        <v>2033</v>
      </c>
      <c r="L1459" s="119"/>
      <c r="M1459" s="3"/>
    </row>
    <row r="1460" spans="1:13" s="4" customFormat="1" ht="25.5" x14ac:dyDescent="0.25">
      <c r="A1460" s="4" t="s">
        <v>2579</v>
      </c>
      <c r="B1460" s="4" t="s">
        <v>38</v>
      </c>
      <c r="C1460" s="37" t="s">
        <v>2033</v>
      </c>
      <c r="D1460" s="35">
        <v>11136</v>
      </c>
      <c r="E1460" s="4" t="s">
        <v>2580</v>
      </c>
      <c r="F1460" s="5">
        <v>40909</v>
      </c>
      <c r="G1460" s="5">
        <v>41274</v>
      </c>
      <c r="H1460" s="4" t="s">
        <v>40</v>
      </c>
      <c r="I1460" s="6">
        <v>740</v>
      </c>
      <c r="J1460" s="6">
        <v>740</v>
      </c>
      <c r="K1460" s="37" t="s">
        <v>2033</v>
      </c>
      <c r="L1460" s="119"/>
      <c r="M1460" s="3"/>
    </row>
    <row r="1461" spans="1:13" s="4" customFormat="1" ht="25.5" x14ac:dyDescent="0.25">
      <c r="A1461" s="4" t="s">
        <v>2581</v>
      </c>
      <c r="B1461" s="4" t="s">
        <v>38</v>
      </c>
      <c r="C1461" s="37" t="s">
        <v>2033</v>
      </c>
      <c r="D1461" s="35">
        <v>11138</v>
      </c>
      <c r="E1461" s="4" t="s">
        <v>2582</v>
      </c>
      <c r="F1461" s="5">
        <v>40909</v>
      </c>
      <c r="G1461" s="5">
        <v>41274</v>
      </c>
      <c r="H1461" s="4" t="s">
        <v>40</v>
      </c>
      <c r="I1461" s="6">
        <f>1700+1142.28</f>
        <v>2842.2799999999997</v>
      </c>
      <c r="J1461" s="6">
        <f>850+571.14</f>
        <v>1421.1399999999999</v>
      </c>
      <c r="K1461" s="37" t="s">
        <v>2033</v>
      </c>
      <c r="L1461" s="119"/>
      <c r="M1461" s="3"/>
    </row>
    <row r="1462" spans="1:13" s="4" customFormat="1" ht="76.5" x14ac:dyDescent="0.25">
      <c r="A1462" s="4" t="s">
        <v>2583</v>
      </c>
      <c r="B1462" s="4" t="s">
        <v>38</v>
      </c>
      <c r="C1462" s="37" t="s">
        <v>2033</v>
      </c>
      <c r="D1462" s="35">
        <v>11139</v>
      </c>
      <c r="E1462" s="4" t="s">
        <v>2584</v>
      </c>
      <c r="F1462" s="5">
        <v>40909</v>
      </c>
      <c r="G1462" s="5">
        <v>41274</v>
      </c>
      <c r="H1462" s="4" t="s">
        <v>40</v>
      </c>
      <c r="I1462" s="6">
        <v>1841.47</v>
      </c>
      <c r="J1462" s="6">
        <v>1841.47</v>
      </c>
      <c r="K1462" s="37" t="s">
        <v>2033</v>
      </c>
      <c r="L1462" s="119"/>
      <c r="M1462" s="3"/>
    </row>
    <row r="1463" spans="1:13" s="4" customFormat="1" ht="38.25" x14ac:dyDescent="0.25">
      <c r="A1463" s="4" t="s">
        <v>2585</v>
      </c>
      <c r="B1463" s="4" t="s">
        <v>38</v>
      </c>
      <c r="C1463" s="37" t="s">
        <v>2033</v>
      </c>
      <c r="D1463" s="35">
        <v>11140</v>
      </c>
      <c r="E1463" s="4" t="s">
        <v>2586</v>
      </c>
      <c r="F1463" s="5">
        <v>40909</v>
      </c>
      <c r="G1463" s="5">
        <v>41274</v>
      </c>
      <c r="H1463" s="4" t="s">
        <v>40</v>
      </c>
      <c r="I1463" s="6">
        <v>2281</v>
      </c>
      <c r="J1463" s="6">
        <f>390+1891</f>
        <v>2281</v>
      </c>
      <c r="K1463" s="37" t="s">
        <v>2033</v>
      </c>
      <c r="L1463" s="119"/>
      <c r="M1463" s="3"/>
    </row>
    <row r="1464" spans="1:13" ht="51" x14ac:dyDescent="0.25">
      <c r="A1464" s="13" t="s">
        <v>10270</v>
      </c>
      <c r="B1464" s="13" t="s">
        <v>38</v>
      </c>
      <c r="C1464" s="20" t="s">
        <v>2033</v>
      </c>
      <c r="D1464" s="19">
        <v>11142</v>
      </c>
      <c r="E1464" s="13" t="s">
        <v>10271</v>
      </c>
      <c r="F1464" s="14">
        <v>40909</v>
      </c>
      <c r="G1464" s="14">
        <v>41639</v>
      </c>
      <c r="H1464" s="13" t="s">
        <v>651</v>
      </c>
      <c r="I1464" s="18">
        <v>15285</v>
      </c>
      <c r="J1464" s="18">
        <v>15285</v>
      </c>
      <c r="K1464" s="20" t="s">
        <v>2033</v>
      </c>
      <c r="M1464" s="3"/>
    </row>
    <row r="1465" spans="1:13" s="4" customFormat="1" ht="38.25" x14ac:dyDescent="0.25">
      <c r="A1465" s="4" t="s">
        <v>2587</v>
      </c>
      <c r="B1465" s="4" t="s">
        <v>38</v>
      </c>
      <c r="C1465" s="37" t="s">
        <v>2033</v>
      </c>
      <c r="D1465" s="35">
        <v>11143</v>
      </c>
      <c r="E1465" s="4" t="s">
        <v>2588</v>
      </c>
      <c r="F1465" s="5">
        <v>40909</v>
      </c>
      <c r="G1465" s="5">
        <v>41274</v>
      </c>
      <c r="H1465" s="4" t="s">
        <v>40</v>
      </c>
      <c r="I1465" s="6">
        <v>3000</v>
      </c>
      <c r="J1465" s="6">
        <v>1500</v>
      </c>
      <c r="K1465" s="37" t="s">
        <v>2033</v>
      </c>
      <c r="L1465" s="119"/>
      <c r="M1465" s="3"/>
    </row>
    <row r="1466" spans="1:13" s="4" customFormat="1" ht="38.25" x14ac:dyDescent="0.25">
      <c r="A1466" s="4" t="s">
        <v>2589</v>
      </c>
      <c r="B1466" s="4" t="s">
        <v>190</v>
      </c>
      <c r="C1466" s="37" t="s">
        <v>2033</v>
      </c>
      <c r="D1466" s="35">
        <v>11175</v>
      </c>
      <c r="E1466" s="4" t="s">
        <v>2590</v>
      </c>
      <c r="F1466" s="5">
        <v>40909</v>
      </c>
      <c r="G1466" s="5">
        <v>41274</v>
      </c>
      <c r="H1466" s="4" t="s">
        <v>40</v>
      </c>
      <c r="I1466" s="6">
        <f>18823.24+23750</f>
        <v>42573.240000000005</v>
      </c>
      <c r="J1466" s="6">
        <f>11286.62+23750</f>
        <v>35036.620000000003</v>
      </c>
      <c r="K1466" s="37" t="s">
        <v>2033</v>
      </c>
      <c r="L1466" s="119"/>
      <c r="M1466" s="3"/>
    </row>
    <row r="1467" spans="1:13" ht="25.5" x14ac:dyDescent="0.25">
      <c r="A1467" s="13" t="s">
        <v>10272</v>
      </c>
      <c r="B1467" s="13" t="s">
        <v>10192</v>
      </c>
      <c r="C1467" s="20" t="s">
        <v>2033</v>
      </c>
      <c r="D1467" s="19">
        <v>12749</v>
      </c>
      <c r="E1467" s="13" t="s">
        <v>10273</v>
      </c>
      <c r="F1467" s="14">
        <v>41275</v>
      </c>
      <c r="G1467" s="14">
        <v>41639</v>
      </c>
      <c r="H1467" s="13" t="s">
        <v>651</v>
      </c>
      <c r="I1467" s="18">
        <v>10000</v>
      </c>
      <c r="J1467" s="18">
        <v>10000</v>
      </c>
      <c r="K1467" s="20" t="s">
        <v>2033</v>
      </c>
      <c r="M1467" s="3"/>
    </row>
    <row r="1468" spans="1:13" ht="25.5" x14ac:dyDescent="0.25">
      <c r="A1468" s="13" t="s">
        <v>10274</v>
      </c>
      <c r="B1468" s="13" t="s">
        <v>10220</v>
      </c>
      <c r="C1468" s="20" t="s">
        <v>2033</v>
      </c>
      <c r="D1468" s="19">
        <v>12750</v>
      </c>
      <c r="E1468" s="13" t="s">
        <v>10275</v>
      </c>
      <c r="F1468" s="14">
        <v>41275</v>
      </c>
      <c r="G1468" s="14">
        <v>41639</v>
      </c>
      <c r="H1468" s="13" t="s">
        <v>651</v>
      </c>
      <c r="I1468" s="18">
        <v>13261.32</v>
      </c>
      <c r="J1468" s="18">
        <v>6630.66</v>
      </c>
      <c r="K1468" s="20" t="s">
        <v>2033</v>
      </c>
      <c r="M1468" s="3"/>
    </row>
    <row r="1469" spans="1:13" ht="38.25" x14ac:dyDescent="0.25">
      <c r="A1469" s="13" t="s">
        <v>10274</v>
      </c>
      <c r="B1469" s="13" t="s">
        <v>10192</v>
      </c>
      <c r="C1469" s="20" t="s">
        <v>2033</v>
      </c>
      <c r="D1469" s="19">
        <v>12755</v>
      </c>
      <c r="E1469" s="13" t="s">
        <v>10276</v>
      </c>
      <c r="F1469" s="14">
        <v>41275</v>
      </c>
      <c r="G1469" s="14">
        <v>41639</v>
      </c>
      <c r="H1469" s="13" t="s">
        <v>651</v>
      </c>
      <c r="I1469" s="18">
        <v>7500</v>
      </c>
      <c r="J1469" s="18">
        <v>7500</v>
      </c>
      <c r="K1469" s="20" t="s">
        <v>2033</v>
      </c>
      <c r="M1469" s="3"/>
    </row>
    <row r="1470" spans="1:13" ht="38.25" x14ac:dyDescent="0.25">
      <c r="A1470" s="13" t="s">
        <v>10277</v>
      </c>
      <c r="B1470" s="13" t="s">
        <v>10192</v>
      </c>
      <c r="C1470" s="20" t="s">
        <v>2033</v>
      </c>
      <c r="D1470" s="19">
        <v>12756</v>
      </c>
      <c r="E1470" s="13" t="s">
        <v>10278</v>
      </c>
      <c r="F1470" s="14">
        <v>41275</v>
      </c>
      <c r="G1470" s="14">
        <v>41639</v>
      </c>
      <c r="H1470" s="13" t="s">
        <v>651</v>
      </c>
      <c r="I1470" s="18">
        <v>10000.42</v>
      </c>
      <c r="J1470" s="18">
        <v>5000.21</v>
      </c>
      <c r="K1470" s="20" t="s">
        <v>2033</v>
      </c>
      <c r="M1470" s="3"/>
    </row>
    <row r="1471" spans="1:13" ht="25.5" x14ac:dyDescent="0.25">
      <c r="A1471" s="13" t="s">
        <v>10279</v>
      </c>
      <c r="B1471" s="13" t="s">
        <v>10195</v>
      </c>
      <c r="C1471" s="20" t="s">
        <v>2033</v>
      </c>
      <c r="D1471" s="19">
        <v>12757</v>
      </c>
      <c r="E1471" s="13" t="s">
        <v>10280</v>
      </c>
      <c r="F1471" s="14">
        <v>41275</v>
      </c>
      <c r="G1471" s="14">
        <v>41639</v>
      </c>
      <c r="H1471" s="13" t="s">
        <v>651</v>
      </c>
      <c r="I1471" s="18">
        <v>22691.42</v>
      </c>
      <c r="J1471" s="18">
        <v>12470.71</v>
      </c>
      <c r="K1471" s="20" t="s">
        <v>2033</v>
      </c>
      <c r="M1471" s="3"/>
    </row>
    <row r="1472" spans="1:13" ht="38.25" x14ac:dyDescent="0.25">
      <c r="A1472" s="13" t="s">
        <v>10281</v>
      </c>
      <c r="B1472" s="13" t="s">
        <v>10192</v>
      </c>
      <c r="C1472" s="20" t="s">
        <v>2033</v>
      </c>
      <c r="D1472" s="19">
        <v>12759</v>
      </c>
      <c r="E1472" s="13" t="s">
        <v>10282</v>
      </c>
      <c r="F1472" s="14">
        <v>41275</v>
      </c>
      <c r="G1472" s="14">
        <v>41639</v>
      </c>
      <c r="H1472" s="13" t="s">
        <v>651</v>
      </c>
      <c r="I1472" s="18">
        <v>12739.32</v>
      </c>
      <c r="J1472" s="18">
        <v>11369.66</v>
      </c>
      <c r="K1472" s="20" t="s">
        <v>2033</v>
      </c>
      <c r="M1472" s="3"/>
    </row>
    <row r="1473" spans="1:13" ht="51" x14ac:dyDescent="0.25">
      <c r="A1473" s="13" t="s">
        <v>10283</v>
      </c>
      <c r="B1473" s="13" t="s">
        <v>10192</v>
      </c>
      <c r="C1473" s="20" t="s">
        <v>2033</v>
      </c>
      <c r="D1473" s="19">
        <v>12760</v>
      </c>
      <c r="E1473" s="13" t="s">
        <v>10284</v>
      </c>
      <c r="F1473" s="14">
        <v>41275</v>
      </c>
      <c r="G1473" s="14">
        <v>41639</v>
      </c>
      <c r="H1473" s="13" t="s">
        <v>651</v>
      </c>
      <c r="I1473" s="18">
        <v>43225.52</v>
      </c>
      <c r="J1473" s="18">
        <v>27237.759999999998</v>
      </c>
      <c r="K1473" s="20" t="s">
        <v>2033</v>
      </c>
      <c r="M1473" s="3"/>
    </row>
    <row r="1474" spans="1:13" ht="25.5" x14ac:dyDescent="0.25">
      <c r="A1474" s="13" t="s">
        <v>10285</v>
      </c>
      <c r="B1474" s="13" t="s">
        <v>10192</v>
      </c>
      <c r="C1474" s="20" t="s">
        <v>2033</v>
      </c>
      <c r="D1474" s="19">
        <v>12762</v>
      </c>
      <c r="E1474" s="13" t="s">
        <v>10286</v>
      </c>
      <c r="F1474" s="14">
        <v>41275</v>
      </c>
      <c r="G1474" s="14">
        <v>41639</v>
      </c>
      <c r="H1474" s="13" t="s">
        <v>651</v>
      </c>
      <c r="I1474" s="18">
        <v>17235</v>
      </c>
      <c r="J1474" s="18">
        <v>12367.5</v>
      </c>
      <c r="K1474" s="20" t="s">
        <v>2033</v>
      </c>
      <c r="M1474" s="3"/>
    </row>
    <row r="1475" spans="1:13" ht="51" x14ac:dyDescent="0.25">
      <c r="A1475" s="13" t="s">
        <v>10287</v>
      </c>
      <c r="B1475" s="13" t="s">
        <v>10192</v>
      </c>
      <c r="C1475" s="20" t="s">
        <v>2033</v>
      </c>
      <c r="D1475" s="19">
        <v>12763</v>
      </c>
      <c r="E1475" s="13" t="s">
        <v>10288</v>
      </c>
      <c r="F1475" s="14">
        <v>41275</v>
      </c>
      <c r="G1475" s="14">
        <v>41639</v>
      </c>
      <c r="H1475" s="13" t="s">
        <v>651</v>
      </c>
      <c r="I1475" s="18">
        <v>15000</v>
      </c>
      <c r="J1475" s="18">
        <v>15000</v>
      </c>
      <c r="K1475" s="20" t="s">
        <v>2033</v>
      </c>
      <c r="M1475" s="3"/>
    </row>
    <row r="1476" spans="1:13" ht="38.25" x14ac:dyDescent="0.25">
      <c r="A1476" s="13" t="s">
        <v>10289</v>
      </c>
      <c r="B1476" s="13" t="s">
        <v>10195</v>
      </c>
      <c r="C1476" s="20" t="s">
        <v>2033</v>
      </c>
      <c r="D1476" s="19">
        <v>12765</v>
      </c>
      <c r="E1476" s="13" t="s">
        <v>10290</v>
      </c>
      <c r="F1476" s="14">
        <v>41275</v>
      </c>
      <c r="G1476" s="14">
        <v>41639</v>
      </c>
      <c r="H1476" s="13" t="s">
        <v>651</v>
      </c>
      <c r="I1476" s="18">
        <v>31770.76</v>
      </c>
      <c r="J1476" s="18">
        <v>19635.38</v>
      </c>
      <c r="K1476" s="20" t="s">
        <v>2033</v>
      </c>
      <c r="M1476" s="3"/>
    </row>
    <row r="1477" spans="1:13" ht="63.75" x14ac:dyDescent="0.25">
      <c r="A1477" s="13" t="s">
        <v>10291</v>
      </c>
      <c r="B1477" s="13" t="s">
        <v>10192</v>
      </c>
      <c r="C1477" s="20" t="s">
        <v>2033</v>
      </c>
      <c r="D1477" s="19">
        <v>12766</v>
      </c>
      <c r="E1477" s="13" t="s">
        <v>10292</v>
      </c>
      <c r="F1477" s="14">
        <v>41275</v>
      </c>
      <c r="G1477" s="14">
        <v>41639</v>
      </c>
      <c r="H1477" s="13" t="s">
        <v>651</v>
      </c>
      <c r="I1477" s="18">
        <v>7500</v>
      </c>
      <c r="J1477" s="18">
        <v>7500</v>
      </c>
      <c r="K1477" s="20" t="s">
        <v>2033</v>
      </c>
      <c r="M1477" s="3"/>
    </row>
    <row r="1478" spans="1:13" ht="25.5" x14ac:dyDescent="0.25">
      <c r="A1478" s="13" t="s">
        <v>10293</v>
      </c>
      <c r="B1478" s="13" t="s">
        <v>10192</v>
      </c>
      <c r="C1478" s="20" t="s">
        <v>2033</v>
      </c>
      <c r="D1478" s="19">
        <v>12767</v>
      </c>
      <c r="E1478" s="13" t="s">
        <v>10294</v>
      </c>
      <c r="F1478" s="14">
        <v>41275</v>
      </c>
      <c r="G1478" s="14">
        <v>41639</v>
      </c>
      <c r="H1478" s="13" t="s">
        <v>651</v>
      </c>
      <c r="I1478" s="18">
        <v>11963.6</v>
      </c>
      <c r="J1478" s="18">
        <v>5981.8</v>
      </c>
      <c r="K1478" s="20" t="s">
        <v>2033</v>
      </c>
      <c r="M1478" s="3"/>
    </row>
    <row r="1479" spans="1:13" ht="51" x14ac:dyDescent="0.25">
      <c r="A1479" s="13" t="s">
        <v>10295</v>
      </c>
      <c r="B1479" s="13" t="s">
        <v>10220</v>
      </c>
      <c r="C1479" s="20" t="s">
        <v>2033</v>
      </c>
      <c r="D1479" s="19">
        <v>12769</v>
      </c>
      <c r="E1479" s="13" t="s">
        <v>10296</v>
      </c>
      <c r="F1479" s="14">
        <v>41275</v>
      </c>
      <c r="G1479" s="14">
        <v>41639</v>
      </c>
      <c r="H1479" s="13" t="s">
        <v>651</v>
      </c>
      <c r="I1479" s="18">
        <v>10000</v>
      </c>
      <c r="J1479" s="18">
        <v>5000</v>
      </c>
      <c r="K1479" s="20" t="s">
        <v>2033</v>
      </c>
      <c r="M1479" s="3"/>
    </row>
    <row r="1480" spans="1:13" ht="51" x14ac:dyDescent="0.25">
      <c r="A1480" s="13" t="s">
        <v>10297</v>
      </c>
      <c r="B1480" s="13" t="s">
        <v>10192</v>
      </c>
      <c r="C1480" s="20" t="s">
        <v>2033</v>
      </c>
      <c r="D1480" s="19">
        <v>12770</v>
      </c>
      <c r="E1480" s="13" t="s">
        <v>10298</v>
      </c>
      <c r="F1480" s="14">
        <v>41275</v>
      </c>
      <c r="G1480" s="14">
        <v>41639</v>
      </c>
      <c r="H1480" s="13" t="s">
        <v>651</v>
      </c>
      <c r="I1480" s="18">
        <v>15000</v>
      </c>
      <c r="J1480" s="18">
        <v>15000</v>
      </c>
      <c r="K1480" s="20" t="s">
        <v>2033</v>
      </c>
      <c r="M1480" s="3"/>
    </row>
    <row r="1481" spans="1:13" ht="25.5" x14ac:dyDescent="0.25">
      <c r="A1481" s="13" t="s">
        <v>10301</v>
      </c>
      <c r="B1481" s="13" t="s">
        <v>10192</v>
      </c>
      <c r="C1481" s="20" t="s">
        <v>2033</v>
      </c>
      <c r="D1481" s="19">
        <v>12773</v>
      </c>
      <c r="E1481" s="13" t="s">
        <v>10302</v>
      </c>
      <c r="F1481" s="14">
        <v>41275</v>
      </c>
      <c r="G1481" s="14">
        <v>41639</v>
      </c>
      <c r="H1481" s="13" t="s">
        <v>651</v>
      </c>
      <c r="I1481" s="18">
        <v>2969.51</v>
      </c>
      <c r="J1481" s="18">
        <v>1484.74</v>
      </c>
      <c r="K1481" s="20" t="s">
        <v>2033</v>
      </c>
      <c r="M1481" s="3"/>
    </row>
    <row r="1482" spans="1:13" ht="51" x14ac:dyDescent="0.25">
      <c r="A1482" s="13" t="s">
        <v>10303</v>
      </c>
      <c r="B1482" s="13" t="s">
        <v>10192</v>
      </c>
      <c r="C1482" s="20" t="s">
        <v>2033</v>
      </c>
      <c r="D1482" s="19">
        <v>12774</v>
      </c>
      <c r="E1482" s="13" t="s">
        <v>10304</v>
      </c>
      <c r="F1482" s="14">
        <v>41275</v>
      </c>
      <c r="G1482" s="14">
        <v>41639</v>
      </c>
      <c r="H1482" s="13" t="s">
        <v>651</v>
      </c>
      <c r="I1482" s="18">
        <v>2900</v>
      </c>
      <c r="J1482" s="18">
        <v>1450</v>
      </c>
      <c r="K1482" s="20" t="s">
        <v>2033</v>
      </c>
      <c r="M1482" s="3"/>
    </row>
    <row r="1483" spans="1:13" ht="38.25" x14ac:dyDescent="0.25">
      <c r="A1483" s="13" t="s">
        <v>10305</v>
      </c>
      <c r="B1483" s="13" t="s">
        <v>10192</v>
      </c>
      <c r="C1483" s="20" t="s">
        <v>2033</v>
      </c>
      <c r="D1483" s="19">
        <v>12775</v>
      </c>
      <c r="E1483" s="13" t="s">
        <v>10306</v>
      </c>
      <c r="F1483" s="14">
        <v>41275</v>
      </c>
      <c r="G1483" s="14">
        <v>41639</v>
      </c>
      <c r="H1483" s="13" t="s">
        <v>651</v>
      </c>
      <c r="I1483" s="18">
        <v>7169.7</v>
      </c>
      <c r="J1483" s="18">
        <v>3584.85</v>
      </c>
      <c r="K1483" s="20" t="s">
        <v>2033</v>
      </c>
      <c r="M1483" s="3"/>
    </row>
    <row r="1484" spans="1:13" ht="38.25" x14ac:dyDescent="0.25">
      <c r="A1484" s="13" t="s">
        <v>10307</v>
      </c>
      <c r="B1484" s="13" t="s">
        <v>10220</v>
      </c>
      <c r="C1484" s="20" t="s">
        <v>2033</v>
      </c>
      <c r="D1484" s="19">
        <v>12776</v>
      </c>
      <c r="E1484" s="13" t="s">
        <v>10308</v>
      </c>
      <c r="F1484" s="14">
        <v>41275</v>
      </c>
      <c r="G1484" s="14">
        <v>41639</v>
      </c>
      <c r="H1484" s="13" t="s">
        <v>651</v>
      </c>
      <c r="I1484" s="18">
        <v>5000</v>
      </c>
      <c r="J1484" s="18">
        <v>2500</v>
      </c>
      <c r="K1484" s="20" t="s">
        <v>2033</v>
      </c>
      <c r="M1484" s="3"/>
    </row>
    <row r="1485" spans="1:13" ht="51" x14ac:dyDescent="0.25">
      <c r="A1485" s="13" t="s">
        <v>10309</v>
      </c>
      <c r="B1485" s="13" t="s">
        <v>10192</v>
      </c>
      <c r="C1485" s="20" t="s">
        <v>2033</v>
      </c>
      <c r="D1485" s="19">
        <v>12777</v>
      </c>
      <c r="E1485" s="13" t="s">
        <v>10310</v>
      </c>
      <c r="F1485" s="14">
        <v>41275</v>
      </c>
      <c r="G1485" s="14">
        <v>41639</v>
      </c>
      <c r="H1485" s="13" t="s">
        <v>651</v>
      </c>
      <c r="I1485" s="18">
        <v>3750</v>
      </c>
      <c r="J1485" s="18">
        <v>3750</v>
      </c>
      <c r="K1485" s="20" t="s">
        <v>2033</v>
      </c>
      <c r="M1485" s="3"/>
    </row>
    <row r="1486" spans="1:13" ht="25.5" x14ac:dyDescent="0.25">
      <c r="A1486" s="13" t="s">
        <v>10311</v>
      </c>
      <c r="B1486" s="13" t="s">
        <v>38</v>
      </c>
      <c r="C1486" s="20" t="s">
        <v>2033</v>
      </c>
      <c r="D1486" s="19">
        <v>12778</v>
      </c>
      <c r="E1486" s="13" t="s">
        <v>10312</v>
      </c>
      <c r="F1486" s="14">
        <v>41275</v>
      </c>
      <c r="G1486" s="14">
        <v>41639</v>
      </c>
      <c r="H1486" s="13" t="s">
        <v>651</v>
      </c>
      <c r="I1486" s="18">
        <v>3000</v>
      </c>
      <c r="J1486" s="18">
        <v>3000</v>
      </c>
      <c r="K1486" s="20" t="s">
        <v>2033</v>
      </c>
      <c r="M1486" s="3"/>
    </row>
    <row r="1487" spans="1:13" ht="38.25" x14ac:dyDescent="0.25">
      <c r="A1487" s="13" t="s">
        <v>10313</v>
      </c>
      <c r="B1487" s="13" t="s">
        <v>38</v>
      </c>
      <c r="C1487" s="20" t="s">
        <v>2033</v>
      </c>
      <c r="D1487" s="19">
        <v>12779</v>
      </c>
      <c r="E1487" s="13" t="s">
        <v>10314</v>
      </c>
      <c r="F1487" s="14">
        <v>41275</v>
      </c>
      <c r="G1487" s="14">
        <v>41639</v>
      </c>
      <c r="H1487" s="13" t="s">
        <v>651</v>
      </c>
      <c r="I1487" s="18">
        <f>14728.61+140</f>
        <v>14868.61</v>
      </c>
      <c r="J1487" s="18">
        <v>14728.61</v>
      </c>
      <c r="K1487" s="20" t="s">
        <v>2033</v>
      </c>
      <c r="M1487" s="3"/>
    </row>
    <row r="1488" spans="1:13" ht="63.75" x14ac:dyDescent="0.25">
      <c r="A1488" s="13" t="s">
        <v>10315</v>
      </c>
      <c r="B1488" s="13" t="s">
        <v>38</v>
      </c>
      <c r="C1488" s="20" t="s">
        <v>2033</v>
      </c>
      <c r="D1488" s="19">
        <v>12780</v>
      </c>
      <c r="E1488" s="13" t="s">
        <v>10316</v>
      </c>
      <c r="F1488" s="14">
        <v>41275</v>
      </c>
      <c r="G1488" s="14">
        <v>41639</v>
      </c>
      <c r="H1488" s="13" t="s">
        <v>651</v>
      </c>
      <c r="I1488" s="18">
        <v>9941</v>
      </c>
      <c r="J1488" s="18">
        <v>9941</v>
      </c>
      <c r="K1488" s="20" t="s">
        <v>2033</v>
      </c>
      <c r="M1488" s="3"/>
    </row>
    <row r="1489" spans="1:60" ht="25.5" x14ac:dyDescent="0.25">
      <c r="A1489" s="13" t="s">
        <v>9934</v>
      </c>
      <c r="B1489" s="13" t="s">
        <v>38</v>
      </c>
      <c r="C1489" s="20" t="s">
        <v>2033</v>
      </c>
      <c r="D1489" s="19">
        <v>12781</v>
      </c>
      <c r="E1489" s="13" t="s">
        <v>10317</v>
      </c>
      <c r="F1489" s="14">
        <v>41275</v>
      </c>
      <c r="G1489" s="14">
        <v>41639</v>
      </c>
      <c r="H1489" s="13" t="s">
        <v>651</v>
      </c>
      <c r="I1489" s="18">
        <v>500</v>
      </c>
      <c r="J1489" s="18">
        <v>500</v>
      </c>
      <c r="K1489" s="20" t="s">
        <v>2033</v>
      </c>
      <c r="M1489" s="3"/>
    </row>
    <row r="1490" spans="1:60" ht="51" x14ac:dyDescent="0.25">
      <c r="A1490" s="13" t="s">
        <v>10318</v>
      </c>
      <c r="B1490" s="13" t="s">
        <v>38</v>
      </c>
      <c r="C1490" s="20" t="s">
        <v>2033</v>
      </c>
      <c r="D1490" s="19">
        <v>12785</v>
      </c>
      <c r="E1490" s="13" t="s">
        <v>10319</v>
      </c>
      <c r="F1490" s="14">
        <v>41275</v>
      </c>
      <c r="G1490" s="14">
        <v>41639</v>
      </c>
      <c r="H1490" s="13" t="s">
        <v>651</v>
      </c>
      <c r="I1490" s="18">
        <v>2500</v>
      </c>
      <c r="J1490" s="18">
        <v>2500</v>
      </c>
      <c r="K1490" s="20" t="s">
        <v>2033</v>
      </c>
      <c r="M1490" s="3"/>
    </row>
    <row r="1491" spans="1:60" ht="25.5" x14ac:dyDescent="0.25">
      <c r="A1491" s="13" t="s">
        <v>10320</v>
      </c>
      <c r="B1491" s="13" t="s">
        <v>38</v>
      </c>
      <c r="C1491" s="20" t="s">
        <v>2033</v>
      </c>
      <c r="D1491" s="19">
        <v>12788</v>
      </c>
      <c r="E1491" s="13" t="s">
        <v>10321</v>
      </c>
      <c r="F1491" s="14">
        <v>41275</v>
      </c>
      <c r="G1491" s="14">
        <v>41639</v>
      </c>
      <c r="H1491" s="13" t="s">
        <v>651</v>
      </c>
      <c r="I1491" s="18">
        <v>9603.4</v>
      </c>
      <c r="J1491" s="18">
        <v>9603.4</v>
      </c>
      <c r="K1491" s="20" t="s">
        <v>2033</v>
      </c>
      <c r="M1491" s="3"/>
    </row>
    <row r="1492" spans="1:60" s="4" customFormat="1" ht="140.25" x14ac:dyDescent="0.25">
      <c r="A1492" s="9" t="s">
        <v>2591</v>
      </c>
      <c r="B1492" s="9" t="s">
        <v>13</v>
      </c>
      <c r="C1492" s="112" t="s">
        <v>2033</v>
      </c>
      <c r="D1492" s="90">
        <v>3591</v>
      </c>
      <c r="E1492" s="15" t="s">
        <v>2592</v>
      </c>
      <c r="F1492" s="11">
        <v>39083</v>
      </c>
      <c r="G1492" s="11">
        <v>42369</v>
      </c>
      <c r="H1492" s="9" t="s">
        <v>2593</v>
      </c>
      <c r="I1492" s="16">
        <v>1052668.8600000001</v>
      </c>
      <c r="J1492" s="16">
        <v>1052668.8600000001</v>
      </c>
      <c r="K1492" s="112" t="s">
        <v>2033</v>
      </c>
      <c r="L1492" s="121"/>
      <c r="M1492" s="3"/>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c r="AS1492" s="9"/>
      <c r="AT1492" s="9"/>
      <c r="AU1492" s="9"/>
      <c r="AV1492" s="9"/>
      <c r="AW1492" s="9"/>
      <c r="AX1492" s="9"/>
      <c r="AY1492" s="9"/>
      <c r="AZ1492" s="9"/>
      <c r="BA1492" s="9"/>
      <c r="BB1492" s="9"/>
      <c r="BC1492" s="9"/>
      <c r="BD1492" s="9"/>
      <c r="BE1492" s="9"/>
      <c r="BF1492" s="9"/>
      <c r="BG1492" s="9"/>
      <c r="BH1492" s="9"/>
    </row>
    <row r="1493" spans="1:60" s="4" customFormat="1" ht="102" x14ac:dyDescent="0.25">
      <c r="A1493" s="9" t="s">
        <v>2594</v>
      </c>
      <c r="B1493" s="9" t="s">
        <v>13</v>
      </c>
      <c r="C1493" s="112" t="s">
        <v>2033</v>
      </c>
      <c r="D1493" s="90">
        <v>3596</v>
      </c>
      <c r="E1493" s="15" t="s">
        <v>2595</v>
      </c>
      <c r="F1493" s="11">
        <v>39083</v>
      </c>
      <c r="G1493" s="11">
        <v>42369</v>
      </c>
      <c r="H1493" s="9" t="s">
        <v>2593</v>
      </c>
      <c r="I1493" s="16">
        <v>441522.26</v>
      </c>
      <c r="J1493" s="16">
        <v>441522.26</v>
      </c>
      <c r="K1493" s="112" t="s">
        <v>2033</v>
      </c>
      <c r="L1493" s="121"/>
      <c r="M1493" s="3"/>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c r="AS1493" s="9"/>
      <c r="AT1493" s="9"/>
      <c r="AU1493" s="9"/>
      <c r="AV1493" s="9"/>
      <c r="AW1493" s="9"/>
      <c r="AX1493" s="9"/>
      <c r="AY1493" s="9"/>
      <c r="AZ1493" s="9"/>
      <c r="BA1493" s="9"/>
      <c r="BB1493" s="9"/>
      <c r="BC1493" s="9"/>
      <c r="BD1493" s="9"/>
      <c r="BE1493" s="9"/>
      <c r="BF1493" s="9"/>
      <c r="BG1493" s="9"/>
      <c r="BH1493" s="9"/>
    </row>
    <row r="1494" spans="1:60" s="4" customFormat="1" ht="89.25" x14ac:dyDescent="0.25">
      <c r="A1494" s="9" t="s">
        <v>2596</v>
      </c>
      <c r="B1494" s="9" t="s">
        <v>13</v>
      </c>
      <c r="C1494" s="112" t="s">
        <v>2033</v>
      </c>
      <c r="D1494" s="90">
        <v>3616</v>
      </c>
      <c r="E1494" s="15" t="s">
        <v>2597</v>
      </c>
      <c r="F1494" s="11">
        <v>39083</v>
      </c>
      <c r="G1494" s="11">
        <v>42369</v>
      </c>
      <c r="H1494" s="9" t="s">
        <v>2593</v>
      </c>
      <c r="I1494" s="16">
        <v>316787.68</v>
      </c>
      <c r="J1494" s="16">
        <v>316787.08</v>
      </c>
      <c r="K1494" s="112" t="s">
        <v>2033</v>
      </c>
      <c r="L1494" s="121"/>
      <c r="M1494" s="3"/>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c r="AS1494" s="9"/>
      <c r="AT1494" s="9"/>
      <c r="AU1494" s="9"/>
      <c r="AV1494" s="9"/>
      <c r="AW1494" s="9"/>
      <c r="AX1494" s="9"/>
      <c r="AY1494" s="9"/>
      <c r="AZ1494" s="9"/>
      <c r="BA1494" s="9"/>
      <c r="BB1494" s="9"/>
      <c r="BC1494" s="9"/>
      <c r="BD1494" s="9"/>
      <c r="BE1494" s="9"/>
      <c r="BF1494" s="9"/>
      <c r="BG1494" s="9"/>
      <c r="BH1494" s="9"/>
    </row>
    <row r="1495" spans="1:60" s="4" customFormat="1" ht="89.25" x14ac:dyDescent="0.25">
      <c r="A1495" s="9" t="s">
        <v>2598</v>
      </c>
      <c r="B1495" s="9" t="s">
        <v>13</v>
      </c>
      <c r="C1495" s="112" t="s">
        <v>2033</v>
      </c>
      <c r="D1495" s="90">
        <v>4030</v>
      </c>
      <c r="E1495" s="15" t="s">
        <v>2599</v>
      </c>
      <c r="F1495" s="11">
        <v>39083</v>
      </c>
      <c r="G1495" s="11">
        <v>42369</v>
      </c>
      <c r="H1495" s="9" t="s">
        <v>2593</v>
      </c>
      <c r="I1495" s="16">
        <v>7110626.9800000004</v>
      </c>
      <c r="J1495" s="16">
        <v>7110626.9800000004</v>
      </c>
      <c r="K1495" s="112" t="s">
        <v>2033</v>
      </c>
      <c r="L1495" s="121"/>
      <c r="M1495" s="3"/>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c r="AR1495" s="9"/>
      <c r="AS1495" s="9"/>
      <c r="AT1495" s="9"/>
      <c r="AU1495" s="9"/>
      <c r="AV1495" s="9"/>
      <c r="AW1495" s="9"/>
      <c r="AX1495" s="9"/>
      <c r="AY1495" s="9"/>
      <c r="AZ1495" s="9"/>
      <c r="BA1495" s="9"/>
      <c r="BB1495" s="9"/>
      <c r="BC1495" s="9"/>
      <c r="BD1495" s="9"/>
      <c r="BE1495" s="9"/>
      <c r="BF1495" s="9"/>
      <c r="BG1495" s="9"/>
      <c r="BH1495" s="9"/>
    </row>
    <row r="1496" spans="1:60" s="4" customFormat="1" ht="153" x14ac:dyDescent="0.25">
      <c r="A1496" s="9" t="s">
        <v>2600</v>
      </c>
      <c r="B1496" s="9" t="s">
        <v>13</v>
      </c>
      <c r="C1496" s="112" t="s">
        <v>2033</v>
      </c>
      <c r="D1496" s="90">
        <v>4109</v>
      </c>
      <c r="E1496" s="15" t="s">
        <v>2601</v>
      </c>
      <c r="F1496" s="11">
        <v>39083</v>
      </c>
      <c r="G1496" s="11">
        <v>42369</v>
      </c>
      <c r="H1496" s="9" t="s">
        <v>2593</v>
      </c>
      <c r="I1496" s="16">
        <v>3201264.45</v>
      </c>
      <c r="J1496" s="16">
        <v>3201264.45</v>
      </c>
      <c r="K1496" s="112" t="s">
        <v>2033</v>
      </c>
      <c r="L1496" s="121"/>
      <c r="M1496" s="3"/>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c r="AR1496" s="9"/>
      <c r="AS1496" s="9"/>
      <c r="AT1496" s="9"/>
      <c r="AU1496" s="9"/>
      <c r="AV1496" s="9"/>
      <c r="AW1496" s="9"/>
      <c r="AX1496" s="9"/>
      <c r="AY1496" s="9"/>
      <c r="AZ1496" s="9"/>
      <c r="BA1496" s="9"/>
      <c r="BB1496" s="9"/>
      <c r="BC1496" s="9"/>
      <c r="BD1496" s="9"/>
      <c r="BE1496" s="9"/>
      <c r="BF1496" s="9"/>
      <c r="BG1496" s="9"/>
      <c r="BH1496" s="9"/>
    </row>
    <row r="1497" spans="1:60" s="4" customFormat="1" ht="140.25" x14ac:dyDescent="0.25">
      <c r="A1497" s="9" t="s">
        <v>2602</v>
      </c>
      <c r="B1497" s="9" t="s">
        <v>13</v>
      </c>
      <c r="C1497" s="112" t="s">
        <v>2033</v>
      </c>
      <c r="D1497" s="90">
        <v>4110</v>
      </c>
      <c r="E1497" s="15" t="s">
        <v>2603</v>
      </c>
      <c r="F1497" s="11">
        <v>39083</v>
      </c>
      <c r="G1497" s="11">
        <v>42369</v>
      </c>
      <c r="H1497" s="9" t="s">
        <v>2593</v>
      </c>
      <c r="I1497" s="16">
        <v>2083330.94</v>
      </c>
      <c r="J1497" s="16">
        <v>2083330.94</v>
      </c>
      <c r="K1497" s="112" t="s">
        <v>2033</v>
      </c>
      <c r="L1497" s="121"/>
      <c r="M1497" s="3"/>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c r="AS1497" s="9"/>
      <c r="AT1497" s="9"/>
      <c r="AU1497" s="9"/>
      <c r="AV1497" s="9"/>
      <c r="AW1497" s="9"/>
      <c r="AX1497" s="9"/>
      <c r="AY1497" s="9"/>
      <c r="AZ1497" s="9"/>
      <c r="BA1497" s="9"/>
      <c r="BB1497" s="9"/>
      <c r="BC1497" s="9"/>
      <c r="BD1497" s="9"/>
      <c r="BE1497" s="9"/>
      <c r="BF1497" s="9"/>
      <c r="BG1497" s="9"/>
      <c r="BH1497" s="9"/>
    </row>
    <row r="1498" spans="1:60" s="4" customFormat="1" ht="114.75" x14ac:dyDescent="0.25">
      <c r="A1498" s="9" t="s">
        <v>2604</v>
      </c>
      <c r="B1498" s="9" t="s">
        <v>13</v>
      </c>
      <c r="C1498" s="112" t="s">
        <v>2033</v>
      </c>
      <c r="D1498" s="90">
        <v>4111</v>
      </c>
      <c r="E1498" s="15" t="s">
        <v>2605</v>
      </c>
      <c r="F1498" s="11">
        <v>39083</v>
      </c>
      <c r="G1498" s="11">
        <v>42369</v>
      </c>
      <c r="H1498" s="9" t="s">
        <v>2593</v>
      </c>
      <c r="I1498" s="16">
        <v>311013.21999999997</v>
      </c>
      <c r="J1498" s="16">
        <v>311013.21999999997</v>
      </c>
      <c r="K1498" s="112" t="s">
        <v>2033</v>
      </c>
      <c r="L1498" s="121"/>
      <c r="M1498" s="3"/>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c r="AS1498" s="9"/>
      <c r="AT1498" s="9"/>
      <c r="AU1498" s="9"/>
      <c r="AV1498" s="9"/>
      <c r="AW1498" s="9"/>
      <c r="AX1498" s="9"/>
      <c r="AY1498" s="9"/>
      <c r="AZ1498" s="9"/>
      <c r="BA1498" s="9"/>
      <c r="BB1498" s="9"/>
      <c r="BC1498" s="9"/>
      <c r="BD1498" s="9"/>
      <c r="BE1498" s="9"/>
      <c r="BF1498" s="9"/>
      <c r="BG1498" s="9"/>
      <c r="BH1498" s="9"/>
    </row>
    <row r="1499" spans="1:60" s="4" customFormat="1" ht="153" x14ac:dyDescent="0.25">
      <c r="A1499" s="9" t="s">
        <v>2606</v>
      </c>
      <c r="B1499" s="9" t="s">
        <v>13</v>
      </c>
      <c r="C1499" s="112" t="s">
        <v>2033</v>
      </c>
      <c r="D1499" s="90">
        <v>4112</v>
      </c>
      <c r="E1499" s="15" t="s">
        <v>2607</v>
      </c>
      <c r="F1499" s="11">
        <v>39083</v>
      </c>
      <c r="G1499" s="11">
        <v>42369</v>
      </c>
      <c r="H1499" s="9" t="s">
        <v>2593</v>
      </c>
      <c r="I1499" s="16">
        <v>13841.29</v>
      </c>
      <c r="J1499" s="16">
        <v>13841.29</v>
      </c>
      <c r="K1499" s="112" t="s">
        <v>2033</v>
      </c>
      <c r="L1499" s="121"/>
      <c r="M1499" s="3"/>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c r="AS1499" s="9"/>
      <c r="AT1499" s="9"/>
      <c r="AU1499" s="9"/>
      <c r="AV1499" s="9"/>
      <c r="AW1499" s="9"/>
      <c r="AX1499" s="9"/>
      <c r="AY1499" s="9"/>
      <c r="AZ1499" s="9"/>
      <c r="BA1499" s="9"/>
      <c r="BB1499" s="9"/>
      <c r="BC1499" s="9"/>
      <c r="BD1499" s="9"/>
      <c r="BE1499" s="9"/>
      <c r="BF1499" s="9"/>
      <c r="BG1499" s="9"/>
      <c r="BH1499" s="9"/>
    </row>
    <row r="1500" spans="1:60" s="4" customFormat="1" ht="127.5" x14ac:dyDescent="0.25">
      <c r="A1500" s="9" t="s">
        <v>2608</v>
      </c>
      <c r="B1500" s="9" t="s">
        <v>13</v>
      </c>
      <c r="C1500" s="112" t="s">
        <v>2033</v>
      </c>
      <c r="D1500" s="90">
        <v>4113</v>
      </c>
      <c r="E1500" s="15" t="s">
        <v>2609</v>
      </c>
      <c r="F1500" s="11">
        <v>39083</v>
      </c>
      <c r="G1500" s="11">
        <v>42369</v>
      </c>
      <c r="H1500" s="9" t="s">
        <v>2593</v>
      </c>
      <c r="I1500" s="16">
        <v>4634960.93</v>
      </c>
      <c r="J1500" s="16">
        <v>4634960.93</v>
      </c>
      <c r="K1500" s="112" t="s">
        <v>2033</v>
      </c>
      <c r="L1500" s="121"/>
      <c r="M1500" s="3"/>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c r="AS1500" s="9"/>
      <c r="AT1500" s="9"/>
      <c r="AU1500" s="9"/>
      <c r="AV1500" s="9"/>
      <c r="AW1500" s="9"/>
      <c r="AX1500" s="9"/>
      <c r="AY1500" s="9"/>
      <c r="AZ1500" s="9"/>
      <c r="BA1500" s="9"/>
      <c r="BB1500" s="9"/>
      <c r="BC1500" s="9"/>
      <c r="BD1500" s="9"/>
      <c r="BE1500" s="9"/>
      <c r="BF1500" s="9"/>
      <c r="BG1500" s="9"/>
      <c r="BH1500" s="9"/>
    </row>
    <row r="1501" spans="1:60" s="4" customFormat="1" ht="140.25" x14ac:dyDescent="0.25">
      <c r="A1501" s="9" t="s">
        <v>2610</v>
      </c>
      <c r="B1501" s="9" t="s">
        <v>13</v>
      </c>
      <c r="C1501" s="112" t="s">
        <v>2033</v>
      </c>
      <c r="D1501" s="90">
        <v>4114</v>
      </c>
      <c r="E1501" s="15" t="s">
        <v>2611</v>
      </c>
      <c r="F1501" s="11">
        <v>39083</v>
      </c>
      <c r="G1501" s="11">
        <v>42369</v>
      </c>
      <c r="H1501" s="9" t="s">
        <v>2593</v>
      </c>
      <c r="I1501" s="16">
        <v>803874.4</v>
      </c>
      <c r="J1501" s="16">
        <v>803874.4</v>
      </c>
      <c r="K1501" s="112" t="s">
        <v>2033</v>
      </c>
      <c r="L1501" s="121"/>
      <c r="M1501" s="3"/>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AY1501" s="9"/>
      <c r="AZ1501" s="9"/>
      <c r="BA1501" s="9"/>
      <c r="BB1501" s="9"/>
      <c r="BC1501" s="9"/>
      <c r="BD1501" s="9"/>
      <c r="BE1501" s="9"/>
      <c r="BF1501" s="9"/>
      <c r="BG1501" s="9"/>
      <c r="BH1501" s="9"/>
    </row>
    <row r="1502" spans="1:60" s="4" customFormat="1" ht="25.5" x14ac:dyDescent="0.25">
      <c r="A1502" s="9" t="s">
        <v>2612</v>
      </c>
      <c r="B1502" s="9" t="s">
        <v>13</v>
      </c>
      <c r="C1502" s="112" t="s">
        <v>2033</v>
      </c>
      <c r="D1502" s="90">
        <v>4215</v>
      </c>
      <c r="E1502" s="4" t="s">
        <v>2613</v>
      </c>
      <c r="F1502" s="11">
        <v>39083</v>
      </c>
      <c r="G1502" s="11">
        <v>42369</v>
      </c>
      <c r="H1502" s="9" t="s">
        <v>2593</v>
      </c>
      <c r="I1502" s="16">
        <v>150000</v>
      </c>
      <c r="J1502" s="16">
        <v>150000</v>
      </c>
      <c r="K1502" s="112" t="s">
        <v>2033</v>
      </c>
      <c r="L1502" s="121"/>
      <c r="M1502" s="3"/>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row>
    <row r="1503" spans="1:60" s="4" customFormat="1" ht="51" x14ac:dyDescent="0.25">
      <c r="A1503" s="9" t="s">
        <v>2614</v>
      </c>
      <c r="B1503" s="9" t="s">
        <v>13</v>
      </c>
      <c r="C1503" s="112" t="s">
        <v>2033</v>
      </c>
      <c r="D1503" s="90">
        <v>4216</v>
      </c>
      <c r="E1503" s="9" t="s">
        <v>2615</v>
      </c>
      <c r="F1503" s="11">
        <v>39083</v>
      </c>
      <c r="G1503" s="11">
        <v>42369</v>
      </c>
      <c r="H1503" s="9" t="s">
        <v>2593</v>
      </c>
      <c r="I1503" s="16">
        <v>446381.31</v>
      </c>
      <c r="J1503" s="16">
        <v>446381.31</v>
      </c>
      <c r="K1503" s="112" t="s">
        <v>2033</v>
      </c>
      <c r="L1503" s="121"/>
      <c r="M1503" s="3"/>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c r="AS1503" s="9"/>
      <c r="AT1503" s="9"/>
      <c r="AU1503" s="9"/>
      <c r="AV1503" s="9"/>
      <c r="AW1503" s="9"/>
      <c r="AX1503" s="9"/>
      <c r="AY1503" s="9"/>
      <c r="AZ1503" s="9"/>
      <c r="BA1503" s="9"/>
      <c r="BB1503" s="9"/>
      <c r="BC1503" s="9"/>
      <c r="BD1503" s="9"/>
      <c r="BE1503" s="9"/>
      <c r="BF1503" s="9"/>
      <c r="BG1503" s="9"/>
      <c r="BH1503" s="9"/>
    </row>
    <row r="1504" spans="1:60" s="4" customFormat="1" x14ac:dyDescent="0.25">
      <c r="A1504" s="9" t="s">
        <v>2616</v>
      </c>
      <c r="B1504" s="9" t="s">
        <v>13</v>
      </c>
      <c r="C1504" s="112" t="s">
        <v>2033</v>
      </c>
      <c r="D1504" s="90">
        <v>4218</v>
      </c>
      <c r="E1504" s="4" t="s">
        <v>2617</v>
      </c>
      <c r="F1504" s="11">
        <v>39083</v>
      </c>
      <c r="G1504" s="11">
        <v>42369</v>
      </c>
      <c r="H1504" s="9" t="s">
        <v>2593</v>
      </c>
      <c r="I1504" s="16">
        <v>259240.72</v>
      </c>
      <c r="J1504" s="16">
        <v>259240.72</v>
      </c>
      <c r="K1504" s="112" t="s">
        <v>2033</v>
      </c>
      <c r="L1504" s="121"/>
      <c r="M1504" s="3"/>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row>
    <row r="1505" spans="1:60" s="4" customFormat="1" ht="63.75" x14ac:dyDescent="0.25">
      <c r="A1505" s="9" t="s">
        <v>2618</v>
      </c>
      <c r="B1505" s="9" t="s">
        <v>13</v>
      </c>
      <c r="C1505" s="112" t="s">
        <v>2033</v>
      </c>
      <c r="D1505" s="90">
        <v>4219</v>
      </c>
      <c r="E1505" s="9" t="s">
        <v>2619</v>
      </c>
      <c r="F1505" s="11">
        <v>39083</v>
      </c>
      <c r="G1505" s="11">
        <v>42369</v>
      </c>
      <c r="H1505" s="9" t="s">
        <v>2593</v>
      </c>
      <c r="I1505" s="16">
        <v>1173064.27</v>
      </c>
      <c r="J1505" s="16">
        <v>1173064.27</v>
      </c>
      <c r="K1505" s="112" t="s">
        <v>2033</v>
      </c>
      <c r="L1505" s="121"/>
      <c r="M1505" s="3"/>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row>
    <row r="1506" spans="1:60" s="4" customFormat="1" ht="114.75" x14ac:dyDescent="0.25">
      <c r="A1506" s="9" t="s">
        <v>2620</v>
      </c>
      <c r="B1506" s="9" t="s">
        <v>13</v>
      </c>
      <c r="C1506" s="112" t="s">
        <v>2033</v>
      </c>
      <c r="D1506" s="90">
        <v>4220</v>
      </c>
      <c r="E1506" s="15" t="s">
        <v>2621</v>
      </c>
      <c r="F1506" s="11">
        <v>39083</v>
      </c>
      <c r="G1506" s="11">
        <v>42369</v>
      </c>
      <c r="H1506" s="9" t="s">
        <v>2593</v>
      </c>
      <c r="I1506" s="16">
        <v>3089531.87</v>
      </c>
      <c r="J1506" s="16">
        <v>3089531.87</v>
      </c>
      <c r="K1506" s="112" t="s">
        <v>2033</v>
      </c>
      <c r="L1506" s="121"/>
      <c r="M1506" s="3"/>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row>
    <row r="1507" spans="1:60" s="4" customFormat="1" ht="140.25" x14ac:dyDescent="0.25">
      <c r="A1507" s="13" t="s">
        <v>2622</v>
      </c>
      <c r="B1507" s="9" t="s">
        <v>13</v>
      </c>
      <c r="C1507" s="112" t="s">
        <v>2033</v>
      </c>
      <c r="D1507" s="90">
        <v>4230</v>
      </c>
      <c r="E1507" s="13" t="s">
        <v>2623</v>
      </c>
      <c r="F1507" s="14">
        <v>39083</v>
      </c>
      <c r="G1507" s="14">
        <v>42369</v>
      </c>
      <c r="H1507" s="9" t="s">
        <v>2593</v>
      </c>
      <c r="I1507" s="16">
        <v>1121598.1000000001</v>
      </c>
      <c r="J1507" s="16">
        <v>1121598.1000000001</v>
      </c>
      <c r="K1507" s="112" t="s">
        <v>2033</v>
      </c>
      <c r="L1507" s="121"/>
      <c r="M1507" s="3"/>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row>
    <row r="1508" spans="1:60" s="4" customFormat="1" ht="89.25" x14ac:dyDescent="0.25">
      <c r="A1508" s="9" t="s">
        <v>2624</v>
      </c>
      <c r="B1508" s="9" t="s">
        <v>13</v>
      </c>
      <c r="C1508" s="112" t="s">
        <v>2033</v>
      </c>
      <c r="D1508" s="90">
        <v>4234</v>
      </c>
      <c r="E1508" s="15" t="s">
        <v>2597</v>
      </c>
      <c r="F1508" s="11">
        <v>39083</v>
      </c>
      <c r="G1508" s="11">
        <v>42369</v>
      </c>
      <c r="H1508" s="9" t="s">
        <v>2593</v>
      </c>
      <c r="I1508" s="16">
        <v>2474401.33</v>
      </c>
      <c r="J1508" s="16">
        <v>2474401.33</v>
      </c>
      <c r="K1508" s="112" t="s">
        <v>2033</v>
      </c>
      <c r="L1508" s="121"/>
      <c r="M1508" s="3"/>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row>
    <row r="1509" spans="1:60" s="4" customFormat="1" ht="153" x14ac:dyDescent="0.25">
      <c r="A1509" s="9" t="s">
        <v>2625</v>
      </c>
      <c r="B1509" s="9" t="s">
        <v>13</v>
      </c>
      <c r="C1509" s="112" t="s">
        <v>2033</v>
      </c>
      <c r="D1509" s="90">
        <v>10239</v>
      </c>
      <c r="E1509" s="15" t="s">
        <v>2626</v>
      </c>
      <c r="F1509" s="11">
        <v>40533</v>
      </c>
      <c r="G1509" s="11">
        <v>42825</v>
      </c>
      <c r="H1509" s="9" t="s">
        <v>2593</v>
      </c>
      <c r="I1509" s="16">
        <v>2514443.85</v>
      </c>
      <c r="J1509" s="16">
        <v>2514443.85</v>
      </c>
      <c r="K1509" s="112" t="s">
        <v>2033</v>
      </c>
      <c r="L1509" s="121"/>
      <c r="M1509" s="3"/>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row>
    <row r="1510" spans="1:60" s="4" customFormat="1" ht="114.75" x14ac:dyDescent="0.25">
      <c r="A1510" s="9" t="s">
        <v>2627</v>
      </c>
      <c r="B1510" s="9" t="s">
        <v>13</v>
      </c>
      <c r="C1510" s="112" t="s">
        <v>2033</v>
      </c>
      <c r="D1510" s="90">
        <v>10242</v>
      </c>
      <c r="E1510" s="15" t="s">
        <v>2628</v>
      </c>
      <c r="F1510" s="11">
        <v>40533</v>
      </c>
      <c r="G1510" s="11">
        <v>42825</v>
      </c>
      <c r="H1510" s="9" t="s">
        <v>2593</v>
      </c>
      <c r="I1510" s="16">
        <v>2782717.15</v>
      </c>
      <c r="J1510" s="16">
        <v>2782717.15</v>
      </c>
      <c r="K1510" s="112" t="s">
        <v>2033</v>
      </c>
      <c r="L1510" s="121"/>
      <c r="M1510" s="3"/>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row>
    <row r="1511" spans="1:60" s="4" customFormat="1" ht="153" x14ac:dyDescent="0.25">
      <c r="A1511" s="9" t="s">
        <v>2629</v>
      </c>
      <c r="B1511" s="9" t="s">
        <v>13</v>
      </c>
      <c r="C1511" s="112" t="s">
        <v>2033</v>
      </c>
      <c r="D1511" s="90">
        <v>10247</v>
      </c>
      <c r="E1511" s="15" t="s">
        <v>2630</v>
      </c>
      <c r="F1511" s="11">
        <v>39264</v>
      </c>
      <c r="G1511" s="11">
        <v>42369</v>
      </c>
      <c r="H1511" s="9" t="s">
        <v>2593</v>
      </c>
      <c r="I1511" s="16">
        <v>178205.34</v>
      </c>
      <c r="J1511" s="16">
        <v>178205.34</v>
      </c>
      <c r="K1511" s="112" t="s">
        <v>2033</v>
      </c>
      <c r="L1511" s="121"/>
      <c r="M1511" s="3"/>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row>
    <row r="1512" spans="1:60" s="4" customFormat="1" ht="153" x14ac:dyDescent="0.25">
      <c r="A1512" s="9" t="s">
        <v>2631</v>
      </c>
      <c r="B1512" s="9" t="s">
        <v>13</v>
      </c>
      <c r="C1512" s="112" t="s">
        <v>2033</v>
      </c>
      <c r="D1512" s="90">
        <v>10248</v>
      </c>
      <c r="E1512" s="15" t="s">
        <v>2632</v>
      </c>
      <c r="F1512" s="11">
        <v>40533</v>
      </c>
      <c r="G1512" s="11">
        <v>42825</v>
      </c>
      <c r="H1512" s="9" t="s">
        <v>2593</v>
      </c>
      <c r="I1512" s="16">
        <v>1705755.04</v>
      </c>
      <c r="J1512" s="16">
        <v>1705775.04</v>
      </c>
      <c r="K1512" s="112" t="s">
        <v>2033</v>
      </c>
      <c r="L1512" s="119"/>
      <c r="M1512" s="3"/>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row>
    <row r="1513" spans="1:60" s="32" customFormat="1" ht="63.75" x14ac:dyDescent="0.25">
      <c r="A1513" s="13" t="s">
        <v>11518</v>
      </c>
      <c r="B1513" s="32" t="s">
        <v>13</v>
      </c>
      <c r="C1513" s="38" t="s">
        <v>2033</v>
      </c>
      <c r="D1513" s="33">
        <v>12987</v>
      </c>
      <c r="E1513" s="13" t="s">
        <v>11519</v>
      </c>
      <c r="F1513" s="34">
        <v>40544</v>
      </c>
      <c r="G1513" s="34">
        <v>42825</v>
      </c>
      <c r="H1513" s="9" t="s">
        <v>3587</v>
      </c>
      <c r="I1513" s="94">
        <f>140569.47+28716.84</f>
        <v>169286.31</v>
      </c>
      <c r="J1513" s="94">
        <f>140569.47+28716.84</f>
        <v>169286.31</v>
      </c>
      <c r="K1513" s="38" t="s">
        <v>2033</v>
      </c>
      <c r="L1513" s="122"/>
      <c r="M1513" s="3"/>
    </row>
    <row r="1514" spans="1:60" s="32" customFormat="1" ht="76.5" x14ac:dyDescent="0.25">
      <c r="A1514" s="13" t="s">
        <v>11520</v>
      </c>
      <c r="B1514" s="32" t="s">
        <v>13</v>
      </c>
      <c r="C1514" s="38" t="s">
        <v>2033</v>
      </c>
      <c r="D1514" s="33">
        <v>12988</v>
      </c>
      <c r="E1514" s="13" t="s">
        <v>11521</v>
      </c>
      <c r="F1514" s="34">
        <v>40544</v>
      </c>
      <c r="G1514" s="34">
        <v>42825</v>
      </c>
      <c r="H1514" s="9" t="s">
        <v>3587</v>
      </c>
      <c r="I1514" s="94">
        <f>158450.4+47658.48</f>
        <v>206108.88</v>
      </c>
      <c r="J1514" s="94">
        <f>158450.4+47658.48</f>
        <v>206108.88</v>
      </c>
      <c r="K1514" s="38" t="s">
        <v>2033</v>
      </c>
      <c r="L1514" s="122"/>
      <c r="M1514" s="3"/>
    </row>
    <row r="1515" spans="1:60" s="32" customFormat="1" ht="102" x14ac:dyDescent="0.25">
      <c r="A1515" s="13" t="s">
        <v>11522</v>
      </c>
      <c r="B1515" s="32" t="s">
        <v>13</v>
      </c>
      <c r="C1515" s="38" t="s">
        <v>2033</v>
      </c>
      <c r="D1515" s="33">
        <v>13008</v>
      </c>
      <c r="E1515" s="13" t="s">
        <v>11523</v>
      </c>
      <c r="F1515" s="34">
        <v>40544</v>
      </c>
      <c r="G1515" s="34">
        <v>42825</v>
      </c>
      <c r="H1515" s="9" t="s">
        <v>3587</v>
      </c>
      <c r="I1515" s="94">
        <f>736611.54+165999.7</f>
        <v>902611.24</v>
      </c>
      <c r="J1515" s="94">
        <f>736611.54+165999.7</f>
        <v>902611.24</v>
      </c>
      <c r="K1515" s="38" t="s">
        <v>2033</v>
      </c>
      <c r="L1515" s="122"/>
      <c r="M1515" s="3"/>
    </row>
    <row r="1516" spans="1:60" s="32" customFormat="1" ht="153" x14ac:dyDescent="0.25">
      <c r="A1516" s="13" t="s">
        <v>11524</v>
      </c>
      <c r="B1516" s="32" t="s">
        <v>13</v>
      </c>
      <c r="C1516" s="38" t="s">
        <v>2033</v>
      </c>
      <c r="D1516" s="33">
        <v>13009</v>
      </c>
      <c r="E1516" s="13" t="s">
        <v>11525</v>
      </c>
      <c r="F1516" s="34">
        <v>40544</v>
      </c>
      <c r="G1516" s="34">
        <v>42825</v>
      </c>
      <c r="H1516" s="9" t="s">
        <v>3587</v>
      </c>
      <c r="I1516" s="94">
        <f>464407.7+103041.63</f>
        <v>567449.33000000007</v>
      </c>
      <c r="J1516" s="94">
        <f>464407.7+103041.63</f>
        <v>567449.33000000007</v>
      </c>
      <c r="K1516" s="38" t="s">
        <v>2033</v>
      </c>
      <c r="L1516" s="122"/>
      <c r="M1516" s="3"/>
    </row>
    <row r="1517" spans="1:60" s="32" customFormat="1" ht="76.5" x14ac:dyDescent="0.25">
      <c r="A1517" s="13" t="s">
        <v>11526</v>
      </c>
      <c r="B1517" s="32" t="s">
        <v>13</v>
      </c>
      <c r="C1517" s="38" t="s">
        <v>2033</v>
      </c>
      <c r="D1517" s="33">
        <v>13010</v>
      </c>
      <c r="E1517" s="13" t="s">
        <v>11527</v>
      </c>
      <c r="F1517" s="34">
        <v>40544</v>
      </c>
      <c r="G1517" s="34">
        <v>42825</v>
      </c>
      <c r="H1517" s="9" t="s">
        <v>3587</v>
      </c>
      <c r="I1517" s="94">
        <f>196803.66+18363.15</f>
        <v>215166.81</v>
      </c>
      <c r="J1517" s="94">
        <f>196803.66+18363.15</f>
        <v>215166.81</v>
      </c>
      <c r="K1517" s="38" t="s">
        <v>2033</v>
      </c>
      <c r="L1517" s="122"/>
      <c r="M1517" s="3"/>
    </row>
    <row r="1518" spans="1:60" s="32" customFormat="1" ht="102" x14ac:dyDescent="0.25">
      <c r="A1518" s="13" t="s">
        <v>11528</v>
      </c>
      <c r="B1518" s="32" t="s">
        <v>13</v>
      </c>
      <c r="C1518" s="38" t="s">
        <v>2033</v>
      </c>
      <c r="D1518" s="33">
        <v>13011</v>
      </c>
      <c r="E1518" s="13" t="s">
        <v>11529</v>
      </c>
      <c r="F1518" s="34">
        <v>40544</v>
      </c>
      <c r="G1518" s="34">
        <v>42825</v>
      </c>
      <c r="H1518" s="9" t="s">
        <v>3587</v>
      </c>
      <c r="I1518" s="94">
        <f>295796.4+103363.88</f>
        <v>399160.28</v>
      </c>
      <c r="J1518" s="94">
        <f>295796.4+103363.88</f>
        <v>399160.28</v>
      </c>
      <c r="K1518" s="38" t="s">
        <v>2033</v>
      </c>
      <c r="L1518" s="122"/>
      <c r="M1518" s="3"/>
    </row>
    <row r="1519" spans="1:60" s="32" customFormat="1" ht="63.75" x14ac:dyDescent="0.25">
      <c r="A1519" s="13" t="s">
        <v>11530</v>
      </c>
      <c r="B1519" s="32" t="s">
        <v>13</v>
      </c>
      <c r="C1519" s="38" t="s">
        <v>2033</v>
      </c>
      <c r="D1519" s="33">
        <v>13012</v>
      </c>
      <c r="E1519" s="13" t="s">
        <v>11531</v>
      </c>
      <c r="F1519" s="34">
        <v>40544</v>
      </c>
      <c r="G1519" s="34">
        <v>42825</v>
      </c>
      <c r="H1519" s="9" t="s">
        <v>3587</v>
      </c>
      <c r="I1519" s="94">
        <f>396599.34+82187.59</f>
        <v>478786.93000000005</v>
      </c>
      <c r="J1519" s="94">
        <f>396599.34+82187.59</f>
        <v>478786.93000000005</v>
      </c>
      <c r="K1519" s="38" t="s">
        <v>2033</v>
      </c>
      <c r="L1519" s="122"/>
      <c r="M1519" s="3"/>
    </row>
    <row r="1520" spans="1:60" s="32" customFormat="1" ht="127.5" x14ac:dyDescent="0.25">
      <c r="A1520" s="13" t="s">
        <v>11532</v>
      </c>
      <c r="B1520" s="32" t="s">
        <v>13</v>
      </c>
      <c r="C1520" s="38" t="s">
        <v>2033</v>
      </c>
      <c r="D1520" s="33">
        <v>13013</v>
      </c>
      <c r="E1520" s="13" t="s">
        <v>11533</v>
      </c>
      <c r="F1520" s="34">
        <v>40544</v>
      </c>
      <c r="G1520" s="34">
        <v>42825</v>
      </c>
      <c r="H1520" s="9" t="s">
        <v>3587</v>
      </c>
      <c r="I1520" s="94">
        <f>155699.25+56195.46</f>
        <v>211894.71</v>
      </c>
      <c r="J1520" s="94">
        <f>155699.25+56195.46</f>
        <v>211894.71</v>
      </c>
      <c r="K1520" s="38" t="s">
        <v>2033</v>
      </c>
      <c r="L1520" s="122"/>
      <c r="M1520" s="3"/>
    </row>
    <row r="1521" spans="1:14" s="32" customFormat="1" ht="127.5" x14ac:dyDescent="0.25">
      <c r="A1521" s="13" t="s">
        <v>11534</v>
      </c>
      <c r="B1521" s="32" t="s">
        <v>13</v>
      </c>
      <c r="C1521" s="38" t="s">
        <v>2033</v>
      </c>
      <c r="D1521" s="33">
        <v>13014</v>
      </c>
      <c r="E1521" s="13" t="s">
        <v>11535</v>
      </c>
      <c r="F1521" s="34">
        <v>40544</v>
      </c>
      <c r="G1521" s="34">
        <v>42825</v>
      </c>
      <c r="H1521" s="9" t="s">
        <v>3587</v>
      </c>
      <c r="I1521" s="94">
        <f>656404.32+115754.04</f>
        <v>772158.36</v>
      </c>
      <c r="J1521" s="94">
        <f>656404.32+115754.04</f>
        <v>772158.36</v>
      </c>
      <c r="K1521" s="38" t="s">
        <v>2033</v>
      </c>
      <c r="L1521" s="122"/>
      <c r="M1521" s="3"/>
    </row>
    <row r="1522" spans="1:14" s="32" customFormat="1" ht="127.5" x14ac:dyDescent="0.25">
      <c r="A1522" s="13" t="s">
        <v>11536</v>
      </c>
      <c r="B1522" s="32" t="s">
        <v>13</v>
      </c>
      <c r="C1522" s="38" t="s">
        <v>2033</v>
      </c>
      <c r="D1522" s="33">
        <v>13015</v>
      </c>
      <c r="E1522" s="13" t="s">
        <v>11537</v>
      </c>
      <c r="F1522" s="34">
        <v>40544</v>
      </c>
      <c r="G1522" s="34">
        <v>42825</v>
      </c>
      <c r="H1522" s="9" t="s">
        <v>3587</v>
      </c>
      <c r="I1522" s="94">
        <f>362210.56+70679.88</f>
        <v>432890.44</v>
      </c>
      <c r="J1522" s="94">
        <f>362210.56+70679.88</f>
        <v>432890.44</v>
      </c>
      <c r="K1522" s="38" t="s">
        <v>2033</v>
      </c>
      <c r="L1522" s="122"/>
      <c r="M1522" s="3"/>
    </row>
    <row r="1523" spans="1:14" s="32" customFormat="1" ht="76.5" x14ac:dyDescent="0.25">
      <c r="A1523" s="13" t="s">
        <v>11538</v>
      </c>
      <c r="B1523" s="32" t="s">
        <v>13</v>
      </c>
      <c r="C1523" s="38" t="s">
        <v>2033</v>
      </c>
      <c r="D1523" s="33">
        <v>13016</v>
      </c>
      <c r="E1523" s="13" t="s">
        <v>11539</v>
      </c>
      <c r="F1523" s="34">
        <v>40544</v>
      </c>
      <c r="G1523" s="34">
        <v>42825</v>
      </c>
      <c r="H1523" s="9" t="s">
        <v>3587</v>
      </c>
      <c r="I1523" s="94">
        <f>273497.32+45877.04</f>
        <v>319374.36</v>
      </c>
      <c r="J1523" s="94">
        <f>273497.32+45877.04</f>
        <v>319374.36</v>
      </c>
      <c r="K1523" s="38" t="s">
        <v>2033</v>
      </c>
      <c r="L1523" s="122"/>
      <c r="M1523" s="3"/>
    </row>
    <row r="1524" spans="1:14" s="32" customFormat="1" ht="76.5" x14ac:dyDescent="0.25">
      <c r="A1524" s="13" t="s">
        <v>11540</v>
      </c>
      <c r="B1524" s="32" t="s">
        <v>13</v>
      </c>
      <c r="C1524" s="38" t="s">
        <v>2033</v>
      </c>
      <c r="D1524" s="33">
        <v>13017</v>
      </c>
      <c r="E1524" s="13" t="s">
        <v>11541</v>
      </c>
      <c r="F1524" s="34">
        <v>40544</v>
      </c>
      <c r="G1524" s="34">
        <v>42825</v>
      </c>
      <c r="H1524" s="9" t="s">
        <v>3587</v>
      </c>
      <c r="I1524" s="94">
        <f>266462.35+62287.4</f>
        <v>328749.75</v>
      </c>
      <c r="J1524" s="94">
        <f>266462.35+62287.4</f>
        <v>328749.75</v>
      </c>
      <c r="K1524" s="38" t="s">
        <v>2033</v>
      </c>
      <c r="L1524" s="122"/>
      <c r="M1524" s="3"/>
    </row>
    <row r="1525" spans="1:14" s="4" customFormat="1" ht="38.25" x14ac:dyDescent="0.25">
      <c r="A1525" s="4" t="s">
        <v>2633</v>
      </c>
      <c r="B1525" s="4" t="s">
        <v>13</v>
      </c>
      <c r="C1525" s="37" t="s">
        <v>2033</v>
      </c>
      <c r="D1525" s="35">
        <v>3748</v>
      </c>
      <c r="E1525" s="4" t="s">
        <v>2634</v>
      </c>
      <c r="F1525" s="5">
        <v>39777</v>
      </c>
      <c r="G1525" s="5">
        <v>40907</v>
      </c>
      <c r="H1525" s="4" t="s">
        <v>2027</v>
      </c>
      <c r="I1525" s="6">
        <v>4959000</v>
      </c>
      <c r="J1525" s="6">
        <v>856419.3</v>
      </c>
      <c r="K1525" s="37" t="s">
        <v>2033</v>
      </c>
      <c r="L1525" s="119"/>
      <c r="M1525" s="3"/>
    </row>
    <row r="1526" spans="1:14" s="4" customFormat="1" ht="153" x14ac:dyDescent="0.25">
      <c r="A1526" s="4" t="s">
        <v>2635</v>
      </c>
      <c r="B1526" s="4" t="s">
        <v>13</v>
      </c>
      <c r="C1526" s="37" t="s">
        <v>2033</v>
      </c>
      <c r="D1526" s="35">
        <v>3722</v>
      </c>
      <c r="E1526" s="7" t="s">
        <v>2636</v>
      </c>
      <c r="F1526" s="5">
        <v>39083</v>
      </c>
      <c r="G1526" s="5">
        <v>42369</v>
      </c>
      <c r="H1526" s="4" t="s">
        <v>2637</v>
      </c>
      <c r="I1526" s="17">
        <v>225684</v>
      </c>
      <c r="J1526" s="17">
        <v>225684</v>
      </c>
      <c r="K1526" s="37" t="s">
        <v>2033</v>
      </c>
      <c r="L1526" s="119"/>
      <c r="M1526" s="3"/>
    </row>
    <row r="1527" spans="1:14" s="4" customFormat="1" ht="165.75" x14ac:dyDescent="0.25">
      <c r="A1527" s="4" t="s">
        <v>2638</v>
      </c>
      <c r="B1527" s="4" t="s">
        <v>13</v>
      </c>
      <c r="C1527" s="37" t="s">
        <v>2033</v>
      </c>
      <c r="D1527" s="35">
        <v>3991</v>
      </c>
      <c r="E1527" s="7" t="s">
        <v>2639</v>
      </c>
      <c r="F1527" s="5">
        <v>39083</v>
      </c>
      <c r="G1527" s="5">
        <v>42369</v>
      </c>
      <c r="H1527" s="4" t="s">
        <v>2637</v>
      </c>
      <c r="I1527" s="17">
        <v>2086030.21</v>
      </c>
      <c r="J1527" s="17">
        <v>2086030.21</v>
      </c>
      <c r="K1527" s="37" t="s">
        <v>2033</v>
      </c>
      <c r="L1527" s="119"/>
      <c r="M1527" s="3"/>
    </row>
    <row r="1528" spans="1:14" s="4" customFormat="1" ht="127.5" x14ac:dyDescent="0.25">
      <c r="A1528" s="4" t="s">
        <v>2640</v>
      </c>
      <c r="B1528" s="4" t="s">
        <v>13</v>
      </c>
      <c r="C1528" s="37" t="s">
        <v>2033</v>
      </c>
      <c r="D1528" s="35">
        <v>3992</v>
      </c>
      <c r="E1528" s="7" t="s">
        <v>2641</v>
      </c>
      <c r="F1528" s="5">
        <v>39083</v>
      </c>
      <c r="G1528" s="5">
        <v>42369</v>
      </c>
      <c r="H1528" s="4" t="s">
        <v>2637</v>
      </c>
      <c r="I1528" s="17">
        <v>453456.8</v>
      </c>
      <c r="J1528" s="17">
        <v>453456.8</v>
      </c>
      <c r="K1528" s="37" t="s">
        <v>2033</v>
      </c>
      <c r="L1528" s="119"/>
      <c r="M1528" s="3"/>
    </row>
    <row r="1529" spans="1:14" s="4" customFormat="1" x14ac:dyDescent="0.25">
      <c r="C1529" s="37" t="s">
        <v>2033</v>
      </c>
      <c r="D1529" s="35"/>
      <c r="E1529" s="26" t="s">
        <v>2642</v>
      </c>
      <c r="F1529" s="28"/>
      <c r="G1529" s="28"/>
      <c r="H1529" s="26"/>
      <c r="I1529" s="27">
        <f>SUM(I1151:I1153)</f>
        <v>2504608.38</v>
      </c>
      <c r="J1529" s="27">
        <f>SUM(J1151:J1153)</f>
        <v>2504608.38</v>
      </c>
      <c r="K1529" s="37" t="s">
        <v>2033</v>
      </c>
      <c r="L1529" s="119"/>
      <c r="M1529" s="3"/>
    </row>
    <row r="1530" spans="1:14" s="4" customFormat="1" x14ac:dyDescent="0.25">
      <c r="C1530" s="37" t="s">
        <v>2033</v>
      </c>
      <c r="D1530" s="35"/>
      <c r="E1530" s="26" t="s">
        <v>351</v>
      </c>
      <c r="F1530" s="28"/>
      <c r="G1530" s="28"/>
      <c r="H1530" s="26"/>
      <c r="I1530" s="27">
        <f>SUM(I1154:I1155)</f>
        <v>247670</v>
      </c>
      <c r="J1530" s="27">
        <f>SUM(J1154:J1155)</f>
        <v>50133</v>
      </c>
      <c r="K1530" s="37" t="s">
        <v>2033</v>
      </c>
      <c r="L1530" s="119"/>
      <c r="M1530" s="3"/>
    </row>
    <row r="1531" spans="1:14" s="4" customFormat="1" x14ac:dyDescent="0.25">
      <c r="C1531" s="37" t="s">
        <v>2033</v>
      </c>
      <c r="D1531" s="35"/>
      <c r="E1531" s="26" t="s">
        <v>2643</v>
      </c>
      <c r="F1531" s="28"/>
      <c r="G1531" s="28"/>
      <c r="H1531" s="26"/>
      <c r="I1531" s="25">
        <f>SUM(I1156:I1259)</f>
        <v>9673199.8800000008</v>
      </c>
      <c r="J1531" s="27">
        <f>SUM(J1156:J1259)</f>
        <v>9673199.8760000002</v>
      </c>
      <c r="K1531" s="37" t="s">
        <v>2033</v>
      </c>
      <c r="L1531" s="119"/>
      <c r="M1531" s="3"/>
      <c r="N1531" s="3"/>
    </row>
    <row r="1532" spans="1:14" s="4" customFormat="1" x14ac:dyDescent="0.25">
      <c r="C1532" s="37" t="s">
        <v>2033</v>
      </c>
      <c r="D1532" s="35"/>
      <c r="E1532" s="26" t="s">
        <v>786</v>
      </c>
      <c r="F1532" s="28"/>
      <c r="G1532" s="28"/>
      <c r="H1532" s="26"/>
      <c r="I1532" s="27">
        <f>SUM(I1260:I1261)</f>
        <v>145453.72</v>
      </c>
      <c r="J1532" s="27">
        <f>SUM(J1260:J1261)</f>
        <v>32296.9</v>
      </c>
      <c r="K1532" s="37" t="s">
        <v>2033</v>
      </c>
      <c r="L1532" s="119"/>
      <c r="M1532" s="3"/>
      <c r="N1532" s="3"/>
    </row>
    <row r="1533" spans="1:14" s="4" customFormat="1" x14ac:dyDescent="0.25">
      <c r="C1533" s="37" t="s">
        <v>2033</v>
      </c>
      <c r="D1533" s="35"/>
      <c r="E1533" s="26" t="s">
        <v>2644</v>
      </c>
      <c r="F1533" s="28"/>
      <c r="G1533" s="28"/>
      <c r="H1533" s="26"/>
      <c r="I1533" s="27">
        <f>SUM(I1262)</f>
        <v>5316686.01</v>
      </c>
      <c r="J1533" s="27">
        <f>SUM(J1262)</f>
        <v>5316686.01</v>
      </c>
      <c r="K1533" s="37" t="s">
        <v>2033</v>
      </c>
      <c r="L1533" s="119"/>
      <c r="M1533" s="3"/>
      <c r="N1533" s="3"/>
    </row>
    <row r="1534" spans="1:14" s="4" customFormat="1" x14ac:dyDescent="0.25">
      <c r="C1534" s="37" t="s">
        <v>2033</v>
      </c>
      <c r="D1534" s="35"/>
      <c r="E1534" s="26" t="s">
        <v>352</v>
      </c>
      <c r="F1534" s="28"/>
      <c r="G1534" s="28"/>
      <c r="H1534" s="26"/>
      <c r="I1534" s="27">
        <f>SUM(I1263:I1491)</f>
        <v>3989511.0800000005</v>
      </c>
      <c r="J1534" s="27">
        <f>SUM(J1263:J1491)</f>
        <v>3342607.6900000009</v>
      </c>
      <c r="K1534" s="37" t="s">
        <v>2033</v>
      </c>
      <c r="L1534" s="119"/>
      <c r="M1534" s="3"/>
      <c r="N1534" s="3"/>
    </row>
    <row r="1535" spans="1:14" s="4" customFormat="1" x14ac:dyDescent="0.25">
      <c r="C1535" s="37" t="s">
        <v>2033</v>
      </c>
      <c r="D1535" s="35"/>
      <c r="E1535" s="26" t="s">
        <v>2645</v>
      </c>
      <c r="F1535" s="28"/>
      <c r="G1535" s="28"/>
      <c r="H1535" s="26"/>
      <c r="I1535" s="27">
        <f>SUM(I1492:I1512)</f>
        <v>35865229.990000002</v>
      </c>
      <c r="J1535" s="27">
        <f>SUM(J1492:J1512)</f>
        <v>35865249.390000001</v>
      </c>
      <c r="K1535" s="37" t="s">
        <v>2033</v>
      </c>
      <c r="L1535" s="119"/>
      <c r="M1535" s="3"/>
    </row>
    <row r="1536" spans="1:14" s="4" customFormat="1" x14ac:dyDescent="0.25">
      <c r="C1536" s="37" t="s">
        <v>2033</v>
      </c>
      <c r="D1536" s="35"/>
      <c r="E1536" s="26" t="s">
        <v>4031</v>
      </c>
      <c r="F1536" s="28"/>
      <c r="G1536" s="28"/>
      <c r="H1536" s="26"/>
      <c r="I1536" s="27">
        <f>SUM(I1513:I1524)</f>
        <v>5003637.4000000004</v>
      </c>
      <c r="J1536" s="27">
        <f>SUM(J1513:J1524)</f>
        <v>5003637.4000000004</v>
      </c>
      <c r="K1536" s="37" t="s">
        <v>2033</v>
      </c>
      <c r="L1536" s="119"/>
      <c r="M1536" s="3"/>
    </row>
    <row r="1537" spans="1:13" s="4" customFormat="1" x14ac:dyDescent="0.25">
      <c r="C1537" s="37" t="s">
        <v>2033</v>
      </c>
      <c r="D1537" s="35"/>
      <c r="E1537" s="26" t="s">
        <v>2028</v>
      </c>
      <c r="F1537" s="28"/>
      <c r="G1537" s="28"/>
      <c r="H1537" s="26"/>
      <c r="I1537" s="27">
        <f>SUM(I1525)</f>
        <v>4959000</v>
      </c>
      <c r="J1537" s="27">
        <f>SUM(J1525)</f>
        <v>856419.3</v>
      </c>
      <c r="K1537" s="37" t="s">
        <v>2033</v>
      </c>
      <c r="L1537" s="119"/>
      <c r="M1537" s="3"/>
    </row>
    <row r="1538" spans="1:13" s="4" customFormat="1" x14ac:dyDescent="0.25">
      <c r="C1538" s="37" t="s">
        <v>2033</v>
      </c>
      <c r="D1538" s="35"/>
      <c r="E1538" s="26" t="s">
        <v>2646</v>
      </c>
      <c r="F1538" s="28"/>
      <c r="G1538" s="28"/>
      <c r="H1538" s="26"/>
      <c r="I1538" s="27">
        <f>SUM(I1526:I1528)</f>
        <v>2765171.01</v>
      </c>
      <c r="J1538" s="27">
        <f>SUM(J1526:J1528)</f>
        <v>2765171.01</v>
      </c>
      <c r="K1538" s="37" t="s">
        <v>2033</v>
      </c>
      <c r="L1538" s="119"/>
      <c r="M1538" s="3"/>
    </row>
    <row r="1539" spans="1:13" s="4" customFormat="1" x14ac:dyDescent="0.25">
      <c r="C1539" s="37" t="s">
        <v>2033</v>
      </c>
      <c r="D1539" s="35"/>
      <c r="E1539" s="26" t="s">
        <v>2647</v>
      </c>
      <c r="F1539" s="28"/>
      <c r="G1539" s="28"/>
      <c r="H1539" s="26"/>
      <c r="I1539" s="27">
        <f>SUM(I1529:I1538)</f>
        <v>70470167.470000014</v>
      </c>
      <c r="J1539" s="27">
        <f>SUM(J1529:J1538)</f>
        <v>65410008.956</v>
      </c>
      <c r="K1539" s="37" t="s">
        <v>2033</v>
      </c>
      <c r="L1539" s="119">
        <f>J1539</f>
        <v>65410008.956</v>
      </c>
      <c r="M1539" s="3">
        <f>SUM(J1539*0.4)</f>
        <v>26164003.582400002</v>
      </c>
    </row>
    <row r="1540" spans="1:13" s="4" customFormat="1" x14ac:dyDescent="0.25">
      <c r="C1540" s="37"/>
      <c r="D1540" s="35"/>
      <c r="E1540" s="7"/>
      <c r="F1540" s="5"/>
      <c r="G1540" s="5"/>
      <c r="I1540" s="17"/>
      <c r="J1540" s="17"/>
      <c r="K1540" s="37"/>
      <c r="L1540" s="119"/>
      <c r="M1540" s="3"/>
    </row>
    <row r="1541" spans="1:13" s="4" customFormat="1" ht="38.25" x14ac:dyDescent="0.25">
      <c r="A1541" s="4" t="s">
        <v>2648</v>
      </c>
      <c r="B1541" s="4" t="s">
        <v>13</v>
      </c>
      <c r="C1541" s="37" t="s">
        <v>2650</v>
      </c>
      <c r="D1541" s="35">
        <v>3922</v>
      </c>
      <c r="E1541" s="4" t="s">
        <v>2649</v>
      </c>
      <c r="F1541" s="5">
        <v>39188</v>
      </c>
      <c r="G1541" s="5">
        <v>39871</v>
      </c>
      <c r="H1541" s="4" t="s">
        <v>16</v>
      </c>
      <c r="I1541" s="6">
        <v>246600</v>
      </c>
      <c r="J1541" s="6">
        <v>73980</v>
      </c>
      <c r="K1541" s="37" t="s">
        <v>2650</v>
      </c>
      <c r="L1541" s="119"/>
      <c r="M1541" s="3"/>
    </row>
    <row r="1542" spans="1:13" s="4" customFormat="1" x14ac:dyDescent="0.25">
      <c r="A1542" s="4" t="s">
        <v>2651</v>
      </c>
      <c r="B1542" s="4" t="s">
        <v>13</v>
      </c>
      <c r="C1542" s="37" t="s">
        <v>2650</v>
      </c>
      <c r="D1542" s="35">
        <v>4170</v>
      </c>
      <c r="E1542" s="4" t="s">
        <v>2652</v>
      </c>
      <c r="F1542" s="5">
        <v>39821</v>
      </c>
      <c r="G1542" s="5">
        <v>40170</v>
      </c>
      <c r="H1542" s="4" t="s">
        <v>16</v>
      </c>
      <c r="I1542" s="6">
        <v>97086.88</v>
      </c>
      <c r="J1542" s="6">
        <v>16320</v>
      </c>
      <c r="K1542" s="37" t="s">
        <v>2650</v>
      </c>
      <c r="L1542" s="119"/>
      <c r="M1542" s="3"/>
    </row>
    <row r="1543" spans="1:13" s="4" customFormat="1" ht="25.5" x14ac:dyDescent="0.25">
      <c r="A1543" s="4" t="s">
        <v>2651</v>
      </c>
      <c r="B1543" s="4" t="s">
        <v>13</v>
      </c>
      <c r="C1543" s="37" t="s">
        <v>2650</v>
      </c>
      <c r="D1543" s="35">
        <v>4176</v>
      </c>
      <c r="E1543" s="4" t="s">
        <v>2653</v>
      </c>
      <c r="F1543" s="5">
        <v>39792</v>
      </c>
      <c r="G1543" s="5">
        <v>40170</v>
      </c>
      <c r="H1543" s="4" t="s">
        <v>16</v>
      </c>
      <c r="I1543" s="6">
        <v>34605.18</v>
      </c>
      <c r="J1543" s="6">
        <v>8369</v>
      </c>
      <c r="K1543" s="37" t="s">
        <v>2650</v>
      </c>
      <c r="L1543" s="119"/>
      <c r="M1543" s="3"/>
    </row>
    <row r="1544" spans="1:13" s="4" customFormat="1" x14ac:dyDescent="0.25">
      <c r="A1544" s="4" t="s">
        <v>2654</v>
      </c>
      <c r="B1544" s="4" t="s">
        <v>13</v>
      </c>
      <c r="C1544" s="37" t="s">
        <v>2650</v>
      </c>
      <c r="D1544" s="35">
        <v>4183</v>
      </c>
      <c r="E1544" s="4" t="s">
        <v>2655</v>
      </c>
      <c r="F1544" s="5">
        <v>39568</v>
      </c>
      <c r="G1544" s="5">
        <v>39933</v>
      </c>
      <c r="H1544" s="4" t="s">
        <v>16</v>
      </c>
      <c r="I1544" s="6">
        <v>276576</v>
      </c>
      <c r="J1544" s="6">
        <v>48750</v>
      </c>
      <c r="K1544" s="37" t="s">
        <v>2650</v>
      </c>
      <c r="L1544" s="119"/>
      <c r="M1544" s="3"/>
    </row>
    <row r="1545" spans="1:13" s="4" customFormat="1" ht="25.5" x14ac:dyDescent="0.25">
      <c r="A1545" s="4" t="s">
        <v>2656</v>
      </c>
      <c r="B1545" s="4" t="s">
        <v>13</v>
      </c>
      <c r="C1545" s="37" t="s">
        <v>2650</v>
      </c>
      <c r="D1545" s="35">
        <v>4197</v>
      </c>
      <c r="E1545" s="4" t="s">
        <v>2657</v>
      </c>
      <c r="F1545" s="5">
        <v>39342</v>
      </c>
      <c r="G1545" s="5">
        <v>39721</v>
      </c>
      <c r="H1545" s="4" t="s">
        <v>16</v>
      </c>
      <c r="I1545" s="6">
        <v>26433.98</v>
      </c>
      <c r="J1545" s="6">
        <v>5762</v>
      </c>
      <c r="K1545" s="37" t="s">
        <v>2650</v>
      </c>
      <c r="L1545" s="119"/>
      <c r="M1545" s="3"/>
    </row>
    <row r="1546" spans="1:13" s="4" customFormat="1" ht="25.5" x14ac:dyDescent="0.25">
      <c r="A1546" s="4" t="s">
        <v>2658</v>
      </c>
      <c r="B1546" s="4" t="s">
        <v>13</v>
      </c>
      <c r="C1546" s="37" t="s">
        <v>2650</v>
      </c>
      <c r="D1546" s="35">
        <v>4200</v>
      </c>
      <c r="E1546" s="4" t="s">
        <v>2659</v>
      </c>
      <c r="F1546" s="5">
        <v>39671</v>
      </c>
      <c r="G1546" s="5">
        <v>39805</v>
      </c>
      <c r="H1546" s="4" t="s">
        <v>16</v>
      </c>
      <c r="I1546" s="6">
        <v>5286</v>
      </c>
      <c r="J1546" s="6">
        <v>1314</v>
      </c>
      <c r="K1546" s="37" t="s">
        <v>2650</v>
      </c>
      <c r="L1546" s="119"/>
      <c r="M1546" s="3"/>
    </row>
    <row r="1547" spans="1:13" s="4" customFormat="1" x14ac:dyDescent="0.25">
      <c r="A1547" s="4" t="s">
        <v>2660</v>
      </c>
      <c r="B1547" s="4" t="s">
        <v>13</v>
      </c>
      <c r="C1547" s="37" t="s">
        <v>2650</v>
      </c>
      <c r="D1547" s="35">
        <v>4205</v>
      </c>
      <c r="E1547" s="4" t="s">
        <v>2661</v>
      </c>
      <c r="F1547" s="5">
        <v>39596</v>
      </c>
      <c r="G1547" s="5">
        <v>39990</v>
      </c>
      <c r="H1547" s="4" t="s">
        <v>16</v>
      </c>
      <c r="I1547" s="6">
        <v>23366.400000000001</v>
      </c>
      <c r="J1547" s="6">
        <v>7009.92</v>
      </c>
      <c r="K1547" s="37" t="s">
        <v>2650</v>
      </c>
      <c r="L1547" s="119"/>
      <c r="M1547" s="3"/>
    </row>
    <row r="1548" spans="1:13" s="4" customFormat="1" x14ac:dyDescent="0.25">
      <c r="A1548" s="4" t="s">
        <v>2662</v>
      </c>
      <c r="B1548" s="4" t="s">
        <v>13</v>
      </c>
      <c r="C1548" s="37" t="s">
        <v>2650</v>
      </c>
      <c r="D1548" s="35">
        <v>4207</v>
      </c>
      <c r="E1548" s="4" t="s">
        <v>2663</v>
      </c>
      <c r="F1548" s="5">
        <v>39972</v>
      </c>
      <c r="G1548" s="5">
        <v>40221</v>
      </c>
      <c r="H1548" s="4" t="s">
        <v>16</v>
      </c>
      <c r="I1548" s="6">
        <v>44203.44</v>
      </c>
      <c r="J1548" s="6">
        <v>13261.03</v>
      </c>
      <c r="K1548" s="37" t="s">
        <v>2650</v>
      </c>
      <c r="L1548" s="119"/>
      <c r="M1548" s="3"/>
    </row>
    <row r="1549" spans="1:13" s="4" customFormat="1" ht="25.5" x14ac:dyDescent="0.25">
      <c r="A1549" s="4" t="s">
        <v>2662</v>
      </c>
      <c r="B1549" s="4" t="s">
        <v>13</v>
      </c>
      <c r="C1549" s="37" t="s">
        <v>2650</v>
      </c>
      <c r="D1549" s="35">
        <v>4208</v>
      </c>
      <c r="E1549" s="4" t="s">
        <v>2664</v>
      </c>
      <c r="F1549" s="5">
        <v>39972</v>
      </c>
      <c r="G1549" s="5">
        <v>40221</v>
      </c>
      <c r="H1549" s="4" t="s">
        <v>16</v>
      </c>
      <c r="I1549" s="6">
        <v>7860.64</v>
      </c>
      <c r="J1549" s="6">
        <v>2343</v>
      </c>
      <c r="K1549" s="37" t="s">
        <v>2650</v>
      </c>
      <c r="L1549" s="119"/>
      <c r="M1549" s="3"/>
    </row>
    <row r="1550" spans="1:13" s="4" customFormat="1" ht="38.25" x14ac:dyDescent="0.25">
      <c r="A1550" s="4" t="s">
        <v>361</v>
      </c>
      <c r="B1550" s="4" t="s">
        <v>13</v>
      </c>
      <c r="C1550" s="37" t="s">
        <v>2650</v>
      </c>
      <c r="D1550" s="35">
        <v>4223</v>
      </c>
      <c r="E1550" s="4" t="s">
        <v>2665</v>
      </c>
      <c r="F1550" s="5">
        <v>39637</v>
      </c>
      <c r="G1550" s="5">
        <v>39752</v>
      </c>
      <c r="H1550" s="4" t="s">
        <v>16</v>
      </c>
      <c r="I1550" s="6">
        <v>7000</v>
      </c>
      <c r="J1550" s="8">
        <v>2800</v>
      </c>
      <c r="K1550" s="37" t="s">
        <v>2650</v>
      </c>
      <c r="L1550" s="119"/>
      <c r="M1550" s="3"/>
    </row>
    <row r="1551" spans="1:13" s="4" customFormat="1" ht="51" x14ac:dyDescent="0.25">
      <c r="A1551" s="4" t="s">
        <v>2666</v>
      </c>
      <c r="B1551" s="4" t="s">
        <v>13</v>
      </c>
      <c r="C1551" s="37" t="s">
        <v>2650</v>
      </c>
      <c r="D1551" s="35">
        <v>4224</v>
      </c>
      <c r="E1551" s="4" t="s">
        <v>2667</v>
      </c>
      <c r="F1551" s="5">
        <v>39399</v>
      </c>
      <c r="G1551" s="5">
        <v>39933</v>
      </c>
      <c r="H1551" s="4" t="s">
        <v>16</v>
      </c>
      <c r="I1551" s="6">
        <v>184524.77</v>
      </c>
      <c r="J1551" s="6">
        <v>55357.43</v>
      </c>
      <c r="K1551" s="37" t="s">
        <v>2650</v>
      </c>
      <c r="L1551" s="119"/>
      <c r="M1551" s="3"/>
    </row>
    <row r="1552" spans="1:13" s="4" customFormat="1" x14ac:dyDescent="0.25">
      <c r="A1552" s="4" t="s">
        <v>2668</v>
      </c>
      <c r="B1552" s="4" t="s">
        <v>13</v>
      </c>
      <c r="C1552" s="37" t="s">
        <v>2650</v>
      </c>
      <c r="D1552" s="35">
        <v>9484</v>
      </c>
      <c r="E1552" s="4" t="s">
        <v>2669</v>
      </c>
      <c r="F1552" s="5">
        <v>39783</v>
      </c>
      <c r="G1552" s="5">
        <v>40087</v>
      </c>
      <c r="H1552" s="4" t="s">
        <v>16</v>
      </c>
      <c r="I1552" s="6">
        <v>30978</v>
      </c>
      <c r="J1552" s="6">
        <v>7779</v>
      </c>
      <c r="K1552" s="37" t="s">
        <v>2650</v>
      </c>
      <c r="L1552" s="119"/>
      <c r="M1552" s="3"/>
    </row>
    <row r="1553" spans="1:13" s="4" customFormat="1" ht="25.5" x14ac:dyDescent="0.25">
      <c r="A1553" s="4" t="s">
        <v>2670</v>
      </c>
      <c r="B1553" s="4" t="s">
        <v>13</v>
      </c>
      <c r="C1553" s="37" t="s">
        <v>2650</v>
      </c>
      <c r="D1553" s="35">
        <v>9521</v>
      </c>
      <c r="E1553" s="4" t="s">
        <v>2671</v>
      </c>
      <c r="F1553" s="5">
        <v>39847</v>
      </c>
      <c r="G1553" s="5">
        <v>40053</v>
      </c>
      <c r="H1553" s="4" t="s">
        <v>16</v>
      </c>
      <c r="I1553" s="6">
        <v>10060</v>
      </c>
      <c r="J1553" s="6">
        <v>3018</v>
      </c>
      <c r="K1553" s="37" t="s">
        <v>2650</v>
      </c>
      <c r="L1553" s="119"/>
      <c r="M1553" s="3"/>
    </row>
    <row r="1554" spans="1:13" s="4" customFormat="1" x14ac:dyDescent="0.25">
      <c r="A1554" s="4" t="s">
        <v>2672</v>
      </c>
      <c r="B1554" s="4" t="s">
        <v>13</v>
      </c>
      <c r="C1554" s="37" t="s">
        <v>2650</v>
      </c>
      <c r="D1554" s="35">
        <v>9963</v>
      </c>
      <c r="E1554" s="4" t="s">
        <v>2673</v>
      </c>
      <c r="F1554" s="5">
        <v>40486</v>
      </c>
      <c r="G1554" s="5">
        <v>40598</v>
      </c>
      <c r="H1554" s="4" t="s">
        <v>16</v>
      </c>
      <c r="I1554" s="6">
        <v>15500</v>
      </c>
      <c r="J1554" s="6">
        <v>3398.4</v>
      </c>
      <c r="K1554" s="37" t="s">
        <v>2650</v>
      </c>
      <c r="L1554" s="119"/>
    </row>
    <row r="1555" spans="1:13" s="4" customFormat="1" ht="51" x14ac:dyDescent="0.25">
      <c r="A1555" s="4" t="s">
        <v>2674</v>
      </c>
      <c r="B1555" s="4" t="s">
        <v>13</v>
      </c>
      <c r="C1555" s="37" t="s">
        <v>2650</v>
      </c>
      <c r="D1555" s="35">
        <v>10005</v>
      </c>
      <c r="E1555" s="4" t="s">
        <v>2675</v>
      </c>
      <c r="F1555" s="5">
        <v>40353</v>
      </c>
      <c r="G1555" s="5">
        <v>40626</v>
      </c>
      <c r="H1555" s="4" t="s">
        <v>16</v>
      </c>
      <c r="I1555" s="6">
        <v>27758.799999999999</v>
      </c>
      <c r="J1555" s="6">
        <v>11103.52</v>
      </c>
      <c r="K1555" s="37" t="s">
        <v>2650</v>
      </c>
      <c r="L1555" s="119"/>
      <c r="M1555" s="3"/>
    </row>
    <row r="1556" spans="1:13" s="4" customFormat="1" ht="25.5" x14ac:dyDescent="0.25">
      <c r="A1556" s="4" t="s">
        <v>2676</v>
      </c>
      <c r="B1556" s="4" t="s">
        <v>13</v>
      </c>
      <c r="C1556" s="37" t="s">
        <v>2650</v>
      </c>
      <c r="D1556" s="35">
        <v>4397</v>
      </c>
      <c r="E1556" s="4" t="s">
        <v>2677</v>
      </c>
      <c r="F1556" s="5">
        <v>39400</v>
      </c>
      <c r="G1556" s="5">
        <v>40163</v>
      </c>
      <c r="H1556" s="4" t="s">
        <v>2039</v>
      </c>
      <c r="I1556" s="6">
        <v>76217.259999999995</v>
      </c>
      <c r="J1556" s="6">
        <v>76217.259999999995</v>
      </c>
      <c r="K1556" s="37" t="s">
        <v>2650</v>
      </c>
      <c r="L1556" s="119"/>
      <c r="M1556" s="3"/>
    </row>
    <row r="1557" spans="1:13" s="4" customFormat="1" ht="25.5" x14ac:dyDescent="0.25">
      <c r="A1557" s="4" t="s">
        <v>2678</v>
      </c>
      <c r="B1557" s="4" t="s">
        <v>13</v>
      </c>
      <c r="C1557" s="37" t="s">
        <v>2650</v>
      </c>
      <c r="D1557" s="35">
        <v>4398</v>
      </c>
      <c r="E1557" s="4" t="s">
        <v>2678</v>
      </c>
      <c r="F1557" s="5">
        <v>39580</v>
      </c>
      <c r="G1557" s="5">
        <v>40158</v>
      </c>
      <c r="H1557" s="4" t="s">
        <v>2039</v>
      </c>
      <c r="I1557" s="6">
        <v>58638.91</v>
      </c>
      <c r="J1557" s="6">
        <v>58638.91</v>
      </c>
      <c r="K1557" s="37" t="s">
        <v>2650</v>
      </c>
      <c r="L1557" s="119"/>
      <c r="M1557" s="3"/>
    </row>
    <row r="1558" spans="1:13" s="4" customFormat="1" ht="25.5" x14ac:dyDescent="0.25">
      <c r="A1558" s="4" t="s">
        <v>2679</v>
      </c>
      <c r="B1558" s="4" t="s">
        <v>13</v>
      </c>
      <c r="C1558" s="37" t="s">
        <v>2650</v>
      </c>
      <c r="D1558" s="35">
        <v>4402</v>
      </c>
      <c r="E1558" s="4" t="s">
        <v>2680</v>
      </c>
      <c r="F1558" s="5">
        <v>39264</v>
      </c>
      <c r="G1558" s="5">
        <v>39782</v>
      </c>
      <c r="H1558" s="4" t="s">
        <v>2039</v>
      </c>
      <c r="I1558" s="6">
        <v>76096.850000000006</v>
      </c>
      <c r="J1558" s="6">
        <v>76096.850000000006</v>
      </c>
      <c r="K1558" s="37" t="s">
        <v>2650</v>
      </c>
      <c r="L1558" s="119"/>
      <c r="M1558" s="3"/>
    </row>
    <row r="1559" spans="1:13" s="4" customFormat="1" ht="25.5" x14ac:dyDescent="0.25">
      <c r="A1559" s="4" t="s">
        <v>2681</v>
      </c>
      <c r="B1559" s="4" t="s">
        <v>13</v>
      </c>
      <c r="C1559" s="37" t="s">
        <v>2650</v>
      </c>
      <c r="D1559" s="35">
        <v>4406</v>
      </c>
      <c r="E1559" s="4" t="s">
        <v>2682</v>
      </c>
      <c r="F1559" s="5">
        <v>39448</v>
      </c>
      <c r="G1559" s="5">
        <v>39994</v>
      </c>
      <c r="H1559" s="4" t="s">
        <v>2039</v>
      </c>
      <c r="I1559" s="6">
        <v>84180.69</v>
      </c>
      <c r="J1559" s="6">
        <v>84180.69</v>
      </c>
      <c r="K1559" s="37" t="s">
        <v>2650</v>
      </c>
      <c r="L1559" s="119"/>
      <c r="M1559" s="3"/>
    </row>
    <row r="1560" spans="1:13" s="4" customFormat="1" ht="25.5" x14ac:dyDescent="0.25">
      <c r="A1560" s="4" t="s">
        <v>2683</v>
      </c>
      <c r="B1560" s="4" t="s">
        <v>13</v>
      </c>
      <c r="C1560" s="37" t="s">
        <v>2650</v>
      </c>
      <c r="D1560" s="35">
        <v>4417</v>
      </c>
      <c r="E1560" s="4" t="s">
        <v>2684</v>
      </c>
      <c r="F1560" s="5">
        <v>39783</v>
      </c>
      <c r="G1560" s="5">
        <v>40147</v>
      </c>
      <c r="H1560" s="4" t="s">
        <v>2039</v>
      </c>
      <c r="I1560" s="6">
        <v>134790</v>
      </c>
      <c r="J1560" s="6">
        <v>134790</v>
      </c>
      <c r="K1560" s="37" t="s">
        <v>2650</v>
      </c>
      <c r="L1560" s="119"/>
      <c r="M1560" s="3"/>
    </row>
    <row r="1561" spans="1:13" s="4" customFormat="1" ht="25.5" x14ac:dyDescent="0.25">
      <c r="A1561" s="4" t="s">
        <v>2685</v>
      </c>
      <c r="B1561" s="4" t="s">
        <v>13</v>
      </c>
      <c r="C1561" s="37" t="s">
        <v>2650</v>
      </c>
      <c r="D1561" s="35">
        <v>4419</v>
      </c>
      <c r="E1561" s="4" t="s">
        <v>2686</v>
      </c>
      <c r="F1561" s="5">
        <v>39569</v>
      </c>
      <c r="G1561" s="5">
        <v>40025</v>
      </c>
      <c r="H1561" s="4" t="s">
        <v>2039</v>
      </c>
      <c r="I1561" s="6">
        <v>77540</v>
      </c>
      <c r="J1561" s="6">
        <v>77540</v>
      </c>
      <c r="K1561" s="37" t="s">
        <v>2650</v>
      </c>
      <c r="L1561" s="119"/>
      <c r="M1561" s="3"/>
    </row>
    <row r="1562" spans="1:13" s="4" customFormat="1" ht="25.5" x14ac:dyDescent="0.25">
      <c r="A1562" s="4" t="s">
        <v>2687</v>
      </c>
      <c r="B1562" s="4" t="s">
        <v>13</v>
      </c>
      <c r="C1562" s="37" t="s">
        <v>2650</v>
      </c>
      <c r="D1562" s="35">
        <v>4533</v>
      </c>
      <c r="E1562" s="4" t="s">
        <v>2688</v>
      </c>
      <c r="F1562" s="5">
        <v>39904</v>
      </c>
      <c r="G1562" s="5">
        <v>40999</v>
      </c>
      <c r="H1562" s="4" t="s">
        <v>2039</v>
      </c>
      <c r="I1562" s="6">
        <f>235566.04+13299.66</f>
        <v>248865.7</v>
      </c>
      <c r="J1562" s="6">
        <f>235566.04+13299.66</f>
        <v>248865.7</v>
      </c>
      <c r="K1562" s="37" t="s">
        <v>2650</v>
      </c>
      <c r="L1562" s="119"/>
      <c r="M1562" s="3"/>
    </row>
    <row r="1563" spans="1:13" s="4" customFormat="1" ht="25.5" x14ac:dyDescent="0.25">
      <c r="A1563" s="4" t="s">
        <v>2689</v>
      </c>
      <c r="B1563" s="4" t="s">
        <v>13</v>
      </c>
      <c r="C1563" s="37" t="s">
        <v>2650</v>
      </c>
      <c r="D1563" s="35">
        <v>4535</v>
      </c>
      <c r="E1563" s="4" t="s">
        <v>2690</v>
      </c>
      <c r="F1563" s="5">
        <v>39981</v>
      </c>
      <c r="G1563" s="5">
        <v>40441</v>
      </c>
      <c r="H1563" s="4" t="s">
        <v>2039</v>
      </c>
      <c r="I1563" s="6">
        <v>65744.160000000003</v>
      </c>
      <c r="J1563" s="6">
        <v>65744.160000000003</v>
      </c>
      <c r="K1563" s="37" t="s">
        <v>2650</v>
      </c>
      <c r="L1563" s="119"/>
      <c r="M1563" s="3"/>
    </row>
    <row r="1564" spans="1:13" s="4" customFormat="1" ht="38.25" x14ac:dyDescent="0.25">
      <c r="A1564" s="4" t="s">
        <v>2691</v>
      </c>
      <c r="B1564" s="4" t="s">
        <v>13</v>
      </c>
      <c r="C1564" s="37" t="s">
        <v>2650</v>
      </c>
      <c r="D1564" s="35">
        <v>4537</v>
      </c>
      <c r="E1564" s="4" t="s">
        <v>2692</v>
      </c>
      <c r="F1564" s="5">
        <v>39904</v>
      </c>
      <c r="G1564" s="5">
        <v>40359</v>
      </c>
      <c r="H1564" s="4" t="s">
        <v>2039</v>
      </c>
      <c r="I1564" s="6">
        <v>34117.589999999997</v>
      </c>
      <c r="J1564" s="6">
        <v>34117.589999999997</v>
      </c>
      <c r="K1564" s="37" t="s">
        <v>2650</v>
      </c>
      <c r="L1564" s="119"/>
      <c r="M1564" s="3"/>
    </row>
    <row r="1565" spans="1:13" s="4" customFormat="1" ht="38.25" x14ac:dyDescent="0.25">
      <c r="A1565" s="4" t="s">
        <v>2693</v>
      </c>
      <c r="B1565" s="4" t="s">
        <v>13</v>
      </c>
      <c r="C1565" s="37" t="s">
        <v>2650</v>
      </c>
      <c r="D1565" s="35">
        <v>4543</v>
      </c>
      <c r="E1565" s="4" t="s">
        <v>2694</v>
      </c>
      <c r="F1565" s="5">
        <v>40025</v>
      </c>
      <c r="G1565" s="5">
        <v>40405</v>
      </c>
      <c r="H1565" s="4" t="s">
        <v>2039</v>
      </c>
      <c r="I1565" s="6">
        <v>67761.899999999994</v>
      </c>
      <c r="J1565" s="6">
        <v>67761.899999999994</v>
      </c>
      <c r="K1565" s="37" t="s">
        <v>2650</v>
      </c>
      <c r="L1565" s="119"/>
      <c r="M1565" s="3"/>
    </row>
    <row r="1566" spans="1:13" s="4" customFormat="1" ht="25.5" x14ac:dyDescent="0.25">
      <c r="A1566" s="4" t="s">
        <v>2695</v>
      </c>
      <c r="B1566" s="4" t="s">
        <v>13</v>
      </c>
      <c r="C1566" s="37" t="s">
        <v>2650</v>
      </c>
      <c r="D1566" s="35">
        <v>4574</v>
      </c>
      <c r="E1566" s="4" t="s">
        <v>2696</v>
      </c>
      <c r="F1566" s="5">
        <v>40057</v>
      </c>
      <c r="G1566" s="5">
        <v>41152</v>
      </c>
      <c r="H1566" s="4" t="s">
        <v>2039</v>
      </c>
      <c r="I1566" s="6">
        <f>121360.45+36934.82</f>
        <v>158295.26999999999</v>
      </c>
      <c r="J1566" s="6">
        <f>121360.45+36934.82</f>
        <v>158295.26999999999</v>
      </c>
      <c r="K1566" s="37" t="s">
        <v>2650</v>
      </c>
      <c r="L1566" s="119"/>
      <c r="M1566" s="3"/>
    </row>
    <row r="1567" spans="1:13" s="4" customFormat="1" ht="25.5" x14ac:dyDescent="0.25">
      <c r="A1567" s="4" t="s">
        <v>2697</v>
      </c>
      <c r="B1567" s="4" t="s">
        <v>13</v>
      </c>
      <c r="C1567" s="37" t="s">
        <v>2650</v>
      </c>
      <c r="D1567" s="35">
        <v>4575</v>
      </c>
      <c r="E1567" s="4" t="s">
        <v>2698</v>
      </c>
      <c r="F1567" s="5">
        <v>40057</v>
      </c>
      <c r="G1567" s="5">
        <v>40298</v>
      </c>
      <c r="H1567" s="4" t="s">
        <v>2039</v>
      </c>
      <c r="I1567" s="6">
        <v>54343.07</v>
      </c>
      <c r="J1567" s="6">
        <v>54343.07</v>
      </c>
      <c r="K1567" s="37" t="s">
        <v>2650</v>
      </c>
      <c r="L1567" s="119"/>
      <c r="M1567" s="3"/>
    </row>
    <row r="1568" spans="1:13" s="4" customFormat="1" ht="38.25" x14ac:dyDescent="0.25">
      <c r="A1568" s="4" t="s">
        <v>2699</v>
      </c>
      <c r="B1568" s="4" t="s">
        <v>13</v>
      </c>
      <c r="C1568" s="37" t="s">
        <v>2650</v>
      </c>
      <c r="D1568" s="35">
        <v>4576</v>
      </c>
      <c r="E1568" s="4" t="s">
        <v>2700</v>
      </c>
      <c r="F1568" s="5">
        <v>40086</v>
      </c>
      <c r="G1568" s="5">
        <v>40451</v>
      </c>
      <c r="H1568" s="4" t="s">
        <v>2039</v>
      </c>
      <c r="I1568" s="6">
        <v>68692.33</v>
      </c>
      <c r="J1568" s="6">
        <v>68692.33</v>
      </c>
      <c r="K1568" s="37" t="s">
        <v>2650</v>
      </c>
      <c r="L1568" s="119"/>
      <c r="M1568" s="3"/>
    </row>
    <row r="1569" spans="1:13" s="4" customFormat="1" ht="25.5" x14ac:dyDescent="0.25">
      <c r="A1569" s="4" t="s">
        <v>2701</v>
      </c>
      <c r="B1569" s="4" t="s">
        <v>13</v>
      </c>
      <c r="C1569" s="37" t="s">
        <v>2650</v>
      </c>
      <c r="D1569" s="35">
        <v>4577</v>
      </c>
      <c r="E1569" s="4" t="s">
        <v>2702</v>
      </c>
      <c r="F1569" s="5">
        <v>40117</v>
      </c>
      <c r="G1569" s="5">
        <v>40512</v>
      </c>
      <c r="H1569" s="4" t="s">
        <v>2039</v>
      </c>
      <c r="I1569" s="6">
        <v>59036.56</v>
      </c>
      <c r="J1569" s="6">
        <v>59036.56</v>
      </c>
      <c r="K1569" s="37" t="s">
        <v>2650</v>
      </c>
      <c r="L1569" s="119"/>
      <c r="M1569" s="3"/>
    </row>
    <row r="1570" spans="1:13" s="4" customFormat="1" ht="25.5" x14ac:dyDescent="0.25">
      <c r="A1570" s="4" t="s">
        <v>2703</v>
      </c>
      <c r="B1570" s="4" t="s">
        <v>13</v>
      </c>
      <c r="C1570" s="37" t="s">
        <v>2650</v>
      </c>
      <c r="D1570" s="35">
        <v>4578</v>
      </c>
      <c r="E1570" s="4" t="s">
        <v>2704</v>
      </c>
      <c r="F1570" s="5">
        <v>39540</v>
      </c>
      <c r="G1570" s="5">
        <v>40633</v>
      </c>
      <c r="H1570" s="4" t="s">
        <v>2039</v>
      </c>
      <c r="I1570" s="6">
        <v>316837.15999999997</v>
      </c>
      <c r="J1570" s="6">
        <v>316837.15999999997</v>
      </c>
      <c r="K1570" s="37" t="s">
        <v>2650</v>
      </c>
      <c r="L1570" s="119"/>
      <c r="M1570" s="3"/>
    </row>
    <row r="1571" spans="1:13" s="4" customFormat="1" ht="38.25" x14ac:dyDescent="0.25">
      <c r="A1571" s="4" t="s">
        <v>2705</v>
      </c>
      <c r="B1571" s="4" t="s">
        <v>13</v>
      </c>
      <c r="C1571" s="37" t="s">
        <v>2650</v>
      </c>
      <c r="D1571" s="35">
        <v>4579</v>
      </c>
      <c r="E1571" s="4" t="s">
        <v>2706</v>
      </c>
      <c r="F1571" s="5">
        <v>39721</v>
      </c>
      <c r="G1571" s="5">
        <v>40120</v>
      </c>
      <c r="H1571" s="4" t="s">
        <v>2039</v>
      </c>
      <c r="I1571" s="6">
        <v>98800.13</v>
      </c>
      <c r="J1571" s="6">
        <v>98800.13</v>
      </c>
      <c r="K1571" s="37" t="s">
        <v>2650</v>
      </c>
      <c r="L1571" s="119"/>
      <c r="M1571" s="3"/>
    </row>
    <row r="1572" spans="1:13" s="4" customFormat="1" ht="25.5" x14ac:dyDescent="0.25">
      <c r="A1572" s="4" t="s">
        <v>2707</v>
      </c>
      <c r="B1572" s="4" t="s">
        <v>13</v>
      </c>
      <c r="C1572" s="37" t="s">
        <v>2650</v>
      </c>
      <c r="D1572" s="35">
        <v>4580</v>
      </c>
      <c r="E1572" s="4" t="s">
        <v>2708</v>
      </c>
      <c r="F1572" s="5">
        <v>39479</v>
      </c>
      <c r="G1572" s="5">
        <v>40574</v>
      </c>
      <c r="H1572" s="4" t="s">
        <v>2039</v>
      </c>
      <c r="I1572" s="6">
        <v>301959.25</v>
      </c>
      <c r="J1572" s="6">
        <v>301959.25</v>
      </c>
      <c r="K1572" s="37" t="s">
        <v>2650</v>
      </c>
      <c r="L1572" s="119"/>
      <c r="M1572" s="3"/>
    </row>
    <row r="1573" spans="1:13" s="4" customFormat="1" ht="25.5" x14ac:dyDescent="0.25">
      <c r="A1573" s="4" t="s">
        <v>2709</v>
      </c>
      <c r="B1573" s="4" t="s">
        <v>13</v>
      </c>
      <c r="C1573" s="37" t="s">
        <v>2650</v>
      </c>
      <c r="D1573" s="35">
        <v>4581</v>
      </c>
      <c r="E1573" s="4" t="s">
        <v>2710</v>
      </c>
      <c r="F1573" s="5">
        <v>39722</v>
      </c>
      <c r="G1573" s="5">
        <v>40162</v>
      </c>
      <c r="H1573" s="4" t="s">
        <v>2039</v>
      </c>
      <c r="I1573" s="6">
        <v>73758.820000000007</v>
      </c>
      <c r="J1573" s="6">
        <v>73758.820000000007</v>
      </c>
      <c r="K1573" s="37" t="s">
        <v>2650</v>
      </c>
      <c r="L1573" s="119"/>
      <c r="M1573" s="3"/>
    </row>
    <row r="1574" spans="1:13" s="4" customFormat="1" ht="38.25" x14ac:dyDescent="0.25">
      <c r="A1574" s="4" t="s">
        <v>2711</v>
      </c>
      <c r="B1574" s="4" t="s">
        <v>13</v>
      </c>
      <c r="C1574" s="37" t="s">
        <v>2650</v>
      </c>
      <c r="D1574" s="35">
        <v>4583</v>
      </c>
      <c r="E1574" s="4" t="s">
        <v>2712</v>
      </c>
      <c r="F1574" s="5">
        <v>39722</v>
      </c>
      <c r="G1574" s="5">
        <v>40172</v>
      </c>
      <c r="H1574" s="4" t="s">
        <v>2039</v>
      </c>
      <c r="I1574" s="6">
        <v>68531.87</v>
      </c>
      <c r="J1574" s="6">
        <v>68531.87</v>
      </c>
      <c r="K1574" s="37" t="s">
        <v>2650</v>
      </c>
      <c r="L1574" s="119"/>
      <c r="M1574" s="3"/>
    </row>
    <row r="1575" spans="1:13" s="4" customFormat="1" ht="25.5" x14ac:dyDescent="0.25">
      <c r="A1575" s="4" t="s">
        <v>2713</v>
      </c>
      <c r="B1575" s="4" t="s">
        <v>13</v>
      </c>
      <c r="C1575" s="37" t="s">
        <v>2650</v>
      </c>
      <c r="D1575" s="35">
        <v>4584</v>
      </c>
      <c r="E1575" s="4" t="s">
        <v>2714</v>
      </c>
      <c r="F1575" s="5">
        <v>39800</v>
      </c>
      <c r="G1575" s="5">
        <v>40178</v>
      </c>
      <c r="H1575" s="4" t="s">
        <v>2039</v>
      </c>
      <c r="I1575" s="6">
        <v>93580.6</v>
      </c>
      <c r="J1575" s="6">
        <v>93580.6</v>
      </c>
      <c r="K1575" s="37" t="s">
        <v>2650</v>
      </c>
      <c r="L1575" s="119"/>
      <c r="M1575" s="3"/>
    </row>
    <row r="1576" spans="1:13" s="4" customFormat="1" ht="25.5" x14ac:dyDescent="0.25">
      <c r="A1576" s="4" t="s">
        <v>2715</v>
      </c>
      <c r="B1576" s="4" t="s">
        <v>13</v>
      </c>
      <c r="C1576" s="37" t="s">
        <v>2650</v>
      </c>
      <c r="D1576" s="35">
        <v>4585</v>
      </c>
      <c r="E1576" s="4" t="s">
        <v>2716</v>
      </c>
      <c r="F1576" s="5">
        <v>39782</v>
      </c>
      <c r="G1576" s="5">
        <v>40359</v>
      </c>
      <c r="H1576" s="4" t="s">
        <v>2039</v>
      </c>
      <c r="I1576" s="6">
        <v>40430.75</v>
      </c>
      <c r="J1576" s="6">
        <v>40430.75</v>
      </c>
      <c r="K1576" s="37" t="s">
        <v>2650</v>
      </c>
      <c r="L1576" s="119"/>
      <c r="M1576" s="3"/>
    </row>
    <row r="1577" spans="1:13" s="4" customFormat="1" ht="25.5" x14ac:dyDescent="0.25">
      <c r="A1577" s="4" t="s">
        <v>2717</v>
      </c>
      <c r="B1577" s="4" t="s">
        <v>13</v>
      </c>
      <c r="C1577" s="37" t="s">
        <v>2650</v>
      </c>
      <c r="D1577" s="35">
        <v>4587</v>
      </c>
      <c r="E1577" s="4" t="s">
        <v>2718</v>
      </c>
      <c r="F1577" s="5">
        <v>39783</v>
      </c>
      <c r="G1577" s="5">
        <v>40172</v>
      </c>
      <c r="H1577" s="4" t="s">
        <v>2039</v>
      </c>
      <c r="I1577" s="6">
        <v>73775.55</v>
      </c>
      <c r="J1577" s="6">
        <v>73775.55</v>
      </c>
      <c r="K1577" s="37" t="s">
        <v>2650</v>
      </c>
      <c r="L1577" s="119"/>
      <c r="M1577" s="3"/>
    </row>
    <row r="1578" spans="1:13" s="4" customFormat="1" ht="25.5" x14ac:dyDescent="0.25">
      <c r="A1578" s="4" t="s">
        <v>2719</v>
      </c>
      <c r="B1578" s="4" t="s">
        <v>13</v>
      </c>
      <c r="C1578" s="37" t="s">
        <v>2650</v>
      </c>
      <c r="D1578" s="35">
        <v>4588</v>
      </c>
      <c r="E1578" s="4" t="s">
        <v>2720</v>
      </c>
      <c r="F1578" s="5">
        <v>39722</v>
      </c>
      <c r="G1578" s="5">
        <v>40816</v>
      </c>
      <c r="H1578" s="4" t="s">
        <v>2039</v>
      </c>
      <c r="I1578" s="6">
        <v>302520.55</v>
      </c>
      <c r="J1578" s="6">
        <v>302520.55</v>
      </c>
      <c r="K1578" s="37" t="s">
        <v>2650</v>
      </c>
      <c r="L1578" s="119"/>
      <c r="M1578" s="3"/>
    </row>
    <row r="1579" spans="1:13" s="4" customFormat="1" ht="25.5" x14ac:dyDescent="0.25">
      <c r="A1579" s="4" t="s">
        <v>2721</v>
      </c>
      <c r="B1579" s="4" t="s">
        <v>13</v>
      </c>
      <c r="C1579" s="37" t="s">
        <v>2650</v>
      </c>
      <c r="D1579" s="35">
        <v>4589</v>
      </c>
      <c r="E1579" s="4" t="s">
        <v>2722</v>
      </c>
      <c r="F1579" s="5">
        <v>39755</v>
      </c>
      <c r="G1579" s="5">
        <v>40119</v>
      </c>
      <c r="H1579" s="4" t="s">
        <v>2039</v>
      </c>
      <c r="I1579" s="6">
        <v>78345.88</v>
      </c>
      <c r="J1579" s="6">
        <v>78345.88</v>
      </c>
      <c r="K1579" s="37" t="s">
        <v>2650</v>
      </c>
      <c r="L1579" s="119"/>
      <c r="M1579" s="3"/>
    </row>
    <row r="1580" spans="1:13" s="4" customFormat="1" ht="25.5" x14ac:dyDescent="0.25">
      <c r="A1580" s="4" t="s">
        <v>2723</v>
      </c>
      <c r="B1580" s="4" t="s">
        <v>13</v>
      </c>
      <c r="C1580" s="37" t="s">
        <v>2650</v>
      </c>
      <c r="D1580" s="35">
        <v>4590</v>
      </c>
      <c r="E1580" s="4" t="s">
        <v>2724</v>
      </c>
      <c r="F1580" s="5">
        <v>39813</v>
      </c>
      <c r="G1580" s="5">
        <v>40637</v>
      </c>
      <c r="H1580" s="4" t="s">
        <v>2039</v>
      </c>
      <c r="I1580" s="6">
        <v>171408.31</v>
      </c>
      <c r="J1580" s="6">
        <v>171408.31</v>
      </c>
      <c r="K1580" s="37" t="s">
        <v>2650</v>
      </c>
      <c r="L1580" s="119"/>
      <c r="M1580" s="3"/>
    </row>
    <row r="1581" spans="1:13" s="4" customFormat="1" ht="38.25" x14ac:dyDescent="0.25">
      <c r="A1581" s="4" t="s">
        <v>2725</v>
      </c>
      <c r="B1581" s="4" t="s">
        <v>13</v>
      </c>
      <c r="C1581" s="37" t="s">
        <v>2650</v>
      </c>
      <c r="D1581" s="35">
        <v>4591</v>
      </c>
      <c r="E1581" s="4" t="s">
        <v>2726</v>
      </c>
      <c r="F1581" s="5">
        <v>39727</v>
      </c>
      <c r="G1581" s="5">
        <v>40150</v>
      </c>
      <c r="H1581" s="4" t="s">
        <v>2039</v>
      </c>
      <c r="I1581" s="6">
        <v>54287.040000000001</v>
      </c>
      <c r="J1581" s="6">
        <v>54287.040000000001</v>
      </c>
      <c r="K1581" s="37" t="s">
        <v>2650</v>
      </c>
      <c r="L1581" s="119"/>
      <c r="M1581" s="3"/>
    </row>
    <row r="1582" spans="1:13" s="4" customFormat="1" ht="38.25" x14ac:dyDescent="0.25">
      <c r="A1582" s="4" t="s">
        <v>2727</v>
      </c>
      <c r="B1582" s="4" t="s">
        <v>13</v>
      </c>
      <c r="C1582" s="37" t="s">
        <v>2650</v>
      </c>
      <c r="D1582" s="35">
        <v>4592</v>
      </c>
      <c r="E1582" s="4" t="s">
        <v>2728</v>
      </c>
      <c r="F1582" s="5">
        <v>39814</v>
      </c>
      <c r="G1582" s="5">
        <v>40178</v>
      </c>
      <c r="H1582" s="4" t="s">
        <v>2039</v>
      </c>
      <c r="I1582" s="6">
        <v>89028.77</v>
      </c>
      <c r="J1582" s="6">
        <v>89028.77</v>
      </c>
      <c r="K1582" s="37" t="s">
        <v>2650</v>
      </c>
      <c r="L1582" s="119"/>
      <c r="M1582" s="3"/>
    </row>
    <row r="1583" spans="1:13" s="4" customFormat="1" ht="25.5" x14ac:dyDescent="0.25">
      <c r="A1583" s="4" t="s">
        <v>2729</v>
      </c>
      <c r="B1583" s="4" t="s">
        <v>13</v>
      </c>
      <c r="C1583" s="37" t="s">
        <v>2650</v>
      </c>
      <c r="D1583" s="35">
        <v>4593</v>
      </c>
      <c r="E1583" s="4" t="s">
        <v>2730</v>
      </c>
      <c r="F1583" s="5">
        <v>39814</v>
      </c>
      <c r="G1583" s="5">
        <v>40908</v>
      </c>
      <c r="H1583" s="4" t="s">
        <v>2039</v>
      </c>
      <c r="I1583" s="6">
        <f>254669.56+7260</f>
        <v>261929.56</v>
      </c>
      <c r="J1583" s="6">
        <f>254669.56+7260</f>
        <v>261929.56</v>
      </c>
      <c r="K1583" s="37" t="s">
        <v>2650</v>
      </c>
      <c r="L1583" s="119"/>
      <c r="M1583" s="3"/>
    </row>
    <row r="1584" spans="1:13" s="4" customFormat="1" ht="25.5" x14ac:dyDescent="0.25">
      <c r="A1584" s="4" t="s">
        <v>2731</v>
      </c>
      <c r="B1584" s="4" t="s">
        <v>13</v>
      </c>
      <c r="C1584" s="37" t="s">
        <v>2650</v>
      </c>
      <c r="D1584" s="35">
        <v>4594</v>
      </c>
      <c r="E1584" s="4" t="s">
        <v>2732</v>
      </c>
      <c r="F1584" s="5">
        <v>39845</v>
      </c>
      <c r="G1584" s="5">
        <v>40939</v>
      </c>
      <c r="H1584" s="4" t="s">
        <v>2039</v>
      </c>
      <c r="I1584" s="6">
        <f>221100.4+29877.81</f>
        <v>250978.21</v>
      </c>
      <c r="J1584" s="6">
        <f>221100.4+29877.81</f>
        <v>250978.21</v>
      </c>
      <c r="K1584" s="37" t="s">
        <v>2650</v>
      </c>
      <c r="L1584" s="119"/>
      <c r="M1584" s="3"/>
    </row>
    <row r="1585" spans="1:13" s="4" customFormat="1" ht="25.5" x14ac:dyDescent="0.25">
      <c r="A1585" s="4" t="s">
        <v>2733</v>
      </c>
      <c r="B1585" s="4" t="s">
        <v>13</v>
      </c>
      <c r="C1585" s="37" t="s">
        <v>2650</v>
      </c>
      <c r="D1585" s="35">
        <v>4595</v>
      </c>
      <c r="E1585" s="4" t="s">
        <v>2734</v>
      </c>
      <c r="F1585" s="5">
        <v>39814</v>
      </c>
      <c r="G1585" s="5">
        <v>40178</v>
      </c>
      <c r="H1585" s="4" t="s">
        <v>2039</v>
      </c>
      <c r="I1585" s="6">
        <v>37016.85</v>
      </c>
      <c r="J1585" s="6">
        <v>37016.85</v>
      </c>
      <c r="K1585" s="37" t="s">
        <v>2650</v>
      </c>
      <c r="L1585" s="119"/>
      <c r="M1585" s="3"/>
    </row>
    <row r="1586" spans="1:13" s="4" customFormat="1" ht="25.5" x14ac:dyDescent="0.25">
      <c r="A1586" s="4" t="s">
        <v>2735</v>
      </c>
      <c r="B1586" s="4" t="s">
        <v>13</v>
      </c>
      <c r="C1586" s="37" t="s">
        <v>2650</v>
      </c>
      <c r="D1586" s="35">
        <v>4596</v>
      </c>
      <c r="E1586" s="4" t="s">
        <v>2736</v>
      </c>
      <c r="F1586" s="5">
        <v>39840</v>
      </c>
      <c r="G1586" s="5">
        <v>40209</v>
      </c>
      <c r="H1586" s="4" t="s">
        <v>2039</v>
      </c>
      <c r="I1586" s="6">
        <v>50294.32</v>
      </c>
      <c r="J1586" s="6">
        <v>50294.32</v>
      </c>
      <c r="K1586" s="37" t="s">
        <v>2650</v>
      </c>
      <c r="L1586" s="119"/>
      <c r="M1586" s="3"/>
    </row>
    <row r="1587" spans="1:13" s="4" customFormat="1" ht="38.25" x14ac:dyDescent="0.25">
      <c r="A1587" s="4" t="s">
        <v>2737</v>
      </c>
      <c r="B1587" s="4" t="s">
        <v>13</v>
      </c>
      <c r="C1587" s="37" t="s">
        <v>2650</v>
      </c>
      <c r="D1587" s="35">
        <v>4597</v>
      </c>
      <c r="E1587" s="4" t="s">
        <v>2738</v>
      </c>
      <c r="F1587" s="5">
        <v>39295</v>
      </c>
      <c r="G1587" s="5">
        <v>40390</v>
      </c>
      <c r="H1587" s="4" t="s">
        <v>2039</v>
      </c>
      <c r="I1587" s="6">
        <f>301093.24-1853.48</f>
        <v>299239.76</v>
      </c>
      <c r="J1587" s="6">
        <f>301093.24-1853.48</f>
        <v>299239.76</v>
      </c>
      <c r="K1587" s="37" t="s">
        <v>2650</v>
      </c>
      <c r="L1587" s="119"/>
      <c r="M1587" s="3"/>
    </row>
    <row r="1588" spans="1:13" s="4" customFormat="1" ht="25.5" x14ac:dyDescent="0.25">
      <c r="A1588" s="4" t="s">
        <v>2739</v>
      </c>
      <c r="B1588" s="4" t="s">
        <v>13</v>
      </c>
      <c r="C1588" s="37" t="s">
        <v>2650</v>
      </c>
      <c r="D1588" s="35">
        <v>4598</v>
      </c>
      <c r="E1588" s="4" t="s">
        <v>2740</v>
      </c>
      <c r="F1588" s="5">
        <v>39356</v>
      </c>
      <c r="G1588" s="5">
        <v>40451</v>
      </c>
      <c r="H1588" s="4" t="s">
        <v>2039</v>
      </c>
      <c r="I1588" s="6">
        <v>281055.19</v>
      </c>
      <c r="J1588" s="6">
        <v>281055.19</v>
      </c>
      <c r="K1588" s="37" t="s">
        <v>2650</v>
      </c>
      <c r="L1588" s="119"/>
      <c r="M1588" s="3"/>
    </row>
    <row r="1589" spans="1:13" s="4" customFormat="1" ht="25.5" x14ac:dyDescent="0.25">
      <c r="A1589" s="4" t="s">
        <v>2741</v>
      </c>
      <c r="B1589" s="4" t="s">
        <v>13</v>
      </c>
      <c r="C1589" s="37" t="s">
        <v>2650</v>
      </c>
      <c r="D1589" s="35">
        <v>4599</v>
      </c>
      <c r="E1589" s="4" t="s">
        <v>2742</v>
      </c>
      <c r="F1589" s="5">
        <v>39417</v>
      </c>
      <c r="G1589" s="5">
        <v>40071</v>
      </c>
      <c r="H1589" s="4" t="s">
        <v>2039</v>
      </c>
      <c r="I1589" s="6">
        <v>72049.52</v>
      </c>
      <c r="J1589" s="6">
        <v>72049.52</v>
      </c>
      <c r="K1589" s="37" t="s">
        <v>2650</v>
      </c>
      <c r="L1589" s="119"/>
      <c r="M1589" s="3"/>
    </row>
    <row r="1590" spans="1:13" s="4" customFormat="1" ht="25.5" x14ac:dyDescent="0.25">
      <c r="A1590" s="4" t="s">
        <v>2743</v>
      </c>
      <c r="B1590" s="4" t="s">
        <v>13</v>
      </c>
      <c r="C1590" s="37" t="s">
        <v>2650</v>
      </c>
      <c r="D1590" s="35">
        <v>4600</v>
      </c>
      <c r="E1590" s="4" t="s">
        <v>2744</v>
      </c>
      <c r="F1590" s="5">
        <v>39224</v>
      </c>
      <c r="G1590" s="5">
        <v>40025</v>
      </c>
      <c r="H1590" s="4" t="s">
        <v>2039</v>
      </c>
      <c r="I1590" s="6">
        <v>49599.66</v>
      </c>
      <c r="J1590" s="6">
        <v>49599.66</v>
      </c>
      <c r="K1590" s="37" t="s">
        <v>2650</v>
      </c>
      <c r="L1590" s="119"/>
      <c r="M1590" s="3"/>
    </row>
    <row r="1591" spans="1:13" s="4" customFormat="1" ht="25.5" x14ac:dyDescent="0.25">
      <c r="A1591" s="4" t="s">
        <v>2745</v>
      </c>
      <c r="B1591" s="4" t="s">
        <v>13</v>
      </c>
      <c r="C1591" s="37" t="s">
        <v>2650</v>
      </c>
      <c r="D1591" s="35">
        <v>4601</v>
      </c>
      <c r="E1591" s="4" t="s">
        <v>2746</v>
      </c>
      <c r="F1591" s="5">
        <v>39224</v>
      </c>
      <c r="G1591" s="5">
        <v>40087</v>
      </c>
      <c r="H1591" s="4" t="s">
        <v>2039</v>
      </c>
      <c r="I1591" s="6">
        <v>63464.45</v>
      </c>
      <c r="J1591" s="6">
        <v>63464.45</v>
      </c>
      <c r="K1591" s="37" t="s">
        <v>2650</v>
      </c>
      <c r="L1591" s="119"/>
      <c r="M1591" s="3"/>
    </row>
    <row r="1592" spans="1:13" s="4" customFormat="1" ht="25.5" x14ac:dyDescent="0.25">
      <c r="A1592" s="4" t="s">
        <v>2747</v>
      </c>
      <c r="B1592" s="4" t="s">
        <v>13</v>
      </c>
      <c r="C1592" s="37" t="s">
        <v>2650</v>
      </c>
      <c r="D1592" s="35">
        <v>4602</v>
      </c>
      <c r="E1592" s="4" t="s">
        <v>2748</v>
      </c>
      <c r="F1592" s="5">
        <v>39338</v>
      </c>
      <c r="G1592" s="5">
        <v>40451</v>
      </c>
      <c r="H1592" s="4" t="s">
        <v>2039</v>
      </c>
      <c r="I1592" s="6">
        <v>250001.11</v>
      </c>
      <c r="J1592" s="6">
        <v>250001.11</v>
      </c>
      <c r="K1592" s="37" t="s">
        <v>2650</v>
      </c>
      <c r="L1592" s="119"/>
      <c r="M1592" s="3"/>
    </row>
    <row r="1593" spans="1:13" s="4" customFormat="1" ht="25.5" x14ac:dyDescent="0.25">
      <c r="A1593" s="4" t="s">
        <v>2749</v>
      </c>
      <c r="B1593" s="4" t="s">
        <v>13</v>
      </c>
      <c r="C1593" s="37" t="s">
        <v>2650</v>
      </c>
      <c r="D1593" s="35">
        <v>4604</v>
      </c>
      <c r="E1593" s="4" t="s">
        <v>2750</v>
      </c>
      <c r="F1593" s="5">
        <v>39363</v>
      </c>
      <c r="G1593" s="5">
        <v>39852</v>
      </c>
      <c r="H1593" s="4" t="s">
        <v>2039</v>
      </c>
      <c r="I1593" s="6">
        <v>53287.21</v>
      </c>
      <c r="J1593" s="6">
        <v>53287.21</v>
      </c>
      <c r="K1593" s="37" t="s">
        <v>2650</v>
      </c>
      <c r="L1593" s="119"/>
      <c r="M1593" s="3"/>
    </row>
    <row r="1594" spans="1:13" s="4" customFormat="1" ht="25.5" x14ac:dyDescent="0.25">
      <c r="A1594" s="4" t="s">
        <v>2751</v>
      </c>
      <c r="B1594" s="4" t="s">
        <v>13</v>
      </c>
      <c r="C1594" s="37" t="s">
        <v>2650</v>
      </c>
      <c r="D1594" s="35">
        <v>4605</v>
      </c>
      <c r="E1594" s="4" t="s">
        <v>2752</v>
      </c>
      <c r="F1594" s="5">
        <v>39346</v>
      </c>
      <c r="G1594" s="5">
        <v>39903</v>
      </c>
      <c r="H1594" s="4" t="s">
        <v>2039</v>
      </c>
      <c r="I1594" s="6">
        <v>64651.53</v>
      </c>
      <c r="J1594" s="6">
        <v>64651.53</v>
      </c>
      <c r="K1594" s="37" t="s">
        <v>2650</v>
      </c>
      <c r="L1594" s="119"/>
      <c r="M1594" s="3"/>
    </row>
    <row r="1595" spans="1:13" s="4" customFormat="1" ht="25.5" x14ac:dyDescent="0.25">
      <c r="A1595" s="4" t="s">
        <v>2753</v>
      </c>
      <c r="B1595" s="4" t="s">
        <v>13</v>
      </c>
      <c r="C1595" s="37" t="s">
        <v>2650</v>
      </c>
      <c r="D1595" s="35">
        <v>4606</v>
      </c>
      <c r="E1595" s="4" t="s">
        <v>2754</v>
      </c>
      <c r="F1595" s="5">
        <v>39821</v>
      </c>
      <c r="G1595" s="5">
        <v>40242</v>
      </c>
      <c r="H1595" s="4" t="s">
        <v>2039</v>
      </c>
      <c r="I1595" s="6">
        <v>64194.51</v>
      </c>
      <c r="J1595" s="6">
        <v>64194.51</v>
      </c>
      <c r="K1595" s="37" t="s">
        <v>2650</v>
      </c>
      <c r="L1595" s="119"/>
      <c r="M1595" s="3"/>
    </row>
    <row r="1596" spans="1:13" s="4" customFormat="1" ht="38.25" x14ac:dyDescent="0.25">
      <c r="A1596" s="4" t="s">
        <v>2755</v>
      </c>
      <c r="B1596" s="4" t="s">
        <v>13</v>
      </c>
      <c r="C1596" s="37" t="s">
        <v>2650</v>
      </c>
      <c r="D1596" s="35">
        <v>4607</v>
      </c>
      <c r="E1596" s="4" t="s">
        <v>2756</v>
      </c>
      <c r="F1596" s="5">
        <v>39539</v>
      </c>
      <c r="G1596" s="5">
        <v>40633</v>
      </c>
      <c r="H1596" s="4" t="s">
        <v>2039</v>
      </c>
      <c r="I1596" s="6">
        <v>313764.15000000002</v>
      </c>
      <c r="J1596" s="6">
        <v>313764.15000000002</v>
      </c>
      <c r="K1596" s="37" t="s">
        <v>2650</v>
      </c>
      <c r="L1596" s="119"/>
      <c r="M1596" s="3"/>
    </row>
    <row r="1597" spans="1:13" s="4" customFormat="1" ht="25.5" x14ac:dyDescent="0.25">
      <c r="A1597" s="4" t="s">
        <v>2757</v>
      </c>
      <c r="B1597" s="4" t="s">
        <v>13</v>
      </c>
      <c r="C1597" s="37" t="s">
        <v>2650</v>
      </c>
      <c r="D1597" s="35">
        <v>4608</v>
      </c>
      <c r="E1597" s="4" t="s">
        <v>2758</v>
      </c>
      <c r="F1597" s="5">
        <v>39569</v>
      </c>
      <c r="G1597" s="5">
        <v>40087</v>
      </c>
      <c r="H1597" s="4" t="s">
        <v>2039</v>
      </c>
      <c r="I1597" s="6">
        <v>70214.36</v>
      </c>
      <c r="J1597" s="6">
        <v>70214.36</v>
      </c>
      <c r="K1597" s="37" t="s">
        <v>2650</v>
      </c>
      <c r="L1597" s="119"/>
      <c r="M1597" s="3"/>
    </row>
    <row r="1598" spans="1:13" s="4" customFormat="1" ht="25.5" x14ac:dyDescent="0.25">
      <c r="A1598" s="4" t="s">
        <v>2759</v>
      </c>
      <c r="B1598" s="4" t="s">
        <v>13</v>
      </c>
      <c r="C1598" s="37" t="s">
        <v>2650</v>
      </c>
      <c r="D1598" s="35">
        <v>4609</v>
      </c>
      <c r="E1598" s="4" t="s">
        <v>2760</v>
      </c>
      <c r="F1598" s="5">
        <v>39630</v>
      </c>
      <c r="G1598" s="5">
        <v>40724</v>
      </c>
      <c r="H1598" s="4" t="s">
        <v>2039</v>
      </c>
      <c r="I1598" s="6">
        <f>291694.58-6523.26</f>
        <v>285171.32</v>
      </c>
      <c r="J1598" s="6">
        <f>291694.58-6523.26</f>
        <v>285171.32</v>
      </c>
      <c r="K1598" s="37" t="s">
        <v>2650</v>
      </c>
      <c r="L1598" s="119"/>
      <c r="M1598" s="3"/>
    </row>
    <row r="1599" spans="1:13" s="4" customFormat="1" ht="25.5" x14ac:dyDescent="0.25">
      <c r="A1599" s="4" t="s">
        <v>2761</v>
      </c>
      <c r="B1599" s="4" t="s">
        <v>13</v>
      </c>
      <c r="C1599" s="37" t="s">
        <v>2650</v>
      </c>
      <c r="D1599" s="35">
        <v>4610</v>
      </c>
      <c r="E1599" s="4" t="s">
        <v>2762</v>
      </c>
      <c r="F1599" s="5">
        <v>40117</v>
      </c>
      <c r="G1599" s="5">
        <v>41090</v>
      </c>
      <c r="H1599" s="4" t="s">
        <v>2039</v>
      </c>
      <c r="I1599" s="6">
        <f>203200.49+51396.94</f>
        <v>254597.43</v>
      </c>
      <c r="J1599" s="6">
        <f>203200.49+51396.94</f>
        <v>254597.43</v>
      </c>
      <c r="K1599" s="37" t="s">
        <v>2650</v>
      </c>
      <c r="L1599" s="119"/>
      <c r="M1599" s="3"/>
    </row>
    <row r="1600" spans="1:13" s="4" customFormat="1" ht="38.25" x14ac:dyDescent="0.25">
      <c r="A1600" s="4" t="s">
        <v>2763</v>
      </c>
      <c r="B1600" s="4" t="s">
        <v>13</v>
      </c>
      <c r="C1600" s="37" t="s">
        <v>2650</v>
      </c>
      <c r="D1600" s="35">
        <v>4611</v>
      </c>
      <c r="E1600" s="4" t="s">
        <v>2764</v>
      </c>
      <c r="F1600" s="5">
        <v>39417</v>
      </c>
      <c r="G1600" s="5">
        <v>40694</v>
      </c>
      <c r="H1600" s="4" t="s">
        <v>2039</v>
      </c>
      <c r="I1600" s="6">
        <v>302295.73</v>
      </c>
      <c r="J1600" s="6">
        <v>302295.73</v>
      </c>
      <c r="K1600" s="37" t="s">
        <v>2650</v>
      </c>
      <c r="L1600" s="119"/>
      <c r="M1600" s="3"/>
    </row>
    <row r="1601" spans="1:13" s="4" customFormat="1" ht="25.5" x14ac:dyDescent="0.25">
      <c r="A1601" s="4" t="s">
        <v>2765</v>
      </c>
      <c r="B1601" s="4" t="s">
        <v>13</v>
      </c>
      <c r="C1601" s="37" t="s">
        <v>2650</v>
      </c>
      <c r="D1601" s="35">
        <v>4612</v>
      </c>
      <c r="E1601" s="4" t="s">
        <v>2766</v>
      </c>
      <c r="F1601" s="5">
        <v>39448</v>
      </c>
      <c r="G1601" s="5">
        <v>40045</v>
      </c>
      <c r="H1601" s="4" t="s">
        <v>2039</v>
      </c>
      <c r="I1601" s="6">
        <v>72426.66</v>
      </c>
      <c r="J1601" s="6">
        <v>72426.66</v>
      </c>
      <c r="K1601" s="37" t="s">
        <v>2650</v>
      </c>
      <c r="L1601" s="119"/>
      <c r="M1601" s="3"/>
    </row>
    <row r="1602" spans="1:13" s="4" customFormat="1" ht="25.5" x14ac:dyDescent="0.25">
      <c r="A1602" s="4" t="s">
        <v>2767</v>
      </c>
      <c r="B1602" s="4" t="s">
        <v>13</v>
      </c>
      <c r="C1602" s="37" t="s">
        <v>2650</v>
      </c>
      <c r="D1602" s="35">
        <v>4613</v>
      </c>
      <c r="E1602" s="4" t="s">
        <v>2768</v>
      </c>
      <c r="F1602" s="5">
        <v>39429</v>
      </c>
      <c r="G1602" s="5">
        <v>40543</v>
      </c>
      <c r="H1602" s="4" t="s">
        <v>2039</v>
      </c>
      <c r="I1602" s="6">
        <v>298333.33</v>
      </c>
      <c r="J1602" s="6">
        <v>298333.33</v>
      </c>
      <c r="K1602" s="37" t="s">
        <v>2650</v>
      </c>
      <c r="L1602" s="119"/>
      <c r="M1602" s="3"/>
    </row>
    <row r="1603" spans="1:13" s="4" customFormat="1" ht="38.25" x14ac:dyDescent="0.25">
      <c r="A1603" s="4" t="s">
        <v>2769</v>
      </c>
      <c r="B1603" s="4" t="s">
        <v>13</v>
      </c>
      <c r="C1603" s="37" t="s">
        <v>2650</v>
      </c>
      <c r="D1603" s="35">
        <v>4614</v>
      </c>
      <c r="E1603" s="4" t="s">
        <v>2770</v>
      </c>
      <c r="F1603" s="5">
        <v>40086</v>
      </c>
      <c r="G1603" s="5">
        <v>40451</v>
      </c>
      <c r="H1603" s="4" t="s">
        <v>2039</v>
      </c>
      <c r="I1603" s="6">
        <v>75517.87</v>
      </c>
      <c r="J1603" s="6">
        <v>75517.87</v>
      </c>
      <c r="K1603" s="37" t="s">
        <v>2650</v>
      </c>
      <c r="L1603" s="119"/>
      <c r="M1603" s="3"/>
    </row>
    <row r="1604" spans="1:13" s="4" customFormat="1" ht="38.25" x14ac:dyDescent="0.25">
      <c r="A1604" s="4" t="s">
        <v>2771</v>
      </c>
      <c r="B1604" s="4" t="s">
        <v>13</v>
      </c>
      <c r="C1604" s="37" t="s">
        <v>2650</v>
      </c>
      <c r="D1604" s="35">
        <v>4615</v>
      </c>
      <c r="E1604" s="4" t="s">
        <v>2772</v>
      </c>
      <c r="F1604" s="5">
        <v>40118</v>
      </c>
      <c r="G1604" s="5">
        <v>41213</v>
      </c>
      <c r="H1604" s="4" t="s">
        <v>2039</v>
      </c>
      <c r="I1604" s="6">
        <f>178300.82+57410.51</f>
        <v>235711.33000000002</v>
      </c>
      <c r="J1604" s="6">
        <f>178300.82+57410.51</f>
        <v>235711.33000000002</v>
      </c>
      <c r="K1604" s="37" t="s">
        <v>2650</v>
      </c>
      <c r="L1604" s="119"/>
      <c r="M1604" s="3"/>
    </row>
    <row r="1605" spans="1:13" s="4" customFormat="1" ht="25.5" x14ac:dyDescent="0.25">
      <c r="A1605" s="4" t="s">
        <v>2773</v>
      </c>
      <c r="B1605" s="4" t="s">
        <v>13</v>
      </c>
      <c r="C1605" s="37" t="s">
        <v>2650</v>
      </c>
      <c r="D1605" s="35">
        <v>4620</v>
      </c>
      <c r="E1605" s="4" t="s">
        <v>2774</v>
      </c>
      <c r="F1605" s="5">
        <v>39539</v>
      </c>
      <c r="G1605" s="5">
        <v>39844</v>
      </c>
      <c r="H1605" s="4" t="s">
        <v>2039</v>
      </c>
      <c r="I1605" s="6">
        <v>80994</v>
      </c>
      <c r="J1605" s="6">
        <v>80994</v>
      </c>
      <c r="K1605" s="37" t="s">
        <v>2650</v>
      </c>
      <c r="L1605" s="119"/>
      <c r="M1605" s="3"/>
    </row>
    <row r="1606" spans="1:13" s="4" customFormat="1" ht="25.5" x14ac:dyDescent="0.25">
      <c r="A1606" s="4" t="s">
        <v>2775</v>
      </c>
      <c r="B1606" s="4" t="s">
        <v>13</v>
      </c>
      <c r="C1606" s="37" t="s">
        <v>2650</v>
      </c>
      <c r="D1606" s="35">
        <v>4621</v>
      </c>
      <c r="E1606" s="4" t="s">
        <v>2776</v>
      </c>
      <c r="F1606" s="5">
        <v>39370</v>
      </c>
      <c r="G1606" s="5">
        <v>39918</v>
      </c>
      <c r="H1606" s="4" t="s">
        <v>2039</v>
      </c>
      <c r="I1606" s="6">
        <v>74136</v>
      </c>
      <c r="J1606" s="6">
        <v>74136</v>
      </c>
      <c r="K1606" s="37" t="s">
        <v>2650</v>
      </c>
      <c r="L1606" s="119"/>
      <c r="M1606" s="3"/>
    </row>
    <row r="1607" spans="1:13" s="4" customFormat="1" ht="25.5" x14ac:dyDescent="0.25">
      <c r="A1607" s="4" t="s">
        <v>2777</v>
      </c>
      <c r="B1607" s="4" t="s">
        <v>13</v>
      </c>
      <c r="C1607" s="37" t="s">
        <v>2650</v>
      </c>
      <c r="D1607" s="35">
        <v>4622</v>
      </c>
      <c r="E1607" s="4" t="s">
        <v>2778</v>
      </c>
      <c r="F1607" s="5">
        <v>39417</v>
      </c>
      <c r="G1607" s="5">
        <v>39964</v>
      </c>
      <c r="H1607" s="4" t="s">
        <v>2039</v>
      </c>
      <c r="I1607" s="6">
        <v>83131</v>
      </c>
      <c r="J1607" s="6">
        <v>83131</v>
      </c>
      <c r="K1607" s="37" t="s">
        <v>2650</v>
      </c>
      <c r="L1607" s="119"/>
      <c r="M1607" s="3"/>
    </row>
    <row r="1608" spans="1:13" s="4" customFormat="1" ht="25.5" x14ac:dyDescent="0.25">
      <c r="A1608" s="4" t="s">
        <v>2779</v>
      </c>
      <c r="B1608" s="4" t="s">
        <v>13</v>
      </c>
      <c r="C1608" s="37" t="s">
        <v>2650</v>
      </c>
      <c r="D1608" s="35">
        <v>4623</v>
      </c>
      <c r="E1608" s="4" t="s">
        <v>2780</v>
      </c>
      <c r="F1608" s="5">
        <v>39461</v>
      </c>
      <c r="G1608" s="5">
        <v>39927</v>
      </c>
      <c r="H1608" s="4" t="s">
        <v>2039</v>
      </c>
      <c r="I1608" s="6">
        <v>77711</v>
      </c>
      <c r="J1608" s="6">
        <v>77711</v>
      </c>
      <c r="K1608" s="37" t="s">
        <v>2650</v>
      </c>
      <c r="L1608" s="119"/>
      <c r="M1608" s="3"/>
    </row>
    <row r="1609" spans="1:13" s="4" customFormat="1" ht="25.5" x14ac:dyDescent="0.25">
      <c r="A1609" s="4" t="s">
        <v>2781</v>
      </c>
      <c r="B1609" s="4" t="s">
        <v>13</v>
      </c>
      <c r="C1609" s="37" t="s">
        <v>2650</v>
      </c>
      <c r="D1609" s="35">
        <v>4624</v>
      </c>
      <c r="E1609" s="4" t="s">
        <v>2782</v>
      </c>
      <c r="F1609" s="5">
        <v>39387</v>
      </c>
      <c r="G1609" s="5">
        <v>39933</v>
      </c>
      <c r="H1609" s="4" t="s">
        <v>2039</v>
      </c>
      <c r="I1609" s="6">
        <v>96150</v>
      </c>
      <c r="J1609" s="6">
        <v>96150</v>
      </c>
      <c r="K1609" s="37" t="s">
        <v>2650</v>
      </c>
      <c r="L1609" s="119"/>
      <c r="M1609" s="3"/>
    </row>
    <row r="1610" spans="1:13" s="4" customFormat="1" ht="38.25" x14ac:dyDescent="0.25">
      <c r="A1610" s="4" t="s">
        <v>2783</v>
      </c>
      <c r="B1610" s="4" t="s">
        <v>13</v>
      </c>
      <c r="C1610" s="37" t="s">
        <v>2650</v>
      </c>
      <c r="D1610" s="35">
        <v>4625</v>
      </c>
      <c r="E1610" s="4" t="s">
        <v>2784</v>
      </c>
      <c r="F1610" s="5">
        <v>39479</v>
      </c>
      <c r="G1610" s="5">
        <v>39964</v>
      </c>
      <c r="H1610" s="4" t="s">
        <v>2039</v>
      </c>
      <c r="I1610" s="6">
        <v>75862</v>
      </c>
      <c r="J1610" s="6">
        <v>75862</v>
      </c>
      <c r="K1610" s="37" t="s">
        <v>2650</v>
      </c>
      <c r="L1610" s="119"/>
      <c r="M1610" s="3"/>
    </row>
    <row r="1611" spans="1:13" s="4" customFormat="1" ht="51" x14ac:dyDescent="0.25">
      <c r="A1611" s="4" t="s">
        <v>2785</v>
      </c>
      <c r="B1611" s="4" t="s">
        <v>13</v>
      </c>
      <c r="C1611" s="37" t="s">
        <v>2650</v>
      </c>
      <c r="D1611" s="35">
        <v>4626</v>
      </c>
      <c r="E1611" s="4" t="s">
        <v>2786</v>
      </c>
      <c r="F1611" s="5">
        <v>39569</v>
      </c>
      <c r="G1611" s="5">
        <v>40056</v>
      </c>
      <c r="H1611" s="4" t="s">
        <v>2039</v>
      </c>
      <c r="I1611" s="6">
        <v>82793</v>
      </c>
      <c r="J1611" s="6">
        <v>82793</v>
      </c>
      <c r="K1611" s="37" t="s">
        <v>2650</v>
      </c>
      <c r="L1611" s="119"/>
      <c r="M1611" s="3"/>
    </row>
    <row r="1612" spans="1:13" s="4" customFormat="1" ht="25.5" x14ac:dyDescent="0.25">
      <c r="A1612" s="4" t="s">
        <v>2787</v>
      </c>
      <c r="B1612" s="4" t="s">
        <v>13</v>
      </c>
      <c r="C1612" s="37" t="s">
        <v>2650</v>
      </c>
      <c r="D1612" s="35">
        <v>4627</v>
      </c>
      <c r="E1612" s="4" t="s">
        <v>2788</v>
      </c>
      <c r="F1612" s="5">
        <v>39873</v>
      </c>
      <c r="G1612" s="5">
        <v>40086</v>
      </c>
      <c r="H1612" s="4" t="s">
        <v>2039</v>
      </c>
      <c r="I1612" s="6">
        <v>31515</v>
      </c>
      <c r="J1612" s="6">
        <v>31515</v>
      </c>
      <c r="K1612" s="37" t="s">
        <v>2650</v>
      </c>
      <c r="L1612" s="119"/>
      <c r="M1612" s="3"/>
    </row>
    <row r="1613" spans="1:13" s="4" customFormat="1" ht="25.5" x14ac:dyDescent="0.25">
      <c r="A1613" s="4" t="s">
        <v>2789</v>
      </c>
      <c r="B1613" s="4" t="s">
        <v>13</v>
      </c>
      <c r="C1613" s="37" t="s">
        <v>2650</v>
      </c>
      <c r="D1613" s="35">
        <v>4628</v>
      </c>
      <c r="E1613" s="4" t="s">
        <v>2790</v>
      </c>
      <c r="F1613" s="5">
        <v>39426</v>
      </c>
      <c r="G1613" s="5">
        <v>39903</v>
      </c>
      <c r="H1613" s="4" t="s">
        <v>2039</v>
      </c>
      <c r="I1613" s="6">
        <v>73451</v>
      </c>
      <c r="J1613" s="6">
        <v>73451</v>
      </c>
      <c r="K1613" s="37" t="s">
        <v>2650</v>
      </c>
      <c r="L1613" s="119"/>
      <c r="M1613" s="3"/>
    </row>
    <row r="1614" spans="1:13" s="4" customFormat="1" ht="38.25" x14ac:dyDescent="0.25">
      <c r="A1614" s="4" t="s">
        <v>2791</v>
      </c>
      <c r="B1614" s="4" t="s">
        <v>13</v>
      </c>
      <c r="C1614" s="37" t="s">
        <v>2650</v>
      </c>
      <c r="D1614" s="35">
        <v>4629</v>
      </c>
      <c r="E1614" s="4" t="s">
        <v>2792</v>
      </c>
      <c r="F1614" s="5">
        <v>39569</v>
      </c>
      <c r="G1614" s="5">
        <v>40056</v>
      </c>
      <c r="H1614" s="4" t="s">
        <v>2039</v>
      </c>
      <c r="I1614" s="6">
        <v>63252</v>
      </c>
      <c r="J1614" s="6">
        <v>63252</v>
      </c>
      <c r="K1614" s="37" t="s">
        <v>2650</v>
      </c>
      <c r="L1614" s="119"/>
      <c r="M1614" s="3"/>
    </row>
    <row r="1615" spans="1:13" s="4" customFormat="1" ht="38.25" x14ac:dyDescent="0.25">
      <c r="A1615" s="4" t="s">
        <v>2793</v>
      </c>
      <c r="B1615" s="4" t="s">
        <v>13</v>
      </c>
      <c r="C1615" s="37" t="s">
        <v>2650</v>
      </c>
      <c r="D1615" s="35">
        <v>4630</v>
      </c>
      <c r="E1615" s="4" t="s">
        <v>2794</v>
      </c>
      <c r="F1615" s="5">
        <v>39569</v>
      </c>
      <c r="G1615" s="5">
        <v>40056</v>
      </c>
      <c r="H1615" s="4" t="s">
        <v>2039</v>
      </c>
      <c r="I1615" s="6">
        <v>87063</v>
      </c>
      <c r="J1615" s="6">
        <v>87063</v>
      </c>
      <c r="K1615" s="37" t="s">
        <v>2650</v>
      </c>
      <c r="L1615" s="119"/>
      <c r="M1615" s="3"/>
    </row>
    <row r="1616" spans="1:13" s="4" customFormat="1" ht="25.5" x14ac:dyDescent="0.25">
      <c r="A1616" s="4" t="s">
        <v>2795</v>
      </c>
      <c r="B1616" s="4" t="s">
        <v>13</v>
      </c>
      <c r="C1616" s="37" t="s">
        <v>2650</v>
      </c>
      <c r="D1616" s="35">
        <v>4631</v>
      </c>
      <c r="E1616" s="4" t="s">
        <v>2796</v>
      </c>
      <c r="F1616" s="5">
        <v>39569</v>
      </c>
      <c r="G1616" s="5">
        <v>40117</v>
      </c>
      <c r="H1616" s="4" t="s">
        <v>2039</v>
      </c>
      <c r="I1616" s="6">
        <v>83216</v>
      </c>
      <c r="J1616" s="6">
        <v>83216</v>
      </c>
      <c r="K1616" s="37" t="s">
        <v>2650</v>
      </c>
      <c r="L1616" s="119"/>
      <c r="M1616" s="3"/>
    </row>
    <row r="1617" spans="1:13" s="4" customFormat="1" ht="25.5" x14ac:dyDescent="0.25">
      <c r="A1617" s="4" t="s">
        <v>2797</v>
      </c>
      <c r="B1617" s="4" t="s">
        <v>13</v>
      </c>
      <c r="C1617" s="37" t="s">
        <v>2650</v>
      </c>
      <c r="D1617" s="35">
        <v>4632</v>
      </c>
      <c r="E1617" s="4" t="s">
        <v>2798</v>
      </c>
      <c r="F1617" s="5">
        <v>39762</v>
      </c>
      <c r="G1617" s="5">
        <v>40196</v>
      </c>
      <c r="H1617" s="4" t="s">
        <v>2039</v>
      </c>
      <c r="I1617" s="6">
        <v>70771</v>
      </c>
      <c r="J1617" s="6">
        <v>70771</v>
      </c>
      <c r="K1617" s="37" t="s">
        <v>2650</v>
      </c>
      <c r="L1617" s="119"/>
      <c r="M1617" s="3"/>
    </row>
    <row r="1618" spans="1:13" s="4" customFormat="1" ht="38.25" x14ac:dyDescent="0.25">
      <c r="A1618" s="4" t="s">
        <v>2799</v>
      </c>
      <c r="B1618" s="4" t="s">
        <v>13</v>
      </c>
      <c r="C1618" s="37" t="s">
        <v>2650</v>
      </c>
      <c r="D1618" s="35">
        <v>4633</v>
      </c>
      <c r="E1618" s="4" t="s">
        <v>2800</v>
      </c>
      <c r="F1618" s="5">
        <v>39692</v>
      </c>
      <c r="G1618" s="5">
        <v>40056</v>
      </c>
      <c r="H1618" s="4" t="s">
        <v>2039</v>
      </c>
      <c r="I1618" s="6">
        <v>76292.58</v>
      </c>
      <c r="J1618" s="6">
        <v>76292.58</v>
      </c>
      <c r="K1618" s="37" t="s">
        <v>2650</v>
      </c>
      <c r="L1618" s="119"/>
      <c r="M1618" s="3"/>
    </row>
    <row r="1619" spans="1:13" s="4" customFormat="1" ht="38.25" x14ac:dyDescent="0.25">
      <c r="A1619" s="4" t="s">
        <v>2801</v>
      </c>
      <c r="B1619" s="4" t="s">
        <v>13</v>
      </c>
      <c r="C1619" s="37" t="s">
        <v>2650</v>
      </c>
      <c r="D1619" s="35">
        <v>4634</v>
      </c>
      <c r="E1619" s="4" t="s">
        <v>2802</v>
      </c>
      <c r="F1619" s="5">
        <v>39846</v>
      </c>
      <c r="G1619" s="5">
        <v>40207</v>
      </c>
      <c r="H1619" s="4" t="s">
        <v>2039</v>
      </c>
      <c r="I1619" s="6">
        <v>63575</v>
      </c>
      <c r="J1619" s="6">
        <v>63575</v>
      </c>
      <c r="K1619" s="37" t="s">
        <v>2650</v>
      </c>
      <c r="L1619" s="119"/>
      <c r="M1619" s="3"/>
    </row>
    <row r="1620" spans="1:13" s="4" customFormat="1" ht="38.25" x14ac:dyDescent="0.25">
      <c r="A1620" s="4" t="s">
        <v>2803</v>
      </c>
      <c r="B1620" s="4" t="s">
        <v>13</v>
      </c>
      <c r="C1620" s="37" t="s">
        <v>2650</v>
      </c>
      <c r="D1620" s="35">
        <v>4635</v>
      </c>
      <c r="E1620" s="4" t="s">
        <v>2804</v>
      </c>
      <c r="F1620" s="5">
        <v>39727</v>
      </c>
      <c r="G1620" s="5">
        <v>40150</v>
      </c>
      <c r="H1620" s="4" t="s">
        <v>2039</v>
      </c>
      <c r="I1620" s="6">
        <v>13100</v>
      </c>
      <c r="J1620" s="6">
        <v>13100</v>
      </c>
      <c r="K1620" s="37" t="s">
        <v>2650</v>
      </c>
      <c r="L1620" s="119"/>
      <c r="M1620" s="3"/>
    </row>
    <row r="1621" spans="1:13" s="4" customFormat="1" ht="25.5" x14ac:dyDescent="0.25">
      <c r="A1621" s="4" t="s">
        <v>2805</v>
      </c>
      <c r="B1621" s="4" t="s">
        <v>13</v>
      </c>
      <c r="C1621" s="37" t="s">
        <v>2650</v>
      </c>
      <c r="D1621" s="35">
        <v>4636</v>
      </c>
      <c r="E1621" s="4" t="s">
        <v>2806</v>
      </c>
      <c r="F1621" s="5">
        <v>39722</v>
      </c>
      <c r="G1621" s="5">
        <v>40132</v>
      </c>
      <c r="H1621" s="4" t="s">
        <v>2039</v>
      </c>
      <c r="I1621" s="6">
        <v>63508</v>
      </c>
      <c r="J1621" s="6">
        <v>63508</v>
      </c>
      <c r="K1621" s="37" t="s">
        <v>2650</v>
      </c>
      <c r="L1621" s="119"/>
      <c r="M1621" s="3"/>
    </row>
    <row r="1622" spans="1:13" s="4" customFormat="1" ht="25.5" x14ac:dyDescent="0.25">
      <c r="A1622" s="4" t="s">
        <v>2807</v>
      </c>
      <c r="B1622" s="4" t="s">
        <v>13</v>
      </c>
      <c r="C1622" s="37" t="s">
        <v>2650</v>
      </c>
      <c r="D1622" s="35">
        <v>4637</v>
      </c>
      <c r="E1622" s="4" t="s">
        <v>2808</v>
      </c>
      <c r="F1622" s="5">
        <v>39772</v>
      </c>
      <c r="G1622" s="5">
        <v>40137</v>
      </c>
      <c r="H1622" s="4" t="s">
        <v>2039</v>
      </c>
      <c r="I1622" s="6">
        <v>50701</v>
      </c>
      <c r="J1622" s="6">
        <v>50701</v>
      </c>
      <c r="K1622" s="37" t="s">
        <v>2650</v>
      </c>
      <c r="L1622" s="119"/>
      <c r="M1622" s="3"/>
    </row>
    <row r="1623" spans="1:13" s="4" customFormat="1" ht="38.25" x14ac:dyDescent="0.25">
      <c r="A1623" s="4" t="s">
        <v>2809</v>
      </c>
      <c r="B1623" s="4" t="s">
        <v>13</v>
      </c>
      <c r="C1623" s="37" t="s">
        <v>2650</v>
      </c>
      <c r="D1623" s="35">
        <v>4638</v>
      </c>
      <c r="E1623" s="4" t="s">
        <v>2810</v>
      </c>
      <c r="F1623" s="5">
        <v>39832</v>
      </c>
      <c r="G1623" s="5">
        <v>40178</v>
      </c>
      <c r="H1623" s="4" t="s">
        <v>2039</v>
      </c>
      <c r="I1623" s="6">
        <v>64561</v>
      </c>
      <c r="J1623" s="6">
        <v>64561</v>
      </c>
      <c r="K1623" s="37" t="s">
        <v>2650</v>
      </c>
      <c r="L1623" s="119"/>
      <c r="M1623" s="3"/>
    </row>
    <row r="1624" spans="1:13" s="4" customFormat="1" ht="38.25" x14ac:dyDescent="0.25">
      <c r="A1624" s="4" t="s">
        <v>2811</v>
      </c>
      <c r="B1624" s="4" t="s">
        <v>13</v>
      </c>
      <c r="C1624" s="37" t="s">
        <v>2650</v>
      </c>
      <c r="D1624" s="35">
        <v>4639</v>
      </c>
      <c r="E1624" s="4" t="s">
        <v>2812</v>
      </c>
      <c r="F1624" s="5">
        <v>39904</v>
      </c>
      <c r="G1624" s="5">
        <v>40269</v>
      </c>
      <c r="H1624" s="4" t="s">
        <v>2039</v>
      </c>
      <c r="I1624" s="6">
        <v>84146</v>
      </c>
      <c r="J1624" s="6">
        <v>84146</v>
      </c>
      <c r="K1624" s="37" t="s">
        <v>2650</v>
      </c>
      <c r="L1624" s="119"/>
      <c r="M1624" s="3"/>
    </row>
    <row r="1625" spans="1:13" s="4" customFormat="1" ht="25.5" x14ac:dyDescent="0.25">
      <c r="A1625" s="4" t="s">
        <v>2813</v>
      </c>
      <c r="B1625" s="4" t="s">
        <v>13</v>
      </c>
      <c r="C1625" s="37" t="s">
        <v>2650</v>
      </c>
      <c r="D1625" s="35">
        <v>4640</v>
      </c>
      <c r="E1625" s="4" t="s">
        <v>2814</v>
      </c>
      <c r="F1625" s="5">
        <v>39792</v>
      </c>
      <c r="G1625" s="5">
        <v>40156</v>
      </c>
      <c r="H1625" s="4" t="s">
        <v>2039</v>
      </c>
      <c r="I1625" s="6">
        <v>94445</v>
      </c>
      <c r="J1625" s="6">
        <v>94445</v>
      </c>
      <c r="K1625" s="37" t="s">
        <v>2650</v>
      </c>
      <c r="L1625" s="119"/>
      <c r="M1625" s="3"/>
    </row>
    <row r="1626" spans="1:13" s="4" customFormat="1" ht="38.25" x14ac:dyDescent="0.25">
      <c r="A1626" s="4" t="s">
        <v>2815</v>
      </c>
      <c r="B1626" s="4" t="s">
        <v>13</v>
      </c>
      <c r="C1626" s="37" t="s">
        <v>2650</v>
      </c>
      <c r="D1626" s="35">
        <v>4641</v>
      </c>
      <c r="E1626" s="4" t="s">
        <v>2816</v>
      </c>
      <c r="F1626" s="5">
        <v>39832</v>
      </c>
      <c r="G1626" s="5">
        <v>40196</v>
      </c>
      <c r="H1626" s="4" t="s">
        <v>2039</v>
      </c>
      <c r="I1626" s="6">
        <v>55728</v>
      </c>
      <c r="J1626" s="6">
        <v>55728</v>
      </c>
      <c r="K1626" s="37" t="s">
        <v>2650</v>
      </c>
      <c r="L1626" s="119"/>
      <c r="M1626" s="3"/>
    </row>
    <row r="1627" spans="1:13" s="4" customFormat="1" ht="25.5" x14ac:dyDescent="0.25">
      <c r="A1627" s="4" t="s">
        <v>2817</v>
      </c>
      <c r="B1627" s="4" t="s">
        <v>13</v>
      </c>
      <c r="C1627" s="37" t="s">
        <v>2650</v>
      </c>
      <c r="D1627" s="35">
        <v>4642</v>
      </c>
      <c r="E1627" s="4" t="s">
        <v>2818</v>
      </c>
      <c r="F1627" s="5">
        <v>40057</v>
      </c>
      <c r="G1627" s="5">
        <v>40420</v>
      </c>
      <c r="H1627" s="4" t="s">
        <v>2039</v>
      </c>
      <c r="I1627" s="6">
        <v>45637</v>
      </c>
      <c r="J1627" s="6">
        <v>45637</v>
      </c>
      <c r="K1627" s="37" t="s">
        <v>2650</v>
      </c>
      <c r="L1627" s="119"/>
      <c r="M1627" s="3"/>
    </row>
    <row r="1628" spans="1:13" s="4" customFormat="1" ht="25.5" x14ac:dyDescent="0.25">
      <c r="A1628" s="4" t="s">
        <v>2819</v>
      </c>
      <c r="B1628" s="4" t="s">
        <v>13</v>
      </c>
      <c r="C1628" s="37" t="s">
        <v>2650</v>
      </c>
      <c r="D1628" s="35">
        <v>4643</v>
      </c>
      <c r="E1628" s="4" t="s">
        <v>2820</v>
      </c>
      <c r="F1628" s="5">
        <v>39995</v>
      </c>
      <c r="G1628" s="5">
        <v>40359</v>
      </c>
      <c r="H1628" s="4" t="s">
        <v>2039</v>
      </c>
      <c r="I1628" s="6">
        <v>86285</v>
      </c>
      <c r="J1628" s="6">
        <v>86285</v>
      </c>
      <c r="K1628" s="37" t="s">
        <v>2650</v>
      </c>
      <c r="L1628" s="119"/>
      <c r="M1628" s="3"/>
    </row>
    <row r="1629" spans="1:13" s="4" customFormat="1" ht="38.25" x14ac:dyDescent="0.25">
      <c r="A1629" s="4" t="s">
        <v>2821</v>
      </c>
      <c r="B1629" s="4" t="s">
        <v>13</v>
      </c>
      <c r="C1629" s="37" t="s">
        <v>2650</v>
      </c>
      <c r="D1629" s="35">
        <v>4644</v>
      </c>
      <c r="E1629" s="4" t="s">
        <v>2822</v>
      </c>
      <c r="F1629" s="5">
        <v>40091</v>
      </c>
      <c r="G1629" s="5">
        <v>40455</v>
      </c>
      <c r="H1629" s="4" t="s">
        <v>2039</v>
      </c>
      <c r="I1629" s="6">
        <v>52372</v>
      </c>
      <c r="J1629" s="6">
        <v>52372</v>
      </c>
      <c r="K1629" s="37" t="s">
        <v>2650</v>
      </c>
      <c r="L1629" s="119"/>
      <c r="M1629" s="3"/>
    </row>
    <row r="1630" spans="1:13" s="4" customFormat="1" ht="25.5" x14ac:dyDescent="0.25">
      <c r="A1630" s="4" t="s">
        <v>2823</v>
      </c>
      <c r="B1630" s="4" t="s">
        <v>13</v>
      </c>
      <c r="C1630" s="37" t="s">
        <v>2650</v>
      </c>
      <c r="D1630" s="35">
        <v>4645</v>
      </c>
      <c r="E1630" s="4" t="s">
        <v>2824</v>
      </c>
      <c r="F1630" s="5">
        <v>40118</v>
      </c>
      <c r="G1630" s="5">
        <v>40482</v>
      </c>
      <c r="H1630" s="4" t="s">
        <v>2039</v>
      </c>
      <c r="I1630" s="6">
        <v>47410</v>
      </c>
      <c r="J1630" s="6">
        <v>47410</v>
      </c>
      <c r="K1630" s="37" t="s">
        <v>2650</v>
      </c>
      <c r="L1630" s="119"/>
      <c r="M1630" s="3"/>
    </row>
    <row r="1631" spans="1:13" s="4" customFormat="1" ht="25.5" x14ac:dyDescent="0.25">
      <c r="A1631" s="4" t="s">
        <v>2825</v>
      </c>
      <c r="B1631" s="4" t="s">
        <v>13</v>
      </c>
      <c r="C1631" s="37" t="s">
        <v>2650</v>
      </c>
      <c r="D1631" s="35">
        <v>4646</v>
      </c>
      <c r="E1631" s="4" t="s">
        <v>2826</v>
      </c>
      <c r="F1631" s="5">
        <v>39265</v>
      </c>
      <c r="G1631" s="5">
        <v>39629</v>
      </c>
      <c r="H1631" s="4" t="s">
        <v>2039</v>
      </c>
      <c r="I1631" s="6">
        <v>66749</v>
      </c>
      <c r="J1631" s="6">
        <v>66749</v>
      </c>
      <c r="K1631" s="37" t="s">
        <v>2650</v>
      </c>
      <c r="L1631" s="119"/>
      <c r="M1631" s="3"/>
    </row>
    <row r="1632" spans="1:13" s="4" customFormat="1" ht="25.5" x14ac:dyDescent="0.25">
      <c r="A1632" s="4" t="s">
        <v>2827</v>
      </c>
      <c r="B1632" s="4" t="s">
        <v>13</v>
      </c>
      <c r="C1632" s="37" t="s">
        <v>2650</v>
      </c>
      <c r="D1632" s="35">
        <v>4647</v>
      </c>
      <c r="E1632" s="4" t="s">
        <v>2828</v>
      </c>
      <c r="F1632" s="5">
        <v>39265</v>
      </c>
      <c r="G1632" s="5">
        <v>39721</v>
      </c>
      <c r="H1632" s="4" t="s">
        <v>2039</v>
      </c>
      <c r="I1632" s="6">
        <v>55704</v>
      </c>
      <c r="J1632" s="6">
        <v>55704</v>
      </c>
      <c r="K1632" s="37" t="s">
        <v>2650</v>
      </c>
      <c r="L1632" s="119"/>
      <c r="M1632" s="3"/>
    </row>
    <row r="1633" spans="1:13" s="4" customFormat="1" ht="25.5" x14ac:dyDescent="0.25">
      <c r="A1633" s="4" t="s">
        <v>2829</v>
      </c>
      <c r="B1633" s="4" t="s">
        <v>13</v>
      </c>
      <c r="C1633" s="37" t="s">
        <v>2650</v>
      </c>
      <c r="D1633" s="35">
        <v>4648</v>
      </c>
      <c r="E1633" s="4" t="s">
        <v>2830</v>
      </c>
      <c r="F1633" s="5">
        <v>39265</v>
      </c>
      <c r="G1633" s="5">
        <v>39813</v>
      </c>
      <c r="H1633" s="4" t="s">
        <v>2039</v>
      </c>
      <c r="I1633" s="6">
        <v>73960</v>
      </c>
      <c r="J1633" s="6">
        <v>73960</v>
      </c>
      <c r="K1633" s="37" t="s">
        <v>2650</v>
      </c>
      <c r="L1633" s="119"/>
      <c r="M1633" s="3"/>
    </row>
    <row r="1634" spans="1:13" s="4" customFormat="1" ht="25.5" x14ac:dyDescent="0.25">
      <c r="A1634" s="4" t="s">
        <v>2831</v>
      </c>
      <c r="B1634" s="4" t="s">
        <v>13</v>
      </c>
      <c r="C1634" s="37" t="s">
        <v>2650</v>
      </c>
      <c r="D1634" s="35">
        <v>4649</v>
      </c>
      <c r="E1634" s="4" t="s">
        <v>2832</v>
      </c>
      <c r="F1634" s="5">
        <v>39265</v>
      </c>
      <c r="G1634" s="5">
        <v>39751</v>
      </c>
      <c r="H1634" s="4" t="s">
        <v>2039</v>
      </c>
      <c r="I1634" s="6">
        <v>80118</v>
      </c>
      <c r="J1634" s="6">
        <v>80118</v>
      </c>
      <c r="K1634" s="37" t="s">
        <v>2650</v>
      </c>
      <c r="L1634" s="119"/>
      <c r="M1634" s="3"/>
    </row>
    <row r="1635" spans="1:13" s="4" customFormat="1" ht="25.5" x14ac:dyDescent="0.25">
      <c r="A1635" s="4" t="s">
        <v>2833</v>
      </c>
      <c r="B1635" s="4" t="s">
        <v>13</v>
      </c>
      <c r="C1635" s="37" t="s">
        <v>2650</v>
      </c>
      <c r="D1635" s="35">
        <v>4650</v>
      </c>
      <c r="E1635" s="4" t="s">
        <v>2834</v>
      </c>
      <c r="F1635" s="5">
        <v>39356</v>
      </c>
      <c r="G1635" s="5">
        <v>39844</v>
      </c>
      <c r="H1635" s="4" t="s">
        <v>2039</v>
      </c>
      <c r="I1635" s="6">
        <v>72036</v>
      </c>
      <c r="J1635" s="6">
        <v>72036</v>
      </c>
      <c r="K1635" s="37" t="s">
        <v>2650</v>
      </c>
      <c r="L1635" s="119"/>
      <c r="M1635" s="3"/>
    </row>
    <row r="1636" spans="1:13" s="4" customFormat="1" ht="25.5" x14ac:dyDescent="0.25">
      <c r="A1636" s="4" t="s">
        <v>2835</v>
      </c>
      <c r="B1636" s="4" t="s">
        <v>13</v>
      </c>
      <c r="C1636" s="37" t="s">
        <v>2650</v>
      </c>
      <c r="D1636" s="35">
        <v>4651</v>
      </c>
      <c r="E1636" s="4" t="s">
        <v>2836</v>
      </c>
      <c r="F1636" s="5">
        <v>39426</v>
      </c>
      <c r="G1636" s="5">
        <v>39844</v>
      </c>
      <c r="H1636" s="4" t="s">
        <v>2039</v>
      </c>
      <c r="I1636" s="6">
        <v>73586</v>
      </c>
      <c r="J1636" s="6">
        <v>73586</v>
      </c>
      <c r="K1636" s="37" t="s">
        <v>2650</v>
      </c>
      <c r="L1636" s="119"/>
      <c r="M1636" s="3"/>
    </row>
    <row r="1637" spans="1:13" s="4" customFormat="1" ht="25.5" x14ac:dyDescent="0.25">
      <c r="A1637" s="4" t="s">
        <v>2837</v>
      </c>
      <c r="B1637" s="4" t="s">
        <v>13</v>
      </c>
      <c r="C1637" s="37" t="s">
        <v>2650</v>
      </c>
      <c r="D1637" s="35">
        <v>4652</v>
      </c>
      <c r="E1637" s="4" t="s">
        <v>2838</v>
      </c>
      <c r="F1637" s="5">
        <v>39426</v>
      </c>
      <c r="G1637" s="5">
        <v>39844</v>
      </c>
      <c r="H1637" s="4" t="s">
        <v>2039</v>
      </c>
      <c r="I1637" s="6">
        <v>88573</v>
      </c>
      <c r="J1637" s="6">
        <v>88573</v>
      </c>
      <c r="K1637" s="37" t="s">
        <v>2650</v>
      </c>
      <c r="L1637" s="119"/>
      <c r="M1637" s="3"/>
    </row>
    <row r="1638" spans="1:13" s="4" customFormat="1" ht="25.5" x14ac:dyDescent="0.25">
      <c r="A1638" s="4" t="s">
        <v>2839</v>
      </c>
      <c r="B1638" s="4" t="s">
        <v>13</v>
      </c>
      <c r="C1638" s="37" t="s">
        <v>2650</v>
      </c>
      <c r="D1638" s="35">
        <v>4654</v>
      </c>
      <c r="E1638" s="4" t="s">
        <v>2840</v>
      </c>
      <c r="F1638" s="5">
        <v>39426</v>
      </c>
      <c r="G1638" s="5">
        <v>39791</v>
      </c>
      <c r="H1638" s="4" t="s">
        <v>2039</v>
      </c>
      <c r="I1638" s="6">
        <v>38972</v>
      </c>
      <c r="J1638" s="6">
        <v>38972</v>
      </c>
      <c r="K1638" s="37" t="s">
        <v>2650</v>
      </c>
      <c r="L1638" s="119"/>
      <c r="M1638" s="3"/>
    </row>
    <row r="1639" spans="1:13" s="4" customFormat="1" ht="25.5" x14ac:dyDescent="0.25">
      <c r="A1639" s="4" t="s">
        <v>2841</v>
      </c>
      <c r="B1639" s="4" t="s">
        <v>13</v>
      </c>
      <c r="C1639" s="37" t="s">
        <v>2650</v>
      </c>
      <c r="D1639" s="35">
        <v>4655</v>
      </c>
      <c r="E1639" s="4" t="s">
        <v>2842</v>
      </c>
      <c r="F1639" s="5">
        <v>39203</v>
      </c>
      <c r="G1639" s="5">
        <v>40298</v>
      </c>
      <c r="H1639" s="4" t="s">
        <v>2039</v>
      </c>
      <c r="I1639" s="6">
        <v>344064</v>
      </c>
      <c r="J1639" s="6">
        <v>344064</v>
      </c>
      <c r="K1639" s="37" t="s">
        <v>2650</v>
      </c>
      <c r="L1639" s="119"/>
      <c r="M1639" s="3"/>
    </row>
    <row r="1640" spans="1:13" s="4" customFormat="1" ht="25.5" x14ac:dyDescent="0.25">
      <c r="A1640" s="4" t="s">
        <v>2843</v>
      </c>
      <c r="B1640" s="4" t="s">
        <v>13</v>
      </c>
      <c r="C1640" s="37" t="s">
        <v>2650</v>
      </c>
      <c r="D1640" s="35">
        <v>4656</v>
      </c>
      <c r="E1640" s="4" t="s">
        <v>2844</v>
      </c>
      <c r="F1640" s="5">
        <v>39264</v>
      </c>
      <c r="G1640" s="5">
        <v>40194</v>
      </c>
      <c r="H1640" s="4" t="s">
        <v>2039</v>
      </c>
      <c r="I1640" s="6">
        <v>399992</v>
      </c>
      <c r="J1640" s="6">
        <v>399992</v>
      </c>
      <c r="K1640" s="37" t="s">
        <v>2650</v>
      </c>
      <c r="L1640" s="119"/>
      <c r="M1640" s="3"/>
    </row>
    <row r="1641" spans="1:13" s="4" customFormat="1" ht="25.5" x14ac:dyDescent="0.25">
      <c r="A1641" s="4" t="s">
        <v>2845</v>
      </c>
      <c r="B1641" s="4" t="s">
        <v>13</v>
      </c>
      <c r="C1641" s="37" t="s">
        <v>2650</v>
      </c>
      <c r="D1641" s="35">
        <v>4658</v>
      </c>
      <c r="E1641" s="4" t="s">
        <v>2846</v>
      </c>
      <c r="F1641" s="5">
        <v>39264</v>
      </c>
      <c r="G1641" s="5">
        <v>40086</v>
      </c>
      <c r="H1641" s="4" t="s">
        <v>2039</v>
      </c>
      <c r="I1641" s="6">
        <v>267912</v>
      </c>
      <c r="J1641" s="6">
        <v>267912</v>
      </c>
      <c r="K1641" s="37" t="s">
        <v>2650</v>
      </c>
      <c r="L1641" s="119"/>
      <c r="M1641" s="3"/>
    </row>
    <row r="1642" spans="1:13" s="4" customFormat="1" ht="25.5" x14ac:dyDescent="0.25">
      <c r="A1642" s="4" t="s">
        <v>2847</v>
      </c>
      <c r="B1642" s="4" t="s">
        <v>13</v>
      </c>
      <c r="C1642" s="37" t="s">
        <v>2650</v>
      </c>
      <c r="D1642" s="35">
        <v>4660</v>
      </c>
      <c r="E1642" s="4" t="s">
        <v>2848</v>
      </c>
      <c r="F1642" s="5">
        <v>39234</v>
      </c>
      <c r="G1642" s="5">
        <v>40452</v>
      </c>
      <c r="H1642" s="4" t="s">
        <v>2039</v>
      </c>
      <c r="I1642" s="6">
        <v>291895.38</v>
      </c>
      <c r="J1642" s="6">
        <v>291895.38</v>
      </c>
      <c r="K1642" s="37" t="s">
        <v>2650</v>
      </c>
      <c r="L1642" s="119"/>
      <c r="M1642" s="3"/>
    </row>
    <row r="1643" spans="1:13" s="4" customFormat="1" ht="25.5" x14ac:dyDescent="0.25">
      <c r="A1643" s="4" t="s">
        <v>2849</v>
      </c>
      <c r="B1643" s="4" t="s">
        <v>13</v>
      </c>
      <c r="C1643" s="37" t="s">
        <v>2650</v>
      </c>
      <c r="D1643" s="35">
        <v>4661</v>
      </c>
      <c r="E1643" s="4" t="s">
        <v>2850</v>
      </c>
      <c r="F1643" s="5">
        <v>39356</v>
      </c>
      <c r="G1643" s="5">
        <v>40359</v>
      </c>
      <c r="H1643" s="4" t="s">
        <v>2039</v>
      </c>
      <c r="I1643" s="6">
        <v>355200</v>
      </c>
      <c r="J1643" s="6">
        <v>355200</v>
      </c>
      <c r="K1643" s="37" t="s">
        <v>2650</v>
      </c>
      <c r="L1643" s="119"/>
      <c r="M1643" s="3"/>
    </row>
    <row r="1644" spans="1:13" s="4" customFormat="1" ht="38.25" x14ac:dyDescent="0.25">
      <c r="A1644" s="4" t="s">
        <v>2851</v>
      </c>
      <c r="B1644" s="4" t="s">
        <v>13</v>
      </c>
      <c r="C1644" s="37" t="s">
        <v>2650</v>
      </c>
      <c r="D1644" s="35">
        <v>4662</v>
      </c>
      <c r="E1644" s="4" t="s">
        <v>2852</v>
      </c>
      <c r="F1644" s="5">
        <v>39600</v>
      </c>
      <c r="G1644" s="5">
        <v>40512</v>
      </c>
      <c r="H1644" s="4" t="s">
        <v>2039</v>
      </c>
      <c r="I1644" s="6">
        <v>178981</v>
      </c>
      <c r="J1644" s="6">
        <v>178981</v>
      </c>
      <c r="K1644" s="37" t="s">
        <v>2650</v>
      </c>
      <c r="L1644" s="119"/>
      <c r="M1644" s="3"/>
    </row>
    <row r="1645" spans="1:13" s="4" customFormat="1" ht="25.5" x14ac:dyDescent="0.25">
      <c r="A1645" s="4" t="s">
        <v>2853</v>
      </c>
      <c r="B1645" s="4" t="s">
        <v>13</v>
      </c>
      <c r="C1645" s="37" t="s">
        <v>2650</v>
      </c>
      <c r="D1645" s="35">
        <v>4664</v>
      </c>
      <c r="E1645" s="4" t="s">
        <v>2854</v>
      </c>
      <c r="F1645" s="5">
        <v>39479</v>
      </c>
      <c r="G1645" s="5">
        <v>40389</v>
      </c>
      <c r="H1645" s="4" t="s">
        <v>2039</v>
      </c>
      <c r="I1645" s="6">
        <v>354540</v>
      </c>
      <c r="J1645" s="6">
        <v>354540</v>
      </c>
      <c r="K1645" s="37" t="s">
        <v>2650</v>
      </c>
      <c r="L1645" s="119"/>
      <c r="M1645" s="3"/>
    </row>
    <row r="1646" spans="1:13" s="4" customFormat="1" ht="25.5" x14ac:dyDescent="0.25">
      <c r="A1646" s="4" t="s">
        <v>2855</v>
      </c>
      <c r="B1646" s="4" t="s">
        <v>13</v>
      </c>
      <c r="C1646" s="37" t="s">
        <v>2650</v>
      </c>
      <c r="D1646" s="35">
        <v>4666</v>
      </c>
      <c r="E1646" s="4" t="s">
        <v>2856</v>
      </c>
      <c r="F1646" s="5">
        <v>39722</v>
      </c>
      <c r="G1646" s="5">
        <v>40816</v>
      </c>
      <c r="H1646" s="4" t="s">
        <v>2039</v>
      </c>
      <c r="I1646" s="6">
        <v>292474.15999999997</v>
      </c>
      <c r="J1646" s="6">
        <v>292474.15999999997</v>
      </c>
      <c r="K1646" s="37" t="s">
        <v>2650</v>
      </c>
      <c r="L1646" s="119"/>
      <c r="M1646" s="3"/>
    </row>
    <row r="1647" spans="1:13" s="4" customFormat="1" ht="25.5" x14ac:dyDescent="0.25">
      <c r="A1647" s="4" t="s">
        <v>2857</v>
      </c>
      <c r="B1647" s="4" t="s">
        <v>13</v>
      </c>
      <c r="C1647" s="37" t="s">
        <v>2650</v>
      </c>
      <c r="D1647" s="35">
        <v>4667</v>
      </c>
      <c r="E1647" s="4" t="s">
        <v>2858</v>
      </c>
      <c r="F1647" s="5">
        <v>39692</v>
      </c>
      <c r="G1647" s="5">
        <v>40421</v>
      </c>
      <c r="H1647" s="4" t="s">
        <v>2039</v>
      </c>
      <c r="I1647" s="6">
        <v>160824</v>
      </c>
      <c r="J1647" s="6">
        <v>160824</v>
      </c>
      <c r="K1647" s="37" t="s">
        <v>2650</v>
      </c>
      <c r="L1647" s="119"/>
      <c r="M1647" s="3"/>
    </row>
    <row r="1648" spans="1:13" s="4" customFormat="1" ht="25.5" x14ac:dyDescent="0.25">
      <c r="A1648" s="4" t="s">
        <v>2859</v>
      </c>
      <c r="B1648" s="4" t="s">
        <v>13</v>
      </c>
      <c r="C1648" s="37" t="s">
        <v>2650</v>
      </c>
      <c r="D1648" s="35">
        <v>4668</v>
      </c>
      <c r="E1648" s="4" t="s">
        <v>2860</v>
      </c>
      <c r="F1648" s="5">
        <v>39722</v>
      </c>
      <c r="G1648" s="5">
        <v>40817</v>
      </c>
      <c r="H1648" s="4" t="s">
        <v>2039</v>
      </c>
      <c r="I1648" s="6">
        <f>333531.14+17099.49</f>
        <v>350630.63</v>
      </c>
      <c r="J1648" s="6">
        <f>333531.14+17099.49</f>
        <v>350630.63</v>
      </c>
      <c r="K1648" s="37" t="s">
        <v>2650</v>
      </c>
      <c r="L1648" s="119"/>
      <c r="M1648" s="3"/>
    </row>
    <row r="1649" spans="1:13" s="4" customFormat="1" ht="51" x14ac:dyDescent="0.25">
      <c r="A1649" s="4" t="s">
        <v>2861</v>
      </c>
      <c r="B1649" s="4" t="s">
        <v>13</v>
      </c>
      <c r="C1649" s="37" t="s">
        <v>2650</v>
      </c>
      <c r="D1649" s="35">
        <v>4671</v>
      </c>
      <c r="E1649" s="4" t="s">
        <v>2862</v>
      </c>
      <c r="F1649" s="5">
        <v>40087</v>
      </c>
      <c r="G1649" s="5">
        <v>40816</v>
      </c>
      <c r="H1649" s="4" t="s">
        <v>2039</v>
      </c>
      <c r="I1649" s="6">
        <v>174751.1</v>
      </c>
      <c r="J1649" s="6">
        <v>174751.1</v>
      </c>
      <c r="K1649" s="37" t="s">
        <v>2650</v>
      </c>
      <c r="L1649" s="119"/>
      <c r="M1649" s="3"/>
    </row>
    <row r="1650" spans="1:13" s="4" customFormat="1" ht="63.75" x14ac:dyDescent="0.25">
      <c r="A1650" s="4" t="s">
        <v>2863</v>
      </c>
      <c r="B1650" s="4" t="s">
        <v>13</v>
      </c>
      <c r="C1650" s="37" t="s">
        <v>2650</v>
      </c>
      <c r="D1650" s="35">
        <v>5769</v>
      </c>
      <c r="E1650" s="4" t="s">
        <v>2864</v>
      </c>
      <c r="F1650" s="5">
        <v>40133</v>
      </c>
      <c r="G1650" s="5">
        <v>40313</v>
      </c>
      <c r="H1650" s="4" t="s">
        <v>2039</v>
      </c>
      <c r="I1650" s="6">
        <v>9375</v>
      </c>
      <c r="J1650" s="6">
        <v>9375</v>
      </c>
      <c r="K1650" s="37" t="s">
        <v>2650</v>
      </c>
      <c r="L1650" s="119"/>
      <c r="M1650" s="3"/>
    </row>
    <row r="1651" spans="1:13" s="4" customFormat="1" ht="127.5" x14ac:dyDescent="0.25">
      <c r="A1651" s="4" t="s">
        <v>2865</v>
      </c>
      <c r="B1651" s="4" t="s">
        <v>13</v>
      </c>
      <c r="C1651" s="37" t="s">
        <v>2650</v>
      </c>
      <c r="D1651" s="35">
        <v>5770</v>
      </c>
      <c r="E1651" s="7" t="s">
        <v>2866</v>
      </c>
      <c r="F1651" s="5">
        <v>39332</v>
      </c>
      <c r="G1651" s="5">
        <v>39828</v>
      </c>
      <c r="H1651" s="4" t="s">
        <v>2039</v>
      </c>
      <c r="I1651" s="6">
        <v>81170.399999999994</v>
      </c>
      <c r="J1651" s="6">
        <v>81170.399999999994</v>
      </c>
      <c r="K1651" s="37" t="s">
        <v>2650</v>
      </c>
      <c r="L1651" s="119"/>
      <c r="M1651" s="3"/>
    </row>
    <row r="1652" spans="1:13" s="4" customFormat="1" ht="51" x14ac:dyDescent="0.25">
      <c r="A1652" s="4" t="s">
        <v>2867</v>
      </c>
      <c r="B1652" s="4" t="s">
        <v>13</v>
      </c>
      <c r="C1652" s="37" t="s">
        <v>2650</v>
      </c>
      <c r="D1652" s="35">
        <v>5778</v>
      </c>
      <c r="E1652" s="4" t="s">
        <v>2868</v>
      </c>
      <c r="F1652" s="5">
        <v>39426</v>
      </c>
      <c r="G1652" s="5">
        <v>39895</v>
      </c>
      <c r="H1652" s="4" t="s">
        <v>2039</v>
      </c>
      <c r="I1652" s="6">
        <v>61726.29</v>
      </c>
      <c r="J1652" s="6">
        <v>61726.29</v>
      </c>
      <c r="K1652" s="37" t="s">
        <v>2650</v>
      </c>
      <c r="L1652" s="119"/>
      <c r="M1652" s="3"/>
    </row>
    <row r="1653" spans="1:13" s="4" customFormat="1" ht="25.5" x14ac:dyDescent="0.25">
      <c r="A1653" s="4" t="s">
        <v>2869</v>
      </c>
      <c r="B1653" s="4" t="s">
        <v>13</v>
      </c>
      <c r="C1653" s="37" t="s">
        <v>2650</v>
      </c>
      <c r="D1653" s="35">
        <v>5795</v>
      </c>
      <c r="E1653" s="4" t="s">
        <v>2870</v>
      </c>
      <c r="F1653" s="5">
        <v>39387</v>
      </c>
      <c r="G1653" s="5">
        <v>39994</v>
      </c>
      <c r="H1653" s="4" t="s">
        <v>2039</v>
      </c>
      <c r="I1653" s="6">
        <v>80709.95</v>
      </c>
      <c r="J1653" s="6">
        <v>80709.95</v>
      </c>
      <c r="K1653" s="37" t="s">
        <v>2650</v>
      </c>
      <c r="L1653" s="119"/>
      <c r="M1653" s="3"/>
    </row>
    <row r="1654" spans="1:13" s="4" customFormat="1" ht="38.25" x14ac:dyDescent="0.25">
      <c r="A1654" s="4" t="s">
        <v>2871</v>
      </c>
      <c r="B1654" s="4" t="s">
        <v>13</v>
      </c>
      <c r="C1654" s="37" t="s">
        <v>2650</v>
      </c>
      <c r="D1654" s="35">
        <v>5798</v>
      </c>
      <c r="E1654" s="4" t="s">
        <v>2872</v>
      </c>
      <c r="F1654" s="5">
        <v>39753</v>
      </c>
      <c r="G1654" s="5">
        <v>40116</v>
      </c>
      <c r="H1654" s="4" t="s">
        <v>2039</v>
      </c>
      <c r="I1654" s="6">
        <v>80241.210000000006</v>
      </c>
      <c r="J1654" s="6">
        <v>80241.210000000006</v>
      </c>
      <c r="K1654" s="37" t="s">
        <v>2650</v>
      </c>
      <c r="L1654" s="119"/>
      <c r="M1654" s="3"/>
    </row>
    <row r="1655" spans="1:13" s="4" customFormat="1" ht="76.5" x14ac:dyDescent="0.25">
      <c r="A1655" s="4" t="s">
        <v>2873</v>
      </c>
      <c r="B1655" s="4" t="s">
        <v>13</v>
      </c>
      <c r="C1655" s="37" t="s">
        <v>2650</v>
      </c>
      <c r="D1655" s="35">
        <v>5800</v>
      </c>
      <c r="E1655" s="4" t="s">
        <v>2874</v>
      </c>
      <c r="F1655" s="5">
        <v>39814</v>
      </c>
      <c r="G1655" s="5">
        <v>40178</v>
      </c>
      <c r="H1655" s="4" t="s">
        <v>2039</v>
      </c>
      <c r="I1655" s="6">
        <v>83433.72</v>
      </c>
      <c r="J1655" s="6">
        <v>83433.72</v>
      </c>
      <c r="K1655" s="37" t="s">
        <v>2650</v>
      </c>
      <c r="L1655" s="119"/>
      <c r="M1655" s="3"/>
    </row>
    <row r="1656" spans="1:13" s="4" customFormat="1" ht="38.25" x14ac:dyDescent="0.25">
      <c r="A1656" s="4" t="s">
        <v>2875</v>
      </c>
      <c r="B1656" s="4" t="s">
        <v>13</v>
      </c>
      <c r="C1656" s="37" t="s">
        <v>2650</v>
      </c>
      <c r="D1656" s="35">
        <v>5803</v>
      </c>
      <c r="E1656" s="4" t="s">
        <v>2876</v>
      </c>
      <c r="F1656" s="5">
        <v>39845</v>
      </c>
      <c r="G1656" s="5">
        <v>40209</v>
      </c>
      <c r="H1656" s="4" t="s">
        <v>2039</v>
      </c>
      <c r="I1656" s="6">
        <v>73421.41</v>
      </c>
      <c r="J1656" s="6">
        <v>73421.41</v>
      </c>
      <c r="K1656" s="37" t="s">
        <v>2650</v>
      </c>
      <c r="L1656" s="119"/>
      <c r="M1656" s="3"/>
    </row>
    <row r="1657" spans="1:13" s="4" customFormat="1" ht="38.25" x14ac:dyDescent="0.25">
      <c r="A1657" s="4" t="s">
        <v>2877</v>
      </c>
      <c r="B1657" s="4" t="s">
        <v>13</v>
      </c>
      <c r="C1657" s="37" t="s">
        <v>2650</v>
      </c>
      <c r="D1657" s="35">
        <v>5805</v>
      </c>
      <c r="E1657" s="4" t="s">
        <v>2878</v>
      </c>
      <c r="F1657" s="5">
        <v>39818</v>
      </c>
      <c r="G1657" s="5">
        <v>40183</v>
      </c>
      <c r="H1657" s="4" t="s">
        <v>2039</v>
      </c>
      <c r="I1657" s="6">
        <v>107344.48</v>
      </c>
      <c r="J1657" s="6">
        <v>107344.48</v>
      </c>
      <c r="K1657" s="37" t="s">
        <v>2650</v>
      </c>
      <c r="L1657" s="119"/>
      <c r="M1657" s="3"/>
    </row>
    <row r="1658" spans="1:13" s="4" customFormat="1" ht="63.75" x14ac:dyDescent="0.25">
      <c r="A1658" s="4" t="s">
        <v>2879</v>
      </c>
      <c r="B1658" s="4" t="s">
        <v>13</v>
      </c>
      <c r="C1658" s="37" t="s">
        <v>2650</v>
      </c>
      <c r="D1658" s="35">
        <v>5809</v>
      </c>
      <c r="E1658" s="4" t="s">
        <v>2880</v>
      </c>
      <c r="F1658" s="5">
        <v>39845</v>
      </c>
      <c r="G1658" s="5">
        <v>40268</v>
      </c>
      <c r="H1658" s="4" t="s">
        <v>2039</v>
      </c>
      <c r="I1658" s="6">
        <v>78200.91</v>
      </c>
      <c r="J1658" s="6">
        <v>78200.91</v>
      </c>
      <c r="K1658" s="37" t="s">
        <v>2650</v>
      </c>
      <c r="L1658" s="119"/>
      <c r="M1658" s="3"/>
    </row>
    <row r="1659" spans="1:13" s="4" customFormat="1" ht="51" x14ac:dyDescent="0.25">
      <c r="A1659" s="4" t="s">
        <v>2881</v>
      </c>
      <c r="B1659" s="4" t="s">
        <v>13</v>
      </c>
      <c r="C1659" s="37" t="s">
        <v>2650</v>
      </c>
      <c r="D1659" s="35">
        <v>5811</v>
      </c>
      <c r="E1659" s="4" t="s">
        <v>2882</v>
      </c>
      <c r="F1659" s="5">
        <v>40087</v>
      </c>
      <c r="G1659" s="5">
        <v>40862</v>
      </c>
      <c r="H1659" s="4" t="s">
        <v>2039</v>
      </c>
      <c r="I1659" s="6">
        <v>43305.62</v>
      </c>
      <c r="J1659" s="6">
        <v>43305.62</v>
      </c>
      <c r="K1659" s="37" t="s">
        <v>2650</v>
      </c>
      <c r="L1659" s="119"/>
      <c r="M1659" s="3"/>
    </row>
    <row r="1660" spans="1:13" s="4" customFormat="1" ht="51" x14ac:dyDescent="0.25">
      <c r="A1660" s="4" t="s">
        <v>2883</v>
      </c>
      <c r="B1660" s="4" t="s">
        <v>13</v>
      </c>
      <c r="C1660" s="37" t="s">
        <v>2650</v>
      </c>
      <c r="D1660" s="35">
        <v>5812</v>
      </c>
      <c r="E1660" s="4" t="s">
        <v>2884</v>
      </c>
      <c r="F1660" s="5">
        <v>40098</v>
      </c>
      <c r="G1660" s="5">
        <v>40535</v>
      </c>
      <c r="H1660" s="4" t="s">
        <v>2039</v>
      </c>
      <c r="I1660" s="6">
        <v>94171.5</v>
      </c>
      <c r="J1660" s="8">
        <v>94171.5</v>
      </c>
      <c r="K1660" s="37" t="s">
        <v>2650</v>
      </c>
      <c r="L1660" s="119"/>
      <c r="M1660" s="3"/>
    </row>
    <row r="1661" spans="1:13" s="4" customFormat="1" ht="76.5" x14ac:dyDescent="0.25">
      <c r="A1661" s="4" t="s">
        <v>2885</v>
      </c>
      <c r="B1661" s="4" t="s">
        <v>13</v>
      </c>
      <c r="C1661" s="37" t="s">
        <v>2650</v>
      </c>
      <c r="D1661" s="35">
        <v>5814</v>
      </c>
      <c r="E1661" s="4" t="s">
        <v>2886</v>
      </c>
      <c r="F1661" s="5">
        <v>39264</v>
      </c>
      <c r="G1661" s="5">
        <v>39752</v>
      </c>
      <c r="H1661" s="4" t="s">
        <v>2039</v>
      </c>
      <c r="I1661" s="6">
        <v>69528.350000000006</v>
      </c>
      <c r="J1661" s="6">
        <v>69528.350000000006</v>
      </c>
      <c r="K1661" s="37" t="s">
        <v>2650</v>
      </c>
      <c r="L1661" s="119"/>
      <c r="M1661" s="3"/>
    </row>
    <row r="1662" spans="1:13" s="4" customFormat="1" ht="89.25" x14ac:dyDescent="0.25">
      <c r="A1662" s="4" t="s">
        <v>2887</v>
      </c>
      <c r="B1662" s="4" t="s">
        <v>13</v>
      </c>
      <c r="C1662" s="37" t="s">
        <v>2650</v>
      </c>
      <c r="D1662" s="35">
        <v>5815</v>
      </c>
      <c r="E1662" s="7" t="s">
        <v>2888</v>
      </c>
      <c r="F1662" s="5">
        <v>39187</v>
      </c>
      <c r="G1662" s="5">
        <v>39782</v>
      </c>
      <c r="H1662" s="4" t="s">
        <v>2039</v>
      </c>
      <c r="I1662" s="6">
        <v>57079.83</v>
      </c>
      <c r="J1662" s="6">
        <v>57079.83</v>
      </c>
      <c r="K1662" s="37" t="s">
        <v>2650</v>
      </c>
      <c r="L1662" s="119"/>
      <c r="M1662" s="3"/>
    </row>
    <row r="1663" spans="1:13" s="4" customFormat="1" ht="51" x14ac:dyDescent="0.25">
      <c r="A1663" s="4" t="s">
        <v>2889</v>
      </c>
      <c r="B1663" s="4" t="s">
        <v>13</v>
      </c>
      <c r="C1663" s="37" t="s">
        <v>2650</v>
      </c>
      <c r="D1663" s="35">
        <v>5816</v>
      </c>
      <c r="E1663" s="4" t="s">
        <v>2890</v>
      </c>
      <c r="F1663" s="5">
        <v>39356</v>
      </c>
      <c r="G1663" s="5">
        <v>40574</v>
      </c>
      <c r="H1663" s="4" t="s">
        <v>2039</v>
      </c>
      <c r="I1663" s="6">
        <v>265575.08</v>
      </c>
      <c r="J1663" s="6">
        <v>265575.08</v>
      </c>
      <c r="K1663" s="37" t="s">
        <v>2650</v>
      </c>
      <c r="L1663" s="119"/>
      <c r="M1663" s="3"/>
    </row>
    <row r="1664" spans="1:13" s="4" customFormat="1" ht="63.75" x14ac:dyDescent="0.25">
      <c r="A1664" s="4" t="s">
        <v>2867</v>
      </c>
      <c r="B1664" s="4" t="s">
        <v>13</v>
      </c>
      <c r="C1664" s="37" t="s">
        <v>2650</v>
      </c>
      <c r="D1664" s="35">
        <v>5817</v>
      </c>
      <c r="E1664" s="4" t="s">
        <v>2891</v>
      </c>
      <c r="F1664" s="5">
        <v>39988</v>
      </c>
      <c r="G1664" s="5">
        <v>41090</v>
      </c>
      <c r="H1664" s="4" t="s">
        <v>2039</v>
      </c>
      <c r="I1664" s="6">
        <f>276906.03+66820.94</f>
        <v>343726.97000000003</v>
      </c>
      <c r="J1664" s="6">
        <f>276906.03+66820.94</f>
        <v>343726.97000000003</v>
      </c>
      <c r="K1664" s="37" t="s">
        <v>2650</v>
      </c>
      <c r="L1664" s="119"/>
      <c r="M1664" s="3"/>
    </row>
    <row r="1665" spans="1:13" s="4" customFormat="1" ht="89.25" x14ac:dyDescent="0.25">
      <c r="A1665" s="4" t="s">
        <v>2892</v>
      </c>
      <c r="B1665" s="4" t="s">
        <v>13</v>
      </c>
      <c r="C1665" s="37" t="s">
        <v>2650</v>
      </c>
      <c r="D1665" s="35">
        <v>5818</v>
      </c>
      <c r="E1665" s="7" t="s">
        <v>2893</v>
      </c>
      <c r="F1665" s="5">
        <v>40118</v>
      </c>
      <c r="G1665" s="5">
        <v>41577</v>
      </c>
      <c r="H1665" s="4" t="s">
        <v>2039</v>
      </c>
      <c r="I1665" s="6">
        <f>199745.59+68522.32</f>
        <v>268267.91000000003</v>
      </c>
      <c r="J1665" s="6">
        <f>199745.59+68522.32</f>
        <v>268267.91000000003</v>
      </c>
      <c r="K1665" s="37" t="s">
        <v>2650</v>
      </c>
      <c r="L1665" s="119"/>
      <c r="M1665" s="3"/>
    </row>
    <row r="1666" spans="1:13" s="4" customFormat="1" ht="89.25" x14ac:dyDescent="0.25">
      <c r="A1666" s="4" t="s">
        <v>2894</v>
      </c>
      <c r="B1666" s="4" t="s">
        <v>13</v>
      </c>
      <c r="C1666" s="37" t="s">
        <v>2650</v>
      </c>
      <c r="D1666" s="35">
        <v>5819</v>
      </c>
      <c r="E1666" s="7" t="s">
        <v>2895</v>
      </c>
      <c r="F1666" s="5">
        <v>39295</v>
      </c>
      <c r="G1666" s="5">
        <v>40497</v>
      </c>
      <c r="H1666" s="4" t="s">
        <v>2039</v>
      </c>
      <c r="I1666" s="6">
        <v>326100.7</v>
      </c>
      <c r="J1666" s="6">
        <v>326100.7</v>
      </c>
      <c r="K1666" s="37" t="s">
        <v>2650</v>
      </c>
      <c r="L1666" s="119"/>
      <c r="M1666" s="3"/>
    </row>
    <row r="1667" spans="1:13" s="4" customFormat="1" ht="63.75" x14ac:dyDescent="0.25">
      <c r="A1667" s="4" t="s">
        <v>2896</v>
      </c>
      <c r="B1667" s="4" t="s">
        <v>13</v>
      </c>
      <c r="C1667" s="37" t="s">
        <v>2650</v>
      </c>
      <c r="D1667" s="35">
        <v>5858</v>
      </c>
      <c r="E1667" s="4" t="s">
        <v>2897</v>
      </c>
      <c r="F1667" s="5">
        <v>39995</v>
      </c>
      <c r="G1667" s="5">
        <v>40451</v>
      </c>
      <c r="H1667" s="4" t="s">
        <v>2039</v>
      </c>
      <c r="I1667" s="6">
        <v>83556</v>
      </c>
      <c r="J1667" s="6">
        <v>83556</v>
      </c>
      <c r="K1667" s="37" t="s">
        <v>2650</v>
      </c>
      <c r="L1667" s="119"/>
      <c r="M1667" s="3"/>
    </row>
    <row r="1668" spans="1:13" s="4" customFormat="1" ht="89.25" x14ac:dyDescent="0.25">
      <c r="A1668" s="4" t="s">
        <v>2898</v>
      </c>
      <c r="B1668" s="4" t="s">
        <v>13</v>
      </c>
      <c r="C1668" s="37" t="s">
        <v>2650</v>
      </c>
      <c r="D1668" s="35">
        <v>5859</v>
      </c>
      <c r="E1668" s="7" t="s">
        <v>2899</v>
      </c>
      <c r="F1668" s="5">
        <v>39934</v>
      </c>
      <c r="G1668" s="5">
        <v>40847</v>
      </c>
      <c r="H1668" s="4" t="s">
        <v>2039</v>
      </c>
      <c r="I1668" s="6">
        <f>321686.44-1605.76</f>
        <v>320080.68</v>
      </c>
      <c r="J1668" s="6">
        <f>321686.44-1605.76</f>
        <v>320080.68</v>
      </c>
      <c r="K1668" s="37" t="s">
        <v>2650</v>
      </c>
      <c r="L1668" s="119"/>
      <c r="M1668" s="3"/>
    </row>
    <row r="1669" spans="1:13" s="4" customFormat="1" ht="25.5" x14ac:dyDescent="0.25">
      <c r="A1669" s="4" t="s">
        <v>2900</v>
      </c>
      <c r="B1669" s="4" t="s">
        <v>13</v>
      </c>
      <c r="C1669" s="37" t="s">
        <v>2650</v>
      </c>
      <c r="D1669" s="35">
        <v>5974</v>
      </c>
      <c r="E1669" s="4" t="s">
        <v>2900</v>
      </c>
      <c r="F1669" s="5">
        <v>39873</v>
      </c>
      <c r="G1669" s="5">
        <v>40388</v>
      </c>
      <c r="H1669" s="4" t="s">
        <v>2039</v>
      </c>
      <c r="I1669" s="6">
        <v>58337.919999999998</v>
      </c>
      <c r="J1669" s="6">
        <v>58337.919999999998</v>
      </c>
      <c r="K1669" s="37" t="s">
        <v>2650</v>
      </c>
      <c r="L1669" s="119"/>
      <c r="M1669" s="3"/>
    </row>
    <row r="1670" spans="1:13" s="4" customFormat="1" ht="25.5" x14ac:dyDescent="0.25">
      <c r="A1670" s="4" t="s">
        <v>2901</v>
      </c>
      <c r="B1670" s="4" t="s">
        <v>13</v>
      </c>
      <c r="C1670" s="37" t="s">
        <v>2650</v>
      </c>
      <c r="D1670" s="35">
        <v>5975</v>
      </c>
      <c r="E1670" s="4" t="s">
        <v>2901</v>
      </c>
      <c r="F1670" s="5">
        <v>39995</v>
      </c>
      <c r="G1670" s="5">
        <v>40330</v>
      </c>
      <c r="H1670" s="4" t="s">
        <v>2039</v>
      </c>
      <c r="I1670" s="6">
        <v>21866.19</v>
      </c>
      <c r="J1670" s="6">
        <v>21866.19</v>
      </c>
      <c r="K1670" s="37" t="s">
        <v>2650</v>
      </c>
      <c r="L1670" s="119"/>
      <c r="M1670" s="3"/>
    </row>
    <row r="1671" spans="1:13" s="4" customFormat="1" ht="25.5" x14ac:dyDescent="0.25">
      <c r="A1671" s="4" t="s">
        <v>2902</v>
      </c>
      <c r="B1671" s="4" t="s">
        <v>13</v>
      </c>
      <c r="C1671" s="37" t="s">
        <v>2650</v>
      </c>
      <c r="D1671" s="35">
        <v>5976</v>
      </c>
      <c r="E1671" s="4" t="s">
        <v>2903</v>
      </c>
      <c r="F1671" s="5">
        <v>39539</v>
      </c>
      <c r="G1671" s="5">
        <v>39872</v>
      </c>
      <c r="H1671" s="4" t="s">
        <v>2039</v>
      </c>
      <c r="I1671" s="6">
        <v>38678.49</v>
      </c>
      <c r="J1671" s="6">
        <v>38678.49</v>
      </c>
      <c r="K1671" s="37" t="s">
        <v>2650</v>
      </c>
      <c r="L1671" s="119"/>
      <c r="M1671" s="3"/>
    </row>
    <row r="1672" spans="1:13" s="4" customFormat="1" ht="38.25" x14ac:dyDescent="0.25">
      <c r="A1672" s="4" t="s">
        <v>2904</v>
      </c>
      <c r="B1672" s="4" t="s">
        <v>13</v>
      </c>
      <c r="C1672" s="37" t="s">
        <v>2650</v>
      </c>
      <c r="D1672" s="35">
        <v>5978</v>
      </c>
      <c r="E1672" s="4" t="s">
        <v>2905</v>
      </c>
      <c r="F1672" s="5">
        <v>39617</v>
      </c>
      <c r="G1672" s="5">
        <v>40214</v>
      </c>
      <c r="H1672" s="4" t="s">
        <v>2039</v>
      </c>
      <c r="I1672" s="6">
        <v>77001.87</v>
      </c>
      <c r="J1672" s="6">
        <v>77001.87</v>
      </c>
      <c r="K1672" s="37" t="s">
        <v>2650</v>
      </c>
      <c r="L1672" s="119"/>
      <c r="M1672" s="3"/>
    </row>
    <row r="1673" spans="1:13" s="4" customFormat="1" ht="25.5" x14ac:dyDescent="0.25">
      <c r="A1673" s="4" t="s">
        <v>2906</v>
      </c>
      <c r="B1673" s="4" t="s">
        <v>13</v>
      </c>
      <c r="C1673" s="37" t="s">
        <v>2650</v>
      </c>
      <c r="D1673" s="35">
        <v>5979</v>
      </c>
      <c r="E1673" s="4" t="s">
        <v>2907</v>
      </c>
      <c r="F1673" s="5">
        <v>39618</v>
      </c>
      <c r="G1673" s="5">
        <v>40329</v>
      </c>
      <c r="H1673" s="4" t="s">
        <v>2039</v>
      </c>
      <c r="I1673" s="6">
        <v>58114.720000000001</v>
      </c>
      <c r="J1673" s="6">
        <v>58114.720000000001</v>
      </c>
      <c r="K1673" s="37" t="s">
        <v>2650</v>
      </c>
      <c r="L1673" s="119"/>
      <c r="M1673" s="3"/>
    </row>
    <row r="1674" spans="1:13" s="4" customFormat="1" ht="25.5" x14ac:dyDescent="0.25">
      <c r="A1674" s="4" t="s">
        <v>2908</v>
      </c>
      <c r="B1674" s="4" t="s">
        <v>13</v>
      </c>
      <c r="C1674" s="37" t="s">
        <v>2650</v>
      </c>
      <c r="D1674" s="35">
        <v>5980</v>
      </c>
      <c r="E1674" s="4" t="s">
        <v>2909</v>
      </c>
      <c r="F1674" s="5">
        <v>39722</v>
      </c>
      <c r="G1674" s="5">
        <v>40268</v>
      </c>
      <c r="H1674" s="4" t="s">
        <v>2039</v>
      </c>
      <c r="I1674" s="6">
        <v>64302.44</v>
      </c>
      <c r="J1674" s="6">
        <v>64302.44</v>
      </c>
      <c r="K1674" s="37" t="s">
        <v>2650</v>
      </c>
      <c r="L1674" s="119"/>
      <c r="M1674" s="3"/>
    </row>
    <row r="1675" spans="1:13" s="4" customFormat="1" ht="25.5" x14ac:dyDescent="0.25">
      <c r="A1675" s="4" t="s">
        <v>2910</v>
      </c>
      <c r="B1675" s="4" t="s">
        <v>13</v>
      </c>
      <c r="C1675" s="37" t="s">
        <v>2650</v>
      </c>
      <c r="D1675" s="35">
        <v>5982</v>
      </c>
      <c r="E1675" s="4" t="s">
        <v>2911</v>
      </c>
      <c r="F1675" s="5">
        <v>39845</v>
      </c>
      <c r="G1675" s="5">
        <v>40295</v>
      </c>
      <c r="H1675" s="4" t="s">
        <v>2039</v>
      </c>
      <c r="I1675" s="6">
        <v>55319.35</v>
      </c>
      <c r="J1675" s="6">
        <v>55319.35</v>
      </c>
      <c r="K1675" s="37" t="s">
        <v>2650</v>
      </c>
      <c r="L1675" s="119"/>
      <c r="M1675" s="3"/>
    </row>
    <row r="1676" spans="1:13" s="4" customFormat="1" ht="25.5" x14ac:dyDescent="0.25">
      <c r="A1676" s="4" t="s">
        <v>2912</v>
      </c>
      <c r="B1676" s="4" t="s">
        <v>13</v>
      </c>
      <c r="C1676" s="37" t="s">
        <v>2650</v>
      </c>
      <c r="D1676" s="35">
        <v>5983</v>
      </c>
      <c r="E1676" s="4" t="s">
        <v>2913</v>
      </c>
      <c r="F1676" s="5">
        <v>40087</v>
      </c>
      <c r="G1676" s="5">
        <v>40451</v>
      </c>
      <c r="H1676" s="4" t="s">
        <v>2039</v>
      </c>
      <c r="I1676" s="6">
        <v>76970.11</v>
      </c>
      <c r="J1676" s="6">
        <v>76970.11</v>
      </c>
      <c r="K1676" s="37" t="s">
        <v>2650</v>
      </c>
      <c r="L1676" s="119"/>
      <c r="M1676" s="3"/>
    </row>
    <row r="1677" spans="1:13" s="4" customFormat="1" ht="25.5" x14ac:dyDescent="0.25">
      <c r="A1677" s="4" t="s">
        <v>2914</v>
      </c>
      <c r="B1677" s="4" t="s">
        <v>13</v>
      </c>
      <c r="C1677" s="37" t="s">
        <v>2650</v>
      </c>
      <c r="D1677" s="35">
        <v>5984</v>
      </c>
      <c r="E1677" s="4" t="s">
        <v>2914</v>
      </c>
      <c r="F1677" s="5">
        <v>39265</v>
      </c>
      <c r="G1677" s="5">
        <v>39660</v>
      </c>
      <c r="H1677" s="4" t="s">
        <v>2039</v>
      </c>
      <c r="I1677" s="6">
        <v>67890.429999999993</v>
      </c>
      <c r="J1677" s="6">
        <v>67890.429999999993</v>
      </c>
      <c r="K1677" s="37" t="s">
        <v>2650</v>
      </c>
      <c r="L1677" s="119"/>
      <c r="M1677" s="3"/>
    </row>
    <row r="1678" spans="1:13" s="4" customFormat="1" ht="25.5" x14ac:dyDescent="0.25">
      <c r="A1678" s="4" t="s">
        <v>2915</v>
      </c>
      <c r="B1678" s="4" t="s">
        <v>13</v>
      </c>
      <c r="C1678" s="37" t="s">
        <v>2650</v>
      </c>
      <c r="D1678" s="35">
        <v>5985</v>
      </c>
      <c r="E1678" s="4" t="s">
        <v>2916</v>
      </c>
      <c r="F1678" s="5">
        <v>39356</v>
      </c>
      <c r="G1678" s="5">
        <v>40018</v>
      </c>
      <c r="H1678" s="4" t="s">
        <v>2039</v>
      </c>
      <c r="I1678" s="6">
        <v>63467.4</v>
      </c>
      <c r="J1678" s="6">
        <v>63467.4</v>
      </c>
      <c r="K1678" s="37" t="s">
        <v>2650</v>
      </c>
      <c r="L1678" s="119"/>
      <c r="M1678" s="3"/>
    </row>
    <row r="1679" spans="1:13" s="4" customFormat="1" ht="25.5" x14ac:dyDescent="0.25">
      <c r="A1679" s="4" t="s">
        <v>2917</v>
      </c>
      <c r="B1679" s="4" t="s">
        <v>13</v>
      </c>
      <c r="C1679" s="37" t="s">
        <v>2650</v>
      </c>
      <c r="D1679" s="35">
        <v>5986</v>
      </c>
      <c r="E1679" s="4" t="s">
        <v>2918</v>
      </c>
      <c r="F1679" s="5">
        <v>39426</v>
      </c>
      <c r="G1679" s="5">
        <v>40055</v>
      </c>
      <c r="H1679" s="4" t="s">
        <v>2039</v>
      </c>
      <c r="I1679" s="6">
        <v>51207.19</v>
      </c>
      <c r="J1679" s="6">
        <v>51207.19</v>
      </c>
      <c r="K1679" s="37" t="s">
        <v>2650</v>
      </c>
      <c r="L1679" s="119"/>
      <c r="M1679" s="3"/>
    </row>
    <row r="1680" spans="1:13" s="4" customFormat="1" ht="25.5" x14ac:dyDescent="0.25">
      <c r="A1680" s="4" t="s">
        <v>2919</v>
      </c>
      <c r="B1680" s="4" t="s">
        <v>13</v>
      </c>
      <c r="C1680" s="37" t="s">
        <v>2650</v>
      </c>
      <c r="D1680" s="35">
        <v>5987</v>
      </c>
      <c r="E1680" s="4" t="s">
        <v>2920</v>
      </c>
      <c r="F1680" s="5">
        <v>39727</v>
      </c>
      <c r="G1680" s="5">
        <v>40144</v>
      </c>
      <c r="H1680" s="4" t="s">
        <v>2039</v>
      </c>
      <c r="I1680" s="6">
        <v>37091.870000000003</v>
      </c>
      <c r="J1680" s="6">
        <v>37091.870000000003</v>
      </c>
      <c r="K1680" s="37" t="s">
        <v>2650</v>
      </c>
      <c r="L1680" s="119"/>
      <c r="M1680" s="3"/>
    </row>
    <row r="1681" spans="1:13" s="4" customFormat="1" ht="38.25" x14ac:dyDescent="0.25">
      <c r="A1681" s="4" t="s">
        <v>2921</v>
      </c>
      <c r="B1681" s="4" t="s">
        <v>13</v>
      </c>
      <c r="C1681" s="37" t="s">
        <v>2650</v>
      </c>
      <c r="D1681" s="35">
        <v>5989</v>
      </c>
      <c r="E1681" s="4" t="s">
        <v>2922</v>
      </c>
      <c r="F1681" s="5">
        <v>40087</v>
      </c>
      <c r="G1681" s="5">
        <v>40451</v>
      </c>
      <c r="H1681" s="4" t="s">
        <v>2039</v>
      </c>
      <c r="I1681" s="6">
        <v>40373.26</v>
      </c>
      <c r="J1681" s="6">
        <v>40373.26</v>
      </c>
      <c r="K1681" s="37" t="s">
        <v>2650</v>
      </c>
      <c r="L1681" s="119"/>
      <c r="M1681" s="3"/>
    </row>
    <row r="1682" spans="1:13" s="4" customFormat="1" ht="25.5" x14ac:dyDescent="0.25">
      <c r="A1682" s="4" t="s">
        <v>2923</v>
      </c>
      <c r="B1682" s="4" t="s">
        <v>13</v>
      </c>
      <c r="C1682" s="37" t="s">
        <v>2650</v>
      </c>
      <c r="D1682" s="35">
        <v>5990</v>
      </c>
      <c r="E1682" s="4" t="s">
        <v>2924</v>
      </c>
      <c r="F1682" s="5">
        <v>40026</v>
      </c>
      <c r="G1682" s="5">
        <v>40329</v>
      </c>
      <c r="H1682" s="4" t="s">
        <v>2039</v>
      </c>
      <c r="I1682" s="6">
        <v>68106.28</v>
      </c>
      <c r="J1682" s="6">
        <v>68106.28</v>
      </c>
      <c r="K1682" s="37" t="s">
        <v>2650</v>
      </c>
      <c r="L1682" s="119"/>
      <c r="M1682" s="3"/>
    </row>
    <row r="1683" spans="1:13" s="4" customFormat="1" ht="25.5" x14ac:dyDescent="0.25">
      <c r="A1683" s="4" t="s">
        <v>2925</v>
      </c>
      <c r="B1683" s="4" t="s">
        <v>13</v>
      </c>
      <c r="C1683" s="37" t="s">
        <v>2650</v>
      </c>
      <c r="D1683" s="35">
        <v>5991</v>
      </c>
      <c r="E1683" s="4" t="s">
        <v>2926</v>
      </c>
      <c r="F1683" s="5">
        <v>39454</v>
      </c>
      <c r="G1683" s="5">
        <v>40365</v>
      </c>
      <c r="H1683" s="4" t="s">
        <v>2039</v>
      </c>
      <c r="I1683" s="6">
        <v>380919.67</v>
      </c>
      <c r="J1683" s="6">
        <v>380919.67</v>
      </c>
      <c r="K1683" s="37" t="s">
        <v>2650</v>
      </c>
      <c r="L1683" s="119"/>
      <c r="M1683" s="3"/>
    </row>
    <row r="1684" spans="1:13" s="4" customFormat="1" ht="25.5" x14ac:dyDescent="0.25">
      <c r="A1684" s="4" t="s">
        <v>2927</v>
      </c>
      <c r="B1684" s="4" t="s">
        <v>13</v>
      </c>
      <c r="C1684" s="37" t="s">
        <v>2650</v>
      </c>
      <c r="D1684" s="35">
        <v>5992</v>
      </c>
      <c r="E1684" s="4" t="s">
        <v>2928</v>
      </c>
      <c r="F1684" s="5">
        <v>39508</v>
      </c>
      <c r="G1684" s="5">
        <v>40602</v>
      </c>
      <c r="H1684" s="4" t="s">
        <v>2039</v>
      </c>
      <c r="I1684" s="6">
        <f>251459.2+25162.59+187017.13</f>
        <v>463638.92000000004</v>
      </c>
      <c r="J1684" s="6">
        <v>463638.92</v>
      </c>
      <c r="K1684" s="37" t="s">
        <v>2650</v>
      </c>
      <c r="L1684" s="119"/>
      <c r="M1684" s="3"/>
    </row>
    <row r="1685" spans="1:13" s="4" customFormat="1" ht="25.5" x14ac:dyDescent="0.25">
      <c r="A1685" s="4" t="s">
        <v>2929</v>
      </c>
      <c r="B1685" s="4" t="s">
        <v>13</v>
      </c>
      <c r="C1685" s="37" t="s">
        <v>2650</v>
      </c>
      <c r="D1685" s="35">
        <v>5993</v>
      </c>
      <c r="E1685" s="4" t="s">
        <v>2930</v>
      </c>
      <c r="F1685" s="5">
        <v>40087</v>
      </c>
      <c r="G1685" s="5">
        <v>40633</v>
      </c>
      <c r="H1685" s="4" t="s">
        <v>2039</v>
      </c>
      <c r="I1685" s="6">
        <f>18966.3+69483.09+89201.88+103200.91</f>
        <v>280852.18000000005</v>
      </c>
      <c r="J1685" s="6">
        <f>211369.09+69483.09</f>
        <v>280852.18</v>
      </c>
      <c r="K1685" s="37" t="s">
        <v>2650</v>
      </c>
      <c r="L1685" s="119"/>
      <c r="M1685" s="3"/>
    </row>
    <row r="1686" spans="1:13" s="4" customFormat="1" ht="25.5" x14ac:dyDescent="0.25">
      <c r="A1686" s="4" t="s">
        <v>2931</v>
      </c>
      <c r="B1686" s="4" t="s">
        <v>13</v>
      </c>
      <c r="C1686" s="37" t="s">
        <v>2650</v>
      </c>
      <c r="D1686" s="35">
        <v>6197</v>
      </c>
      <c r="E1686" s="4" t="s">
        <v>2932</v>
      </c>
      <c r="F1686" s="5">
        <v>39814</v>
      </c>
      <c r="G1686" s="5">
        <v>40178</v>
      </c>
      <c r="H1686" s="4" t="s">
        <v>2039</v>
      </c>
      <c r="I1686" s="6">
        <v>106443.02</v>
      </c>
      <c r="J1686" s="6">
        <v>106443.02</v>
      </c>
      <c r="K1686" s="37" t="s">
        <v>2650</v>
      </c>
      <c r="L1686" s="119"/>
      <c r="M1686" s="3"/>
    </row>
    <row r="1687" spans="1:13" s="4" customFormat="1" ht="25.5" x14ac:dyDescent="0.25">
      <c r="A1687" s="4" t="s">
        <v>2933</v>
      </c>
      <c r="B1687" s="4" t="s">
        <v>13</v>
      </c>
      <c r="C1687" s="37" t="s">
        <v>2650</v>
      </c>
      <c r="D1687" s="35">
        <v>6199</v>
      </c>
      <c r="E1687" s="4" t="s">
        <v>2934</v>
      </c>
      <c r="F1687" s="5">
        <v>40026</v>
      </c>
      <c r="G1687" s="5">
        <v>40209</v>
      </c>
      <c r="H1687" s="4" t="s">
        <v>2039</v>
      </c>
      <c r="I1687" s="6">
        <v>28690.5</v>
      </c>
      <c r="J1687" s="6">
        <v>28690.5</v>
      </c>
      <c r="K1687" s="37" t="s">
        <v>2650</v>
      </c>
      <c r="L1687" s="119"/>
      <c r="M1687" s="3"/>
    </row>
    <row r="1688" spans="1:13" s="4" customFormat="1" ht="38.25" x14ac:dyDescent="0.25">
      <c r="A1688" s="4" t="s">
        <v>2935</v>
      </c>
      <c r="B1688" s="4" t="s">
        <v>13</v>
      </c>
      <c r="C1688" s="37" t="s">
        <v>2650</v>
      </c>
      <c r="D1688" s="35">
        <v>6200</v>
      </c>
      <c r="E1688" s="4" t="s">
        <v>2936</v>
      </c>
      <c r="F1688" s="5">
        <v>40071</v>
      </c>
      <c r="G1688" s="5">
        <v>40359</v>
      </c>
      <c r="H1688" s="4" t="s">
        <v>2039</v>
      </c>
      <c r="I1688" s="6">
        <v>37432.699999999997</v>
      </c>
      <c r="J1688" s="6">
        <v>37432.699999999997</v>
      </c>
      <c r="K1688" s="37" t="s">
        <v>2650</v>
      </c>
      <c r="L1688" s="119"/>
      <c r="M1688" s="3"/>
    </row>
    <row r="1689" spans="1:13" s="4" customFormat="1" ht="25.5" x14ac:dyDescent="0.25">
      <c r="A1689" s="4" t="s">
        <v>2937</v>
      </c>
      <c r="B1689" s="4" t="s">
        <v>13</v>
      </c>
      <c r="C1689" s="37" t="s">
        <v>2650</v>
      </c>
      <c r="D1689" s="35">
        <v>6201</v>
      </c>
      <c r="E1689" s="4" t="s">
        <v>2938</v>
      </c>
      <c r="F1689" s="5">
        <v>39203</v>
      </c>
      <c r="G1689" s="5">
        <v>39599</v>
      </c>
      <c r="H1689" s="4" t="s">
        <v>2039</v>
      </c>
      <c r="I1689" s="6">
        <v>57101.78</v>
      </c>
      <c r="J1689" s="6">
        <v>57101.78</v>
      </c>
      <c r="K1689" s="37" t="s">
        <v>2650</v>
      </c>
      <c r="L1689" s="119"/>
      <c r="M1689" s="3"/>
    </row>
    <row r="1690" spans="1:13" s="4" customFormat="1" ht="25.5" x14ac:dyDescent="0.25">
      <c r="A1690" s="4" t="s">
        <v>2939</v>
      </c>
      <c r="B1690" s="4" t="s">
        <v>13</v>
      </c>
      <c r="C1690" s="37" t="s">
        <v>2650</v>
      </c>
      <c r="D1690" s="35">
        <v>6202</v>
      </c>
      <c r="E1690" s="4" t="s">
        <v>2940</v>
      </c>
      <c r="F1690" s="5">
        <v>39326</v>
      </c>
      <c r="G1690" s="5">
        <v>39878</v>
      </c>
      <c r="H1690" s="4" t="s">
        <v>2039</v>
      </c>
      <c r="I1690" s="6">
        <v>94932.3</v>
      </c>
      <c r="J1690" s="6">
        <v>94932.3</v>
      </c>
      <c r="K1690" s="37" t="s">
        <v>2650</v>
      </c>
      <c r="L1690" s="119"/>
      <c r="M1690" s="3"/>
    </row>
    <row r="1691" spans="1:13" s="4" customFormat="1" ht="38.25" x14ac:dyDescent="0.25">
      <c r="A1691" s="4" t="s">
        <v>2941</v>
      </c>
      <c r="B1691" s="4" t="s">
        <v>13</v>
      </c>
      <c r="C1691" s="37" t="s">
        <v>2650</v>
      </c>
      <c r="D1691" s="35">
        <v>6203</v>
      </c>
      <c r="E1691" s="4" t="s">
        <v>2942</v>
      </c>
      <c r="F1691" s="5">
        <v>39508</v>
      </c>
      <c r="G1691" s="5">
        <v>39994</v>
      </c>
      <c r="H1691" s="4" t="s">
        <v>2039</v>
      </c>
      <c r="I1691" s="6">
        <v>75777.789999999994</v>
      </c>
      <c r="J1691" s="6">
        <v>75777.789999999994</v>
      </c>
      <c r="K1691" s="37" t="s">
        <v>2650</v>
      </c>
      <c r="L1691" s="119"/>
      <c r="M1691" s="3"/>
    </row>
    <row r="1692" spans="1:13" s="4" customFormat="1" ht="38.25" x14ac:dyDescent="0.25">
      <c r="A1692" s="4" t="s">
        <v>2943</v>
      </c>
      <c r="B1692" s="4" t="s">
        <v>13</v>
      </c>
      <c r="C1692" s="37" t="s">
        <v>2650</v>
      </c>
      <c r="D1692" s="35">
        <v>6205</v>
      </c>
      <c r="E1692" s="4" t="s">
        <v>2944</v>
      </c>
      <c r="F1692" s="5">
        <v>39539</v>
      </c>
      <c r="G1692" s="5">
        <v>40178</v>
      </c>
      <c r="H1692" s="4" t="s">
        <v>2039</v>
      </c>
      <c r="I1692" s="6">
        <v>36130.19</v>
      </c>
      <c r="J1692" s="6">
        <v>36130.19</v>
      </c>
      <c r="K1692" s="37" t="s">
        <v>2650</v>
      </c>
      <c r="L1692" s="119"/>
      <c r="M1692" s="3"/>
    </row>
    <row r="1693" spans="1:13" s="4" customFormat="1" ht="25.5" x14ac:dyDescent="0.25">
      <c r="A1693" s="4" t="s">
        <v>2945</v>
      </c>
      <c r="B1693" s="4" t="s">
        <v>13</v>
      </c>
      <c r="C1693" s="37" t="s">
        <v>2650</v>
      </c>
      <c r="D1693" s="35">
        <v>6206</v>
      </c>
      <c r="E1693" s="4" t="s">
        <v>2946</v>
      </c>
      <c r="F1693" s="5">
        <v>39426</v>
      </c>
      <c r="G1693" s="5">
        <v>39762</v>
      </c>
      <c r="H1693" s="4" t="s">
        <v>2039</v>
      </c>
      <c r="I1693" s="6">
        <v>48759.49</v>
      </c>
      <c r="J1693" s="6">
        <v>48759.49</v>
      </c>
      <c r="K1693" s="37" t="s">
        <v>2650</v>
      </c>
      <c r="L1693" s="119"/>
      <c r="M1693" s="3"/>
    </row>
    <row r="1694" spans="1:13" s="4" customFormat="1" ht="25.5" x14ac:dyDescent="0.25">
      <c r="A1694" s="4" t="s">
        <v>2947</v>
      </c>
      <c r="B1694" s="4" t="s">
        <v>13</v>
      </c>
      <c r="C1694" s="37" t="s">
        <v>2650</v>
      </c>
      <c r="D1694" s="35">
        <v>6207</v>
      </c>
      <c r="E1694" s="4" t="s">
        <v>2948</v>
      </c>
      <c r="F1694" s="5">
        <v>39508</v>
      </c>
      <c r="G1694" s="5">
        <v>39871</v>
      </c>
      <c r="H1694" s="4" t="s">
        <v>2039</v>
      </c>
      <c r="I1694" s="6">
        <v>78618</v>
      </c>
      <c r="J1694" s="6">
        <v>78618</v>
      </c>
      <c r="K1694" s="37" t="s">
        <v>2650</v>
      </c>
      <c r="L1694" s="119"/>
      <c r="M1694" s="3"/>
    </row>
    <row r="1695" spans="1:13" s="4" customFormat="1" ht="38.25" x14ac:dyDescent="0.25">
      <c r="A1695" s="4" t="s">
        <v>2949</v>
      </c>
      <c r="B1695" s="4" t="s">
        <v>13</v>
      </c>
      <c r="C1695" s="37" t="s">
        <v>2650</v>
      </c>
      <c r="D1695" s="35">
        <v>6208</v>
      </c>
      <c r="E1695" s="4" t="s">
        <v>2950</v>
      </c>
      <c r="F1695" s="5">
        <v>39569</v>
      </c>
      <c r="G1695" s="5">
        <v>39933</v>
      </c>
      <c r="H1695" s="4" t="s">
        <v>2039</v>
      </c>
      <c r="I1695" s="6">
        <v>77461.259999999995</v>
      </c>
      <c r="J1695" s="6">
        <v>77461.259999999995</v>
      </c>
      <c r="K1695" s="37" t="s">
        <v>2650</v>
      </c>
      <c r="L1695" s="119"/>
      <c r="M1695" s="3"/>
    </row>
    <row r="1696" spans="1:13" s="4" customFormat="1" ht="25.5" x14ac:dyDescent="0.25">
      <c r="A1696" s="4" t="s">
        <v>2951</v>
      </c>
      <c r="B1696" s="4" t="s">
        <v>13</v>
      </c>
      <c r="C1696" s="37" t="s">
        <v>2650</v>
      </c>
      <c r="D1696" s="35">
        <v>6209</v>
      </c>
      <c r="E1696" s="4" t="s">
        <v>2952</v>
      </c>
      <c r="F1696" s="5">
        <v>39426</v>
      </c>
      <c r="G1696" s="5">
        <v>39974</v>
      </c>
      <c r="H1696" s="4" t="s">
        <v>2039</v>
      </c>
      <c r="I1696" s="6">
        <v>61999.48</v>
      </c>
      <c r="J1696" s="6">
        <v>61999.48</v>
      </c>
      <c r="K1696" s="37" t="s">
        <v>2650</v>
      </c>
      <c r="L1696" s="119"/>
      <c r="M1696" s="3"/>
    </row>
    <row r="1697" spans="1:13" s="4" customFormat="1" ht="25.5" x14ac:dyDescent="0.25">
      <c r="A1697" s="4" t="s">
        <v>2953</v>
      </c>
      <c r="B1697" s="4" t="s">
        <v>13</v>
      </c>
      <c r="C1697" s="37" t="s">
        <v>2650</v>
      </c>
      <c r="D1697" s="35">
        <v>6210</v>
      </c>
      <c r="E1697" s="4" t="s">
        <v>2954</v>
      </c>
      <c r="F1697" s="5">
        <v>39508</v>
      </c>
      <c r="G1697" s="5">
        <v>39872</v>
      </c>
      <c r="H1697" s="4" t="s">
        <v>2039</v>
      </c>
      <c r="I1697" s="6">
        <v>76284.259999999995</v>
      </c>
      <c r="J1697" s="6">
        <v>76284.259999999995</v>
      </c>
      <c r="K1697" s="37" t="s">
        <v>2650</v>
      </c>
      <c r="L1697" s="119"/>
      <c r="M1697" s="3"/>
    </row>
    <row r="1698" spans="1:13" s="4" customFormat="1" ht="25.5" x14ac:dyDescent="0.25">
      <c r="A1698" s="4" t="s">
        <v>2955</v>
      </c>
      <c r="B1698" s="4" t="s">
        <v>13</v>
      </c>
      <c r="C1698" s="37" t="s">
        <v>2650</v>
      </c>
      <c r="D1698" s="35">
        <v>6211</v>
      </c>
      <c r="E1698" s="4" t="s">
        <v>2956</v>
      </c>
      <c r="F1698" s="5">
        <v>39645</v>
      </c>
      <c r="G1698" s="5">
        <v>40009</v>
      </c>
      <c r="H1698" s="4" t="s">
        <v>2039</v>
      </c>
      <c r="I1698" s="6">
        <v>74822.13</v>
      </c>
      <c r="J1698" s="6">
        <v>74822.13</v>
      </c>
      <c r="K1698" s="37" t="s">
        <v>2650</v>
      </c>
      <c r="L1698" s="119"/>
      <c r="M1698" s="3"/>
    </row>
    <row r="1699" spans="1:13" s="4" customFormat="1" ht="25.5" x14ac:dyDescent="0.25">
      <c r="A1699" s="4" t="s">
        <v>2957</v>
      </c>
      <c r="B1699" s="4" t="s">
        <v>13</v>
      </c>
      <c r="C1699" s="37" t="s">
        <v>2650</v>
      </c>
      <c r="D1699" s="35">
        <v>6212</v>
      </c>
      <c r="E1699" s="4" t="s">
        <v>2958</v>
      </c>
      <c r="F1699" s="5">
        <v>39783</v>
      </c>
      <c r="G1699" s="5">
        <v>40178</v>
      </c>
      <c r="H1699" s="4" t="s">
        <v>2039</v>
      </c>
      <c r="I1699" s="6">
        <v>55305.01</v>
      </c>
      <c r="J1699" s="6">
        <v>55305.01</v>
      </c>
      <c r="K1699" s="37" t="s">
        <v>2650</v>
      </c>
      <c r="L1699" s="119"/>
      <c r="M1699" s="3"/>
    </row>
    <row r="1700" spans="1:13" s="4" customFormat="1" ht="38.25" x14ac:dyDescent="0.25">
      <c r="A1700" s="4" t="s">
        <v>2959</v>
      </c>
      <c r="B1700" s="4" t="s">
        <v>13</v>
      </c>
      <c r="C1700" s="37" t="s">
        <v>2650</v>
      </c>
      <c r="D1700" s="35">
        <v>6213</v>
      </c>
      <c r="E1700" s="4" t="s">
        <v>2960</v>
      </c>
      <c r="F1700" s="5">
        <v>39755</v>
      </c>
      <c r="G1700" s="5">
        <v>40116</v>
      </c>
      <c r="H1700" s="4" t="s">
        <v>2039</v>
      </c>
      <c r="I1700" s="6">
        <v>68245.14</v>
      </c>
      <c r="J1700" s="6">
        <v>68245.14</v>
      </c>
      <c r="K1700" s="37" t="s">
        <v>2650</v>
      </c>
      <c r="L1700" s="119"/>
      <c r="M1700" s="3"/>
    </row>
    <row r="1701" spans="1:13" s="4" customFormat="1" ht="25.5" x14ac:dyDescent="0.25">
      <c r="A1701" s="4" t="s">
        <v>2961</v>
      </c>
      <c r="B1701" s="4" t="s">
        <v>13</v>
      </c>
      <c r="C1701" s="37" t="s">
        <v>2650</v>
      </c>
      <c r="D1701" s="35">
        <v>6215</v>
      </c>
      <c r="E1701" s="4" t="s">
        <v>2962</v>
      </c>
      <c r="F1701" s="5">
        <v>39722</v>
      </c>
      <c r="G1701" s="5">
        <v>40154</v>
      </c>
      <c r="H1701" s="4" t="s">
        <v>2039</v>
      </c>
      <c r="I1701" s="6">
        <v>80792.81</v>
      </c>
      <c r="J1701" s="6">
        <v>80792.81</v>
      </c>
      <c r="K1701" s="37" t="s">
        <v>2650</v>
      </c>
      <c r="L1701" s="119"/>
      <c r="M1701" s="3"/>
    </row>
    <row r="1702" spans="1:13" s="4" customFormat="1" ht="51" x14ac:dyDescent="0.25">
      <c r="A1702" s="4" t="s">
        <v>2963</v>
      </c>
      <c r="B1702" s="4" t="s">
        <v>13</v>
      </c>
      <c r="C1702" s="37" t="s">
        <v>2650</v>
      </c>
      <c r="D1702" s="35">
        <v>6216</v>
      </c>
      <c r="E1702" s="4" t="s">
        <v>2964</v>
      </c>
      <c r="F1702" s="5">
        <v>39817</v>
      </c>
      <c r="G1702" s="5">
        <v>40209</v>
      </c>
      <c r="H1702" s="4" t="s">
        <v>2039</v>
      </c>
      <c r="I1702" s="6">
        <v>70523.27</v>
      </c>
      <c r="J1702" s="6">
        <v>70523.27</v>
      </c>
      <c r="K1702" s="37" t="s">
        <v>2650</v>
      </c>
      <c r="L1702" s="119"/>
      <c r="M1702" s="3"/>
    </row>
    <row r="1703" spans="1:13" s="4" customFormat="1" ht="25.5" x14ac:dyDescent="0.25">
      <c r="A1703" s="4" t="s">
        <v>2965</v>
      </c>
      <c r="B1703" s="4" t="s">
        <v>13</v>
      </c>
      <c r="C1703" s="37" t="s">
        <v>2650</v>
      </c>
      <c r="D1703" s="35">
        <v>6217</v>
      </c>
      <c r="E1703" s="4" t="s">
        <v>2966</v>
      </c>
      <c r="F1703" s="5">
        <v>39783</v>
      </c>
      <c r="G1703" s="5">
        <v>40339</v>
      </c>
      <c r="H1703" s="4" t="s">
        <v>2039</v>
      </c>
      <c r="I1703" s="6">
        <v>87119.64</v>
      </c>
      <c r="J1703" s="6">
        <v>87119.64</v>
      </c>
      <c r="K1703" s="37" t="s">
        <v>2650</v>
      </c>
      <c r="L1703" s="119"/>
      <c r="M1703" s="3"/>
    </row>
    <row r="1704" spans="1:13" s="4" customFormat="1" ht="38.25" x14ac:dyDescent="0.25">
      <c r="A1704" s="4" t="s">
        <v>2967</v>
      </c>
      <c r="B1704" s="4" t="s">
        <v>13</v>
      </c>
      <c r="C1704" s="37" t="s">
        <v>2650</v>
      </c>
      <c r="D1704" s="35">
        <v>6218</v>
      </c>
      <c r="E1704" s="4" t="s">
        <v>2968</v>
      </c>
      <c r="F1704" s="5">
        <v>39891</v>
      </c>
      <c r="G1704" s="5">
        <v>40298</v>
      </c>
      <c r="H1704" s="4" t="s">
        <v>2039</v>
      </c>
      <c r="I1704" s="6">
        <v>58359.82</v>
      </c>
      <c r="J1704" s="6">
        <v>58359.82</v>
      </c>
      <c r="K1704" s="37" t="s">
        <v>2650</v>
      </c>
      <c r="L1704" s="119"/>
      <c r="M1704" s="3"/>
    </row>
    <row r="1705" spans="1:13" s="4" customFormat="1" ht="38.25" x14ac:dyDescent="0.25">
      <c r="A1705" s="4" t="s">
        <v>2969</v>
      </c>
      <c r="B1705" s="4" t="s">
        <v>13</v>
      </c>
      <c r="C1705" s="37" t="s">
        <v>2650</v>
      </c>
      <c r="D1705" s="35">
        <v>6219</v>
      </c>
      <c r="E1705" s="4" t="s">
        <v>2970</v>
      </c>
      <c r="F1705" s="5">
        <v>39934</v>
      </c>
      <c r="G1705" s="5">
        <v>40421</v>
      </c>
      <c r="H1705" s="4" t="s">
        <v>2039</v>
      </c>
      <c r="I1705" s="6">
        <v>41276.68</v>
      </c>
      <c r="J1705" s="6">
        <v>41276.68</v>
      </c>
      <c r="K1705" s="37" t="s">
        <v>2650</v>
      </c>
      <c r="L1705" s="119"/>
      <c r="M1705" s="3"/>
    </row>
    <row r="1706" spans="1:13" s="4" customFormat="1" ht="25.5" x14ac:dyDescent="0.25">
      <c r="A1706" s="4" t="s">
        <v>2971</v>
      </c>
      <c r="B1706" s="4" t="s">
        <v>13</v>
      </c>
      <c r="C1706" s="37" t="s">
        <v>2650</v>
      </c>
      <c r="D1706" s="35">
        <v>6220</v>
      </c>
      <c r="E1706" s="4" t="s">
        <v>2972</v>
      </c>
      <c r="F1706" s="5">
        <v>40057</v>
      </c>
      <c r="G1706" s="5">
        <v>40513</v>
      </c>
      <c r="H1706" s="4" t="s">
        <v>2039</v>
      </c>
      <c r="I1706" s="6">
        <v>41897.85</v>
      </c>
      <c r="J1706" s="6">
        <v>41897.85</v>
      </c>
      <c r="K1706" s="37" t="s">
        <v>2650</v>
      </c>
      <c r="L1706" s="119"/>
      <c r="M1706" s="3"/>
    </row>
    <row r="1707" spans="1:13" s="4" customFormat="1" ht="25.5" x14ac:dyDescent="0.25">
      <c r="A1707" s="4" t="s">
        <v>2973</v>
      </c>
      <c r="B1707" s="4" t="s">
        <v>13</v>
      </c>
      <c r="C1707" s="37" t="s">
        <v>2650</v>
      </c>
      <c r="D1707" s="35">
        <v>6221</v>
      </c>
      <c r="E1707" s="4" t="s">
        <v>2974</v>
      </c>
      <c r="F1707" s="5">
        <v>39934</v>
      </c>
      <c r="G1707" s="5">
        <v>40390</v>
      </c>
      <c r="H1707" s="4" t="s">
        <v>2039</v>
      </c>
      <c r="I1707" s="6">
        <v>89044.25</v>
      </c>
      <c r="J1707" s="6">
        <v>89044.25</v>
      </c>
      <c r="K1707" s="37" t="s">
        <v>2650</v>
      </c>
      <c r="L1707" s="119"/>
      <c r="M1707" s="3"/>
    </row>
    <row r="1708" spans="1:13" s="4" customFormat="1" ht="38.25" x14ac:dyDescent="0.25">
      <c r="A1708" s="13" t="s">
        <v>2975</v>
      </c>
      <c r="B1708" s="4" t="s">
        <v>13</v>
      </c>
      <c r="C1708" s="37" t="s">
        <v>2650</v>
      </c>
      <c r="D1708" s="35">
        <v>6222</v>
      </c>
      <c r="E1708" s="13" t="s">
        <v>2976</v>
      </c>
      <c r="F1708" s="5"/>
      <c r="G1708" s="5"/>
      <c r="H1708" s="4" t="s">
        <v>2039</v>
      </c>
      <c r="I1708" s="6">
        <v>30.32</v>
      </c>
      <c r="J1708" s="6">
        <v>30.32</v>
      </c>
      <c r="K1708" s="37" t="s">
        <v>2650</v>
      </c>
      <c r="L1708" s="119"/>
      <c r="M1708" s="3"/>
    </row>
    <row r="1709" spans="1:13" s="4" customFormat="1" ht="25.5" x14ac:dyDescent="0.25">
      <c r="A1709" s="4" t="s">
        <v>2977</v>
      </c>
      <c r="B1709" s="4" t="s">
        <v>13</v>
      </c>
      <c r="C1709" s="37" t="s">
        <v>2650</v>
      </c>
      <c r="D1709" s="35">
        <v>6223</v>
      </c>
      <c r="E1709" s="4" t="s">
        <v>2978</v>
      </c>
      <c r="F1709" s="5">
        <v>40071</v>
      </c>
      <c r="G1709" s="5">
        <v>40435</v>
      </c>
      <c r="H1709" s="4" t="s">
        <v>2039</v>
      </c>
      <c r="I1709" s="6">
        <v>20119.669999999998</v>
      </c>
      <c r="J1709" s="6">
        <v>20119.669999999998</v>
      </c>
      <c r="K1709" s="37" t="s">
        <v>2650</v>
      </c>
      <c r="L1709" s="119"/>
      <c r="M1709" s="3"/>
    </row>
    <row r="1710" spans="1:13" s="4" customFormat="1" ht="25.5" x14ac:dyDescent="0.25">
      <c r="A1710" s="4" t="s">
        <v>2979</v>
      </c>
      <c r="B1710" s="4" t="s">
        <v>13</v>
      </c>
      <c r="C1710" s="37" t="s">
        <v>2650</v>
      </c>
      <c r="D1710" s="35">
        <v>6224</v>
      </c>
      <c r="E1710" s="4" t="s">
        <v>2980</v>
      </c>
      <c r="F1710" s="5">
        <v>40057</v>
      </c>
      <c r="G1710" s="5">
        <v>40497</v>
      </c>
      <c r="H1710" s="4" t="s">
        <v>2039</v>
      </c>
      <c r="I1710" s="6">
        <v>68357.17</v>
      </c>
      <c r="J1710" s="6">
        <v>68357.17</v>
      </c>
      <c r="K1710" s="37" t="s">
        <v>2650</v>
      </c>
      <c r="L1710" s="119"/>
      <c r="M1710" s="3"/>
    </row>
    <row r="1711" spans="1:13" s="4" customFormat="1" ht="25.5" x14ac:dyDescent="0.25">
      <c r="A1711" s="4" t="s">
        <v>2981</v>
      </c>
      <c r="B1711" s="4" t="s">
        <v>13</v>
      </c>
      <c r="C1711" s="37" t="s">
        <v>2650</v>
      </c>
      <c r="D1711" s="35">
        <v>6225</v>
      </c>
      <c r="E1711" s="4" t="s">
        <v>2982</v>
      </c>
      <c r="F1711" s="5">
        <v>40140</v>
      </c>
      <c r="G1711" s="5">
        <v>40504</v>
      </c>
      <c r="H1711" s="4" t="s">
        <v>2039</v>
      </c>
      <c r="I1711" s="6">
        <v>45478.35</v>
      </c>
      <c r="J1711" s="6">
        <v>45478.35</v>
      </c>
      <c r="K1711" s="37" t="s">
        <v>2650</v>
      </c>
      <c r="L1711" s="119"/>
      <c r="M1711" s="3"/>
    </row>
    <row r="1712" spans="1:13" s="4" customFormat="1" ht="25.5" x14ac:dyDescent="0.25">
      <c r="A1712" s="13" t="s">
        <v>2983</v>
      </c>
      <c r="B1712" s="4" t="s">
        <v>13</v>
      </c>
      <c r="C1712" s="37" t="s">
        <v>2650</v>
      </c>
      <c r="D1712" s="35">
        <v>6226</v>
      </c>
      <c r="E1712" s="13" t="s">
        <v>2984</v>
      </c>
      <c r="F1712" s="5"/>
      <c r="G1712" s="5"/>
      <c r="H1712" s="4" t="s">
        <v>2039</v>
      </c>
      <c r="I1712" s="6">
        <v>9014.1</v>
      </c>
      <c r="J1712" s="6">
        <v>9014.1</v>
      </c>
      <c r="K1712" s="37" t="s">
        <v>2650</v>
      </c>
      <c r="L1712" s="119"/>
      <c r="M1712" s="3"/>
    </row>
    <row r="1713" spans="1:13" s="4" customFormat="1" ht="25.5" x14ac:dyDescent="0.25">
      <c r="A1713" s="4" t="s">
        <v>2985</v>
      </c>
      <c r="B1713" s="4" t="s">
        <v>13</v>
      </c>
      <c r="C1713" s="37" t="s">
        <v>2650</v>
      </c>
      <c r="D1713" s="35">
        <v>6227</v>
      </c>
      <c r="E1713" s="4" t="s">
        <v>2986</v>
      </c>
      <c r="F1713" s="5">
        <v>40148</v>
      </c>
      <c r="G1713" s="5">
        <v>40512</v>
      </c>
      <c r="H1713" s="4" t="s">
        <v>2039</v>
      </c>
      <c r="I1713" s="6">
        <v>44201.25</v>
      </c>
      <c r="J1713" s="6">
        <v>44201.25</v>
      </c>
      <c r="K1713" s="37" t="s">
        <v>2650</v>
      </c>
      <c r="L1713" s="119"/>
      <c r="M1713" s="3"/>
    </row>
    <row r="1714" spans="1:13" s="4" customFormat="1" ht="25.5" x14ac:dyDescent="0.25">
      <c r="A1714" s="4" t="s">
        <v>2987</v>
      </c>
      <c r="B1714" s="4" t="s">
        <v>13</v>
      </c>
      <c r="C1714" s="37" t="s">
        <v>2650</v>
      </c>
      <c r="D1714" s="35">
        <v>6228</v>
      </c>
      <c r="E1714" s="4" t="s">
        <v>2988</v>
      </c>
      <c r="F1714" s="5">
        <v>40118</v>
      </c>
      <c r="G1714" s="5">
        <v>40663</v>
      </c>
      <c r="H1714" s="4" t="s">
        <v>2039</v>
      </c>
      <c r="I1714" s="6">
        <v>46460.72</v>
      </c>
      <c r="J1714" s="6">
        <v>46460.72</v>
      </c>
      <c r="K1714" s="37" t="s">
        <v>2650</v>
      </c>
      <c r="L1714" s="119"/>
      <c r="M1714" s="3"/>
    </row>
    <row r="1715" spans="1:13" s="4" customFormat="1" ht="25.5" x14ac:dyDescent="0.25">
      <c r="A1715" s="4" t="s">
        <v>2989</v>
      </c>
      <c r="B1715" s="4" t="s">
        <v>13</v>
      </c>
      <c r="C1715" s="37" t="s">
        <v>2650</v>
      </c>
      <c r="D1715" s="35">
        <v>6229</v>
      </c>
      <c r="E1715" s="4" t="s">
        <v>2990</v>
      </c>
      <c r="F1715" s="5">
        <v>40148</v>
      </c>
      <c r="G1715" s="5">
        <v>40602</v>
      </c>
      <c r="H1715" s="4" t="s">
        <v>2039</v>
      </c>
      <c r="I1715" s="6">
        <v>57704.59</v>
      </c>
      <c r="J1715" s="6">
        <v>57704.59</v>
      </c>
      <c r="K1715" s="37" t="s">
        <v>2650</v>
      </c>
      <c r="L1715" s="119"/>
      <c r="M1715" s="3"/>
    </row>
    <row r="1716" spans="1:13" s="4" customFormat="1" ht="25.5" x14ac:dyDescent="0.25">
      <c r="A1716" s="4" t="s">
        <v>2991</v>
      </c>
      <c r="B1716" s="4" t="s">
        <v>13</v>
      </c>
      <c r="C1716" s="37" t="s">
        <v>2650</v>
      </c>
      <c r="D1716" s="35">
        <v>6230</v>
      </c>
      <c r="E1716" s="4" t="s">
        <v>2992</v>
      </c>
      <c r="F1716" s="5">
        <v>39234</v>
      </c>
      <c r="G1716" s="5">
        <v>39660</v>
      </c>
      <c r="H1716" s="4" t="s">
        <v>2039</v>
      </c>
      <c r="I1716" s="6">
        <v>54002.19</v>
      </c>
      <c r="J1716" s="6">
        <v>54002.19</v>
      </c>
      <c r="K1716" s="37" t="s">
        <v>2650</v>
      </c>
      <c r="L1716" s="119"/>
      <c r="M1716" s="3"/>
    </row>
    <row r="1717" spans="1:13" s="4" customFormat="1" ht="25.5" x14ac:dyDescent="0.25">
      <c r="A1717" s="4" t="s">
        <v>2993</v>
      </c>
      <c r="B1717" s="4" t="s">
        <v>13</v>
      </c>
      <c r="C1717" s="37" t="s">
        <v>2650</v>
      </c>
      <c r="D1717" s="35">
        <v>6231</v>
      </c>
      <c r="E1717" s="4" t="s">
        <v>2994</v>
      </c>
      <c r="F1717" s="5">
        <v>39188</v>
      </c>
      <c r="G1717" s="5">
        <v>39645</v>
      </c>
      <c r="H1717" s="4" t="s">
        <v>2039</v>
      </c>
      <c r="I1717" s="6">
        <v>83112.990000000005</v>
      </c>
      <c r="J1717" s="6">
        <v>83112.990000000005</v>
      </c>
      <c r="K1717" s="37" t="s">
        <v>2650</v>
      </c>
      <c r="L1717" s="119"/>
      <c r="M1717" s="3"/>
    </row>
    <row r="1718" spans="1:13" s="4" customFormat="1" ht="38.25" x14ac:dyDescent="0.25">
      <c r="A1718" s="4" t="s">
        <v>2995</v>
      </c>
      <c r="B1718" s="4" t="s">
        <v>13</v>
      </c>
      <c r="C1718" s="37" t="s">
        <v>2650</v>
      </c>
      <c r="D1718" s="35">
        <v>6232</v>
      </c>
      <c r="E1718" s="4" t="s">
        <v>2996</v>
      </c>
      <c r="F1718" s="5">
        <v>39356</v>
      </c>
      <c r="G1718" s="5">
        <v>39721</v>
      </c>
      <c r="H1718" s="4" t="s">
        <v>2039</v>
      </c>
      <c r="I1718" s="6">
        <v>73701.08</v>
      </c>
      <c r="J1718" s="6">
        <v>73701.08</v>
      </c>
      <c r="K1718" s="37" t="s">
        <v>2650</v>
      </c>
      <c r="L1718" s="119"/>
      <c r="M1718" s="3"/>
    </row>
    <row r="1719" spans="1:13" s="4" customFormat="1" ht="25.5" x14ac:dyDescent="0.25">
      <c r="A1719" s="4" t="s">
        <v>2997</v>
      </c>
      <c r="B1719" s="4" t="s">
        <v>13</v>
      </c>
      <c r="C1719" s="37" t="s">
        <v>2650</v>
      </c>
      <c r="D1719" s="35">
        <v>6233</v>
      </c>
      <c r="E1719" s="4" t="s">
        <v>2998</v>
      </c>
      <c r="F1719" s="5">
        <v>39387</v>
      </c>
      <c r="G1719" s="5">
        <v>39752</v>
      </c>
      <c r="H1719" s="4" t="s">
        <v>2039</v>
      </c>
      <c r="I1719" s="6">
        <v>84084.38</v>
      </c>
      <c r="J1719" s="6">
        <v>84084.38</v>
      </c>
      <c r="K1719" s="37" t="s">
        <v>2650</v>
      </c>
      <c r="L1719" s="119"/>
      <c r="M1719" s="3"/>
    </row>
    <row r="1720" spans="1:13" s="4" customFormat="1" ht="25.5" x14ac:dyDescent="0.25">
      <c r="A1720" s="4" t="s">
        <v>2999</v>
      </c>
      <c r="B1720" s="4" t="s">
        <v>13</v>
      </c>
      <c r="C1720" s="37" t="s">
        <v>2650</v>
      </c>
      <c r="D1720" s="35">
        <v>6234</v>
      </c>
      <c r="E1720" s="4" t="s">
        <v>3000</v>
      </c>
      <c r="F1720" s="5">
        <v>39454</v>
      </c>
      <c r="G1720" s="5">
        <v>39820</v>
      </c>
      <c r="H1720" s="4" t="s">
        <v>2039</v>
      </c>
      <c r="I1720" s="6">
        <v>54684.28</v>
      </c>
      <c r="J1720" s="6">
        <v>54684.28</v>
      </c>
      <c r="K1720" s="37" t="s">
        <v>2650</v>
      </c>
      <c r="L1720" s="119"/>
      <c r="M1720" s="3"/>
    </row>
    <row r="1721" spans="1:13" s="4" customFormat="1" ht="25.5" x14ac:dyDescent="0.25">
      <c r="A1721" s="4" t="s">
        <v>3001</v>
      </c>
      <c r="B1721" s="4" t="s">
        <v>13</v>
      </c>
      <c r="C1721" s="37" t="s">
        <v>2650</v>
      </c>
      <c r="D1721" s="35">
        <v>6235</v>
      </c>
      <c r="E1721" s="4" t="s">
        <v>3002</v>
      </c>
      <c r="F1721" s="5">
        <v>39482</v>
      </c>
      <c r="G1721" s="5">
        <v>39844</v>
      </c>
      <c r="H1721" s="4" t="s">
        <v>2039</v>
      </c>
      <c r="I1721" s="6">
        <v>68656.210000000006</v>
      </c>
      <c r="J1721" s="6">
        <v>68656.210000000006</v>
      </c>
      <c r="K1721" s="37" t="s">
        <v>2650</v>
      </c>
      <c r="L1721" s="119"/>
      <c r="M1721" s="3"/>
    </row>
    <row r="1722" spans="1:13" s="4" customFormat="1" ht="25.5" x14ac:dyDescent="0.25">
      <c r="A1722" s="4" t="s">
        <v>3003</v>
      </c>
      <c r="B1722" s="4" t="s">
        <v>13</v>
      </c>
      <c r="C1722" s="37" t="s">
        <v>2650</v>
      </c>
      <c r="D1722" s="35">
        <v>6236</v>
      </c>
      <c r="E1722" s="4" t="s">
        <v>3004</v>
      </c>
      <c r="F1722" s="5">
        <v>39569</v>
      </c>
      <c r="G1722" s="5">
        <v>39912</v>
      </c>
      <c r="H1722" s="4" t="s">
        <v>2039</v>
      </c>
      <c r="I1722" s="6">
        <v>81968.88</v>
      </c>
      <c r="J1722" s="6">
        <v>81968.88</v>
      </c>
      <c r="K1722" s="37" t="s">
        <v>2650</v>
      </c>
      <c r="L1722" s="119"/>
      <c r="M1722" s="3"/>
    </row>
    <row r="1723" spans="1:13" s="4" customFormat="1" ht="25.5" x14ac:dyDescent="0.25">
      <c r="A1723" s="4" t="s">
        <v>3005</v>
      </c>
      <c r="B1723" s="4" t="s">
        <v>13</v>
      </c>
      <c r="C1723" s="37" t="s">
        <v>2650</v>
      </c>
      <c r="D1723" s="35">
        <v>6237</v>
      </c>
      <c r="E1723" s="4" t="s">
        <v>3006</v>
      </c>
      <c r="F1723" s="5">
        <v>39326</v>
      </c>
      <c r="G1723" s="5">
        <v>40602</v>
      </c>
      <c r="H1723" s="4" t="s">
        <v>2039</v>
      </c>
      <c r="I1723" s="6">
        <v>256400.92</v>
      </c>
      <c r="J1723" s="6">
        <v>256400.92</v>
      </c>
      <c r="K1723" s="37" t="s">
        <v>2650</v>
      </c>
      <c r="L1723" s="119"/>
      <c r="M1723" s="3"/>
    </row>
    <row r="1724" spans="1:13" s="4" customFormat="1" ht="25.5" x14ac:dyDescent="0.25">
      <c r="A1724" s="4" t="s">
        <v>3007</v>
      </c>
      <c r="B1724" s="4" t="s">
        <v>13</v>
      </c>
      <c r="C1724" s="37" t="s">
        <v>2650</v>
      </c>
      <c r="D1724" s="35">
        <v>6238</v>
      </c>
      <c r="E1724" s="4" t="s">
        <v>3008</v>
      </c>
      <c r="F1724" s="5">
        <v>39630</v>
      </c>
      <c r="G1724" s="5">
        <v>40724</v>
      </c>
      <c r="H1724" s="4" t="s">
        <v>2039</v>
      </c>
      <c r="I1724" s="6">
        <v>170386</v>
      </c>
      <c r="J1724" s="6">
        <v>170386</v>
      </c>
      <c r="K1724" s="37" t="s">
        <v>2650</v>
      </c>
      <c r="L1724" s="119"/>
      <c r="M1724" s="3"/>
    </row>
    <row r="1725" spans="1:13" s="4" customFormat="1" ht="63.75" x14ac:dyDescent="0.25">
      <c r="A1725" s="4" t="s">
        <v>3009</v>
      </c>
      <c r="B1725" s="4" t="s">
        <v>13</v>
      </c>
      <c r="C1725" s="37" t="s">
        <v>2650</v>
      </c>
      <c r="D1725" s="35">
        <v>6239</v>
      </c>
      <c r="E1725" s="4" t="s">
        <v>3010</v>
      </c>
      <c r="F1725" s="5">
        <v>39722</v>
      </c>
      <c r="G1725" s="5">
        <v>40451</v>
      </c>
      <c r="H1725" s="4" t="s">
        <v>2039</v>
      </c>
      <c r="I1725" s="6">
        <v>231276.28</v>
      </c>
      <c r="J1725" s="6">
        <v>231276.28</v>
      </c>
      <c r="K1725" s="37" t="s">
        <v>2650</v>
      </c>
      <c r="L1725" s="119"/>
      <c r="M1725" s="3"/>
    </row>
    <row r="1726" spans="1:13" s="4" customFormat="1" ht="38.25" x14ac:dyDescent="0.25">
      <c r="A1726" s="4" t="s">
        <v>3011</v>
      </c>
      <c r="B1726" s="4" t="s">
        <v>13</v>
      </c>
      <c r="C1726" s="37" t="s">
        <v>2650</v>
      </c>
      <c r="D1726" s="35">
        <v>6240</v>
      </c>
      <c r="E1726" s="4" t="s">
        <v>3012</v>
      </c>
      <c r="F1726" s="5">
        <v>39722</v>
      </c>
      <c r="G1726" s="5">
        <v>40451</v>
      </c>
      <c r="H1726" s="4" t="s">
        <v>2039</v>
      </c>
      <c r="I1726" s="6">
        <v>324311.53999999998</v>
      </c>
      <c r="J1726" s="6">
        <v>324311.53999999998</v>
      </c>
      <c r="K1726" s="37" t="s">
        <v>2650</v>
      </c>
      <c r="L1726" s="119"/>
      <c r="M1726" s="3"/>
    </row>
    <row r="1727" spans="1:13" s="4" customFormat="1" ht="38.25" x14ac:dyDescent="0.25">
      <c r="A1727" s="4" t="s">
        <v>3013</v>
      </c>
      <c r="B1727" s="4" t="s">
        <v>13</v>
      </c>
      <c r="C1727" s="37" t="s">
        <v>2650</v>
      </c>
      <c r="D1727" s="35">
        <v>6241</v>
      </c>
      <c r="E1727" s="4" t="s">
        <v>3014</v>
      </c>
      <c r="F1727" s="5">
        <v>39845</v>
      </c>
      <c r="G1727" s="5">
        <v>40939</v>
      </c>
      <c r="H1727" s="4" t="s">
        <v>2039</v>
      </c>
      <c r="I1727" s="6">
        <v>246766.16</v>
      </c>
      <c r="J1727" s="6">
        <v>246766.16</v>
      </c>
      <c r="K1727" s="37" t="s">
        <v>2650</v>
      </c>
      <c r="L1727" s="119"/>
      <c r="M1727" s="3"/>
    </row>
    <row r="1728" spans="1:13" s="4" customFormat="1" ht="38.25" x14ac:dyDescent="0.25">
      <c r="A1728" s="4" t="s">
        <v>3015</v>
      </c>
      <c r="B1728" s="4" t="s">
        <v>13</v>
      </c>
      <c r="C1728" s="37" t="s">
        <v>2650</v>
      </c>
      <c r="D1728" s="35">
        <v>6242</v>
      </c>
      <c r="E1728" s="4" t="s">
        <v>3016</v>
      </c>
      <c r="F1728" s="5">
        <v>40118</v>
      </c>
      <c r="G1728" s="5">
        <v>40907</v>
      </c>
      <c r="H1728" s="4" t="s">
        <v>2039</v>
      </c>
      <c r="I1728" s="6">
        <f>226402.58+30130.43</f>
        <v>256533.00999999998</v>
      </c>
      <c r="J1728" s="6">
        <f>226402.58+30130.43</f>
        <v>256533.00999999998</v>
      </c>
      <c r="K1728" s="37" t="s">
        <v>2650</v>
      </c>
      <c r="L1728" s="119"/>
      <c r="M1728" s="3"/>
    </row>
    <row r="1729" spans="1:13" s="4" customFormat="1" ht="38.25" x14ac:dyDescent="0.25">
      <c r="A1729" s="4" t="s">
        <v>3017</v>
      </c>
      <c r="B1729" s="4" t="s">
        <v>13</v>
      </c>
      <c r="C1729" s="37" t="s">
        <v>2650</v>
      </c>
      <c r="D1729" s="35">
        <v>6243</v>
      </c>
      <c r="E1729" s="4" t="s">
        <v>3018</v>
      </c>
      <c r="F1729" s="5">
        <v>40057</v>
      </c>
      <c r="G1729" s="5">
        <v>40848</v>
      </c>
      <c r="H1729" s="4" t="s">
        <v>2039</v>
      </c>
      <c r="I1729" s="6">
        <f>272030.31+15774.31</f>
        <v>287804.62</v>
      </c>
      <c r="J1729" s="6">
        <f>272030.31+15774.31</f>
        <v>287804.62</v>
      </c>
      <c r="K1729" s="37" t="s">
        <v>2650</v>
      </c>
      <c r="L1729" s="119"/>
      <c r="M1729" s="3"/>
    </row>
    <row r="1730" spans="1:13" s="4" customFormat="1" ht="25.5" x14ac:dyDescent="0.25">
      <c r="A1730" s="4" t="s">
        <v>3019</v>
      </c>
      <c r="B1730" s="4" t="s">
        <v>13</v>
      </c>
      <c r="C1730" s="37" t="s">
        <v>2650</v>
      </c>
      <c r="D1730" s="35">
        <v>6516</v>
      </c>
      <c r="E1730" s="4" t="s">
        <v>3020</v>
      </c>
      <c r="F1730" s="5">
        <v>39326</v>
      </c>
      <c r="G1730" s="5">
        <v>40515</v>
      </c>
      <c r="H1730" s="4" t="s">
        <v>2039</v>
      </c>
      <c r="I1730" s="6">
        <v>38433.82</v>
      </c>
      <c r="J1730" s="6">
        <v>38433.82</v>
      </c>
      <c r="K1730" s="37" t="s">
        <v>2650</v>
      </c>
      <c r="L1730" s="119"/>
      <c r="M1730" s="3"/>
    </row>
    <row r="1731" spans="1:13" s="4" customFormat="1" ht="25.5" x14ac:dyDescent="0.25">
      <c r="A1731" s="4" t="s">
        <v>3021</v>
      </c>
      <c r="B1731" s="4" t="s">
        <v>13</v>
      </c>
      <c r="C1731" s="37" t="s">
        <v>2650</v>
      </c>
      <c r="D1731" s="35">
        <v>6517</v>
      </c>
      <c r="E1731" s="4" t="s">
        <v>3022</v>
      </c>
      <c r="F1731" s="5">
        <v>40269</v>
      </c>
      <c r="G1731" s="5">
        <v>40632</v>
      </c>
      <c r="H1731" s="4" t="s">
        <v>2039</v>
      </c>
      <c r="I1731" s="6">
        <v>63576.7</v>
      </c>
      <c r="J1731" s="6">
        <v>63576.7</v>
      </c>
      <c r="K1731" s="37" t="s">
        <v>2650</v>
      </c>
      <c r="L1731" s="119"/>
      <c r="M1731" s="3"/>
    </row>
    <row r="1732" spans="1:13" s="4" customFormat="1" ht="25.5" x14ac:dyDescent="0.25">
      <c r="A1732" s="4" t="s">
        <v>3023</v>
      </c>
      <c r="B1732" s="4" t="s">
        <v>13</v>
      </c>
      <c r="C1732" s="37" t="s">
        <v>2650</v>
      </c>
      <c r="D1732" s="35">
        <v>6518</v>
      </c>
      <c r="E1732" s="4" t="s">
        <v>3024</v>
      </c>
      <c r="F1732" s="5">
        <v>40269</v>
      </c>
      <c r="G1732" s="5">
        <v>40663</v>
      </c>
      <c r="H1732" s="4" t="s">
        <v>2039</v>
      </c>
      <c r="I1732" s="6">
        <v>49577.79</v>
      </c>
      <c r="J1732" s="6">
        <v>49577.79</v>
      </c>
      <c r="K1732" s="37" t="s">
        <v>2650</v>
      </c>
      <c r="L1732" s="119"/>
      <c r="M1732" s="3"/>
    </row>
    <row r="1733" spans="1:13" s="4" customFormat="1" ht="25.5" x14ac:dyDescent="0.25">
      <c r="A1733" s="13" t="s">
        <v>3025</v>
      </c>
      <c r="B1733" s="4" t="s">
        <v>13</v>
      </c>
      <c r="C1733" s="37" t="s">
        <v>2650</v>
      </c>
      <c r="D1733" s="35">
        <v>6544</v>
      </c>
      <c r="E1733" s="13" t="s">
        <v>3026</v>
      </c>
      <c r="F1733" s="5">
        <v>40269</v>
      </c>
      <c r="G1733" s="5">
        <v>40663</v>
      </c>
      <c r="H1733" s="4" t="s">
        <v>2039</v>
      </c>
      <c r="I1733" s="6">
        <v>56840.03</v>
      </c>
      <c r="J1733" s="6">
        <v>56840.03</v>
      </c>
      <c r="K1733" s="37" t="s">
        <v>2650</v>
      </c>
      <c r="L1733" s="119"/>
      <c r="M1733" s="3"/>
    </row>
    <row r="1734" spans="1:13" s="4" customFormat="1" ht="25.5" x14ac:dyDescent="0.25">
      <c r="A1734" s="13" t="s">
        <v>3027</v>
      </c>
      <c r="B1734" s="4" t="s">
        <v>13</v>
      </c>
      <c r="C1734" s="37" t="s">
        <v>2650</v>
      </c>
      <c r="D1734" s="35">
        <v>6545</v>
      </c>
      <c r="E1734" s="13" t="s">
        <v>3028</v>
      </c>
      <c r="F1734" s="5">
        <v>40269</v>
      </c>
      <c r="G1734" s="5">
        <v>40663</v>
      </c>
      <c r="H1734" s="4" t="s">
        <v>2039</v>
      </c>
      <c r="I1734" s="6">
        <f>98056.5+17054.21</f>
        <v>115110.70999999999</v>
      </c>
      <c r="J1734" s="6">
        <f>98056.55+17054.16</f>
        <v>115110.71</v>
      </c>
      <c r="K1734" s="37" t="s">
        <v>2650</v>
      </c>
      <c r="L1734" s="119"/>
      <c r="M1734" s="3"/>
    </row>
    <row r="1735" spans="1:13" s="4" customFormat="1" ht="25.5" x14ac:dyDescent="0.25">
      <c r="A1735" s="4" t="s">
        <v>3029</v>
      </c>
      <c r="B1735" s="4" t="s">
        <v>13</v>
      </c>
      <c r="C1735" s="37" t="s">
        <v>2650</v>
      </c>
      <c r="D1735" s="35">
        <v>8483</v>
      </c>
      <c r="E1735" s="4" t="s">
        <v>3030</v>
      </c>
      <c r="F1735" s="5">
        <v>40299</v>
      </c>
      <c r="G1735" s="5">
        <v>41394</v>
      </c>
      <c r="H1735" s="4" t="s">
        <v>2039</v>
      </c>
      <c r="I1735" s="6">
        <f>113641.45+38913.64</f>
        <v>152555.09</v>
      </c>
      <c r="J1735" s="6">
        <f>113641.45+38913.64</f>
        <v>152555.09</v>
      </c>
      <c r="K1735" s="37" t="s">
        <v>2650</v>
      </c>
      <c r="L1735" s="119"/>
      <c r="M1735" s="3"/>
    </row>
    <row r="1736" spans="1:13" s="4" customFormat="1" ht="25.5" x14ac:dyDescent="0.25">
      <c r="A1736" s="4" t="s">
        <v>3031</v>
      </c>
      <c r="B1736" s="4" t="s">
        <v>13</v>
      </c>
      <c r="C1736" s="37" t="s">
        <v>2650</v>
      </c>
      <c r="D1736" s="35">
        <v>8484</v>
      </c>
      <c r="E1736" s="4" t="s">
        <v>3032</v>
      </c>
      <c r="F1736" s="5">
        <v>40238</v>
      </c>
      <c r="G1736" s="5">
        <v>40516</v>
      </c>
      <c r="H1736" s="4" t="s">
        <v>2039</v>
      </c>
      <c r="I1736" s="6">
        <v>54316.71</v>
      </c>
      <c r="J1736" s="6">
        <v>54316.71</v>
      </c>
      <c r="K1736" s="37" t="s">
        <v>2650</v>
      </c>
      <c r="L1736" s="119"/>
      <c r="M1736" s="3"/>
    </row>
    <row r="1737" spans="1:13" s="4" customFormat="1" ht="25.5" x14ac:dyDescent="0.25">
      <c r="A1737" s="4" t="s">
        <v>3033</v>
      </c>
      <c r="B1737" s="4" t="s">
        <v>13</v>
      </c>
      <c r="C1737" s="37" t="s">
        <v>2650</v>
      </c>
      <c r="D1737" s="35">
        <v>11196</v>
      </c>
      <c r="E1737" s="4" t="s">
        <v>3034</v>
      </c>
      <c r="F1737" s="5">
        <v>40575</v>
      </c>
      <c r="G1737" s="5">
        <v>41222</v>
      </c>
      <c r="H1737" s="4" t="s">
        <v>2039</v>
      </c>
      <c r="I1737" s="6">
        <f>79703.62+145003.85</f>
        <v>224707.47</v>
      </c>
      <c r="J1737" s="6">
        <f>79703.62+145003.85</f>
        <v>224707.47</v>
      </c>
      <c r="K1737" s="37" t="s">
        <v>2650</v>
      </c>
      <c r="L1737" s="119"/>
      <c r="M1737" s="3"/>
    </row>
    <row r="1738" spans="1:13" s="4" customFormat="1" ht="38.25" x14ac:dyDescent="0.25">
      <c r="A1738" s="4" t="s">
        <v>3035</v>
      </c>
      <c r="B1738" s="4" t="s">
        <v>13</v>
      </c>
      <c r="C1738" s="37" t="s">
        <v>2650</v>
      </c>
      <c r="D1738" s="35">
        <v>11197</v>
      </c>
      <c r="E1738" s="4" t="s">
        <v>3036</v>
      </c>
      <c r="F1738" s="5">
        <v>40575</v>
      </c>
      <c r="G1738" s="5">
        <v>41075</v>
      </c>
      <c r="H1738" s="4" t="s">
        <v>2039</v>
      </c>
      <c r="I1738" s="6">
        <v>38601.65</v>
      </c>
      <c r="J1738" s="6">
        <v>38601.65</v>
      </c>
      <c r="K1738" s="37" t="s">
        <v>2650</v>
      </c>
      <c r="L1738" s="119"/>
      <c r="M1738" s="3"/>
    </row>
    <row r="1739" spans="1:13" s="4" customFormat="1" ht="38.25" x14ac:dyDescent="0.25">
      <c r="A1739" s="4" t="s">
        <v>3037</v>
      </c>
      <c r="B1739" s="4" t="s">
        <v>13</v>
      </c>
      <c r="C1739" s="37" t="s">
        <v>2650</v>
      </c>
      <c r="D1739" s="35">
        <v>11198</v>
      </c>
      <c r="E1739" s="4" t="s">
        <v>3038</v>
      </c>
      <c r="F1739" s="5">
        <v>40787</v>
      </c>
      <c r="G1739" s="5">
        <v>41184</v>
      </c>
      <c r="H1739" s="4" t="s">
        <v>2039</v>
      </c>
      <c r="I1739" s="6">
        <f>10568.16+53464.79</f>
        <v>64032.95</v>
      </c>
      <c r="J1739" s="6">
        <f>10568.16+53464.79</f>
        <v>64032.95</v>
      </c>
      <c r="K1739" s="37" t="s">
        <v>2650</v>
      </c>
      <c r="L1739" s="119"/>
      <c r="M1739" s="3"/>
    </row>
    <row r="1740" spans="1:13" s="4" customFormat="1" ht="38.25" x14ac:dyDescent="0.25">
      <c r="A1740" s="13" t="s">
        <v>3039</v>
      </c>
      <c r="B1740" s="4" t="s">
        <v>13</v>
      </c>
      <c r="C1740" s="37" t="s">
        <v>2650</v>
      </c>
      <c r="D1740" s="35">
        <v>11256</v>
      </c>
      <c r="E1740" s="13" t="s">
        <v>3039</v>
      </c>
      <c r="F1740" s="14">
        <v>40623</v>
      </c>
      <c r="G1740" s="14">
        <v>41049</v>
      </c>
      <c r="H1740" s="4" t="s">
        <v>2039</v>
      </c>
      <c r="I1740" s="6">
        <f>52809.52+39314.69+47561.68</f>
        <v>139685.88999999998</v>
      </c>
      <c r="J1740" s="6">
        <f>52809.52+39314.69+47561.68</f>
        <v>139685.88999999998</v>
      </c>
      <c r="K1740" s="37" t="s">
        <v>2650</v>
      </c>
      <c r="L1740" s="119"/>
      <c r="M1740" s="3"/>
    </row>
    <row r="1741" spans="1:13" s="4" customFormat="1" ht="38.25" x14ac:dyDescent="0.25">
      <c r="A1741" s="13" t="s">
        <v>3040</v>
      </c>
      <c r="B1741" s="4" t="s">
        <v>13</v>
      </c>
      <c r="C1741" s="37" t="s">
        <v>2650</v>
      </c>
      <c r="D1741" s="35">
        <v>11257</v>
      </c>
      <c r="E1741" s="13" t="s">
        <v>3040</v>
      </c>
      <c r="F1741" s="14">
        <v>40623</v>
      </c>
      <c r="G1741" s="14">
        <v>41049</v>
      </c>
      <c r="H1741" s="4" t="s">
        <v>2039</v>
      </c>
      <c r="I1741" s="6">
        <f>50882.82+25622.94</f>
        <v>76505.759999999995</v>
      </c>
      <c r="J1741" s="6">
        <f>50882.82+25622.94</f>
        <v>76505.759999999995</v>
      </c>
      <c r="K1741" s="37" t="s">
        <v>2650</v>
      </c>
      <c r="L1741" s="119"/>
      <c r="M1741" s="3"/>
    </row>
    <row r="1742" spans="1:13" s="4" customFormat="1" ht="25.5" x14ac:dyDescent="0.25">
      <c r="A1742" s="13" t="s">
        <v>3041</v>
      </c>
      <c r="B1742" s="4" t="s">
        <v>13</v>
      </c>
      <c r="C1742" s="37" t="s">
        <v>2650</v>
      </c>
      <c r="D1742" s="35">
        <v>11258</v>
      </c>
      <c r="E1742" s="13" t="s">
        <v>3041</v>
      </c>
      <c r="F1742" s="14">
        <v>40623</v>
      </c>
      <c r="G1742" s="14">
        <v>41049</v>
      </c>
      <c r="H1742" s="4" t="s">
        <v>2039</v>
      </c>
      <c r="I1742" s="6">
        <f>50261.14+23691.59</f>
        <v>73952.73</v>
      </c>
      <c r="J1742" s="6">
        <f>50261.14+23691.59</f>
        <v>73952.73</v>
      </c>
      <c r="K1742" s="37" t="s">
        <v>2650</v>
      </c>
      <c r="L1742" s="119"/>
      <c r="M1742" s="3"/>
    </row>
    <row r="1743" spans="1:13" s="4" customFormat="1" ht="25.5" x14ac:dyDescent="0.25">
      <c r="A1743" s="13" t="s">
        <v>3042</v>
      </c>
      <c r="B1743" s="4" t="s">
        <v>13</v>
      </c>
      <c r="C1743" s="37" t="s">
        <v>2650</v>
      </c>
      <c r="D1743" s="35">
        <v>11259</v>
      </c>
      <c r="E1743" s="13" t="s">
        <v>3042</v>
      </c>
      <c r="F1743" s="14">
        <v>40623</v>
      </c>
      <c r="G1743" s="14">
        <v>41049</v>
      </c>
      <c r="H1743" s="4" t="s">
        <v>2039</v>
      </c>
      <c r="I1743" s="6">
        <v>27867.88</v>
      </c>
      <c r="J1743" s="6">
        <v>27867.88</v>
      </c>
      <c r="K1743" s="37" t="s">
        <v>2650</v>
      </c>
      <c r="L1743" s="119"/>
      <c r="M1743" s="3"/>
    </row>
    <row r="1744" spans="1:13" s="4" customFormat="1" ht="25.5" x14ac:dyDescent="0.25">
      <c r="A1744" s="13" t="s">
        <v>3043</v>
      </c>
      <c r="B1744" s="4" t="s">
        <v>13</v>
      </c>
      <c r="C1744" s="37" t="s">
        <v>2650</v>
      </c>
      <c r="D1744" s="35">
        <v>11260</v>
      </c>
      <c r="E1744" s="13" t="s">
        <v>3043</v>
      </c>
      <c r="F1744" s="14">
        <v>40623</v>
      </c>
      <c r="G1744" s="14">
        <v>41049</v>
      </c>
      <c r="H1744" s="4" t="s">
        <v>2039</v>
      </c>
      <c r="I1744" s="6">
        <f>19380.14+55339.52</f>
        <v>74719.66</v>
      </c>
      <c r="J1744" s="6">
        <f>19380.14+55339.52</f>
        <v>74719.66</v>
      </c>
      <c r="K1744" s="37" t="s">
        <v>2650</v>
      </c>
      <c r="L1744" s="119"/>
      <c r="M1744" s="3"/>
    </row>
    <row r="1745" spans="1:13" s="4" customFormat="1" ht="25.5" x14ac:dyDescent="0.25">
      <c r="A1745" s="13" t="s">
        <v>3044</v>
      </c>
      <c r="B1745" s="4" t="s">
        <v>13</v>
      </c>
      <c r="C1745" s="37" t="s">
        <v>2650</v>
      </c>
      <c r="D1745" s="35">
        <v>11261</v>
      </c>
      <c r="E1745" s="13" t="s">
        <v>3044</v>
      </c>
      <c r="F1745" s="14">
        <v>40623</v>
      </c>
      <c r="G1745" s="14">
        <v>41049</v>
      </c>
      <c r="H1745" s="4" t="s">
        <v>2039</v>
      </c>
      <c r="I1745" s="6">
        <f>33143.61+35673.28</f>
        <v>68816.89</v>
      </c>
      <c r="J1745" s="6">
        <f>33143.61+35673.28</f>
        <v>68816.89</v>
      </c>
      <c r="K1745" s="37" t="s">
        <v>2650</v>
      </c>
      <c r="L1745" s="119"/>
      <c r="M1745" s="3"/>
    </row>
    <row r="1746" spans="1:13" s="4" customFormat="1" ht="25.5" x14ac:dyDescent="0.25">
      <c r="A1746" s="13" t="s">
        <v>3045</v>
      </c>
      <c r="B1746" s="4" t="s">
        <v>13</v>
      </c>
      <c r="C1746" s="37" t="s">
        <v>2650</v>
      </c>
      <c r="D1746" s="35">
        <v>11265</v>
      </c>
      <c r="E1746" s="13" t="s">
        <v>3045</v>
      </c>
      <c r="F1746" s="14">
        <v>40623</v>
      </c>
      <c r="G1746" s="14">
        <v>41049</v>
      </c>
      <c r="H1746" s="4" t="s">
        <v>2039</v>
      </c>
      <c r="I1746" s="6">
        <f>17799.2+32380.44</f>
        <v>50179.64</v>
      </c>
      <c r="J1746" s="6">
        <f>17799.2+32380.44</f>
        <v>50179.64</v>
      </c>
      <c r="K1746" s="37" t="s">
        <v>2650</v>
      </c>
      <c r="L1746" s="119"/>
      <c r="M1746" s="3"/>
    </row>
    <row r="1747" spans="1:13" s="4" customFormat="1" ht="25.5" x14ac:dyDescent="0.25">
      <c r="A1747" s="13" t="s">
        <v>3046</v>
      </c>
      <c r="B1747" s="4" t="s">
        <v>13</v>
      </c>
      <c r="C1747" s="37" t="s">
        <v>2650</v>
      </c>
      <c r="D1747" s="35">
        <v>11266</v>
      </c>
      <c r="E1747" s="13" t="s">
        <v>3046</v>
      </c>
      <c r="F1747" s="14">
        <v>40623</v>
      </c>
      <c r="G1747" s="14">
        <v>41049</v>
      </c>
      <c r="H1747" s="4" t="s">
        <v>2039</v>
      </c>
      <c r="I1747" s="6">
        <f>8172.9+1177.76</f>
        <v>9350.66</v>
      </c>
      <c r="J1747" s="6">
        <f>8172.9+1177.76</f>
        <v>9350.66</v>
      </c>
      <c r="K1747" s="37" t="s">
        <v>2650</v>
      </c>
      <c r="L1747" s="119"/>
      <c r="M1747" s="3"/>
    </row>
    <row r="1748" spans="1:13" s="4" customFormat="1" ht="38.25" x14ac:dyDescent="0.25">
      <c r="A1748" s="13" t="s">
        <v>3047</v>
      </c>
      <c r="B1748" s="4" t="s">
        <v>13</v>
      </c>
      <c r="C1748" s="37" t="s">
        <v>2650</v>
      </c>
      <c r="D1748" s="35">
        <v>11267</v>
      </c>
      <c r="E1748" s="13" t="s">
        <v>3047</v>
      </c>
      <c r="F1748" s="14">
        <v>40623</v>
      </c>
      <c r="G1748" s="14">
        <v>41049</v>
      </c>
      <c r="H1748" s="4" t="s">
        <v>2039</v>
      </c>
      <c r="I1748" s="6">
        <v>987.57</v>
      </c>
      <c r="J1748" s="6">
        <v>987.57</v>
      </c>
      <c r="K1748" s="37" t="s">
        <v>2650</v>
      </c>
      <c r="L1748" s="119"/>
      <c r="M1748" s="3"/>
    </row>
    <row r="1749" spans="1:13" s="32" customFormat="1" ht="25.5" x14ac:dyDescent="0.25">
      <c r="A1749" s="13" t="s">
        <v>11416</v>
      </c>
      <c r="B1749" s="32" t="s">
        <v>13</v>
      </c>
      <c r="C1749" s="38" t="s">
        <v>2650</v>
      </c>
      <c r="D1749" s="33">
        <v>11268</v>
      </c>
      <c r="E1749" s="13" t="s">
        <v>11417</v>
      </c>
      <c r="F1749" s="34">
        <v>40817</v>
      </c>
      <c r="G1749" s="34">
        <v>41274</v>
      </c>
      <c r="H1749" s="4" t="s">
        <v>2039</v>
      </c>
      <c r="I1749" s="94">
        <f>30639.36+36868.9</f>
        <v>67508.260000000009</v>
      </c>
      <c r="J1749" s="94">
        <f>30639.36+36868.9</f>
        <v>67508.260000000009</v>
      </c>
      <c r="K1749" s="38" t="s">
        <v>2650</v>
      </c>
      <c r="L1749" s="119"/>
    </row>
    <row r="1750" spans="1:13" s="32" customFormat="1" ht="25.5" x14ac:dyDescent="0.25">
      <c r="A1750" s="13" t="s">
        <v>11418</v>
      </c>
      <c r="B1750" s="32" t="s">
        <v>13</v>
      </c>
      <c r="C1750" s="38" t="s">
        <v>2650</v>
      </c>
      <c r="D1750" s="33">
        <v>11269</v>
      </c>
      <c r="E1750" s="13" t="s">
        <v>11419</v>
      </c>
      <c r="F1750" s="34">
        <v>40878</v>
      </c>
      <c r="G1750" s="34">
        <v>41333</v>
      </c>
      <c r="H1750" s="4" t="s">
        <v>2039</v>
      </c>
      <c r="I1750" s="94">
        <f>37261.87+10513.36</f>
        <v>47775.23</v>
      </c>
      <c r="J1750" s="94">
        <f>37261.87+10513.36</f>
        <v>47775.23</v>
      </c>
      <c r="K1750" s="38" t="s">
        <v>2650</v>
      </c>
      <c r="L1750" s="119"/>
    </row>
    <row r="1751" spans="1:13" s="32" customFormat="1" ht="25.5" x14ac:dyDescent="0.25">
      <c r="A1751" s="13" t="s">
        <v>11420</v>
      </c>
      <c r="B1751" s="32" t="s">
        <v>13</v>
      </c>
      <c r="C1751" s="38" t="s">
        <v>2650</v>
      </c>
      <c r="D1751" s="33">
        <v>11271</v>
      </c>
      <c r="E1751" s="13" t="s">
        <v>11665</v>
      </c>
      <c r="F1751" s="34">
        <v>40909</v>
      </c>
      <c r="G1751" s="34">
        <v>41275</v>
      </c>
      <c r="H1751" s="4" t="s">
        <v>2039</v>
      </c>
      <c r="I1751" s="94">
        <f>61505.72+121942.08</f>
        <v>183447.8</v>
      </c>
      <c r="J1751" s="94">
        <f>61505.72+121942.08</f>
        <v>183447.8</v>
      </c>
      <c r="K1751" s="38" t="s">
        <v>2650</v>
      </c>
      <c r="L1751" s="119"/>
    </row>
    <row r="1752" spans="1:13" s="32" customFormat="1" ht="38.25" x14ac:dyDescent="0.25">
      <c r="A1752" s="13" t="s">
        <v>11422</v>
      </c>
      <c r="B1752" s="32" t="s">
        <v>13</v>
      </c>
      <c r="C1752" s="38" t="s">
        <v>2650</v>
      </c>
      <c r="D1752" s="33">
        <v>11272</v>
      </c>
      <c r="E1752" s="13" t="s">
        <v>11423</v>
      </c>
      <c r="F1752" s="34">
        <v>40940</v>
      </c>
      <c r="G1752" s="34">
        <v>41365</v>
      </c>
      <c r="H1752" s="4" t="s">
        <v>2039</v>
      </c>
      <c r="I1752" s="94">
        <f>55808.97+18055.4</f>
        <v>73864.37</v>
      </c>
      <c r="J1752" s="94">
        <f>55808.97+18055.4</f>
        <v>73864.37</v>
      </c>
      <c r="K1752" s="38" t="s">
        <v>2650</v>
      </c>
      <c r="L1752" s="119"/>
    </row>
    <row r="1753" spans="1:13" s="32" customFormat="1" ht="25.5" x14ac:dyDescent="0.2">
      <c r="A1753" s="91" t="s">
        <v>11672</v>
      </c>
      <c r="B1753" s="32" t="s">
        <v>13</v>
      </c>
      <c r="C1753" s="38" t="s">
        <v>2650</v>
      </c>
      <c r="D1753" s="33">
        <v>11273</v>
      </c>
      <c r="E1753" s="91" t="s">
        <v>11672</v>
      </c>
      <c r="F1753" s="34">
        <v>40909</v>
      </c>
      <c r="G1753" s="34">
        <v>41274</v>
      </c>
      <c r="H1753" s="4" t="s">
        <v>2039</v>
      </c>
      <c r="I1753" s="94">
        <v>62253.89</v>
      </c>
      <c r="J1753" s="94">
        <v>62253.89</v>
      </c>
      <c r="K1753" s="38" t="s">
        <v>2650</v>
      </c>
      <c r="L1753" s="119"/>
    </row>
    <row r="1754" spans="1:13" s="32" customFormat="1" ht="38.25" x14ac:dyDescent="0.25">
      <c r="A1754" s="13" t="s">
        <v>11424</v>
      </c>
      <c r="B1754" s="32" t="s">
        <v>13</v>
      </c>
      <c r="C1754" s="38" t="s">
        <v>2650</v>
      </c>
      <c r="D1754" s="33">
        <v>11274</v>
      </c>
      <c r="E1754" s="13" t="s">
        <v>11425</v>
      </c>
      <c r="F1754" s="34">
        <v>40878</v>
      </c>
      <c r="G1754" s="34">
        <v>41275</v>
      </c>
      <c r="H1754" s="4" t="s">
        <v>2039</v>
      </c>
      <c r="I1754" s="94">
        <f>12037.82+18323.41</f>
        <v>30361.23</v>
      </c>
      <c r="J1754" s="94">
        <f>12037.82+18323.41</f>
        <v>30361.23</v>
      </c>
      <c r="K1754" s="38" t="s">
        <v>2650</v>
      </c>
      <c r="L1754" s="119"/>
    </row>
    <row r="1755" spans="1:13" s="32" customFormat="1" ht="25.5" x14ac:dyDescent="0.25">
      <c r="A1755" s="107" t="s">
        <v>11673</v>
      </c>
      <c r="B1755" s="32" t="s">
        <v>13</v>
      </c>
      <c r="C1755" s="38" t="s">
        <v>2650</v>
      </c>
      <c r="D1755" s="33">
        <v>11275</v>
      </c>
      <c r="E1755" s="107" t="s">
        <v>11673</v>
      </c>
      <c r="F1755" s="34">
        <v>40940</v>
      </c>
      <c r="G1755" s="34">
        <v>41639</v>
      </c>
      <c r="H1755" s="4" t="s">
        <v>2039</v>
      </c>
      <c r="I1755" s="94">
        <v>134074.45000000001</v>
      </c>
      <c r="J1755" s="94">
        <v>134074.45000000001</v>
      </c>
      <c r="K1755" s="38" t="s">
        <v>2650</v>
      </c>
      <c r="L1755" s="119"/>
    </row>
    <row r="1756" spans="1:13" s="32" customFormat="1" ht="25.5" x14ac:dyDescent="0.25">
      <c r="A1756" s="13" t="s">
        <v>11426</v>
      </c>
      <c r="B1756" s="32" t="s">
        <v>13</v>
      </c>
      <c r="C1756" s="38" t="s">
        <v>2650</v>
      </c>
      <c r="D1756" s="33">
        <v>11276</v>
      </c>
      <c r="E1756" s="13" t="s">
        <v>11427</v>
      </c>
      <c r="F1756" s="34">
        <v>40940</v>
      </c>
      <c r="G1756" s="34">
        <v>41243</v>
      </c>
      <c r="H1756" s="4" t="s">
        <v>2039</v>
      </c>
      <c r="I1756" s="94">
        <v>36577.33</v>
      </c>
      <c r="J1756" s="94">
        <v>36577.33</v>
      </c>
      <c r="K1756" s="38" t="s">
        <v>2650</v>
      </c>
      <c r="L1756" s="119"/>
    </row>
    <row r="1757" spans="1:13" s="4" customFormat="1" ht="25.5" x14ac:dyDescent="0.25">
      <c r="A1757" s="4" t="s">
        <v>3048</v>
      </c>
      <c r="B1757" s="4" t="s">
        <v>13</v>
      </c>
      <c r="C1757" s="37" t="s">
        <v>2650</v>
      </c>
      <c r="D1757" s="35">
        <v>11363</v>
      </c>
      <c r="E1757" s="4" t="s">
        <v>3048</v>
      </c>
      <c r="F1757" s="5">
        <v>40603</v>
      </c>
      <c r="G1757" s="5">
        <v>40968</v>
      </c>
      <c r="H1757" s="4" t="s">
        <v>2039</v>
      </c>
      <c r="I1757" s="6">
        <f>70074.28+9652</f>
        <v>79726.28</v>
      </c>
      <c r="J1757" s="6">
        <f>70074.28+9652</f>
        <v>79726.28</v>
      </c>
      <c r="K1757" s="37" t="s">
        <v>2650</v>
      </c>
      <c r="L1757" s="119"/>
      <c r="M1757" s="3"/>
    </row>
    <row r="1758" spans="1:13" s="4" customFormat="1" ht="25.5" x14ac:dyDescent="0.25">
      <c r="A1758" s="4" t="s">
        <v>3049</v>
      </c>
      <c r="B1758" s="4" t="s">
        <v>13</v>
      </c>
      <c r="C1758" s="37" t="s">
        <v>2650</v>
      </c>
      <c r="D1758" s="35">
        <v>11364</v>
      </c>
      <c r="E1758" s="4" t="s">
        <v>3049</v>
      </c>
      <c r="F1758" s="5">
        <v>40664</v>
      </c>
      <c r="G1758" s="5">
        <v>41029</v>
      </c>
      <c r="H1758" s="4" t="s">
        <v>2039</v>
      </c>
      <c r="I1758" s="6">
        <f>50642.66+63689.81</f>
        <v>114332.47</v>
      </c>
      <c r="J1758" s="6">
        <f>50642.66+63689.81</f>
        <v>114332.47</v>
      </c>
      <c r="K1758" s="37" t="s">
        <v>2650</v>
      </c>
      <c r="L1758" s="119"/>
      <c r="M1758" s="3"/>
    </row>
    <row r="1759" spans="1:13" s="4" customFormat="1" ht="51" x14ac:dyDescent="0.25">
      <c r="A1759" s="4" t="s">
        <v>3050</v>
      </c>
      <c r="B1759" s="4" t="s">
        <v>13</v>
      </c>
      <c r="C1759" s="37" t="s">
        <v>2650</v>
      </c>
      <c r="D1759" s="35">
        <v>11365</v>
      </c>
      <c r="E1759" s="4" t="s">
        <v>3051</v>
      </c>
      <c r="F1759" s="5">
        <v>40575</v>
      </c>
      <c r="G1759" s="5">
        <v>40999</v>
      </c>
      <c r="H1759" s="4" t="s">
        <v>2039</v>
      </c>
      <c r="I1759" s="6">
        <v>44140.2</v>
      </c>
      <c r="J1759" s="6">
        <v>44140.2</v>
      </c>
      <c r="K1759" s="37" t="s">
        <v>2650</v>
      </c>
      <c r="L1759" s="119"/>
      <c r="M1759" s="3"/>
    </row>
    <row r="1760" spans="1:13" s="4" customFormat="1" ht="25.5" x14ac:dyDescent="0.25">
      <c r="A1760" s="4" t="s">
        <v>3052</v>
      </c>
      <c r="B1760" s="4" t="s">
        <v>13</v>
      </c>
      <c r="C1760" s="37" t="s">
        <v>2650</v>
      </c>
      <c r="D1760" s="90">
        <v>11366</v>
      </c>
      <c r="E1760" s="4" t="s">
        <v>3052</v>
      </c>
      <c r="F1760" s="5">
        <v>40787</v>
      </c>
      <c r="G1760" s="5">
        <v>40908</v>
      </c>
      <c r="H1760" s="4" t="s">
        <v>2039</v>
      </c>
      <c r="I1760" s="6">
        <f>25308.15+117508.81+44664.02</f>
        <v>187480.97999999998</v>
      </c>
      <c r="J1760" s="6">
        <f>25308.15+117508.81+44664.02</f>
        <v>187480.97999999998</v>
      </c>
      <c r="K1760" s="37" t="s">
        <v>2650</v>
      </c>
      <c r="L1760" s="119"/>
      <c r="M1760" s="3"/>
    </row>
    <row r="1761" spans="1:13" s="4" customFormat="1" ht="25.5" x14ac:dyDescent="0.25">
      <c r="A1761" s="4" t="s">
        <v>3053</v>
      </c>
      <c r="B1761" s="4" t="s">
        <v>13</v>
      </c>
      <c r="C1761" s="37" t="s">
        <v>2650</v>
      </c>
      <c r="D1761" s="90">
        <v>11367</v>
      </c>
      <c r="E1761" s="4" t="s">
        <v>3053</v>
      </c>
      <c r="F1761" s="5">
        <v>40756</v>
      </c>
      <c r="G1761" s="5">
        <v>40908</v>
      </c>
      <c r="H1761" s="4" t="s">
        <v>2039</v>
      </c>
      <c r="I1761" s="6">
        <f>17136.19+40541.39</f>
        <v>57677.58</v>
      </c>
      <c r="J1761" s="6">
        <f>17136.19+40541.39</f>
        <v>57677.58</v>
      </c>
      <c r="K1761" s="37" t="s">
        <v>2650</v>
      </c>
      <c r="L1761" s="119"/>
      <c r="M1761" s="3"/>
    </row>
    <row r="1762" spans="1:13" s="4" customFormat="1" ht="38.25" x14ac:dyDescent="0.25">
      <c r="A1762" s="4" t="s">
        <v>3054</v>
      </c>
      <c r="B1762" s="4" t="s">
        <v>13</v>
      </c>
      <c r="C1762" s="37" t="s">
        <v>2650</v>
      </c>
      <c r="D1762" s="90">
        <v>11368</v>
      </c>
      <c r="E1762" s="4" t="s">
        <v>3054</v>
      </c>
      <c r="F1762" s="5">
        <v>40695</v>
      </c>
      <c r="G1762" s="5">
        <v>40908</v>
      </c>
      <c r="H1762" s="4" t="s">
        <v>2039</v>
      </c>
      <c r="I1762" s="6">
        <f>14302.12+77506.9</f>
        <v>91809.01999999999</v>
      </c>
      <c r="J1762" s="6">
        <f>14302.12+77506.9</f>
        <v>91809.01999999999</v>
      </c>
      <c r="K1762" s="37" t="s">
        <v>2650</v>
      </c>
      <c r="L1762" s="119"/>
      <c r="M1762" s="3"/>
    </row>
    <row r="1763" spans="1:13" s="4" customFormat="1" ht="38.25" x14ac:dyDescent="0.25">
      <c r="A1763" s="4" t="s">
        <v>3055</v>
      </c>
      <c r="B1763" s="4" t="s">
        <v>13</v>
      </c>
      <c r="C1763" s="37" t="s">
        <v>2650</v>
      </c>
      <c r="D1763" s="90">
        <v>11369</v>
      </c>
      <c r="E1763" s="4" t="s">
        <v>3055</v>
      </c>
      <c r="F1763" s="5">
        <v>40634</v>
      </c>
      <c r="G1763" s="5">
        <v>40908</v>
      </c>
      <c r="H1763" s="4" t="s">
        <v>2039</v>
      </c>
      <c r="I1763" s="6">
        <f>841.25+60952</f>
        <v>61793.25</v>
      </c>
      <c r="J1763" s="6">
        <f>841.25+60952</f>
        <v>61793.25</v>
      </c>
      <c r="K1763" s="37" t="s">
        <v>2650</v>
      </c>
      <c r="L1763" s="119"/>
    </row>
    <row r="1764" spans="1:13" s="4" customFormat="1" ht="25.5" x14ac:dyDescent="0.25">
      <c r="A1764" s="4" t="s">
        <v>3056</v>
      </c>
      <c r="B1764" s="4" t="s">
        <v>13</v>
      </c>
      <c r="C1764" s="37" t="s">
        <v>2650</v>
      </c>
      <c r="D1764" s="35">
        <v>11579</v>
      </c>
      <c r="E1764" s="4" t="s">
        <v>3057</v>
      </c>
      <c r="F1764" s="5">
        <v>40544</v>
      </c>
      <c r="G1764" s="5">
        <v>40908</v>
      </c>
      <c r="H1764" s="4" t="s">
        <v>2039</v>
      </c>
      <c r="I1764" s="6">
        <f>72689.2-5.02</f>
        <v>72684.179999999993</v>
      </c>
      <c r="J1764" s="6">
        <f>72689.2-5.02</f>
        <v>72684.179999999993</v>
      </c>
      <c r="K1764" s="37" t="s">
        <v>2650</v>
      </c>
      <c r="L1764" s="119"/>
      <c r="M1764" s="3"/>
    </row>
    <row r="1765" spans="1:13" s="4" customFormat="1" ht="38.25" x14ac:dyDescent="0.25">
      <c r="A1765" s="4" t="s">
        <v>3058</v>
      </c>
      <c r="B1765" s="4" t="s">
        <v>13</v>
      </c>
      <c r="C1765" s="37" t="s">
        <v>2650</v>
      </c>
      <c r="D1765" s="35">
        <v>11580</v>
      </c>
      <c r="E1765" s="4" t="s">
        <v>3059</v>
      </c>
      <c r="F1765" s="5">
        <v>40634</v>
      </c>
      <c r="G1765" s="5">
        <v>40999</v>
      </c>
      <c r="H1765" s="4" t="s">
        <v>2039</v>
      </c>
      <c r="I1765" s="6">
        <f>27741.11+16953.98</f>
        <v>44695.09</v>
      </c>
      <c r="J1765" s="6">
        <f>27741.11+16953.98</f>
        <v>44695.09</v>
      </c>
      <c r="K1765" s="37" t="s">
        <v>2650</v>
      </c>
      <c r="L1765" s="119"/>
      <c r="M1765" s="3"/>
    </row>
    <row r="1766" spans="1:13" s="4" customFormat="1" ht="51" x14ac:dyDescent="0.25">
      <c r="A1766" s="4" t="s">
        <v>3060</v>
      </c>
      <c r="B1766" s="4" t="s">
        <v>13</v>
      </c>
      <c r="C1766" s="37" t="s">
        <v>2650</v>
      </c>
      <c r="D1766" s="35">
        <v>11581</v>
      </c>
      <c r="E1766" s="4" t="s">
        <v>3061</v>
      </c>
      <c r="F1766" s="5">
        <v>40664</v>
      </c>
      <c r="G1766" s="5">
        <v>41213</v>
      </c>
      <c r="H1766" s="4" t="s">
        <v>2039</v>
      </c>
      <c r="I1766" s="6">
        <f>9995.43+70270.5</f>
        <v>80265.929999999993</v>
      </c>
      <c r="J1766" s="6">
        <f>9995.43+70270.5</f>
        <v>80265.929999999993</v>
      </c>
      <c r="K1766" s="37" t="s">
        <v>2650</v>
      </c>
      <c r="L1766" s="119"/>
      <c r="M1766" s="3"/>
    </row>
    <row r="1767" spans="1:13" s="4" customFormat="1" ht="25.5" x14ac:dyDescent="0.25">
      <c r="A1767" s="106" t="s">
        <v>11664</v>
      </c>
      <c r="B1767" s="4" t="s">
        <v>13</v>
      </c>
      <c r="C1767" s="37" t="s">
        <v>2650</v>
      </c>
      <c r="D1767" s="35">
        <v>11582</v>
      </c>
      <c r="E1767" s="106" t="s">
        <v>11664</v>
      </c>
      <c r="F1767" s="5">
        <v>40786</v>
      </c>
      <c r="G1767" s="5">
        <v>41394</v>
      </c>
      <c r="H1767" s="4" t="s">
        <v>2039</v>
      </c>
      <c r="I1767" s="6">
        <f>29282.96+134081.83+47006.8</f>
        <v>210371.58999999997</v>
      </c>
      <c r="J1767" s="6">
        <f>29282.96+134081.83+47006.8</f>
        <v>210371.58999999997</v>
      </c>
      <c r="K1767" s="37" t="s">
        <v>2650</v>
      </c>
      <c r="L1767" s="119"/>
      <c r="M1767" s="3"/>
    </row>
    <row r="1768" spans="1:13" s="4" customFormat="1" ht="38.25" x14ac:dyDescent="0.25">
      <c r="A1768" s="4" t="s">
        <v>3064</v>
      </c>
      <c r="B1768" s="4" t="s">
        <v>13</v>
      </c>
      <c r="C1768" s="37" t="s">
        <v>2650</v>
      </c>
      <c r="D1768" s="35">
        <v>11583</v>
      </c>
      <c r="E1768" s="4" t="s">
        <v>3065</v>
      </c>
      <c r="F1768" s="5">
        <v>40787</v>
      </c>
      <c r="G1768" s="5">
        <v>41455</v>
      </c>
      <c r="H1768" s="4" t="s">
        <v>2039</v>
      </c>
      <c r="I1768" s="6">
        <f>6118.69+106683.89+70137.58</f>
        <v>182940.16</v>
      </c>
      <c r="J1768" s="6">
        <f>6118.69+106683.89+70137.58</f>
        <v>182940.16</v>
      </c>
      <c r="K1768" s="37" t="s">
        <v>2650</v>
      </c>
      <c r="L1768" s="119"/>
    </row>
    <row r="1769" spans="1:13" s="4" customFormat="1" ht="38.25" x14ac:dyDescent="0.25">
      <c r="A1769" s="4" t="s">
        <v>3066</v>
      </c>
      <c r="B1769" s="4" t="s">
        <v>13</v>
      </c>
      <c r="C1769" s="37" t="s">
        <v>2650</v>
      </c>
      <c r="D1769" s="35">
        <v>12005</v>
      </c>
      <c r="E1769" s="4" t="s">
        <v>3067</v>
      </c>
      <c r="F1769" s="5">
        <v>40805</v>
      </c>
      <c r="G1769" s="5">
        <v>40895</v>
      </c>
      <c r="H1769" s="4" t="s">
        <v>2039</v>
      </c>
      <c r="I1769" s="6">
        <v>9000</v>
      </c>
      <c r="J1769" s="6">
        <v>9000</v>
      </c>
      <c r="K1769" s="37" t="s">
        <v>2650</v>
      </c>
      <c r="L1769" s="119"/>
      <c r="M1769" s="3"/>
    </row>
    <row r="1770" spans="1:13" s="32" customFormat="1" ht="25.5" x14ac:dyDescent="0.25">
      <c r="A1770" s="13" t="s">
        <v>11428</v>
      </c>
      <c r="B1770" s="32" t="s">
        <v>13</v>
      </c>
      <c r="C1770" s="38" t="s">
        <v>2650</v>
      </c>
      <c r="D1770" s="33">
        <v>12918</v>
      </c>
      <c r="E1770" s="13" t="s">
        <v>11428</v>
      </c>
      <c r="F1770" s="34">
        <v>40756</v>
      </c>
      <c r="G1770" s="34">
        <v>41487</v>
      </c>
      <c r="H1770" s="4" t="s">
        <v>2039</v>
      </c>
      <c r="I1770" s="94">
        <f>96665.48+72459.61</f>
        <v>169125.09</v>
      </c>
      <c r="J1770" s="94">
        <f>96665.48+72459.61</f>
        <v>169125.09</v>
      </c>
      <c r="K1770" s="38" t="s">
        <v>2650</v>
      </c>
      <c r="L1770" s="119"/>
    </row>
    <row r="1771" spans="1:13" s="32" customFormat="1" ht="38.25" x14ac:dyDescent="0.25">
      <c r="A1771" s="13" t="s">
        <v>11429</v>
      </c>
      <c r="B1771" s="32" t="s">
        <v>13</v>
      </c>
      <c r="C1771" s="38" t="s">
        <v>2650</v>
      </c>
      <c r="D1771" s="33">
        <v>12919</v>
      </c>
      <c r="E1771" s="13" t="s">
        <v>11430</v>
      </c>
      <c r="F1771" s="34">
        <v>40787</v>
      </c>
      <c r="G1771" s="34">
        <v>42218</v>
      </c>
      <c r="H1771" s="4" t="s">
        <v>2039</v>
      </c>
      <c r="I1771" s="94">
        <f>64350.55+47235.19</f>
        <v>111585.74</v>
      </c>
      <c r="J1771" s="94">
        <f>64350.55+47235.19</f>
        <v>111585.74</v>
      </c>
      <c r="K1771" s="38" t="s">
        <v>2650</v>
      </c>
      <c r="L1771" s="119"/>
    </row>
    <row r="1772" spans="1:13" s="32" customFormat="1" ht="25.5" x14ac:dyDescent="0.25">
      <c r="A1772" s="13" t="s">
        <v>11431</v>
      </c>
      <c r="B1772" s="32" t="s">
        <v>13</v>
      </c>
      <c r="C1772" s="38" t="s">
        <v>2650</v>
      </c>
      <c r="D1772" s="33">
        <v>12920</v>
      </c>
      <c r="E1772" s="13" t="s">
        <v>11431</v>
      </c>
      <c r="F1772" s="34">
        <v>40878</v>
      </c>
      <c r="G1772" s="34">
        <v>41852</v>
      </c>
      <c r="H1772" s="4" t="s">
        <v>2039</v>
      </c>
      <c r="I1772" s="94">
        <f>103749.68+179826</f>
        <v>283575.67999999999</v>
      </c>
      <c r="J1772" s="94">
        <f>103749.68+179826</f>
        <v>283575.67999999999</v>
      </c>
      <c r="K1772" s="38" t="s">
        <v>2650</v>
      </c>
      <c r="L1772" s="119"/>
    </row>
    <row r="1773" spans="1:13" s="32" customFormat="1" ht="25.5" x14ac:dyDescent="0.25">
      <c r="A1773" s="13" t="s">
        <v>11432</v>
      </c>
      <c r="B1773" s="32" t="s">
        <v>13</v>
      </c>
      <c r="C1773" s="38" t="s">
        <v>2650</v>
      </c>
      <c r="D1773" s="33">
        <v>12921</v>
      </c>
      <c r="E1773" s="13" t="s">
        <v>11432</v>
      </c>
      <c r="F1773" s="34">
        <v>40861</v>
      </c>
      <c r="G1773" s="34">
        <v>41227</v>
      </c>
      <c r="H1773" s="4" t="s">
        <v>2039</v>
      </c>
      <c r="I1773" s="94">
        <v>50402.05</v>
      </c>
      <c r="J1773" s="94">
        <v>50402.05</v>
      </c>
      <c r="K1773" s="38" t="s">
        <v>2650</v>
      </c>
      <c r="L1773" s="119"/>
    </row>
    <row r="1774" spans="1:13" s="32" customFormat="1" ht="38.25" x14ac:dyDescent="0.25">
      <c r="A1774" s="13" t="s">
        <v>11433</v>
      </c>
      <c r="B1774" s="32" t="s">
        <v>13</v>
      </c>
      <c r="C1774" s="38" t="s">
        <v>2650</v>
      </c>
      <c r="D1774" s="33">
        <v>12922</v>
      </c>
      <c r="E1774" s="13" t="s">
        <v>11434</v>
      </c>
      <c r="F1774" s="34">
        <v>40940</v>
      </c>
      <c r="G1774" s="34">
        <v>41882</v>
      </c>
      <c r="H1774" s="4" t="s">
        <v>2039</v>
      </c>
      <c r="I1774" s="94">
        <f>48595.93+34251.11</f>
        <v>82847.040000000008</v>
      </c>
      <c r="J1774" s="94">
        <f>48595.93+34251.11</f>
        <v>82847.040000000008</v>
      </c>
      <c r="K1774" s="38" t="s">
        <v>2650</v>
      </c>
      <c r="L1774" s="119"/>
    </row>
    <row r="1775" spans="1:13" s="32" customFormat="1" ht="38.25" x14ac:dyDescent="0.25">
      <c r="A1775" s="13" t="s">
        <v>11435</v>
      </c>
      <c r="B1775" s="32" t="s">
        <v>13</v>
      </c>
      <c r="C1775" s="38" t="s">
        <v>2650</v>
      </c>
      <c r="D1775" s="33">
        <v>12923</v>
      </c>
      <c r="E1775" s="13" t="s">
        <v>11436</v>
      </c>
      <c r="F1775" s="34">
        <v>40924</v>
      </c>
      <c r="G1775" s="34">
        <v>41836</v>
      </c>
      <c r="H1775" s="4" t="s">
        <v>2039</v>
      </c>
      <c r="I1775" s="94">
        <f>28240.62+16912.66</f>
        <v>45153.279999999999</v>
      </c>
      <c r="J1775" s="94">
        <f>28240.62+16912.66</f>
        <v>45153.279999999999</v>
      </c>
      <c r="K1775" s="38" t="s">
        <v>2650</v>
      </c>
      <c r="L1775" s="119"/>
    </row>
    <row r="1776" spans="1:13" s="32" customFormat="1" ht="25.5" x14ac:dyDescent="0.25">
      <c r="A1776" s="13" t="s">
        <v>11437</v>
      </c>
      <c r="B1776" s="32" t="s">
        <v>13</v>
      </c>
      <c r="C1776" s="38" t="s">
        <v>2650</v>
      </c>
      <c r="D1776" s="33">
        <v>12924</v>
      </c>
      <c r="E1776" s="13" t="s">
        <v>11438</v>
      </c>
      <c r="F1776" s="34">
        <v>41153</v>
      </c>
      <c r="G1776" s="34">
        <v>42154</v>
      </c>
      <c r="H1776" s="4" t="s">
        <v>2039</v>
      </c>
      <c r="I1776" s="94">
        <f>13913.45+49620.28</f>
        <v>63533.729999999996</v>
      </c>
      <c r="J1776" s="94">
        <f>13913.45+49620.28</f>
        <v>63533.729999999996</v>
      </c>
      <c r="K1776" s="38" t="s">
        <v>2650</v>
      </c>
      <c r="L1776" s="119"/>
    </row>
    <row r="1777" spans="1:12" s="32" customFormat="1" ht="38.25" x14ac:dyDescent="0.25">
      <c r="A1777" s="13" t="s">
        <v>11439</v>
      </c>
      <c r="B1777" s="32" t="s">
        <v>13</v>
      </c>
      <c r="C1777" s="38" t="s">
        <v>2650</v>
      </c>
      <c r="D1777" s="33">
        <v>12925</v>
      </c>
      <c r="E1777" s="13" t="s">
        <v>11440</v>
      </c>
      <c r="F1777" s="34">
        <v>41106</v>
      </c>
      <c r="G1777" s="34">
        <v>41851</v>
      </c>
      <c r="H1777" s="4" t="s">
        <v>2039</v>
      </c>
      <c r="I1777" s="94">
        <f>37301.83+106778.34</f>
        <v>144080.16999999998</v>
      </c>
      <c r="J1777" s="94">
        <f>37301.83+106778.34</f>
        <v>144080.16999999998</v>
      </c>
      <c r="K1777" s="38" t="s">
        <v>2650</v>
      </c>
      <c r="L1777" s="119"/>
    </row>
    <row r="1778" spans="1:12" s="32" customFormat="1" ht="51" x14ac:dyDescent="0.25">
      <c r="A1778" s="13" t="s">
        <v>11441</v>
      </c>
      <c r="B1778" s="32" t="s">
        <v>13</v>
      </c>
      <c r="C1778" s="38" t="s">
        <v>2650</v>
      </c>
      <c r="D1778" s="33">
        <v>12926</v>
      </c>
      <c r="E1778" s="13" t="s">
        <v>11442</v>
      </c>
      <c r="F1778" s="34">
        <v>41091</v>
      </c>
      <c r="G1778" s="34">
        <v>41881</v>
      </c>
      <c r="H1778" s="4" t="s">
        <v>2039</v>
      </c>
      <c r="I1778" s="94">
        <f>27509+76462.2</f>
        <v>103971.2</v>
      </c>
      <c r="J1778" s="94">
        <f>27509+76462.2</f>
        <v>103971.2</v>
      </c>
      <c r="K1778" s="38" t="s">
        <v>2650</v>
      </c>
      <c r="L1778" s="119"/>
    </row>
    <row r="1779" spans="1:12" s="32" customFormat="1" ht="25.5" x14ac:dyDescent="0.25">
      <c r="A1779" s="13" t="s">
        <v>11443</v>
      </c>
      <c r="B1779" s="32" t="s">
        <v>13</v>
      </c>
      <c r="C1779" s="38" t="s">
        <v>2650</v>
      </c>
      <c r="D1779" s="33">
        <v>12927</v>
      </c>
      <c r="E1779" s="13" t="s">
        <v>11443</v>
      </c>
      <c r="F1779" s="34">
        <v>41091</v>
      </c>
      <c r="G1779" s="34">
        <v>41578</v>
      </c>
      <c r="H1779" s="4" t="s">
        <v>2039</v>
      </c>
      <c r="I1779" s="94">
        <f>17013.55+48276.05</f>
        <v>65289.600000000006</v>
      </c>
      <c r="J1779" s="94">
        <f>17013.55+48276.05</f>
        <v>65289.600000000006</v>
      </c>
      <c r="K1779" s="38" t="s">
        <v>2650</v>
      </c>
      <c r="L1779" s="119"/>
    </row>
    <row r="1780" spans="1:12" s="32" customFormat="1" ht="51" x14ac:dyDescent="0.25">
      <c r="A1780" s="13" t="s">
        <v>11444</v>
      </c>
      <c r="B1780" s="32" t="s">
        <v>13</v>
      </c>
      <c r="C1780" s="38" t="s">
        <v>2650</v>
      </c>
      <c r="D1780" s="33">
        <v>12928</v>
      </c>
      <c r="E1780" s="13" t="s">
        <v>11445</v>
      </c>
      <c r="F1780" s="34">
        <v>41092</v>
      </c>
      <c r="G1780" s="34">
        <v>41549</v>
      </c>
      <c r="H1780" s="4" t="s">
        <v>2039</v>
      </c>
      <c r="I1780" s="94">
        <f>16728.81+36855.36</f>
        <v>53584.17</v>
      </c>
      <c r="J1780" s="94">
        <f>16728.81+36855.36</f>
        <v>53584.17</v>
      </c>
      <c r="K1780" s="38" t="s">
        <v>2650</v>
      </c>
      <c r="L1780" s="119"/>
    </row>
    <row r="1781" spans="1:12" s="32" customFormat="1" ht="25.5" x14ac:dyDescent="0.25">
      <c r="A1781" s="13" t="s">
        <v>11446</v>
      </c>
      <c r="B1781" s="32" t="s">
        <v>13</v>
      </c>
      <c r="C1781" s="38" t="s">
        <v>2650</v>
      </c>
      <c r="D1781" s="33">
        <v>12929</v>
      </c>
      <c r="E1781" s="13" t="s">
        <v>11446</v>
      </c>
      <c r="F1781" s="34">
        <v>41122</v>
      </c>
      <c r="G1781" s="34">
        <v>41486</v>
      </c>
      <c r="H1781" s="4" t="s">
        <v>2039</v>
      </c>
      <c r="I1781" s="94">
        <f>19719.42+50166.52</f>
        <v>69885.94</v>
      </c>
      <c r="J1781" s="94">
        <f>19719.42+50166.52</f>
        <v>69885.94</v>
      </c>
      <c r="K1781" s="38" t="s">
        <v>2650</v>
      </c>
      <c r="L1781" s="119"/>
    </row>
    <row r="1782" spans="1:12" s="32" customFormat="1" ht="25.5" x14ac:dyDescent="0.25">
      <c r="A1782" s="13" t="s">
        <v>11447</v>
      </c>
      <c r="B1782" s="32" t="s">
        <v>13</v>
      </c>
      <c r="C1782" s="38" t="s">
        <v>2650</v>
      </c>
      <c r="D1782" s="33">
        <v>12930</v>
      </c>
      <c r="E1782" s="13" t="s">
        <v>11447</v>
      </c>
      <c r="F1782" s="34">
        <v>41153</v>
      </c>
      <c r="G1782" s="34">
        <v>41698</v>
      </c>
      <c r="H1782" s="4" t="s">
        <v>2039</v>
      </c>
      <c r="I1782" s="94">
        <f>6962.04+57332.8</f>
        <v>64294.840000000004</v>
      </c>
      <c r="J1782" s="94">
        <f>6962.04+57332.8</f>
        <v>64294.840000000004</v>
      </c>
      <c r="K1782" s="38" t="s">
        <v>2650</v>
      </c>
      <c r="L1782" s="119"/>
    </row>
    <row r="1783" spans="1:12" s="32" customFormat="1" ht="25.5" x14ac:dyDescent="0.25">
      <c r="A1783" s="13" t="s">
        <v>11448</v>
      </c>
      <c r="B1783" s="32" t="s">
        <v>13</v>
      </c>
      <c r="C1783" s="38" t="s">
        <v>2650</v>
      </c>
      <c r="D1783" s="33">
        <v>12931</v>
      </c>
      <c r="E1783" s="13" t="s">
        <v>11448</v>
      </c>
      <c r="F1783" s="34">
        <v>41197</v>
      </c>
      <c r="G1783" s="34">
        <v>41274</v>
      </c>
      <c r="H1783" s="4" t="s">
        <v>2039</v>
      </c>
      <c r="I1783" s="94">
        <f>13121.95+90253.98</f>
        <v>103375.93</v>
      </c>
      <c r="J1783" s="94">
        <f>13121.95+90253.98</f>
        <v>103375.93</v>
      </c>
      <c r="K1783" s="38" t="s">
        <v>2650</v>
      </c>
      <c r="L1783" s="119"/>
    </row>
    <row r="1784" spans="1:12" s="32" customFormat="1" ht="25.5" x14ac:dyDescent="0.25">
      <c r="A1784" s="13" t="s">
        <v>11449</v>
      </c>
      <c r="B1784" s="32" t="s">
        <v>13</v>
      </c>
      <c r="C1784" s="38" t="s">
        <v>2650</v>
      </c>
      <c r="D1784" s="33">
        <v>12958</v>
      </c>
      <c r="E1784" s="13" t="s">
        <v>11449</v>
      </c>
      <c r="F1784" s="34">
        <v>40756</v>
      </c>
      <c r="G1784" s="34">
        <v>41364</v>
      </c>
      <c r="H1784" s="4" t="s">
        <v>2039</v>
      </c>
      <c r="I1784" s="94">
        <v>55536.5</v>
      </c>
      <c r="J1784" s="94">
        <v>55536.5</v>
      </c>
      <c r="K1784" s="38" t="s">
        <v>2650</v>
      </c>
      <c r="L1784" s="119"/>
    </row>
    <row r="1785" spans="1:12" s="32" customFormat="1" ht="25.5" x14ac:dyDescent="0.25">
      <c r="A1785" s="13" t="s">
        <v>11450</v>
      </c>
      <c r="B1785" s="32" t="s">
        <v>13</v>
      </c>
      <c r="C1785" s="38" t="s">
        <v>2650</v>
      </c>
      <c r="D1785" s="33">
        <v>12959</v>
      </c>
      <c r="E1785" s="13" t="s">
        <v>11450</v>
      </c>
      <c r="F1785" s="34">
        <v>40787</v>
      </c>
      <c r="G1785" s="34">
        <v>41944</v>
      </c>
      <c r="H1785" s="4" t="s">
        <v>2039</v>
      </c>
      <c r="I1785" s="94">
        <v>43743.29</v>
      </c>
      <c r="J1785" s="94">
        <v>43743.29</v>
      </c>
      <c r="K1785" s="38" t="s">
        <v>2650</v>
      </c>
      <c r="L1785" s="119"/>
    </row>
    <row r="1786" spans="1:12" s="32" customFormat="1" ht="25.5" x14ac:dyDescent="0.25">
      <c r="A1786" s="13" t="s">
        <v>11451</v>
      </c>
      <c r="B1786" s="32" t="s">
        <v>13</v>
      </c>
      <c r="C1786" s="38" t="s">
        <v>2650</v>
      </c>
      <c r="D1786" s="33">
        <v>12960</v>
      </c>
      <c r="E1786" s="13" t="s">
        <v>11451</v>
      </c>
      <c r="F1786" s="34">
        <v>40787</v>
      </c>
      <c r="G1786" s="34">
        <v>41534</v>
      </c>
      <c r="H1786" s="4" t="s">
        <v>2039</v>
      </c>
      <c r="I1786" s="94">
        <f>13936.04+49989.83-1743.66</f>
        <v>62182.21</v>
      </c>
      <c r="J1786" s="94">
        <f>13936.04+49989.83-1743.66</f>
        <v>62182.21</v>
      </c>
      <c r="K1786" s="38" t="s">
        <v>2650</v>
      </c>
      <c r="L1786" s="119"/>
    </row>
    <row r="1787" spans="1:12" s="32" customFormat="1" ht="25.5" x14ac:dyDescent="0.25">
      <c r="A1787" s="13" t="s">
        <v>11452</v>
      </c>
      <c r="B1787" s="32" t="s">
        <v>13</v>
      </c>
      <c r="C1787" s="38" t="s">
        <v>2650</v>
      </c>
      <c r="D1787" s="33">
        <v>12961</v>
      </c>
      <c r="E1787" s="13" t="s">
        <v>11452</v>
      </c>
      <c r="F1787" s="34">
        <v>40756</v>
      </c>
      <c r="G1787" s="34">
        <v>41122</v>
      </c>
      <c r="H1787" s="4" t="s">
        <v>2039</v>
      </c>
      <c r="I1787" s="94">
        <v>52127.47</v>
      </c>
      <c r="J1787" s="94">
        <v>52127.47</v>
      </c>
      <c r="K1787" s="38" t="s">
        <v>2650</v>
      </c>
      <c r="L1787" s="119"/>
    </row>
    <row r="1788" spans="1:12" s="32" customFormat="1" ht="25.5" x14ac:dyDescent="0.25">
      <c r="A1788" s="13" t="s">
        <v>11453</v>
      </c>
      <c r="B1788" s="32" t="s">
        <v>13</v>
      </c>
      <c r="C1788" s="38" t="s">
        <v>2650</v>
      </c>
      <c r="D1788" s="33">
        <v>12962</v>
      </c>
      <c r="E1788" s="13" t="s">
        <v>11453</v>
      </c>
      <c r="F1788" s="34">
        <v>40938</v>
      </c>
      <c r="G1788" s="34">
        <v>41397</v>
      </c>
      <c r="H1788" s="4" t="s">
        <v>2039</v>
      </c>
      <c r="I1788" s="94">
        <v>32001.17</v>
      </c>
      <c r="J1788" s="94">
        <v>32001.17</v>
      </c>
      <c r="K1788" s="38" t="s">
        <v>2650</v>
      </c>
      <c r="L1788" s="119"/>
    </row>
    <row r="1789" spans="1:12" s="32" customFormat="1" ht="25.5" x14ac:dyDescent="0.25">
      <c r="A1789" s="13" t="s">
        <v>11454</v>
      </c>
      <c r="B1789" s="32" t="s">
        <v>13</v>
      </c>
      <c r="C1789" s="38" t="s">
        <v>2650</v>
      </c>
      <c r="D1789" s="33">
        <v>12963</v>
      </c>
      <c r="E1789" s="13" t="s">
        <v>11454</v>
      </c>
      <c r="F1789" s="34">
        <v>40924</v>
      </c>
      <c r="G1789" s="34">
        <v>41655</v>
      </c>
      <c r="H1789" s="4" t="s">
        <v>2039</v>
      </c>
      <c r="I1789" s="94">
        <f>132930.61+149879.08</f>
        <v>282809.68999999994</v>
      </c>
      <c r="J1789" s="94">
        <f>132930.61+149879.08</f>
        <v>282809.68999999994</v>
      </c>
      <c r="K1789" s="38" t="s">
        <v>2650</v>
      </c>
      <c r="L1789" s="119"/>
    </row>
    <row r="1790" spans="1:12" s="32" customFormat="1" ht="25.5" x14ac:dyDescent="0.25">
      <c r="A1790" s="13" t="s">
        <v>11455</v>
      </c>
      <c r="B1790" s="32" t="s">
        <v>13</v>
      </c>
      <c r="C1790" s="38" t="s">
        <v>2650</v>
      </c>
      <c r="D1790" s="33">
        <v>12964</v>
      </c>
      <c r="E1790" s="13" t="s">
        <v>11455</v>
      </c>
      <c r="F1790" s="34">
        <v>40909</v>
      </c>
      <c r="G1790" s="34">
        <v>41275</v>
      </c>
      <c r="H1790" s="4" t="s">
        <v>2039</v>
      </c>
      <c r="I1790" s="94">
        <v>79075.45</v>
      </c>
      <c r="J1790" s="94">
        <v>79075.45</v>
      </c>
      <c r="K1790" s="38" t="s">
        <v>2650</v>
      </c>
      <c r="L1790" s="119"/>
    </row>
    <row r="1791" spans="1:12" s="32" customFormat="1" ht="25.5" x14ac:dyDescent="0.25">
      <c r="A1791" s="13" t="s">
        <v>11456</v>
      </c>
      <c r="B1791" s="32" t="s">
        <v>13</v>
      </c>
      <c r="C1791" s="38" t="s">
        <v>2650</v>
      </c>
      <c r="D1791" s="33">
        <v>12965</v>
      </c>
      <c r="E1791" s="13" t="s">
        <v>11456</v>
      </c>
      <c r="F1791" s="34">
        <v>40909</v>
      </c>
      <c r="G1791" s="34">
        <v>41670</v>
      </c>
      <c r="H1791" s="4" t="s">
        <v>2039</v>
      </c>
      <c r="I1791" s="94">
        <f>62473.99+85736.57</f>
        <v>148210.56</v>
      </c>
      <c r="J1791" s="94">
        <f>62473.99+85736.57</f>
        <v>148210.56</v>
      </c>
      <c r="K1791" s="38" t="s">
        <v>2650</v>
      </c>
      <c r="L1791" s="119"/>
    </row>
    <row r="1792" spans="1:12" s="32" customFormat="1" ht="25.5" x14ac:dyDescent="0.25">
      <c r="A1792" s="13" t="s">
        <v>11457</v>
      </c>
      <c r="B1792" s="32" t="s">
        <v>13</v>
      </c>
      <c r="C1792" s="38" t="s">
        <v>2650</v>
      </c>
      <c r="D1792" s="33">
        <v>12966</v>
      </c>
      <c r="E1792" s="13" t="s">
        <v>11457</v>
      </c>
      <c r="F1792" s="34">
        <v>40909</v>
      </c>
      <c r="G1792" s="34">
        <v>41425</v>
      </c>
      <c r="H1792" s="4" t="s">
        <v>2039</v>
      </c>
      <c r="I1792" s="94">
        <v>48075.72</v>
      </c>
      <c r="J1792" s="94">
        <v>48075.72</v>
      </c>
      <c r="K1792" s="38" t="s">
        <v>2650</v>
      </c>
      <c r="L1792" s="119"/>
    </row>
    <row r="1793" spans="1:13" s="32" customFormat="1" ht="25.5" x14ac:dyDescent="0.25">
      <c r="A1793" s="13" t="s">
        <v>11458</v>
      </c>
      <c r="B1793" s="32" t="s">
        <v>13</v>
      </c>
      <c r="C1793" s="38" t="s">
        <v>2650</v>
      </c>
      <c r="D1793" s="33">
        <v>12967</v>
      </c>
      <c r="E1793" s="13" t="s">
        <v>11458</v>
      </c>
      <c r="F1793" s="34">
        <v>40940</v>
      </c>
      <c r="G1793" s="34">
        <v>41394</v>
      </c>
      <c r="H1793" s="4" t="s">
        <v>2039</v>
      </c>
      <c r="I1793" s="94">
        <f>103683.4+40500.93</f>
        <v>144184.32999999999</v>
      </c>
      <c r="J1793" s="94">
        <f>103683.4+40500.93</f>
        <v>144184.32999999999</v>
      </c>
      <c r="K1793" s="38" t="s">
        <v>2650</v>
      </c>
      <c r="L1793" s="119"/>
    </row>
    <row r="1794" spans="1:13" s="32" customFormat="1" ht="25.5" x14ac:dyDescent="0.25">
      <c r="A1794" s="13" t="s">
        <v>11459</v>
      </c>
      <c r="B1794" s="32" t="s">
        <v>13</v>
      </c>
      <c r="C1794" s="38" t="s">
        <v>2650</v>
      </c>
      <c r="D1794" s="33">
        <v>12968</v>
      </c>
      <c r="E1794" s="13" t="s">
        <v>11459</v>
      </c>
      <c r="F1794" s="34">
        <v>40969</v>
      </c>
      <c r="G1794" s="34">
        <v>41883</v>
      </c>
      <c r="H1794" s="4" t="s">
        <v>2039</v>
      </c>
      <c r="I1794" s="94">
        <f>18193.26+105994.54</f>
        <v>124187.79999999999</v>
      </c>
      <c r="J1794" s="94">
        <f>18193.26+105994.54</f>
        <v>124187.79999999999</v>
      </c>
      <c r="K1794" s="38" t="s">
        <v>2650</v>
      </c>
      <c r="L1794" s="119"/>
    </row>
    <row r="1795" spans="1:13" s="32" customFormat="1" ht="25.5" x14ac:dyDescent="0.25">
      <c r="A1795" s="13" t="s">
        <v>11460</v>
      </c>
      <c r="B1795" s="32" t="s">
        <v>13</v>
      </c>
      <c r="C1795" s="38" t="s">
        <v>2650</v>
      </c>
      <c r="D1795" s="33">
        <v>12969</v>
      </c>
      <c r="E1795" s="13" t="s">
        <v>11460</v>
      </c>
      <c r="F1795" s="34">
        <v>41061</v>
      </c>
      <c r="G1795" s="34">
        <v>41426</v>
      </c>
      <c r="H1795" s="4" t="s">
        <v>2039</v>
      </c>
      <c r="I1795" s="94">
        <f>31641.88+30980.69</f>
        <v>62622.57</v>
      </c>
      <c r="J1795" s="94">
        <f>31641.88+30980.69</f>
        <v>62622.57</v>
      </c>
      <c r="K1795" s="38" t="s">
        <v>2650</v>
      </c>
      <c r="L1795" s="119"/>
    </row>
    <row r="1796" spans="1:13" s="32" customFormat="1" ht="25.5" x14ac:dyDescent="0.25">
      <c r="A1796" s="13" t="s">
        <v>11461</v>
      </c>
      <c r="B1796" s="32" t="s">
        <v>13</v>
      </c>
      <c r="C1796" s="38" t="s">
        <v>2650</v>
      </c>
      <c r="D1796" s="33">
        <v>12970</v>
      </c>
      <c r="E1796" s="13" t="s">
        <v>11461</v>
      </c>
      <c r="F1796" s="34">
        <v>41054</v>
      </c>
      <c r="G1796" s="34">
        <v>41419</v>
      </c>
      <c r="H1796" s="4" t="s">
        <v>2039</v>
      </c>
      <c r="I1796" s="94">
        <f>45989.77+32544.84</f>
        <v>78534.61</v>
      </c>
      <c r="J1796" s="94">
        <f>45989.77+32544.84</f>
        <v>78534.61</v>
      </c>
      <c r="K1796" s="38" t="s">
        <v>2650</v>
      </c>
      <c r="L1796" s="119"/>
    </row>
    <row r="1797" spans="1:13" s="32" customFormat="1" ht="25.5" x14ac:dyDescent="0.25">
      <c r="A1797" s="13" t="s">
        <v>11462</v>
      </c>
      <c r="B1797" s="32" t="s">
        <v>13</v>
      </c>
      <c r="C1797" s="38" t="s">
        <v>2650</v>
      </c>
      <c r="D1797" s="33">
        <v>12971</v>
      </c>
      <c r="E1797" s="13" t="s">
        <v>11462</v>
      </c>
      <c r="F1797" s="34">
        <v>41091</v>
      </c>
      <c r="G1797" s="34">
        <v>41456</v>
      </c>
      <c r="H1797" s="4" t="s">
        <v>2039</v>
      </c>
      <c r="I1797" s="94">
        <f>81117.81-276.48</f>
        <v>80841.33</v>
      </c>
      <c r="J1797" s="94">
        <f>81117.81-276.48</f>
        <v>80841.33</v>
      </c>
      <c r="K1797" s="38" t="s">
        <v>2650</v>
      </c>
      <c r="L1797" s="119"/>
    </row>
    <row r="1798" spans="1:13" s="32" customFormat="1" ht="25.5" x14ac:dyDescent="0.25">
      <c r="A1798" s="13" t="s">
        <v>11463</v>
      </c>
      <c r="B1798" s="32" t="s">
        <v>13</v>
      </c>
      <c r="C1798" s="38" t="s">
        <v>2650</v>
      </c>
      <c r="D1798" s="33">
        <v>12972</v>
      </c>
      <c r="E1798" s="13" t="s">
        <v>11463</v>
      </c>
      <c r="F1798" s="34">
        <v>41061</v>
      </c>
      <c r="G1798" s="34">
        <v>41426</v>
      </c>
      <c r="H1798" s="4" t="s">
        <v>2039</v>
      </c>
      <c r="I1798" s="94">
        <v>29619.66</v>
      </c>
      <c r="J1798" s="94">
        <v>29619.66</v>
      </c>
      <c r="K1798" s="38" t="s">
        <v>2650</v>
      </c>
      <c r="L1798" s="119"/>
    </row>
    <row r="1799" spans="1:13" s="32" customFormat="1" ht="25.5" x14ac:dyDescent="0.25">
      <c r="A1799" s="13" t="s">
        <v>11464</v>
      </c>
      <c r="B1799" s="32" t="s">
        <v>13</v>
      </c>
      <c r="C1799" s="38" t="s">
        <v>2650</v>
      </c>
      <c r="D1799" s="33">
        <v>12973</v>
      </c>
      <c r="E1799" s="13" t="s">
        <v>11464</v>
      </c>
      <c r="F1799" s="34">
        <v>41122</v>
      </c>
      <c r="G1799" s="34">
        <v>41487</v>
      </c>
      <c r="H1799" s="4" t="s">
        <v>2039</v>
      </c>
      <c r="I1799" s="94">
        <f>12794.41+46065.88</f>
        <v>58860.289999999994</v>
      </c>
      <c r="J1799" s="94">
        <f>12794.41+46065.88</f>
        <v>58860.289999999994</v>
      </c>
      <c r="K1799" s="38" t="s">
        <v>2650</v>
      </c>
      <c r="L1799" s="119"/>
    </row>
    <row r="1800" spans="1:13" s="32" customFormat="1" ht="25.5" x14ac:dyDescent="0.25">
      <c r="A1800" s="13" t="s">
        <v>11465</v>
      </c>
      <c r="B1800" s="32" t="s">
        <v>13</v>
      </c>
      <c r="C1800" s="38" t="s">
        <v>2650</v>
      </c>
      <c r="D1800" s="33">
        <v>12974</v>
      </c>
      <c r="E1800" s="13" t="s">
        <v>11465</v>
      </c>
      <c r="F1800" s="34">
        <v>41091</v>
      </c>
      <c r="G1800" s="34">
        <v>41685</v>
      </c>
      <c r="H1800" s="4" t="s">
        <v>2039</v>
      </c>
      <c r="I1800" s="94">
        <f>8878.6+50990.12</f>
        <v>59868.72</v>
      </c>
      <c r="J1800" s="94">
        <f>8878.6+50990.12</f>
        <v>59868.72</v>
      </c>
      <c r="K1800" s="38" t="s">
        <v>2650</v>
      </c>
      <c r="L1800" s="119"/>
    </row>
    <row r="1801" spans="1:13" s="32" customFormat="1" ht="25.5" x14ac:dyDescent="0.25">
      <c r="A1801" s="13" t="s">
        <v>11466</v>
      </c>
      <c r="B1801" s="32" t="s">
        <v>13</v>
      </c>
      <c r="C1801" s="38" t="s">
        <v>2650</v>
      </c>
      <c r="D1801" s="33">
        <v>12975</v>
      </c>
      <c r="E1801" s="13" t="s">
        <v>11466</v>
      </c>
      <c r="F1801" s="34">
        <v>41183</v>
      </c>
      <c r="G1801" s="34">
        <v>41365</v>
      </c>
      <c r="H1801" s="4" t="s">
        <v>2039</v>
      </c>
      <c r="I1801" s="94">
        <f>22024.01+25290.09</f>
        <v>47314.1</v>
      </c>
      <c r="J1801" s="94">
        <f>22024.01+25290.09</f>
        <v>47314.1</v>
      </c>
      <c r="K1801" s="38" t="s">
        <v>2650</v>
      </c>
      <c r="L1801" s="119"/>
    </row>
    <row r="1802" spans="1:13" s="32" customFormat="1" ht="25.5" x14ac:dyDescent="0.25">
      <c r="A1802" s="13" t="s">
        <v>11467</v>
      </c>
      <c r="B1802" s="32" t="s">
        <v>13</v>
      </c>
      <c r="C1802" s="38" t="s">
        <v>2650</v>
      </c>
      <c r="D1802" s="33">
        <v>12976</v>
      </c>
      <c r="E1802" s="13" t="s">
        <v>11467</v>
      </c>
      <c r="F1802" s="34">
        <v>41176</v>
      </c>
      <c r="G1802" s="34">
        <v>41906</v>
      </c>
      <c r="H1802" s="4" t="s">
        <v>2039</v>
      </c>
      <c r="I1802" s="94">
        <f>12729.57+225160.53</f>
        <v>237890.1</v>
      </c>
      <c r="J1802" s="94">
        <f>12729.57+225160.53</f>
        <v>237890.1</v>
      </c>
      <c r="K1802" s="38" t="s">
        <v>2650</v>
      </c>
      <c r="L1802" s="119"/>
    </row>
    <row r="1803" spans="1:13" s="32" customFormat="1" ht="25.5" x14ac:dyDescent="0.25">
      <c r="A1803" s="13" t="s">
        <v>11468</v>
      </c>
      <c r="B1803" s="32" t="s">
        <v>13</v>
      </c>
      <c r="C1803" s="38" t="s">
        <v>2650</v>
      </c>
      <c r="D1803" s="33">
        <v>12977</v>
      </c>
      <c r="E1803" s="13" t="s">
        <v>11468</v>
      </c>
      <c r="F1803" s="34">
        <v>41183</v>
      </c>
      <c r="G1803" s="34">
        <v>41730</v>
      </c>
      <c r="H1803" s="4" t="s">
        <v>2039</v>
      </c>
      <c r="I1803" s="94">
        <f>131.73+248857.04</f>
        <v>248988.77000000002</v>
      </c>
      <c r="J1803" s="94">
        <f>131.73+248857.04</f>
        <v>248988.77000000002</v>
      </c>
      <c r="K1803" s="38" t="s">
        <v>2650</v>
      </c>
      <c r="L1803" s="119"/>
    </row>
    <row r="1804" spans="1:13" s="32" customFormat="1" ht="25.5" x14ac:dyDescent="0.25">
      <c r="A1804" s="13" t="s">
        <v>11496</v>
      </c>
      <c r="B1804" s="32" t="s">
        <v>13</v>
      </c>
      <c r="C1804" s="38" t="s">
        <v>2650</v>
      </c>
      <c r="D1804" s="33">
        <v>13035</v>
      </c>
      <c r="E1804" s="13" t="s">
        <v>11497</v>
      </c>
      <c r="F1804" s="34">
        <v>41153</v>
      </c>
      <c r="G1804" s="34">
        <v>41699</v>
      </c>
      <c r="H1804" s="4" t="s">
        <v>2039</v>
      </c>
      <c r="I1804" s="94">
        <v>177.58</v>
      </c>
      <c r="J1804" s="94">
        <v>177.58</v>
      </c>
      <c r="K1804" s="38" t="s">
        <v>2650</v>
      </c>
      <c r="L1804" s="119"/>
    </row>
    <row r="1805" spans="1:13" s="32" customFormat="1" ht="25.5" x14ac:dyDescent="0.25">
      <c r="A1805" s="13" t="s">
        <v>11498</v>
      </c>
      <c r="B1805" s="32" t="s">
        <v>13</v>
      </c>
      <c r="C1805" s="38" t="s">
        <v>2650</v>
      </c>
      <c r="D1805" s="33">
        <v>13036</v>
      </c>
      <c r="E1805" s="13" t="s">
        <v>11499</v>
      </c>
      <c r="F1805" s="34">
        <v>41085</v>
      </c>
      <c r="G1805" s="34">
        <v>41388</v>
      </c>
      <c r="H1805" s="4" t="s">
        <v>2039</v>
      </c>
      <c r="I1805" s="94">
        <v>3135.92</v>
      </c>
      <c r="J1805" s="94">
        <v>3135.92</v>
      </c>
      <c r="K1805" s="38" t="s">
        <v>2650</v>
      </c>
      <c r="L1805" s="119"/>
    </row>
    <row r="1806" spans="1:13" s="21" customFormat="1" ht="38.25" x14ac:dyDescent="0.25">
      <c r="A1806" s="4" t="s">
        <v>11500</v>
      </c>
      <c r="B1806" s="21" t="s">
        <v>13</v>
      </c>
      <c r="C1806" s="39" t="s">
        <v>2650</v>
      </c>
      <c r="D1806" s="36">
        <v>13037</v>
      </c>
      <c r="E1806" s="4" t="s">
        <v>11501</v>
      </c>
      <c r="F1806" s="22">
        <v>41153</v>
      </c>
      <c r="G1806" s="22">
        <v>42154</v>
      </c>
      <c r="H1806" s="4" t="s">
        <v>2039</v>
      </c>
      <c r="I1806" s="23">
        <v>572.52</v>
      </c>
      <c r="J1806" s="23">
        <v>572.52</v>
      </c>
      <c r="K1806" s="39" t="s">
        <v>2650</v>
      </c>
      <c r="L1806" s="119"/>
      <c r="M1806" s="23"/>
    </row>
    <row r="1807" spans="1:13" s="21" customFormat="1" ht="25.5" x14ac:dyDescent="0.25">
      <c r="A1807" s="4" t="s">
        <v>11502</v>
      </c>
      <c r="B1807" s="21" t="s">
        <v>13</v>
      </c>
      <c r="C1807" s="39" t="s">
        <v>2650</v>
      </c>
      <c r="D1807" s="36">
        <v>13038</v>
      </c>
      <c r="E1807" s="4" t="s">
        <v>11503</v>
      </c>
      <c r="F1807" s="22">
        <v>40909</v>
      </c>
      <c r="G1807" s="22">
        <v>41425</v>
      </c>
      <c r="H1807" s="4" t="s">
        <v>2039</v>
      </c>
      <c r="I1807" s="23">
        <v>128063.97</v>
      </c>
      <c r="J1807" s="23">
        <v>128063.97</v>
      </c>
      <c r="K1807" s="39" t="s">
        <v>2650</v>
      </c>
      <c r="L1807" s="119"/>
      <c r="M1807" s="23"/>
    </row>
    <row r="1808" spans="1:13" s="21" customFormat="1" ht="38.25" x14ac:dyDescent="0.25">
      <c r="A1808" s="4" t="s">
        <v>11504</v>
      </c>
      <c r="B1808" s="21" t="s">
        <v>13</v>
      </c>
      <c r="C1808" s="39" t="s">
        <v>2650</v>
      </c>
      <c r="D1808" s="36">
        <v>13039</v>
      </c>
      <c r="E1808" s="4" t="s">
        <v>11505</v>
      </c>
      <c r="F1808" s="22">
        <v>40756</v>
      </c>
      <c r="G1808" s="22">
        <v>41228</v>
      </c>
      <c r="H1808" s="4" t="s">
        <v>2039</v>
      </c>
      <c r="I1808" s="23">
        <v>35459.339999999997</v>
      </c>
      <c r="J1808" s="23">
        <v>35459.339999999997</v>
      </c>
      <c r="K1808" s="39" t="s">
        <v>2650</v>
      </c>
      <c r="L1808" s="119"/>
    </row>
    <row r="1809" spans="1:14" s="21" customFormat="1" ht="51" x14ac:dyDescent="0.25">
      <c r="A1809" s="4" t="s">
        <v>11441</v>
      </c>
      <c r="B1809" s="21" t="s">
        <v>13</v>
      </c>
      <c r="C1809" s="39" t="s">
        <v>2650</v>
      </c>
      <c r="D1809" s="36">
        <v>13051</v>
      </c>
      <c r="E1809" s="4" t="s">
        <v>11612</v>
      </c>
      <c r="F1809" s="22">
        <v>41091</v>
      </c>
      <c r="G1809" s="22">
        <v>41881</v>
      </c>
      <c r="H1809" s="4" t="s">
        <v>2039</v>
      </c>
      <c r="I1809" s="23">
        <f>5829.04+32799.2</f>
        <v>38628.239999999998</v>
      </c>
      <c r="J1809" s="23">
        <f>5829.04+32799.2</f>
        <v>38628.239999999998</v>
      </c>
      <c r="K1809" s="39" t="s">
        <v>2650</v>
      </c>
      <c r="L1809" s="119"/>
    </row>
    <row r="1810" spans="1:14" s="21" customFormat="1" ht="38.25" x14ac:dyDescent="0.25">
      <c r="A1810" s="4" t="s">
        <v>11388</v>
      </c>
      <c r="B1810" s="21" t="s">
        <v>13</v>
      </c>
      <c r="C1810" s="39" t="s">
        <v>2650</v>
      </c>
      <c r="D1810" s="36">
        <v>13052</v>
      </c>
      <c r="E1810" s="4" t="s">
        <v>11389</v>
      </c>
      <c r="F1810" s="22">
        <v>41122</v>
      </c>
      <c r="G1810" s="22">
        <v>41486</v>
      </c>
      <c r="H1810" s="4" t="s">
        <v>2039</v>
      </c>
      <c r="I1810" s="23">
        <v>14615.23</v>
      </c>
      <c r="J1810" s="23">
        <v>14615.23</v>
      </c>
      <c r="K1810" s="39" t="s">
        <v>2650</v>
      </c>
      <c r="L1810" s="119"/>
    </row>
    <row r="1811" spans="1:14" s="4" customFormat="1" ht="25.5" x14ac:dyDescent="0.25">
      <c r="A1811" s="99" t="s">
        <v>11689</v>
      </c>
      <c r="B1811" s="21" t="s">
        <v>13</v>
      </c>
      <c r="C1811" s="39" t="s">
        <v>2650</v>
      </c>
      <c r="D1811" s="36">
        <v>13053</v>
      </c>
      <c r="E1811" s="99" t="s">
        <v>11689</v>
      </c>
      <c r="F1811" s="98">
        <v>41072</v>
      </c>
      <c r="G1811" s="97">
        <v>41436</v>
      </c>
      <c r="H1811" s="4" t="s">
        <v>2039</v>
      </c>
      <c r="I1811" s="17">
        <v>25650.22</v>
      </c>
      <c r="J1811" s="17">
        <v>25650.22</v>
      </c>
      <c r="K1811" s="39" t="s">
        <v>2650</v>
      </c>
      <c r="L1811" s="119"/>
    </row>
    <row r="1812" spans="1:14" s="21" customFormat="1" ht="25.5" x14ac:dyDescent="0.25">
      <c r="A1812" s="4" t="s">
        <v>11390</v>
      </c>
      <c r="B1812" s="21" t="s">
        <v>13</v>
      </c>
      <c r="C1812" s="39" t="s">
        <v>2650</v>
      </c>
      <c r="D1812" s="36">
        <v>13054</v>
      </c>
      <c r="E1812" s="4" t="s">
        <v>11390</v>
      </c>
      <c r="F1812" s="22">
        <v>41187</v>
      </c>
      <c r="G1812" s="22">
        <v>41551</v>
      </c>
      <c r="H1812" s="4" t="s">
        <v>2039</v>
      </c>
      <c r="I1812" s="23">
        <f>15218.92+71668.88</f>
        <v>86887.8</v>
      </c>
      <c r="J1812" s="23">
        <f>15218.92+71668.88</f>
        <v>86887.8</v>
      </c>
      <c r="K1812" s="39" t="s">
        <v>2650</v>
      </c>
      <c r="L1812" s="119"/>
      <c r="N1812" s="80"/>
    </row>
    <row r="1813" spans="1:14" s="21" customFormat="1" ht="25.5" x14ac:dyDescent="0.25">
      <c r="A1813" s="4" t="s">
        <v>11391</v>
      </c>
      <c r="B1813" s="21" t="s">
        <v>13</v>
      </c>
      <c r="C1813" s="39" t="s">
        <v>2650</v>
      </c>
      <c r="D1813" s="36">
        <v>13055</v>
      </c>
      <c r="E1813" s="4" t="s">
        <v>11391</v>
      </c>
      <c r="F1813" s="22">
        <v>41074</v>
      </c>
      <c r="G1813" s="22">
        <v>41121</v>
      </c>
      <c r="H1813" s="4" t="s">
        <v>2039</v>
      </c>
      <c r="I1813" s="23">
        <v>13000</v>
      </c>
      <c r="J1813" s="23">
        <v>13000</v>
      </c>
      <c r="K1813" s="39" t="s">
        <v>2650</v>
      </c>
      <c r="L1813" s="119"/>
    </row>
    <row r="1814" spans="1:14" s="21" customFormat="1" ht="25.5" x14ac:dyDescent="0.25">
      <c r="A1814" s="4" t="s">
        <v>11613</v>
      </c>
      <c r="B1814" s="21" t="s">
        <v>13</v>
      </c>
      <c r="C1814" s="39" t="s">
        <v>2650</v>
      </c>
      <c r="D1814" s="36">
        <v>13056</v>
      </c>
      <c r="E1814" s="4" t="s">
        <v>11613</v>
      </c>
      <c r="F1814" s="22">
        <v>41214</v>
      </c>
      <c r="G1814" s="22">
        <v>41547</v>
      </c>
      <c r="H1814" s="4" t="s">
        <v>2039</v>
      </c>
      <c r="I1814" s="23">
        <f>16432.79+120869.18</f>
        <v>137301.97</v>
      </c>
      <c r="J1814" s="23">
        <f>16432.79+120869.18</f>
        <v>137301.97</v>
      </c>
      <c r="K1814" s="39" t="s">
        <v>2650</v>
      </c>
      <c r="L1814" s="119"/>
    </row>
    <row r="1815" spans="1:14" s="21" customFormat="1" ht="25.5" x14ac:dyDescent="0.25">
      <c r="A1815" s="4" t="s">
        <v>11392</v>
      </c>
      <c r="B1815" s="21" t="s">
        <v>13</v>
      </c>
      <c r="C1815" s="39" t="s">
        <v>2650</v>
      </c>
      <c r="D1815" s="36">
        <v>13057</v>
      </c>
      <c r="E1815" s="4" t="s">
        <v>11392</v>
      </c>
      <c r="F1815" s="22">
        <v>41155</v>
      </c>
      <c r="G1815" s="22">
        <v>41516</v>
      </c>
      <c r="H1815" s="4" t="s">
        <v>2039</v>
      </c>
      <c r="I1815" s="23">
        <f>10296.56+78552.62</f>
        <v>88849.18</v>
      </c>
      <c r="J1815" s="23">
        <f>10296.56+78552.62</f>
        <v>88849.18</v>
      </c>
      <c r="K1815" s="39" t="s">
        <v>2650</v>
      </c>
      <c r="L1815" s="119"/>
    </row>
    <row r="1816" spans="1:14" s="21" customFormat="1" ht="25.5" x14ac:dyDescent="0.25">
      <c r="A1816" s="4" t="s">
        <v>11393</v>
      </c>
      <c r="B1816" s="21" t="s">
        <v>13</v>
      </c>
      <c r="C1816" s="39" t="s">
        <v>2650</v>
      </c>
      <c r="D1816" s="36">
        <v>13059</v>
      </c>
      <c r="E1816" s="4" t="s">
        <v>11393</v>
      </c>
      <c r="F1816" s="22">
        <v>41000</v>
      </c>
      <c r="G1816" s="22">
        <v>41364</v>
      </c>
      <c r="H1816" s="4" t="s">
        <v>2039</v>
      </c>
      <c r="I1816" s="23">
        <f>17693.09+32411.36</f>
        <v>50104.45</v>
      </c>
      <c r="J1816" s="23">
        <f>17693.09+32411.36</f>
        <v>50104.45</v>
      </c>
      <c r="K1816" s="39" t="s">
        <v>2650</v>
      </c>
      <c r="L1816" s="119"/>
    </row>
    <row r="1817" spans="1:14" s="4" customFormat="1" ht="25.5" x14ac:dyDescent="0.25">
      <c r="A1817" s="99" t="s">
        <v>11687</v>
      </c>
      <c r="B1817" s="21" t="s">
        <v>13</v>
      </c>
      <c r="C1817" s="39" t="s">
        <v>2650</v>
      </c>
      <c r="D1817" s="36">
        <v>13060</v>
      </c>
      <c r="E1817" s="108" t="s">
        <v>11688</v>
      </c>
      <c r="F1817" s="97">
        <v>41030</v>
      </c>
      <c r="G1817" s="98">
        <v>41578</v>
      </c>
      <c r="H1817" s="4" t="s">
        <v>2039</v>
      </c>
      <c r="I1817" s="17">
        <v>29819.64</v>
      </c>
      <c r="J1817" s="17">
        <v>29819.64</v>
      </c>
      <c r="K1817" s="39" t="s">
        <v>2650</v>
      </c>
      <c r="L1817" s="119"/>
    </row>
    <row r="1818" spans="1:14" s="21" customFormat="1" ht="25.5" x14ac:dyDescent="0.25">
      <c r="A1818" s="4" t="s">
        <v>11394</v>
      </c>
      <c r="B1818" s="21" t="s">
        <v>13</v>
      </c>
      <c r="C1818" s="39" t="s">
        <v>2650</v>
      </c>
      <c r="D1818" s="36">
        <v>13062</v>
      </c>
      <c r="E1818" s="4" t="s">
        <v>11394</v>
      </c>
      <c r="F1818" s="22">
        <v>41169</v>
      </c>
      <c r="G1818" s="22">
        <v>42095</v>
      </c>
      <c r="H1818" s="4" t="s">
        <v>2039</v>
      </c>
      <c r="I1818" s="23">
        <f>10510.36+228244.1</f>
        <v>238754.46000000002</v>
      </c>
      <c r="J1818" s="23">
        <f>10510.36+228244.1</f>
        <v>238754.46000000002</v>
      </c>
      <c r="K1818" s="39" t="s">
        <v>2650</v>
      </c>
      <c r="L1818" s="119"/>
    </row>
    <row r="1819" spans="1:14" s="21" customFormat="1" ht="25.5" x14ac:dyDescent="0.25">
      <c r="A1819" s="109" t="s">
        <v>11707</v>
      </c>
      <c r="B1819" s="21" t="s">
        <v>13</v>
      </c>
      <c r="C1819" s="39" t="s">
        <v>2650</v>
      </c>
      <c r="D1819" s="36">
        <v>13370</v>
      </c>
      <c r="E1819" s="109" t="s">
        <v>11707</v>
      </c>
      <c r="F1819" s="110">
        <v>41866</v>
      </c>
      <c r="G1819" s="110">
        <v>42120</v>
      </c>
      <c r="H1819" s="4" t="s">
        <v>2039</v>
      </c>
      <c r="I1819" s="23">
        <v>19372.86</v>
      </c>
      <c r="J1819" s="23">
        <v>19372.86</v>
      </c>
      <c r="K1819" s="39" t="s">
        <v>2650</v>
      </c>
      <c r="L1819" s="119"/>
    </row>
    <row r="1820" spans="1:14" s="21" customFormat="1" ht="25.5" x14ac:dyDescent="0.25">
      <c r="A1820" s="108" t="s">
        <v>11706</v>
      </c>
      <c r="B1820" s="21" t="s">
        <v>13</v>
      </c>
      <c r="C1820" s="39" t="s">
        <v>2650</v>
      </c>
      <c r="D1820" s="36">
        <v>13371</v>
      </c>
      <c r="E1820" s="108" t="s">
        <v>11706</v>
      </c>
      <c r="F1820" s="98">
        <v>41659</v>
      </c>
      <c r="G1820" s="97">
        <v>42307</v>
      </c>
      <c r="H1820" s="4" t="s">
        <v>2039</v>
      </c>
      <c r="I1820" s="23">
        <v>7567.5</v>
      </c>
      <c r="J1820" s="23">
        <v>7567.5</v>
      </c>
      <c r="K1820" s="39" t="s">
        <v>2650</v>
      </c>
      <c r="L1820" s="119"/>
    </row>
    <row r="1821" spans="1:14" s="4" customFormat="1" ht="25.5" x14ac:dyDescent="0.25">
      <c r="A1821" s="99" t="s">
        <v>11703</v>
      </c>
      <c r="B1821" s="21" t="s">
        <v>13</v>
      </c>
      <c r="C1821" s="39" t="s">
        <v>2650</v>
      </c>
      <c r="D1821" s="35">
        <v>13372</v>
      </c>
      <c r="E1821" s="99" t="s">
        <v>11703</v>
      </c>
      <c r="F1821" s="98">
        <v>41367</v>
      </c>
      <c r="G1821" s="97">
        <v>41913</v>
      </c>
      <c r="H1821" s="4" t="s">
        <v>2039</v>
      </c>
      <c r="I1821" s="17">
        <v>150343.94</v>
      </c>
      <c r="J1821" s="17">
        <v>150343.94</v>
      </c>
      <c r="K1821" s="39" t="s">
        <v>2650</v>
      </c>
      <c r="L1821" s="119"/>
    </row>
    <row r="1822" spans="1:14" s="4" customFormat="1" ht="38.25" x14ac:dyDescent="0.25">
      <c r="A1822" s="99" t="s">
        <v>11698</v>
      </c>
      <c r="B1822" s="21" t="s">
        <v>13</v>
      </c>
      <c r="C1822" s="39" t="s">
        <v>2650</v>
      </c>
      <c r="D1822" s="35">
        <v>13373</v>
      </c>
      <c r="E1822" s="108" t="s">
        <v>11699</v>
      </c>
      <c r="F1822" s="97">
        <v>41640</v>
      </c>
      <c r="G1822" s="98">
        <v>42369</v>
      </c>
      <c r="H1822" s="4" t="s">
        <v>2039</v>
      </c>
      <c r="I1822" s="17">
        <v>122215.19</v>
      </c>
      <c r="J1822" s="17">
        <v>122215.19</v>
      </c>
      <c r="K1822" s="39" t="s">
        <v>2650</v>
      </c>
      <c r="L1822" s="119"/>
    </row>
    <row r="1823" spans="1:14" s="4" customFormat="1" ht="25.5" x14ac:dyDescent="0.25">
      <c r="A1823" s="99" t="s">
        <v>11697</v>
      </c>
      <c r="B1823" s="21" t="s">
        <v>13</v>
      </c>
      <c r="C1823" s="39" t="s">
        <v>2650</v>
      </c>
      <c r="D1823" s="35">
        <v>13374</v>
      </c>
      <c r="E1823" s="99" t="s">
        <v>11697</v>
      </c>
      <c r="F1823" s="98">
        <v>41699</v>
      </c>
      <c r="G1823" s="97">
        <v>42614</v>
      </c>
      <c r="H1823" s="4" t="s">
        <v>2039</v>
      </c>
      <c r="I1823" s="17">
        <v>67095.92</v>
      </c>
      <c r="J1823" s="17">
        <v>67095.92</v>
      </c>
      <c r="K1823" s="39" t="s">
        <v>2650</v>
      </c>
      <c r="L1823" s="119"/>
    </row>
    <row r="1824" spans="1:14" s="21" customFormat="1" ht="25.5" x14ac:dyDescent="0.25">
      <c r="A1824" s="108" t="s">
        <v>11418</v>
      </c>
      <c r="B1824" s="21" t="s">
        <v>13</v>
      </c>
      <c r="C1824" s="39" t="s">
        <v>2650</v>
      </c>
      <c r="D1824" s="36">
        <v>13377</v>
      </c>
      <c r="E1824" s="108" t="s">
        <v>11418</v>
      </c>
      <c r="F1824" s="98">
        <v>41334</v>
      </c>
      <c r="G1824" s="97">
        <v>41759</v>
      </c>
      <c r="H1824" s="4" t="s">
        <v>2039</v>
      </c>
      <c r="I1824" s="23">
        <v>52522.7</v>
      </c>
      <c r="J1824" s="23">
        <v>52522.7</v>
      </c>
      <c r="K1824" s="39" t="s">
        <v>2650</v>
      </c>
      <c r="L1824" s="119"/>
    </row>
    <row r="1825" spans="1:12" s="21" customFormat="1" ht="25.5" x14ac:dyDescent="0.25">
      <c r="A1825" s="108" t="s">
        <v>11693</v>
      </c>
      <c r="B1825" s="21" t="s">
        <v>13</v>
      </c>
      <c r="C1825" s="39" t="s">
        <v>2650</v>
      </c>
      <c r="D1825" s="36">
        <v>13383</v>
      </c>
      <c r="E1825" s="108" t="s">
        <v>11693</v>
      </c>
      <c r="F1825" s="97">
        <v>41334</v>
      </c>
      <c r="G1825" s="97">
        <v>42332</v>
      </c>
      <c r="H1825" s="4" t="s">
        <v>2039</v>
      </c>
      <c r="I1825" s="23">
        <v>48474.14</v>
      </c>
      <c r="J1825" s="23">
        <v>48474.14</v>
      </c>
      <c r="K1825" s="39" t="s">
        <v>2650</v>
      </c>
      <c r="L1825" s="119"/>
    </row>
    <row r="1826" spans="1:12" s="21" customFormat="1" ht="25.5" x14ac:dyDescent="0.25">
      <c r="A1826" s="108" t="s">
        <v>11467</v>
      </c>
      <c r="B1826" s="21" t="s">
        <v>13</v>
      </c>
      <c r="C1826" s="39" t="s">
        <v>2650</v>
      </c>
      <c r="D1826" s="36">
        <v>13384</v>
      </c>
      <c r="E1826" s="108" t="s">
        <v>11467</v>
      </c>
      <c r="F1826" s="98">
        <v>41579</v>
      </c>
      <c r="G1826" s="98">
        <v>41973</v>
      </c>
      <c r="H1826" s="4" t="s">
        <v>2039</v>
      </c>
      <c r="I1826" s="23">
        <v>11973</v>
      </c>
      <c r="J1826" s="23">
        <v>11973</v>
      </c>
      <c r="K1826" s="39" t="s">
        <v>2650</v>
      </c>
      <c r="L1826" s="119"/>
    </row>
    <row r="1827" spans="1:12" s="21" customFormat="1" ht="25.5" x14ac:dyDescent="0.25">
      <c r="A1827" s="108" t="s">
        <v>11685</v>
      </c>
      <c r="B1827" s="21" t="s">
        <v>13</v>
      </c>
      <c r="C1827" s="39" t="s">
        <v>2650</v>
      </c>
      <c r="D1827" s="36">
        <v>13386</v>
      </c>
      <c r="E1827" s="108" t="s">
        <v>11686</v>
      </c>
      <c r="F1827" s="97">
        <v>41275</v>
      </c>
      <c r="G1827" s="97">
        <v>41851</v>
      </c>
      <c r="H1827" s="4" t="s">
        <v>2039</v>
      </c>
      <c r="I1827" s="23">
        <v>52919.3</v>
      </c>
      <c r="J1827" s="23">
        <v>52919.3</v>
      </c>
      <c r="K1827" s="39" t="s">
        <v>2650</v>
      </c>
      <c r="L1827" s="119"/>
    </row>
    <row r="1828" spans="1:12" s="21" customFormat="1" ht="25.5" x14ac:dyDescent="0.25">
      <c r="A1828" s="108" t="s">
        <v>11678</v>
      </c>
      <c r="B1828" s="21" t="s">
        <v>13</v>
      </c>
      <c r="C1828" s="39" t="s">
        <v>2650</v>
      </c>
      <c r="D1828" s="36">
        <v>13387</v>
      </c>
      <c r="E1828" s="108" t="s">
        <v>11678</v>
      </c>
      <c r="F1828" s="22">
        <v>41275</v>
      </c>
      <c r="G1828" s="22">
        <v>41640</v>
      </c>
      <c r="H1828" s="4" t="s">
        <v>2039</v>
      </c>
      <c r="I1828" s="23">
        <v>56514.41</v>
      </c>
      <c r="J1828" s="23">
        <v>56514.41</v>
      </c>
      <c r="K1828" s="39" t="s">
        <v>2650</v>
      </c>
      <c r="L1828" s="119"/>
    </row>
    <row r="1829" spans="1:12" s="21" customFormat="1" ht="25.5" x14ac:dyDescent="0.25">
      <c r="A1829" s="99" t="s">
        <v>11704</v>
      </c>
      <c r="B1829" s="21" t="s">
        <v>13</v>
      </c>
      <c r="C1829" s="39" t="s">
        <v>2650</v>
      </c>
      <c r="D1829" s="36">
        <v>13388</v>
      </c>
      <c r="E1829" s="99" t="s">
        <v>11704</v>
      </c>
      <c r="F1829" s="98">
        <v>41600</v>
      </c>
      <c r="G1829" s="97">
        <v>41957</v>
      </c>
      <c r="H1829" s="4" t="s">
        <v>2039</v>
      </c>
      <c r="I1829" s="23">
        <v>129951.54</v>
      </c>
      <c r="J1829" s="23">
        <v>129951.54</v>
      </c>
      <c r="K1829" s="39" t="s">
        <v>2650</v>
      </c>
      <c r="L1829" s="119"/>
    </row>
    <row r="1830" spans="1:12" s="21" customFormat="1" ht="38.25" x14ac:dyDescent="0.25">
      <c r="A1830" s="99" t="s">
        <v>11674</v>
      </c>
      <c r="B1830" s="21" t="s">
        <v>13</v>
      </c>
      <c r="C1830" s="39" t="s">
        <v>2650</v>
      </c>
      <c r="D1830" s="36">
        <v>13389</v>
      </c>
      <c r="E1830" s="108" t="s">
        <v>11675</v>
      </c>
      <c r="F1830" s="97">
        <v>41155</v>
      </c>
      <c r="G1830" s="97">
        <v>42432</v>
      </c>
      <c r="H1830" s="4" t="s">
        <v>2039</v>
      </c>
      <c r="I1830" s="23">
        <v>25027.1</v>
      </c>
      <c r="J1830" s="23">
        <v>25027.1</v>
      </c>
      <c r="K1830" s="39" t="s">
        <v>2650</v>
      </c>
      <c r="L1830" s="119"/>
    </row>
    <row r="1831" spans="1:12" s="21" customFormat="1" ht="25.5" x14ac:dyDescent="0.25">
      <c r="A1831" s="108" t="s">
        <v>11679</v>
      </c>
      <c r="B1831" s="21" t="s">
        <v>13</v>
      </c>
      <c r="C1831" s="39" t="s">
        <v>2650</v>
      </c>
      <c r="D1831" s="36">
        <v>13390</v>
      </c>
      <c r="E1831" s="108" t="s">
        <v>11679</v>
      </c>
      <c r="F1831" s="97">
        <v>41244</v>
      </c>
      <c r="G1831" s="97">
        <v>42247</v>
      </c>
      <c r="H1831" s="4" t="s">
        <v>2039</v>
      </c>
      <c r="I1831" s="23">
        <v>50020.98</v>
      </c>
      <c r="J1831" s="23">
        <v>50020.98</v>
      </c>
      <c r="K1831" s="39" t="s">
        <v>2650</v>
      </c>
      <c r="L1831" s="119"/>
    </row>
    <row r="1832" spans="1:12" s="21" customFormat="1" ht="25.5" x14ac:dyDescent="0.25">
      <c r="A1832" s="108" t="s">
        <v>11690</v>
      </c>
      <c r="B1832" s="21" t="s">
        <v>13</v>
      </c>
      <c r="C1832" s="39" t="s">
        <v>2650</v>
      </c>
      <c r="D1832" s="36">
        <v>13391</v>
      </c>
      <c r="E1832" s="108" t="s">
        <v>11690</v>
      </c>
      <c r="F1832" s="97">
        <v>41289</v>
      </c>
      <c r="G1832" s="98">
        <v>41789</v>
      </c>
      <c r="H1832" s="4" t="s">
        <v>2039</v>
      </c>
      <c r="I1832" s="23">
        <v>98366.06</v>
      </c>
      <c r="J1832" s="23">
        <v>98366.06</v>
      </c>
      <c r="K1832" s="39" t="s">
        <v>2650</v>
      </c>
      <c r="L1832" s="119"/>
    </row>
    <row r="1833" spans="1:12" s="21" customFormat="1" ht="25.5" x14ac:dyDescent="0.25">
      <c r="A1833" s="108" t="s">
        <v>11691</v>
      </c>
      <c r="B1833" s="21" t="s">
        <v>13</v>
      </c>
      <c r="C1833" s="39" t="s">
        <v>2650</v>
      </c>
      <c r="D1833" s="36">
        <v>13392</v>
      </c>
      <c r="E1833" s="108" t="s">
        <v>11691</v>
      </c>
      <c r="F1833" s="97">
        <v>41275</v>
      </c>
      <c r="G1833" s="98">
        <v>41790</v>
      </c>
      <c r="H1833" s="4" t="s">
        <v>2039</v>
      </c>
      <c r="I1833" s="23">
        <v>136395.93</v>
      </c>
      <c r="J1833" s="23">
        <v>136395.93</v>
      </c>
      <c r="K1833" s="39" t="s">
        <v>2650</v>
      </c>
      <c r="L1833" s="119"/>
    </row>
    <row r="1834" spans="1:12" s="21" customFormat="1" ht="25.5" x14ac:dyDescent="0.25">
      <c r="A1834" s="99" t="s">
        <v>11692</v>
      </c>
      <c r="B1834" s="21" t="s">
        <v>13</v>
      </c>
      <c r="C1834" s="39" t="s">
        <v>2650</v>
      </c>
      <c r="D1834" s="36">
        <v>13393</v>
      </c>
      <c r="E1834" s="99" t="s">
        <v>11692</v>
      </c>
      <c r="F1834" s="97">
        <v>41334</v>
      </c>
      <c r="G1834" s="97">
        <v>42004</v>
      </c>
      <c r="H1834" s="4" t="s">
        <v>2039</v>
      </c>
      <c r="I1834" s="23">
        <v>78236.539999999994</v>
      </c>
      <c r="J1834" s="23">
        <v>78236.539999999994</v>
      </c>
      <c r="K1834" s="39" t="s">
        <v>2650</v>
      </c>
      <c r="L1834" s="119"/>
    </row>
    <row r="1835" spans="1:12" s="21" customFormat="1" ht="25.5" x14ac:dyDescent="0.25">
      <c r="A1835" s="108" t="s">
        <v>11694</v>
      </c>
      <c r="B1835" s="21" t="s">
        <v>13</v>
      </c>
      <c r="C1835" s="39" t="s">
        <v>2650</v>
      </c>
      <c r="D1835" s="36">
        <v>13394</v>
      </c>
      <c r="E1835" s="108" t="s">
        <v>11694</v>
      </c>
      <c r="F1835" s="98">
        <v>41518</v>
      </c>
      <c r="G1835" s="97">
        <v>41973</v>
      </c>
      <c r="H1835" s="4" t="s">
        <v>2039</v>
      </c>
      <c r="I1835" s="23">
        <v>57083.05</v>
      </c>
      <c r="J1835" s="23">
        <v>57083.05</v>
      </c>
      <c r="K1835" s="39" t="s">
        <v>2650</v>
      </c>
      <c r="L1835" s="119"/>
    </row>
    <row r="1836" spans="1:12" s="21" customFormat="1" ht="25.5" x14ac:dyDescent="0.25">
      <c r="A1836" s="108" t="s">
        <v>11695</v>
      </c>
      <c r="B1836" s="21" t="s">
        <v>13</v>
      </c>
      <c r="C1836" s="39" t="s">
        <v>2650</v>
      </c>
      <c r="D1836" s="36">
        <v>13395</v>
      </c>
      <c r="E1836" s="108" t="s">
        <v>11696</v>
      </c>
      <c r="F1836" s="98">
        <v>41519</v>
      </c>
      <c r="G1836" s="98">
        <v>42615</v>
      </c>
      <c r="H1836" s="4" t="s">
        <v>2039</v>
      </c>
      <c r="I1836" s="23">
        <v>119571.52</v>
      </c>
      <c r="J1836" s="23">
        <v>119571.52</v>
      </c>
      <c r="K1836" s="39" t="s">
        <v>2650</v>
      </c>
      <c r="L1836" s="119"/>
    </row>
    <row r="1837" spans="1:12" s="21" customFormat="1" ht="25.5" x14ac:dyDescent="0.25">
      <c r="A1837" s="108" t="s">
        <v>11700</v>
      </c>
      <c r="B1837" s="21" t="s">
        <v>13</v>
      </c>
      <c r="C1837" s="39" t="s">
        <v>2650</v>
      </c>
      <c r="D1837" s="36">
        <v>13396</v>
      </c>
      <c r="E1837" s="108" t="s">
        <v>11701</v>
      </c>
      <c r="F1837" s="98">
        <v>41671</v>
      </c>
      <c r="G1837" s="98">
        <v>42338</v>
      </c>
      <c r="H1837" s="4" t="s">
        <v>2039</v>
      </c>
      <c r="I1837" s="23">
        <v>90121.05</v>
      </c>
      <c r="J1837" s="23">
        <v>90121.05</v>
      </c>
      <c r="K1837" s="39" t="s">
        <v>2650</v>
      </c>
      <c r="L1837" s="119"/>
    </row>
    <row r="1838" spans="1:12" s="21" customFormat="1" ht="25.5" x14ac:dyDescent="0.25">
      <c r="A1838" s="99" t="s">
        <v>11702</v>
      </c>
      <c r="B1838" s="21" t="s">
        <v>13</v>
      </c>
      <c r="C1838" s="39" t="s">
        <v>2650</v>
      </c>
      <c r="D1838" s="36">
        <v>13397</v>
      </c>
      <c r="E1838" s="99" t="s">
        <v>11702</v>
      </c>
      <c r="F1838" s="98">
        <v>41640</v>
      </c>
      <c r="G1838" s="98">
        <v>42338</v>
      </c>
      <c r="H1838" s="4" t="s">
        <v>2039</v>
      </c>
      <c r="I1838" s="23">
        <v>105480.82</v>
      </c>
      <c r="J1838" s="23">
        <v>105480.82</v>
      </c>
      <c r="K1838" s="39" t="s">
        <v>2650</v>
      </c>
      <c r="L1838" s="119"/>
    </row>
    <row r="1839" spans="1:12" s="21" customFormat="1" ht="25.5" x14ac:dyDescent="0.25">
      <c r="A1839" s="108" t="s">
        <v>11705</v>
      </c>
      <c r="B1839" s="21" t="s">
        <v>13</v>
      </c>
      <c r="C1839" s="39" t="s">
        <v>2650</v>
      </c>
      <c r="D1839" s="36">
        <v>13398</v>
      </c>
      <c r="E1839" s="108" t="s">
        <v>11705</v>
      </c>
      <c r="F1839" s="98">
        <v>41652</v>
      </c>
      <c r="G1839" s="98">
        <v>42550</v>
      </c>
      <c r="H1839" s="4" t="s">
        <v>2039</v>
      </c>
      <c r="I1839" s="23">
        <v>148797.12</v>
      </c>
      <c r="J1839" s="23">
        <v>148797.12</v>
      </c>
      <c r="K1839" s="39" t="s">
        <v>2650</v>
      </c>
      <c r="L1839" s="119"/>
    </row>
    <row r="1840" spans="1:12" s="21" customFormat="1" ht="25.5" x14ac:dyDescent="0.25">
      <c r="A1840" s="99" t="s">
        <v>11708</v>
      </c>
      <c r="B1840" s="21" t="s">
        <v>13</v>
      </c>
      <c r="C1840" s="39" t="s">
        <v>2650</v>
      </c>
      <c r="D1840" s="36">
        <v>13409</v>
      </c>
      <c r="E1840" s="99" t="s">
        <v>11709</v>
      </c>
      <c r="F1840" s="97">
        <v>41179</v>
      </c>
      <c r="G1840" s="98">
        <v>41578</v>
      </c>
      <c r="H1840" s="4" t="s">
        <v>2039</v>
      </c>
      <c r="I1840" s="23">
        <v>82525.69</v>
      </c>
      <c r="J1840" s="23">
        <v>82525.69</v>
      </c>
      <c r="K1840" s="39" t="s">
        <v>2650</v>
      </c>
      <c r="L1840" s="119"/>
    </row>
    <row r="1841" spans="1:12" s="21" customFormat="1" ht="25.5" x14ac:dyDescent="0.25">
      <c r="A1841" s="99" t="s">
        <v>11669</v>
      </c>
      <c r="B1841" s="21" t="s">
        <v>13</v>
      </c>
      <c r="C1841" s="39" t="s">
        <v>2650</v>
      </c>
      <c r="D1841" s="36">
        <v>13410</v>
      </c>
      <c r="E1841" s="108" t="s">
        <v>11450</v>
      </c>
      <c r="F1841" s="22">
        <v>40787</v>
      </c>
      <c r="G1841" s="22">
        <v>42036</v>
      </c>
      <c r="H1841" s="4" t="s">
        <v>2039</v>
      </c>
      <c r="I1841" s="23">
        <v>62150.18</v>
      </c>
      <c r="J1841" s="23">
        <v>62150.18</v>
      </c>
      <c r="K1841" s="39" t="s">
        <v>2650</v>
      </c>
      <c r="L1841" s="119"/>
    </row>
    <row r="1842" spans="1:12" s="21" customFormat="1" ht="25.5" x14ac:dyDescent="0.25">
      <c r="A1842" s="99" t="s">
        <v>11676</v>
      </c>
      <c r="B1842" s="21" t="s">
        <v>13</v>
      </c>
      <c r="C1842" s="39" t="s">
        <v>2650</v>
      </c>
      <c r="D1842" s="36">
        <v>13411</v>
      </c>
      <c r="E1842" s="108" t="s">
        <v>11677</v>
      </c>
      <c r="F1842" s="97">
        <v>41609</v>
      </c>
      <c r="G1842" s="98">
        <v>41820</v>
      </c>
      <c r="H1842" s="4" t="s">
        <v>2039</v>
      </c>
      <c r="I1842" s="23">
        <v>78075.539999999994</v>
      </c>
      <c r="J1842" s="23">
        <v>78075.539999999994</v>
      </c>
      <c r="K1842" s="39" t="s">
        <v>2650</v>
      </c>
      <c r="L1842" s="119"/>
    </row>
    <row r="1843" spans="1:12" s="21" customFormat="1" ht="25.5" x14ac:dyDescent="0.25">
      <c r="A1843" s="108" t="s">
        <v>11680</v>
      </c>
      <c r="B1843" s="21" t="s">
        <v>13</v>
      </c>
      <c r="C1843" s="39" t="s">
        <v>2650</v>
      </c>
      <c r="D1843" s="36">
        <v>13412</v>
      </c>
      <c r="E1843" s="108" t="s">
        <v>11680</v>
      </c>
      <c r="F1843" s="97">
        <v>41281</v>
      </c>
      <c r="G1843" s="98">
        <v>41866</v>
      </c>
      <c r="H1843" s="4" t="s">
        <v>2039</v>
      </c>
      <c r="I1843" s="23">
        <v>75944.17</v>
      </c>
      <c r="J1843" s="23">
        <v>75944.17</v>
      </c>
      <c r="K1843" s="39" t="s">
        <v>2650</v>
      </c>
      <c r="L1843" s="119"/>
    </row>
    <row r="1844" spans="1:12" s="21" customFormat="1" ht="25.5" x14ac:dyDescent="0.25">
      <c r="A1844" s="108" t="s">
        <v>11681</v>
      </c>
      <c r="B1844" s="21" t="s">
        <v>13</v>
      </c>
      <c r="C1844" s="39" t="s">
        <v>2650</v>
      </c>
      <c r="D1844" s="36">
        <v>13413</v>
      </c>
      <c r="E1844" s="108" t="s">
        <v>11682</v>
      </c>
      <c r="F1844" s="97">
        <v>41281</v>
      </c>
      <c r="G1844" s="98">
        <v>42253</v>
      </c>
      <c r="H1844" s="4" t="s">
        <v>2039</v>
      </c>
      <c r="I1844" s="23">
        <v>216986.66</v>
      </c>
      <c r="J1844" s="23">
        <v>216986.66</v>
      </c>
      <c r="K1844" s="39" t="s">
        <v>2650</v>
      </c>
      <c r="L1844" s="119"/>
    </row>
    <row r="1845" spans="1:12" s="21" customFormat="1" ht="25.5" x14ac:dyDescent="0.25">
      <c r="A1845" s="99" t="s">
        <v>11683</v>
      </c>
      <c r="B1845" s="21" t="s">
        <v>13</v>
      </c>
      <c r="C1845" s="39" t="s">
        <v>2650</v>
      </c>
      <c r="D1845" s="36">
        <v>13414</v>
      </c>
      <c r="E1845" s="99" t="s">
        <v>11684</v>
      </c>
      <c r="F1845" s="97">
        <v>41295</v>
      </c>
      <c r="G1845" s="98">
        <v>41916</v>
      </c>
      <c r="H1845" s="4" t="s">
        <v>2039</v>
      </c>
      <c r="I1845" s="23">
        <v>120310.68</v>
      </c>
      <c r="J1845" s="23">
        <v>120310.68</v>
      </c>
      <c r="K1845" s="39" t="s">
        <v>2650</v>
      </c>
      <c r="L1845" s="119"/>
    </row>
    <row r="1846" spans="1:12" s="21" customFormat="1" ht="25.5" x14ac:dyDescent="0.25">
      <c r="A1846" s="108" t="s">
        <v>11713</v>
      </c>
      <c r="B1846" s="21" t="s">
        <v>13</v>
      </c>
      <c r="C1846" s="39" t="s">
        <v>2650</v>
      </c>
      <c r="D1846" s="36">
        <v>13415</v>
      </c>
      <c r="E1846" s="108" t="s">
        <v>11714</v>
      </c>
      <c r="F1846" s="97">
        <v>41323</v>
      </c>
      <c r="G1846" s="97">
        <v>42308</v>
      </c>
      <c r="H1846" s="4" t="s">
        <v>2039</v>
      </c>
      <c r="I1846" s="23">
        <v>350905.02</v>
      </c>
      <c r="J1846" s="23">
        <v>350905.02</v>
      </c>
      <c r="K1846" s="39" t="s">
        <v>2650</v>
      </c>
      <c r="L1846" s="119"/>
    </row>
    <row r="1847" spans="1:12" s="21" customFormat="1" ht="25.5" x14ac:dyDescent="0.25">
      <c r="A1847" s="108" t="s">
        <v>11711</v>
      </c>
      <c r="B1847" s="21" t="s">
        <v>13</v>
      </c>
      <c r="C1847" s="39" t="s">
        <v>2650</v>
      </c>
      <c r="D1847" s="36">
        <v>13416</v>
      </c>
      <c r="E1847" s="108" t="s">
        <v>11712</v>
      </c>
      <c r="F1847" s="97">
        <v>41291</v>
      </c>
      <c r="G1847" s="97">
        <v>41820</v>
      </c>
      <c r="H1847" s="4" t="s">
        <v>2039</v>
      </c>
      <c r="I1847" s="23">
        <v>230042.05</v>
      </c>
      <c r="J1847" s="23">
        <v>230042.05</v>
      </c>
      <c r="K1847" s="39" t="s">
        <v>2650</v>
      </c>
      <c r="L1847" s="119"/>
    </row>
    <row r="1848" spans="1:12" s="21" customFormat="1" ht="25.5" x14ac:dyDescent="0.25">
      <c r="A1848" s="108" t="s">
        <v>11710</v>
      </c>
      <c r="B1848" s="21" t="s">
        <v>13</v>
      </c>
      <c r="C1848" s="39" t="s">
        <v>2650</v>
      </c>
      <c r="D1848" s="36">
        <v>13417</v>
      </c>
      <c r="E1848" s="108" t="s">
        <v>11710</v>
      </c>
      <c r="F1848" s="97">
        <v>41334</v>
      </c>
      <c r="G1848" s="98">
        <v>42332</v>
      </c>
      <c r="H1848" s="4" t="s">
        <v>2039</v>
      </c>
      <c r="I1848" s="23">
        <v>165726.19</v>
      </c>
      <c r="J1848" s="23">
        <v>165726.19</v>
      </c>
      <c r="K1848" s="39" t="s">
        <v>2650</v>
      </c>
      <c r="L1848" s="119"/>
    </row>
    <row r="1849" spans="1:12" s="21" customFormat="1" ht="25.5" x14ac:dyDescent="0.25">
      <c r="A1849" s="108" t="s">
        <v>11729</v>
      </c>
      <c r="B1849" s="21" t="s">
        <v>13</v>
      </c>
      <c r="C1849" s="39" t="s">
        <v>2650</v>
      </c>
      <c r="D1849" s="36">
        <v>13418</v>
      </c>
      <c r="E1849" s="108" t="s">
        <v>11730</v>
      </c>
      <c r="F1849" s="97">
        <v>41414</v>
      </c>
      <c r="G1849" s="98">
        <v>41598</v>
      </c>
      <c r="H1849" s="4" t="s">
        <v>2039</v>
      </c>
      <c r="I1849" s="23">
        <v>73221.69</v>
      </c>
      <c r="J1849" s="23">
        <v>73221.69</v>
      </c>
      <c r="K1849" s="39" t="s">
        <v>2650</v>
      </c>
      <c r="L1849" s="119"/>
    </row>
    <row r="1850" spans="1:12" s="21" customFormat="1" ht="25.5" x14ac:dyDescent="0.25">
      <c r="A1850" s="108" t="s">
        <v>11727</v>
      </c>
      <c r="B1850" s="21" t="s">
        <v>13</v>
      </c>
      <c r="C1850" s="39" t="s">
        <v>2650</v>
      </c>
      <c r="D1850" s="36">
        <v>13419</v>
      </c>
      <c r="E1850" s="108" t="s">
        <v>11728</v>
      </c>
      <c r="F1850" s="97">
        <v>41365</v>
      </c>
      <c r="G1850" s="97">
        <v>41820</v>
      </c>
      <c r="H1850" s="4" t="s">
        <v>2039</v>
      </c>
      <c r="I1850" s="23">
        <v>166736.5</v>
      </c>
      <c r="J1850" s="23">
        <v>166736.5</v>
      </c>
      <c r="K1850" s="39" t="s">
        <v>2650</v>
      </c>
      <c r="L1850" s="119"/>
    </row>
    <row r="1851" spans="1:12" s="21" customFormat="1" ht="25.5" x14ac:dyDescent="0.25">
      <c r="A1851" s="99" t="s">
        <v>11731</v>
      </c>
      <c r="B1851" s="21" t="s">
        <v>13</v>
      </c>
      <c r="C1851" s="39" t="s">
        <v>2650</v>
      </c>
      <c r="D1851" s="36">
        <v>13420</v>
      </c>
      <c r="E1851" s="99" t="s">
        <v>11732</v>
      </c>
      <c r="F1851" s="98">
        <v>41395</v>
      </c>
      <c r="G1851" s="97">
        <v>41820</v>
      </c>
      <c r="H1851" s="4" t="s">
        <v>2039</v>
      </c>
      <c r="I1851" s="23">
        <v>133449.76</v>
      </c>
      <c r="J1851" s="23">
        <v>133449.76</v>
      </c>
      <c r="K1851" s="39" t="s">
        <v>2650</v>
      </c>
      <c r="L1851" s="119"/>
    </row>
    <row r="1852" spans="1:12" s="21" customFormat="1" ht="25.5" x14ac:dyDescent="0.25">
      <c r="A1852" s="108" t="s">
        <v>11733</v>
      </c>
      <c r="B1852" s="21" t="s">
        <v>13</v>
      </c>
      <c r="C1852" s="39" t="s">
        <v>2650</v>
      </c>
      <c r="D1852" s="36">
        <v>13421</v>
      </c>
      <c r="E1852" s="99" t="s">
        <v>11734</v>
      </c>
      <c r="F1852" s="97">
        <v>41426</v>
      </c>
      <c r="G1852" s="97">
        <v>42185</v>
      </c>
      <c r="H1852" s="4" t="s">
        <v>2039</v>
      </c>
      <c r="I1852" s="23">
        <v>303808.23</v>
      </c>
      <c r="J1852" s="23">
        <v>303808.23</v>
      </c>
      <c r="K1852" s="39" t="s">
        <v>2650</v>
      </c>
      <c r="L1852" s="119"/>
    </row>
    <row r="1853" spans="1:12" s="21" customFormat="1" ht="25.5" x14ac:dyDescent="0.25">
      <c r="A1853" s="108" t="s">
        <v>11735</v>
      </c>
      <c r="B1853" s="21" t="s">
        <v>13</v>
      </c>
      <c r="C1853" s="39" t="s">
        <v>2650</v>
      </c>
      <c r="D1853" s="36">
        <v>13422</v>
      </c>
      <c r="E1853" s="108" t="s">
        <v>11736</v>
      </c>
      <c r="F1853" s="97">
        <v>41472</v>
      </c>
      <c r="G1853" s="98">
        <v>41564</v>
      </c>
      <c r="H1853" s="4" t="s">
        <v>2039</v>
      </c>
      <c r="I1853" s="23">
        <v>29174.55</v>
      </c>
      <c r="J1853" s="23">
        <v>29174.55</v>
      </c>
      <c r="K1853" s="39" t="s">
        <v>2650</v>
      </c>
      <c r="L1853" s="119"/>
    </row>
    <row r="1854" spans="1:12" s="21" customFormat="1" ht="25.5" x14ac:dyDescent="0.25">
      <c r="A1854" s="108" t="s">
        <v>11717</v>
      </c>
      <c r="B1854" s="21" t="s">
        <v>13</v>
      </c>
      <c r="C1854" s="39" t="s">
        <v>2650</v>
      </c>
      <c r="D1854" s="36">
        <v>13423</v>
      </c>
      <c r="E1854" s="108" t="s">
        <v>11718</v>
      </c>
      <c r="F1854" s="97">
        <v>41518</v>
      </c>
      <c r="G1854" s="98">
        <v>42308</v>
      </c>
      <c r="H1854" s="4" t="s">
        <v>2039</v>
      </c>
      <c r="I1854" s="23">
        <v>74651.97</v>
      </c>
      <c r="J1854" s="23">
        <v>74651.97</v>
      </c>
      <c r="K1854" s="39" t="s">
        <v>2650</v>
      </c>
      <c r="L1854" s="119"/>
    </row>
    <row r="1855" spans="1:12" s="21" customFormat="1" ht="25.5" x14ac:dyDescent="0.25">
      <c r="A1855" s="108" t="s">
        <v>11715</v>
      </c>
      <c r="B1855" s="21" t="s">
        <v>13</v>
      </c>
      <c r="C1855" s="39" t="s">
        <v>2650</v>
      </c>
      <c r="D1855" s="36">
        <v>13424</v>
      </c>
      <c r="E1855" s="108" t="s">
        <v>11716</v>
      </c>
      <c r="F1855" s="98">
        <v>41518</v>
      </c>
      <c r="G1855" s="97">
        <v>42369</v>
      </c>
      <c r="H1855" s="4" t="s">
        <v>2039</v>
      </c>
      <c r="I1855" s="23">
        <v>53175.88</v>
      </c>
      <c r="J1855" s="23">
        <v>53175.88</v>
      </c>
      <c r="K1855" s="39" t="s">
        <v>2650</v>
      </c>
      <c r="L1855" s="119"/>
    </row>
    <row r="1856" spans="1:12" s="21" customFormat="1" ht="25.5" x14ac:dyDescent="0.25">
      <c r="A1856" s="108" t="s">
        <v>11719</v>
      </c>
      <c r="B1856" s="21" t="s">
        <v>13</v>
      </c>
      <c r="C1856" s="39" t="s">
        <v>2650</v>
      </c>
      <c r="D1856" s="36">
        <v>13425</v>
      </c>
      <c r="E1856" s="99" t="s">
        <v>11720</v>
      </c>
      <c r="F1856" s="98">
        <v>41518</v>
      </c>
      <c r="G1856" s="98">
        <v>42144</v>
      </c>
      <c r="H1856" s="4" t="s">
        <v>2039</v>
      </c>
      <c r="I1856" s="23">
        <v>137858.18</v>
      </c>
      <c r="J1856" s="23">
        <v>137858.18</v>
      </c>
      <c r="K1856" s="39" t="s">
        <v>2650</v>
      </c>
      <c r="L1856" s="119"/>
    </row>
    <row r="1857" spans="1:13" s="21" customFormat="1" ht="25.5" x14ac:dyDescent="0.25">
      <c r="A1857" s="99" t="s">
        <v>11721</v>
      </c>
      <c r="B1857" s="21" t="s">
        <v>13</v>
      </c>
      <c r="C1857" s="39" t="s">
        <v>2650</v>
      </c>
      <c r="D1857" s="36">
        <v>13426</v>
      </c>
      <c r="E1857" s="108" t="s">
        <v>11722</v>
      </c>
      <c r="F1857" s="97">
        <v>41487</v>
      </c>
      <c r="G1857" s="97">
        <v>42063</v>
      </c>
      <c r="H1857" s="4" t="s">
        <v>2039</v>
      </c>
      <c r="I1857" s="23">
        <v>73281.05</v>
      </c>
      <c r="J1857" s="23">
        <v>73281.05</v>
      </c>
      <c r="K1857" s="39" t="s">
        <v>2650</v>
      </c>
      <c r="L1857" s="119"/>
    </row>
    <row r="1858" spans="1:13" s="21" customFormat="1" ht="25.5" x14ac:dyDescent="0.25">
      <c r="A1858" s="108" t="s">
        <v>11737</v>
      </c>
      <c r="B1858" s="21" t="s">
        <v>13</v>
      </c>
      <c r="C1858" s="39" t="s">
        <v>2650</v>
      </c>
      <c r="D1858" s="36">
        <v>13427</v>
      </c>
      <c r="E1858" s="108" t="s">
        <v>11738</v>
      </c>
      <c r="F1858" s="98">
        <v>41518</v>
      </c>
      <c r="G1858" s="98">
        <v>41730</v>
      </c>
      <c r="H1858" s="4" t="s">
        <v>2039</v>
      </c>
      <c r="I1858" s="23">
        <v>43796.32</v>
      </c>
      <c r="J1858" s="23">
        <v>43796.32</v>
      </c>
      <c r="K1858" s="39" t="s">
        <v>2650</v>
      </c>
      <c r="L1858" s="119"/>
    </row>
    <row r="1859" spans="1:13" s="21" customFormat="1" ht="25.5" x14ac:dyDescent="0.25">
      <c r="A1859" s="99" t="s">
        <v>11725</v>
      </c>
      <c r="B1859" s="21" t="s">
        <v>13</v>
      </c>
      <c r="C1859" s="39" t="s">
        <v>2650</v>
      </c>
      <c r="D1859" s="36">
        <v>13428</v>
      </c>
      <c r="E1859" s="99" t="s">
        <v>11726</v>
      </c>
      <c r="F1859" s="98">
        <v>41609</v>
      </c>
      <c r="G1859" s="98">
        <v>41974</v>
      </c>
      <c r="H1859" s="4" t="s">
        <v>2039</v>
      </c>
      <c r="I1859" s="23">
        <v>135709.35999999999</v>
      </c>
      <c r="J1859" s="23">
        <v>135709.35999999999</v>
      </c>
      <c r="K1859" s="39" t="s">
        <v>2650</v>
      </c>
      <c r="L1859" s="119"/>
    </row>
    <row r="1860" spans="1:13" s="21" customFormat="1" ht="25.5" x14ac:dyDescent="0.25">
      <c r="A1860" s="108" t="s">
        <v>11739</v>
      </c>
      <c r="B1860" s="21" t="s">
        <v>13</v>
      </c>
      <c r="C1860" s="39" t="s">
        <v>2650</v>
      </c>
      <c r="D1860" s="36">
        <v>13429</v>
      </c>
      <c r="E1860" s="108" t="s">
        <v>11740</v>
      </c>
      <c r="F1860" s="97">
        <v>41652</v>
      </c>
      <c r="G1860" s="98">
        <v>41895</v>
      </c>
      <c r="H1860" s="4" t="s">
        <v>2039</v>
      </c>
      <c r="I1860" s="23">
        <v>92664.38</v>
      </c>
      <c r="J1860" s="23">
        <v>92664.38</v>
      </c>
      <c r="K1860" s="39" t="s">
        <v>2650</v>
      </c>
      <c r="L1860" s="119"/>
    </row>
    <row r="1861" spans="1:13" s="21" customFormat="1" ht="25.5" x14ac:dyDescent="0.25">
      <c r="A1861" s="108" t="s">
        <v>11723</v>
      </c>
      <c r="B1861" s="21" t="s">
        <v>13</v>
      </c>
      <c r="C1861" s="39" t="s">
        <v>2650</v>
      </c>
      <c r="D1861" s="36">
        <v>13430</v>
      </c>
      <c r="E1861" s="108" t="s">
        <v>11724</v>
      </c>
      <c r="F1861" s="98">
        <v>41640</v>
      </c>
      <c r="G1861" s="97">
        <v>42094</v>
      </c>
      <c r="H1861" s="4" t="s">
        <v>2039</v>
      </c>
      <c r="I1861" s="23">
        <v>51325.9</v>
      </c>
      <c r="J1861" s="23">
        <v>51325.9</v>
      </c>
      <c r="K1861" s="39" t="s">
        <v>2650</v>
      </c>
      <c r="L1861" s="119"/>
    </row>
    <row r="1862" spans="1:13" s="21" customFormat="1" ht="25.5" x14ac:dyDescent="0.25">
      <c r="A1862" s="99" t="s">
        <v>11670</v>
      </c>
      <c r="B1862" s="21" t="s">
        <v>13</v>
      </c>
      <c r="C1862" s="39" t="s">
        <v>2650</v>
      </c>
      <c r="D1862" s="36">
        <v>13431</v>
      </c>
      <c r="E1862" s="99" t="s">
        <v>11671</v>
      </c>
      <c r="F1862" s="22">
        <v>40756</v>
      </c>
      <c r="G1862" s="22">
        <v>41440</v>
      </c>
      <c r="H1862" s="4" t="s">
        <v>2039</v>
      </c>
      <c r="I1862" s="23">
        <v>1956.15</v>
      </c>
      <c r="J1862" s="23">
        <v>1956.15</v>
      </c>
      <c r="K1862" s="39" t="s">
        <v>2650</v>
      </c>
      <c r="L1862" s="119"/>
    </row>
    <row r="1863" spans="1:13" s="4" customFormat="1" ht="38.25" x14ac:dyDescent="0.25">
      <c r="A1863" s="4" t="s">
        <v>3068</v>
      </c>
      <c r="B1863" s="4" t="s">
        <v>13</v>
      </c>
      <c r="C1863" s="37" t="s">
        <v>2650</v>
      </c>
      <c r="D1863" s="35">
        <v>9464</v>
      </c>
      <c r="E1863" s="4" t="s">
        <v>3069</v>
      </c>
      <c r="F1863" s="5">
        <v>40081</v>
      </c>
      <c r="G1863" s="5">
        <v>40177</v>
      </c>
      <c r="H1863" s="4" t="s">
        <v>389</v>
      </c>
      <c r="I1863" s="6">
        <v>96191</v>
      </c>
      <c r="J1863" s="6">
        <v>25971.57</v>
      </c>
      <c r="K1863" s="37" t="s">
        <v>2650</v>
      </c>
      <c r="L1863" s="119"/>
      <c r="M1863" s="3"/>
    </row>
    <row r="1864" spans="1:13" s="4" customFormat="1" ht="25.5" x14ac:dyDescent="0.25">
      <c r="A1864" s="4" t="s">
        <v>3070</v>
      </c>
      <c r="B1864" s="4" t="s">
        <v>13</v>
      </c>
      <c r="C1864" s="37" t="s">
        <v>2650</v>
      </c>
      <c r="D1864" s="35">
        <v>9466</v>
      </c>
      <c r="E1864" s="4" t="s">
        <v>3071</v>
      </c>
      <c r="F1864" s="5">
        <v>40065</v>
      </c>
      <c r="G1864" s="5">
        <v>40170</v>
      </c>
      <c r="H1864" s="4" t="s">
        <v>389</v>
      </c>
      <c r="I1864" s="6">
        <v>121767</v>
      </c>
      <c r="J1864" s="6">
        <v>35242</v>
      </c>
      <c r="K1864" s="37" t="s">
        <v>2650</v>
      </c>
      <c r="L1864" s="119"/>
      <c r="M1864" s="3"/>
    </row>
    <row r="1865" spans="1:13" s="4" customFormat="1" ht="38.25" x14ac:dyDescent="0.25">
      <c r="A1865" s="4" t="s">
        <v>3072</v>
      </c>
      <c r="B1865" s="4" t="s">
        <v>13</v>
      </c>
      <c r="C1865" s="37" t="s">
        <v>2650</v>
      </c>
      <c r="D1865" s="35">
        <v>9470</v>
      </c>
      <c r="E1865" s="4" t="s">
        <v>3073</v>
      </c>
      <c r="F1865" s="5">
        <v>40085</v>
      </c>
      <c r="G1865" s="5">
        <v>40170</v>
      </c>
      <c r="H1865" s="4" t="s">
        <v>389</v>
      </c>
      <c r="I1865" s="6">
        <v>114000</v>
      </c>
      <c r="J1865" s="6">
        <v>39900</v>
      </c>
      <c r="K1865" s="37" t="s">
        <v>2650</v>
      </c>
      <c r="L1865" s="119"/>
      <c r="M1865" s="3"/>
    </row>
    <row r="1866" spans="1:13" s="4" customFormat="1" ht="25.5" x14ac:dyDescent="0.25">
      <c r="A1866" s="4" t="s">
        <v>3074</v>
      </c>
      <c r="B1866" s="4" t="s">
        <v>13</v>
      </c>
      <c r="C1866" s="37" t="s">
        <v>2650</v>
      </c>
      <c r="D1866" s="35">
        <v>9477</v>
      </c>
      <c r="E1866" s="4" t="s">
        <v>3075</v>
      </c>
      <c r="F1866" s="5">
        <v>40099</v>
      </c>
      <c r="G1866" s="5">
        <v>40158</v>
      </c>
      <c r="H1866" s="4" t="s">
        <v>389</v>
      </c>
      <c r="I1866" s="6">
        <v>111146.04</v>
      </c>
      <c r="J1866" s="6">
        <v>38901.11</v>
      </c>
      <c r="K1866" s="37" t="s">
        <v>2650</v>
      </c>
      <c r="L1866" s="119"/>
      <c r="M1866" s="3"/>
    </row>
    <row r="1867" spans="1:13" s="4" customFormat="1" ht="25.5" x14ac:dyDescent="0.25">
      <c r="A1867" s="4" t="s">
        <v>3076</v>
      </c>
      <c r="B1867" s="4" t="s">
        <v>13</v>
      </c>
      <c r="C1867" s="37" t="s">
        <v>2650</v>
      </c>
      <c r="D1867" s="35">
        <v>9478</v>
      </c>
      <c r="E1867" s="4" t="s">
        <v>3077</v>
      </c>
      <c r="F1867" s="5">
        <v>40086</v>
      </c>
      <c r="G1867" s="5">
        <v>40164</v>
      </c>
      <c r="H1867" s="4" t="s">
        <v>389</v>
      </c>
      <c r="I1867" s="6">
        <v>23348.42</v>
      </c>
      <c r="J1867" s="6">
        <v>8171.95</v>
      </c>
      <c r="K1867" s="37" t="s">
        <v>2650</v>
      </c>
      <c r="L1867" s="119"/>
      <c r="M1867" s="3"/>
    </row>
    <row r="1868" spans="1:13" s="4" customFormat="1" ht="25.5" x14ac:dyDescent="0.25">
      <c r="A1868" s="4" t="s">
        <v>3078</v>
      </c>
      <c r="B1868" s="4" t="s">
        <v>13</v>
      </c>
      <c r="C1868" s="37" t="s">
        <v>2650</v>
      </c>
      <c r="D1868" s="35">
        <v>9490</v>
      </c>
      <c r="E1868" s="4" t="s">
        <v>3079</v>
      </c>
      <c r="F1868" s="5">
        <v>40099</v>
      </c>
      <c r="G1868" s="5">
        <v>40158</v>
      </c>
      <c r="H1868" s="4" t="s">
        <v>389</v>
      </c>
      <c r="I1868" s="6">
        <v>171665</v>
      </c>
      <c r="J1868" s="6">
        <v>60082.75</v>
      </c>
      <c r="K1868" s="37" t="s">
        <v>2650</v>
      </c>
      <c r="L1868" s="119"/>
      <c r="M1868" s="3"/>
    </row>
    <row r="1869" spans="1:13" s="4" customFormat="1" ht="25.5" x14ac:dyDescent="0.25">
      <c r="A1869" s="4" t="s">
        <v>3080</v>
      </c>
      <c r="B1869" s="4" t="s">
        <v>13</v>
      </c>
      <c r="C1869" s="37" t="s">
        <v>2650</v>
      </c>
      <c r="D1869" s="35">
        <v>9492</v>
      </c>
      <c r="E1869" s="4" t="s">
        <v>3081</v>
      </c>
      <c r="F1869" s="5">
        <v>40099</v>
      </c>
      <c r="G1869" s="5">
        <v>40165</v>
      </c>
      <c r="H1869" s="4" t="s">
        <v>389</v>
      </c>
      <c r="I1869" s="6">
        <v>207447.5</v>
      </c>
      <c r="J1869" s="6">
        <v>72606.63</v>
      </c>
      <c r="K1869" s="37" t="s">
        <v>2650</v>
      </c>
      <c r="L1869" s="119"/>
      <c r="M1869" s="3"/>
    </row>
    <row r="1870" spans="1:13" s="4" customFormat="1" ht="51" x14ac:dyDescent="0.25">
      <c r="A1870" s="4" t="s">
        <v>3082</v>
      </c>
      <c r="B1870" s="4" t="s">
        <v>13</v>
      </c>
      <c r="C1870" s="37" t="s">
        <v>2650</v>
      </c>
      <c r="D1870" s="35">
        <v>9863</v>
      </c>
      <c r="E1870" s="4" t="s">
        <v>3083</v>
      </c>
      <c r="F1870" s="5">
        <v>41106</v>
      </c>
      <c r="G1870" s="5">
        <v>41632</v>
      </c>
      <c r="H1870" s="4" t="s">
        <v>392</v>
      </c>
      <c r="I1870" s="6">
        <v>480000</v>
      </c>
      <c r="J1870" s="6">
        <v>168000</v>
      </c>
      <c r="K1870" s="37" t="s">
        <v>2650</v>
      </c>
      <c r="L1870" s="119"/>
      <c r="M1870" s="3"/>
    </row>
    <row r="1871" spans="1:13" s="4" customFormat="1" ht="51" x14ac:dyDescent="0.25">
      <c r="A1871" s="4" t="s">
        <v>3084</v>
      </c>
      <c r="B1871" s="4" t="s">
        <v>13</v>
      </c>
      <c r="C1871" s="37" t="s">
        <v>2650</v>
      </c>
      <c r="D1871" s="35">
        <v>9867</v>
      </c>
      <c r="E1871" s="4" t="s">
        <v>3085</v>
      </c>
      <c r="F1871" s="5">
        <v>40774</v>
      </c>
      <c r="G1871" s="5">
        <v>40900</v>
      </c>
      <c r="H1871" s="4" t="s">
        <v>392</v>
      </c>
      <c r="I1871" s="6">
        <v>766367.16</v>
      </c>
      <c r="J1871" s="6">
        <v>268228.11</v>
      </c>
      <c r="K1871" s="37" t="s">
        <v>2650</v>
      </c>
      <c r="L1871" s="119"/>
      <c r="M1871" s="3"/>
    </row>
    <row r="1872" spans="1:13" s="4" customFormat="1" ht="76.5" x14ac:dyDescent="0.25">
      <c r="A1872" s="4" t="s">
        <v>2034</v>
      </c>
      <c r="B1872" s="4" t="s">
        <v>13</v>
      </c>
      <c r="C1872" s="37" t="s">
        <v>2650</v>
      </c>
      <c r="D1872" s="35">
        <v>9880</v>
      </c>
      <c r="E1872" s="7" t="s">
        <v>3086</v>
      </c>
      <c r="F1872" s="5">
        <v>41106</v>
      </c>
      <c r="G1872" s="5">
        <v>41297</v>
      </c>
      <c r="H1872" s="4" t="s">
        <v>392</v>
      </c>
      <c r="I1872" s="6">
        <v>1250010.44</v>
      </c>
      <c r="J1872" s="6">
        <v>250002</v>
      </c>
      <c r="K1872" s="37" t="s">
        <v>2650</v>
      </c>
      <c r="L1872" s="119"/>
      <c r="M1872" s="3"/>
    </row>
    <row r="1873" spans="1:13" s="4" customFormat="1" ht="63.75" x14ac:dyDescent="0.25">
      <c r="A1873" s="4" t="s">
        <v>2648</v>
      </c>
      <c r="B1873" s="4" t="s">
        <v>13</v>
      </c>
      <c r="C1873" s="37" t="s">
        <v>2650</v>
      </c>
      <c r="D1873" s="35">
        <v>9899</v>
      </c>
      <c r="E1873" s="4" t="s">
        <v>3087</v>
      </c>
      <c r="F1873" s="5">
        <v>40792</v>
      </c>
      <c r="G1873" s="5">
        <v>40897</v>
      </c>
      <c r="H1873" s="4" t="s">
        <v>392</v>
      </c>
      <c r="I1873" s="6">
        <v>568854.35</v>
      </c>
      <c r="J1873" s="6">
        <v>56885.440000000002</v>
      </c>
      <c r="K1873" s="37" t="s">
        <v>2650</v>
      </c>
      <c r="L1873" s="119"/>
      <c r="M1873" s="3"/>
    </row>
    <row r="1874" spans="1:13" s="4" customFormat="1" ht="51" x14ac:dyDescent="0.25">
      <c r="A1874" s="4" t="s">
        <v>3088</v>
      </c>
      <c r="B1874" s="4" t="s">
        <v>13</v>
      </c>
      <c r="C1874" s="37" t="s">
        <v>2650</v>
      </c>
      <c r="D1874" s="35">
        <v>10015</v>
      </c>
      <c r="E1874" s="4" t="s">
        <v>3089</v>
      </c>
      <c r="F1874" s="5">
        <v>41142</v>
      </c>
      <c r="G1874" s="5">
        <v>41250</v>
      </c>
      <c r="H1874" s="4" t="s">
        <v>392</v>
      </c>
      <c r="I1874" s="6">
        <v>148752.72</v>
      </c>
      <c r="J1874" s="6">
        <v>52063.45</v>
      </c>
      <c r="K1874" s="37" t="s">
        <v>2650</v>
      </c>
      <c r="L1874" s="119"/>
      <c r="M1874" s="3"/>
    </row>
    <row r="1875" spans="1:13" s="4" customFormat="1" ht="38.25" x14ac:dyDescent="0.25">
      <c r="A1875" s="4" t="s">
        <v>3090</v>
      </c>
      <c r="B1875" s="4" t="s">
        <v>13</v>
      </c>
      <c r="C1875" s="37" t="s">
        <v>2650</v>
      </c>
      <c r="D1875" s="35">
        <v>10019</v>
      </c>
      <c r="E1875" s="4" t="s">
        <v>3091</v>
      </c>
      <c r="F1875" s="5">
        <v>41134</v>
      </c>
      <c r="G1875" s="5">
        <v>41381</v>
      </c>
      <c r="H1875" s="4" t="s">
        <v>392</v>
      </c>
      <c r="I1875" s="6">
        <v>266478.57</v>
      </c>
      <c r="J1875" s="6">
        <v>53295.72</v>
      </c>
      <c r="K1875" s="37" t="s">
        <v>2650</v>
      </c>
      <c r="L1875" s="119"/>
      <c r="M1875" s="3"/>
    </row>
    <row r="1876" spans="1:13" s="4" customFormat="1" ht="51" x14ac:dyDescent="0.25">
      <c r="A1876" s="4" t="s">
        <v>3092</v>
      </c>
      <c r="B1876" s="4" t="s">
        <v>13</v>
      </c>
      <c r="C1876" s="37" t="s">
        <v>2650</v>
      </c>
      <c r="D1876" s="35">
        <v>10023</v>
      </c>
      <c r="E1876" s="4" t="s">
        <v>3093</v>
      </c>
      <c r="F1876" s="5">
        <v>40422</v>
      </c>
      <c r="G1876" s="5">
        <v>40513</v>
      </c>
      <c r="H1876" s="4" t="s">
        <v>392</v>
      </c>
      <c r="I1876" s="6">
        <v>84687</v>
      </c>
      <c r="J1876" s="6">
        <v>29640.45</v>
      </c>
      <c r="K1876" s="37" t="s">
        <v>2650</v>
      </c>
      <c r="L1876" s="119"/>
      <c r="M1876" s="3"/>
    </row>
    <row r="1877" spans="1:13" s="4" customFormat="1" ht="51" x14ac:dyDescent="0.25">
      <c r="A1877" s="4" t="s">
        <v>3094</v>
      </c>
      <c r="B1877" s="4" t="s">
        <v>13</v>
      </c>
      <c r="C1877" s="37" t="s">
        <v>2650</v>
      </c>
      <c r="D1877" s="35">
        <v>10030</v>
      </c>
      <c r="E1877" s="4" t="s">
        <v>3095</v>
      </c>
      <c r="F1877" s="5">
        <v>40448</v>
      </c>
      <c r="G1877" s="5">
        <v>40522</v>
      </c>
      <c r="H1877" s="4" t="s">
        <v>392</v>
      </c>
      <c r="I1877" s="6">
        <v>196319</v>
      </c>
      <c r="J1877" s="6">
        <v>49079.75</v>
      </c>
      <c r="K1877" s="37" t="s">
        <v>2650</v>
      </c>
      <c r="L1877" s="119"/>
      <c r="M1877" s="3"/>
    </row>
    <row r="1878" spans="1:13" s="4" customFormat="1" ht="51" x14ac:dyDescent="0.25">
      <c r="A1878" s="4" t="s">
        <v>2034</v>
      </c>
      <c r="B1878" s="4" t="s">
        <v>13</v>
      </c>
      <c r="C1878" s="37" t="s">
        <v>2650</v>
      </c>
      <c r="D1878" s="35">
        <v>10036</v>
      </c>
      <c r="E1878" s="4" t="s">
        <v>3096</v>
      </c>
      <c r="F1878" s="5">
        <v>40394</v>
      </c>
      <c r="G1878" s="5">
        <v>40583</v>
      </c>
      <c r="H1878" s="4" t="s">
        <v>392</v>
      </c>
      <c r="I1878" s="6">
        <v>830192.47</v>
      </c>
      <c r="J1878" s="6">
        <v>290567.37</v>
      </c>
      <c r="K1878" s="37" t="s">
        <v>2650</v>
      </c>
      <c r="L1878" s="119"/>
      <c r="M1878" s="3"/>
    </row>
    <row r="1879" spans="1:13" s="4" customFormat="1" ht="76.5" x14ac:dyDescent="0.25">
      <c r="A1879" s="4" t="s">
        <v>3097</v>
      </c>
      <c r="B1879" s="4" t="s">
        <v>13</v>
      </c>
      <c r="C1879" s="37" t="s">
        <v>2650</v>
      </c>
      <c r="D1879" s="35">
        <v>10075</v>
      </c>
      <c r="E1879" s="4" t="s">
        <v>3098</v>
      </c>
      <c r="F1879" s="5">
        <v>40812</v>
      </c>
      <c r="G1879" s="5">
        <v>40897</v>
      </c>
      <c r="H1879" s="4" t="s">
        <v>392</v>
      </c>
      <c r="I1879" s="6">
        <v>82981</v>
      </c>
      <c r="J1879" s="6">
        <v>24894.3</v>
      </c>
      <c r="K1879" s="37" t="s">
        <v>2650</v>
      </c>
      <c r="L1879" s="119"/>
      <c r="M1879" s="3"/>
    </row>
    <row r="1880" spans="1:13" s="4" customFormat="1" ht="63.75" x14ac:dyDescent="0.25">
      <c r="A1880" s="4" t="s">
        <v>3074</v>
      </c>
      <c r="B1880" s="4" t="s">
        <v>13</v>
      </c>
      <c r="C1880" s="37" t="s">
        <v>2650</v>
      </c>
      <c r="D1880" s="35">
        <v>10151</v>
      </c>
      <c r="E1880" s="4" t="s">
        <v>3099</v>
      </c>
      <c r="F1880" s="5">
        <v>40766</v>
      </c>
      <c r="G1880" s="5">
        <v>40897</v>
      </c>
      <c r="H1880" s="4" t="s">
        <v>392</v>
      </c>
      <c r="I1880" s="6">
        <v>153568.17000000001</v>
      </c>
      <c r="J1880" s="6">
        <v>53748.86</v>
      </c>
      <c r="K1880" s="37" t="s">
        <v>2650</v>
      </c>
      <c r="L1880" s="119"/>
      <c r="M1880" s="3"/>
    </row>
    <row r="1881" spans="1:13" s="4" customFormat="1" ht="51" x14ac:dyDescent="0.25">
      <c r="A1881" s="4" t="s">
        <v>3100</v>
      </c>
      <c r="B1881" s="4" t="s">
        <v>13</v>
      </c>
      <c r="C1881" s="37" t="s">
        <v>2650</v>
      </c>
      <c r="D1881" s="35">
        <v>10184</v>
      </c>
      <c r="E1881" s="4" t="s">
        <v>3101</v>
      </c>
      <c r="F1881" s="5">
        <v>41129</v>
      </c>
      <c r="G1881" s="5">
        <v>41250</v>
      </c>
      <c r="H1881" s="4" t="s">
        <v>392</v>
      </c>
      <c r="I1881" s="6">
        <v>164118</v>
      </c>
      <c r="J1881" s="6">
        <v>57441.37</v>
      </c>
      <c r="K1881" s="37" t="s">
        <v>2650</v>
      </c>
      <c r="L1881" s="119"/>
      <c r="M1881" s="3"/>
    </row>
    <row r="1882" spans="1:13" s="4" customFormat="1" ht="38.25" x14ac:dyDescent="0.25">
      <c r="A1882" s="4" t="s">
        <v>3072</v>
      </c>
      <c r="B1882" s="4" t="s">
        <v>13</v>
      </c>
      <c r="C1882" s="37" t="s">
        <v>2650</v>
      </c>
      <c r="D1882" s="35">
        <v>10202</v>
      </c>
      <c r="E1882" s="4" t="s">
        <v>3102</v>
      </c>
      <c r="F1882" s="5">
        <v>40751</v>
      </c>
      <c r="G1882" s="5">
        <v>40897</v>
      </c>
      <c r="H1882" s="4" t="s">
        <v>392</v>
      </c>
      <c r="I1882" s="6">
        <v>212542.32</v>
      </c>
      <c r="J1882" s="6">
        <v>74389.81</v>
      </c>
      <c r="K1882" s="37" t="s">
        <v>2650</v>
      </c>
      <c r="L1882" s="119"/>
      <c r="M1882" s="3"/>
    </row>
    <row r="1883" spans="1:13" s="4" customFormat="1" ht="76.5" x14ac:dyDescent="0.25">
      <c r="A1883" s="4" t="s">
        <v>3103</v>
      </c>
      <c r="B1883" s="4" t="s">
        <v>13</v>
      </c>
      <c r="C1883" s="37" t="s">
        <v>2650</v>
      </c>
      <c r="D1883" s="35">
        <v>10212</v>
      </c>
      <c r="E1883" s="7" t="s">
        <v>3104</v>
      </c>
      <c r="F1883" s="5">
        <v>41134</v>
      </c>
      <c r="G1883" s="5">
        <v>41271</v>
      </c>
      <c r="H1883" s="4" t="s">
        <v>392</v>
      </c>
      <c r="I1883" s="6">
        <v>160810.57999999999</v>
      </c>
      <c r="J1883" s="6">
        <v>56283.7</v>
      </c>
      <c r="K1883" s="37" t="s">
        <v>2650</v>
      </c>
      <c r="L1883" s="119"/>
      <c r="M1883" s="3"/>
    </row>
    <row r="1884" spans="1:13" s="4" customFormat="1" ht="51" x14ac:dyDescent="0.25">
      <c r="A1884" s="4" t="s">
        <v>3105</v>
      </c>
      <c r="B1884" s="4" t="s">
        <v>13</v>
      </c>
      <c r="C1884" s="37" t="s">
        <v>2650</v>
      </c>
      <c r="D1884" s="35">
        <v>8225</v>
      </c>
      <c r="E1884" s="4" t="s">
        <v>3106</v>
      </c>
      <c r="F1884" s="5">
        <v>40105</v>
      </c>
      <c r="G1884" s="5">
        <v>41274</v>
      </c>
      <c r="H1884" s="4" t="s">
        <v>2195</v>
      </c>
      <c r="I1884" s="6">
        <v>4192862.26</v>
      </c>
      <c r="J1884" s="6">
        <v>4192862.26</v>
      </c>
      <c r="K1884" s="37" t="s">
        <v>2650</v>
      </c>
      <c r="L1884" s="119"/>
      <c r="M1884" s="3"/>
    </row>
    <row r="1885" spans="1:13" s="4" customFormat="1" ht="38.25" x14ac:dyDescent="0.25">
      <c r="A1885" s="4" t="s">
        <v>5884</v>
      </c>
      <c r="B1885" s="4" t="s">
        <v>13</v>
      </c>
      <c r="C1885" s="37" t="s">
        <v>2650</v>
      </c>
      <c r="D1885" s="35">
        <v>13407</v>
      </c>
      <c r="E1885" s="4" t="s">
        <v>11661</v>
      </c>
      <c r="F1885" s="97">
        <v>41488</v>
      </c>
      <c r="G1885" s="98">
        <v>42760</v>
      </c>
      <c r="H1885" s="4" t="s">
        <v>11659</v>
      </c>
      <c r="I1885" s="6">
        <v>2108182.14</v>
      </c>
      <c r="J1885" s="6">
        <v>1054091.07</v>
      </c>
      <c r="K1885" s="37" t="s">
        <v>2650</v>
      </c>
      <c r="L1885" s="119"/>
      <c r="M1885" s="3"/>
    </row>
    <row r="1886" spans="1:13" s="4" customFormat="1" ht="38.25" x14ac:dyDescent="0.25">
      <c r="A1886" s="4" t="s">
        <v>3109</v>
      </c>
      <c r="B1886" s="4" t="s">
        <v>59</v>
      </c>
      <c r="C1886" s="37" t="s">
        <v>2650</v>
      </c>
      <c r="D1886" s="35">
        <v>615</v>
      </c>
      <c r="E1886" s="4" t="s">
        <v>3110</v>
      </c>
      <c r="F1886" s="5">
        <v>39119</v>
      </c>
      <c r="H1886" s="4" t="s">
        <v>40</v>
      </c>
      <c r="I1886" s="6">
        <v>12000</v>
      </c>
      <c r="J1886" s="6">
        <v>12000</v>
      </c>
      <c r="K1886" s="37" t="s">
        <v>2650</v>
      </c>
      <c r="L1886" s="120"/>
      <c r="M1886" s="3"/>
    </row>
    <row r="1887" spans="1:13" s="4" customFormat="1" x14ac:dyDescent="0.25">
      <c r="A1887" s="4" t="s">
        <v>3113</v>
      </c>
      <c r="B1887" s="4" t="s">
        <v>59</v>
      </c>
      <c r="C1887" s="37" t="s">
        <v>2650</v>
      </c>
      <c r="D1887" s="35">
        <v>717</v>
      </c>
      <c r="E1887" s="4" t="s">
        <v>3114</v>
      </c>
      <c r="F1887" s="5">
        <v>39162</v>
      </c>
      <c r="G1887" s="5">
        <v>39528</v>
      </c>
      <c r="H1887" s="4" t="s">
        <v>40</v>
      </c>
      <c r="I1887" s="6">
        <v>15000</v>
      </c>
      <c r="J1887" s="6">
        <v>15000</v>
      </c>
      <c r="K1887" s="37" t="s">
        <v>2650</v>
      </c>
      <c r="L1887" s="120"/>
      <c r="M1887" s="3"/>
    </row>
    <row r="1888" spans="1:13" s="4" customFormat="1" x14ac:dyDescent="0.25">
      <c r="A1888" s="4" t="s">
        <v>3115</v>
      </c>
      <c r="B1888" s="4" t="s">
        <v>3116</v>
      </c>
      <c r="C1888" s="37" t="s">
        <v>2650</v>
      </c>
      <c r="D1888" s="35">
        <v>720</v>
      </c>
      <c r="E1888" s="4" t="s">
        <v>3117</v>
      </c>
      <c r="F1888" s="5">
        <v>39162</v>
      </c>
      <c r="G1888" s="5">
        <v>39528</v>
      </c>
      <c r="H1888" s="4" t="s">
        <v>40</v>
      </c>
      <c r="I1888" s="6">
        <v>130000</v>
      </c>
      <c r="J1888" s="6">
        <v>65000</v>
      </c>
      <c r="K1888" s="37" t="s">
        <v>2650</v>
      </c>
      <c r="L1888" s="120"/>
      <c r="M1888" s="3"/>
    </row>
    <row r="1889" spans="1:13" s="4" customFormat="1" x14ac:dyDescent="0.25">
      <c r="A1889" s="4" t="s">
        <v>3118</v>
      </c>
      <c r="B1889" s="4" t="s">
        <v>50</v>
      </c>
      <c r="C1889" s="37" t="s">
        <v>2650</v>
      </c>
      <c r="D1889" s="35">
        <v>744</v>
      </c>
      <c r="E1889" s="4" t="s">
        <v>3119</v>
      </c>
      <c r="F1889" s="5">
        <v>39162</v>
      </c>
      <c r="G1889" s="5">
        <v>39528</v>
      </c>
      <c r="H1889" s="4" t="s">
        <v>40</v>
      </c>
      <c r="I1889" s="6">
        <v>148666.22</v>
      </c>
      <c r="J1889" s="6">
        <v>74333.11</v>
      </c>
      <c r="K1889" s="37" t="s">
        <v>2650</v>
      </c>
      <c r="L1889" s="120"/>
      <c r="M1889" s="3"/>
    </row>
    <row r="1890" spans="1:13" s="4" customFormat="1" x14ac:dyDescent="0.25">
      <c r="A1890" s="4" t="s">
        <v>3120</v>
      </c>
      <c r="B1890" s="4" t="s">
        <v>90</v>
      </c>
      <c r="C1890" s="37" t="s">
        <v>2650</v>
      </c>
      <c r="D1890" s="35">
        <v>746</v>
      </c>
      <c r="E1890" s="4" t="s">
        <v>3121</v>
      </c>
      <c r="F1890" s="5">
        <v>39162</v>
      </c>
      <c r="G1890" s="5">
        <v>39528</v>
      </c>
      <c r="H1890" s="4" t="s">
        <v>40</v>
      </c>
      <c r="I1890" s="6">
        <v>5242.2700000000004</v>
      </c>
      <c r="J1890" s="6">
        <v>3000</v>
      </c>
      <c r="K1890" s="37" t="s">
        <v>2650</v>
      </c>
      <c r="L1890" s="120"/>
      <c r="M1890" s="3"/>
    </row>
    <row r="1891" spans="1:13" s="4" customFormat="1" ht="25.5" x14ac:dyDescent="0.25">
      <c r="A1891" s="4" t="s">
        <v>3122</v>
      </c>
      <c r="B1891" s="4" t="s">
        <v>50</v>
      </c>
      <c r="C1891" s="37" t="s">
        <v>2650</v>
      </c>
      <c r="D1891" s="35">
        <v>747</v>
      </c>
      <c r="E1891" s="4" t="s">
        <v>3123</v>
      </c>
      <c r="F1891" s="5">
        <v>39162</v>
      </c>
      <c r="G1891" s="5">
        <v>39528</v>
      </c>
      <c r="H1891" s="4" t="s">
        <v>40</v>
      </c>
      <c r="I1891" s="6">
        <v>135752.16</v>
      </c>
      <c r="J1891" s="6">
        <v>67876.08</v>
      </c>
      <c r="K1891" s="37" t="s">
        <v>2650</v>
      </c>
      <c r="L1891" s="120"/>
      <c r="M1891" s="3"/>
    </row>
    <row r="1892" spans="1:13" s="4" customFormat="1" ht="25.5" x14ac:dyDescent="0.25">
      <c r="A1892" s="4" t="s">
        <v>3124</v>
      </c>
      <c r="B1892" s="4" t="s">
        <v>90</v>
      </c>
      <c r="C1892" s="37" t="s">
        <v>2650</v>
      </c>
      <c r="D1892" s="35">
        <v>749</v>
      </c>
      <c r="E1892" s="4" t="s">
        <v>3125</v>
      </c>
      <c r="F1892" s="5">
        <v>39162</v>
      </c>
      <c r="G1892" s="5">
        <v>39528</v>
      </c>
      <c r="H1892" s="4" t="s">
        <v>40</v>
      </c>
      <c r="I1892" s="6">
        <v>4584.57</v>
      </c>
      <c r="J1892" s="6">
        <v>2584.7800000000002</v>
      </c>
      <c r="K1892" s="37" t="s">
        <v>2650</v>
      </c>
      <c r="L1892" s="120"/>
      <c r="M1892" s="3"/>
    </row>
    <row r="1893" spans="1:13" s="4" customFormat="1" x14ac:dyDescent="0.25">
      <c r="A1893" s="4" t="s">
        <v>3126</v>
      </c>
      <c r="B1893" s="4" t="s">
        <v>90</v>
      </c>
      <c r="C1893" s="37" t="s">
        <v>2650</v>
      </c>
      <c r="D1893" s="35">
        <v>750</v>
      </c>
      <c r="E1893" s="4" t="s">
        <v>3127</v>
      </c>
      <c r="F1893" s="5">
        <v>39162</v>
      </c>
      <c r="G1893" s="5">
        <v>39528</v>
      </c>
      <c r="H1893" s="4" t="s">
        <v>40</v>
      </c>
      <c r="I1893" s="6">
        <v>10200</v>
      </c>
      <c r="J1893" s="6">
        <v>5100</v>
      </c>
      <c r="K1893" s="37" t="s">
        <v>2650</v>
      </c>
      <c r="L1893" s="120"/>
      <c r="M1893" s="3"/>
    </row>
    <row r="1894" spans="1:13" s="4" customFormat="1" x14ac:dyDescent="0.25">
      <c r="A1894" s="4" t="s">
        <v>3128</v>
      </c>
      <c r="B1894" s="4" t="s">
        <v>59</v>
      </c>
      <c r="C1894" s="37" t="s">
        <v>2650</v>
      </c>
      <c r="D1894" s="35">
        <v>752</v>
      </c>
      <c r="E1894" s="4" t="s">
        <v>3129</v>
      </c>
      <c r="F1894" s="5">
        <v>39162</v>
      </c>
      <c r="G1894" s="5">
        <v>39528</v>
      </c>
      <c r="H1894" s="4" t="s">
        <v>40</v>
      </c>
      <c r="I1894" s="6">
        <v>7500</v>
      </c>
      <c r="J1894" s="6">
        <v>7500</v>
      </c>
      <c r="K1894" s="37" t="s">
        <v>2650</v>
      </c>
      <c r="L1894" s="120"/>
      <c r="M1894" s="3"/>
    </row>
    <row r="1895" spans="1:13" s="4" customFormat="1" x14ac:dyDescent="0.25">
      <c r="A1895" s="4" t="s">
        <v>3130</v>
      </c>
      <c r="B1895" s="4" t="s">
        <v>59</v>
      </c>
      <c r="C1895" s="37" t="s">
        <v>2650</v>
      </c>
      <c r="D1895" s="35">
        <v>753</v>
      </c>
      <c r="E1895" s="4" t="s">
        <v>3129</v>
      </c>
      <c r="F1895" s="5">
        <v>39162</v>
      </c>
      <c r="G1895" s="5">
        <v>39528</v>
      </c>
      <c r="H1895" s="4" t="s">
        <v>40</v>
      </c>
      <c r="I1895" s="6">
        <v>7500</v>
      </c>
      <c r="J1895" s="6">
        <v>7500</v>
      </c>
      <c r="K1895" s="37" t="s">
        <v>2650</v>
      </c>
      <c r="L1895" s="120"/>
      <c r="M1895" s="3"/>
    </row>
    <row r="1896" spans="1:13" s="4" customFormat="1" x14ac:dyDescent="0.25">
      <c r="A1896" s="4" t="s">
        <v>3131</v>
      </c>
      <c r="B1896" s="4" t="s">
        <v>3116</v>
      </c>
      <c r="C1896" s="37" t="s">
        <v>2650</v>
      </c>
      <c r="D1896" s="35">
        <v>755</v>
      </c>
      <c r="E1896" s="4" t="s">
        <v>3132</v>
      </c>
      <c r="F1896" s="5">
        <v>39211</v>
      </c>
      <c r="G1896" s="5">
        <v>39577</v>
      </c>
      <c r="H1896" s="4" t="s">
        <v>40</v>
      </c>
      <c r="I1896" s="6">
        <v>140000</v>
      </c>
      <c r="J1896" s="6">
        <v>70000</v>
      </c>
      <c r="K1896" s="37" t="s">
        <v>2650</v>
      </c>
      <c r="L1896" s="120"/>
      <c r="M1896" s="3"/>
    </row>
    <row r="1897" spans="1:13" s="4" customFormat="1" x14ac:dyDescent="0.25">
      <c r="A1897" s="4" t="s">
        <v>3133</v>
      </c>
      <c r="B1897" s="4" t="s">
        <v>90</v>
      </c>
      <c r="C1897" s="37" t="s">
        <v>2650</v>
      </c>
      <c r="D1897" s="35">
        <v>756</v>
      </c>
      <c r="E1897" s="4" t="s">
        <v>3134</v>
      </c>
      <c r="F1897" s="5">
        <v>39211</v>
      </c>
      <c r="G1897" s="5">
        <v>39577</v>
      </c>
      <c r="H1897" s="4" t="s">
        <v>40</v>
      </c>
      <c r="I1897" s="6">
        <v>8091.5</v>
      </c>
      <c r="J1897" s="6">
        <v>4100</v>
      </c>
      <c r="K1897" s="37" t="s">
        <v>2650</v>
      </c>
      <c r="L1897" s="120"/>
      <c r="M1897" s="3"/>
    </row>
    <row r="1898" spans="1:13" s="4" customFormat="1" x14ac:dyDescent="0.25">
      <c r="A1898" s="4" t="s">
        <v>3135</v>
      </c>
      <c r="B1898" s="4" t="s">
        <v>90</v>
      </c>
      <c r="C1898" s="37" t="s">
        <v>2650</v>
      </c>
      <c r="D1898" s="35">
        <v>758</v>
      </c>
      <c r="E1898" s="4" t="s">
        <v>3136</v>
      </c>
      <c r="F1898" s="5">
        <v>39211</v>
      </c>
      <c r="G1898" s="5">
        <v>39577</v>
      </c>
      <c r="H1898" s="4" t="s">
        <v>40</v>
      </c>
      <c r="I1898" s="6">
        <v>5240</v>
      </c>
      <c r="J1898" s="6">
        <v>2620</v>
      </c>
      <c r="K1898" s="37" t="s">
        <v>2650</v>
      </c>
      <c r="L1898" s="120"/>
      <c r="M1898" s="3"/>
    </row>
    <row r="1899" spans="1:13" s="4" customFormat="1" x14ac:dyDescent="0.25">
      <c r="A1899" s="4" t="s">
        <v>3137</v>
      </c>
      <c r="B1899" s="4" t="s">
        <v>59</v>
      </c>
      <c r="C1899" s="37" t="s">
        <v>2650</v>
      </c>
      <c r="D1899" s="35">
        <v>761</v>
      </c>
      <c r="E1899" s="4" t="s">
        <v>3129</v>
      </c>
      <c r="F1899" s="5">
        <v>39211</v>
      </c>
      <c r="G1899" s="5">
        <v>39577</v>
      </c>
      <c r="H1899" s="4" t="s">
        <v>40</v>
      </c>
      <c r="I1899" s="6">
        <v>7500</v>
      </c>
      <c r="J1899" s="6">
        <v>7500</v>
      </c>
      <c r="K1899" s="37" t="s">
        <v>2650</v>
      </c>
      <c r="L1899" s="120"/>
      <c r="M1899" s="3"/>
    </row>
    <row r="1900" spans="1:13" s="4" customFormat="1" x14ac:dyDescent="0.25">
      <c r="A1900" s="4" t="s">
        <v>3140</v>
      </c>
      <c r="B1900" s="4" t="s">
        <v>59</v>
      </c>
      <c r="C1900" s="37" t="s">
        <v>2650</v>
      </c>
      <c r="D1900" s="35">
        <v>767</v>
      </c>
      <c r="E1900" s="4" t="s">
        <v>3141</v>
      </c>
      <c r="F1900" s="5">
        <v>39252</v>
      </c>
      <c r="G1900" s="5">
        <v>39618</v>
      </c>
      <c r="H1900" s="4" t="s">
        <v>40</v>
      </c>
      <c r="I1900" s="6">
        <v>15000</v>
      </c>
      <c r="J1900" s="6">
        <v>15000</v>
      </c>
      <c r="K1900" s="37" t="s">
        <v>2650</v>
      </c>
      <c r="L1900" s="120"/>
      <c r="M1900" s="3"/>
    </row>
    <row r="1901" spans="1:13" s="4" customFormat="1" x14ac:dyDescent="0.25">
      <c r="A1901" s="4" t="s">
        <v>3142</v>
      </c>
      <c r="B1901" s="4" t="s">
        <v>59</v>
      </c>
      <c r="C1901" s="37" t="s">
        <v>2650</v>
      </c>
      <c r="D1901" s="35">
        <v>770</v>
      </c>
      <c r="E1901" s="4" t="s">
        <v>3143</v>
      </c>
      <c r="F1901" s="5">
        <v>39252</v>
      </c>
      <c r="G1901" s="5">
        <v>39618</v>
      </c>
      <c r="H1901" s="4" t="s">
        <v>40</v>
      </c>
      <c r="I1901" s="6">
        <v>15000</v>
      </c>
      <c r="J1901" s="6">
        <v>15000</v>
      </c>
      <c r="K1901" s="37" t="s">
        <v>2650</v>
      </c>
      <c r="L1901" s="120"/>
      <c r="M1901" s="3"/>
    </row>
    <row r="1902" spans="1:13" s="4" customFormat="1" x14ac:dyDescent="0.25">
      <c r="A1902" s="4" t="s">
        <v>3144</v>
      </c>
      <c r="B1902" s="4" t="s">
        <v>50</v>
      </c>
      <c r="C1902" s="37" t="s">
        <v>2650</v>
      </c>
      <c r="D1902" s="35">
        <v>772</v>
      </c>
      <c r="E1902" s="4" t="s">
        <v>3145</v>
      </c>
      <c r="F1902" s="5">
        <v>39252</v>
      </c>
      <c r="G1902" s="5">
        <v>39618</v>
      </c>
      <c r="H1902" s="4" t="s">
        <v>40</v>
      </c>
      <c r="I1902" s="6">
        <v>44112.76</v>
      </c>
      <c r="J1902" s="6">
        <v>22056.38</v>
      </c>
      <c r="K1902" s="37" t="s">
        <v>2650</v>
      </c>
      <c r="L1902" s="120"/>
      <c r="M1902" s="3"/>
    </row>
    <row r="1903" spans="1:13" s="4" customFormat="1" x14ac:dyDescent="0.25">
      <c r="A1903" s="4" t="s">
        <v>3146</v>
      </c>
      <c r="B1903" s="4" t="s">
        <v>90</v>
      </c>
      <c r="C1903" s="37" t="s">
        <v>2650</v>
      </c>
      <c r="D1903" s="35">
        <v>773</v>
      </c>
      <c r="E1903" s="4" t="s">
        <v>3136</v>
      </c>
      <c r="F1903" s="5">
        <v>39252</v>
      </c>
      <c r="G1903" s="5">
        <v>39618</v>
      </c>
      <c r="H1903" s="4" t="s">
        <v>40</v>
      </c>
      <c r="I1903" s="6">
        <v>5500</v>
      </c>
      <c r="J1903" s="6">
        <v>2750</v>
      </c>
      <c r="K1903" s="37" t="s">
        <v>2650</v>
      </c>
      <c r="L1903" s="120"/>
      <c r="M1903" s="3"/>
    </row>
    <row r="1904" spans="1:13" s="4" customFormat="1" x14ac:dyDescent="0.25">
      <c r="A1904" s="4" t="s">
        <v>3148</v>
      </c>
      <c r="B1904" s="4" t="s">
        <v>50</v>
      </c>
      <c r="C1904" s="37" t="s">
        <v>2650</v>
      </c>
      <c r="D1904" s="35">
        <v>775</v>
      </c>
      <c r="E1904" s="4" t="s">
        <v>3149</v>
      </c>
      <c r="F1904" s="5">
        <v>39252</v>
      </c>
      <c r="G1904" s="5">
        <v>39618</v>
      </c>
      <c r="H1904" s="4" t="s">
        <v>40</v>
      </c>
      <c r="I1904" s="6">
        <v>2710.26</v>
      </c>
      <c r="J1904" s="6">
        <v>1355.13</v>
      </c>
      <c r="K1904" s="37" t="s">
        <v>2650</v>
      </c>
      <c r="L1904" s="120"/>
      <c r="M1904" s="3"/>
    </row>
    <row r="1905" spans="1:13" s="4" customFormat="1" x14ac:dyDescent="0.25">
      <c r="A1905" s="4" t="s">
        <v>3150</v>
      </c>
      <c r="B1905" s="4" t="s">
        <v>59</v>
      </c>
      <c r="C1905" s="37" t="s">
        <v>2650</v>
      </c>
      <c r="D1905" s="35">
        <v>776</v>
      </c>
      <c r="E1905" s="4" t="s">
        <v>3151</v>
      </c>
      <c r="F1905" s="5">
        <v>39252</v>
      </c>
      <c r="G1905" s="5">
        <v>39618</v>
      </c>
      <c r="H1905" s="4" t="s">
        <v>40</v>
      </c>
      <c r="I1905" s="6">
        <v>15000</v>
      </c>
      <c r="J1905" s="6">
        <v>15000</v>
      </c>
      <c r="K1905" s="37" t="s">
        <v>2650</v>
      </c>
      <c r="L1905" s="120"/>
      <c r="M1905" s="3"/>
    </row>
    <row r="1906" spans="1:13" s="4" customFormat="1" x14ac:dyDescent="0.25">
      <c r="A1906" s="4" t="s">
        <v>3152</v>
      </c>
      <c r="B1906" s="4" t="s">
        <v>59</v>
      </c>
      <c r="C1906" s="37" t="s">
        <v>2650</v>
      </c>
      <c r="D1906" s="35">
        <v>781</v>
      </c>
      <c r="E1906" s="4" t="s">
        <v>3153</v>
      </c>
      <c r="F1906" s="5">
        <v>39287</v>
      </c>
      <c r="G1906" s="5">
        <v>39653</v>
      </c>
      <c r="H1906" s="4" t="s">
        <v>40</v>
      </c>
      <c r="I1906" s="6">
        <v>15000</v>
      </c>
      <c r="J1906" s="6">
        <v>15000</v>
      </c>
      <c r="K1906" s="37" t="s">
        <v>2650</v>
      </c>
      <c r="L1906" s="120"/>
      <c r="M1906" s="3"/>
    </row>
    <row r="1907" spans="1:13" s="4" customFormat="1" x14ac:dyDescent="0.25">
      <c r="A1907" s="4" t="s">
        <v>3154</v>
      </c>
      <c r="B1907" s="4" t="s">
        <v>3116</v>
      </c>
      <c r="C1907" s="37" t="s">
        <v>2650</v>
      </c>
      <c r="D1907" s="35">
        <v>788</v>
      </c>
      <c r="E1907" s="4" t="s">
        <v>3155</v>
      </c>
      <c r="F1907" s="5">
        <v>39343</v>
      </c>
      <c r="G1907" s="5">
        <v>39709</v>
      </c>
      <c r="H1907" s="4" t="s">
        <v>40</v>
      </c>
      <c r="I1907" s="6">
        <v>80000</v>
      </c>
      <c r="J1907" s="6">
        <v>40000</v>
      </c>
      <c r="K1907" s="37" t="s">
        <v>2650</v>
      </c>
      <c r="L1907" s="120"/>
      <c r="M1907" s="3"/>
    </row>
    <row r="1908" spans="1:13" s="4" customFormat="1" x14ac:dyDescent="0.25">
      <c r="A1908" s="4" t="s">
        <v>3156</v>
      </c>
      <c r="B1908" s="4" t="s">
        <v>90</v>
      </c>
      <c r="C1908" s="37" t="s">
        <v>2650</v>
      </c>
      <c r="D1908" s="35">
        <v>791</v>
      </c>
      <c r="E1908" s="4" t="s">
        <v>3157</v>
      </c>
      <c r="F1908" s="5">
        <v>39343</v>
      </c>
      <c r="G1908" s="5">
        <v>39709</v>
      </c>
      <c r="H1908" s="4" t="s">
        <v>40</v>
      </c>
      <c r="I1908" s="6">
        <v>10200</v>
      </c>
      <c r="J1908" s="6">
        <v>5100</v>
      </c>
      <c r="K1908" s="37" t="s">
        <v>2650</v>
      </c>
      <c r="L1908" s="120"/>
      <c r="M1908" s="3"/>
    </row>
    <row r="1909" spans="1:13" s="4" customFormat="1" x14ac:dyDescent="0.25">
      <c r="A1909" s="4" t="s">
        <v>3158</v>
      </c>
      <c r="B1909" s="4" t="s">
        <v>50</v>
      </c>
      <c r="C1909" s="37" t="s">
        <v>2650</v>
      </c>
      <c r="D1909" s="35">
        <v>823</v>
      </c>
      <c r="E1909" s="4" t="s">
        <v>3159</v>
      </c>
      <c r="F1909" s="5">
        <v>39343</v>
      </c>
      <c r="G1909" s="5">
        <v>39709</v>
      </c>
      <c r="H1909" s="4" t="s">
        <v>40</v>
      </c>
      <c r="I1909" s="6">
        <v>26369.88</v>
      </c>
      <c r="J1909" s="6">
        <v>13184.94</v>
      </c>
      <c r="K1909" s="37" t="s">
        <v>2650</v>
      </c>
      <c r="L1909" s="120"/>
      <c r="M1909" s="3"/>
    </row>
    <row r="1910" spans="1:13" s="4" customFormat="1" x14ac:dyDescent="0.25">
      <c r="A1910" s="4" t="s">
        <v>3160</v>
      </c>
      <c r="B1910" s="4" t="s">
        <v>90</v>
      </c>
      <c r="C1910" s="37" t="s">
        <v>2650</v>
      </c>
      <c r="D1910" s="35">
        <v>824</v>
      </c>
      <c r="E1910" s="4" t="s">
        <v>3161</v>
      </c>
      <c r="F1910" s="5">
        <v>39343</v>
      </c>
      <c r="G1910" s="5">
        <v>39709</v>
      </c>
      <c r="H1910" s="4" t="s">
        <v>40</v>
      </c>
      <c r="I1910" s="6">
        <v>10000</v>
      </c>
      <c r="J1910" s="6">
        <v>5000</v>
      </c>
      <c r="K1910" s="37" t="s">
        <v>2650</v>
      </c>
      <c r="L1910" s="120"/>
      <c r="M1910" s="3"/>
    </row>
    <row r="1911" spans="1:13" s="4" customFormat="1" ht="51" x14ac:dyDescent="0.25">
      <c r="A1911" s="4" t="s">
        <v>3162</v>
      </c>
      <c r="B1911" s="4" t="s">
        <v>59</v>
      </c>
      <c r="C1911" s="37" t="s">
        <v>2650</v>
      </c>
      <c r="D1911" s="35">
        <v>825</v>
      </c>
      <c r="E1911" s="4" t="s">
        <v>3163</v>
      </c>
      <c r="F1911" s="5">
        <v>39343</v>
      </c>
      <c r="G1911" s="5">
        <v>39709</v>
      </c>
      <c r="H1911" s="4" t="s">
        <v>40</v>
      </c>
      <c r="I1911" s="6">
        <v>15000</v>
      </c>
      <c r="J1911" s="6">
        <v>15000</v>
      </c>
      <c r="K1911" s="37" t="s">
        <v>2650</v>
      </c>
      <c r="L1911" s="120"/>
      <c r="M1911" s="3"/>
    </row>
    <row r="1912" spans="1:13" s="4" customFormat="1" x14ac:dyDescent="0.25">
      <c r="A1912" s="4" t="s">
        <v>3164</v>
      </c>
      <c r="B1912" s="4" t="s">
        <v>59</v>
      </c>
      <c r="C1912" s="37" t="s">
        <v>2650</v>
      </c>
      <c r="D1912" s="35">
        <v>834</v>
      </c>
      <c r="E1912" s="4" t="s">
        <v>3165</v>
      </c>
      <c r="F1912" s="5">
        <v>39343</v>
      </c>
      <c r="G1912" s="5">
        <v>39709</v>
      </c>
      <c r="H1912" s="4" t="s">
        <v>40</v>
      </c>
      <c r="I1912" s="6">
        <v>15000</v>
      </c>
      <c r="J1912" s="6">
        <v>15000</v>
      </c>
      <c r="K1912" s="37" t="s">
        <v>2650</v>
      </c>
      <c r="L1912" s="120"/>
      <c r="M1912" s="3"/>
    </row>
    <row r="1913" spans="1:13" s="4" customFormat="1" x14ac:dyDescent="0.25">
      <c r="A1913" s="4" t="s">
        <v>3166</v>
      </c>
      <c r="B1913" s="4" t="s">
        <v>59</v>
      </c>
      <c r="C1913" s="37" t="s">
        <v>2650</v>
      </c>
      <c r="D1913" s="35">
        <v>838</v>
      </c>
      <c r="E1913" s="4" t="s">
        <v>3129</v>
      </c>
      <c r="F1913" s="5">
        <v>39343</v>
      </c>
      <c r="G1913" s="5">
        <v>39709</v>
      </c>
      <c r="H1913" s="4" t="s">
        <v>40</v>
      </c>
      <c r="I1913" s="6">
        <v>7500</v>
      </c>
      <c r="J1913" s="6">
        <v>7500</v>
      </c>
      <c r="K1913" s="37" t="s">
        <v>2650</v>
      </c>
      <c r="L1913" s="120"/>
      <c r="M1913" s="3"/>
    </row>
    <row r="1914" spans="1:13" s="4" customFormat="1" ht="25.5" x14ac:dyDescent="0.25">
      <c r="A1914" s="4" t="s">
        <v>3167</v>
      </c>
      <c r="B1914" s="4" t="s">
        <v>90</v>
      </c>
      <c r="C1914" s="37" t="s">
        <v>2650</v>
      </c>
      <c r="D1914" s="35">
        <v>841</v>
      </c>
      <c r="E1914" s="4" t="s">
        <v>3168</v>
      </c>
      <c r="F1914" s="5">
        <v>39343</v>
      </c>
      <c r="G1914" s="5">
        <v>40071</v>
      </c>
      <c r="H1914" s="4" t="s">
        <v>40</v>
      </c>
      <c r="I1914" s="6">
        <v>3750</v>
      </c>
      <c r="J1914" s="6">
        <v>3750</v>
      </c>
      <c r="K1914" s="37" t="s">
        <v>2650</v>
      </c>
      <c r="L1914" s="120"/>
      <c r="M1914" s="3"/>
    </row>
    <row r="1915" spans="1:13" s="4" customFormat="1" x14ac:dyDescent="0.25">
      <c r="A1915" s="4" t="s">
        <v>3169</v>
      </c>
      <c r="B1915" s="4" t="s">
        <v>50</v>
      </c>
      <c r="C1915" s="37" t="s">
        <v>2650</v>
      </c>
      <c r="D1915" s="35">
        <v>843</v>
      </c>
      <c r="E1915" s="4" t="s">
        <v>3170</v>
      </c>
      <c r="F1915" s="5">
        <v>39380</v>
      </c>
      <c r="G1915" s="5">
        <v>39746</v>
      </c>
      <c r="H1915" s="4" t="s">
        <v>40</v>
      </c>
      <c r="I1915" s="6">
        <v>90000</v>
      </c>
      <c r="J1915" s="6">
        <v>45000</v>
      </c>
      <c r="K1915" s="37" t="s">
        <v>2650</v>
      </c>
      <c r="L1915" s="120"/>
      <c r="M1915" s="3"/>
    </row>
    <row r="1916" spans="1:13" s="4" customFormat="1" x14ac:dyDescent="0.25">
      <c r="A1916" s="4" t="s">
        <v>3171</v>
      </c>
      <c r="B1916" s="4" t="s">
        <v>90</v>
      </c>
      <c r="C1916" s="37" t="s">
        <v>2650</v>
      </c>
      <c r="D1916" s="35">
        <v>1051</v>
      </c>
      <c r="E1916" s="4" t="s">
        <v>3136</v>
      </c>
      <c r="F1916" s="5">
        <v>39380</v>
      </c>
      <c r="G1916" s="5">
        <v>39746</v>
      </c>
      <c r="H1916" s="4" t="s">
        <v>40</v>
      </c>
      <c r="I1916" s="6">
        <v>10200</v>
      </c>
      <c r="J1916" s="6">
        <v>5100</v>
      </c>
      <c r="K1916" s="37" t="s">
        <v>2650</v>
      </c>
      <c r="L1916" s="120"/>
      <c r="M1916" s="3"/>
    </row>
    <row r="1917" spans="1:13" s="4" customFormat="1" x14ac:dyDescent="0.25">
      <c r="A1917" s="4" t="s">
        <v>3172</v>
      </c>
      <c r="B1917" s="4" t="s">
        <v>90</v>
      </c>
      <c r="C1917" s="37" t="s">
        <v>2650</v>
      </c>
      <c r="D1917" s="35">
        <v>1052</v>
      </c>
      <c r="E1917" s="4" t="s">
        <v>3173</v>
      </c>
      <c r="F1917" s="5">
        <v>39380</v>
      </c>
      <c r="G1917" s="5">
        <v>39746</v>
      </c>
      <c r="H1917" s="4" t="s">
        <v>40</v>
      </c>
      <c r="I1917" s="6">
        <v>5500</v>
      </c>
      <c r="J1917" s="6">
        <v>2750</v>
      </c>
      <c r="K1917" s="37" t="s">
        <v>2650</v>
      </c>
      <c r="L1917" s="120"/>
      <c r="M1917" s="3"/>
    </row>
    <row r="1918" spans="1:13" s="4" customFormat="1" x14ac:dyDescent="0.25">
      <c r="A1918" s="4" t="s">
        <v>3174</v>
      </c>
      <c r="B1918" s="4" t="s">
        <v>90</v>
      </c>
      <c r="C1918" s="37" t="s">
        <v>2650</v>
      </c>
      <c r="D1918" s="35">
        <v>1123</v>
      </c>
      <c r="E1918" s="4" t="s">
        <v>3175</v>
      </c>
      <c r="F1918" s="5">
        <v>39380</v>
      </c>
      <c r="G1918" s="5">
        <v>39746</v>
      </c>
      <c r="H1918" s="4" t="s">
        <v>40</v>
      </c>
      <c r="I1918" s="6">
        <v>7562.54</v>
      </c>
      <c r="J1918" s="6">
        <v>4545.7700000000004</v>
      </c>
      <c r="K1918" s="37" t="s">
        <v>2650</v>
      </c>
      <c r="L1918" s="120"/>
      <c r="M1918" s="3"/>
    </row>
    <row r="1919" spans="1:13" s="4" customFormat="1" x14ac:dyDescent="0.25">
      <c r="A1919" s="4" t="s">
        <v>3176</v>
      </c>
      <c r="B1919" s="4" t="s">
        <v>59</v>
      </c>
      <c r="C1919" s="37" t="s">
        <v>2650</v>
      </c>
      <c r="D1919" s="35">
        <v>1125</v>
      </c>
      <c r="E1919" s="4" t="s">
        <v>3177</v>
      </c>
      <c r="F1919" s="5">
        <v>39380</v>
      </c>
      <c r="G1919" s="5">
        <v>39746</v>
      </c>
      <c r="H1919" s="4" t="s">
        <v>40</v>
      </c>
      <c r="I1919" s="6">
        <v>15000</v>
      </c>
      <c r="J1919" s="6">
        <v>15000</v>
      </c>
      <c r="K1919" s="37" t="s">
        <v>2650</v>
      </c>
      <c r="L1919" s="120"/>
      <c r="M1919" s="3"/>
    </row>
    <row r="1920" spans="1:13" s="4" customFormat="1" x14ac:dyDescent="0.25">
      <c r="A1920" s="4" t="s">
        <v>3180</v>
      </c>
      <c r="B1920" s="4" t="s">
        <v>90</v>
      </c>
      <c r="C1920" s="37" t="s">
        <v>2650</v>
      </c>
      <c r="D1920" s="35">
        <v>1201</v>
      </c>
      <c r="E1920" s="4" t="s">
        <v>3181</v>
      </c>
      <c r="F1920" s="5">
        <v>39380</v>
      </c>
      <c r="G1920" s="5">
        <v>39746</v>
      </c>
      <c r="H1920" s="4" t="s">
        <v>40</v>
      </c>
      <c r="I1920" s="6">
        <v>3074</v>
      </c>
      <c r="J1920" s="6">
        <v>3074</v>
      </c>
      <c r="K1920" s="37" t="s">
        <v>2650</v>
      </c>
      <c r="L1920" s="120"/>
      <c r="M1920" s="3"/>
    </row>
    <row r="1921" spans="1:13" s="4" customFormat="1" x14ac:dyDescent="0.25">
      <c r="A1921" s="4" t="s">
        <v>3182</v>
      </c>
      <c r="B1921" s="4" t="s">
        <v>90</v>
      </c>
      <c r="C1921" s="37" t="s">
        <v>2650</v>
      </c>
      <c r="D1921" s="35">
        <v>1646</v>
      </c>
      <c r="E1921" s="4" t="s">
        <v>3183</v>
      </c>
      <c r="F1921" s="5">
        <v>39406</v>
      </c>
      <c r="G1921" s="5">
        <v>39772</v>
      </c>
      <c r="H1921" s="4" t="s">
        <v>40</v>
      </c>
      <c r="I1921" s="6">
        <v>8294.02</v>
      </c>
      <c r="J1921" s="6">
        <v>4147.01</v>
      </c>
      <c r="K1921" s="37" t="s">
        <v>2650</v>
      </c>
      <c r="L1921" s="120"/>
      <c r="M1921" s="3"/>
    </row>
    <row r="1922" spans="1:13" s="4" customFormat="1" x14ac:dyDescent="0.25">
      <c r="A1922" s="4" t="s">
        <v>3184</v>
      </c>
      <c r="B1922" s="4" t="s">
        <v>59</v>
      </c>
      <c r="C1922" s="37" t="s">
        <v>2650</v>
      </c>
      <c r="D1922" s="35">
        <v>1647</v>
      </c>
      <c r="E1922" s="4" t="s">
        <v>3185</v>
      </c>
      <c r="F1922" s="5">
        <v>39406</v>
      </c>
      <c r="G1922" s="5">
        <v>39772</v>
      </c>
      <c r="H1922" s="4" t="s">
        <v>40</v>
      </c>
      <c r="I1922" s="6">
        <v>7500</v>
      </c>
      <c r="J1922" s="6">
        <v>7500</v>
      </c>
      <c r="K1922" s="37" t="s">
        <v>2650</v>
      </c>
      <c r="L1922" s="120"/>
      <c r="M1922" s="3"/>
    </row>
    <row r="1923" spans="1:13" s="4" customFormat="1" x14ac:dyDescent="0.25">
      <c r="A1923" s="4" t="s">
        <v>3186</v>
      </c>
      <c r="B1923" s="4" t="s">
        <v>59</v>
      </c>
      <c r="C1923" s="37" t="s">
        <v>2650</v>
      </c>
      <c r="D1923" s="35">
        <v>1648</v>
      </c>
      <c r="E1923" s="4" t="s">
        <v>3187</v>
      </c>
      <c r="F1923" s="5">
        <v>39427</v>
      </c>
      <c r="G1923" s="5">
        <v>39793</v>
      </c>
      <c r="H1923" s="4" t="s">
        <v>40</v>
      </c>
      <c r="I1923" s="6">
        <v>7500</v>
      </c>
      <c r="J1923" s="6">
        <v>7500</v>
      </c>
      <c r="K1923" s="37" t="s">
        <v>2650</v>
      </c>
      <c r="L1923" s="120"/>
      <c r="M1923" s="3"/>
    </row>
    <row r="1924" spans="1:13" s="4" customFormat="1" x14ac:dyDescent="0.25">
      <c r="A1924" s="4" t="s">
        <v>3188</v>
      </c>
      <c r="B1924" s="4" t="s">
        <v>59</v>
      </c>
      <c r="C1924" s="37" t="s">
        <v>2650</v>
      </c>
      <c r="D1924" s="35">
        <v>1650</v>
      </c>
      <c r="E1924" s="4" t="s">
        <v>3189</v>
      </c>
      <c r="F1924" s="5">
        <v>39427</v>
      </c>
      <c r="G1924" s="5">
        <v>39793</v>
      </c>
      <c r="H1924" s="4" t="s">
        <v>40</v>
      </c>
      <c r="I1924" s="6">
        <v>5000</v>
      </c>
      <c r="J1924" s="6">
        <v>5000</v>
      </c>
      <c r="K1924" s="37" t="s">
        <v>2650</v>
      </c>
      <c r="L1924" s="120"/>
      <c r="M1924" s="3"/>
    </row>
    <row r="1925" spans="1:13" s="4" customFormat="1" x14ac:dyDescent="0.25">
      <c r="A1925" s="4" t="s">
        <v>3191</v>
      </c>
      <c r="B1925" s="4" t="s">
        <v>59</v>
      </c>
      <c r="C1925" s="37" t="s">
        <v>2650</v>
      </c>
      <c r="D1925" s="35">
        <v>1652</v>
      </c>
      <c r="E1925" s="4" t="s">
        <v>59</v>
      </c>
      <c r="F1925" s="5">
        <v>39483</v>
      </c>
      <c r="G1925" s="5">
        <v>39849</v>
      </c>
      <c r="H1925" s="4" t="s">
        <v>40</v>
      </c>
      <c r="I1925" s="6">
        <v>5000</v>
      </c>
      <c r="J1925" s="6">
        <v>5000</v>
      </c>
      <c r="K1925" s="37" t="s">
        <v>2650</v>
      </c>
      <c r="L1925" s="120"/>
      <c r="M1925" s="3"/>
    </row>
    <row r="1926" spans="1:13" s="4" customFormat="1" x14ac:dyDescent="0.25">
      <c r="A1926" s="4" t="s">
        <v>3192</v>
      </c>
      <c r="B1926" s="4" t="s">
        <v>59</v>
      </c>
      <c r="C1926" s="37" t="s">
        <v>2650</v>
      </c>
      <c r="D1926" s="35">
        <v>1656</v>
      </c>
      <c r="E1926" s="4" t="s">
        <v>3193</v>
      </c>
      <c r="F1926" s="5">
        <v>39483</v>
      </c>
      <c r="G1926" s="5">
        <v>39849</v>
      </c>
      <c r="H1926" s="4" t="s">
        <v>40</v>
      </c>
      <c r="I1926" s="6">
        <v>7500</v>
      </c>
      <c r="J1926" s="6">
        <v>7500</v>
      </c>
      <c r="K1926" s="37" t="s">
        <v>2650</v>
      </c>
      <c r="L1926" s="120"/>
      <c r="M1926" s="3"/>
    </row>
    <row r="1927" spans="1:13" s="4" customFormat="1" x14ac:dyDescent="0.25">
      <c r="A1927" s="4" t="s">
        <v>3196</v>
      </c>
      <c r="B1927" s="4" t="s">
        <v>90</v>
      </c>
      <c r="C1927" s="37" t="s">
        <v>2650</v>
      </c>
      <c r="D1927" s="35">
        <v>1660</v>
      </c>
      <c r="E1927" s="4" t="s">
        <v>3197</v>
      </c>
      <c r="F1927" s="5">
        <v>39483</v>
      </c>
      <c r="G1927" s="5">
        <v>39849</v>
      </c>
      <c r="H1927" s="4" t="s">
        <v>40</v>
      </c>
      <c r="I1927" s="6">
        <v>9800</v>
      </c>
      <c r="J1927" s="6">
        <v>4900</v>
      </c>
      <c r="K1927" s="37" t="s">
        <v>2650</v>
      </c>
      <c r="L1927" s="120"/>
      <c r="M1927" s="3"/>
    </row>
    <row r="1928" spans="1:13" s="4" customFormat="1" x14ac:dyDescent="0.25">
      <c r="A1928" s="4" t="s">
        <v>3198</v>
      </c>
      <c r="B1928" s="4" t="s">
        <v>90</v>
      </c>
      <c r="C1928" s="37" t="s">
        <v>2650</v>
      </c>
      <c r="D1928" s="35">
        <v>1661</v>
      </c>
      <c r="E1928" s="4" t="s">
        <v>3199</v>
      </c>
      <c r="F1928" s="5">
        <v>39483</v>
      </c>
      <c r="G1928" s="5">
        <v>39849</v>
      </c>
      <c r="H1928" s="4" t="s">
        <v>40</v>
      </c>
      <c r="I1928" s="6">
        <v>6776</v>
      </c>
      <c r="J1928" s="6">
        <v>3387.5</v>
      </c>
      <c r="K1928" s="37" t="s">
        <v>2650</v>
      </c>
      <c r="L1928" s="120"/>
      <c r="M1928" s="3"/>
    </row>
    <row r="1929" spans="1:13" s="4" customFormat="1" x14ac:dyDescent="0.25">
      <c r="A1929" s="4" t="s">
        <v>3200</v>
      </c>
      <c r="B1929" s="4" t="s">
        <v>59</v>
      </c>
      <c r="C1929" s="37" t="s">
        <v>2650</v>
      </c>
      <c r="D1929" s="35">
        <v>1663</v>
      </c>
      <c r="E1929" s="4" t="s">
        <v>59</v>
      </c>
      <c r="F1929" s="5">
        <v>39483</v>
      </c>
      <c r="G1929" s="5">
        <v>39849</v>
      </c>
      <c r="H1929" s="4" t="s">
        <v>40</v>
      </c>
      <c r="I1929" s="6">
        <v>7500</v>
      </c>
      <c r="J1929" s="6">
        <v>7500</v>
      </c>
      <c r="K1929" s="37" t="s">
        <v>2650</v>
      </c>
      <c r="L1929" s="120"/>
      <c r="M1929" s="3"/>
    </row>
    <row r="1930" spans="1:13" s="4" customFormat="1" x14ac:dyDescent="0.25">
      <c r="A1930" s="4" t="s">
        <v>3201</v>
      </c>
      <c r="B1930" s="4" t="s">
        <v>59</v>
      </c>
      <c r="C1930" s="37" t="s">
        <v>2650</v>
      </c>
      <c r="D1930" s="35">
        <v>1664</v>
      </c>
      <c r="E1930" s="4" t="s">
        <v>3202</v>
      </c>
      <c r="F1930" s="5">
        <v>39483</v>
      </c>
      <c r="G1930" s="5">
        <v>39849</v>
      </c>
      <c r="H1930" s="4" t="s">
        <v>40</v>
      </c>
      <c r="I1930" s="6">
        <v>10000</v>
      </c>
      <c r="J1930" s="6">
        <v>10000</v>
      </c>
      <c r="K1930" s="37" t="s">
        <v>2650</v>
      </c>
      <c r="L1930" s="120"/>
      <c r="M1930" s="3"/>
    </row>
    <row r="1931" spans="1:13" s="4" customFormat="1" x14ac:dyDescent="0.25">
      <c r="A1931" s="4" t="s">
        <v>3203</v>
      </c>
      <c r="B1931" s="4" t="s">
        <v>59</v>
      </c>
      <c r="C1931" s="37" t="s">
        <v>2650</v>
      </c>
      <c r="D1931" s="35">
        <v>1665</v>
      </c>
      <c r="E1931" s="4" t="s">
        <v>3121</v>
      </c>
      <c r="F1931" s="5">
        <v>39483</v>
      </c>
      <c r="G1931" s="5">
        <v>39849</v>
      </c>
      <c r="H1931" s="4" t="s">
        <v>40</v>
      </c>
      <c r="I1931" s="6">
        <v>7500</v>
      </c>
      <c r="J1931" s="6">
        <v>7500</v>
      </c>
      <c r="K1931" s="37" t="s">
        <v>2650</v>
      </c>
      <c r="L1931" s="120"/>
      <c r="M1931" s="3"/>
    </row>
    <row r="1932" spans="1:13" s="4" customFormat="1" x14ac:dyDescent="0.25">
      <c r="A1932" s="4" t="s">
        <v>3204</v>
      </c>
      <c r="B1932" s="4" t="s">
        <v>90</v>
      </c>
      <c r="C1932" s="37" t="s">
        <v>2650</v>
      </c>
      <c r="D1932" s="35">
        <v>1666</v>
      </c>
      <c r="E1932" s="4" t="s">
        <v>3205</v>
      </c>
      <c r="F1932" s="5">
        <v>39483</v>
      </c>
      <c r="G1932" s="5">
        <v>39849</v>
      </c>
      <c r="H1932" s="4" t="s">
        <v>40</v>
      </c>
      <c r="I1932" s="6">
        <v>10200</v>
      </c>
      <c r="J1932" s="6">
        <v>5100</v>
      </c>
      <c r="K1932" s="37" t="s">
        <v>2650</v>
      </c>
      <c r="L1932" s="120"/>
      <c r="M1932" s="3"/>
    </row>
    <row r="1933" spans="1:13" s="4" customFormat="1" x14ac:dyDescent="0.25">
      <c r="A1933" s="4" t="s">
        <v>3208</v>
      </c>
      <c r="B1933" s="4" t="s">
        <v>59</v>
      </c>
      <c r="C1933" s="37" t="s">
        <v>2650</v>
      </c>
      <c r="D1933" s="35">
        <v>1683</v>
      </c>
      <c r="E1933" s="4" t="s">
        <v>3209</v>
      </c>
      <c r="F1933" s="5">
        <v>39518</v>
      </c>
      <c r="G1933" s="5">
        <v>39883</v>
      </c>
      <c r="H1933" s="4" t="s">
        <v>40</v>
      </c>
      <c r="I1933" s="6">
        <v>7500</v>
      </c>
      <c r="J1933" s="6">
        <v>7500</v>
      </c>
      <c r="K1933" s="37" t="s">
        <v>2650</v>
      </c>
      <c r="L1933" s="120"/>
      <c r="M1933" s="3"/>
    </row>
    <row r="1934" spans="1:13" s="4" customFormat="1" x14ac:dyDescent="0.25">
      <c r="A1934" s="4" t="s">
        <v>3210</v>
      </c>
      <c r="B1934" s="4" t="s">
        <v>59</v>
      </c>
      <c r="C1934" s="37" t="s">
        <v>2650</v>
      </c>
      <c r="D1934" s="35">
        <v>1687</v>
      </c>
      <c r="E1934" s="4" t="s">
        <v>3211</v>
      </c>
      <c r="F1934" s="5">
        <v>39567</v>
      </c>
      <c r="G1934" s="5">
        <v>39867</v>
      </c>
      <c r="H1934" s="4" t="s">
        <v>40</v>
      </c>
      <c r="I1934" s="6">
        <v>3750</v>
      </c>
      <c r="J1934" s="6">
        <v>3750</v>
      </c>
      <c r="K1934" s="37" t="s">
        <v>2650</v>
      </c>
      <c r="L1934" s="120"/>
      <c r="M1934" s="3"/>
    </row>
    <row r="1935" spans="1:13" s="4" customFormat="1" x14ac:dyDescent="0.25">
      <c r="A1935" s="4" t="s">
        <v>3212</v>
      </c>
      <c r="B1935" s="4" t="s">
        <v>59</v>
      </c>
      <c r="C1935" s="37" t="s">
        <v>2650</v>
      </c>
      <c r="D1935" s="35">
        <v>1691</v>
      </c>
      <c r="E1935" s="4" t="s">
        <v>3185</v>
      </c>
      <c r="F1935" s="5">
        <v>39567</v>
      </c>
      <c r="G1935" s="5">
        <v>39932</v>
      </c>
      <c r="H1935" s="4" t="s">
        <v>40</v>
      </c>
      <c r="I1935" s="6">
        <v>15000</v>
      </c>
      <c r="J1935" s="6">
        <v>15000</v>
      </c>
      <c r="K1935" s="37" t="s">
        <v>2650</v>
      </c>
      <c r="L1935" s="120"/>
      <c r="M1935" s="3"/>
    </row>
    <row r="1936" spans="1:13" s="4" customFormat="1" ht="25.5" x14ac:dyDescent="0.25">
      <c r="A1936" s="4" t="s">
        <v>3213</v>
      </c>
      <c r="B1936" s="4" t="s">
        <v>59</v>
      </c>
      <c r="C1936" s="37" t="s">
        <v>2650</v>
      </c>
      <c r="D1936" s="35">
        <v>1693</v>
      </c>
      <c r="E1936" s="4" t="s">
        <v>3214</v>
      </c>
      <c r="F1936" s="5">
        <v>39707</v>
      </c>
      <c r="G1936" s="5">
        <v>39980</v>
      </c>
      <c r="H1936" s="4" t="s">
        <v>40</v>
      </c>
      <c r="I1936" s="6">
        <v>3750</v>
      </c>
      <c r="J1936" s="6">
        <v>3750</v>
      </c>
      <c r="K1936" s="37" t="s">
        <v>2650</v>
      </c>
      <c r="L1936" s="120"/>
      <c r="M1936" s="3"/>
    </row>
    <row r="1937" spans="1:13" s="4" customFormat="1" ht="38.25" x14ac:dyDescent="0.25">
      <c r="A1937" s="4" t="s">
        <v>3215</v>
      </c>
      <c r="B1937" s="4" t="s">
        <v>59</v>
      </c>
      <c r="C1937" s="37" t="s">
        <v>2650</v>
      </c>
      <c r="D1937" s="35">
        <v>1707</v>
      </c>
      <c r="E1937" s="4" t="s">
        <v>3216</v>
      </c>
      <c r="F1937" s="5">
        <v>39707</v>
      </c>
      <c r="G1937" s="5">
        <v>39980</v>
      </c>
      <c r="H1937" s="4" t="s">
        <v>40</v>
      </c>
      <c r="I1937" s="6">
        <v>3750</v>
      </c>
      <c r="J1937" s="6">
        <v>3750</v>
      </c>
      <c r="K1937" s="37" t="s">
        <v>2650</v>
      </c>
      <c r="L1937" s="120"/>
      <c r="M1937" s="3"/>
    </row>
    <row r="1938" spans="1:13" s="4" customFormat="1" ht="25.5" x14ac:dyDescent="0.25">
      <c r="A1938" s="4" t="s">
        <v>3217</v>
      </c>
      <c r="B1938" s="4" t="s">
        <v>59</v>
      </c>
      <c r="C1938" s="37" t="s">
        <v>2650</v>
      </c>
      <c r="D1938" s="35">
        <v>1709</v>
      </c>
      <c r="E1938" s="4" t="s">
        <v>3218</v>
      </c>
      <c r="F1938" s="5">
        <v>39707</v>
      </c>
      <c r="G1938" s="5">
        <v>39980</v>
      </c>
      <c r="H1938" s="4" t="s">
        <v>40</v>
      </c>
      <c r="I1938" s="6">
        <v>3750</v>
      </c>
      <c r="J1938" s="6">
        <v>3750</v>
      </c>
      <c r="K1938" s="37" t="s">
        <v>2650</v>
      </c>
      <c r="L1938" s="120"/>
      <c r="M1938" s="3"/>
    </row>
    <row r="1939" spans="1:13" s="4" customFormat="1" ht="25.5" x14ac:dyDescent="0.25">
      <c r="A1939" s="4" t="s">
        <v>3225</v>
      </c>
      <c r="B1939" s="4" t="s">
        <v>38</v>
      </c>
      <c r="C1939" s="37" t="s">
        <v>2650</v>
      </c>
      <c r="D1939" s="35">
        <v>2409</v>
      </c>
      <c r="E1939" s="4" t="s">
        <v>3226</v>
      </c>
      <c r="F1939" s="5">
        <v>39083</v>
      </c>
      <c r="G1939" s="5">
        <v>41639</v>
      </c>
      <c r="H1939" s="4" t="s">
        <v>40</v>
      </c>
      <c r="I1939" s="6">
        <f>20000+10000+10000+17500</f>
        <v>57500</v>
      </c>
      <c r="J1939" s="6">
        <v>57500</v>
      </c>
      <c r="K1939" s="37" t="s">
        <v>2650</v>
      </c>
      <c r="L1939" s="120"/>
      <c r="M1939" s="3"/>
    </row>
    <row r="1940" spans="1:13" s="4" customFormat="1" ht="51" x14ac:dyDescent="0.25">
      <c r="A1940" s="4" t="s">
        <v>3227</v>
      </c>
      <c r="B1940" s="4" t="s">
        <v>38</v>
      </c>
      <c r="C1940" s="37" t="s">
        <v>2650</v>
      </c>
      <c r="D1940" s="35">
        <v>2414</v>
      </c>
      <c r="E1940" s="4" t="s">
        <v>3228</v>
      </c>
      <c r="F1940" s="5">
        <v>39083</v>
      </c>
      <c r="G1940" s="5">
        <v>41639</v>
      </c>
      <c r="H1940" s="4" t="s">
        <v>40</v>
      </c>
      <c r="I1940" s="6">
        <v>288654.44</v>
      </c>
      <c r="J1940" s="6">
        <v>288654.44</v>
      </c>
      <c r="K1940" s="37" t="s">
        <v>2650</v>
      </c>
      <c r="L1940" s="120"/>
      <c r="M1940" s="3"/>
    </row>
    <row r="1941" spans="1:13" s="4" customFormat="1" ht="25.5" x14ac:dyDescent="0.25">
      <c r="A1941" s="4" t="s">
        <v>3229</v>
      </c>
      <c r="B1941" s="4" t="s">
        <v>38</v>
      </c>
      <c r="C1941" s="37" t="s">
        <v>2650</v>
      </c>
      <c r="D1941" s="35">
        <v>2419</v>
      </c>
      <c r="E1941" s="4" t="s">
        <v>3230</v>
      </c>
      <c r="F1941" s="5">
        <v>39083</v>
      </c>
      <c r="G1941" s="5">
        <v>41609</v>
      </c>
      <c r="H1941" s="4" t="s">
        <v>40</v>
      </c>
      <c r="I1941" s="6">
        <f>8807.56+2500+2500+2200</f>
        <v>16007.56</v>
      </c>
      <c r="J1941" s="6">
        <f>13507.56+2500</f>
        <v>16007.56</v>
      </c>
      <c r="K1941" s="37" t="s">
        <v>2650</v>
      </c>
      <c r="L1941" s="120"/>
      <c r="M1941" s="3"/>
    </row>
    <row r="1942" spans="1:13" s="4" customFormat="1" ht="76.5" x14ac:dyDescent="0.25">
      <c r="A1942" s="4" t="s">
        <v>3231</v>
      </c>
      <c r="B1942" s="4" t="s">
        <v>38</v>
      </c>
      <c r="C1942" s="37" t="s">
        <v>2650</v>
      </c>
      <c r="D1942" s="35">
        <v>2420</v>
      </c>
      <c r="E1942" s="4" t="s">
        <v>3232</v>
      </c>
      <c r="F1942" s="5">
        <v>39083</v>
      </c>
      <c r="G1942" s="5">
        <v>41639</v>
      </c>
      <c r="H1942" s="4" t="s">
        <v>40</v>
      </c>
      <c r="I1942" s="6">
        <f>112931.22+24912.28+30778.31+35346.32</f>
        <v>203968.13</v>
      </c>
      <c r="J1942" s="6">
        <f>179055.88+24912.28</f>
        <v>203968.16</v>
      </c>
      <c r="K1942" s="37" t="s">
        <v>2650</v>
      </c>
      <c r="L1942" s="120"/>
      <c r="M1942" s="3"/>
    </row>
    <row r="1943" spans="1:13" s="4" customFormat="1" ht="51" x14ac:dyDescent="0.25">
      <c r="A1943" s="4" t="s">
        <v>3233</v>
      </c>
      <c r="B1943" s="4" t="s">
        <v>38</v>
      </c>
      <c r="C1943" s="37" t="s">
        <v>2650</v>
      </c>
      <c r="D1943" s="35">
        <v>2421</v>
      </c>
      <c r="E1943" s="4" t="s">
        <v>3234</v>
      </c>
      <c r="F1943" s="5">
        <v>39083</v>
      </c>
      <c r="G1943" s="5">
        <v>41639</v>
      </c>
      <c r="H1943" s="4" t="s">
        <v>40</v>
      </c>
      <c r="I1943" s="6">
        <v>39015.19</v>
      </c>
      <c r="J1943" s="6">
        <v>39015.19</v>
      </c>
      <c r="K1943" s="37" t="s">
        <v>2650</v>
      </c>
      <c r="L1943" s="120"/>
      <c r="M1943" s="3"/>
    </row>
    <row r="1944" spans="1:13" s="4" customFormat="1" ht="25.5" x14ac:dyDescent="0.25">
      <c r="A1944" s="4" t="s">
        <v>3235</v>
      </c>
      <c r="B1944" s="4" t="s">
        <v>38</v>
      </c>
      <c r="C1944" s="37" t="s">
        <v>2650</v>
      </c>
      <c r="D1944" s="35">
        <v>2422</v>
      </c>
      <c r="E1944" s="4" t="s">
        <v>3236</v>
      </c>
      <c r="F1944" s="5">
        <v>39083</v>
      </c>
      <c r="G1944" s="5">
        <v>41639</v>
      </c>
      <c r="H1944" s="4" t="s">
        <v>40</v>
      </c>
      <c r="I1944" s="6">
        <f>22310.22+7730.68+7962.16+3498</f>
        <v>41501.06</v>
      </c>
      <c r="J1944" s="6">
        <f>33538.9+7962.16</f>
        <v>41501.06</v>
      </c>
      <c r="K1944" s="37" t="s">
        <v>2650</v>
      </c>
      <c r="L1944" s="120"/>
      <c r="M1944" s="3"/>
    </row>
    <row r="1945" spans="1:13" s="4" customFormat="1" ht="38.25" x14ac:dyDescent="0.25">
      <c r="A1945" s="4" t="s">
        <v>3237</v>
      </c>
      <c r="B1945" s="4" t="s">
        <v>38</v>
      </c>
      <c r="C1945" s="37" t="s">
        <v>2650</v>
      </c>
      <c r="D1945" s="35">
        <v>2424</v>
      </c>
      <c r="E1945" s="4" t="s">
        <v>3238</v>
      </c>
      <c r="F1945" s="5">
        <v>39083</v>
      </c>
      <c r="G1945" s="5">
        <v>41639</v>
      </c>
      <c r="H1945" s="4" t="s">
        <v>40</v>
      </c>
      <c r="I1945" s="6">
        <f>93792.57+10216.18+20859.59+65010.92</f>
        <v>189879.26</v>
      </c>
      <c r="J1945" s="6">
        <f>119760.25+65101.92</f>
        <v>184862.16999999998</v>
      </c>
      <c r="K1945" s="37" t="s">
        <v>2650</v>
      </c>
      <c r="L1945" s="120"/>
      <c r="M1945" s="3"/>
    </row>
    <row r="1946" spans="1:13" s="4" customFormat="1" ht="51" x14ac:dyDescent="0.25">
      <c r="A1946" s="4" t="s">
        <v>3239</v>
      </c>
      <c r="B1946" s="4" t="s">
        <v>38</v>
      </c>
      <c r="C1946" s="37" t="s">
        <v>2650</v>
      </c>
      <c r="D1946" s="35">
        <v>2425</v>
      </c>
      <c r="E1946" s="4" t="s">
        <v>3240</v>
      </c>
      <c r="F1946" s="5">
        <v>39083</v>
      </c>
      <c r="G1946" s="5">
        <v>41274</v>
      </c>
      <c r="H1946" s="4" t="s">
        <v>40</v>
      </c>
      <c r="I1946" s="6">
        <v>54442.04</v>
      </c>
      <c r="J1946" s="6">
        <v>54442.04</v>
      </c>
      <c r="K1946" s="37" t="s">
        <v>2650</v>
      </c>
      <c r="L1946" s="120"/>
      <c r="M1946" s="3"/>
    </row>
    <row r="1947" spans="1:13" s="4" customFormat="1" ht="38.25" x14ac:dyDescent="0.25">
      <c r="A1947" s="4" t="s">
        <v>3159</v>
      </c>
      <c r="B1947" s="4" t="s">
        <v>38</v>
      </c>
      <c r="C1947" s="37" t="s">
        <v>2650</v>
      </c>
      <c r="D1947" s="35">
        <v>2426</v>
      </c>
      <c r="E1947" s="4" t="s">
        <v>3241</v>
      </c>
      <c r="F1947" s="5">
        <v>39083</v>
      </c>
      <c r="G1947" s="5">
        <v>41639</v>
      </c>
      <c r="H1947" s="4" t="s">
        <v>40</v>
      </c>
      <c r="I1947" s="6">
        <v>11597.86</v>
      </c>
      <c r="J1947" s="6">
        <v>11597.86</v>
      </c>
      <c r="K1947" s="37" t="s">
        <v>2650</v>
      </c>
      <c r="L1947" s="120"/>
      <c r="M1947" s="3"/>
    </row>
    <row r="1948" spans="1:13" s="4" customFormat="1" ht="25.5" x14ac:dyDescent="0.25">
      <c r="A1948" s="4" t="s">
        <v>3242</v>
      </c>
      <c r="B1948" s="4" t="s">
        <v>38</v>
      </c>
      <c r="C1948" s="37" t="s">
        <v>2650</v>
      </c>
      <c r="D1948" s="35">
        <v>2428</v>
      </c>
      <c r="E1948" s="4" t="s">
        <v>3243</v>
      </c>
      <c r="F1948" s="5">
        <v>39083</v>
      </c>
      <c r="G1948" s="5">
        <v>41639</v>
      </c>
      <c r="H1948" s="4" t="s">
        <v>40</v>
      </c>
      <c r="I1948" s="6">
        <f>30077.87+7919.8+17913.6+7124.07</f>
        <v>63035.34</v>
      </c>
      <c r="J1948" s="6">
        <f>55911.27+7124.07</f>
        <v>63035.34</v>
      </c>
      <c r="K1948" s="37" t="s">
        <v>2650</v>
      </c>
      <c r="L1948" s="120"/>
      <c r="M1948" s="3"/>
    </row>
    <row r="1949" spans="1:13" s="4" customFormat="1" ht="89.25" x14ac:dyDescent="0.25">
      <c r="A1949" s="4" t="s">
        <v>3244</v>
      </c>
      <c r="B1949" s="4" t="s">
        <v>38</v>
      </c>
      <c r="C1949" s="37" t="s">
        <v>2650</v>
      </c>
      <c r="D1949" s="35">
        <v>2487</v>
      </c>
      <c r="E1949" s="7" t="s">
        <v>3245</v>
      </c>
      <c r="F1949" s="5">
        <v>39083</v>
      </c>
      <c r="G1949" s="5">
        <v>41639</v>
      </c>
      <c r="H1949" s="4" t="s">
        <v>40</v>
      </c>
      <c r="I1949" s="6">
        <v>33784.67</v>
      </c>
      <c r="J1949" s="6">
        <v>33784.67</v>
      </c>
      <c r="K1949" s="37" t="s">
        <v>2650</v>
      </c>
      <c r="L1949" s="120"/>
      <c r="M1949" s="3"/>
    </row>
    <row r="1950" spans="1:13" s="4" customFormat="1" ht="63.75" x14ac:dyDescent="0.25">
      <c r="A1950" s="4" t="s">
        <v>3246</v>
      </c>
      <c r="B1950" s="4" t="s">
        <v>38</v>
      </c>
      <c r="C1950" s="37" t="s">
        <v>2650</v>
      </c>
      <c r="D1950" s="35">
        <v>2488</v>
      </c>
      <c r="E1950" s="4" t="s">
        <v>3247</v>
      </c>
      <c r="F1950" s="5">
        <v>39083</v>
      </c>
      <c r="G1950" s="5">
        <v>41639</v>
      </c>
      <c r="H1950" s="4" t="s">
        <v>40</v>
      </c>
      <c r="I1950" s="6">
        <v>34235</v>
      </c>
      <c r="J1950" s="6">
        <v>34235</v>
      </c>
      <c r="K1950" s="37" t="s">
        <v>2650</v>
      </c>
      <c r="L1950" s="120"/>
      <c r="M1950" s="3"/>
    </row>
    <row r="1951" spans="1:13" s="4" customFormat="1" ht="38.25" x14ac:dyDescent="0.25">
      <c r="A1951" s="4" t="s">
        <v>3248</v>
      </c>
      <c r="B1951" s="4" t="s">
        <v>38</v>
      </c>
      <c r="C1951" s="37" t="s">
        <v>2650</v>
      </c>
      <c r="D1951" s="35">
        <v>2489</v>
      </c>
      <c r="E1951" s="4" t="s">
        <v>3249</v>
      </c>
      <c r="F1951" s="5">
        <v>39083</v>
      </c>
      <c r="G1951" s="5">
        <v>41639</v>
      </c>
      <c r="H1951" s="4" t="s">
        <v>40</v>
      </c>
      <c r="I1951" s="6">
        <v>26110.35</v>
      </c>
      <c r="J1951" s="6">
        <f>22430.35+3680</f>
        <v>26110.35</v>
      </c>
      <c r="K1951" s="37" t="s">
        <v>2650</v>
      </c>
      <c r="L1951" s="120"/>
      <c r="M1951" s="3"/>
    </row>
    <row r="1952" spans="1:13" s="4" customFormat="1" ht="38.25" x14ac:dyDescent="0.25">
      <c r="A1952" s="4" t="s">
        <v>3250</v>
      </c>
      <c r="B1952" s="4" t="s">
        <v>38</v>
      </c>
      <c r="C1952" s="37" t="s">
        <v>2650</v>
      </c>
      <c r="D1952" s="35">
        <v>2491</v>
      </c>
      <c r="E1952" s="4" t="s">
        <v>3251</v>
      </c>
      <c r="F1952" s="5">
        <v>39083</v>
      </c>
      <c r="G1952" s="5">
        <v>41639</v>
      </c>
      <c r="H1952" s="4" t="s">
        <v>40</v>
      </c>
      <c r="I1952" s="6">
        <v>262310</v>
      </c>
      <c r="J1952" s="6">
        <f>222110+40200</f>
        <v>262310</v>
      </c>
      <c r="K1952" s="37" t="s">
        <v>2650</v>
      </c>
      <c r="L1952" s="120"/>
      <c r="M1952" s="3"/>
    </row>
    <row r="1953" spans="1:13" s="4" customFormat="1" ht="51" x14ac:dyDescent="0.25">
      <c r="A1953" s="4" t="s">
        <v>3252</v>
      </c>
      <c r="B1953" s="4" t="s">
        <v>38</v>
      </c>
      <c r="C1953" s="37" t="s">
        <v>2650</v>
      </c>
      <c r="D1953" s="35">
        <v>2492</v>
      </c>
      <c r="E1953" s="4" t="s">
        <v>3253</v>
      </c>
      <c r="F1953" s="5">
        <v>39083</v>
      </c>
      <c r="G1953" s="5">
        <v>41639</v>
      </c>
      <c r="H1953" s="4" t="s">
        <v>40</v>
      </c>
      <c r="I1953" s="6">
        <v>33237</v>
      </c>
      <c r="J1953" s="6">
        <v>33237</v>
      </c>
      <c r="K1953" s="37" t="s">
        <v>2650</v>
      </c>
      <c r="L1953" s="120"/>
      <c r="M1953" s="3"/>
    </row>
    <row r="1954" spans="1:13" s="4" customFormat="1" ht="38.25" x14ac:dyDescent="0.25">
      <c r="A1954" s="4" t="s">
        <v>3254</v>
      </c>
      <c r="B1954" s="4" t="s">
        <v>38</v>
      </c>
      <c r="C1954" s="37" t="s">
        <v>2650</v>
      </c>
      <c r="D1954" s="35">
        <v>2493</v>
      </c>
      <c r="E1954" s="4" t="s">
        <v>3255</v>
      </c>
      <c r="F1954" s="5">
        <v>39083</v>
      </c>
      <c r="G1954" s="5">
        <v>41639</v>
      </c>
      <c r="H1954" s="4" t="s">
        <v>40</v>
      </c>
      <c r="I1954" s="6">
        <v>14076</v>
      </c>
      <c r="J1954" s="6">
        <v>14076</v>
      </c>
      <c r="K1954" s="37" t="s">
        <v>2650</v>
      </c>
      <c r="L1954" s="120"/>
      <c r="M1954" s="3"/>
    </row>
    <row r="1955" spans="1:13" s="4" customFormat="1" ht="51" x14ac:dyDescent="0.25">
      <c r="A1955" s="4" t="s">
        <v>3256</v>
      </c>
      <c r="B1955" s="4" t="s">
        <v>38</v>
      </c>
      <c r="C1955" s="37" t="s">
        <v>2650</v>
      </c>
      <c r="D1955" s="35">
        <v>2494</v>
      </c>
      <c r="E1955" s="4" t="s">
        <v>3257</v>
      </c>
      <c r="F1955" s="5">
        <v>39083</v>
      </c>
      <c r="G1955" s="5">
        <v>41609</v>
      </c>
      <c r="H1955" s="4" t="s">
        <v>40</v>
      </c>
      <c r="I1955" s="6">
        <v>12153.2</v>
      </c>
      <c r="J1955" s="6">
        <v>12153.2</v>
      </c>
      <c r="K1955" s="37" t="s">
        <v>2650</v>
      </c>
      <c r="L1955" s="120"/>
      <c r="M1955" s="3"/>
    </row>
    <row r="1956" spans="1:13" s="4" customFormat="1" ht="25.5" x14ac:dyDescent="0.25">
      <c r="A1956" s="4" t="s">
        <v>3258</v>
      </c>
      <c r="B1956" s="4" t="s">
        <v>38</v>
      </c>
      <c r="C1956" s="37" t="s">
        <v>2650</v>
      </c>
      <c r="D1956" s="35">
        <v>2496</v>
      </c>
      <c r="E1956" s="4" t="s">
        <v>3259</v>
      </c>
      <c r="F1956" s="5">
        <v>39083</v>
      </c>
      <c r="G1956" s="5">
        <v>41639</v>
      </c>
      <c r="H1956" s="4" t="s">
        <v>40</v>
      </c>
      <c r="I1956" s="6">
        <v>28752.29</v>
      </c>
      <c r="J1956" s="6">
        <v>28752.29</v>
      </c>
      <c r="K1956" s="37" t="s">
        <v>2650</v>
      </c>
      <c r="L1956" s="120"/>
      <c r="M1956" s="3"/>
    </row>
    <row r="1957" spans="1:13" s="4" customFormat="1" ht="63.75" x14ac:dyDescent="0.25">
      <c r="A1957" s="4" t="s">
        <v>3260</v>
      </c>
      <c r="B1957" s="4" t="s">
        <v>38</v>
      </c>
      <c r="C1957" s="37" t="s">
        <v>2650</v>
      </c>
      <c r="D1957" s="35">
        <v>2498</v>
      </c>
      <c r="E1957" s="4" t="s">
        <v>3261</v>
      </c>
      <c r="F1957" s="5">
        <v>39083</v>
      </c>
      <c r="G1957" s="5">
        <v>41639</v>
      </c>
      <c r="H1957" s="4" t="s">
        <v>40</v>
      </c>
      <c r="I1957" s="6">
        <v>52330.29</v>
      </c>
      <c r="J1957" s="6">
        <v>52330.29</v>
      </c>
      <c r="K1957" s="37" t="s">
        <v>2650</v>
      </c>
      <c r="L1957" s="120"/>
      <c r="M1957" s="3"/>
    </row>
    <row r="1958" spans="1:13" s="4" customFormat="1" ht="76.5" x14ac:dyDescent="0.25">
      <c r="A1958" s="4" t="s">
        <v>3262</v>
      </c>
      <c r="B1958" s="4" t="s">
        <v>38</v>
      </c>
      <c r="C1958" s="37" t="s">
        <v>2650</v>
      </c>
      <c r="D1958" s="35">
        <v>2500</v>
      </c>
      <c r="E1958" s="7" t="s">
        <v>3263</v>
      </c>
      <c r="F1958" s="5">
        <v>39083</v>
      </c>
      <c r="G1958" s="5">
        <v>41639</v>
      </c>
      <c r="H1958" s="4" t="s">
        <v>40</v>
      </c>
      <c r="I1958" s="6">
        <v>45763.94</v>
      </c>
      <c r="J1958" s="6">
        <v>45763.94</v>
      </c>
      <c r="K1958" s="37" t="s">
        <v>2650</v>
      </c>
      <c r="L1958" s="120"/>
      <c r="M1958" s="3"/>
    </row>
    <row r="1959" spans="1:13" s="4" customFormat="1" ht="25.5" x14ac:dyDescent="0.25">
      <c r="A1959" s="4" t="s">
        <v>109</v>
      </c>
      <c r="B1959" s="4" t="s">
        <v>38</v>
      </c>
      <c r="C1959" s="37" t="s">
        <v>2650</v>
      </c>
      <c r="D1959" s="35">
        <v>2502</v>
      </c>
      <c r="E1959" s="4" t="s">
        <v>3264</v>
      </c>
      <c r="F1959" s="5">
        <v>39083</v>
      </c>
      <c r="G1959" s="5">
        <v>41639</v>
      </c>
      <c r="H1959" s="4" t="s">
        <v>40</v>
      </c>
      <c r="I1959" s="6">
        <v>37435.839999999997</v>
      </c>
      <c r="J1959" s="6">
        <v>37435.839999999997</v>
      </c>
      <c r="K1959" s="37" t="s">
        <v>2650</v>
      </c>
      <c r="L1959" s="120"/>
      <c r="M1959" s="3"/>
    </row>
    <row r="1960" spans="1:13" s="4" customFormat="1" ht="38.25" x14ac:dyDescent="0.25">
      <c r="A1960" s="4" t="s">
        <v>3265</v>
      </c>
      <c r="B1960" s="4" t="s">
        <v>38</v>
      </c>
      <c r="C1960" s="37" t="s">
        <v>2650</v>
      </c>
      <c r="D1960" s="35">
        <v>2503</v>
      </c>
      <c r="E1960" s="4" t="s">
        <v>3266</v>
      </c>
      <c r="F1960" s="5">
        <v>39083</v>
      </c>
      <c r="G1960" s="5">
        <v>41639</v>
      </c>
      <c r="H1960" s="4" t="s">
        <v>40</v>
      </c>
      <c r="I1960" s="6">
        <f>90368.45+12296.88+16320+18831.54</f>
        <v>137816.87</v>
      </c>
      <c r="J1960" s="6">
        <f>125519.99+12296.88</f>
        <v>137816.87</v>
      </c>
      <c r="K1960" s="37" t="s">
        <v>2650</v>
      </c>
      <c r="L1960" s="120"/>
      <c r="M1960" s="3"/>
    </row>
    <row r="1961" spans="1:13" ht="38.25" x14ac:dyDescent="0.25">
      <c r="A1961" s="13" t="s">
        <v>10491</v>
      </c>
      <c r="B1961" s="13" t="s">
        <v>38</v>
      </c>
      <c r="C1961" s="20" t="s">
        <v>2650</v>
      </c>
      <c r="D1961" s="19">
        <v>3365</v>
      </c>
      <c r="E1961" s="13" t="s">
        <v>10492</v>
      </c>
      <c r="F1961" s="14">
        <v>41275</v>
      </c>
      <c r="G1961" s="14">
        <v>41639</v>
      </c>
      <c r="H1961" s="13" t="s">
        <v>651</v>
      </c>
      <c r="I1961" s="18">
        <v>6947.46</v>
      </c>
      <c r="J1961" s="18">
        <v>6947.46</v>
      </c>
      <c r="K1961" s="20" t="s">
        <v>2650</v>
      </c>
    </row>
    <row r="1962" spans="1:13" s="4" customFormat="1" ht="25.5" x14ac:dyDescent="0.25">
      <c r="A1962" s="4" t="s">
        <v>3267</v>
      </c>
      <c r="B1962" s="4" t="s">
        <v>38</v>
      </c>
      <c r="C1962" s="37" t="s">
        <v>2650</v>
      </c>
      <c r="D1962" s="35">
        <v>3377</v>
      </c>
      <c r="E1962" s="4" t="s">
        <v>3268</v>
      </c>
      <c r="F1962" s="5">
        <v>39083</v>
      </c>
      <c r="G1962" s="5">
        <v>41639</v>
      </c>
      <c r="H1962" s="4" t="s">
        <v>40</v>
      </c>
      <c r="I1962" s="6">
        <v>142159.48000000001</v>
      </c>
      <c r="J1962" s="6">
        <v>142159.48000000001</v>
      </c>
      <c r="K1962" s="37" t="s">
        <v>2650</v>
      </c>
      <c r="L1962" s="120"/>
      <c r="M1962" s="3"/>
    </row>
    <row r="1963" spans="1:13" s="4" customFormat="1" ht="38.25" x14ac:dyDescent="0.25">
      <c r="A1963" s="4" t="s">
        <v>3269</v>
      </c>
      <c r="B1963" s="4" t="s">
        <v>38</v>
      </c>
      <c r="C1963" s="37" t="s">
        <v>2650</v>
      </c>
      <c r="D1963" s="35">
        <v>7852</v>
      </c>
      <c r="E1963" s="4" t="s">
        <v>3270</v>
      </c>
      <c r="F1963" s="5">
        <v>40544</v>
      </c>
      <c r="G1963" s="5">
        <v>41639</v>
      </c>
      <c r="H1963" s="4" t="s">
        <v>40</v>
      </c>
      <c r="I1963" s="6">
        <v>11804.5</v>
      </c>
      <c r="J1963" s="6">
        <f>8278+3526.5</f>
        <v>11804.5</v>
      </c>
      <c r="K1963" s="37" t="s">
        <v>2650</v>
      </c>
      <c r="L1963" s="120"/>
      <c r="M1963" s="3"/>
    </row>
    <row r="1964" spans="1:13" s="4" customFormat="1" ht="38.25" x14ac:dyDescent="0.25">
      <c r="A1964" s="4" t="s">
        <v>3271</v>
      </c>
      <c r="B1964" s="4" t="s">
        <v>183</v>
      </c>
      <c r="C1964" s="37" t="s">
        <v>2650</v>
      </c>
      <c r="D1964" s="35">
        <v>7893</v>
      </c>
      <c r="E1964" s="4" t="s">
        <v>3272</v>
      </c>
      <c r="F1964" s="5">
        <v>40246</v>
      </c>
      <c r="G1964" s="5">
        <v>41639</v>
      </c>
      <c r="H1964" s="4" t="s">
        <v>40</v>
      </c>
      <c r="I1964" s="6">
        <v>5000</v>
      </c>
      <c r="J1964" s="6">
        <v>5000</v>
      </c>
      <c r="K1964" s="37" t="s">
        <v>2650</v>
      </c>
      <c r="L1964" s="120"/>
      <c r="M1964" s="3"/>
    </row>
    <row r="1965" spans="1:13" s="4" customFormat="1" ht="51" x14ac:dyDescent="0.25">
      <c r="A1965" s="4" t="s">
        <v>3273</v>
      </c>
      <c r="B1965" s="4" t="s">
        <v>183</v>
      </c>
      <c r="C1965" s="37" t="s">
        <v>2650</v>
      </c>
      <c r="D1965" s="35">
        <v>7898</v>
      </c>
      <c r="E1965" s="4" t="s">
        <v>3274</v>
      </c>
      <c r="F1965" s="5">
        <v>40470</v>
      </c>
      <c r="G1965" s="5">
        <v>41639</v>
      </c>
      <c r="H1965" s="4" t="s">
        <v>40</v>
      </c>
      <c r="I1965" s="6">
        <v>11250</v>
      </c>
      <c r="J1965" s="6">
        <v>11250</v>
      </c>
      <c r="K1965" s="37" t="s">
        <v>2650</v>
      </c>
      <c r="L1965" s="120"/>
      <c r="M1965" s="3"/>
    </row>
    <row r="1966" spans="1:13" s="4" customFormat="1" ht="38.25" x14ac:dyDescent="0.25">
      <c r="A1966" s="4" t="s">
        <v>3275</v>
      </c>
      <c r="B1966" s="4" t="s">
        <v>183</v>
      </c>
      <c r="C1966" s="37" t="s">
        <v>2650</v>
      </c>
      <c r="D1966" s="35">
        <v>7899</v>
      </c>
      <c r="E1966" s="4" t="s">
        <v>3276</v>
      </c>
      <c r="F1966" s="5">
        <v>40435</v>
      </c>
      <c r="G1966" s="5">
        <v>41639</v>
      </c>
      <c r="H1966" s="4" t="s">
        <v>40</v>
      </c>
      <c r="I1966" s="6">
        <v>3750</v>
      </c>
      <c r="J1966" s="6">
        <v>3750</v>
      </c>
      <c r="K1966" s="37" t="s">
        <v>2650</v>
      </c>
      <c r="L1966" s="120"/>
      <c r="M1966" s="3"/>
    </row>
    <row r="1967" spans="1:13" s="4" customFormat="1" ht="38.25" x14ac:dyDescent="0.25">
      <c r="A1967" s="4" t="s">
        <v>3277</v>
      </c>
      <c r="B1967" s="4" t="s">
        <v>190</v>
      </c>
      <c r="C1967" s="37" t="s">
        <v>2650</v>
      </c>
      <c r="D1967" s="35">
        <v>7901</v>
      </c>
      <c r="E1967" s="4" t="s">
        <v>3278</v>
      </c>
      <c r="F1967" s="5">
        <v>40295</v>
      </c>
      <c r="G1967" s="5">
        <v>41639</v>
      </c>
      <c r="H1967" s="4" t="s">
        <v>40</v>
      </c>
      <c r="I1967" s="6">
        <v>15000</v>
      </c>
      <c r="J1967" s="6">
        <v>10000</v>
      </c>
      <c r="K1967" s="37" t="s">
        <v>2650</v>
      </c>
      <c r="L1967" s="120"/>
      <c r="M1967" s="3"/>
    </row>
    <row r="1968" spans="1:13" s="4" customFormat="1" ht="38.25" x14ac:dyDescent="0.25">
      <c r="A1968" s="4" t="s">
        <v>3279</v>
      </c>
      <c r="B1968" s="4" t="s">
        <v>183</v>
      </c>
      <c r="C1968" s="37" t="s">
        <v>2650</v>
      </c>
      <c r="D1968" s="35">
        <v>7907</v>
      </c>
      <c r="E1968" s="4" t="s">
        <v>3280</v>
      </c>
      <c r="F1968" s="5">
        <v>40435</v>
      </c>
      <c r="G1968" s="5">
        <v>41639</v>
      </c>
      <c r="H1968" s="4" t="s">
        <v>40</v>
      </c>
      <c r="I1968" s="6">
        <v>3750</v>
      </c>
      <c r="J1968" s="6">
        <v>3750</v>
      </c>
      <c r="K1968" s="37" t="s">
        <v>2650</v>
      </c>
      <c r="L1968" s="120"/>
      <c r="M1968" s="3"/>
    </row>
    <row r="1969" spans="1:13" s="4" customFormat="1" ht="38.25" x14ac:dyDescent="0.25">
      <c r="A1969" s="4" t="s">
        <v>3281</v>
      </c>
      <c r="B1969" s="4" t="s">
        <v>183</v>
      </c>
      <c r="C1969" s="37" t="s">
        <v>2650</v>
      </c>
      <c r="D1969" s="35">
        <v>7914</v>
      </c>
      <c r="E1969" s="4" t="s">
        <v>3282</v>
      </c>
      <c r="F1969" s="5">
        <v>40344</v>
      </c>
      <c r="G1969" s="5">
        <v>41639</v>
      </c>
      <c r="H1969" s="4" t="s">
        <v>40</v>
      </c>
      <c r="I1969" s="6">
        <v>2500</v>
      </c>
      <c r="J1969" s="6">
        <v>2500</v>
      </c>
      <c r="K1969" s="37" t="s">
        <v>2650</v>
      </c>
      <c r="L1969" s="120"/>
      <c r="M1969" s="3"/>
    </row>
    <row r="1970" spans="1:13" s="4" customFormat="1" ht="51" x14ac:dyDescent="0.25">
      <c r="A1970" s="4" t="s">
        <v>3283</v>
      </c>
      <c r="B1970" s="4" t="s">
        <v>183</v>
      </c>
      <c r="C1970" s="37" t="s">
        <v>2650</v>
      </c>
      <c r="D1970" s="35">
        <v>7916</v>
      </c>
      <c r="E1970" s="4" t="s">
        <v>3284</v>
      </c>
      <c r="F1970" s="5">
        <v>40498</v>
      </c>
      <c r="G1970" s="5">
        <v>41639</v>
      </c>
      <c r="H1970" s="4" t="s">
        <v>40</v>
      </c>
      <c r="I1970" s="6">
        <v>7500</v>
      </c>
      <c r="J1970" s="6">
        <v>7500</v>
      </c>
      <c r="K1970" s="37" t="s">
        <v>2650</v>
      </c>
      <c r="L1970" s="120"/>
      <c r="M1970" s="3"/>
    </row>
    <row r="1971" spans="1:13" s="4" customFormat="1" ht="25.5" x14ac:dyDescent="0.25">
      <c r="A1971" s="4" t="s">
        <v>3285</v>
      </c>
      <c r="B1971" s="4" t="s">
        <v>38</v>
      </c>
      <c r="C1971" s="37" t="s">
        <v>2650</v>
      </c>
      <c r="D1971" s="35">
        <v>8921</v>
      </c>
      <c r="E1971" s="4" t="s">
        <v>3286</v>
      </c>
      <c r="F1971" s="5">
        <v>40544</v>
      </c>
      <c r="G1971" s="5">
        <v>41639</v>
      </c>
      <c r="H1971" s="4" t="s">
        <v>40</v>
      </c>
      <c r="I1971" s="6">
        <v>5010</v>
      </c>
      <c r="J1971" s="6">
        <f>4560+450</f>
        <v>5010</v>
      </c>
      <c r="K1971" s="37" t="s">
        <v>2650</v>
      </c>
      <c r="L1971" s="120"/>
      <c r="M1971" s="3"/>
    </row>
    <row r="1972" spans="1:13" s="4" customFormat="1" ht="38.25" x14ac:dyDescent="0.25">
      <c r="A1972" s="4" t="s">
        <v>3287</v>
      </c>
      <c r="B1972" s="4" t="s">
        <v>38</v>
      </c>
      <c r="C1972" s="37" t="s">
        <v>2650</v>
      </c>
      <c r="D1972" s="35">
        <v>8922</v>
      </c>
      <c r="E1972" s="4" t="s">
        <v>3288</v>
      </c>
      <c r="F1972" s="5">
        <v>40544</v>
      </c>
      <c r="G1972" s="5">
        <v>41639</v>
      </c>
      <c r="H1972" s="4" t="s">
        <v>40</v>
      </c>
      <c r="I1972" s="6">
        <v>1911.5</v>
      </c>
      <c r="J1972" s="6">
        <f>1071.5+840</f>
        <v>1911.5</v>
      </c>
      <c r="K1972" s="37" t="s">
        <v>2650</v>
      </c>
      <c r="L1972" s="120"/>
      <c r="M1972" s="3"/>
    </row>
    <row r="1973" spans="1:13" s="4" customFormat="1" ht="38.25" x14ac:dyDescent="0.25">
      <c r="A1973" s="4" t="s">
        <v>3289</v>
      </c>
      <c r="B1973" s="4" t="s">
        <v>38</v>
      </c>
      <c r="C1973" s="37" t="s">
        <v>2650</v>
      </c>
      <c r="D1973" s="35">
        <v>8923</v>
      </c>
      <c r="E1973" s="4" t="s">
        <v>3290</v>
      </c>
      <c r="F1973" s="5">
        <v>40544</v>
      </c>
      <c r="G1973" s="5">
        <v>41639</v>
      </c>
      <c r="H1973" s="4" t="s">
        <v>40</v>
      </c>
      <c r="I1973" s="6">
        <v>5076</v>
      </c>
      <c r="J1973" s="6">
        <f>2451+2625</f>
        <v>5076</v>
      </c>
      <c r="K1973" s="37" t="s">
        <v>2650</v>
      </c>
      <c r="L1973" s="120"/>
      <c r="M1973" s="3"/>
    </row>
    <row r="1974" spans="1:13" ht="25.5" x14ac:dyDescent="0.25">
      <c r="A1974" s="13" t="s">
        <v>10493</v>
      </c>
      <c r="B1974" s="13" t="s">
        <v>38</v>
      </c>
      <c r="C1974" s="20" t="s">
        <v>2650</v>
      </c>
      <c r="D1974" s="19">
        <v>8924</v>
      </c>
      <c r="E1974" s="13" t="s">
        <v>10494</v>
      </c>
      <c r="F1974" s="14">
        <v>41275</v>
      </c>
      <c r="G1974" s="14">
        <v>41639</v>
      </c>
      <c r="H1974" s="13" t="s">
        <v>651</v>
      </c>
      <c r="I1974" s="18">
        <v>665</v>
      </c>
      <c r="J1974" s="18">
        <v>665</v>
      </c>
      <c r="K1974" s="20" t="s">
        <v>2650</v>
      </c>
    </row>
    <row r="1975" spans="1:13" s="4" customFormat="1" ht="25.5" x14ac:dyDescent="0.25">
      <c r="A1975" s="4" t="s">
        <v>3291</v>
      </c>
      <c r="B1975" s="4" t="s">
        <v>38</v>
      </c>
      <c r="C1975" s="37" t="s">
        <v>2650</v>
      </c>
      <c r="D1975" s="35">
        <v>8926</v>
      </c>
      <c r="E1975" s="4" t="s">
        <v>3292</v>
      </c>
      <c r="F1975" s="5">
        <v>40544</v>
      </c>
      <c r="G1975" s="5">
        <v>40908</v>
      </c>
      <c r="H1975" s="4" t="s">
        <v>40</v>
      </c>
      <c r="I1975" s="6">
        <v>840</v>
      </c>
      <c r="J1975" s="6">
        <v>840</v>
      </c>
      <c r="K1975" s="37" t="s">
        <v>2650</v>
      </c>
      <c r="L1975" s="120"/>
      <c r="M1975" s="3"/>
    </row>
    <row r="1976" spans="1:13" s="4" customFormat="1" ht="38.25" x14ac:dyDescent="0.25">
      <c r="A1976" s="4" t="s">
        <v>3293</v>
      </c>
      <c r="B1976" s="4" t="s">
        <v>38</v>
      </c>
      <c r="C1976" s="37" t="s">
        <v>2650</v>
      </c>
      <c r="D1976" s="35">
        <v>8927</v>
      </c>
      <c r="E1976" s="4" t="s">
        <v>3294</v>
      </c>
      <c r="F1976" s="5">
        <v>40544</v>
      </c>
      <c r="G1976" s="5">
        <v>41639</v>
      </c>
      <c r="H1976" s="4" t="s">
        <v>40</v>
      </c>
      <c r="I1976" s="6">
        <v>2714.6</v>
      </c>
      <c r="J1976" s="6">
        <f>1724.6+990</f>
        <v>2714.6</v>
      </c>
      <c r="K1976" s="37" t="s">
        <v>2650</v>
      </c>
      <c r="L1976" s="120"/>
      <c r="M1976" s="3"/>
    </row>
    <row r="1977" spans="1:13" s="4" customFormat="1" ht="38.25" x14ac:dyDescent="0.25">
      <c r="A1977" s="4" t="s">
        <v>3295</v>
      </c>
      <c r="B1977" s="4" t="s">
        <v>38</v>
      </c>
      <c r="C1977" s="37" t="s">
        <v>2650</v>
      </c>
      <c r="D1977" s="35">
        <v>8930</v>
      </c>
      <c r="E1977" s="4" t="s">
        <v>3296</v>
      </c>
      <c r="F1977" s="5">
        <v>40544</v>
      </c>
      <c r="G1977" s="5">
        <v>40908</v>
      </c>
      <c r="H1977" s="4" t="s">
        <v>40</v>
      </c>
      <c r="I1977" s="6">
        <v>1476.5</v>
      </c>
      <c r="J1977" s="6">
        <v>1476.5</v>
      </c>
      <c r="K1977" s="37" t="s">
        <v>2650</v>
      </c>
      <c r="L1977" s="120"/>
      <c r="M1977" s="3"/>
    </row>
    <row r="1978" spans="1:13" s="4" customFormat="1" ht="51" x14ac:dyDescent="0.25">
      <c r="A1978" s="4" t="s">
        <v>3297</v>
      </c>
      <c r="B1978" s="4" t="s">
        <v>38</v>
      </c>
      <c r="C1978" s="37" t="s">
        <v>2650</v>
      </c>
      <c r="D1978" s="35">
        <v>8933</v>
      </c>
      <c r="E1978" s="4" t="s">
        <v>3298</v>
      </c>
      <c r="F1978" s="5">
        <v>40544</v>
      </c>
      <c r="G1978" s="5">
        <v>41639</v>
      </c>
      <c r="H1978" s="4" t="s">
        <v>40</v>
      </c>
      <c r="I1978" s="6">
        <v>4166.25</v>
      </c>
      <c r="J1978" s="6">
        <f>3961.25+205</f>
        <v>4166.25</v>
      </c>
      <c r="K1978" s="37" t="s">
        <v>2650</v>
      </c>
      <c r="L1978" s="120"/>
      <c r="M1978" s="3"/>
    </row>
    <row r="1979" spans="1:13" s="4" customFormat="1" ht="38.25" x14ac:dyDescent="0.25">
      <c r="A1979" s="4" t="s">
        <v>3299</v>
      </c>
      <c r="B1979" s="4" t="s">
        <v>38</v>
      </c>
      <c r="C1979" s="37" t="s">
        <v>2650</v>
      </c>
      <c r="D1979" s="35">
        <v>8934</v>
      </c>
      <c r="E1979" s="4" t="s">
        <v>3300</v>
      </c>
      <c r="F1979" s="5">
        <v>40544</v>
      </c>
      <c r="G1979" s="5">
        <v>41639</v>
      </c>
      <c r="H1979" s="4" t="s">
        <v>40</v>
      </c>
      <c r="I1979" s="6">
        <f>1015+405</f>
        <v>1420</v>
      </c>
      <c r="J1979" s="6">
        <f>1015+405</f>
        <v>1420</v>
      </c>
      <c r="K1979" s="37" t="s">
        <v>2650</v>
      </c>
      <c r="L1979" s="120"/>
      <c r="M1979" s="3"/>
    </row>
    <row r="1980" spans="1:13" s="4" customFormat="1" ht="51" x14ac:dyDescent="0.25">
      <c r="A1980" s="4" t="s">
        <v>3301</v>
      </c>
      <c r="B1980" s="4" t="s">
        <v>38</v>
      </c>
      <c r="C1980" s="37" t="s">
        <v>2650</v>
      </c>
      <c r="D1980" s="35">
        <v>8948</v>
      </c>
      <c r="E1980" s="4" t="s">
        <v>3302</v>
      </c>
      <c r="F1980" s="5">
        <v>40544</v>
      </c>
      <c r="G1980" s="5">
        <v>41274</v>
      </c>
      <c r="H1980" s="4" t="s">
        <v>40</v>
      </c>
      <c r="I1980" s="6">
        <v>7792.39</v>
      </c>
      <c r="J1980" s="6">
        <v>7795.39</v>
      </c>
      <c r="K1980" s="37" t="s">
        <v>2650</v>
      </c>
      <c r="L1980" s="120"/>
      <c r="M1980" s="3"/>
    </row>
    <row r="1981" spans="1:13" s="4" customFormat="1" ht="51" x14ac:dyDescent="0.25">
      <c r="A1981" s="4" t="s">
        <v>3303</v>
      </c>
      <c r="B1981" s="4" t="s">
        <v>38</v>
      </c>
      <c r="C1981" s="37" t="s">
        <v>2650</v>
      </c>
      <c r="D1981" s="35">
        <v>8951</v>
      </c>
      <c r="E1981" s="4" t="s">
        <v>3304</v>
      </c>
      <c r="F1981" s="5">
        <v>40544</v>
      </c>
      <c r="G1981" s="5">
        <v>40908</v>
      </c>
      <c r="H1981" s="4" t="s">
        <v>40</v>
      </c>
      <c r="I1981" s="6">
        <v>1085</v>
      </c>
      <c r="J1981" s="6">
        <v>1085</v>
      </c>
      <c r="K1981" s="37" t="s">
        <v>2650</v>
      </c>
      <c r="L1981" s="120"/>
      <c r="M1981" s="3"/>
    </row>
    <row r="1982" spans="1:13" s="4" customFormat="1" ht="38.25" x14ac:dyDescent="0.25">
      <c r="A1982" s="4" t="s">
        <v>3305</v>
      </c>
      <c r="B1982" s="4" t="s">
        <v>38</v>
      </c>
      <c r="C1982" s="37" t="s">
        <v>2650</v>
      </c>
      <c r="D1982" s="35">
        <v>8953</v>
      </c>
      <c r="E1982" s="4" t="s">
        <v>3306</v>
      </c>
      <c r="F1982" s="5">
        <v>40544</v>
      </c>
      <c r="G1982" s="5">
        <v>40908</v>
      </c>
      <c r="H1982" s="4" t="s">
        <v>40</v>
      </c>
      <c r="I1982" s="6">
        <v>11122.51</v>
      </c>
      <c r="J1982" s="6">
        <v>11122.51</v>
      </c>
      <c r="K1982" s="37" t="s">
        <v>2650</v>
      </c>
      <c r="L1982" s="120"/>
      <c r="M1982" s="3"/>
    </row>
    <row r="1983" spans="1:13" s="4" customFormat="1" ht="51" x14ac:dyDescent="0.25">
      <c r="A1983" s="4" t="s">
        <v>3307</v>
      </c>
      <c r="B1983" s="4" t="s">
        <v>38</v>
      </c>
      <c r="C1983" s="37" t="s">
        <v>2650</v>
      </c>
      <c r="D1983" s="35">
        <v>9011</v>
      </c>
      <c r="E1983" s="4" t="s">
        <v>3308</v>
      </c>
      <c r="F1983" s="5">
        <v>40544</v>
      </c>
      <c r="G1983" s="5">
        <v>41639</v>
      </c>
      <c r="H1983" s="4" t="s">
        <v>40</v>
      </c>
      <c r="I1983" s="6">
        <v>63035.25</v>
      </c>
      <c r="J1983" s="6">
        <f>40361.04+22674.21</f>
        <v>63035.25</v>
      </c>
      <c r="K1983" s="37" t="s">
        <v>2650</v>
      </c>
      <c r="L1983" s="120"/>
      <c r="M1983" s="3"/>
    </row>
    <row r="1984" spans="1:13" s="4" customFormat="1" ht="51" x14ac:dyDescent="0.25">
      <c r="A1984" s="4" t="s">
        <v>3309</v>
      </c>
      <c r="B1984" s="4" t="s">
        <v>38</v>
      </c>
      <c r="C1984" s="37" t="s">
        <v>2650</v>
      </c>
      <c r="D1984" s="35">
        <v>9012</v>
      </c>
      <c r="E1984" s="4" t="s">
        <v>3308</v>
      </c>
      <c r="F1984" s="5">
        <v>40544</v>
      </c>
      <c r="G1984" s="5">
        <v>41639</v>
      </c>
      <c r="H1984" s="4" t="s">
        <v>40</v>
      </c>
      <c r="I1984" s="6">
        <v>73708.61</v>
      </c>
      <c r="J1984" s="6">
        <f>43079.26+30629.35</f>
        <v>73708.61</v>
      </c>
      <c r="K1984" s="37" t="s">
        <v>2650</v>
      </c>
      <c r="L1984" s="120"/>
      <c r="M1984" s="3"/>
    </row>
    <row r="1985" spans="1:13" s="4" customFormat="1" ht="51" x14ac:dyDescent="0.25">
      <c r="A1985" s="4" t="s">
        <v>3310</v>
      </c>
      <c r="B1985" s="4" t="s">
        <v>38</v>
      </c>
      <c r="C1985" s="37" t="s">
        <v>2650</v>
      </c>
      <c r="D1985" s="35">
        <v>9013</v>
      </c>
      <c r="E1985" s="4" t="s">
        <v>3308</v>
      </c>
      <c r="F1985" s="5">
        <v>40544</v>
      </c>
      <c r="G1985" s="5">
        <v>41639</v>
      </c>
      <c r="H1985" s="4" t="s">
        <v>40</v>
      </c>
      <c r="I1985" s="6">
        <v>73098.289999999994</v>
      </c>
      <c r="J1985" s="6">
        <f>52326.52+20771.77</f>
        <v>73098.289999999994</v>
      </c>
      <c r="K1985" s="37" t="s">
        <v>2650</v>
      </c>
      <c r="L1985" s="120"/>
      <c r="M1985" s="3"/>
    </row>
    <row r="1986" spans="1:13" s="4" customFormat="1" ht="51" x14ac:dyDescent="0.25">
      <c r="A1986" s="4" t="s">
        <v>3311</v>
      </c>
      <c r="B1986" s="4" t="s">
        <v>38</v>
      </c>
      <c r="C1986" s="37" t="s">
        <v>2650</v>
      </c>
      <c r="D1986" s="35">
        <v>9014</v>
      </c>
      <c r="E1986" s="4" t="s">
        <v>3308</v>
      </c>
      <c r="F1986" s="5">
        <v>40544</v>
      </c>
      <c r="G1986" s="5">
        <v>41639</v>
      </c>
      <c r="H1986" s="4" t="s">
        <v>40</v>
      </c>
      <c r="I1986" s="6">
        <v>83755.429999999993</v>
      </c>
      <c r="J1986" s="6">
        <f>59192.72+24562.71</f>
        <v>83755.429999999993</v>
      </c>
      <c r="K1986" s="37" t="s">
        <v>2650</v>
      </c>
      <c r="L1986" s="120"/>
      <c r="M1986" s="3"/>
    </row>
    <row r="1987" spans="1:13" s="4" customFormat="1" ht="25.5" x14ac:dyDescent="0.25">
      <c r="A1987" s="4" t="s">
        <v>3312</v>
      </c>
      <c r="B1987" s="4" t="s">
        <v>183</v>
      </c>
      <c r="C1987" s="37" t="s">
        <v>2650</v>
      </c>
      <c r="D1987" s="35">
        <v>9015</v>
      </c>
      <c r="E1987" s="4" t="s">
        <v>3313</v>
      </c>
      <c r="F1987" s="5">
        <v>40344</v>
      </c>
      <c r="G1987" s="5">
        <v>41639</v>
      </c>
      <c r="H1987" s="4" t="s">
        <v>40</v>
      </c>
      <c r="I1987" s="6">
        <v>8000</v>
      </c>
      <c r="J1987" s="6">
        <v>4000</v>
      </c>
      <c r="K1987" s="37" t="s">
        <v>2650</v>
      </c>
      <c r="L1987" s="120"/>
      <c r="M1987" s="3"/>
    </row>
    <row r="1988" spans="1:13" s="4" customFormat="1" ht="38.25" x14ac:dyDescent="0.25">
      <c r="A1988" s="4" t="s">
        <v>3314</v>
      </c>
      <c r="B1988" s="4" t="s">
        <v>183</v>
      </c>
      <c r="C1988" s="37" t="s">
        <v>2650</v>
      </c>
      <c r="D1988" s="35">
        <v>9016</v>
      </c>
      <c r="E1988" s="4" t="s">
        <v>3315</v>
      </c>
      <c r="F1988" s="5">
        <v>40530</v>
      </c>
      <c r="G1988" s="5">
        <v>41639</v>
      </c>
      <c r="H1988" s="4" t="s">
        <v>40</v>
      </c>
      <c r="I1988" s="6">
        <v>2500</v>
      </c>
      <c r="J1988" s="6">
        <v>2500</v>
      </c>
      <c r="K1988" s="37" t="s">
        <v>2650</v>
      </c>
      <c r="L1988" s="120"/>
      <c r="M1988" s="3"/>
    </row>
    <row r="1989" spans="1:13" s="4" customFormat="1" ht="38.25" x14ac:dyDescent="0.25">
      <c r="A1989" s="4" t="s">
        <v>3316</v>
      </c>
      <c r="B1989" s="4" t="s">
        <v>90</v>
      </c>
      <c r="C1989" s="37" t="s">
        <v>2650</v>
      </c>
      <c r="D1989" s="35">
        <v>9017</v>
      </c>
      <c r="E1989" s="4" t="s">
        <v>3317</v>
      </c>
      <c r="F1989" s="5">
        <v>40883</v>
      </c>
      <c r="G1989" s="5">
        <v>41639</v>
      </c>
      <c r="H1989" s="4" t="s">
        <v>40</v>
      </c>
      <c r="I1989" s="6">
        <v>6654.74</v>
      </c>
      <c r="J1989" s="6">
        <v>3327.37</v>
      </c>
      <c r="K1989" s="37" t="s">
        <v>2650</v>
      </c>
      <c r="L1989" s="120"/>
      <c r="M1989" s="3"/>
    </row>
    <row r="1990" spans="1:13" s="4" customFormat="1" ht="51" x14ac:dyDescent="0.25">
      <c r="A1990" s="4" t="s">
        <v>3318</v>
      </c>
      <c r="B1990" s="4" t="s">
        <v>90</v>
      </c>
      <c r="C1990" s="37" t="s">
        <v>2650</v>
      </c>
      <c r="D1990" s="35">
        <v>9018</v>
      </c>
      <c r="E1990" s="4" t="s">
        <v>3319</v>
      </c>
      <c r="F1990" s="5">
        <v>40645</v>
      </c>
      <c r="G1990" s="5">
        <v>41639</v>
      </c>
      <c r="H1990" s="4" t="s">
        <v>40</v>
      </c>
      <c r="I1990" s="6">
        <v>10000</v>
      </c>
      <c r="J1990" s="6">
        <v>5000</v>
      </c>
      <c r="K1990" s="37" t="s">
        <v>2650</v>
      </c>
      <c r="L1990" s="120"/>
      <c r="M1990" s="3"/>
    </row>
    <row r="1991" spans="1:13" s="4" customFormat="1" ht="51" x14ac:dyDescent="0.25">
      <c r="A1991" s="4" t="s">
        <v>3320</v>
      </c>
      <c r="B1991" s="4" t="s">
        <v>183</v>
      </c>
      <c r="C1991" s="37" t="s">
        <v>2650</v>
      </c>
      <c r="D1991" s="35">
        <v>9019</v>
      </c>
      <c r="E1991" s="4" t="s">
        <v>3321</v>
      </c>
      <c r="F1991" s="5">
        <v>40498</v>
      </c>
      <c r="G1991" s="5">
        <v>41305</v>
      </c>
      <c r="H1991" s="4" t="s">
        <v>40</v>
      </c>
      <c r="I1991" s="6">
        <v>7500</v>
      </c>
      <c r="J1991" s="6">
        <v>7500</v>
      </c>
      <c r="K1991" s="37" t="s">
        <v>2650</v>
      </c>
      <c r="L1991" s="120"/>
      <c r="M1991" s="3"/>
    </row>
    <row r="1992" spans="1:13" s="4" customFormat="1" ht="38.25" x14ac:dyDescent="0.25">
      <c r="A1992" s="4" t="s">
        <v>3322</v>
      </c>
      <c r="B1992" s="4" t="s">
        <v>183</v>
      </c>
      <c r="C1992" s="37" t="s">
        <v>2650</v>
      </c>
      <c r="D1992" s="35">
        <v>9020</v>
      </c>
      <c r="E1992" s="4" t="s">
        <v>3323</v>
      </c>
      <c r="F1992" s="5">
        <v>40382</v>
      </c>
      <c r="G1992" s="5">
        <v>41639</v>
      </c>
      <c r="H1992" s="4" t="s">
        <v>40</v>
      </c>
      <c r="I1992" s="6">
        <v>7332.12</v>
      </c>
      <c r="J1992" s="6">
        <v>3666.06</v>
      </c>
      <c r="K1992" s="37" t="s">
        <v>2650</v>
      </c>
      <c r="L1992" s="120"/>
      <c r="M1992" s="3"/>
    </row>
    <row r="1993" spans="1:13" s="4" customFormat="1" ht="51" x14ac:dyDescent="0.25">
      <c r="A1993" s="4" t="s">
        <v>3324</v>
      </c>
      <c r="B1993" s="4" t="s">
        <v>90</v>
      </c>
      <c r="C1993" s="37" t="s">
        <v>2650</v>
      </c>
      <c r="D1993" s="35">
        <v>9021</v>
      </c>
      <c r="E1993" s="4" t="s">
        <v>3325</v>
      </c>
      <c r="F1993" s="5">
        <v>40645</v>
      </c>
      <c r="G1993" s="5">
        <v>41639</v>
      </c>
      <c r="H1993" s="4" t="s">
        <v>40</v>
      </c>
      <c r="I1993" s="6">
        <v>8000</v>
      </c>
      <c r="J1993" s="6">
        <v>4000</v>
      </c>
      <c r="K1993" s="37" t="s">
        <v>2650</v>
      </c>
      <c r="L1993" s="120"/>
      <c r="M1993" s="3"/>
    </row>
    <row r="1994" spans="1:13" s="4" customFormat="1" ht="51" x14ac:dyDescent="0.25">
      <c r="A1994" s="4" t="s">
        <v>3326</v>
      </c>
      <c r="B1994" s="4" t="s">
        <v>183</v>
      </c>
      <c r="C1994" s="37" t="s">
        <v>2650</v>
      </c>
      <c r="D1994" s="35">
        <v>9022</v>
      </c>
      <c r="E1994" s="4" t="s">
        <v>3327</v>
      </c>
      <c r="F1994" s="5">
        <v>40470</v>
      </c>
      <c r="G1994" s="5">
        <v>41639</v>
      </c>
      <c r="H1994" s="4" t="s">
        <v>40</v>
      </c>
      <c r="I1994" s="6">
        <v>3750</v>
      </c>
      <c r="J1994" s="6">
        <v>3750</v>
      </c>
      <c r="K1994" s="37" t="s">
        <v>2650</v>
      </c>
      <c r="L1994" s="120"/>
      <c r="M1994" s="3"/>
    </row>
    <row r="1995" spans="1:13" s="4" customFormat="1" ht="63.75" x14ac:dyDescent="0.25">
      <c r="A1995" s="4" t="s">
        <v>3328</v>
      </c>
      <c r="B1995" s="4" t="s">
        <v>90</v>
      </c>
      <c r="C1995" s="37" t="s">
        <v>2650</v>
      </c>
      <c r="D1995" s="35">
        <v>9023</v>
      </c>
      <c r="E1995" s="4" t="s">
        <v>3329</v>
      </c>
      <c r="F1995" s="5">
        <v>40708</v>
      </c>
      <c r="G1995" s="5">
        <v>41639</v>
      </c>
      <c r="H1995" s="4" t="s">
        <v>40</v>
      </c>
      <c r="I1995" s="6">
        <v>15000</v>
      </c>
      <c r="J1995" s="6">
        <v>7500</v>
      </c>
      <c r="K1995" s="37" t="s">
        <v>2650</v>
      </c>
      <c r="L1995" s="120"/>
      <c r="M1995" s="3"/>
    </row>
    <row r="1996" spans="1:13" s="4" customFormat="1" ht="63.75" x14ac:dyDescent="0.25">
      <c r="A1996" s="4" t="s">
        <v>3330</v>
      </c>
      <c r="B1996" s="4" t="s">
        <v>190</v>
      </c>
      <c r="C1996" s="37" t="s">
        <v>2650</v>
      </c>
      <c r="D1996" s="35">
        <v>9024</v>
      </c>
      <c r="E1996" s="4" t="s">
        <v>3331</v>
      </c>
      <c r="F1996" s="5">
        <v>40379</v>
      </c>
      <c r="G1996" s="5">
        <v>41639</v>
      </c>
      <c r="H1996" s="4" t="s">
        <v>40</v>
      </c>
      <c r="I1996" s="6">
        <v>3750</v>
      </c>
      <c r="J1996" s="6">
        <v>3750</v>
      </c>
      <c r="K1996" s="37" t="s">
        <v>2650</v>
      </c>
      <c r="L1996" s="120"/>
      <c r="M1996" s="3"/>
    </row>
    <row r="1997" spans="1:13" s="4" customFormat="1" ht="38.25" x14ac:dyDescent="0.25">
      <c r="A1997" s="4" t="s">
        <v>3332</v>
      </c>
      <c r="B1997" s="4" t="s">
        <v>183</v>
      </c>
      <c r="C1997" s="37" t="s">
        <v>2650</v>
      </c>
      <c r="D1997" s="35">
        <v>9025</v>
      </c>
      <c r="E1997" s="4" t="s">
        <v>3333</v>
      </c>
      <c r="F1997" s="5">
        <v>40645</v>
      </c>
      <c r="G1997" s="5">
        <v>41639</v>
      </c>
      <c r="H1997" s="4" t="s">
        <v>40</v>
      </c>
      <c r="I1997" s="6">
        <v>15000</v>
      </c>
      <c r="J1997" s="6">
        <v>7500</v>
      </c>
      <c r="K1997" s="37" t="s">
        <v>2650</v>
      </c>
      <c r="L1997" s="120"/>
      <c r="M1997" s="3"/>
    </row>
    <row r="1998" spans="1:13" s="4" customFormat="1" ht="51" x14ac:dyDescent="0.25">
      <c r="A1998" s="4" t="s">
        <v>3334</v>
      </c>
      <c r="B1998" s="4" t="s">
        <v>190</v>
      </c>
      <c r="C1998" s="37" t="s">
        <v>2650</v>
      </c>
      <c r="D1998" s="35">
        <v>9026</v>
      </c>
      <c r="E1998" s="4" t="s">
        <v>3335</v>
      </c>
      <c r="F1998" s="5">
        <v>40708</v>
      </c>
      <c r="G1998" s="5">
        <v>41639</v>
      </c>
      <c r="H1998" s="4" t="s">
        <v>40</v>
      </c>
      <c r="I1998" s="6">
        <v>22431</v>
      </c>
      <c r="J1998" s="6">
        <v>18715.5</v>
      </c>
      <c r="K1998" s="37" t="s">
        <v>2650</v>
      </c>
      <c r="L1998" s="120"/>
      <c r="M1998" s="3"/>
    </row>
    <row r="1999" spans="1:13" s="4" customFormat="1" ht="38.25" x14ac:dyDescent="0.25">
      <c r="A1999" s="4" t="s">
        <v>3336</v>
      </c>
      <c r="B1999" s="4" t="s">
        <v>183</v>
      </c>
      <c r="C1999" s="37" t="s">
        <v>2650</v>
      </c>
      <c r="D1999" s="35">
        <v>9027</v>
      </c>
      <c r="E1999" s="4" t="s">
        <v>3337</v>
      </c>
      <c r="F1999" s="5">
        <v>40862</v>
      </c>
      <c r="G1999" s="5">
        <v>41639</v>
      </c>
      <c r="H1999" s="4" t="s">
        <v>40</v>
      </c>
      <c r="I1999" s="6">
        <v>52500</v>
      </c>
      <c r="J1999" s="6">
        <f>26250+26250</f>
        <v>52500</v>
      </c>
      <c r="K1999" s="37" t="s">
        <v>2650</v>
      </c>
      <c r="L1999" s="120"/>
      <c r="M1999" s="3"/>
    </row>
    <row r="2000" spans="1:13" s="4" customFormat="1" ht="63.75" x14ac:dyDescent="0.25">
      <c r="A2000" s="4" t="s">
        <v>3338</v>
      </c>
      <c r="B2000" s="4" t="s">
        <v>190</v>
      </c>
      <c r="C2000" s="37" t="s">
        <v>2650</v>
      </c>
      <c r="D2000" s="35">
        <v>9028</v>
      </c>
      <c r="E2000" s="4" t="s">
        <v>3339</v>
      </c>
      <c r="F2000" s="5">
        <v>40470</v>
      </c>
      <c r="G2000" s="5">
        <v>41639</v>
      </c>
      <c r="H2000" s="4" t="s">
        <v>40</v>
      </c>
      <c r="I2000" s="6">
        <v>23437.5</v>
      </c>
      <c r="J2000" s="6">
        <v>18750</v>
      </c>
      <c r="K2000" s="37" t="s">
        <v>2650</v>
      </c>
      <c r="L2000" s="120"/>
      <c r="M2000" s="3"/>
    </row>
    <row r="2001" spans="1:13" s="4" customFormat="1" ht="51" x14ac:dyDescent="0.25">
      <c r="A2001" s="4" t="s">
        <v>3342</v>
      </c>
      <c r="B2001" s="4" t="s">
        <v>183</v>
      </c>
      <c r="C2001" s="37" t="s">
        <v>2650</v>
      </c>
      <c r="D2001" s="35">
        <v>9030</v>
      </c>
      <c r="E2001" s="4" t="s">
        <v>3343</v>
      </c>
      <c r="F2001" s="5">
        <v>40520</v>
      </c>
      <c r="G2001" s="5">
        <v>41639</v>
      </c>
      <c r="H2001" s="4" t="s">
        <v>40</v>
      </c>
      <c r="I2001" s="6">
        <v>11250</v>
      </c>
      <c r="J2001" s="6">
        <v>7500</v>
      </c>
      <c r="K2001" s="37" t="s">
        <v>2650</v>
      </c>
      <c r="L2001" s="120"/>
      <c r="M2001" s="3"/>
    </row>
    <row r="2002" spans="1:13" s="4" customFormat="1" ht="51" x14ac:dyDescent="0.25">
      <c r="A2002" s="4" t="s">
        <v>3344</v>
      </c>
      <c r="B2002" s="4" t="s">
        <v>183</v>
      </c>
      <c r="C2002" s="37" t="s">
        <v>2650</v>
      </c>
      <c r="D2002" s="35">
        <v>9031</v>
      </c>
      <c r="E2002" s="4" t="s">
        <v>3345</v>
      </c>
      <c r="F2002" s="5">
        <v>40645</v>
      </c>
      <c r="G2002" s="5">
        <v>41639</v>
      </c>
      <c r="H2002" s="4" t="s">
        <v>40</v>
      </c>
      <c r="I2002" s="6">
        <v>32500</v>
      </c>
      <c r="J2002" s="6">
        <v>27500</v>
      </c>
      <c r="K2002" s="37" t="s">
        <v>2650</v>
      </c>
      <c r="L2002" s="120"/>
      <c r="M2002" s="3"/>
    </row>
    <row r="2003" spans="1:13" s="4" customFormat="1" ht="38.25" x14ac:dyDescent="0.25">
      <c r="A2003" s="4" t="s">
        <v>3346</v>
      </c>
      <c r="B2003" s="4" t="s">
        <v>183</v>
      </c>
      <c r="C2003" s="37" t="s">
        <v>2650</v>
      </c>
      <c r="D2003" s="35">
        <v>9032</v>
      </c>
      <c r="E2003" s="4" t="s">
        <v>3347</v>
      </c>
      <c r="F2003" s="5">
        <v>40379</v>
      </c>
      <c r="G2003" s="5">
        <v>41639</v>
      </c>
      <c r="H2003" s="4" t="s">
        <v>40</v>
      </c>
      <c r="I2003" s="6">
        <v>5149.6000000000004</v>
      </c>
      <c r="J2003" s="6">
        <v>2575</v>
      </c>
      <c r="K2003" s="37" t="s">
        <v>2650</v>
      </c>
      <c r="L2003" s="120"/>
      <c r="M2003" s="3"/>
    </row>
    <row r="2004" spans="1:13" s="4" customFormat="1" ht="63.75" x14ac:dyDescent="0.25">
      <c r="A2004" s="4" t="s">
        <v>3348</v>
      </c>
      <c r="B2004" s="4" t="s">
        <v>183</v>
      </c>
      <c r="C2004" s="37" t="s">
        <v>2650</v>
      </c>
      <c r="D2004" s="35">
        <v>9033</v>
      </c>
      <c r="E2004" s="4" t="s">
        <v>3349</v>
      </c>
      <c r="F2004" s="5">
        <v>40344</v>
      </c>
      <c r="G2004" s="5">
        <v>41639</v>
      </c>
      <c r="H2004" s="4" t="s">
        <v>40</v>
      </c>
      <c r="I2004" s="6">
        <v>30000</v>
      </c>
      <c r="J2004" s="6">
        <v>15000</v>
      </c>
      <c r="K2004" s="37" t="s">
        <v>2650</v>
      </c>
      <c r="L2004" s="120"/>
      <c r="M2004" s="3"/>
    </row>
    <row r="2005" spans="1:13" s="4" customFormat="1" ht="51" x14ac:dyDescent="0.25">
      <c r="A2005" s="4" t="s">
        <v>3350</v>
      </c>
      <c r="B2005" s="4" t="s">
        <v>183</v>
      </c>
      <c r="C2005" s="37" t="s">
        <v>2650</v>
      </c>
      <c r="D2005" s="35">
        <v>9034</v>
      </c>
      <c r="E2005" s="4" t="s">
        <v>3351</v>
      </c>
      <c r="F2005" s="5">
        <v>40743</v>
      </c>
      <c r="G2005" s="5">
        <v>41639</v>
      </c>
      <c r="H2005" s="4" t="s">
        <v>40</v>
      </c>
      <c r="I2005" s="6">
        <v>10000</v>
      </c>
      <c r="J2005" s="6">
        <v>5000</v>
      </c>
      <c r="K2005" s="37" t="s">
        <v>2650</v>
      </c>
      <c r="L2005" s="120"/>
      <c r="M2005" s="3"/>
    </row>
    <row r="2006" spans="1:13" s="4" customFormat="1" ht="76.5" x14ac:dyDescent="0.25">
      <c r="A2006" s="4" t="s">
        <v>3352</v>
      </c>
      <c r="B2006" s="4" t="s">
        <v>183</v>
      </c>
      <c r="C2006" s="37" t="s">
        <v>2650</v>
      </c>
      <c r="D2006" s="35">
        <v>9035</v>
      </c>
      <c r="E2006" s="4" t="s">
        <v>3353</v>
      </c>
      <c r="F2006" s="5">
        <v>40435</v>
      </c>
      <c r="G2006" s="5">
        <v>41639</v>
      </c>
      <c r="H2006" s="4" t="s">
        <v>40</v>
      </c>
      <c r="I2006" s="6">
        <v>7500</v>
      </c>
      <c r="J2006" s="6">
        <v>7500</v>
      </c>
      <c r="K2006" s="37" t="s">
        <v>2650</v>
      </c>
      <c r="L2006" s="120"/>
      <c r="M2006" s="3"/>
    </row>
    <row r="2007" spans="1:13" s="4" customFormat="1" ht="38.25" x14ac:dyDescent="0.25">
      <c r="A2007" s="4" t="s">
        <v>3354</v>
      </c>
      <c r="B2007" s="4" t="s">
        <v>190</v>
      </c>
      <c r="C2007" s="37" t="s">
        <v>2650</v>
      </c>
      <c r="D2007" s="35">
        <v>9036</v>
      </c>
      <c r="E2007" s="4" t="s">
        <v>3355</v>
      </c>
      <c r="F2007" s="5">
        <v>40498</v>
      </c>
      <c r="G2007" s="5">
        <v>41639</v>
      </c>
      <c r="H2007" s="4" t="s">
        <v>40</v>
      </c>
      <c r="I2007" s="6">
        <v>3750</v>
      </c>
      <c r="J2007" s="6">
        <v>3750</v>
      </c>
      <c r="K2007" s="37" t="s">
        <v>2650</v>
      </c>
      <c r="L2007" s="120"/>
      <c r="M2007" s="3"/>
    </row>
    <row r="2008" spans="1:13" s="4" customFormat="1" ht="51" x14ac:dyDescent="0.25">
      <c r="A2008" s="4" t="s">
        <v>3358</v>
      </c>
      <c r="B2008" s="4" t="s">
        <v>190</v>
      </c>
      <c r="C2008" s="37" t="s">
        <v>2650</v>
      </c>
      <c r="D2008" s="35">
        <v>9038</v>
      </c>
      <c r="E2008" s="4" t="s">
        <v>3359</v>
      </c>
      <c r="F2008" s="5">
        <v>40862</v>
      </c>
      <c r="G2008" s="5">
        <v>41639</v>
      </c>
      <c r="H2008" s="4" t="s">
        <v>40</v>
      </c>
      <c r="I2008" s="6">
        <v>27500</v>
      </c>
      <c r="J2008" s="6">
        <v>17500</v>
      </c>
      <c r="K2008" s="37" t="s">
        <v>2650</v>
      </c>
      <c r="L2008" s="120"/>
      <c r="M2008" s="3"/>
    </row>
    <row r="2009" spans="1:13" s="4" customFormat="1" ht="51" x14ac:dyDescent="0.25">
      <c r="A2009" s="4" t="s">
        <v>3360</v>
      </c>
      <c r="B2009" s="4" t="s">
        <v>190</v>
      </c>
      <c r="C2009" s="37" t="s">
        <v>2650</v>
      </c>
      <c r="D2009" s="35">
        <v>9039</v>
      </c>
      <c r="E2009" s="4" t="s">
        <v>3361</v>
      </c>
      <c r="F2009" s="5">
        <v>40344</v>
      </c>
      <c r="G2009" s="5">
        <v>41639</v>
      </c>
      <c r="H2009" s="4" t="s">
        <v>40</v>
      </c>
      <c r="I2009" s="6">
        <v>39965</v>
      </c>
      <c r="J2009" s="6">
        <v>19983</v>
      </c>
      <c r="K2009" s="37" t="s">
        <v>2650</v>
      </c>
      <c r="L2009" s="120"/>
      <c r="M2009" s="3"/>
    </row>
    <row r="2010" spans="1:13" s="4" customFormat="1" ht="63.75" x14ac:dyDescent="0.25">
      <c r="A2010" s="4" t="s">
        <v>3362</v>
      </c>
      <c r="B2010" s="4" t="s">
        <v>183</v>
      </c>
      <c r="C2010" s="37" t="s">
        <v>2650</v>
      </c>
      <c r="D2010" s="35">
        <v>9040</v>
      </c>
      <c r="E2010" s="4" t="s">
        <v>3363</v>
      </c>
      <c r="F2010" s="5">
        <v>40871</v>
      </c>
      <c r="G2010" s="5">
        <v>41305</v>
      </c>
      <c r="H2010" s="4" t="s">
        <v>40</v>
      </c>
      <c r="I2010" s="6">
        <v>17377.599999999999</v>
      </c>
      <c r="J2010" s="6">
        <v>12438</v>
      </c>
      <c r="K2010" s="37" t="s">
        <v>2650</v>
      </c>
      <c r="L2010" s="120"/>
      <c r="M2010" s="3"/>
    </row>
    <row r="2011" spans="1:13" s="4" customFormat="1" ht="63.75" x14ac:dyDescent="0.25">
      <c r="A2011" s="4" t="s">
        <v>3364</v>
      </c>
      <c r="B2011" s="4" t="s">
        <v>190</v>
      </c>
      <c r="C2011" s="37" t="s">
        <v>2650</v>
      </c>
      <c r="D2011" s="35">
        <v>9041</v>
      </c>
      <c r="E2011" s="4" t="s">
        <v>3365</v>
      </c>
      <c r="F2011" s="5">
        <v>40590</v>
      </c>
      <c r="G2011" s="5">
        <v>41639</v>
      </c>
      <c r="H2011" s="4" t="s">
        <v>40</v>
      </c>
      <c r="I2011" s="6">
        <v>11250</v>
      </c>
      <c r="J2011" s="6">
        <v>11250</v>
      </c>
      <c r="K2011" s="37" t="s">
        <v>2650</v>
      </c>
      <c r="L2011" s="120"/>
      <c r="M2011" s="3"/>
    </row>
    <row r="2012" spans="1:13" s="4" customFormat="1" ht="63.75" x14ac:dyDescent="0.25">
      <c r="A2012" s="4" t="s">
        <v>3366</v>
      </c>
      <c r="B2012" s="4" t="s">
        <v>190</v>
      </c>
      <c r="C2012" s="37" t="s">
        <v>2650</v>
      </c>
      <c r="D2012" s="35">
        <v>9042</v>
      </c>
      <c r="E2012" s="4" t="s">
        <v>3367</v>
      </c>
      <c r="F2012" s="5">
        <v>40498</v>
      </c>
      <c r="G2012" s="5">
        <v>41639</v>
      </c>
      <c r="H2012" s="4" t="s">
        <v>40</v>
      </c>
      <c r="I2012" s="6">
        <v>4750</v>
      </c>
      <c r="J2012" s="6">
        <v>4250</v>
      </c>
      <c r="K2012" s="37" t="s">
        <v>2650</v>
      </c>
      <c r="L2012" s="120"/>
      <c r="M2012" s="3"/>
    </row>
    <row r="2013" spans="1:13" s="4" customFormat="1" ht="51" x14ac:dyDescent="0.25">
      <c r="A2013" s="4" t="s">
        <v>3368</v>
      </c>
      <c r="B2013" s="4" t="s">
        <v>183</v>
      </c>
      <c r="C2013" s="37" t="s">
        <v>2650</v>
      </c>
      <c r="D2013" s="35">
        <v>9043</v>
      </c>
      <c r="E2013" s="4" t="s">
        <v>3369</v>
      </c>
      <c r="F2013" s="5">
        <v>40498</v>
      </c>
      <c r="G2013" s="5">
        <v>41639</v>
      </c>
      <c r="H2013" s="4" t="s">
        <v>40</v>
      </c>
      <c r="I2013" s="6">
        <v>5808.38</v>
      </c>
      <c r="J2013" s="6">
        <v>4779.1899999999996</v>
      </c>
      <c r="K2013" s="37" t="s">
        <v>2650</v>
      </c>
      <c r="L2013" s="120"/>
      <c r="M2013" s="3"/>
    </row>
    <row r="2014" spans="1:13" s="4" customFormat="1" ht="38.25" x14ac:dyDescent="0.25">
      <c r="A2014" s="4" t="s">
        <v>3368</v>
      </c>
      <c r="B2014" s="4" t="s">
        <v>183</v>
      </c>
      <c r="C2014" s="37" t="s">
        <v>2650</v>
      </c>
      <c r="D2014" s="35">
        <v>9044</v>
      </c>
      <c r="E2014" s="4" t="s">
        <v>3370</v>
      </c>
      <c r="F2014" s="5">
        <v>40544</v>
      </c>
      <c r="G2014" s="5">
        <v>40908</v>
      </c>
      <c r="H2014" s="4" t="s">
        <v>40</v>
      </c>
      <c r="I2014" s="6">
        <v>12060</v>
      </c>
      <c r="J2014" s="6">
        <v>9780</v>
      </c>
      <c r="K2014" s="37" t="s">
        <v>2650</v>
      </c>
      <c r="L2014" s="120"/>
      <c r="M2014" s="3"/>
    </row>
    <row r="2015" spans="1:13" s="4" customFormat="1" ht="51" x14ac:dyDescent="0.25">
      <c r="A2015" s="4" t="s">
        <v>3371</v>
      </c>
      <c r="B2015" s="4" t="s">
        <v>190</v>
      </c>
      <c r="C2015" s="37" t="s">
        <v>2650</v>
      </c>
      <c r="D2015" s="35">
        <v>9045</v>
      </c>
      <c r="E2015" s="4" t="s">
        <v>3372</v>
      </c>
      <c r="F2015" s="5">
        <v>40520</v>
      </c>
      <c r="G2015" s="5">
        <v>41639</v>
      </c>
      <c r="H2015" s="4" t="s">
        <v>40</v>
      </c>
      <c r="I2015" s="6">
        <v>10000</v>
      </c>
      <c r="J2015" s="6">
        <v>10000</v>
      </c>
      <c r="K2015" s="37" t="s">
        <v>2650</v>
      </c>
      <c r="L2015" s="120"/>
      <c r="M2015" s="3"/>
    </row>
    <row r="2016" spans="1:13" s="4" customFormat="1" ht="38.25" x14ac:dyDescent="0.25">
      <c r="A2016" s="4" t="s">
        <v>3373</v>
      </c>
      <c r="B2016" s="4" t="s">
        <v>90</v>
      </c>
      <c r="C2016" s="37" t="s">
        <v>2650</v>
      </c>
      <c r="D2016" s="35">
        <v>9046</v>
      </c>
      <c r="E2016" s="4" t="s">
        <v>3374</v>
      </c>
      <c r="F2016" s="5">
        <v>40862</v>
      </c>
      <c r="G2016" s="5">
        <v>41639</v>
      </c>
      <c r="H2016" s="4" t="s">
        <v>40</v>
      </c>
      <c r="I2016" s="6">
        <v>7335</v>
      </c>
      <c r="J2016" s="6">
        <v>3667.5</v>
      </c>
      <c r="K2016" s="37" t="s">
        <v>2650</v>
      </c>
      <c r="L2016" s="120"/>
      <c r="M2016" s="3"/>
    </row>
    <row r="2017" spans="1:13" s="4" customFormat="1" ht="51" x14ac:dyDescent="0.25">
      <c r="A2017" s="4" t="s">
        <v>3375</v>
      </c>
      <c r="B2017" s="4" t="s">
        <v>183</v>
      </c>
      <c r="C2017" s="37" t="s">
        <v>2650</v>
      </c>
      <c r="D2017" s="35">
        <v>9047</v>
      </c>
      <c r="E2017" s="4" t="s">
        <v>3376</v>
      </c>
      <c r="F2017" s="5">
        <v>40743</v>
      </c>
      <c r="G2017" s="5">
        <v>41639</v>
      </c>
      <c r="H2017" s="4" t="s">
        <v>40</v>
      </c>
      <c r="I2017" s="6">
        <v>39000</v>
      </c>
      <c r="J2017" s="6">
        <v>32000</v>
      </c>
      <c r="K2017" s="37" t="s">
        <v>2650</v>
      </c>
      <c r="L2017" s="120"/>
      <c r="M2017" s="3"/>
    </row>
    <row r="2018" spans="1:13" s="4" customFormat="1" ht="38.25" x14ac:dyDescent="0.25">
      <c r="A2018" s="4" t="s">
        <v>3377</v>
      </c>
      <c r="B2018" s="4" t="s">
        <v>183</v>
      </c>
      <c r="C2018" s="37" t="s">
        <v>2650</v>
      </c>
      <c r="D2018" s="35">
        <v>9048</v>
      </c>
      <c r="E2018" s="4" t="s">
        <v>3378</v>
      </c>
      <c r="F2018" s="5">
        <v>40379</v>
      </c>
      <c r="G2018" s="5">
        <v>41639</v>
      </c>
      <c r="H2018" s="4" t="s">
        <v>40</v>
      </c>
      <c r="I2018" s="6">
        <v>3750</v>
      </c>
      <c r="J2018" s="6">
        <v>3750</v>
      </c>
      <c r="K2018" s="37" t="s">
        <v>2650</v>
      </c>
      <c r="L2018" s="120"/>
      <c r="M2018" s="3"/>
    </row>
    <row r="2019" spans="1:13" s="4" customFormat="1" ht="51" x14ac:dyDescent="0.25">
      <c r="A2019" s="4" t="s">
        <v>3379</v>
      </c>
      <c r="B2019" s="4" t="s">
        <v>90</v>
      </c>
      <c r="C2019" s="37" t="s">
        <v>2650</v>
      </c>
      <c r="D2019" s="35">
        <v>9049</v>
      </c>
      <c r="E2019" s="4" t="s">
        <v>3380</v>
      </c>
      <c r="F2019" s="5">
        <v>40708</v>
      </c>
      <c r="G2019" s="5">
        <v>41639</v>
      </c>
      <c r="H2019" s="4" t="s">
        <v>40</v>
      </c>
      <c r="I2019" s="6">
        <v>10000</v>
      </c>
      <c r="J2019" s="6">
        <v>5000</v>
      </c>
      <c r="K2019" s="37" t="s">
        <v>2650</v>
      </c>
      <c r="L2019" s="120"/>
      <c r="M2019" s="3"/>
    </row>
    <row r="2020" spans="1:13" s="4" customFormat="1" ht="25.5" x14ac:dyDescent="0.25">
      <c r="A2020" s="4" t="s">
        <v>3381</v>
      </c>
      <c r="B2020" s="4" t="s">
        <v>183</v>
      </c>
      <c r="C2020" s="37" t="s">
        <v>2650</v>
      </c>
      <c r="D2020" s="35">
        <v>9051</v>
      </c>
      <c r="E2020" s="4" t="s">
        <v>3382</v>
      </c>
      <c r="F2020" s="5">
        <v>40344</v>
      </c>
      <c r="G2020" s="5">
        <v>41639</v>
      </c>
      <c r="H2020" s="4" t="s">
        <v>40</v>
      </c>
      <c r="I2020" s="6">
        <v>3750</v>
      </c>
      <c r="J2020" s="6">
        <v>3750</v>
      </c>
      <c r="K2020" s="37" t="s">
        <v>2650</v>
      </c>
      <c r="L2020" s="120"/>
      <c r="M2020" s="3"/>
    </row>
    <row r="2021" spans="1:13" s="4" customFormat="1" ht="51" x14ac:dyDescent="0.25">
      <c r="A2021" s="4" t="s">
        <v>3383</v>
      </c>
      <c r="B2021" s="4" t="s">
        <v>183</v>
      </c>
      <c r="C2021" s="37" t="s">
        <v>2650</v>
      </c>
      <c r="D2021" s="35">
        <v>9052</v>
      </c>
      <c r="E2021" s="4" t="s">
        <v>3384</v>
      </c>
      <c r="F2021" s="5">
        <v>40645</v>
      </c>
      <c r="G2021" s="5">
        <v>41639</v>
      </c>
      <c r="H2021" s="4" t="s">
        <v>40</v>
      </c>
      <c r="I2021" s="6">
        <v>20674.22</v>
      </c>
      <c r="J2021" s="6">
        <v>17837.11</v>
      </c>
      <c r="K2021" s="37" t="s">
        <v>2650</v>
      </c>
      <c r="L2021" s="120"/>
      <c r="M2021" s="3"/>
    </row>
    <row r="2022" spans="1:13" s="4" customFormat="1" ht="38.25" x14ac:dyDescent="0.25">
      <c r="A2022" s="4" t="s">
        <v>3385</v>
      </c>
      <c r="B2022" s="4" t="s">
        <v>190</v>
      </c>
      <c r="C2022" s="37" t="s">
        <v>2650</v>
      </c>
      <c r="D2022" s="35">
        <v>9053</v>
      </c>
      <c r="E2022" s="4" t="s">
        <v>3386</v>
      </c>
      <c r="F2022" s="5">
        <v>40379</v>
      </c>
      <c r="G2022" s="5">
        <v>41639</v>
      </c>
      <c r="H2022" s="4" t="s">
        <v>40</v>
      </c>
      <c r="I2022" s="6">
        <v>5000</v>
      </c>
      <c r="J2022" s="6">
        <v>5000</v>
      </c>
      <c r="K2022" s="37" t="s">
        <v>2650</v>
      </c>
      <c r="L2022" s="120"/>
      <c r="M2022" s="3"/>
    </row>
    <row r="2023" spans="1:13" s="4" customFormat="1" ht="51" x14ac:dyDescent="0.25">
      <c r="A2023" s="4" t="s">
        <v>3387</v>
      </c>
      <c r="B2023" s="4" t="s">
        <v>183</v>
      </c>
      <c r="C2023" s="37" t="s">
        <v>2650</v>
      </c>
      <c r="D2023" s="35">
        <v>9054</v>
      </c>
      <c r="E2023" s="4" t="s">
        <v>3388</v>
      </c>
      <c r="F2023" s="5">
        <v>40883</v>
      </c>
      <c r="G2023" s="5">
        <v>41639</v>
      </c>
      <c r="H2023" s="4" t="s">
        <v>40</v>
      </c>
      <c r="I2023" s="6">
        <v>37500</v>
      </c>
      <c r="J2023" s="6">
        <v>37500</v>
      </c>
      <c r="K2023" s="37" t="s">
        <v>2650</v>
      </c>
      <c r="L2023" s="120"/>
      <c r="M2023" s="3"/>
    </row>
    <row r="2024" spans="1:13" s="4" customFormat="1" ht="63.75" x14ac:dyDescent="0.25">
      <c r="A2024" s="4" t="s">
        <v>3389</v>
      </c>
      <c r="B2024" s="4" t="s">
        <v>183</v>
      </c>
      <c r="C2024" s="37" t="s">
        <v>2650</v>
      </c>
      <c r="D2024" s="35">
        <v>9055</v>
      </c>
      <c r="E2024" s="4" t="s">
        <v>3390</v>
      </c>
      <c r="F2024" s="5">
        <v>40743</v>
      </c>
      <c r="G2024" s="5">
        <v>40908</v>
      </c>
      <c r="H2024" s="4" t="s">
        <v>40</v>
      </c>
      <c r="I2024" s="6">
        <v>30281.599999999999</v>
      </c>
      <c r="J2024" s="6">
        <v>22640.799999999999</v>
      </c>
      <c r="K2024" s="37" t="s">
        <v>2650</v>
      </c>
      <c r="L2024" s="120"/>
      <c r="M2024" s="3"/>
    </row>
    <row r="2025" spans="1:13" s="4" customFormat="1" ht="51" x14ac:dyDescent="0.25">
      <c r="A2025" s="4" t="s">
        <v>3391</v>
      </c>
      <c r="B2025" s="4" t="s">
        <v>183</v>
      </c>
      <c r="C2025" s="37" t="s">
        <v>2650</v>
      </c>
      <c r="D2025" s="35">
        <v>9056</v>
      </c>
      <c r="E2025" s="4" t="s">
        <v>3392</v>
      </c>
      <c r="F2025" s="5">
        <v>40743</v>
      </c>
      <c r="G2025" s="5">
        <v>41639</v>
      </c>
      <c r="H2025" s="4" t="s">
        <v>40</v>
      </c>
      <c r="I2025" s="6">
        <v>7500</v>
      </c>
      <c r="J2025" s="6">
        <v>7500</v>
      </c>
      <c r="K2025" s="37" t="s">
        <v>2650</v>
      </c>
      <c r="L2025" s="120"/>
      <c r="M2025" s="3"/>
    </row>
    <row r="2026" spans="1:13" s="4" customFormat="1" ht="51" x14ac:dyDescent="0.25">
      <c r="A2026" s="4" t="s">
        <v>3393</v>
      </c>
      <c r="B2026" s="4" t="s">
        <v>190</v>
      </c>
      <c r="C2026" s="37" t="s">
        <v>2650</v>
      </c>
      <c r="D2026" s="35">
        <v>9057</v>
      </c>
      <c r="E2026" s="4" t="s">
        <v>3394</v>
      </c>
      <c r="F2026" s="5">
        <v>40862</v>
      </c>
      <c r="G2026" s="5">
        <v>41639</v>
      </c>
      <c r="H2026" s="4" t="s">
        <v>40</v>
      </c>
      <c r="I2026" s="6">
        <v>11550.68</v>
      </c>
      <c r="J2026" s="6">
        <v>9525.34</v>
      </c>
      <c r="K2026" s="37" t="s">
        <v>2650</v>
      </c>
      <c r="L2026" s="120"/>
      <c r="M2026" s="3"/>
    </row>
    <row r="2027" spans="1:13" s="4" customFormat="1" ht="38.25" x14ac:dyDescent="0.25">
      <c r="A2027" s="4" t="s">
        <v>3395</v>
      </c>
      <c r="B2027" s="4" t="s">
        <v>90</v>
      </c>
      <c r="C2027" s="37" t="s">
        <v>2650</v>
      </c>
      <c r="D2027" s="35">
        <v>9058</v>
      </c>
      <c r="E2027" s="4" t="s">
        <v>3396</v>
      </c>
      <c r="F2027" s="5">
        <v>40498</v>
      </c>
      <c r="G2027" s="5">
        <v>41639</v>
      </c>
      <c r="H2027" s="4" t="s">
        <v>40</v>
      </c>
      <c r="I2027" s="6">
        <v>1270.8</v>
      </c>
      <c r="J2027" s="6">
        <v>635.4</v>
      </c>
      <c r="K2027" s="37" t="s">
        <v>2650</v>
      </c>
      <c r="L2027" s="120"/>
      <c r="M2027" s="3"/>
    </row>
    <row r="2028" spans="1:13" s="4" customFormat="1" ht="51" x14ac:dyDescent="0.25">
      <c r="A2028" s="4" t="s">
        <v>3397</v>
      </c>
      <c r="B2028" s="4" t="s">
        <v>183</v>
      </c>
      <c r="C2028" s="37" t="s">
        <v>2650</v>
      </c>
      <c r="D2028" s="35">
        <v>9059</v>
      </c>
      <c r="E2028" s="4" t="s">
        <v>3398</v>
      </c>
      <c r="F2028" s="5">
        <v>40743</v>
      </c>
      <c r="G2028" s="5">
        <v>41639</v>
      </c>
      <c r="H2028" s="4" t="s">
        <v>40</v>
      </c>
      <c r="I2028" s="6">
        <v>15000</v>
      </c>
      <c r="J2028" s="6">
        <v>15000</v>
      </c>
      <c r="K2028" s="37" t="s">
        <v>2650</v>
      </c>
      <c r="L2028" s="120"/>
      <c r="M2028" s="3"/>
    </row>
    <row r="2029" spans="1:13" s="4" customFormat="1" ht="38.25" x14ac:dyDescent="0.25">
      <c r="A2029" s="4" t="s">
        <v>3399</v>
      </c>
      <c r="B2029" s="4" t="s">
        <v>90</v>
      </c>
      <c r="C2029" s="37" t="s">
        <v>2650</v>
      </c>
      <c r="D2029" s="35">
        <v>9060</v>
      </c>
      <c r="E2029" s="4" t="s">
        <v>3400</v>
      </c>
      <c r="F2029" s="5">
        <v>40435</v>
      </c>
      <c r="G2029" s="5">
        <v>41639</v>
      </c>
      <c r="H2029" s="4" t="s">
        <v>40</v>
      </c>
      <c r="I2029" s="6">
        <v>3986</v>
      </c>
      <c r="J2029" s="6">
        <v>1993</v>
      </c>
      <c r="K2029" s="37" t="s">
        <v>2650</v>
      </c>
      <c r="L2029" s="120"/>
      <c r="M2029" s="3"/>
    </row>
    <row r="2030" spans="1:13" s="4" customFormat="1" ht="51" x14ac:dyDescent="0.25">
      <c r="A2030" s="4" t="s">
        <v>3401</v>
      </c>
      <c r="B2030" s="4" t="s">
        <v>183</v>
      </c>
      <c r="C2030" s="37" t="s">
        <v>2650</v>
      </c>
      <c r="D2030" s="35">
        <v>9061</v>
      </c>
      <c r="E2030" s="4" t="s">
        <v>3402</v>
      </c>
      <c r="F2030" s="5">
        <v>40498</v>
      </c>
      <c r="G2030" s="5">
        <v>41639</v>
      </c>
      <c r="H2030" s="4" t="s">
        <v>40</v>
      </c>
      <c r="I2030" s="6">
        <v>11000</v>
      </c>
      <c r="J2030" s="6">
        <v>5500</v>
      </c>
      <c r="K2030" s="37" t="s">
        <v>2650</v>
      </c>
      <c r="L2030" s="120"/>
      <c r="M2030" s="3"/>
    </row>
    <row r="2031" spans="1:13" s="4" customFormat="1" ht="51" x14ac:dyDescent="0.25">
      <c r="A2031" s="4" t="s">
        <v>3405</v>
      </c>
      <c r="B2031" s="4" t="s">
        <v>183</v>
      </c>
      <c r="C2031" s="37" t="s">
        <v>2650</v>
      </c>
      <c r="D2031" s="35">
        <v>9063</v>
      </c>
      <c r="E2031" s="4" t="s">
        <v>3406</v>
      </c>
      <c r="F2031" s="5">
        <v>40470</v>
      </c>
      <c r="G2031" s="5">
        <v>41639</v>
      </c>
      <c r="H2031" s="4" t="s">
        <v>40</v>
      </c>
      <c r="I2031" s="6">
        <v>16250</v>
      </c>
      <c r="J2031" s="6">
        <v>13750</v>
      </c>
      <c r="K2031" s="37" t="s">
        <v>2650</v>
      </c>
      <c r="L2031" s="120"/>
      <c r="M2031" s="3"/>
    </row>
    <row r="2032" spans="1:13" s="4" customFormat="1" ht="38.25" x14ac:dyDescent="0.25">
      <c r="A2032" s="4" t="s">
        <v>3409</v>
      </c>
      <c r="B2032" s="4" t="s">
        <v>183</v>
      </c>
      <c r="C2032" s="37" t="s">
        <v>2650</v>
      </c>
      <c r="D2032" s="35">
        <v>9065</v>
      </c>
      <c r="E2032" s="4" t="s">
        <v>3410</v>
      </c>
      <c r="F2032" s="5">
        <v>40344</v>
      </c>
      <c r="G2032" s="5">
        <v>41639</v>
      </c>
      <c r="H2032" s="4" t="s">
        <v>40</v>
      </c>
      <c r="I2032" s="6">
        <v>2500</v>
      </c>
      <c r="J2032" s="6">
        <v>2500</v>
      </c>
      <c r="K2032" s="37" t="s">
        <v>2650</v>
      </c>
      <c r="L2032" s="120"/>
      <c r="M2032" s="3"/>
    </row>
    <row r="2033" spans="1:13" s="4" customFormat="1" ht="51" x14ac:dyDescent="0.25">
      <c r="A2033" s="4" t="s">
        <v>3411</v>
      </c>
      <c r="B2033" s="4" t="s">
        <v>190</v>
      </c>
      <c r="C2033" s="37" t="s">
        <v>2650</v>
      </c>
      <c r="D2033" s="35">
        <v>9066</v>
      </c>
      <c r="E2033" s="4" t="s">
        <v>3412</v>
      </c>
      <c r="F2033" s="5">
        <v>40862</v>
      </c>
      <c r="G2033" s="5">
        <v>41639</v>
      </c>
      <c r="H2033" s="4" t="s">
        <v>40</v>
      </c>
      <c r="I2033" s="6">
        <v>83750</v>
      </c>
      <c r="J2033" s="6">
        <v>43750</v>
      </c>
      <c r="K2033" s="37" t="s">
        <v>2650</v>
      </c>
      <c r="L2033" s="120"/>
      <c r="M2033" s="3"/>
    </row>
    <row r="2034" spans="1:13" s="4" customFormat="1" ht="51" x14ac:dyDescent="0.25">
      <c r="A2034" s="4" t="s">
        <v>3413</v>
      </c>
      <c r="B2034" s="4" t="s">
        <v>190</v>
      </c>
      <c r="C2034" s="37" t="s">
        <v>2650</v>
      </c>
      <c r="D2034" s="35">
        <v>9067</v>
      </c>
      <c r="E2034" s="4" t="s">
        <v>3414</v>
      </c>
      <c r="F2034" s="5">
        <v>40862</v>
      </c>
      <c r="G2034" s="5">
        <v>41639</v>
      </c>
      <c r="H2034" s="4" t="s">
        <v>40</v>
      </c>
      <c r="I2034" s="6">
        <v>15000</v>
      </c>
      <c r="J2034" s="6">
        <v>15000</v>
      </c>
      <c r="K2034" s="37" t="s">
        <v>2650</v>
      </c>
      <c r="L2034" s="120"/>
      <c r="M2034" s="3"/>
    </row>
    <row r="2035" spans="1:13" s="4" customFormat="1" ht="51" x14ac:dyDescent="0.25">
      <c r="A2035" s="4" t="s">
        <v>3415</v>
      </c>
      <c r="B2035" s="4" t="s">
        <v>190</v>
      </c>
      <c r="C2035" s="37" t="s">
        <v>2650</v>
      </c>
      <c r="D2035" s="35">
        <v>9069</v>
      </c>
      <c r="E2035" s="4" t="s">
        <v>3416</v>
      </c>
      <c r="F2035" s="5">
        <v>40862</v>
      </c>
      <c r="G2035" s="5">
        <v>41639</v>
      </c>
      <c r="H2035" s="4" t="s">
        <v>40</v>
      </c>
      <c r="I2035" s="6">
        <v>13000</v>
      </c>
      <c r="J2035" s="6">
        <v>10250</v>
      </c>
      <c r="K2035" s="37" t="s">
        <v>2650</v>
      </c>
      <c r="L2035" s="120"/>
      <c r="M2035" s="3"/>
    </row>
    <row r="2036" spans="1:13" s="4" customFormat="1" ht="38.25" x14ac:dyDescent="0.25">
      <c r="A2036" s="4" t="s">
        <v>3417</v>
      </c>
      <c r="B2036" s="4" t="s">
        <v>90</v>
      </c>
      <c r="C2036" s="37" t="s">
        <v>2650</v>
      </c>
      <c r="D2036" s="35">
        <v>9070</v>
      </c>
      <c r="E2036" s="4" t="s">
        <v>3418</v>
      </c>
      <c r="F2036" s="5">
        <v>40708</v>
      </c>
      <c r="G2036" s="5">
        <v>41639</v>
      </c>
      <c r="H2036" s="4" t="s">
        <v>40</v>
      </c>
      <c r="I2036" s="6">
        <v>5000</v>
      </c>
      <c r="J2036" s="6">
        <v>2500</v>
      </c>
      <c r="K2036" s="37" t="s">
        <v>2650</v>
      </c>
      <c r="L2036" s="120"/>
      <c r="M2036" s="3"/>
    </row>
    <row r="2037" spans="1:13" s="4" customFormat="1" ht="51" x14ac:dyDescent="0.25">
      <c r="A2037" s="4" t="s">
        <v>3419</v>
      </c>
      <c r="B2037" s="4" t="s">
        <v>183</v>
      </c>
      <c r="C2037" s="37" t="s">
        <v>2650</v>
      </c>
      <c r="D2037" s="35">
        <v>9071</v>
      </c>
      <c r="E2037" s="4" t="s">
        <v>3420</v>
      </c>
      <c r="F2037" s="5">
        <v>40470</v>
      </c>
      <c r="G2037" s="5">
        <v>41639</v>
      </c>
      <c r="H2037" s="4" t="s">
        <v>40</v>
      </c>
      <c r="I2037" s="6">
        <v>11250</v>
      </c>
      <c r="J2037" s="6">
        <v>11250</v>
      </c>
      <c r="K2037" s="37" t="s">
        <v>2650</v>
      </c>
      <c r="L2037" s="120"/>
      <c r="M2037" s="3"/>
    </row>
    <row r="2038" spans="1:13" s="4" customFormat="1" ht="38.25" x14ac:dyDescent="0.25">
      <c r="A2038" s="4" t="s">
        <v>3421</v>
      </c>
      <c r="B2038" s="4" t="s">
        <v>90</v>
      </c>
      <c r="C2038" s="37" t="s">
        <v>2650</v>
      </c>
      <c r="D2038" s="35">
        <v>9072</v>
      </c>
      <c r="E2038" s="4" t="s">
        <v>3422</v>
      </c>
      <c r="F2038" s="5">
        <v>40883</v>
      </c>
      <c r="G2038" s="5">
        <v>41639</v>
      </c>
      <c r="H2038" s="4" t="s">
        <v>40</v>
      </c>
      <c r="I2038" s="6">
        <v>10000</v>
      </c>
      <c r="J2038" s="6">
        <v>5000</v>
      </c>
      <c r="K2038" s="37" t="s">
        <v>2650</v>
      </c>
      <c r="L2038" s="120"/>
      <c r="M2038" s="3"/>
    </row>
    <row r="2039" spans="1:13" s="4" customFormat="1" ht="38.25" x14ac:dyDescent="0.25">
      <c r="A2039" s="4" t="s">
        <v>3425</v>
      </c>
      <c r="B2039" s="4" t="s">
        <v>183</v>
      </c>
      <c r="C2039" s="37" t="s">
        <v>2650</v>
      </c>
      <c r="D2039" s="35">
        <v>9076</v>
      </c>
      <c r="E2039" s="4" t="s">
        <v>3426</v>
      </c>
      <c r="F2039" s="5">
        <v>40520</v>
      </c>
      <c r="G2039" s="5">
        <v>41639</v>
      </c>
      <c r="H2039" s="4" t="s">
        <v>40</v>
      </c>
      <c r="I2039" s="6">
        <v>10000</v>
      </c>
      <c r="J2039" s="6">
        <v>10000</v>
      </c>
      <c r="K2039" s="37" t="s">
        <v>2650</v>
      </c>
      <c r="L2039" s="120"/>
      <c r="M2039" s="3"/>
    </row>
    <row r="2040" spans="1:13" s="4" customFormat="1" ht="63.75" x14ac:dyDescent="0.25">
      <c r="A2040" s="4" t="s">
        <v>3429</v>
      </c>
      <c r="B2040" s="4" t="s">
        <v>183</v>
      </c>
      <c r="C2040" s="37" t="s">
        <v>2650</v>
      </c>
      <c r="D2040" s="35">
        <v>9097</v>
      </c>
      <c r="E2040" s="4" t="s">
        <v>3430</v>
      </c>
      <c r="F2040" s="5">
        <v>40799</v>
      </c>
      <c r="G2040" s="5">
        <v>41639</v>
      </c>
      <c r="H2040" s="4" t="s">
        <v>40</v>
      </c>
      <c r="I2040" s="6">
        <v>7500</v>
      </c>
      <c r="J2040" s="6">
        <v>7500</v>
      </c>
      <c r="K2040" s="37" t="s">
        <v>2650</v>
      </c>
      <c r="L2040" s="120"/>
      <c r="M2040" s="3"/>
    </row>
    <row r="2041" spans="1:13" s="4" customFormat="1" ht="51" x14ac:dyDescent="0.25">
      <c r="A2041" s="4" t="s">
        <v>3431</v>
      </c>
      <c r="B2041" s="4" t="s">
        <v>190</v>
      </c>
      <c r="C2041" s="37" t="s">
        <v>2650</v>
      </c>
      <c r="D2041" s="35">
        <v>9101</v>
      </c>
      <c r="E2041" s="4" t="s">
        <v>3432</v>
      </c>
      <c r="F2041" s="5">
        <v>40520</v>
      </c>
      <c r="G2041" s="5">
        <v>41639</v>
      </c>
      <c r="H2041" s="4" t="s">
        <v>40</v>
      </c>
      <c r="I2041" s="6">
        <v>7500</v>
      </c>
      <c r="J2041" s="6">
        <v>5000</v>
      </c>
      <c r="K2041" s="37" t="s">
        <v>2650</v>
      </c>
      <c r="L2041" s="120"/>
      <c r="M2041" s="3"/>
    </row>
    <row r="2042" spans="1:13" s="4" customFormat="1" ht="38.25" x14ac:dyDescent="0.25">
      <c r="A2042" s="4" t="s">
        <v>3433</v>
      </c>
      <c r="B2042" s="4" t="s">
        <v>90</v>
      </c>
      <c r="C2042" s="37" t="s">
        <v>2650</v>
      </c>
      <c r="D2042" s="35">
        <v>9104</v>
      </c>
      <c r="E2042" s="4" t="s">
        <v>3434</v>
      </c>
      <c r="F2042" s="5">
        <v>40799</v>
      </c>
      <c r="G2042" s="5">
        <v>41639</v>
      </c>
      <c r="H2042" s="4" t="s">
        <v>40</v>
      </c>
      <c r="I2042" s="6">
        <v>6000</v>
      </c>
      <c r="J2042" s="6">
        <v>3000</v>
      </c>
      <c r="K2042" s="37" t="s">
        <v>2650</v>
      </c>
      <c r="L2042" s="120"/>
      <c r="M2042" s="3"/>
    </row>
    <row r="2043" spans="1:13" s="4" customFormat="1" ht="38.25" x14ac:dyDescent="0.25">
      <c r="A2043" s="4" t="s">
        <v>3435</v>
      </c>
      <c r="B2043" s="4" t="s">
        <v>183</v>
      </c>
      <c r="C2043" s="37" t="s">
        <v>2650</v>
      </c>
      <c r="D2043" s="35">
        <v>9106</v>
      </c>
      <c r="E2043" s="4" t="s">
        <v>3436</v>
      </c>
      <c r="F2043" s="5">
        <v>40520</v>
      </c>
      <c r="G2043" s="5">
        <v>41639</v>
      </c>
      <c r="H2043" s="4" t="s">
        <v>40</v>
      </c>
      <c r="I2043" s="6">
        <v>4687.5</v>
      </c>
      <c r="J2043" s="6">
        <v>3750</v>
      </c>
      <c r="K2043" s="37" t="s">
        <v>2650</v>
      </c>
      <c r="L2043" s="120"/>
      <c r="M2043" s="3"/>
    </row>
    <row r="2044" spans="1:13" s="4" customFormat="1" ht="51" x14ac:dyDescent="0.25">
      <c r="A2044" s="4" t="s">
        <v>3437</v>
      </c>
      <c r="B2044" s="4" t="s">
        <v>90</v>
      </c>
      <c r="C2044" s="37" t="s">
        <v>2650</v>
      </c>
      <c r="D2044" s="35">
        <v>9109</v>
      </c>
      <c r="E2044" s="4" t="s">
        <v>3438</v>
      </c>
      <c r="F2044" s="5">
        <v>40862</v>
      </c>
      <c r="G2044" s="5">
        <v>41639</v>
      </c>
      <c r="H2044" s="4" t="s">
        <v>40</v>
      </c>
      <c r="I2044" s="6">
        <v>15000</v>
      </c>
      <c r="J2044" s="6">
        <v>7500</v>
      </c>
      <c r="K2044" s="37" t="s">
        <v>2650</v>
      </c>
      <c r="L2044" s="120"/>
      <c r="M2044" s="3"/>
    </row>
    <row r="2045" spans="1:13" s="4" customFormat="1" ht="38.25" x14ac:dyDescent="0.25">
      <c r="A2045" s="4" t="s">
        <v>3441</v>
      </c>
      <c r="B2045" s="4" t="s">
        <v>183</v>
      </c>
      <c r="C2045" s="37" t="s">
        <v>2650</v>
      </c>
      <c r="D2045" s="35">
        <v>9113</v>
      </c>
      <c r="E2045" s="4" t="s">
        <v>3442</v>
      </c>
      <c r="F2045" s="5">
        <v>40520</v>
      </c>
      <c r="G2045" s="5">
        <v>41639</v>
      </c>
      <c r="H2045" s="4" t="s">
        <v>40</v>
      </c>
      <c r="I2045" s="6">
        <v>5000</v>
      </c>
      <c r="J2045" s="6">
        <v>5000</v>
      </c>
      <c r="K2045" s="37" t="s">
        <v>2650</v>
      </c>
      <c r="L2045" s="120"/>
      <c r="M2045" s="3"/>
    </row>
    <row r="2046" spans="1:13" s="4" customFormat="1" ht="51" x14ac:dyDescent="0.25">
      <c r="A2046" s="4" t="s">
        <v>3443</v>
      </c>
      <c r="B2046" s="4" t="s">
        <v>183</v>
      </c>
      <c r="C2046" s="37" t="s">
        <v>2650</v>
      </c>
      <c r="D2046" s="35">
        <v>9116</v>
      </c>
      <c r="E2046" s="4" t="s">
        <v>3444</v>
      </c>
      <c r="F2046" s="5">
        <v>40799</v>
      </c>
      <c r="G2046" s="5">
        <v>41639</v>
      </c>
      <c r="H2046" s="4" t="s">
        <v>40</v>
      </c>
      <c r="I2046" s="6">
        <v>25000</v>
      </c>
      <c r="J2046" s="6">
        <v>20000</v>
      </c>
      <c r="K2046" s="37" t="s">
        <v>2650</v>
      </c>
      <c r="L2046" s="120"/>
      <c r="M2046" s="3"/>
    </row>
    <row r="2047" spans="1:13" s="4" customFormat="1" ht="51" x14ac:dyDescent="0.25">
      <c r="A2047" s="4" t="s">
        <v>3445</v>
      </c>
      <c r="B2047" s="4" t="s">
        <v>183</v>
      </c>
      <c r="C2047" s="37" t="s">
        <v>2650</v>
      </c>
      <c r="D2047" s="35">
        <v>9117</v>
      </c>
      <c r="E2047" s="4" t="s">
        <v>3446</v>
      </c>
      <c r="F2047" s="5">
        <v>40708</v>
      </c>
      <c r="G2047" s="5">
        <v>41639</v>
      </c>
      <c r="H2047" s="4" t="s">
        <v>40</v>
      </c>
      <c r="I2047" s="6">
        <v>18560.8</v>
      </c>
      <c r="J2047" s="6">
        <v>9280.4</v>
      </c>
      <c r="K2047" s="37" t="s">
        <v>2650</v>
      </c>
      <c r="L2047" s="120"/>
      <c r="M2047" s="3"/>
    </row>
    <row r="2048" spans="1:13" s="4" customFormat="1" ht="51" x14ac:dyDescent="0.25">
      <c r="A2048" s="4" t="s">
        <v>3447</v>
      </c>
      <c r="B2048" s="4" t="s">
        <v>190</v>
      </c>
      <c r="C2048" s="37" t="s">
        <v>2650</v>
      </c>
      <c r="D2048" s="35">
        <v>9120</v>
      </c>
      <c r="E2048" s="4" t="s">
        <v>3448</v>
      </c>
      <c r="F2048" s="5">
        <v>40862</v>
      </c>
      <c r="G2048" s="5">
        <v>41274</v>
      </c>
      <c r="H2048" s="4" t="s">
        <v>40</v>
      </c>
      <c r="I2048" s="6">
        <v>52500</v>
      </c>
      <c r="J2048" s="6">
        <v>30000</v>
      </c>
      <c r="K2048" s="37" t="s">
        <v>2650</v>
      </c>
      <c r="L2048" s="120"/>
      <c r="M2048" s="3"/>
    </row>
    <row r="2049" spans="1:13" s="4" customFormat="1" ht="38.25" x14ac:dyDescent="0.25">
      <c r="A2049" s="4" t="s">
        <v>3449</v>
      </c>
      <c r="B2049" s="4" t="s">
        <v>190</v>
      </c>
      <c r="C2049" s="37" t="s">
        <v>2650</v>
      </c>
      <c r="D2049" s="35">
        <v>9121</v>
      </c>
      <c r="E2049" s="4" t="s">
        <v>3450</v>
      </c>
      <c r="F2049" s="5">
        <v>40708</v>
      </c>
      <c r="G2049" s="5">
        <v>41639</v>
      </c>
      <c r="H2049" s="4" t="s">
        <v>40</v>
      </c>
      <c r="I2049" s="6">
        <v>7500</v>
      </c>
      <c r="J2049" s="6">
        <v>7500</v>
      </c>
      <c r="K2049" s="37" t="s">
        <v>2650</v>
      </c>
      <c r="L2049" s="120"/>
      <c r="M2049" s="3"/>
    </row>
    <row r="2050" spans="1:13" s="4" customFormat="1" ht="51" x14ac:dyDescent="0.25">
      <c r="A2050" s="4" t="s">
        <v>3451</v>
      </c>
      <c r="B2050" s="4" t="s">
        <v>90</v>
      </c>
      <c r="C2050" s="37" t="s">
        <v>2650</v>
      </c>
      <c r="D2050" s="35">
        <v>9123</v>
      </c>
      <c r="E2050" s="4" t="s">
        <v>3452</v>
      </c>
      <c r="F2050" s="5">
        <v>40799</v>
      </c>
      <c r="G2050" s="5">
        <v>41639</v>
      </c>
      <c r="H2050" s="4" t="s">
        <v>40</v>
      </c>
      <c r="I2050" s="6">
        <v>8000</v>
      </c>
      <c r="J2050" s="6">
        <v>4000</v>
      </c>
      <c r="K2050" s="37" t="s">
        <v>2650</v>
      </c>
      <c r="L2050" s="120"/>
      <c r="M2050" s="3"/>
    </row>
    <row r="2051" spans="1:13" s="4" customFormat="1" ht="51" x14ac:dyDescent="0.25">
      <c r="A2051" s="4" t="s">
        <v>3453</v>
      </c>
      <c r="B2051" s="4" t="s">
        <v>183</v>
      </c>
      <c r="C2051" s="37" t="s">
        <v>2650</v>
      </c>
      <c r="D2051" s="35">
        <v>9126</v>
      </c>
      <c r="E2051" s="4" t="s">
        <v>3454</v>
      </c>
      <c r="F2051" s="5">
        <v>40708</v>
      </c>
      <c r="G2051" s="5">
        <v>41274</v>
      </c>
      <c r="H2051" s="4" t="s">
        <v>40</v>
      </c>
      <c r="I2051" s="6">
        <v>15000</v>
      </c>
      <c r="J2051" s="6">
        <v>15000</v>
      </c>
      <c r="K2051" s="37" t="s">
        <v>2650</v>
      </c>
      <c r="L2051" s="120"/>
      <c r="M2051" s="3"/>
    </row>
    <row r="2052" spans="1:13" s="4" customFormat="1" ht="38.25" x14ac:dyDescent="0.25">
      <c r="A2052" s="4" t="s">
        <v>3455</v>
      </c>
      <c r="B2052" s="4" t="s">
        <v>190</v>
      </c>
      <c r="C2052" s="37" t="s">
        <v>2650</v>
      </c>
      <c r="D2052" s="35">
        <v>9127</v>
      </c>
      <c r="E2052" s="4" t="s">
        <v>3456</v>
      </c>
      <c r="F2052" s="5">
        <v>40862</v>
      </c>
      <c r="G2052" s="5">
        <v>41274</v>
      </c>
      <c r="H2052" s="4" t="s">
        <v>40</v>
      </c>
      <c r="I2052" s="6">
        <v>15500</v>
      </c>
      <c r="J2052" s="6">
        <v>11500</v>
      </c>
      <c r="K2052" s="37" t="s">
        <v>2650</v>
      </c>
      <c r="L2052" s="120"/>
      <c r="M2052" s="3"/>
    </row>
    <row r="2053" spans="1:13" s="4" customFormat="1" ht="51" x14ac:dyDescent="0.25">
      <c r="A2053" s="4" t="s">
        <v>3457</v>
      </c>
      <c r="B2053" s="4" t="s">
        <v>190</v>
      </c>
      <c r="C2053" s="37" t="s">
        <v>2650</v>
      </c>
      <c r="D2053" s="35">
        <v>9128</v>
      </c>
      <c r="E2053" s="4" t="s">
        <v>3458</v>
      </c>
      <c r="F2053" s="5">
        <v>40576</v>
      </c>
      <c r="G2053" s="5">
        <v>41639</v>
      </c>
      <c r="H2053" s="4" t="s">
        <v>40</v>
      </c>
      <c r="I2053" s="6">
        <v>7500</v>
      </c>
      <c r="J2053" s="6">
        <v>7500</v>
      </c>
      <c r="K2053" s="37" t="s">
        <v>2650</v>
      </c>
      <c r="L2053" s="120"/>
      <c r="M2053" s="3"/>
    </row>
    <row r="2054" spans="1:13" s="4" customFormat="1" ht="63.75" x14ac:dyDescent="0.25">
      <c r="A2054" s="4" t="s">
        <v>3463</v>
      </c>
      <c r="B2054" s="4" t="s">
        <v>90</v>
      </c>
      <c r="C2054" s="37" t="s">
        <v>2650</v>
      </c>
      <c r="D2054" s="35">
        <v>9135</v>
      </c>
      <c r="E2054" s="4" t="s">
        <v>3464</v>
      </c>
      <c r="F2054" s="5">
        <v>40379</v>
      </c>
      <c r="G2054" s="5">
        <v>41639</v>
      </c>
      <c r="H2054" s="4" t="s">
        <v>40</v>
      </c>
      <c r="I2054" s="6">
        <v>6611.56</v>
      </c>
      <c r="J2054" s="6">
        <v>3305.78</v>
      </c>
      <c r="K2054" s="37" t="s">
        <v>2650</v>
      </c>
      <c r="L2054" s="120"/>
      <c r="M2054" s="3"/>
    </row>
    <row r="2055" spans="1:13" s="4" customFormat="1" ht="63.75" x14ac:dyDescent="0.25">
      <c r="A2055" s="4" t="s">
        <v>3465</v>
      </c>
      <c r="B2055" s="4" t="s">
        <v>183</v>
      </c>
      <c r="C2055" s="37" t="s">
        <v>2650</v>
      </c>
      <c r="D2055" s="35">
        <v>9137</v>
      </c>
      <c r="E2055" s="4" t="s">
        <v>3466</v>
      </c>
      <c r="F2055" s="5">
        <v>40435</v>
      </c>
      <c r="G2055" s="5">
        <v>41639</v>
      </c>
      <c r="H2055" s="4" t="s">
        <v>40</v>
      </c>
      <c r="I2055" s="6">
        <v>25000</v>
      </c>
      <c r="J2055" s="6">
        <v>12500</v>
      </c>
      <c r="K2055" s="37" t="s">
        <v>2650</v>
      </c>
      <c r="L2055" s="120"/>
      <c r="M2055" s="3"/>
    </row>
    <row r="2056" spans="1:13" s="4" customFormat="1" ht="38.25" x14ac:dyDescent="0.25">
      <c r="A2056" s="4" t="s">
        <v>3469</v>
      </c>
      <c r="B2056" s="4" t="s">
        <v>183</v>
      </c>
      <c r="C2056" s="37" t="s">
        <v>2650</v>
      </c>
      <c r="D2056" s="35">
        <v>10449</v>
      </c>
      <c r="E2056" s="4" t="s">
        <v>3470</v>
      </c>
      <c r="F2056" s="5">
        <v>41163</v>
      </c>
      <c r="G2056" s="5">
        <v>41639</v>
      </c>
      <c r="H2056" s="4" t="s">
        <v>40</v>
      </c>
      <c r="I2056" s="6">
        <v>7500</v>
      </c>
      <c r="J2056" s="6">
        <v>7500</v>
      </c>
      <c r="K2056" s="37" t="s">
        <v>2650</v>
      </c>
      <c r="L2056" s="120"/>
      <c r="M2056" s="3"/>
    </row>
    <row r="2057" spans="1:13" s="4" customFormat="1" ht="38.25" x14ac:dyDescent="0.25">
      <c r="A2057" s="4" t="s">
        <v>3471</v>
      </c>
      <c r="B2057" s="4" t="s">
        <v>183</v>
      </c>
      <c r="C2057" s="37" t="s">
        <v>2650</v>
      </c>
      <c r="D2057" s="35">
        <v>10450</v>
      </c>
      <c r="E2057" s="4" t="s">
        <v>3472</v>
      </c>
      <c r="F2057" s="5">
        <v>40990</v>
      </c>
      <c r="G2057" s="5">
        <v>41274</v>
      </c>
      <c r="H2057" s="4" t="s">
        <v>40</v>
      </c>
      <c r="I2057" s="6">
        <v>18750</v>
      </c>
      <c r="J2057" s="6">
        <v>18750</v>
      </c>
      <c r="K2057" s="37" t="s">
        <v>2650</v>
      </c>
      <c r="L2057" s="120"/>
      <c r="M2057" s="3"/>
    </row>
    <row r="2058" spans="1:13" s="4" customFormat="1" ht="38.25" x14ac:dyDescent="0.25">
      <c r="A2058" s="4" t="s">
        <v>3473</v>
      </c>
      <c r="B2058" s="4" t="s">
        <v>90</v>
      </c>
      <c r="C2058" s="37" t="s">
        <v>2650</v>
      </c>
      <c r="D2058" s="35">
        <v>10451</v>
      </c>
      <c r="E2058" s="4" t="s">
        <v>3474</v>
      </c>
      <c r="F2058" s="5">
        <v>41030</v>
      </c>
      <c r="G2058" s="5">
        <v>41274</v>
      </c>
      <c r="H2058" s="4" t="s">
        <v>40</v>
      </c>
      <c r="I2058" s="6">
        <v>4893.3</v>
      </c>
      <c r="J2058" s="6">
        <v>2446.65</v>
      </c>
      <c r="K2058" s="37" t="s">
        <v>2650</v>
      </c>
      <c r="L2058" s="120"/>
      <c r="M2058" s="3"/>
    </row>
    <row r="2059" spans="1:13" s="4" customFormat="1" ht="38.25" x14ac:dyDescent="0.25">
      <c r="A2059" s="4" t="s">
        <v>3475</v>
      </c>
      <c r="B2059" s="4" t="s">
        <v>183</v>
      </c>
      <c r="C2059" s="37" t="s">
        <v>2650</v>
      </c>
      <c r="D2059" s="35">
        <v>10452</v>
      </c>
      <c r="E2059" s="4" t="s">
        <v>3476</v>
      </c>
      <c r="F2059" s="5">
        <v>41114</v>
      </c>
      <c r="G2059" s="5">
        <v>41639</v>
      </c>
      <c r="H2059" s="4" t="s">
        <v>40</v>
      </c>
      <c r="I2059" s="6">
        <v>9500</v>
      </c>
      <c r="J2059" s="6">
        <f>3750+4750</f>
        <v>8500</v>
      </c>
      <c r="K2059" s="37" t="s">
        <v>2650</v>
      </c>
      <c r="L2059" s="120"/>
      <c r="M2059" s="3"/>
    </row>
    <row r="2060" spans="1:13" s="4" customFormat="1" ht="38.25" x14ac:dyDescent="0.25">
      <c r="A2060" s="4" t="s">
        <v>3477</v>
      </c>
      <c r="B2060" s="4" t="s">
        <v>183</v>
      </c>
      <c r="C2060" s="37" t="s">
        <v>2650</v>
      </c>
      <c r="D2060" s="35">
        <v>10453</v>
      </c>
      <c r="E2060" s="4" t="s">
        <v>3478</v>
      </c>
      <c r="F2060" s="5">
        <v>40708</v>
      </c>
      <c r="G2060" s="5">
        <v>41274</v>
      </c>
      <c r="H2060" s="4" t="s">
        <v>40</v>
      </c>
      <c r="I2060" s="6">
        <v>3750</v>
      </c>
      <c r="J2060" s="6">
        <v>3750</v>
      </c>
      <c r="K2060" s="37" t="s">
        <v>2650</v>
      </c>
      <c r="L2060" s="120"/>
      <c r="M2060" s="3"/>
    </row>
    <row r="2061" spans="1:13" s="4" customFormat="1" ht="51" x14ac:dyDescent="0.25">
      <c r="A2061" s="4" t="s">
        <v>3481</v>
      </c>
      <c r="B2061" s="4" t="s">
        <v>90</v>
      </c>
      <c r="C2061" s="37" t="s">
        <v>2650</v>
      </c>
      <c r="D2061" s="35">
        <v>10670</v>
      </c>
      <c r="E2061" s="4" t="s">
        <v>3482</v>
      </c>
      <c r="F2061" s="5">
        <v>40799</v>
      </c>
      <c r="G2061" s="5">
        <v>41274</v>
      </c>
      <c r="H2061" s="4" t="s">
        <v>40</v>
      </c>
      <c r="I2061" s="6">
        <v>3056.88</v>
      </c>
      <c r="J2061" s="6">
        <v>1528.44</v>
      </c>
      <c r="K2061" s="37" t="s">
        <v>2650</v>
      </c>
      <c r="L2061" s="120"/>
      <c r="M2061" s="3"/>
    </row>
    <row r="2062" spans="1:13" s="4" customFormat="1" ht="38.25" x14ac:dyDescent="0.25">
      <c r="A2062" s="4" t="s">
        <v>3483</v>
      </c>
      <c r="B2062" s="4" t="s">
        <v>183</v>
      </c>
      <c r="C2062" s="37" t="s">
        <v>2650</v>
      </c>
      <c r="D2062" s="35">
        <v>10671</v>
      </c>
      <c r="E2062" s="4" t="s">
        <v>3484</v>
      </c>
      <c r="F2062" s="5">
        <v>41163</v>
      </c>
      <c r="G2062" s="5">
        <v>41274</v>
      </c>
      <c r="H2062" s="4" t="s">
        <v>40</v>
      </c>
      <c r="I2062" s="6">
        <v>87028.44</v>
      </c>
      <c r="J2062" s="6">
        <v>58514.22</v>
      </c>
      <c r="K2062" s="37" t="s">
        <v>2650</v>
      </c>
      <c r="L2062" s="120"/>
      <c r="M2062" s="3"/>
    </row>
    <row r="2063" spans="1:13" s="4" customFormat="1" ht="51" x14ac:dyDescent="0.25">
      <c r="A2063" s="4" t="s">
        <v>3485</v>
      </c>
      <c r="B2063" s="4" t="s">
        <v>90</v>
      </c>
      <c r="C2063" s="37" t="s">
        <v>2650</v>
      </c>
      <c r="D2063" s="35">
        <v>10672</v>
      </c>
      <c r="E2063" s="4" t="s">
        <v>3486</v>
      </c>
      <c r="F2063" s="5">
        <v>41030</v>
      </c>
      <c r="G2063" s="5">
        <v>41274</v>
      </c>
      <c r="H2063" s="4" t="s">
        <v>40</v>
      </c>
      <c r="I2063" s="6">
        <v>6000</v>
      </c>
      <c r="J2063" s="6">
        <v>3000</v>
      </c>
      <c r="K2063" s="37" t="s">
        <v>2650</v>
      </c>
      <c r="L2063" s="120"/>
      <c r="M2063" s="3"/>
    </row>
    <row r="2064" spans="1:13" s="4" customFormat="1" ht="38.25" x14ac:dyDescent="0.25">
      <c r="A2064" s="4" t="s">
        <v>3487</v>
      </c>
      <c r="B2064" s="4" t="s">
        <v>183</v>
      </c>
      <c r="C2064" s="37" t="s">
        <v>2650</v>
      </c>
      <c r="D2064" s="35">
        <v>10673</v>
      </c>
      <c r="E2064" s="4" t="s">
        <v>3488</v>
      </c>
      <c r="F2064" s="5">
        <v>41072</v>
      </c>
      <c r="G2064" s="5">
        <v>41639</v>
      </c>
      <c r="H2064" s="4" t="s">
        <v>40</v>
      </c>
      <c r="I2064" s="6">
        <v>15000</v>
      </c>
      <c r="J2064" s="6">
        <f>7500+7500</f>
        <v>15000</v>
      </c>
      <c r="K2064" s="37" t="s">
        <v>2650</v>
      </c>
      <c r="L2064" s="120"/>
      <c r="M2064" s="3"/>
    </row>
    <row r="2065" spans="1:13" s="4" customFormat="1" ht="89.25" x14ac:dyDescent="0.25">
      <c r="A2065" s="4" t="s">
        <v>3489</v>
      </c>
      <c r="B2065" s="4" t="s">
        <v>183</v>
      </c>
      <c r="C2065" s="37" t="s">
        <v>2650</v>
      </c>
      <c r="D2065" s="35">
        <v>10674</v>
      </c>
      <c r="E2065" s="7" t="s">
        <v>3490</v>
      </c>
      <c r="F2065" s="5">
        <v>40862</v>
      </c>
      <c r="G2065" s="5">
        <v>41274</v>
      </c>
      <c r="H2065" s="4" t="s">
        <v>40</v>
      </c>
      <c r="I2065" s="6">
        <v>12398</v>
      </c>
      <c r="J2065" s="6">
        <v>6199</v>
      </c>
      <c r="K2065" s="37" t="s">
        <v>2650</v>
      </c>
      <c r="L2065" s="120"/>
      <c r="M2065" s="3"/>
    </row>
    <row r="2066" spans="1:13" s="4" customFormat="1" ht="25.5" x14ac:dyDescent="0.25">
      <c r="A2066" s="4" t="s">
        <v>3493</v>
      </c>
      <c r="B2066" s="4" t="s">
        <v>190</v>
      </c>
      <c r="C2066" s="37" t="s">
        <v>2650</v>
      </c>
      <c r="D2066" s="35">
        <v>10678</v>
      </c>
      <c r="E2066" s="4" t="s">
        <v>3494</v>
      </c>
      <c r="F2066" s="5">
        <v>41247</v>
      </c>
      <c r="G2066" s="5">
        <v>41274</v>
      </c>
      <c r="H2066" s="4" t="s">
        <v>40</v>
      </c>
      <c r="I2066" s="6">
        <v>15000</v>
      </c>
      <c r="J2066" s="6">
        <v>15000</v>
      </c>
      <c r="K2066" s="37" t="s">
        <v>2650</v>
      </c>
      <c r="L2066" s="120"/>
      <c r="M2066" s="3"/>
    </row>
    <row r="2067" spans="1:13" s="4" customFormat="1" ht="63.75" x14ac:dyDescent="0.25">
      <c r="A2067" s="4" t="s">
        <v>3495</v>
      </c>
      <c r="B2067" s="4" t="s">
        <v>90</v>
      </c>
      <c r="C2067" s="37" t="s">
        <v>2650</v>
      </c>
      <c r="D2067" s="35">
        <v>10679</v>
      </c>
      <c r="E2067" s="4" t="s">
        <v>3496</v>
      </c>
      <c r="F2067" s="5">
        <v>40990</v>
      </c>
      <c r="G2067" s="5">
        <v>41274</v>
      </c>
      <c r="H2067" s="4" t="s">
        <v>40</v>
      </c>
      <c r="I2067" s="6">
        <v>15000</v>
      </c>
      <c r="J2067" s="6">
        <v>7500</v>
      </c>
      <c r="K2067" s="37" t="s">
        <v>2650</v>
      </c>
      <c r="L2067" s="120"/>
      <c r="M2067" s="3"/>
    </row>
    <row r="2068" spans="1:13" s="4" customFormat="1" ht="38.25" x14ac:dyDescent="0.25">
      <c r="A2068" s="4" t="s">
        <v>3497</v>
      </c>
      <c r="B2068" s="4" t="s">
        <v>90</v>
      </c>
      <c r="C2068" s="37" t="s">
        <v>2650</v>
      </c>
      <c r="D2068" s="35">
        <v>10680</v>
      </c>
      <c r="E2068" s="4" t="s">
        <v>3498</v>
      </c>
      <c r="F2068" s="5">
        <v>41030</v>
      </c>
      <c r="G2068" s="5">
        <v>41274</v>
      </c>
      <c r="H2068" s="4" t="s">
        <v>40</v>
      </c>
      <c r="I2068" s="6">
        <v>4135</v>
      </c>
      <c r="J2068" s="6">
        <v>2067.5</v>
      </c>
      <c r="K2068" s="37" t="s">
        <v>2650</v>
      </c>
      <c r="L2068" s="120"/>
      <c r="M2068" s="3"/>
    </row>
    <row r="2069" spans="1:13" s="4" customFormat="1" ht="38.25" x14ac:dyDescent="0.25">
      <c r="A2069" s="4" t="s">
        <v>3499</v>
      </c>
      <c r="B2069" s="4" t="s">
        <v>183</v>
      </c>
      <c r="C2069" s="37" t="s">
        <v>2650</v>
      </c>
      <c r="D2069" s="35">
        <v>10681</v>
      </c>
      <c r="E2069" s="4" t="s">
        <v>3500</v>
      </c>
      <c r="F2069" s="5">
        <v>40946</v>
      </c>
      <c r="G2069" s="5">
        <v>41274</v>
      </c>
      <c r="H2069" s="4" t="s">
        <v>40</v>
      </c>
      <c r="I2069" s="6">
        <v>3750</v>
      </c>
      <c r="J2069" s="6">
        <v>3750</v>
      </c>
      <c r="K2069" s="37" t="s">
        <v>2650</v>
      </c>
      <c r="L2069" s="120"/>
      <c r="M2069" s="3"/>
    </row>
    <row r="2070" spans="1:13" s="4" customFormat="1" ht="51" x14ac:dyDescent="0.25">
      <c r="A2070" s="4" t="s">
        <v>3501</v>
      </c>
      <c r="B2070" s="4" t="s">
        <v>90</v>
      </c>
      <c r="C2070" s="37" t="s">
        <v>2650</v>
      </c>
      <c r="D2070" s="35">
        <v>10682</v>
      </c>
      <c r="E2070" s="4" t="s">
        <v>3502</v>
      </c>
      <c r="F2070" s="5">
        <v>41030</v>
      </c>
      <c r="G2070" s="5">
        <v>41274</v>
      </c>
      <c r="H2070" s="4" t="s">
        <v>40</v>
      </c>
      <c r="I2070" s="6">
        <v>9821</v>
      </c>
      <c r="J2070" s="6">
        <v>4910.5</v>
      </c>
      <c r="K2070" s="37" t="s">
        <v>2650</v>
      </c>
      <c r="L2070" s="120"/>
      <c r="M2070" s="3"/>
    </row>
    <row r="2071" spans="1:13" s="4" customFormat="1" ht="51" x14ac:dyDescent="0.25">
      <c r="A2071" s="4" t="s">
        <v>3503</v>
      </c>
      <c r="B2071" s="4" t="s">
        <v>183</v>
      </c>
      <c r="C2071" s="37" t="s">
        <v>2650</v>
      </c>
      <c r="D2071" s="35">
        <v>10683</v>
      </c>
      <c r="E2071" s="4" t="s">
        <v>3504</v>
      </c>
      <c r="F2071" s="5">
        <v>41072</v>
      </c>
      <c r="G2071" s="5">
        <v>41274</v>
      </c>
      <c r="H2071" s="4" t="s">
        <v>40</v>
      </c>
      <c r="I2071" s="6">
        <v>31250</v>
      </c>
      <c r="J2071" s="6">
        <v>21250</v>
      </c>
      <c r="K2071" s="37" t="s">
        <v>2650</v>
      </c>
      <c r="L2071" s="120"/>
      <c r="M2071" s="3"/>
    </row>
    <row r="2072" spans="1:13" s="4" customFormat="1" ht="38.25" x14ac:dyDescent="0.25">
      <c r="A2072" s="4" t="s">
        <v>3505</v>
      </c>
      <c r="B2072" s="4" t="s">
        <v>183</v>
      </c>
      <c r="C2072" s="37" t="s">
        <v>2650</v>
      </c>
      <c r="D2072" s="35">
        <v>10684</v>
      </c>
      <c r="E2072" s="4" t="s">
        <v>3506</v>
      </c>
      <c r="F2072" s="5">
        <v>40743</v>
      </c>
      <c r="G2072" s="5">
        <v>41274</v>
      </c>
      <c r="H2072" s="4" t="s">
        <v>40</v>
      </c>
      <c r="I2072" s="6">
        <v>3750</v>
      </c>
      <c r="J2072" s="6">
        <v>3750</v>
      </c>
      <c r="K2072" s="37" t="s">
        <v>2650</v>
      </c>
      <c r="L2072" s="120"/>
      <c r="M2072" s="3"/>
    </row>
    <row r="2073" spans="1:13" s="4" customFormat="1" ht="25.5" x14ac:dyDescent="0.25">
      <c r="A2073" s="4" t="s">
        <v>3507</v>
      </c>
      <c r="B2073" s="4" t="s">
        <v>90</v>
      </c>
      <c r="C2073" s="37" t="s">
        <v>2650</v>
      </c>
      <c r="D2073" s="35">
        <v>10687</v>
      </c>
      <c r="E2073" s="4" t="s">
        <v>3508</v>
      </c>
      <c r="F2073" s="5">
        <v>40946</v>
      </c>
      <c r="G2073" s="5">
        <v>41274</v>
      </c>
      <c r="H2073" s="4" t="s">
        <v>40</v>
      </c>
      <c r="I2073" s="6">
        <v>12452.9</v>
      </c>
      <c r="J2073" s="6">
        <v>6226.44</v>
      </c>
      <c r="K2073" s="37" t="s">
        <v>2650</v>
      </c>
      <c r="L2073" s="120"/>
      <c r="M2073" s="3"/>
    </row>
    <row r="2074" spans="1:13" s="4" customFormat="1" ht="38.25" x14ac:dyDescent="0.25">
      <c r="A2074" s="4" t="s">
        <v>3509</v>
      </c>
      <c r="B2074" s="4" t="s">
        <v>90</v>
      </c>
      <c r="C2074" s="37" t="s">
        <v>2650</v>
      </c>
      <c r="D2074" s="35">
        <v>10688</v>
      </c>
      <c r="E2074" s="4" t="s">
        <v>3510</v>
      </c>
      <c r="F2074" s="5">
        <v>41072</v>
      </c>
      <c r="G2074" s="5">
        <v>41274</v>
      </c>
      <c r="H2074" s="4" t="s">
        <v>40</v>
      </c>
      <c r="I2074" s="6">
        <v>4000</v>
      </c>
      <c r="J2074" s="6">
        <v>2000</v>
      </c>
      <c r="K2074" s="37" t="s">
        <v>2650</v>
      </c>
      <c r="L2074" s="120"/>
      <c r="M2074" s="3"/>
    </row>
    <row r="2075" spans="1:13" s="4" customFormat="1" ht="25.5" x14ac:dyDescent="0.25">
      <c r="A2075" s="4" t="s">
        <v>3511</v>
      </c>
      <c r="B2075" s="4" t="s">
        <v>90</v>
      </c>
      <c r="C2075" s="37" t="s">
        <v>2650</v>
      </c>
      <c r="D2075" s="35">
        <v>10689</v>
      </c>
      <c r="E2075" s="4" t="s">
        <v>3512</v>
      </c>
      <c r="F2075" s="5">
        <v>40862</v>
      </c>
      <c r="G2075" s="5">
        <v>41274</v>
      </c>
      <c r="H2075" s="4" t="s">
        <v>40</v>
      </c>
      <c r="I2075" s="6">
        <v>9547.5</v>
      </c>
      <c r="J2075" s="6">
        <v>4784</v>
      </c>
      <c r="K2075" s="37" t="s">
        <v>2650</v>
      </c>
      <c r="L2075" s="120"/>
      <c r="M2075" s="3"/>
    </row>
    <row r="2076" spans="1:13" s="4" customFormat="1" ht="38.25" x14ac:dyDescent="0.25">
      <c r="A2076" s="4" t="s">
        <v>3513</v>
      </c>
      <c r="B2076" s="4" t="s">
        <v>183</v>
      </c>
      <c r="C2076" s="37" t="s">
        <v>2650</v>
      </c>
      <c r="D2076" s="35">
        <v>10693</v>
      </c>
      <c r="E2076" s="4" t="s">
        <v>3514</v>
      </c>
      <c r="F2076" s="5">
        <v>40883</v>
      </c>
      <c r="G2076" s="5">
        <v>41274</v>
      </c>
      <c r="H2076" s="4" t="s">
        <v>40</v>
      </c>
      <c r="I2076" s="6">
        <v>42500</v>
      </c>
      <c r="J2076" s="6">
        <v>32500</v>
      </c>
      <c r="K2076" s="37" t="s">
        <v>2650</v>
      </c>
      <c r="L2076" s="120"/>
      <c r="M2076" s="3"/>
    </row>
    <row r="2077" spans="1:13" s="4" customFormat="1" ht="51" x14ac:dyDescent="0.25">
      <c r="A2077" s="4" t="s">
        <v>3515</v>
      </c>
      <c r="B2077" s="4" t="s">
        <v>190</v>
      </c>
      <c r="C2077" s="37" t="s">
        <v>2650</v>
      </c>
      <c r="D2077" s="35">
        <v>10694</v>
      </c>
      <c r="E2077" s="4" t="s">
        <v>3516</v>
      </c>
      <c r="F2077" s="5">
        <v>40743</v>
      </c>
      <c r="G2077" s="5">
        <v>41274</v>
      </c>
      <c r="H2077" s="4" t="s">
        <v>40</v>
      </c>
      <c r="I2077" s="6">
        <v>3750</v>
      </c>
      <c r="J2077" s="6">
        <v>3750</v>
      </c>
      <c r="K2077" s="37" t="s">
        <v>2650</v>
      </c>
      <c r="L2077" s="120"/>
      <c r="M2077" s="3"/>
    </row>
    <row r="2078" spans="1:13" s="4" customFormat="1" ht="25.5" x14ac:dyDescent="0.25">
      <c r="A2078" s="4" t="s">
        <v>3517</v>
      </c>
      <c r="B2078" s="4" t="s">
        <v>90</v>
      </c>
      <c r="C2078" s="37" t="s">
        <v>2650</v>
      </c>
      <c r="D2078" s="35">
        <v>10713</v>
      </c>
      <c r="E2078" s="4" t="s">
        <v>3518</v>
      </c>
      <c r="F2078" s="5">
        <v>41030</v>
      </c>
      <c r="G2078" s="5">
        <v>41274</v>
      </c>
      <c r="H2078" s="4" t="s">
        <v>40</v>
      </c>
      <c r="I2078" s="6">
        <v>7168.2</v>
      </c>
      <c r="J2078" s="6">
        <v>3584.1</v>
      </c>
      <c r="K2078" s="37" t="s">
        <v>2650</v>
      </c>
      <c r="L2078" s="120"/>
      <c r="M2078" s="3"/>
    </row>
    <row r="2079" spans="1:13" s="4" customFormat="1" ht="25.5" x14ac:dyDescent="0.25">
      <c r="A2079" s="4" t="s">
        <v>3519</v>
      </c>
      <c r="B2079" s="4" t="s">
        <v>190</v>
      </c>
      <c r="C2079" s="37" t="s">
        <v>2650</v>
      </c>
      <c r="D2079" s="35">
        <v>10718</v>
      </c>
      <c r="E2079" s="4" t="s">
        <v>3520</v>
      </c>
      <c r="F2079" s="5">
        <v>41114</v>
      </c>
      <c r="G2079" s="5">
        <v>41639</v>
      </c>
      <c r="H2079" s="4" t="s">
        <v>40</v>
      </c>
      <c r="I2079" s="6">
        <v>15000</v>
      </c>
      <c r="J2079" s="6">
        <f>7500+7500</f>
        <v>15000</v>
      </c>
      <c r="K2079" s="37" t="s">
        <v>2650</v>
      </c>
      <c r="L2079" s="120"/>
      <c r="M2079" s="3"/>
    </row>
    <row r="2080" spans="1:13" s="4" customFormat="1" ht="51" x14ac:dyDescent="0.25">
      <c r="A2080" s="4" t="s">
        <v>3521</v>
      </c>
      <c r="B2080" s="4" t="s">
        <v>183</v>
      </c>
      <c r="C2080" s="37" t="s">
        <v>2650</v>
      </c>
      <c r="D2080" s="35">
        <v>10719</v>
      </c>
      <c r="E2080" s="4" t="s">
        <v>3522</v>
      </c>
      <c r="F2080" s="5">
        <v>41072</v>
      </c>
      <c r="G2080" s="5">
        <v>41639</v>
      </c>
      <c r="H2080" s="4" t="s">
        <v>40</v>
      </c>
      <c r="I2080" s="6">
        <v>19000</v>
      </c>
      <c r="J2080" s="6">
        <f>15930.5+1069.5</f>
        <v>17000</v>
      </c>
      <c r="K2080" s="37" t="s">
        <v>2650</v>
      </c>
      <c r="L2080" s="120"/>
      <c r="M2080" s="3"/>
    </row>
    <row r="2081" spans="1:13" s="4" customFormat="1" ht="76.5" x14ac:dyDescent="0.25">
      <c r="A2081" s="4" t="s">
        <v>3523</v>
      </c>
      <c r="B2081" s="4" t="s">
        <v>90</v>
      </c>
      <c r="C2081" s="37" t="s">
        <v>2650</v>
      </c>
      <c r="D2081" s="35">
        <v>10721</v>
      </c>
      <c r="E2081" s="4" t="s">
        <v>3524</v>
      </c>
      <c r="F2081" s="5">
        <v>41163</v>
      </c>
      <c r="G2081" s="5">
        <v>41274</v>
      </c>
      <c r="H2081" s="4" t="s">
        <v>40</v>
      </c>
      <c r="I2081" s="6">
        <v>30000</v>
      </c>
      <c r="J2081" s="6">
        <v>15000</v>
      </c>
      <c r="K2081" s="37" t="s">
        <v>2650</v>
      </c>
      <c r="L2081" s="120"/>
      <c r="M2081" s="3"/>
    </row>
    <row r="2082" spans="1:13" s="4" customFormat="1" ht="38.25" x14ac:dyDescent="0.25">
      <c r="A2082" s="4" t="s">
        <v>3525</v>
      </c>
      <c r="B2082" s="4" t="s">
        <v>90</v>
      </c>
      <c r="C2082" s="37" t="s">
        <v>2650</v>
      </c>
      <c r="D2082" s="35">
        <v>10746</v>
      </c>
      <c r="E2082" s="4" t="s">
        <v>3526</v>
      </c>
      <c r="F2082" s="5">
        <v>40946</v>
      </c>
      <c r="G2082" s="5">
        <v>41274</v>
      </c>
      <c r="H2082" s="4" t="s">
        <v>40</v>
      </c>
      <c r="I2082" s="6">
        <v>8000</v>
      </c>
      <c r="J2082" s="6">
        <v>4000</v>
      </c>
      <c r="K2082" s="37" t="s">
        <v>2650</v>
      </c>
      <c r="L2082" s="120"/>
      <c r="M2082" s="3"/>
    </row>
    <row r="2083" spans="1:13" s="4" customFormat="1" ht="51" x14ac:dyDescent="0.25">
      <c r="A2083" s="4" t="s">
        <v>3527</v>
      </c>
      <c r="B2083" s="4" t="s">
        <v>183</v>
      </c>
      <c r="C2083" s="37" t="s">
        <v>2650</v>
      </c>
      <c r="D2083" s="35">
        <v>10747</v>
      </c>
      <c r="E2083" s="4" t="s">
        <v>3528</v>
      </c>
      <c r="F2083" s="5">
        <v>41030</v>
      </c>
      <c r="G2083" s="5">
        <v>41274</v>
      </c>
      <c r="H2083" s="4" t="s">
        <v>40</v>
      </c>
      <c r="I2083" s="6">
        <v>61250</v>
      </c>
      <c r="J2083" s="6">
        <v>40000</v>
      </c>
      <c r="K2083" s="37" t="s">
        <v>2650</v>
      </c>
      <c r="L2083" s="120"/>
      <c r="M2083" s="3"/>
    </row>
    <row r="2084" spans="1:13" s="4" customFormat="1" ht="63.75" x14ac:dyDescent="0.25">
      <c r="A2084" s="4" t="s">
        <v>3529</v>
      </c>
      <c r="B2084" s="4" t="s">
        <v>183</v>
      </c>
      <c r="C2084" s="37" t="s">
        <v>2650</v>
      </c>
      <c r="D2084" s="35">
        <v>10748</v>
      </c>
      <c r="E2084" s="4" t="s">
        <v>3530</v>
      </c>
      <c r="F2084" s="5">
        <v>41072</v>
      </c>
      <c r="G2084" s="5">
        <v>41639</v>
      </c>
      <c r="H2084" s="4" t="s">
        <v>40</v>
      </c>
      <c r="I2084" s="6">
        <v>29522.3</v>
      </c>
      <c r="J2084" s="6">
        <f>9750+10636.15</f>
        <v>20386.150000000001</v>
      </c>
      <c r="K2084" s="37" t="s">
        <v>2650</v>
      </c>
      <c r="L2084" s="120"/>
      <c r="M2084" s="3"/>
    </row>
    <row r="2085" spans="1:13" s="4" customFormat="1" ht="38.25" x14ac:dyDescent="0.25">
      <c r="A2085" s="4" t="s">
        <v>3533</v>
      </c>
      <c r="B2085" s="4" t="s">
        <v>183</v>
      </c>
      <c r="C2085" s="37" t="s">
        <v>2650</v>
      </c>
      <c r="D2085" s="35">
        <v>10750</v>
      </c>
      <c r="E2085" s="4" t="s">
        <v>3534</v>
      </c>
      <c r="F2085" s="5">
        <v>41030</v>
      </c>
      <c r="G2085" s="5">
        <v>41274</v>
      </c>
      <c r="H2085" s="4" t="s">
        <v>40</v>
      </c>
      <c r="I2085" s="6">
        <v>3750</v>
      </c>
      <c r="J2085" s="6">
        <v>3750</v>
      </c>
      <c r="K2085" s="37" t="s">
        <v>2650</v>
      </c>
      <c r="L2085" s="120"/>
      <c r="M2085" s="3"/>
    </row>
    <row r="2086" spans="1:13" s="4" customFormat="1" ht="25.5" x14ac:dyDescent="0.25">
      <c r="A2086" s="4" t="s">
        <v>3535</v>
      </c>
      <c r="B2086" s="4" t="s">
        <v>183</v>
      </c>
      <c r="C2086" s="37" t="s">
        <v>2650</v>
      </c>
      <c r="D2086" s="35">
        <v>10751</v>
      </c>
      <c r="E2086" s="4" t="s">
        <v>3536</v>
      </c>
      <c r="F2086" s="5">
        <v>41072</v>
      </c>
      <c r="G2086" s="5">
        <v>41639</v>
      </c>
      <c r="H2086" s="4" t="s">
        <v>40</v>
      </c>
      <c r="I2086" s="6">
        <v>7500</v>
      </c>
      <c r="J2086" s="6">
        <f>3750+3750</f>
        <v>7500</v>
      </c>
      <c r="K2086" s="37" t="s">
        <v>2650</v>
      </c>
      <c r="L2086" s="120"/>
      <c r="M2086" s="3"/>
    </row>
    <row r="2087" spans="1:13" s="4" customFormat="1" ht="25.5" x14ac:dyDescent="0.25">
      <c r="A2087" s="4" t="s">
        <v>3537</v>
      </c>
      <c r="B2087" s="4" t="s">
        <v>183</v>
      </c>
      <c r="C2087" s="37" t="s">
        <v>2650</v>
      </c>
      <c r="D2087" s="35">
        <v>10753</v>
      </c>
      <c r="E2087" s="4" t="s">
        <v>3538</v>
      </c>
      <c r="F2087" s="5">
        <v>41030</v>
      </c>
      <c r="G2087" s="5">
        <v>41639</v>
      </c>
      <c r="H2087" s="4" t="s">
        <v>40</v>
      </c>
      <c r="I2087" s="6">
        <v>7500</v>
      </c>
      <c r="J2087" s="6">
        <f>3750+3750</f>
        <v>7500</v>
      </c>
      <c r="K2087" s="37" t="s">
        <v>2650</v>
      </c>
      <c r="L2087" s="120"/>
      <c r="M2087" s="3"/>
    </row>
    <row r="2088" spans="1:13" s="4" customFormat="1" ht="51" x14ac:dyDescent="0.25">
      <c r="A2088" s="4" t="s">
        <v>3539</v>
      </c>
      <c r="B2088" s="4" t="s">
        <v>90</v>
      </c>
      <c r="C2088" s="37" t="s">
        <v>2650</v>
      </c>
      <c r="D2088" s="35">
        <v>10754</v>
      </c>
      <c r="E2088" s="4" t="s">
        <v>3540</v>
      </c>
      <c r="F2088" s="5">
        <v>40834</v>
      </c>
      <c r="G2088" s="5">
        <v>41274</v>
      </c>
      <c r="H2088" s="4" t="s">
        <v>40</v>
      </c>
      <c r="I2088" s="6">
        <v>15000</v>
      </c>
      <c r="J2088" s="6">
        <v>7500</v>
      </c>
      <c r="K2088" s="37" t="s">
        <v>2650</v>
      </c>
      <c r="L2088" s="120"/>
      <c r="M2088" s="3"/>
    </row>
    <row r="2089" spans="1:13" s="4" customFormat="1" ht="51" x14ac:dyDescent="0.25">
      <c r="A2089" s="4" t="s">
        <v>3541</v>
      </c>
      <c r="B2089" s="4" t="s">
        <v>38</v>
      </c>
      <c r="C2089" s="37" t="s">
        <v>2650</v>
      </c>
      <c r="D2089" s="35">
        <v>10755</v>
      </c>
      <c r="E2089" s="4" t="s">
        <v>3542</v>
      </c>
      <c r="F2089" s="5">
        <v>41226</v>
      </c>
      <c r="G2089" s="5">
        <v>41274</v>
      </c>
      <c r="H2089" s="4" t="s">
        <v>40</v>
      </c>
      <c r="I2089" s="6">
        <v>30000</v>
      </c>
      <c r="J2089" s="6">
        <v>30000</v>
      </c>
      <c r="K2089" s="37" t="s">
        <v>2650</v>
      </c>
      <c r="L2089" s="120"/>
      <c r="M2089" s="3"/>
    </row>
    <row r="2090" spans="1:13" s="4" customFormat="1" ht="25.5" x14ac:dyDescent="0.25">
      <c r="A2090" s="4" t="s">
        <v>3543</v>
      </c>
      <c r="B2090" s="4" t="s">
        <v>183</v>
      </c>
      <c r="C2090" s="37" t="s">
        <v>2650</v>
      </c>
      <c r="D2090" s="35">
        <v>10756</v>
      </c>
      <c r="E2090" s="4" t="s">
        <v>3544</v>
      </c>
      <c r="F2090" s="5">
        <v>41163</v>
      </c>
      <c r="G2090" s="5">
        <v>41274</v>
      </c>
      <c r="H2090" s="4" t="s">
        <v>40</v>
      </c>
      <c r="I2090" s="6">
        <v>8818</v>
      </c>
      <c r="J2090" s="6">
        <v>8159</v>
      </c>
      <c r="K2090" s="37" t="s">
        <v>2650</v>
      </c>
      <c r="L2090" s="120"/>
      <c r="M2090" s="3"/>
    </row>
    <row r="2091" spans="1:13" s="4" customFormat="1" ht="38.25" x14ac:dyDescent="0.25">
      <c r="A2091" s="4" t="s">
        <v>3545</v>
      </c>
      <c r="B2091" s="4" t="s">
        <v>190</v>
      </c>
      <c r="C2091" s="37" t="s">
        <v>2650</v>
      </c>
      <c r="D2091" s="35">
        <v>10757</v>
      </c>
      <c r="E2091" s="4" t="s">
        <v>3546</v>
      </c>
      <c r="F2091" s="5">
        <v>40520</v>
      </c>
      <c r="G2091" s="5">
        <v>41274</v>
      </c>
      <c r="H2091" s="4" t="s">
        <v>40</v>
      </c>
      <c r="I2091" s="6">
        <v>3890</v>
      </c>
      <c r="J2091" s="6">
        <v>3195</v>
      </c>
      <c r="K2091" s="37" t="s">
        <v>2650</v>
      </c>
      <c r="L2091" s="120"/>
      <c r="M2091" s="3"/>
    </row>
    <row r="2092" spans="1:13" s="4" customFormat="1" ht="38.25" x14ac:dyDescent="0.25">
      <c r="A2092" s="4" t="s">
        <v>3547</v>
      </c>
      <c r="B2092" s="4" t="s">
        <v>183</v>
      </c>
      <c r="C2092" s="37" t="s">
        <v>2650</v>
      </c>
      <c r="D2092" s="35">
        <v>10759</v>
      </c>
      <c r="E2092" s="4" t="s">
        <v>3548</v>
      </c>
      <c r="F2092" s="5">
        <v>40862</v>
      </c>
      <c r="G2092" s="5">
        <v>41274</v>
      </c>
      <c r="H2092" s="4" t="s">
        <v>40</v>
      </c>
      <c r="I2092" s="6">
        <v>6271.14</v>
      </c>
      <c r="J2092" s="6">
        <v>3135.57</v>
      </c>
      <c r="K2092" s="37" t="s">
        <v>2650</v>
      </c>
      <c r="L2092" s="120"/>
      <c r="M2092" s="3"/>
    </row>
    <row r="2093" spans="1:13" s="4" customFormat="1" ht="38.25" x14ac:dyDescent="0.25">
      <c r="A2093" s="4" t="s">
        <v>3549</v>
      </c>
      <c r="B2093" s="4" t="s">
        <v>90</v>
      </c>
      <c r="C2093" s="37" t="s">
        <v>2650</v>
      </c>
      <c r="D2093" s="35">
        <v>10760</v>
      </c>
      <c r="E2093" s="4" t="s">
        <v>3550</v>
      </c>
      <c r="F2093" s="5">
        <v>41030</v>
      </c>
      <c r="G2093" s="5">
        <v>41274</v>
      </c>
      <c r="H2093" s="4" t="s">
        <v>40</v>
      </c>
      <c r="I2093" s="6">
        <v>10000</v>
      </c>
      <c r="J2093" s="6">
        <v>5000</v>
      </c>
      <c r="K2093" s="37" t="s">
        <v>2650</v>
      </c>
      <c r="L2093" s="120"/>
      <c r="M2093" s="3"/>
    </row>
    <row r="2094" spans="1:13" s="4" customFormat="1" ht="51" x14ac:dyDescent="0.25">
      <c r="A2094" s="4" t="s">
        <v>3447</v>
      </c>
      <c r="B2094" s="4" t="s">
        <v>190</v>
      </c>
      <c r="C2094" s="37" t="s">
        <v>2650</v>
      </c>
      <c r="D2094" s="35">
        <v>10762</v>
      </c>
      <c r="E2094" s="4" t="s">
        <v>3551</v>
      </c>
      <c r="F2094" s="5">
        <v>41163</v>
      </c>
      <c r="G2094" s="5">
        <v>41639</v>
      </c>
      <c r="H2094" s="4" t="s">
        <v>40</v>
      </c>
      <c r="I2094" s="6">
        <v>11250</v>
      </c>
      <c r="J2094" s="6">
        <f>7500+3750</f>
        <v>11250</v>
      </c>
      <c r="K2094" s="37" t="s">
        <v>2650</v>
      </c>
      <c r="L2094" s="120"/>
      <c r="M2094" s="3"/>
    </row>
    <row r="2095" spans="1:13" s="4" customFormat="1" ht="38.25" x14ac:dyDescent="0.25">
      <c r="A2095" s="4" t="s">
        <v>3552</v>
      </c>
      <c r="B2095" s="4" t="s">
        <v>183</v>
      </c>
      <c r="C2095" s="37" t="s">
        <v>2650</v>
      </c>
      <c r="D2095" s="35">
        <v>10763</v>
      </c>
      <c r="E2095" s="4" t="s">
        <v>3553</v>
      </c>
      <c r="F2095" s="5">
        <v>40883</v>
      </c>
      <c r="G2095" s="5">
        <v>41639</v>
      </c>
      <c r="H2095" s="4" t="s">
        <v>40</v>
      </c>
      <c r="I2095" s="6">
        <v>9000</v>
      </c>
      <c r="J2095" s="6">
        <f>4500+3750</f>
        <v>8250</v>
      </c>
      <c r="K2095" s="37" t="s">
        <v>2650</v>
      </c>
      <c r="L2095" s="120"/>
      <c r="M2095" s="3"/>
    </row>
    <row r="2096" spans="1:13" s="4" customFormat="1" ht="25.5" x14ac:dyDescent="0.25">
      <c r="A2096" s="4" t="s">
        <v>3554</v>
      </c>
      <c r="B2096" s="4" t="s">
        <v>90</v>
      </c>
      <c r="C2096" s="37" t="s">
        <v>2650</v>
      </c>
      <c r="D2096" s="35">
        <v>10764</v>
      </c>
      <c r="E2096" s="4" t="s">
        <v>3555</v>
      </c>
      <c r="F2096" s="5">
        <v>40862</v>
      </c>
      <c r="G2096" s="5">
        <v>41274</v>
      </c>
      <c r="H2096" s="4" t="s">
        <v>40</v>
      </c>
      <c r="I2096" s="6">
        <v>10000</v>
      </c>
      <c r="J2096" s="6">
        <v>5000</v>
      </c>
      <c r="K2096" s="37" t="s">
        <v>2650</v>
      </c>
      <c r="L2096" s="120"/>
      <c r="M2096" s="3"/>
    </row>
    <row r="2097" spans="1:13" s="4" customFormat="1" ht="38.25" x14ac:dyDescent="0.25">
      <c r="A2097" s="4" t="s">
        <v>3558</v>
      </c>
      <c r="B2097" s="4" t="s">
        <v>38</v>
      </c>
      <c r="C2097" s="37" t="s">
        <v>2650</v>
      </c>
      <c r="D2097" s="35">
        <v>10821</v>
      </c>
      <c r="E2097" s="4" t="s">
        <v>3559</v>
      </c>
      <c r="F2097" s="5">
        <v>40909</v>
      </c>
      <c r="G2097" s="5">
        <v>41639</v>
      </c>
      <c r="H2097" s="4" t="s">
        <v>40</v>
      </c>
      <c r="I2097" s="6">
        <v>6415.6</v>
      </c>
      <c r="J2097" s="6">
        <f>1886+4529.6</f>
        <v>6415.6</v>
      </c>
      <c r="K2097" s="37" t="s">
        <v>2650</v>
      </c>
      <c r="L2097" s="120"/>
      <c r="M2097" s="3"/>
    </row>
    <row r="2098" spans="1:13" ht="51" x14ac:dyDescent="0.25">
      <c r="A2098" s="13" t="s">
        <v>10495</v>
      </c>
      <c r="B2098" s="13" t="s">
        <v>10220</v>
      </c>
      <c r="C2098" s="20" t="s">
        <v>2650</v>
      </c>
      <c r="D2098" s="19">
        <v>12486</v>
      </c>
      <c r="E2098" s="13" t="s">
        <v>10496</v>
      </c>
      <c r="F2098" s="14">
        <v>41275</v>
      </c>
      <c r="G2098" s="14">
        <v>41639</v>
      </c>
      <c r="H2098" s="13" t="s">
        <v>651</v>
      </c>
      <c r="I2098" s="18">
        <v>19800</v>
      </c>
      <c r="J2098" s="18">
        <v>9900</v>
      </c>
      <c r="K2098" s="20" t="s">
        <v>2650</v>
      </c>
    </row>
    <row r="2099" spans="1:13" ht="25.5" x14ac:dyDescent="0.25">
      <c r="A2099" s="13" t="s">
        <v>10497</v>
      </c>
      <c r="B2099" s="13" t="s">
        <v>10192</v>
      </c>
      <c r="C2099" s="20" t="s">
        <v>2650</v>
      </c>
      <c r="D2099" s="19">
        <v>12487</v>
      </c>
      <c r="E2099" s="13" t="s">
        <v>10498</v>
      </c>
      <c r="F2099" s="14">
        <v>41275</v>
      </c>
      <c r="G2099" s="14">
        <v>41639</v>
      </c>
      <c r="H2099" s="13" t="s">
        <v>651</v>
      </c>
      <c r="I2099" s="18">
        <v>3750</v>
      </c>
      <c r="J2099" s="18">
        <v>3750</v>
      </c>
      <c r="K2099" s="20" t="s">
        <v>2650</v>
      </c>
    </row>
    <row r="2100" spans="1:13" ht="38.25" x14ac:dyDescent="0.25">
      <c r="A2100" s="13" t="s">
        <v>10499</v>
      </c>
      <c r="B2100" s="13" t="s">
        <v>10192</v>
      </c>
      <c r="C2100" s="20" t="s">
        <v>2650</v>
      </c>
      <c r="D2100" s="19">
        <v>12488</v>
      </c>
      <c r="E2100" s="13" t="s">
        <v>10500</v>
      </c>
      <c r="F2100" s="14">
        <v>41373</v>
      </c>
      <c r="G2100" s="14">
        <v>41639</v>
      </c>
      <c r="H2100" s="13" t="s">
        <v>651</v>
      </c>
      <c r="I2100" s="18">
        <v>11250</v>
      </c>
      <c r="J2100" s="18">
        <v>11250</v>
      </c>
      <c r="K2100" s="20" t="s">
        <v>2650</v>
      </c>
    </row>
    <row r="2101" spans="1:13" ht="89.25" x14ac:dyDescent="0.25">
      <c r="A2101" s="13" t="s">
        <v>10501</v>
      </c>
      <c r="B2101" s="13" t="s">
        <v>10195</v>
      </c>
      <c r="C2101" s="20" t="s">
        <v>2650</v>
      </c>
      <c r="D2101" s="19">
        <v>12489</v>
      </c>
      <c r="E2101" s="13" t="s">
        <v>10502</v>
      </c>
      <c r="F2101" s="14">
        <v>41478</v>
      </c>
      <c r="G2101" s="14">
        <v>41639</v>
      </c>
      <c r="H2101" s="13" t="s">
        <v>651</v>
      </c>
      <c r="I2101" s="18">
        <v>3750</v>
      </c>
      <c r="J2101" s="18">
        <v>3750</v>
      </c>
      <c r="K2101" s="20" t="s">
        <v>2650</v>
      </c>
    </row>
    <row r="2102" spans="1:13" ht="114.75" x14ac:dyDescent="0.25">
      <c r="A2102" s="13" t="s">
        <v>10503</v>
      </c>
      <c r="B2102" s="13" t="s">
        <v>10192</v>
      </c>
      <c r="C2102" s="20" t="s">
        <v>2650</v>
      </c>
      <c r="D2102" s="19">
        <v>12490</v>
      </c>
      <c r="E2102" s="13" t="s">
        <v>10504</v>
      </c>
      <c r="F2102" s="14">
        <v>41373</v>
      </c>
      <c r="G2102" s="14">
        <v>41639</v>
      </c>
      <c r="H2102" s="13" t="s">
        <v>651</v>
      </c>
      <c r="I2102" s="18">
        <v>11250</v>
      </c>
      <c r="J2102" s="18">
        <v>11250</v>
      </c>
      <c r="K2102" s="20" t="s">
        <v>2650</v>
      </c>
    </row>
    <row r="2103" spans="1:13" ht="51" x14ac:dyDescent="0.25">
      <c r="A2103" s="13" t="s">
        <v>10505</v>
      </c>
      <c r="B2103" s="13" t="s">
        <v>10220</v>
      </c>
      <c r="C2103" s="20" t="s">
        <v>2650</v>
      </c>
      <c r="D2103" s="19">
        <v>12492</v>
      </c>
      <c r="E2103" s="13" t="s">
        <v>10506</v>
      </c>
      <c r="F2103" s="14">
        <v>41310</v>
      </c>
      <c r="G2103" s="14">
        <v>41639</v>
      </c>
      <c r="H2103" s="13" t="s">
        <v>651</v>
      </c>
      <c r="I2103" s="18">
        <v>10000</v>
      </c>
      <c r="J2103" s="18">
        <v>5000</v>
      </c>
      <c r="K2103" s="20" t="s">
        <v>2650</v>
      </c>
    </row>
    <row r="2104" spans="1:13" ht="63.75" x14ac:dyDescent="0.25">
      <c r="A2104" s="13" t="s">
        <v>10509</v>
      </c>
      <c r="B2104" s="13" t="s">
        <v>10220</v>
      </c>
      <c r="C2104" s="20" t="s">
        <v>2650</v>
      </c>
      <c r="D2104" s="19">
        <v>12494</v>
      </c>
      <c r="E2104" s="13" t="s">
        <v>10510</v>
      </c>
      <c r="F2104" s="14">
        <v>41275</v>
      </c>
      <c r="G2104" s="14">
        <v>41639</v>
      </c>
      <c r="H2104" s="13" t="s">
        <v>651</v>
      </c>
      <c r="I2104" s="18">
        <v>1200</v>
      </c>
      <c r="J2104" s="18">
        <v>600</v>
      </c>
      <c r="K2104" s="20" t="s">
        <v>2650</v>
      </c>
    </row>
    <row r="2105" spans="1:13" ht="63.75" x14ac:dyDescent="0.25">
      <c r="A2105" s="13" t="s">
        <v>10511</v>
      </c>
      <c r="B2105" s="13" t="s">
        <v>10192</v>
      </c>
      <c r="C2105" s="20" t="s">
        <v>2650</v>
      </c>
      <c r="D2105" s="19">
        <v>12496</v>
      </c>
      <c r="E2105" s="13" t="s">
        <v>10512</v>
      </c>
      <c r="F2105" s="14">
        <v>41275</v>
      </c>
      <c r="G2105" s="14">
        <v>41639</v>
      </c>
      <c r="H2105" s="13" t="s">
        <v>651</v>
      </c>
      <c r="I2105" s="18">
        <v>11250</v>
      </c>
      <c r="J2105" s="18">
        <v>11250</v>
      </c>
      <c r="K2105" s="20" t="s">
        <v>2650</v>
      </c>
    </row>
    <row r="2106" spans="1:13" ht="38.25" x14ac:dyDescent="0.25">
      <c r="A2106" s="13" t="s">
        <v>10513</v>
      </c>
      <c r="B2106" s="13" t="s">
        <v>10192</v>
      </c>
      <c r="C2106" s="20" t="s">
        <v>2650</v>
      </c>
      <c r="D2106" s="19">
        <v>12497</v>
      </c>
      <c r="E2106" s="13" t="s">
        <v>10514</v>
      </c>
      <c r="F2106" s="14">
        <v>41422</v>
      </c>
      <c r="G2106" s="14">
        <v>41639</v>
      </c>
      <c r="H2106" s="13" t="s">
        <v>651</v>
      </c>
      <c r="I2106" s="18">
        <v>3750</v>
      </c>
      <c r="J2106" s="18">
        <v>3750</v>
      </c>
      <c r="K2106" s="20" t="s">
        <v>2650</v>
      </c>
    </row>
    <row r="2107" spans="1:13" ht="51" x14ac:dyDescent="0.25">
      <c r="A2107" s="13" t="s">
        <v>10515</v>
      </c>
      <c r="B2107" s="13" t="s">
        <v>10192</v>
      </c>
      <c r="C2107" s="20" t="s">
        <v>2650</v>
      </c>
      <c r="D2107" s="19">
        <v>12498</v>
      </c>
      <c r="E2107" s="13" t="s">
        <v>10516</v>
      </c>
      <c r="F2107" s="14">
        <v>41541</v>
      </c>
      <c r="G2107" s="14">
        <v>41639</v>
      </c>
      <c r="H2107" s="13" t="s">
        <v>651</v>
      </c>
      <c r="I2107" s="18">
        <v>7500</v>
      </c>
      <c r="J2107" s="18">
        <v>7500</v>
      </c>
      <c r="K2107" s="20" t="s">
        <v>2650</v>
      </c>
    </row>
    <row r="2108" spans="1:13" ht="38.25" x14ac:dyDescent="0.25">
      <c r="A2108" s="13" t="s">
        <v>10519</v>
      </c>
      <c r="B2108" s="13" t="s">
        <v>10192</v>
      </c>
      <c r="C2108" s="20" t="s">
        <v>2650</v>
      </c>
      <c r="D2108" s="19">
        <v>12501</v>
      </c>
      <c r="E2108" s="13" t="s">
        <v>10520</v>
      </c>
      <c r="F2108" s="14">
        <v>41275</v>
      </c>
      <c r="G2108" s="14">
        <v>41639</v>
      </c>
      <c r="H2108" s="13" t="s">
        <v>651</v>
      </c>
      <c r="I2108" s="18">
        <v>11348</v>
      </c>
      <c r="J2108" s="18">
        <v>9424</v>
      </c>
      <c r="K2108" s="20" t="s">
        <v>2650</v>
      </c>
    </row>
    <row r="2109" spans="1:13" ht="25.5" x14ac:dyDescent="0.25">
      <c r="A2109" s="13" t="s">
        <v>10521</v>
      </c>
      <c r="B2109" s="13" t="s">
        <v>10220</v>
      </c>
      <c r="C2109" s="20" t="s">
        <v>2650</v>
      </c>
      <c r="D2109" s="19">
        <v>12508</v>
      </c>
      <c r="E2109" s="13" t="s">
        <v>10522</v>
      </c>
      <c r="F2109" s="14">
        <v>41275</v>
      </c>
      <c r="G2109" s="14">
        <v>41639</v>
      </c>
      <c r="H2109" s="13" t="s">
        <v>651</v>
      </c>
      <c r="I2109" s="18">
        <v>15000</v>
      </c>
      <c r="J2109" s="18">
        <v>7500</v>
      </c>
      <c r="K2109" s="20" t="s">
        <v>2650</v>
      </c>
    </row>
    <row r="2110" spans="1:13" ht="38.25" x14ac:dyDescent="0.25">
      <c r="A2110" s="13" t="s">
        <v>10523</v>
      </c>
      <c r="B2110" s="13" t="s">
        <v>10192</v>
      </c>
      <c r="C2110" s="20" t="s">
        <v>2650</v>
      </c>
      <c r="D2110" s="19">
        <v>12509</v>
      </c>
      <c r="E2110" s="13" t="s">
        <v>10524</v>
      </c>
      <c r="F2110" s="14">
        <v>41422</v>
      </c>
      <c r="G2110" s="14">
        <v>41639</v>
      </c>
      <c r="H2110" s="13" t="s">
        <v>651</v>
      </c>
      <c r="I2110" s="18">
        <v>32500</v>
      </c>
      <c r="J2110" s="18">
        <v>20000</v>
      </c>
      <c r="K2110" s="20" t="s">
        <v>2650</v>
      </c>
    </row>
    <row r="2111" spans="1:13" ht="38.25" x14ac:dyDescent="0.25">
      <c r="A2111" s="13" t="s">
        <v>10525</v>
      </c>
      <c r="B2111" s="13" t="s">
        <v>10192</v>
      </c>
      <c r="C2111" s="20" t="s">
        <v>2650</v>
      </c>
      <c r="D2111" s="19">
        <v>12510</v>
      </c>
      <c r="E2111" s="13" t="s">
        <v>10526</v>
      </c>
      <c r="F2111" s="14">
        <v>41478</v>
      </c>
      <c r="G2111" s="14">
        <v>41639</v>
      </c>
      <c r="H2111" s="13" t="s">
        <v>651</v>
      </c>
      <c r="I2111" s="18">
        <v>5100</v>
      </c>
      <c r="J2111" s="18">
        <v>4425</v>
      </c>
      <c r="K2111" s="20" t="s">
        <v>2650</v>
      </c>
    </row>
    <row r="2112" spans="1:13" ht="63.75" x14ac:dyDescent="0.25">
      <c r="A2112" s="13" t="s">
        <v>10527</v>
      </c>
      <c r="B2112" s="13" t="s">
        <v>10220</v>
      </c>
      <c r="C2112" s="20" t="s">
        <v>2650</v>
      </c>
      <c r="D2112" s="19">
        <v>12511</v>
      </c>
      <c r="E2112" s="13" t="s">
        <v>10528</v>
      </c>
      <c r="F2112" s="14">
        <v>41422</v>
      </c>
      <c r="G2112" s="14">
        <v>41639</v>
      </c>
      <c r="H2112" s="13" t="s">
        <v>651</v>
      </c>
      <c r="I2112" s="18">
        <v>7426</v>
      </c>
      <c r="J2112" s="18">
        <v>3713</v>
      </c>
      <c r="K2112" s="20" t="s">
        <v>2650</v>
      </c>
    </row>
    <row r="2113" spans="1:12" ht="63.75" x14ac:dyDescent="0.25">
      <c r="A2113" s="13" t="s">
        <v>10529</v>
      </c>
      <c r="B2113" s="13" t="s">
        <v>10192</v>
      </c>
      <c r="C2113" s="20" t="s">
        <v>2650</v>
      </c>
      <c r="D2113" s="19">
        <v>12512</v>
      </c>
      <c r="E2113" s="13" t="s">
        <v>10530</v>
      </c>
      <c r="F2113" s="14">
        <v>41275</v>
      </c>
      <c r="G2113" s="14">
        <v>41639</v>
      </c>
      <c r="H2113" s="13" t="s">
        <v>651</v>
      </c>
      <c r="I2113" s="18">
        <v>9304</v>
      </c>
      <c r="J2113" s="18">
        <v>4652</v>
      </c>
      <c r="K2113" s="20" t="s">
        <v>2650</v>
      </c>
    </row>
    <row r="2114" spans="1:12" ht="38.25" x14ac:dyDescent="0.25">
      <c r="A2114" s="13" t="s">
        <v>10531</v>
      </c>
      <c r="B2114" s="13" t="s">
        <v>10192</v>
      </c>
      <c r="C2114" s="20" t="s">
        <v>2650</v>
      </c>
      <c r="D2114" s="19">
        <v>12513</v>
      </c>
      <c r="E2114" s="13" t="s">
        <v>10532</v>
      </c>
      <c r="F2114" s="14">
        <v>41275</v>
      </c>
      <c r="G2114" s="14">
        <v>41639</v>
      </c>
      <c r="H2114" s="13" t="s">
        <v>651</v>
      </c>
      <c r="I2114" s="18">
        <v>7500</v>
      </c>
      <c r="J2114" s="18">
        <v>7500</v>
      </c>
      <c r="K2114" s="20" t="s">
        <v>2650</v>
      </c>
    </row>
    <row r="2115" spans="1:12" ht="38.25" x14ac:dyDescent="0.25">
      <c r="A2115" s="13" t="s">
        <v>10533</v>
      </c>
      <c r="B2115" s="13" t="s">
        <v>10192</v>
      </c>
      <c r="C2115" s="20" t="s">
        <v>2650</v>
      </c>
      <c r="D2115" s="19">
        <v>12514</v>
      </c>
      <c r="E2115" s="13" t="s">
        <v>10534</v>
      </c>
      <c r="F2115" s="14">
        <v>41275</v>
      </c>
      <c r="G2115" s="14">
        <v>41639</v>
      </c>
      <c r="H2115" s="13" t="s">
        <v>651</v>
      </c>
      <c r="I2115" s="18">
        <v>28786</v>
      </c>
      <c r="J2115" s="18">
        <v>20018</v>
      </c>
      <c r="K2115" s="20" t="s">
        <v>2650</v>
      </c>
    </row>
    <row r="2116" spans="1:12" ht="38.25" x14ac:dyDescent="0.25">
      <c r="A2116" s="13" t="s">
        <v>10535</v>
      </c>
      <c r="B2116" s="13" t="s">
        <v>10192</v>
      </c>
      <c r="C2116" s="20" t="s">
        <v>2650</v>
      </c>
      <c r="D2116" s="19">
        <v>12515</v>
      </c>
      <c r="E2116" s="13" t="s">
        <v>10536</v>
      </c>
      <c r="F2116" s="14">
        <v>41422</v>
      </c>
      <c r="G2116" s="14">
        <v>41639</v>
      </c>
      <c r="H2116" s="13" t="s">
        <v>651</v>
      </c>
      <c r="I2116" s="18">
        <v>8750</v>
      </c>
      <c r="J2116" s="18">
        <v>6250</v>
      </c>
      <c r="K2116" s="20" t="s">
        <v>2650</v>
      </c>
    </row>
    <row r="2117" spans="1:12" ht="38.25" x14ac:dyDescent="0.25">
      <c r="A2117" s="13" t="s">
        <v>10539</v>
      </c>
      <c r="B2117" s="13" t="s">
        <v>10192</v>
      </c>
      <c r="C2117" s="20" t="s">
        <v>2650</v>
      </c>
      <c r="D2117" s="19">
        <v>12517</v>
      </c>
      <c r="E2117" s="13" t="s">
        <v>10540</v>
      </c>
      <c r="F2117" s="14">
        <v>41478</v>
      </c>
      <c r="G2117" s="14">
        <v>41639</v>
      </c>
      <c r="H2117" s="13" t="s">
        <v>651</v>
      </c>
      <c r="I2117" s="18">
        <v>18750</v>
      </c>
      <c r="J2117" s="18">
        <v>18750</v>
      </c>
      <c r="K2117" s="20" t="s">
        <v>2650</v>
      </c>
    </row>
    <row r="2118" spans="1:12" ht="51" x14ac:dyDescent="0.25">
      <c r="A2118" s="13" t="s">
        <v>10541</v>
      </c>
      <c r="B2118" s="13" t="s">
        <v>10192</v>
      </c>
      <c r="C2118" s="20" t="s">
        <v>2650</v>
      </c>
      <c r="D2118" s="19">
        <v>12518</v>
      </c>
      <c r="E2118" s="13" t="s">
        <v>10542</v>
      </c>
      <c r="F2118" s="14">
        <v>41310</v>
      </c>
      <c r="G2118" s="14">
        <v>41639</v>
      </c>
      <c r="H2118" s="13" t="s">
        <v>651</v>
      </c>
      <c r="I2118" s="18">
        <v>7500</v>
      </c>
      <c r="J2118" s="18">
        <v>7500</v>
      </c>
      <c r="K2118" s="20" t="s">
        <v>2650</v>
      </c>
    </row>
    <row r="2119" spans="1:12" ht="51" x14ac:dyDescent="0.25">
      <c r="A2119" s="13" t="s">
        <v>10545</v>
      </c>
      <c r="B2119" s="13" t="s">
        <v>10220</v>
      </c>
      <c r="C2119" s="20" t="s">
        <v>2650</v>
      </c>
      <c r="D2119" s="19">
        <v>12520</v>
      </c>
      <c r="E2119" s="13" t="s">
        <v>10546</v>
      </c>
      <c r="F2119" s="14">
        <v>41373</v>
      </c>
      <c r="G2119" s="14">
        <v>41639</v>
      </c>
      <c r="H2119" s="13" t="s">
        <v>651</v>
      </c>
      <c r="I2119" s="18">
        <v>5000</v>
      </c>
      <c r="J2119" s="18">
        <v>2500</v>
      </c>
      <c r="K2119" s="20" t="s">
        <v>2650</v>
      </c>
    </row>
    <row r="2120" spans="1:12" ht="51" x14ac:dyDescent="0.25">
      <c r="A2120" s="13" t="s">
        <v>10547</v>
      </c>
      <c r="B2120" s="13" t="s">
        <v>10192</v>
      </c>
      <c r="C2120" s="20" t="s">
        <v>2650</v>
      </c>
      <c r="D2120" s="19">
        <v>12539</v>
      </c>
      <c r="E2120" s="13" t="s">
        <v>10548</v>
      </c>
      <c r="F2120" s="14">
        <v>41422</v>
      </c>
      <c r="G2120" s="14">
        <v>41639</v>
      </c>
      <c r="H2120" s="13" t="s">
        <v>651</v>
      </c>
      <c r="I2120" s="18">
        <v>7500</v>
      </c>
      <c r="J2120" s="18">
        <v>7500</v>
      </c>
      <c r="K2120" s="20" t="s">
        <v>2650</v>
      </c>
    </row>
    <row r="2121" spans="1:12" ht="25.5" x14ac:dyDescent="0.25">
      <c r="A2121" s="13" t="s">
        <v>10549</v>
      </c>
      <c r="B2121" s="13" t="s">
        <v>10192</v>
      </c>
      <c r="C2121" s="20" t="s">
        <v>2650</v>
      </c>
      <c r="D2121" s="19">
        <v>12540</v>
      </c>
      <c r="E2121" s="13" t="s">
        <v>10550</v>
      </c>
      <c r="F2121" s="14">
        <v>41422</v>
      </c>
      <c r="G2121" s="14">
        <v>41639</v>
      </c>
      <c r="H2121" s="13" t="s">
        <v>651</v>
      </c>
      <c r="I2121" s="18">
        <v>18800.96</v>
      </c>
      <c r="J2121" s="18">
        <v>11275.48</v>
      </c>
      <c r="K2121" s="20" t="s">
        <v>2650</v>
      </c>
    </row>
    <row r="2122" spans="1:12" ht="63.75" x14ac:dyDescent="0.25">
      <c r="A2122" s="13" t="s">
        <v>10551</v>
      </c>
      <c r="B2122" s="13" t="s">
        <v>10220</v>
      </c>
      <c r="C2122" s="20" t="s">
        <v>2650</v>
      </c>
      <c r="D2122" s="19">
        <v>12541</v>
      </c>
      <c r="E2122" s="13" t="s">
        <v>10552</v>
      </c>
      <c r="F2122" s="14">
        <v>41422</v>
      </c>
      <c r="G2122" s="14">
        <v>41639</v>
      </c>
      <c r="H2122" s="13" t="s">
        <v>651</v>
      </c>
      <c r="I2122" s="18">
        <v>7090</v>
      </c>
      <c r="J2122" s="18">
        <v>3545</v>
      </c>
      <c r="K2122" s="20" t="s">
        <v>2650</v>
      </c>
    </row>
    <row r="2123" spans="1:12" ht="25.5" x14ac:dyDescent="0.25">
      <c r="A2123" s="13" t="s">
        <v>10553</v>
      </c>
      <c r="B2123" s="13" t="s">
        <v>10220</v>
      </c>
      <c r="C2123" s="20" t="s">
        <v>2650</v>
      </c>
      <c r="D2123" s="19">
        <v>12542</v>
      </c>
      <c r="E2123" s="13" t="s">
        <v>10554</v>
      </c>
      <c r="F2123" s="14">
        <v>41275</v>
      </c>
      <c r="G2123" s="14">
        <v>41639</v>
      </c>
      <c r="H2123" s="13" t="s">
        <v>651</v>
      </c>
      <c r="I2123" s="18">
        <v>9000</v>
      </c>
      <c r="J2123" s="18">
        <v>4500</v>
      </c>
      <c r="K2123" s="20" t="s">
        <v>2650</v>
      </c>
    </row>
    <row r="2124" spans="1:12" ht="25.5" x14ac:dyDescent="0.25">
      <c r="A2124" s="13" t="s">
        <v>10555</v>
      </c>
      <c r="B2124" s="13" t="s">
        <v>10220</v>
      </c>
      <c r="C2124" s="20" t="s">
        <v>2650</v>
      </c>
      <c r="D2124" s="19">
        <v>12543</v>
      </c>
      <c r="E2124" s="13" t="s">
        <v>10556</v>
      </c>
      <c r="F2124" s="14">
        <v>41422</v>
      </c>
      <c r="G2124" s="14">
        <v>41639</v>
      </c>
      <c r="H2124" s="13" t="s">
        <v>651</v>
      </c>
      <c r="I2124" s="18">
        <v>15591.6</v>
      </c>
      <c r="J2124" s="18">
        <v>7795.8</v>
      </c>
      <c r="K2124" s="20" t="s">
        <v>2650</v>
      </c>
    </row>
    <row r="2125" spans="1:12" ht="38.25" x14ac:dyDescent="0.25">
      <c r="A2125" s="13" t="s">
        <v>10557</v>
      </c>
      <c r="B2125" s="13" t="s">
        <v>10192</v>
      </c>
      <c r="C2125" s="20" t="s">
        <v>2650</v>
      </c>
      <c r="D2125" s="19">
        <v>12545</v>
      </c>
      <c r="E2125" s="13" t="s">
        <v>10558</v>
      </c>
      <c r="F2125" s="14">
        <v>41569</v>
      </c>
      <c r="G2125" s="14">
        <v>41639</v>
      </c>
      <c r="H2125" s="13" t="s">
        <v>651</v>
      </c>
      <c r="I2125" s="18">
        <v>4962.5</v>
      </c>
      <c r="J2125" s="18">
        <v>4355.25</v>
      </c>
      <c r="K2125" s="20" t="s">
        <v>2650</v>
      </c>
    </row>
    <row r="2126" spans="1:12" s="4" customFormat="1" x14ac:dyDescent="0.25">
      <c r="A2126" s="99" t="s">
        <v>11760</v>
      </c>
      <c r="B2126" s="4" t="s">
        <v>10220</v>
      </c>
      <c r="C2126" s="37" t="s">
        <v>2650</v>
      </c>
      <c r="D2126" s="35">
        <v>12546</v>
      </c>
      <c r="E2126" s="108" t="s">
        <v>11761</v>
      </c>
      <c r="F2126" s="5">
        <v>41275</v>
      </c>
      <c r="G2126" s="5">
        <v>41639</v>
      </c>
      <c r="H2126" s="4" t="s">
        <v>651</v>
      </c>
      <c r="I2126" s="6">
        <v>1375</v>
      </c>
      <c r="J2126" s="6">
        <v>685.5</v>
      </c>
      <c r="K2126" s="37" t="s">
        <v>2650</v>
      </c>
      <c r="L2126" s="119"/>
    </row>
    <row r="2127" spans="1:12" ht="38.25" x14ac:dyDescent="0.25">
      <c r="A2127" s="13" t="s">
        <v>10559</v>
      </c>
      <c r="B2127" s="13" t="s">
        <v>10192</v>
      </c>
      <c r="C2127" s="20" t="s">
        <v>2650</v>
      </c>
      <c r="D2127" s="19">
        <v>12547</v>
      </c>
      <c r="E2127" s="13" t="s">
        <v>10560</v>
      </c>
      <c r="F2127" s="14">
        <v>41275</v>
      </c>
      <c r="G2127" s="14">
        <v>41639</v>
      </c>
      <c r="H2127" s="13" t="s">
        <v>651</v>
      </c>
      <c r="I2127" s="18">
        <v>5007.3599999999997</v>
      </c>
      <c r="J2127" s="18">
        <v>4378.12</v>
      </c>
      <c r="K2127" s="20" t="s">
        <v>2650</v>
      </c>
    </row>
    <row r="2128" spans="1:12" ht="38.25" x14ac:dyDescent="0.25">
      <c r="A2128" s="13" t="s">
        <v>10561</v>
      </c>
      <c r="B2128" s="13" t="s">
        <v>10220</v>
      </c>
      <c r="C2128" s="20" t="s">
        <v>2650</v>
      </c>
      <c r="D2128" s="19">
        <v>12548</v>
      </c>
      <c r="E2128" s="13" t="s">
        <v>10562</v>
      </c>
      <c r="F2128" s="14">
        <v>41275</v>
      </c>
      <c r="G2128" s="14">
        <v>41639</v>
      </c>
      <c r="H2128" s="13" t="s">
        <v>651</v>
      </c>
      <c r="I2128" s="18">
        <v>7702</v>
      </c>
      <c r="J2128" s="18">
        <v>3851</v>
      </c>
      <c r="K2128" s="20" t="s">
        <v>2650</v>
      </c>
    </row>
    <row r="2129" spans="1:60" ht="38.25" x14ac:dyDescent="0.25">
      <c r="A2129" s="13" t="s">
        <v>10563</v>
      </c>
      <c r="B2129" s="13" t="s">
        <v>10192</v>
      </c>
      <c r="C2129" s="20" t="s">
        <v>2650</v>
      </c>
      <c r="D2129" s="19">
        <v>12549</v>
      </c>
      <c r="E2129" s="13" t="s">
        <v>10564</v>
      </c>
      <c r="F2129" s="14">
        <v>41275</v>
      </c>
      <c r="G2129" s="14">
        <v>41639</v>
      </c>
      <c r="H2129" s="13" t="s">
        <v>651</v>
      </c>
      <c r="I2129" s="18">
        <v>7500</v>
      </c>
      <c r="J2129" s="18">
        <v>7500</v>
      </c>
      <c r="K2129" s="20" t="s">
        <v>2650</v>
      </c>
    </row>
    <row r="2130" spans="1:60" ht="38.25" x14ac:dyDescent="0.25">
      <c r="A2130" s="13" t="s">
        <v>10565</v>
      </c>
      <c r="B2130" s="13" t="s">
        <v>10192</v>
      </c>
      <c r="C2130" s="20" t="s">
        <v>2650</v>
      </c>
      <c r="D2130" s="19">
        <v>12552</v>
      </c>
      <c r="E2130" s="13" t="s">
        <v>10566</v>
      </c>
      <c r="F2130" s="14">
        <v>41541</v>
      </c>
      <c r="G2130" s="14">
        <v>41639</v>
      </c>
      <c r="H2130" s="13" t="s">
        <v>651</v>
      </c>
      <c r="I2130" s="18">
        <v>7500</v>
      </c>
      <c r="J2130" s="18">
        <v>7500</v>
      </c>
      <c r="K2130" s="20" t="s">
        <v>2650</v>
      </c>
    </row>
    <row r="2131" spans="1:60" s="4" customFormat="1" ht="140.25" x14ac:dyDescent="0.25">
      <c r="A2131" s="9" t="s">
        <v>3560</v>
      </c>
      <c r="B2131" s="9" t="s">
        <v>13</v>
      </c>
      <c r="C2131" s="112" t="s">
        <v>2650</v>
      </c>
      <c r="D2131" s="90">
        <v>3336</v>
      </c>
      <c r="E2131" s="15" t="s">
        <v>3561</v>
      </c>
      <c r="F2131" s="11">
        <v>39083</v>
      </c>
      <c r="G2131" s="11">
        <v>42369</v>
      </c>
      <c r="H2131" s="9" t="s">
        <v>2593</v>
      </c>
      <c r="I2131" s="16">
        <v>1766947.16</v>
      </c>
      <c r="J2131" s="16">
        <v>1766947.16</v>
      </c>
      <c r="K2131" s="112" t="s">
        <v>2650</v>
      </c>
      <c r="L2131" s="121"/>
      <c r="M2131" s="12"/>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c r="AV2131" s="9"/>
      <c r="AW2131" s="9"/>
      <c r="AX2131" s="9"/>
      <c r="AY2131" s="9"/>
      <c r="AZ2131" s="9"/>
      <c r="BA2131" s="9"/>
      <c r="BB2131" s="9"/>
      <c r="BC2131" s="9"/>
      <c r="BD2131" s="9"/>
      <c r="BE2131" s="9"/>
      <c r="BF2131" s="9"/>
      <c r="BG2131" s="9"/>
      <c r="BH2131" s="9"/>
    </row>
    <row r="2132" spans="1:60" s="4" customFormat="1" ht="25.5" x14ac:dyDescent="0.25">
      <c r="A2132" s="9" t="s">
        <v>3562</v>
      </c>
      <c r="B2132" s="9" t="s">
        <v>13</v>
      </c>
      <c r="C2132" s="112" t="s">
        <v>2650</v>
      </c>
      <c r="D2132" s="90">
        <v>3378</v>
      </c>
      <c r="E2132" s="9" t="s">
        <v>3563</v>
      </c>
      <c r="F2132" s="11">
        <v>38205</v>
      </c>
      <c r="G2132" s="11">
        <v>39813</v>
      </c>
      <c r="H2132" s="9" t="s">
        <v>2593</v>
      </c>
      <c r="I2132" s="16">
        <f>2580208-499125</f>
        <v>2081083</v>
      </c>
      <c r="J2132" s="16">
        <f>2580208-499125</f>
        <v>2081083</v>
      </c>
      <c r="K2132" s="112" t="s">
        <v>2650</v>
      </c>
      <c r="L2132" s="121"/>
      <c r="M2132" s="12"/>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c r="AV2132" s="9"/>
      <c r="AW2132" s="9"/>
      <c r="AX2132" s="9"/>
      <c r="AY2132" s="9"/>
      <c r="AZ2132" s="9"/>
      <c r="BA2132" s="9"/>
      <c r="BB2132" s="9"/>
      <c r="BC2132" s="9"/>
      <c r="BD2132" s="9"/>
      <c r="BE2132" s="9"/>
      <c r="BF2132" s="9"/>
      <c r="BG2132" s="9"/>
      <c r="BH2132" s="9"/>
    </row>
    <row r="2133" spans="1:60" s="4" customFormat="1" ht="89.25" x14ac:dyDescent="0.25">
      <c r="A2133" s="9" t="s">
        <v>3564</v>
      </c>
      <c r="B2133" s="9" t="s">
        <v>13</v>
      </c>
      <c r="C2133" s="112" t="s">
        <v>2650</v>
      </c>
      <c r="D2133" s="90">
        <v>3472</v>
      </c>
      <c r="E2133" s="15" t="s">
        <v>2597</v>
      </c>
      <c r="F2133" s="11">
        <v>39083</v>
      </c>
      <c r="G2133" s="11">
        <v>42369</v>
      </c>
      <c r="H2133" s="9" t="s">
        <v>2593</v>
      </c>
      <c r="I2133" s="16">
        <v>939369.34</v>
      </c>
      <c r="J2133" s="16">
        <v>939369.34</v>
      </c>
      <c r="K2133" s="112" t="s">
        <v>2650</v>
      </c>
      <c r="L2133" s="121"/>
      <c r="M2133" s="12"/>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c r="AV2133" s="9"/>
      <c r="AW2133" s="9"/>
      <c r="AX2133" s="9"/>
      <c r="AY2133" s="9"/>
      <c r="AZ2133" s="9"/>
      <c r="BA2133" s="9"/>
      <c r="BB2133" s="9"/>
      <c r="BC2133" s="9"/>
      <c r="BD2133" s="9"/>
      <c r="BE2133" s="9"/>
      <c r="BF2133" s="9"/>
      <c r="BG2133" s="9"/>
      <c r="BH2133" s="9"/>
    </row>
    <row r="2134" spans="1:60" s="4" customFormat="1" ht="76.5" x14ac:dyDescent="0.25">
      <c r="A2134" s="9" t="s">
        <v>3565</v>
      </c>
      <c r="B2134" s="9" t="s">
        <v>13</v>
      </c>
      <c r="C2134" s="112" t="s">
        <v>2650</v>
      </c>
      <c r="D2134" s="90">
        <v>3473</v>
      </c>
      <c r="E2134" s="15" t="s">
        <v>3566</v>
      </c>
      <c r="F2134" s="11">
        <v>39083</v>
      </c>
      <c r="G2134" s="11">
        <v>42369</v>
      </c>
      <c r="H2134" s="9" t="s">
        <v>2593</v>
      </c>
      <c r="I2134" s="16">
        <v>837774.5</v>
      </c>
      <c r="J2134" s="16">
        <v>837774.5</v>
      </c>
      <c r="K2134" s="112" t="s">
        <v>2650</v>
      </c>
      <c r="L2134" s="121"/>
      <c r="M2134" s="12"/>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c r="AW2134" s="9"/>
      <c r="AX2134" s="9"/>
      <c r="AY2134" s="9"/>
      <c r="AZ2134" s="9"/>
      <c r="BA2134" s="9"/>
      <c r="BB2134" s="9"/>
      <c r="BC2134" s="9"/>
      <c r="BD2134" s="9"/>
      <c r="BE2134" s="9"/>
      <c r="BF2134" s="9"/>
      <c r="BG2134" s="9"/>
      <c r="BH2134" s="9"/>
    </row>
    <row r="2135" spans="1:60" s="4" customFormat="1" ht="89.25" x14ac:dyDescent="0.25">
      <c r="A2135" s="9" t="s">
        <v>3567</v>
      </c>
      <c r="B2135" s="9" t="s">
        <v>13</v>
      </c>
      <c r="C2135" s="112" t="s">
        <v>2650</v>
      </c>
      <c r="D2135" s="90">
        <v>3474</v>
      </c>
      <c r="E2135" s="15" t="s">
        <v>2597</v>
      </c>
      <c r="F2135" s="11">
        <v>39083</v>
      </c>
      <c r="G2135" s="11">
        <v>42369</v>
      </c>
      <c r="H2135" s="9" t="s">
        <v>2593</v>
      </c>
      <c r="I2135" s="16">
        <v>1511928.55</v>
      </c>
      <c r="J2135" s="16">
        <v>1511928.55</v>
      </c>
      <c r="K2135" s="112" t="s">
        <v>2650</v>
      </c>
      <c r="L2135" s="121"/>
      <c r="M2135" s="12"/>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c r="AV2135" s="9"/>
      <c r="AW2135" s="9"/>
      <c r="AX2135" s="9"/>
      <c r="AY2135" s="9"/>
      <c r="AZ2135" s="9"/>
      <c r="BA2135" s="9"/>
      <c r="BB2135" s="9"/>
      <c r="BC2135" s="9"/>
      <c r="BD2135" s="9"/>
      <c r="BE2135" s="9"/>
      <c r="BF2135" s="9"/>
      <c r="BG2135" s="9"/>
      <c r="BH2135" s="9"/>
    </row>
    <row r="2136" spans="1:60" s="4" customFormat="1" ht="127.5" x14ac:dyDescent="0.2">
      <c r="A2136" s="92" t="s">
        <v>11662</v>
      </c>
      <c r="B2136" s="9" t="s">
        <v>13</v>
      </c>
      <c r="C2136" s="112" t="s">
        <v>2650</v>
      </c>
      <c r="D2136" s="90">
        <v>13404</v>
      </c>
      <c r="E2136" s="93" t="s">
        <v>11663</v>
      </c>
      <c r="F2136" s="11">
        <v>40544</v>
      </c>
      <c r="G2136" s="11">
        <v>42825</v>
      </c>
      <c r="H2136" s="9" t="s">
        <v>2593</v>
      </c>
      <c r="I2136" s="16">
        <v>9435120.2899999991</v>
      </c>
      <c r="J2136" s="16">
        <v>9435120.2899999991</v>
      </c>
      <c r="K2136" s="112" t="s">
        <v>2650</v>
      </c>
      <c r="L2136" s="121"/>
      <c r="M2136" s="12"/>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c r="AV2136" s="9"/>
      <c r="AW2136" s="9"/>
      <c r="AX2136" s="9"/>
      <c r="AY2136" s="9"/>
      <c r="AZ2136" s="9"/>
      <c r="BA2136" s="9"/>
      <c r="BB2136" s="9"/>
      <c r="BC2136" s="9"/>
      <c r="BD2136" s="9"/>
      <c r="BE2136" s="9"/>
      <c r="BF2136" s="9"/>
      <c r="BG2136" s="9"/>
      <c r="BH2136" s="9"/>
    </row>
    <row r="2137" spans="1:60" s="4" customFormat="1" ht="51" x14ac:dyDescent="0.25">
      <c r="A2137" s="9" t="s">
        <v>3568</v>
      </c>
      <c r="B2137" s="9" t="s">
        <v>13</v>
      </c>
      <c r="C2137" s="112" t="s">
        <v>2650</v>
      </c>
      <c r="D2137" s="90">
        <v>3475</v>
      </c>
      <c r="E2137" s="9" t="s">
        <v>2615</v>
      </c>
      <c r="F2137" s="11">
        <v>39083</v>
      </c>
      <c r="G2137" s="11">
        <v>42369</v>
      </c>
      <c r="H2137" s="9" t="s">
        <v>2593</v>
      </c>
      <c r="I2137" s="16">
        <v>2082121.1</v>
      </c>
      <c r="J2137" s="16">
        <v>2082121.1</v>
      </c>
      <c r="K2137" s="112" t="s">
        <v>2650</v>
      </c>
      <c r="L2137" s="121"/>
      <c r="M2137" s="12"/>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c r="AW2137" s="9"/>
      <c r="AX2137" s="9"/>
      <c r="AY2137" s="9"/>
      <c r="AZ2137" s="9"/>
      <c r="BA2137" s="9"/>
      <c r="BB2137" s="9"/>
      <c r="BC2137" s="9"/>
      <c r="BD2137" s="9"/>
      <c r="BE2137" s="9"/>
      <c r="BF2137" s="9"/>
      <c r="BG2137" s="9"/>
      <c r="BH2137" s="9"/>
    </row>
    <row r="2138" spans="1:60" s="4" customFormat="1" ht="140.25" x14ac:dyDescent="0.25">
      <c r="A2138" s="9" t="s">
        <v>3569</v>
      </c>
      <c r="B2138" s="9" t="s">
        <v>13</v>
      </c>
      <c r="C2138" s="112" t="s">
        <v>2650</v>
      </c>
      <c r="D2138" s="90">
        <v>3971</v>
      </c>
      <c r="E2138" s="15" t="s">
        <v>3570</v>
      </c>
      <c r="F2138" s="11">
        <v>39083</v>
      </c>
      <c r="G2138" s="11">
        <v>42369</v>
      </c>
      <c r="H2138" s="9" t="s">
        <v>2593</v>
      </c>
      <c r="I2138" s="16">
        <v>552006.53</v>
      </c>
      <c r="J2138" s="16">
        <v>552006.53</v>
      </c>
      <c r="K2138" s="112" t="s">
        <v>2650</v>
      </c>
      <c r="L2138" s="121"/>
      <c r="M2138" s="12"/>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c r="AW2138" s="9"/>
      <c r="AX2138" s="9"/>
      <c r="AY2138" s="9"/>
      <c r="AZ2138" s="9"/>
      <c r="BA2138" s="9"/>
      <c r="BB2138" s="9"/>
      <c r="BC2138" s="9"/>
      <c r="BD2138" s="9"/>
      <c r="BE2138" s="9"/>
      <c r="BF2138" s="9"/>
      <c r="BG2138" s="9"/>
      <c r="BH2138" s="9"/>
    </row>
    <row r="2139" spans="1:60" s="4" customFormat="1" ht="89.25" x14ac:dyDescent="0.25">
      <c r="A2139" s="9" t="s">
        <v>3571</v>
      </c>
      <c r="B2139" s="9" t="s">
        <v>13</v>
      </c>
      <c r="C2139" s="112" t="s">
        <v>2650</v>
      </c>
      <c r="D2139" s="90">
        <v>3972</v>
      </c>
      <c r="E2139" s="15" t="s">
        <v>3572</v>
      </c>
      <c r="F2139" s="11">
        <v>39083</v>
      </c>
      <c r="G2139" s="11">
        <v>42369</v>
      </c>
      <c r="H2139" s="9" t="s">
        <v>2593</v>
      </c>
      <c r="I2139" s="16">
        <v>639850.02</v>
      </c>
      <c r="J2139" s="16">
        <v>639850.02</v>
      </c>
      <c r="K2139" s="112" t="s">
        <v>2650</v>
      </c>
      <c r="L2139" s="121"/>
      <c r="M2139" s="12"/>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c r="AW2139" s="9"/>
      <c r="AX2139" s="9"/>
      <c r="AY2139" s="9"/>
      <c r="AZ2139" s="9"/>
      <c r="BA2139" s="9"/>
      <c r="BB2139" s="9"/>
      <c r="BC2139" s="9"/>
      <c r="BD2139" s="9"/>
      <c r="BE2139" s="9"/>
      <c r="BF2139" s="9"/>
      <c r="BG2139" s="9"/>
      <c r="BH2139" s="9"/>
    </row>
    <row r="2140" spans="1:60" s="4" customFormat="1" ht="51" x14ac:dyDescent="0.25">
      <c r="A2140" s="9" t="s">
        <v>3573</v>
      </c>
      <c r="B2140" s="9" t="s">
        <v>13</v>
      </c>
      <c r="C2140" s="112" t="s">
        <v>2650</v>
      </c>
      <c r="D2140" s="90">
        <v>3996</v>
      </c>
      <c r="E2140" s="9" t="s">
        <v>3574</v>
      </c>
      <c r="F2140" s="11">
        <v>39083</v>
      </c>
      <c r="G2140" s="11">
        <v>42369</v>
      </c>
      <c r="H2140" s="9" t="s">
        <v>2593</v>
      </c>
      <c r="I2140" s="16">
        <v>286320.56</v>
      </c>
      <c r="J2140" s="16">
        <v>286320.56</v>
      </c>
      <c r="K2140" s="112" t="s">
        <v>2650</v>
      </c>
      <c r="L2140" s="121"/>
      <c r="M2140" s="12"/>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c r="AV2140" s="9"/>
      <c r="AW2140" s="9"/>
      <c r="AX2140" s="9"/>
      <c r="AY2140" s="9"/>
      <c r="AZ2140" s="9"/>
      <c r="BA2140" s="9"/>
      <c r="BB2140" s="9"/>
      <c r="BC2140" s="9"/>
      <c r="BD2140" s="9"/>
      <c r="BE2140" s="9"/>
      <c r="BF2140" s="9"/>
      <c r="BG2140" s="9"/>
      <c r="BH2140" s="9"/>
    </row>
    <row r="2141" spans="1:60" s="4" customFormat="1" ht="89.25" x14ac:dyDescent="0.25">
      <c r="A2141" s="9" t="s">
        <v>3575</v>
      </c>
      <c r="B2141" s="9" t="s">
        <v>13</v>
      </c>
      <c r="C2141" s="112" t="s">
        <v>2650</v>
      </c>
      <c r="D2141" s="90">
        <v>3997</v>
      </c>
      <c r="E2141" s="15" t="s">
        <v>2597</v>
      </c>
      <c r="F2141" s="11">
        <v>39083</v>
      </c>
      <c r="G2141" s="11">
        <v>42369</v>
      </c>
      <c r="H2141" s="9" t="s">
        <v>2593</v>
      </c>
      <c r="I2141" s="16">
        <v>1917371.46</v>
      </c>
      <c r="J2141" s="16">
        <v>1917371.46</v>
      </c>
      <c r="K2141" s="112" t="s">
        <v>2650</v>
      </c>
      <c r="L2141" s="121"/>
      <c r="M2141" s="12"/>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AY2141" s="9"/>
      <c r="AZ2141" s="9"/>
      <c r="BA2141" s="9"/>
      <c r="BB2141" s="9"/>
      <c r="BC2141" s="9"/>
      <c r="BD2141" s="9"/>
      <c r="BE2141" s="9"/>
      <c r="BF2141" s="9"/>
      <c r="BG2141" s="9"/>
      <c r="BH2141" s="9"/>
    </row>
    <row r="2142" spans="1:60" s="4" customFormat="1" ht="63.75" x14ac:dyDescent="0.25">
      <c r="A2142" s="9" t="s">
        <v>3579</v>
      </c>
      <c r="B2142" s="9" t="s">
        <v>13</v>
      </c>
      <c r="C2142" s="112" t="s">
        <v>2650</v>
      </c>
      <c r="D2142" s="90">
        <v>10240</v>
      </c>
      <c r="E2142" s="9" t="s">
        <v>3580</v>
      </c>
      <c r="F2142" s="11">
        <v>40533</v>
      </c>
      <c r="G2142" s="11">
        <v>42825</v>
      </c>
      <c r="H2142" s="9" t="s">
        <v>2593</v>
      </c>
      <c r="I2142" s="16">
        <v>668926.85</v>
      </c>
      <c r="J2142" s="16">
        <v>668926.85</v>
      </c>
      <c r="K2142" s="112" t="s">
        <v>2650</v>
      </c>
      <c r="L2142" s="121"/>
      <c r="M2142" s="12"/>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row>
    <row r="2143" spans="1:60" s="4" customFormat="1" ht="127.5" x14ac:dyDescent="0.25">
      <c r="A2143" s="9" t="s">
        <v>3581</v>
      </c>
      <c r="B2143" s="9" t="s">
        <v>13</v>
      </c>
      <c r="C2143" s="112" t="s">
        <v>2650</v>
      </c>
      <c r="D2143" s="90">
        <v>10241</v>
      </c>
      <c r="E2143" s="15" t="s">
        <v>3582</v>
      </c>
      <c r="F2143" s="11">
        <v>40533</v>
      </c>
      <c r="G2143" s="11">
        <v>43465</v>
      </c>
      <c r="H2143" s="9" t="s">
        <v>2593</v>
      </c>
      <c r="I2143" s="16">
        <v>2226185.4700000002</v>
      </c>
      <c r="J2143" s="16">
        <v>2226185.4700000002</v>
      </c>
      <c r="K2143" s="112" t="s">
        <v>2650</v>
      </c>
      <c r="L2143" s="11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c r="AV2143" s="9"/>
      <c r="AW2143" s="9"/>
      <c r="AX2143" s="9"/>
      <c r="AY2143" s="9"/>
      <c r="AZ2143" s="9"/>
      <c r="BA2143" s="9"/>
      <c r="BB2143" s="9"/>
      <c r="BC2143" s="9"/>
      <c r="BD2143" s="9"/>
      <c r="BE2143" s="9"/>
      <c r="BF2143" s="9"/>
      <c r="BG2143" s="9"/>
      <c r="BH2143" s="9"/>
    </row>
    <row r="2144" spans="1:60" s="4" customFormat="1" ht="153" x14ac:dyDescent="0.25">
      <c r="A2144" s="4" t="s">
        <v>3583</v>
      </c>
      <c r="B2144" s="9" t="s">
        <v>13</v>
      </c>
      <c r="C2144" s="37" t="s">
        <v>2650</v>
      </c>
      <c r="D2144" s="35">
        <v>12014</v>
      </c>
      <c r="E2144" s="7" t="s">
        <v>3584</v>
      </c>
      <c r="F2144" s="5">
        <v>41264</v>
      </c>
      <c r="G2144" s="5">
        <v>42825</v>
      </c>
      <c r="H2144" s="9" t="s">
        <v>2593</v>
      </c>
      <c r="I2144" s="6">
        <v>10888237.43</v>
      </c>
      <c r="J2144" s="6">
        <v>10888237.43</v>
      </c>
      <c r="K2144" s="37" t="s">
        <v>2650</v>
      </c>
      <c r="L2144" s="121"/>
      <c r="M2144" s="12"/>
    </row>
    <row r="2145" spans="1:60" s="4" customFormat="1" ht="89.25" x14ac:dyDescent="0.25">
      <c r="A2145" s="9" t="s">
        <v>3578</v>
      </c>
      <c r="B2145" s="9" t="s">
        <v>13</v>
      </c>
      <c r="C2145" s="112" t="s">
        <v>2650</v>
      </c>
      <c r="D2145" s="90">
        <v>4329</v>
      </c>
      <c r="E2145" s="15" t="s">
        <v>3572</v>
      </c>
      <c r="F2145" s="11">
        <v>39083</v>
      </c>
      <c r="G2145" s="11">
        <v>42369</v>
      </c>
      <c r="H2145" s="9" t="s">
        <v>2593</v>
      </c>
      <c r="I2145" s="16">
        <v>222371.13</v>
      </c>
      <c r="J2145" s="16">
        <v>222371.13</v>
      </c>
      <c r="K2145" s="112" t="s">
        <v>2650</v>
      </c>
      <c r="L2145" s="121"/>
      <c r="M2145" s="12"/>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c r="AV2145" s="9"/>
      <c r="AW2145" s="9"/>
      <c r="AX2145" s="9"/>
      <c r="AY2145" s="9"/>
      <c r="AZ2145" s="9"/>
      <c r="BA2145" s="9"/>
      <c r="BB2145" s="9"/>
      <c r="BC2145" s="9"/>
      <c r="BD2145" s="9"/>
      <c r="BE2145" s="9"/>
      <c r="BF2145" s="9"/>
      <c r="BG2145" s="9"/>
      <c r="BH2145" s="9"/>
    </row>
    <row r="2146" spans="1:60" s="4" customFormat="1" ht="102" x14ac:dyDescent="0.25">
      <c r="A2146" s="4" t="s">
        <v>3585</v>
      </c>
      <c r="B2146" s="4" t="s">
        <v>13</v>
      </c>
      <c r="C2146" s="37" t="s">
        <v>2650</v>
      </c>
      <c r="D2146" s="90">
        <v>12011</v>
      </c>
      <c r="E2146" s="7" t="s">
        <v>3586</v>
      </c>
      <c r="F2146" s="5">
        <v>40544</v>
      </c>
      <c r="G2146" s="5">
        <v>42825</v>
      </c>
      <c r="H2146" s="4" t="s">
        <v>3587</v>
      </c>
      <c r="I2146" s="6">
        <v>1557288.13</v>
      </c>
      <c r="J2146" s="6">
        <f>890536.82+413654.9+253096.41</f>
        <v>1557288.13</v>
      </c>
      <c r="K2146" s="37" t="s">
        <v>2650</v>
      </c>
      <c r="L2146" s="119"/>
      <c r="M2146" s="3"/>
    </row>
    <row r="2147" spans="1:60" s="4" customFormat="1" ht="102" x14ac:dyDescent="0.25">
      <c r="A2147" s="4" t="s">
        <v>3588</v>
      </c>
      <c r="B2147" s="4" t="s">
        <v>13</v>
      </c>
      <c r="C2147" s="37" t="s">
        <v>2650</v>
      </c>
      <c r="D2147" s="90">
        <v>12056</v>
      </c>
      <c r="E2147" s="7" t="s">
        <v>3589</v>
      </c>
      <c r="F2147" s="5">
        <v>40544</v>
      </c>
      <c r="G2147" s="5">
        <v>42825</v>
      </c>
      <c r="H2147" s="4" t="s">
        <v>3587</v>
      </c>
      <c r="I2147" s="6">
        <v>1567404.73</v>
      </c>
      <c r="J2147" s="6">
        <f>983394.96+380010.28</f>
        <v>1363405.24</v>
      </c>
      <c r="K2147" s="37" t="s">
        <v>2650</v>
      </c>
      <c r="L2147" s="119"/>
      <c r="M2147" s="3"/>
    </row>
    <row r="2148" spans="1:60" s="4" customFormat="1" ht="127.5" x14ac:dyDescent="0.25">
      <c r="A2148" s="4" t="s">
        <v>3590</v>
      </c>
      <c r="B2148" s="4" t="s">
        <v>13</v>
      </c>
      <c r="C2148" s="37" t="s">
        <v>2650</v>
      </c>
      <c r="D2148" s="90">
        <v>12057</v>
      </c>
      <c r="E2148" s="7" t="s">
        <v>3591</v>
      </c>
      <c r="F2148" s="5">
        <v>40544</v>
      </c>
      <c r="G2148" s="5">
        <v>42825</v>
      </c>
      <c r="H2148" s="4" t="s">
        <v>3587</v>
      </c>
      <c r="I2148" s="6">
        <f>1032867.84+162666.26+303249.4</f>
        <v>1498783.5</v>
      </c>
      <c r="J2148" s="6">
        <f>2968000+303249.4+203999.49+162666.26</f>
        <v>3637915.1499999994</v>
      </c>
      <c r="K2148" s="37" t="s">
        <v>2650</v>
      </c>
      <c r="L2148" s="119"/>
      <c r="M2148" s="3"/>
    </row>
    <row r="2149" spans="1:60" s="4" customFormat="1" ht="102" x14ac:dyDescent="0.25">
      <c r="A2149" s="4" t="s">
        <v>3592</v>
      </c>
      <c r="B2149" s="4" t="s">
        <v>13</v>
      </c>
      <c r="C2149" s="37" t="s">
        <v>2650</v>
      </c>
      <c r="D2149" s="90">
        <v>12058</v>
      </c>
      <c r="E2149" s="7" t="s">
        <v>3593</v>
      </c>
      <c r="F2149" s="5">
        <v>40544</v>
      </c>
      <c r="G2149" s="5">
        <v>42825</v>
      </c>
      <c r="H2149" s="4" t="s">
        <v>3587</v>
      </c>
      <c r="I2149" s="6">
        <f>907775.82+333942.87+260689.41</f>
        <v>1502408.0999999999</v>
      </c>
      <c r="J2149" s="6">
        <f>907775.82+333942.87+260689.41</f>
        <v>1502408.0999999999</v>
      </c>
      <c r="K2149" s="37" t="s">
        <v>2650</v>
      </c>
      <c r="L2149" s="119"/>
      <c r="M2149" s="3"/>
    </row>
    <row r="2150" spans="1:60" s="32" customFormat="1" ht="63.75" x14ac:dyDescent="0.25">
      <c r="A2150" s="13" t="s">
        <v>11542</v>
      </c>
      <c r="B2150" s="32" t="s">
        <v>13</v>
      </c>
      <c r="C2150" s="38" t="s">
        <v>2650</v>
      </c>
      <c r="D2150" s="33">
        <v>12989</v>
      </c>
      <c r="E2150" s="13" t="s">
        <v>11543</v>
      </c>
      <c r="F2150" s="34">
        <v>40544</v>
      </c>
      <c r="G2150" s="34">
        <v>42825</v>
      </c>
      <c r="H2150" s="4" t="s">
        <v>3587</v>
      </c>
      <c r="I2150" s="94">
        <f>467198.79+95999.76</f>
        <v>563198.54999999993</v>
      </c>
      <c r="J2150" s="94">
        <f>467198.79+95999.76</f>
        <v>563198.54999999993</v>
      </c>
      <c r="K2150" s="38" t="s">
        <v>2650</v>
      </c>
      <c r="L2150" s="122"/>
    </row>
    <row r="2151" spans="1:60" s="32" customFormat="1" ht="51" x14ac:dyDescent="0.25">
      <c r="A2151" s="13" t="s">
        <v>11544</v>
      </c>
      <c r="B2151" s="32" t="s">
        <v>13</v>
      </c>
      <c r="C2151" s="38" t="s">
        <v>2650</v>
      </c>
      <c r="D2151" s="33">
        <v>12990</v>
      </c>
      <c r="E2151" s="13" t="s">
        <v>11531</v>
      </c>
      <c r="F2151" s="34">
        <v>40544</v>
      </c>
      <c r="G2151" s="34">
        <v>42825</v>
      </c>
      <c r="H2151" s="4" t="s">
        <v>3587</v>
      </c>
      <c r="I2151" s="94">
        <f>219961.53+7999.98</f>
        <v>227961.51</v>
      </c>
      <c r="J2151" s="94">
        <f>219961.53+7999.98</f>
        <v>227961.51</v>
      </c>
      <c r="K2151" s="38" t="s">
        <v>2650</v>
      </c>
      <c r="L2151" s="122"/>
    </row>
    <row r="2152" spans="1:60" s="32" customFormat="1" ht="63.75" x14ac:dyDescent="0.25">
      <c r="A2152" s="13" t="s">
        <v>11545</v>
      </c>
      <c r="B2152" s="32" t="s">
        <v>13</v>
      </c>
      <c r="C2152" s="38" t="s">
        <v>2650</v>
      </c>
      <c r="D2152" s="33">
        <v>12991</v>
      </c>
      <c r="E2152" s="13" t="s">
        <v>11546</v>
      </c>
      <c r="F2152" s="34">
        <v>40544</v>
      </c>
      <c r="G2152" s="34">
        <v>42825</v>
      </c>
      <c r="H2152" s="4" t="s">
        <v>3587</v>
      </c>
      <c r="I2152" s="94">
        <f>96728.86+40870.78</f>
        <v>137599.64000000001</v>
      </c>
      <c r="J2152" s="94">
        <f>96728.86+40870.78</f>
        <v>137599.64000000001</v>
      </c>
      <c r="K2152" s="38" t="s">
        <v>2650</v>
      </c>
      <c r="L2152" s="122"/>
    </row>
    <row r="2153" spans="1:60" s="32" customFormat="1" ht="63.75" x14ac:dyDescent="0.25">
      <c r="A2153" s="13" t="s">
        <v>11547</v>
      </c>
      <c r="B2153" s="32" t="s">
        <v>13</v>
      </c>
      <c r="C2153" s="38" t="s">
        <v>2650</v>
      </c>
      <c r="D2153" s="33">
        <v>12992</v>
      </c>
      <c r="E2153" s="13" t="s">
        <v>11548</v>
      </c>
      <c r="F2153" s="34">
        <v>40544</v>
      </c>
      <c r="G2153" s="34">
        <v>42825</v>
      </c>
      <c r="H2153" s="4" t="s">
        <v>3587</v>
      </c>
      <c r="I2153" s="94">
        <v>179349.01</v>
      </c>
      <c r="J2153" s="94">
        <v>179349.01</v>
      </c>
      <c r="K2153" s="38" t="s">
        <v>2650</v>
      </c>
      <c r="L2153" s="122"/>
    </row>
    <row r="2154" spans="1:60" s="32" customFormat="1" ht="63.75" x14ac:dyDescent="0.25">
      <c r="A2154" s="13" t="s">
        <v>11549</v>
      </c>
      <c r="B2154" s="32" t="s">
        <v>13</v>
      </c>
      <c r="C2154" s="38" t="s">
        <v>2650</v>
      </c>
      <c r="D2154" s="33">
        <v>12997</v>
      </c>
      <c r="E2154" s="13" t="s">
        <v>11550</v>
      </c>
      <c r="F2154" s="34">
        <v>40544</v>
      </c>
      <c r="G2154" s="34">
        <v>42825</v>
      </c>
      <c r="H2154" s="4" t="s">
        <v>3587</v>
      </c>
      <c r="I2154" s="94">
        <f>899549.2+111177.25</f>
        <v>1010726.45</v>
      </c>
      <c r="J2154" s="94">
        <f>899549.2+111177.25</f>
        <v>1010726.45</v>
      </c>
      <c r="K2154" s="38" t="s">
        <v>2650</v>
      </c>
      <c r="L2154" s="122"/>
    </row>
    <row r="2155" spans="1:60" s="32" customFormat="1" ht="51" x14ac:dyDescent="0.25">
      <c r="A2155" s="13" t="s">
        <v>11551</v>
      </c>
      <c r="B2155" s="32" t="s">
        <v>13</v>
      </c>
      <c r="C2155" s="38" t="s">
        <v>2650</v>
      </c>
      <c r="D2155" s="33">
        <v>12998</v>
      </c>
      <c r="E2155" s="13" t="s">
        <v>11552</v>
      </c>
      <c r="F2155" s="34">
        <v>40544</v>
      </c>
      <c r="G2155" s="34">
        <v>42825</v>
      </c>
      <c r="H2155" s="4" t="s">
        <v>3587</v>
      </c>
      <c r="I2155" s="94">
        <f>236001.02+41843.96</f>
        <v>277844.98</v>
      </c>
      <c r="J2155" s="94">
        <f>236001.02+41843.96</f>
        <v>277844.98</v>
      </c>
      <c r="K2155" s="38" t="s">
        <v>2650</v>
      </c>
      <c r="L2155" s="122"/>
    </row>
    <row r="2156" spans="1:60" s="32" customFormat="1" ht="76.5" x14ac:dyDescent="0.25">
      <c r="A2156" s="13" t="s">
        <v>11553</v>
      </c>
      <c r="B2156" s="32" t="s">
        <v>13</v>
      </c>
      <c r="C2156" s="38" t="s">
        <v>2650</v>
      </c>
      <c r="D2156" s="33">
        <v>12999</v>
      </c>
      <c r="E2156" s="13" t="s">
        <v>11554</v>
      </c>
      <c r="F2156" s="34">
        <v>40544</v>
      </c>
      <c r="G2156" s="34">
        <v>42825</v>
      </c>
      <c r="H2156" s="4" t="s">
        <v>3587</v>
      </c>
      <c r="I2156" s="94">
        <f>121472.11+36343.98</f>
        <v>157816.09</v>
      </c>
      <c r="J2156" s="94">
        <f>121472.11+36343.98</f>
        <v>157816.09</v>
      </c>
      <c r="K2156" s="38" t="s">
        <v>2650</v>
      </c>
      <c r="L2156" s="122"/>
    </row>
    <row r="2157" spans="1:60" s="32" customFormat="1" ht="63.75" x14ac:dyDescent="0.25">
      <c r="A2157" s="13" t="s">
        <v>11555</v>
      </c>
      <c r="B2157" s="32" t="s">
        <v>13</v>
      </c>
      <c r="C2157" s="38" t="s">
        <v>2650</v>
      </c>
      <c r="D2157" s="33">
        <v>13000</v>
      </c>
      <c r="E2157" s="13" t="s">
        <v>11539</v>
      </c>
      <c r="F2157" s="34">
        <v>40544</v>
      </c>
      <c r="G2157" s="34">
        <v>42825</v>
      </c>
      <c r="H2157" s="4" t="s">
        <v>3587</v>
      </c>
      <c r="I2157" s="94">
        <f>589682.52+89333.11</f>
        <v>679015.63</v>
      </c>
      <c r="J2157" s="94">
        <f>589682.52+89333.11</f>
        <v>679015.63</v>
      </c>
      <c r="K2157" s="38" t="s">
        <v>2650</v>
      </c>
      <c r="L2157" s="122"/>
    </row>
    <row r="2158" spans="1:60" s="32" customFormat="1" ht="89.25" x14ac:dyDescent="0.25">
      <c r="A2158" s="13" t="s">
        <v>11556</v>
      </c>
      <c r="B2158" s="32" t="s">
        <v>13</v>
      </c>
      <c r="C2158" s="38" t="s">
        <v>2650</v>
      </c>
      <c r="D2158" s="33">
        <v>13001</v>
      </c>
      <c r="E2158" s="13" t="s">
        <v>11557</v>
      </c>
      <c r="F2158" s="34">
        <v>40544</v>
      </c>
      <c r="G2158" s="34">
        <v>42825</v>
      </c>
      <c r="H2158" s="4" t="s">
        <v>3587</v>
      </c>
      <c r="I2158" s="94">
        <v>27538</v>
      </c>
      <c r="J2158" s="94">
        <v>27538</v>
      </c>
      <c r="K2158" s="38" t="s">
        <v>2650</v>
      </c>
      <c r="L2158" s="122"/>
    </row>
    <row r="2159" spans="1:60" s="32" customFormat="1" ht="114.75" x14ac:dyDescent="0.25">
      <c r="A2159" s="13" t="s">
        <v>11558</v>
      </c>
      <c r="B2159" s="32" t="s">
        <v>13</v>
      </c>
      <c r="C2159" s="38" t="s">
        <v>2650</v>
      </c>
      <c r="D2159" s="33">
        <v>13002</v>
      </c>
      <c r="E2159" s="13" t="s">
        <v>11559</v>
      </c>
      <c r="F2159" s="34">
        <v>40544</v>
      </c>
      <c r="G2159" s="34">
        <v>42825</v>
      </c>
      <c r="H2159" s="4" t="s">
        <v>3587</v>
      </c>
      <c r="I2159" s="94">
        <f>357749.35+59999.85</f>
        <v>417749.19999999995</v>
      </c>
      <c r="J2159" s="94">
        <f>357749.35+59999.85</f>
        <v>417749.19999999995</v>
      </c>
      <c r="K2159" s="38" t="s">
        <v>2650</v>
      </c>
      <c r="L2159" s="122"/>
    </row>
    <row r="2160" spans="1:60" s="32" customFormat="1" ht="63.75" x14ac:dyDescent="0.25">
      <c r="A2160" s="13" t="s">
        <v>11560</v>
      </c>
      <c r="B2160" s="32" t="s">
        <v>13</v>
      </c>
      <c r="C2160" s="38" t="s">
        <v>2650</v>
      </c>
      <c r="D2160" s="33">
        <v>13003</v>
      </c>
      <c r="E2160" s="13" t="s">
        <v>11561</v>
      </c>
      <c r="F2160" s="34">
        <v>40544</v>
      </c>
      <c r="G2160" s="34">
        <v>42825</v>
      </c>
      <c r="H2160" s="4" t="s">
        <v>3587</v>
      </c>
      <c r="I2160" s="94">
        <f>757826.64+109333.06</f>
        <v>867159.7</v>
      </c>
      <c r="J2160" s="94">
        <f>757826.64+109333.06</f>
        <v>867159.7</v>
      </c>
      <c r="K2160" s="38" t="s">
        <v>2650</v>
      </c>
      <c r="L2160" s="122"/>
    </row>
    <row r="2161" spans="1:14" s="32" customFormat="1" ht="51" x14ac:dyDescent="0.25">
      <c r="A2161" s="13" t="s">
        <v>11562</v>
      </c>
      <c r="B2161" s="32" t="s">
        <v>13</v>
      </c>
      <c r="C2161" s="38" t="s">
        <v>2650</v>
      </c>
      <c r="D2161" s="33">
        <v>13004</v>
      </c>
      <c r="E2161" s="13" t="s">
        <v>11563</v>
      </c>
      <c r="F2161" s="34">
        <v>40544</v>
      </c>
      <c r="G2161" s="34">
        <v>42825</v>
      </c>
      <c r="H2161" s="4" t="s">
        <v>3587</v>
      </c>
      <c r="I2161" s="94">
        <f>571573.51+235443.8</f>
        <v>807017.31</v>
      </c>
      <c r="J2161" s="94">
        <f>571573.51+235443.8</f>
        <v>807017.31</v>
      </c>
      <c r="K2161" s="38" t="s">
        <v>2650</v>
      </c>
      <c r="L2161" s="122"/>
    </row>
    <row r="2162" spans="1:14" s="32" customFormat="1" ht="102" x14ac:dyDescent="0.25">
      <c r="A2162" s="13" t="s">
        <v>11564</v>
      </c>
      <c r="B2162" s="32" t="s">
        <v>13</v>
      </c>
      <c r="C2162" s="38" t="s">
        <v>2650</v>
      </c>
      <c r="D2162" s="33">
        <v>13005</v>
      </c>
      <c r="E2162" s="13" t="s">
        <v>11533</v>
      </c>
      <c r="F2162" s="34">
        <v>40544</v>
      </c>
      <c r="G2162" s="34">
        <v>42825</v>
      </c>
      <c r="H2162" s="4" t="s">
        <v>3587</v>
      </c>
      <c r="I2162" s="94">
        <f>563346.48+142629.95</f>
        <v>705976.42999999993</v>
      </c>
      <c r="J2162" s="94">
        <f>563346.48+142629.95</f>
        <v>705976.42999999993</v>
      </c>
      <c r="K2162" s="38" t="s">
        <v>2650</v>
      </c>
      <c r="L2162" s="122"/>
    </row>
    <row r="2163" spans="1:14" s="32" customFormat="1" ht="63.75" x14ac:dyDescent="0.25">
      <c r="A2163" s="13" t="s">
        <v>11565</v>
      </c>
      <c r="B2163" s="32" t="s">
        <v>13</v>
      </c>
      <c r="C2163" s="38" t="s">
        <v>2650</v>
      </c>
      <c r="D2163" s="33">
        <v>13006</v>
      </c>
      <c r="E2163" s="13" t="s">
        <v>11566</v>
      </c>
      <c r="F2163" s="34">
        <v>40544</v>
      </c>
      <c r="G2163" s="34">
        <v>42825</v>
      </c>
      <c r="H2163" s="4" t="s">
        <v>3587</v>
      </c>
      <c r="I2163" s="94">
        <v>395089.39</v>
      </c>
      <c r="J2163" s="94">
        <v>395089.39</v>
      </c>
      <c r="K2163" s="38" t="s">
        <v>2650</v>
      </c>
      <c r="L2163" s="122"/>
    </row>
    <row r="2164" spans="1:14" s="32" customFormat="1" ht="102" x14ac:dyDescent="0.25">
      <c r="A2164" s="13" t="s">
        <v>11567</v>
      </c>
      <c r="B2164" s="32" t="s">
        <v>13</v>
      </c>
      <c r="C2164" s="38" t="s">
        <v>2650</v>
      </c>
      <c r="D2164" s="33">
        <v>13007</v>
      </c>
      <c r="E2164" s="13" t="s">
        <v>11568</v>
      </c>
      <c r="F2164" s="34">
        <v>40544</v>
      </c>
      <c r="G2164" s="34">
        <v>42825</v>
      </c>
      <c r="H2164" s="4" t="s">
        <v>3587</v>
      </c>
      <c r="I2164" s="94">
        <f>434409.1+122051.21</f>
        <v>556460.30999999994</v>
      </c>
      <c r="J2164" s="94">
        <f>434409.1+122051.21</f>
        <v>556460.30999999994</v>
      </c>
      <c r="K2164" s="38" t="s">
        <v>2650</v>
      </c>
      <c r="L2164" s="122"/>
    </row>
    <row r="2165" spans="1:14" s="4" customFormat="1" ht="25.5" x14ac:dyDescent="0.25">
      <c r="A2165" s="4" t="s">
        <v>3594</v>
      </c>
      <c r="B2165" s="4" t="s">
        <v>13</v>
      </c>
      <c r="C2165" s="37" t="s">
        <v>2650</v>
      </c>
      <c r="D2165" s="35">
        <v>9473</v>
      </c>
      <c r="E2165" s="4" t="s">
        <v>3595</v>
      </c>
      <c r="F2165" s="5">
        <v>40037</v>
      </c>
      <c r="G2165" s="5">
        <v>40388</v>
      </c>
      <c r="H2165" s="4" t="s">
        <v>2027</v>
      </c>
      <c r="I2165" s="6">
        <v>23856</v>
      </c>
      <c r="J2165" s="6">
        <v>9000</v>
      </c>
      <c r="K2165" s="37" t="s">
        <v>2650</v>
      </c>
      <c r="L2165" s="119"/>
      <c r="M2165" s="3"/>
    </row>
    <row r="2166" spans="1:14" s="4" customFormat="1" ht="25.5" x14ac:dyDescent="0.25">
      <c r="A2166" s="4" t="s">
        <v>3596</v>
      </c>
      <c r="B2166" s="4" t="s">
        <v>13</v>
      </c>
      <c r="C2166" s="37" t="s">
        <v>2650</v>
      </c>
      <c r="D2166" s="35">
        <v>9474</v>
      </c>
      <c r="E2166" s="4" t="s">
        <v>3597</v>
      </c>
      <c r="F2166" s="5">
        <v>40092</v>
      </c>
      <c r="G2166" s="5">
        <v>40359</v>
      </c>
      <c r="H2166" s="4" t="s">
        <v>2027</v>
      </c>
      <c r="I2166" s="6">
        <v>40475</v>
      </c>
      <c r="J2166" s="6">
        <v>16190</v>
      </c>
      <c r="K2166" s="37" t="s">
        <v>2650</v>
      </c>
      <c r="L2166" s="119"/>
      <c r="M2166" s="3"/>
    </row>
    <row r="2167" spans="1:14" s="4" customFormat="1" ht="102" x14ac:dyDescent="0.25">
      <c r="A2167" s="4" t="s">
        <v>3598</v>
      </c>
      <c r="B2167" s="4" t="s">
        <v>13</v>
      </c>
      <c r="C2167" s="37" t="s">
        <v>2650</v>
      </c>
      <c r="D2167" s="35">
        <v>10194</v>
      </c>
      <c r="E2167" s="7" t="s">
        <v>3599</v>
      </c>
      <c r="F2167" s="5">
        <v>40470</v>
      </c>
      <c r="G2167" s="5">
        <v>40868</v>
      </c>
      <c r="H2167" s="4" t="s">
        <v>2027</v>
      </c>
      <c r="I2167" s="6">
        <v>82594.740000000005</v>
      </c>
      <c r="J2167" s="6">
        <v>37167.629999999997</v>
      </c>
      <c r="K2167" s="37" t="s">
        <v>2650</v>
      </c>
      <c r="L2167" s="119"/>
      <c r="M2167" s="3"/>
    </row>
    <row r="2168" spans="1:14" s="4" customFormat="1" ht="153" x14ac:dyDescent="0.25">
      <c r="A2168" s="4" t="s">
        <v>3600</v>
      </c>
      <c r="B2168" s="4" t="s">
        <v>13</v>
      </c>
      <c r="C2168" s="37" t="s">
        <v>2650</v>
      </c>
      <c r="D2168" s="35">
        <v>3337</v>
      </c>
      <c r="E2168" s="7" t="s">
        <v>3601</v>
      </c>
      <c r="F2168" s="5">
        <v>39083</v>
      </c>
      <c r="G2168" s="5">
        <v>42339</v>
      </c>
      <c r="H2168" s="4" t="s">
        <v>2637</v>
      </c>
      <c r="I2168" s="17">
        <v>363695.06</v>
      </c>
      <c r="J2168" s="17">
        <v>363697.06</v>
      </c>
      <c r="K2168" s="37" t="s">
        <v>2650</v>
      </c>
      <c r="L2168" s="119"/>
      <c r="M2168" s="3"/>
    </row>
    <row r="2169" spans="1:14" s="4" customFormat="1" ht="140.25" x14ac:dyDescent="0.25">
      <c r="A2169" s="4" t="s">
        <v>3602</v>
      </c>
      <c r="B2169" s="4" t="s">
        <v>13</v>
      </c>
      <c r="C2169" s="37" t="s">
        <v>2650</v>
      </c>
      <c r="D2169" s="35">
        <v>3440</v>
      </c>
      <c r="E2169" s="7" t="s">
        <v>3603</v>
      </c>
      <c r="F2169" s="5">
        <v>39083</v>
      </c>
      <c r="G2169" s="5">
        <v>42369</v>
      </c>
      <c r="H2169" s="4" t="s">
        <v>2637</v>
      </c>
      <c r="I2169" s="17">
        <v>166555.54999999999</v>
      </c>
      <c r="J2169" s="17">
        <v>166555.54999999999</v>
      </c>
      <c r="K2169" s="37" t="s">
        <v>2650</v>
      </c>
      <c r="L2169" s="119"/>
      <c r="M2169" s="3"/>
    </row>
    <row r="2170" spans="1:14" s="4" customFormat="1" ht="153" x14ac:dyDescent="0.25">
      <c r="A2170" s="4" t="s">
        <v>3604</v>
      </c>
      <c r="B2170" s="4" t="s">
        <v>13</v>
      </c>
      <c r="C2170" s="37" t="s">
        <v>2650</v>
      </c>
      <c r="D2170" s="35">
        <v>3455</v>
      </c>
      <c r="E2170" s="7" t="s">
        <v>3605</v>
      </c>
      <c r="F2170" s="5">
        <v>39083</v>
      </c>
      <c r="G2170" s="5">
        <v>42369</v>
      </c>
      <c r="H2170" s="4" t="s">
        <v>2637</v>
      </c>
      <c r="I2170" s="17">
        <v>1614059.46</v>
      </c>
      <c r="J2170" s="17">
        <v>1614057.46</v>
      </c>
      <c r="K2170" s="37" t="s">
        <v>2650</v>
      </c>
      <c r="L2170" s="119"/>
      <c r="M2170" s="3"/>
    </row>
    <row r="2171" spans="1:14" s="4" customFormat="1" ht="153" x14ac:dyDescent="0.25">
      <c r="A2171" s="4" t="s">
        <v>3606</v>
      </c>
      <c r="B2171" s="4" t="s">
        <v>13</v>
      </c>
      <c r="C2171" s="37" t="s">
        <v>2650</v>
      </c>
      <c r="D2171" s="35">
        <v>4323</v>
      </c>
      <c r="E2171" s="7" t="s">
        <v>3607</v>
      </c>
      <c r="F2171" s="5">
        <v>39083</v>
      </c>
      <c r="G2171" s="5">
        <v>42369</v>
      </c>
      <c r="H2171" s="4" t="s">
        <v>2637</v>
      </c>
      <c r="I2171" s="17">
        <v>5071204.1500000004</v>
      </c>
      <c r="J2171" s="17">
        <v>5071204.1500000004</v>
      </c>
      <c r="K2171" s="37" t="s">
        <v>2650</v>
      </c>
      <c r="L2171" s="119"/>
      <c r="M2171" s="3"/>
    </row>
    <row r="2172" spans="1:14" s="4" customFormat="1" x14ac:dyDescent="0.25">
      <c r="C2172" s="37" t="s">
        <v>2650</v>
      </c>
      <c r="D2172" s="35"/>
      <c r="E2172" s="26" t="s">
        <v>351</v>
      </c>
      <c r="F2172" s="28"/>
      <c r="G2172" s="28"/>
      <c r="H2172" s="26"/>
      <c r="I2172" s="27">
        <f>SUM(I1541:I1555)</f>
        <v>1037840.0900000002</v>
      </c>
      <c r="J2172" s="27">
        <f>SUM(J1541:J1555)</f>
        <v>260565.3</v>
      </c>
      <c r="K2172" s="37" t="s">
        <v>2650</v>
      </c>
      <c r="L2172" s="119"/>
      <c r="M2172" s="3"/>
    </row>
    <row r="2173" spans="1:14" s="4" customFormat="1" x14ac:dyDescent="0.25">
      <c r="C2173" s="37" t="s">
        <v>2650</v>
      </c>
      <c r="D2173" s="35"/>
      <c r="E2173" s="26" t="s">
        <v>2643</v>
      </c>
      <c r="F2173" s="28"/>
      <c r="G2173" s="28"/>
      <c r="H2173" s="26"/>
      <c r="I2173" s="27">
        <f>SUM(I1556:I1862)</f>
        <v>32587898.240000017</v>
      </c>
      <c r="J2173" s="27">
        <f>SUM(J1556:J1862)</f>
        <v>32587898.240000017</v>
      </c>
      <c r="K2173" s="37" t="s">
        <v>2650</v>
      </c>
      <c r="L2173" s="119"/>
      <c r="M2173" s="3"/>
      <c r="N2173" s="3"/>
    </row>
    <row r="2174" spans="1:14" s="4" customFormat="1" x14ac:dyDescent="0.25">
      <c r="C2174" s="37" t="s">
        <v>2650</v>
      </c>
      <c r="D2174" s="35"/>
      <c r="E2174" s="26" t="s">
        <v>786</v>
      </c>
      <c r="F2174" s="28"/>
      <c r="G2174" s="28"/>
      <c r="H2174" s="26"/>
      <c r="I2174" s="27">
        <f>SUM(I1863:I1883)</f>
        <v>6211246.7400000002</v>
      </c>
      <c r="J2174" s="27">
        <f>SUM(J1863:J1883)</f>
        <v>1765396.34</v>
      </c>
      <c r="K2174" s="37" t="s">
        <v>2650</v>
      </c>
      <c r="L2174" s="119"/>
      <c r="M2174" s="3"/>
      <c r="N2174" s="3"/>
    </row>
    <row r="2175" spans="1:14" s="4" customFormat="1" x14ac:dyDescent="0.25">
      <c r="C2175" s="37" t="s">
        <v>2650</v>
      </c>
      <c r="D2175" s="35"/>
      <c r="E2175" s="26" t="s">
        <v>3608</v>
      </c>
      <c r="F2175" s="28"/>
      <c r="G2175" s="28"/>
      <c r="H2175" s="26"/>
      <c r="I2175" s="27">
        <f>SUM(I1884)</f>
        <v>4192862.26</v>
      </c>
      <c r="J2175" s="27">
        <f>SUM(J1884)</f>
        <v>4192862.26</v>
      </c>
      <c r="K2175" s="37" t="s">
        <v>2650</v>
      </c>
      <c r="L2175" s="119"/>
      <c r="M2175" s="3"/>
      <c r="N2175" s="3"/>
    </row>
    <row r="2176" spans="1:14" s="4" customFormat="1" x14ac:dyDescent="0.25">
      <c r="C2176" s="37" t="s">
        <v>2650</v>
      </c>
      <c r="D2176" s="35"/>
      <c r="E2176" s="26" t="s">
        <v>11660</v>
      </c>
      <c r="F2176" s="28"/>
      <c r="G2176" s="28"/>
      <c r="H2176" s="26"/>
      <c r="I2176" s="27">
        <f>SUM(I1885)</f>
        <v>2108182.14</v>
      </c>
      <c r="J2176" s="27">
        <f>SUM(J1885)</f>
        <v>1054091.07</v>
      </c>
      <c r="K2176" s="37" t="s">
        <v>2650</v>
      </c>
      <c r="L2176" s="119"/>
      <c r="M2176" s="3"/>
      <c r="N2176" s="3"/>
    </row>
    <row r="2177" spans="1:14" s="4" customFormat="1" x14ac:dyDescent="0.25">
      <c r="C2177" s="37" t="s">
        <v>2650</v>
      </c>
      <c r="D2177" s="35"/>
      <c r="E2177" s="26" t="s">
        <v>352</v>
      </c>
      <c r="F2177" s="28"/>
      <c r="G2177" s="28"/>
      <c r="H2177" s="26"/>
      <c r="I2177" s="27">
        <f>SUM(I1886:I2130)</f>
        <v>5379557.0600000005</v>
      </c>
      <c r="J2177" s="27">
        <f>SUM(J1886:J2130)</f>
        <v>4379265.51</v>
      </c>
      <c r="K2177" s="37" t="s">
        <v>2650</v>
      </c>
      <c r="L2177" s="119"/>
      <c r="M2177" s="3"/>
      <c r="N2177" s="3"/>
    </row>
    <row r="2178" spans="1:14" s="4" customFormat="1" x14ac:dyDescent="0.25">
      <c r="C2178" s="37" t="s">
        <v>2650</v>
      </c>
      <c r="D2178" s="35"/>
      <c r="E2178" s="26" t="s">
        <v>3609</v>
      </c>
      <c r="F2178" s="28"/>
      <c r="G2178" s="28"/>
      <c r="H2178" s="26"/>
      <c r="I2178" s="27">
        <f>SUM(I2131:I2145)</f>
        <v>36055613.390000008</v>
      </c>
      <c r="J2178" s="27">
        <f>SUM(J2131:J2145)</f>
        <v>36055613.390000008</v>
      </c>
      <c r="K2178" s="37" t="s">
        <v>2650</v>
      </c>
      <c r="L2178" s="119"/>
      <c r="M2178" s="3"/>
      <c r="N2178" s="3"/>
    </row>
    <row r="2179" spans="1:14" s="4" customFormat="1" x14ac:dyDescent="0.25">
      <c r="C2179" s="37" t="s">
        <v>2650</v>
      </c>
      <c r="D2179" s="35"/>
      <c r="E2179" s="26" t="s">
        <v>3610</v>
      </c>
      <c r="F2179" s="28"/>
      <c r="G2179" s="28"/>
      <c r="H2179" s="26"/>
      <c r="I2179" s="27">
        <f>SUM(I2146:I2164)</f>
        <v>13136386.659999998</v>
      </c>
      <c r="J2179" s="27">
        <f>SUM(J2146:J2164)</f>
        <v>15071518.82</v>
      </c>
      <c r="K2179" s="37" t="s">
        <v>2650</v>
      </c>
      <c r="L2179" s="119"/>
      <c r="M2179" s="3"/>
    </row>
    <row r="2180" spans="1:14" s="4" customFormat="1" x14ac:dyDescent="0.25">
      <c r="C2180" s="37" t="s">
        <v>2650</v>
      </c>
      <c r="D2180" s="35"/>
      <c r="E2180" s="26" t="s">
        <v>2028</v>
      </c>
      <c r="F2180" s="28"/>
      <c r="G2180" s="28"/>
      <c r="H2180" s="26"/>
      <c r="I2180" s="27">
        <f>SUM(I2165:I2167)</f>
        <v>146925.74</v>
      </c>
      <c r="J2180" s="27">
        <f>SUM(J2165:J2167)</f>
        <v>62357.63</v>
      </c>
      <c r="K2180" s="37" t="s">
        <v>2650</v>
      </c>
      <c r="L2180" s="119"/>
      <c r="M2180" s="3"/>
      <c r="N2180" s="3"/>
    </row>
    <row r="2181" spans="1:14" s="4" customFormat="1" x14ac:dyDescent="0.25">
      <c r="C2181" s="37" t="s">
        <v>2650</v>
      </c>
      <c r="D2181" s="35"/>
      <c r="E2181" s="26" t="s">
        <v>2646</v>
      </c>
      <c r="F2181" s="28"/>
      <c r="G2181" s="28"/>
      <c r="H2181" s="26"/>
      <c r="I2181" s="27">
        <f>SUM(I2168:I2171)</f>
        <v>7215514.2200000007</v>
      </c>
      <c r="J2181" s="27">
        <f>SUM(J2168:J2171)</f>
        <v>7215514.2200000007</v>
      </c>
      <c r="K2181" s="37" t="s">
        <v>2650</v>
      </c>
      <c r="L2181" s="119"/>
      <c r="M2181" s="3"/>
    </row>
    <row r="2182" spans="1:14" s="4" customFormat="1" x14ac:dyDescent="0.25">
      <c r="C2182" s="37" t="s">
        <v>2650</v>
      </c>
      <c r="D2182" s="35"/>
      <c r="E2182" s="26" t="s">
        <v>3611</v>
      </c>
      <c r="F2182" s="28"/>
      <c r="G2182" s="28"/>
      <c r="H2182" s="26"/>
      <c r="I2182" s="27">
        <f>SUM(I2172:I2181)</f>
        <v>108072026.54000002</v>
      </c>
      <c r="J2182" s="27">
        <f>SUM(J2172:J2181)</f>
        <v>102645082.78</v>
      </c>
      <c r="K2182" s="37" t="s">
        <v>2650</v>
      </c>
      <c r="L2182" s="119">
        <f>J2182</f>
        <v>102645082.78</v>
      </c>
      <c r="M2182" s="3">
        <f>SUM(J2182*0.4)</f>
        <v>41058033.112000003</v>
      </c>
    </row>
    <row r="2183" spans="1:14" s="4" customFormat="1" x14ac:dyDescent="0.25">
      <c r="C2183" s="37"/>
      <c r="D2183" s="35"/>
      <c r="E2183" s="7"/>
      <c r="F2183" s="5"/>
      <c r="G2183" s="5"/>
      <c r="I2183" s="17"/>
      <c r="J2183" s="17"/>
      <c r="K2183" s="37"/>
      <c r="L2183" s="119"/>
      <c r="M2183" s="3"/>
    </row>
    <row r="2184" spans="1:14" s="4" customFormat="1" ht="25.5" x14ac:dyDescent="0.25">
      <c r="A2184" s="4" t="s">
        <v>3612</v>
      </c>
      <c r="B2184" s="4" t="s">
        <v>13</v>
      </c>
      <c r="C2184" s="37" t="s">
        <v>3614</v>
      </c>
      <c r="D2184" s="35">
        <v>3910</v>
      </c>
      <c r="E2184" s="4" t="s">
        <v>3613</v>
      </c>
      <c r="F2184" s="5">
        <v>39464</v>
      </c>
      <c r="G2184" s="5">
        <v>40330</v>
      </c>
      <c r="H2184" s="4" t="s">
        <v>16</v>
      </c>
      <c r="I2184" s="6">
        <v>181705.59</v>
      </c>
      <c r="J2184" s="6">
        <v>52296.4</v>
      </c>
      <c r="K2184" s="37" t="s">
        <v>3614</v>
      </c>
      <c r="L2184" s="119"/>
      <c r="M2184" s="3"/>
    </row>
    <row r="2185" spans="1:14" s="4" customFormat="1" ht="76.5" x14ac:dyDescent="0.25">
      <c r="A2185" s="4" t="s">
        <v>2670</v>
      </c>
      <c r="B2185" s="4" t="s">
        <v>13</v>
      </c>
      <c r="C2185" s="37" t="s">
        <v>3614</v>
      </c>
      <c r="D2185" s="35">
        <v>4174</v>
      </c>
      <c r="E2185" s="4" t="s">
        <v>3615</v>
      </c>
      <c r="F2185" s="5">
        <v>39847</v>
      </c>
      <c r="G2185" s="5">
        <v>39933</v>
      </c>
      <c r="H2185" s="4" t="s">
        <v>16</v>
      </c>
      <c r="I2185" s="6">
        <v>22243</v>
      </c>
      <c r="J2185" s="6">
        <v>6673</v>
      </c>
      <c r="K2185" s="37" t="s">
        <v>3614</v>
      </c>
      <c r="L2185" s="119"/>
      <c r="M2185" s="3"/>
    </row>
    <row r="2186" spans="1:14" s="4" customFormat="1" ht="63.75" x14ac:dyDescent="0.25">
      <c r="A2186" s="4" t="s">
        <v>3616</v>
      </c>
      <c r="B2186" s="4" t="s">
        <v>13</v>
      </c>
      <c r="C2186" s="37" t="s">
        <v>3614</v>
      </c>
      <c r="D2186" s="35">
        <v>4184</v>
      </c>
      <c r="E2186" s="4" t="s">
        <v>3617</v>
      </c>
      <c r="F2186" s="5">
        <v>39961</v>
      </c>
      <c r="G2186" s="5">
        <v>40269</v>
      </c>
      <c r="H2186" s="4" t="s">
        <v>16</v>
      </c>
      <c r="I2186" s="6">
        <v>60258</v>
      </c>
      <c r="J2186" s="6">
        <v>14400</v>
      </c>
      <c r="K2186" s="37" t="s">
        <v>3614</v>
      </c>
      <c r="L2186" s="119"/>
      <c r="M2186" s="3"/>
    </row>
    <row r="2187" spans="1:14" s="4" customFormat="1" ht="38.25" x14ac:dyDescent="0.25">
      <c r="A2187" s="4" t="s">
        <v>3618</v>
      </c>
      <c r="B2187" s="4" t="s">
        <v>13</v>
      </c>
      <c r="C2187" s="37" t="s">
        <v>3614</v>
      </c>
      <c r="D2187" s="35">
        <v>4190</v>
      </c>
      <c r="E2187" s="4" t="s">
        <v>3619</v>
      </c>
      <c r="F2187" s="5">
        <v>39966</v>
      </c>
      <c r="G2187" s="5">
        <v>40332</v>
      </c>
      <c r="H2187" s="4" t="s">
        <v>16</v>
      </c>
      <c r="I2187" s="6">
        <v>8500</v>
      </c>
      <c r="J2187" s="6">
        <v>3400</v>
      </c>
      <c r="K2187" s="37" t="s">
        <v>3614</v>
      </c>
      <c r="L2187" s="119"/>
      <c r="M2187" s="3"/>
    </row>
    <row r="2188" spans="1:14" s="4" customFormat="1" ht="25.5" x14ac:dyDescent="0.25">
      <c r="A2188" s="4" t="s">
        <v>3620</v>
      </c>
      <c r="B2188" s="4" t="s">
        <v>13</v>
      </c>
      <c r="C2188" s="37" t="s">
        <v>3614</v>
      </c>
      <c r="D2188" s="35">
        <v>4191</v>
      </c>
      <c r="E2188" s="4" t="s">
        <v>3621</v>
      </c>
      <c r="F2188" s="5">
        <v>39522</v>
      </c>
      <c r="G2188" s="5">
        <v>39805</v>
      </c>
      <c r="H2188" s="4" t="s">
        <v>16</v>
      </c>
      <c r="I2188" s="6">
        <v>61960.57</v>
      </c>
      <c r="J2188" s="6">
        <v>18588.169999999998</v>
      </c>
      <c r="K2188" s="37" t="s">
        <v>3614</v>
      </c>
      <c r="L2188" s="119"/>
      <c r="M2188" s="3"/>
    </row>
    <row r="2189" spans="1:14" s="4" customFormat="1" ht="25.5" x14ac:dyDescent="0.25">
      <c r="A2189" s="4" t="s">
        <v>3622</v>
      </c>
      <c r="B2189" s="4" t="s">
        <v>13</v>
      </c>
      <c r="C2189" s="37" t="s">
        <v>3614</v>
      </c>
      <c r="D2189" s="35">
        <v>9948</v>
      </c>
      <c r="E2189" s="4" t="s">
        <v>3623</v>
      </c>
      <c r="F2189" s="5">
        <v>40197</v>
      </c>
      <c r="G2189" s="5">
        <v>40613</v>
      </c>
      <c r="H2189" s="4" t="s">
        <v>16</v>
      </c>
      <c r="I2189" s="6">
        <v>13000</v>
      </c>
      <c r="J2189" s="6">
        <v>3900</v>
      </c>
      <c r="K2189" s="37" t="s">
        <v>3614</v>
      </c>
      <c r="L2189" s="119"/>
      <c r="M2189" s="3"/>
    </row>
    <row r="2190" spans="1:14" s="4" customFormat="1" ht="25.5" x14ac:dyDescent="0.25">
      <c r="A2190" s="4" t="s">
        <v>3624</v>
      </c>
      <c r="B2190" s="4" t="s">
        <v>13</v>
      </c>
      <c r="C2190" s="37" t="s">
        <v>3614</v>
      </c>
      <c r="D2190" s="35">
        <v>9950</v>
      </c>
      <c r="E2190" s="4" t="s">
        <v>3625</v>
      </c>
      <c r="F2190" s="5">
        <v>40534</v>
      </c>
      <c r="G2190" s="5">
        <v>40709</v>
      </c>
      <c r="H2190" s="4" t="s">
        <v>16</v>
      </c>
      <c r="I2190" s="6">
        <v>8634.36</v>
      </c>
      <c r="J2190" s="6">
        <v>2590.31</v>
      </c>
      <c r="K2190" s="37" t="s">
        <v>3614</v>
      </c>
      <c r="L2190" s="119"/>
      <c r="M2190" s="3"/>
    </row>
    <row r="2191" spans="1:14" s="4" customFormat="1" ht="25.5" x14ac:dyDescent="0.25">
      <c r="A2191" s="4" t="s">
        <v>3626</v>
      </c>
      <c r="B2191" s="4" t="s">
        <v>13</v>
      </c>
      <c r="C2191" s="37" t="s">
        <v>3614</v>
      </c>
      <c r="D2191" s="35">
        <v>10055</v>
      </c>
      <c r="E2191" s="4" t="s">
        <v>3627</v>
      </c>
      <c r="F2191" s="5">
        <v>40353</v>
      </c>
      <c r="G2191" s="5">
        <v>40570</v>
      </c>
      <c r="H2191" s="4" t="s">
        <v>16</v>
      </c>
      <c r="I2191" s="6">
        <v>11650</v>
      </c>
      <c r="J2191" s="6">
        <v>3495</v>
      </c>
      <c r="K2191" s="37" t="s">
        <v>3614</v>
      </c>
      <c r="L2191" s="119"/>
      <c r="M2191" s="3"/>
    </row>
    <row r="2192" spans="1:14" s="4" customFormat="1" ht="25.5" x14ac:dyDescent="0.25">
      <c r="A2192" s="4" t="s">
        <v>3628</v>
      </c>
      <c r="B2192" s="4" t="s">
        <v>13</v>
      </c>
      <c r="C2192" s="37" t="s">
        <v>3614</v>
      </c>
      <c r="D2192" s="35">
        <v>10158</v>
      </c>
      <c r="E2192" s="4" t="s">
        <v>3629</v>
      </c>
      <c r="F2192" s="5">
        <v>40240</v>
      </c>
      <c r="G2192" s="5">
        <v>40533</v>
      </c>
      <c r="H2192" s="4" t="s">
        <v>16</v>
      </c>
      <c r="I2192" s="6">
        <v>57414</v>
      </c>
      <c r="J2192" s="6">
        <v>15210</v>
      </c>
      <c r="K2192" s="37" t="s">
        <v>3614</v>
      </c>
      <c r="L2192" s="119"/>
      <c r="M2192" s="3"/>
    </row>
    <row r="2193" spans="1:13" s="4" customFormat="1" ht="25.5" x14ac:dyDescent="0.25">
      <c r="A2193" s="4" t="s">
        <v>3630</v>
      </c>
      <c r="B2193" s="4" t="s">
        <v>13</v>
      </c>
      <c r="C2193" s="37" t="s">
        <v>3614</v>
      </c>
      <c r="D2193" s="35">
        <v>10226</v>
      </c>
      <c r="E2193" s="4" t="s">
        <v>3631</v>
      </c>
      <c r="F2193" s="5">
        <v>40470</v>
      </c>
      <c r="G2193" s="5">
        <v>40570</v>
      </c>
      <c r="H2193" s="4" t="s">
        <v>16</v>
      </c>
      <c r="I2193" s="6">
        <v>8850</v>
      </c>
      <c r="J2193" s="6">
        <v>2655</v>
      </c>
      <c r="K2193" s="37" t="s">
        <v>3614</v>
      </c>
      <c r="L2193" s="119"/>
      <c r="M2193" s="3"/>
    </row>
    <row r="2194" spans="1:13" s="4" customFormat="1" ht="25.5" x14ac:dyDescent="0.25">
      <c r="A2194" s="4" t="s">
        <v>3632</v>
      </c>
      <c r="B2194" s="4" t="s">
        <v>11764</v>
      </c>
      <c r="C2194" s="37" t="s">
        <v>3614</v>
      </c>
      <c r="D2194" s="35">
        <v>1007</v>
      </c>
      <c r="E2194" s="4" t="s">
        <v>3633</v>
      </c>
      <c r="F2194" s="5">
        <v>39140</v>
      </c>
      <c r="H2194" s="4" t="s">
        <v>40</v>
      </c>
      <c r="I2194" s="6">
        <v>120000</v>
      </c>
      <c r="J2194" s="6">
        <v>60000</v>
      </c>
      <c r="K2194" s="37" t="s">
        <v>3614</v>
      </c>
      <c r="L2194" s="120"/>
      <c r="M2194" s="3"/>
    </row>
    <row r="2195" spans="1:13" s="4" customFormat="1" ht="25.5" x14ac:dyDescent="0.25">
      <c r="A2195" s="4" t="s">
        <v>3634</v>
      </c>
      <c r="B2195" s="4" t="s">
        <v>11764</v>
      </c>
      <c r="C2195" s="37" t="s">
        <v>3614</v>
      </c>
      <c r="D2195" s="35">
        <v>1021</v>
      </c>
      <c r="E2195" s="4" t="s">
        <v>3635</v>
      </c>
      <c r="F2195" s="5">
        <v>39196</v>
      </c>
      <c r="H2195" s="4" t="s">
        <v>40</v>
      </c>
      <c r="I2195" s="6">
        <v>50000</v>
      </c>
      <c r="J2195" s="6">
        <v>25000</v>
      </c>
      <c r="K2195" s="37" t="s">
        <v>3614</v>
      </c>
      <c r="L2195" s="120"/>
      <c r="M2195" s="3"/>
    </row>
    <row r="2196" spans="1:13" s="4" customFormat="1" ht="51" x14ac:dyDescent="0.25">
      <c r="A2196" s="4" t="s">
        <v>3636</v>
      </c>
      <c r="B2196" s="4" t="s">
        <v>11764</v>
      </c>
      <c r="C2196" s="37" t="s">
        <v>3614</v>
      </c>
      <c r="D2196" s="35">
        <v>1053</v>
      </c>
      <c r="E2196" s="4" t="s">
        <v>3637</v>
      </c>
      <c r="F2196" s="5">
        <v>39105</v>
      </c>
      <c r="H2196" s="4" t="s">
        <v>40</v>
      </c>
      <c r="I2196" s="6">
        <v>81640</v>
      </c>
      <c r="J2196" s="6">
        <v>40820</v>
      </c>
      <c r="K2196" s="37" t="s">
        <v>3614</v>
      </c>
      <c r="L2196" s="120"/>
      <c r="M2196" s="3"/>
    </row>
    <row r="2197" spans="1:13" s="4" customFormat="1" ht="25.5" x14ac:dyDescent="0.25">
      <c r="A2197" s="4" t="s">
        <v>3638</v>
      </c>
      <c r="B2197" s="4" t="s">
        <v>50</v>
      </c>
      <c r="C2197" s="37" t="s">
        <v>3614</v>
      </c>
      <c r="D2197" s="35">
        <v>1054</v>
      </c>
      <c r="E2197" s="4" t="s">
        <v>3639</v>
      </c>
      <c r="F2197" s="5">
        <v>39196</v>
      </c>
      <c r="H2197" s="4" t="s">
        <v>40</v>
      </c>
      <c r="I2197" s="6">
        <v>39181.78</v>
      </c>
      <c r="J2197" s="6">
        <v>19590.89</v>
      </c>
      <c r="K2197" s="37" t="s">
        <v>3614</v>
      </c>
      <c r="L2197" s="120"/>
      <c r="M2197" s="3"/>
    </row>
    <row r="2198" spans="1:13" s="4" customFormat="1" ht="25.5" x14ac:dyDescent="0.25">
      <c r="A2198" s="4" t="s">
        <v>3640</v>
      </c>
      <c r="B2198" s="4" t="s">
        <v>59</v>
      </c>
      <c r="C2198" s="37" t="s">
        <v>3614</v>
      </c>
      <c r="D2198" s="35">
        <v>1055</v>
      </c>
      <c r="E2198" s="4" t="s">
        <v>3641</v>
      </c>
      <c r="F2198" s="5">
        <v>39287</v>
      </c>
      <c r="H2198" s="4" t="s">
        <v>40</v>
      </c>
      <c r="I2198" s="6">
        <v>3750</v>
      </c>
      <c r="J2198" s="6">
        <v>3750</v>
      </c>
      <c r="K2198" s="37" t="s">
        <v>3614</v>
      </c>
      <c r="L2198" s="120"/>
      <c r="M2198" s="3"/>
    </row>
    <row r="2199" spans="1:13" s="4" customFormat="1" ht="25.5" x14ac:dyDescent="0.25">
      <c r="A2199" s="4" t="s">
        <v>3642</v>
      </c>
      <c r="B2199" s="4" t="s">
        <v>11764</v>
      </c>
      <c r="C2199" s="37" t="s">
        <v>3614</v>
      </c>
      <c r="D2199" s="35">
        <v>1056</v>
      </c>
      <c r="E2199" s="4" t="s">
        <v>3643</v>
      </c>
      <c r="F2199" s="5">
        <v>39140</v>
      </c>
      <c r="H2199" s="4" t="s">
        <v>40</v>
      </c>
      <c r="I2199" s="6">
        <v>160000</v>
      </c>
      <c r="J2199" s="6">
        <v>80000</v>
      </c>
      <c r="K2199" s="37" t="s">
        <v>3614</v>
      </c>
      <c r="L2199" s="120"/>
      <c r="M2199" s="3"/>
    </row>
    <row r="2200" spans="1:13" s="4" customFormat="1" ht="25.5" x14ac:dyDescent="0.25">
      <c r="A2200" s="4" t="s">
        <v>3644</v>
      </c>
      <c r="B2200" s="4" t="s">
        <v>11764</v>
      </c>
      <c r="C2200" s="37" t="s">
        <v>3614</v>
      </c>
      <c r="D2200" s="35">
        <v>1057</v>
      </c>
      <c r="E2200" s="4" t="s">
        <v>3645</v>
      </c>
      <c r="F2200" s="5">
        <v>39105</v>
      </c>
      <c r="H2200" s="4" t="s">
        <v>40</v>
      </c>
      <c r="I2200" s="6">
        <v>150000</v>
      </c>
      <c r="J2200" s="6">
        <v>75000</v>
      </c>
      <c r="K2200" s="37" t="s">
        <v>3614</v>
      </c>
      <c r="L2200" s="120"/>
      <c r="M2200" s="3"/>
    </row>
    <row r="2201" spans="1:13" s="4" customFormat="1" ht="25.5" x14ac:dyDescent="0.25">
      <c r="A2201" s="4" t="s">
        <v>3646</v>
      </c>
      <c r="B2201" s="4" t="s">
        <v>90</v>
      </c>
      <c r="C2201" s="37" t="s">
        <v>3614</v>
      </c>
      <c r="D2201" s="35">
        <v>1071</v>
      </c>
      <c r="E2201" s="4" t="s">
        <v>3647</v>
      </c>
      <c r="F2201" s="5">
        <v>39140</v>
      </c>
      <c r="H2201" s="4" t="s">
        <v>40</v>
      </c>
      <c r="I2201" s="6">
        <v>10000</v>
      </c>
      <c r="J2201" s="6">
        <v>5000</v>
      </c>
      <c r="K2201" s="37" t="s">
        <v>3614</v>
      </c>
      <c r="L2201" s="120"/>
      <c r="M2201" s="3"/>
    </row>
    <row r="2202" spans="1:13" s="4" customFormat="1" ht="25.5" x14ac:dyDescent="0.25">
      <c r="A2202" s="4" t="s">
        <v>3648</v>
      </c>
      <c r="B2202" s="4" t="s">
        <v>50</v>
      </c>
      <c r="C2202" s="37" t="s">
        <v>3614</v>
      </c>
      <c r="D2202" s="35">
        <v>1081</v>
      </c>
      <c r="E2202" s="4" t="s">
        <v>3649</v>
      </c>
      <c r="F2202" s="5">
        <v>39196</v>
      </c>
      <c r="H2202" s="4" t="s">
        <v>40</v>
      </c>
      <c r="I2202" s="6">
        <v>123022</v>
      </c>
      <c r="J2202" s="6">
        <v>61511</v>
      </c>
      <c r="K2202" s="37" t="s">
        <v>3614</v>
      </c>
      <c r="L2202" s="120"/>
      <c r="M2202" s="3"/>
    </row>
    <row r="2203" spans="1:13" s="4" customFormat="1" ht="25.5" x14ac:dyDescent="0.25">
      <c r="A2203" s="4" t="s">
        <v>3650</v>
      </c>
      <c r="B2203" s="4" t="s">
        <v>50</v>
      </c>
      <c r="C2203" s="37" t="s">
        <v>3614</v>
      </c>
      <c r="D2203" s="35">
        <v>1083</v>
      </c>
      <c r="E2203" s="4" t="s">
        <v>3651</v>
      </c>
      <c r="F2203" s="5">
        <v>39287</v>
      </c>
      <c r="H2203" s="4" t="s">
        <v>40</v>
      </c>
      <c r="I2203" s="6">
        <v>34600</v>
      </c>
      <c r="J2203" s="6">
        <v>17300</v>
      </c>
      <c r="K2203" s="37" t="s">
        <v>3614</v>
      </c>
      <c r="L2203" s="120"/>
      <c r="M2203" s="3"/>
    </row>
    <row r="2204" spans="1:13" s="4" customFormat="1" ht="25.5" x14ac:dyDescent="0.25">
      <c r="A2204" s="4" t="s">
        <v>3652</v>
      </c>
      <c r="B2204" s="4" t="s">
        <v>90</v>
      </c>
      <c r="C2204" s="37" t="s">
        <v>3614</v>
      </c>
      <c r="D2204" s="35">
        <v>1089</v>
      </c>
      <c r="E2204" s="4" t="s">
        <v>3653</v>
      </c>
      <c r="F2204" s="5">
        <v>39168</v>
      </c>
      <c r="H2204" s="4" t="s">
        <v>40</v>
      </c>
      <c r="I2204" s="6">
        <v>10200</v>
      </c>
      <c r="J2204" s="6">
        <v>5100</v>
      </c>
      <c r="K2204" s="37" t="s">
        <v>3614</v>
      </c>
      <c r="L2204" s="120"/>
      <c r="M2204" s="3"/>
    </row>
    <row r="2205" spans="1:13" s="4" customFormat="1" ht="25.5" x14ac:dyDescent="0.25">
      <c r="A2205" s="4" t="s">
        <v>3654</v>
      </c>
      <c r="B2205" s="4" t="s">
        <v>50</v>
      </c>
      <c r="C2205" s="37" t="s">
        <v>3614</v>
      </c>
      <c r="D2205" s="35">
        <v>1091</v>
      </c>
      <c r="E2205" s="4" t="s">
        <v>3655</v>
      </c>
      <c r="F2205" s="5">
        <v>39196</v>
      </c>
      <c r="H2205" s="4" t="s">
        <v>40</v>
      </c>
      <c r="I2205" s="6">
        <v>62368.6</v>
      </c>
      <c r="J2205" s="6">
        <v>31184.3</v>
      </c>
      <c r="K2205" s="37" t="s">
        <v>3614</v>
      </c>
      <c r="L2205" s="120"/>
      <c r="M2205" s="3"/>
    </row>
    <row r="2206" spans="1:13" s="4" customFormat="1" ht="25.5" x14ac:dyDescent="0.25">
      <c r="A2206" s="4" t="s">
        <v>3656</v>
      </c>
      <c r="B2206" s="4" t="s">
        <v>59</v>
      </c>
      <c r="C2206" s="37" t="s">
        <v>3614</v>
      </c>
      <c r="D2206" s="35">
        <v>1092</v>
      </c>
      <c r="E2206" s="4" t="s">
        <v>3657</v>
      </c>
      <c r="F2206" s="5">
        <v>39350</v>
      </c>
      <c r="H2206" s="4" t="s">
        <v>40</v>
      </c>
      <c r="I2206" s="6">
        <v>3750</v>
      </c>
      <c r="J2206" s="6">
        <v>3750</v>
      </c>
      <c r="K2206" s="37" t="s">
        <v>3614</v>
      </c>
      <c r="L2206" s="120"/>
      <c r="M2206" s="3"/>
    </row>
    <row r="2207" spans="1:13" s="4" customFormat="1" ht="25.5" x14ac:dyDescent="0.25">
      <c r="A2207" s="4" t="s">
        <v>3658</v>
      </c>
      <c r="B2207" s="4" t="s">
        <v>59</v>
      </c>
      <c r="C2207" s="37" t="s">
        <v>3614</v>
      </c>
      <c r="D2207" s="35">
        <v>1095</v>
      </c>
      <c r="E2207" s="4" t="s">
        <v>3659</v>
      </c>
      <c r="F2207" s="5">
        <v>39350</v>
      </c>
      <c r="H2207" s="4" t="s">
        <v>40</v>
      </c>
      <c r="I2207" s="6">
        <v>18750</v>
      </c>
      <c r="J2207" s="6">
        <v>18750</v>
      </c>
      <c r="K2207" s="37" t="s">
        <v>3614</v>
      </c>
      <c r="L2207" s="120"/>
      <c r="M2207" s="3"/>
    </row>
    <row r="2208" spans="1:13" s="4" customFormat="1" ht="25.5" x14ac:dyDescent="0.25">
      <c r="A2208" s="4" t="s">
        <v>3660</v>
      </c>
      <c r="B2208" s="4" t="s">
        <v>59</v>
      </c>
      <c r="C2208" s="37" t="s">
        <v>3614</v>
      </c>
      <c r="D2208" s="35">
        <v>1101</v>
      </c>
      <c r="E2208" s="4" t="s">
        <v>3187</v>
      </c>
      <c r="F2208" s="5">
        <v>39350</v>
      </c>
      <c r="H2208" s="4" t="s">
        <v>40</v>
      </c>
      <c r="I2208" s="6">
        <v>18750</v>
      </c>
      <c r="J2208" s="6">
        <v>18750</v>
      </c>
      <c r="K2208" s="37" t="s">
        <v>3614</v>
      </c>
      <c r="L2208" s="120"/>
      <c r="M2208" s="3"/>
    </row>
    <row r="2209" spans="1:13" s="4" customFormat="1" ht="25.5" x14ac:dyDescent="0.25">
      <c r="A2209" s="4" t="s">
        <v>3661</v>
      </c>
      <c r="B2209" s="4" t="s">
        <v>90</v>
      </c>
      <c r="C2209" s="37" t="s">
        <v>3614</v>
      </c>
      <c r="D2209" s="35">
        <v>1105</v>
      </c>
      <c r="E2209" s="4" t="s">
        <v>3662</v>
      </c>
      <c r="F2209" s="5">
        <v>39196</v>
      </c>
      <c r="H2209" s="4" t="s">
        <v>40</v>
      </c>
      <c r="I2209" s="6">
        <v>5170</v>
      </c>
      <c r="J2209" s="6">
        <v>2585</v>
      </c>
      <c r="K2209" s="37" t="s">
        <v>3614</v>
      </c>
      <c r="L2209" s="120"/>
      <c r="M2209" s="3"/>
    </row>
    <row r="2210" spans="1:13" s="4" customFormat="1" ht="25.5" x14ac:dyDescent="0.25">
      <c r="A2210" s="4" t="s">
        <v>3667</v>
      </c>
      <c r="B2210" s="4" t="s">
        <v>90</v>
      </c>
      <c r="C2210" s="37" t="s">
        <v>3614</v>
      </c>
      <c r="D2210" s="35">
        <v>1160</v>
      </c>
      <c r="E2210" s="4" t="s">
        <v>3668</v>
      </c>
      <c r="F2210" s="5">
        <v>39196</v>
      </c>
      <c r="H2210" s="4" t="s">
        <v>40</v>
      </c>
      <c r="I2210" s="6">
        <v>7920</v>
      </c>
      <c r="J2210" s="6">
        <v>3960</v>
      </c>
      <c r="K2210" s="37" t="s">
        <v>3614</v>
      </c>
      <c r="L2210" s="120"/>
      <c r="M2210" s="3"/>
    </row>
    <row r="2211" spans="1:13" s="4" customFormat="1" ht="25.5" x14ac:dyDescent="0.25">
      <c r="A2211" s="4" t="s">
        <v>3669</v>
      </c>
      <c r="B2211" s="4" t="s">
        <v>11764</v>
      </c>
      <c r="C2211" s="37" t="s">
        <v>3614</v>
      </c>
      <c r="D2211" s="35">
        <v>1166</v>
      </c>
      <c r="E2211" s="4" t="s">
        <v>3670</v>
      </c>
      <c r="F2211" s="5">
        <v>39259</v>
      </c>
      <c r="H2211" s="4" t="s">
        <v>40</v>
      </c>
      <c r="I2211" s="6">
        <v>66405.62</v>
      </c>
      <c r="J2211" s="6">
        <v>33202.81</v>
      </c>
      <c r="K2211" s="37" t="s">
        <v>3614</v>
      </c>
      <c r="L2211" s="120"/>
      <c r="M2211" s="3"/>
    </row>
    <row r="2212" spans="1:13" s="4" customFormat="1" ht="25.5" x14ac:dyDescent="0.25">
      <c r="A2212" s="4" t="s">
        <v>3671</v>
      </c>
      <c r="B2212" s="4" t="s">
        <v>11764</v>
      </c>
      <c r="C2212" s="37" t="s">
        <v>3614</v>
      </c>
      <c r="D2212" s="35">
        <v>1267</v>
      </c>
      <c r="E2212" s="4" t="s">
        <v>3672</v>
      </c>
      <c r="F2212" s="5">
        <v>39623</v>
      </c>
      <c r="H2212" s="4" t="s">
        <v>40</v>
      </c>
      <c r="I2212" s="6">
        <v>50000</v>
      </c>
      <c r="J2212" s="6">
        <v>25000</v>
      </c>
      <c r="K2212" s="37" t="s">
        <v>3614</v>
      </c>
      <c r="L2212" s="120"/>
      <c r="M2212" s="3"/>
    </row>
    <row r="2213" spans="1:13" s="4" customFormat="1" ht="25.5" x14ac:dyDescent="0.25">
      <c r="A2213" s="4" t="s">
        <v>3673</v>
      </c>
      <c r="B2213" s="4" t="s">
        <v>90</v>
      </c>
      <c r="C2213" s="37" t="s">
        <v>3614</v>
      </c>
      <c r="D2213" s="35">
        <v>1284</v>
      </c>
      <c r="E2213" s="4" t="s">
        <v>3674</v>
      </c>
      <c r="F2213" s="5">
        <v>39287</v>
      </c>
      <c r="H2213" s="4" t="s">
        <v>40</v>
      </c>
      <c r="I2213" s="6">
        <v>3662</v>
      </c>
      <c r="J2213" s="6">
        <v>1831</v>
      </c>
      <c r="K2213" s="37" t="s">
        <v>3614</v>
      </c>
      <c r="L2213" s="120"/>
      <c r="M2213" s="3"/>
    </row>
    <row r="2214" spans="1:13" s="4" customFormat="1" ht="25.5" x14ac:dyDescent="0.25">
      <c r="A2214" s="4" t="s">
        <v>3675</v>
      </c>
      <c r="B2214" s="4" t="s">
        <v>50</v>
      </c>
      <c r="C2214" s="37" t="s">
        <v>3614</v>
      </c>
      <c r="D2214" s="35">
        <v>1291</v>
      </c>
      <c r="E2214" s="4" t="s">
        <v>3187</v>
      </c>
      <c r="F2214" s="5">
        <v>39083</v>
      </c>
      <c r="H2214" s="4" t="s">
        <v>40</v>
      </c>
      <c r="I2214" s="6">
        <v>83732</v>
      </c>
      <c r="J2214" s="6">
        <v>41866</v>
      </c>
      <c r="K2214" s="37" t="s">
        <v>3614</v>
      </c>
      <c r="L2214" s="120"/>
      <c r="M2214" s="3"/>
    </row>
    <row r="2215" spans="1:13" s="4" customFormat="1" ht="25.5" x14ac:dyDescent="0.25">
      <c r="A2215" s="4" t="s">
        <v>3676</v>
      </c>
      <c r="B2215" s="4" t="s">
        <v>90</v>
      </c>
      <c r="C2215" s="37" t="s">
        <v>3614</v>
      </c>
      <c r="D2215" s="35">
        <v>1296</v>
      </c>
      <c r="E2215" s="4" t="s">
        <v>3635</v>
      </c>
      <c r="F2215" s="5">
        <v>39287</v>
      </c>
      <c r="H2215" s="4" t="s">
        <v>40</v>
      </c>
      <c r="I2215" s="6">
        <v>8720</v>
      </c>
      <c r="J2215" s="6">
        <v>4360</v>
      </c>
      <c r="K2215" s="37" t="s">
        <v>3614</v>
      </c>
      <c r="L2215" s="120"/>
      <c r="M2215" s="3"/>
    </row>
    <row r="2216" spans="1:13" s="4" customFormat="1" ht="25.5" x14ac:dyDescent="0.25">
      <c r="A2216" s="4" t="s">
        <v>3677</v>
      </c>
      <c r="B2216" s="4" t="s">
        <v>90</v>
      </c>
      <c r="C2216" s="37" t="s">
        <v>3614</v>
      </c>
      <c r="D2216" s="35">
        <v>1619</v>
      </c>
      <c r="E2216" s="4" t="s">
        <v>3678</v>
      </c>
      <c r="F2216" s="5">
        <v>39259</v>
      </c>
      <c r="H2216" s="4" t="s">
        <v>40</v>
      </c>
      <c r="I2216" s="6">
        <v>5884</v>
      </c>
      <c r="J2216" s="6">
        <v>2942</v>
      </c>
      <c r="K2216" s="37" t="s">
        <v>3614</v>
      </c>
      <c r="L2216" s="120"/>
      <c r="M2216" s="3"/>
    </row>
    <row r="2217" spans="1:13" s="4" customFormat="1" ht="25.5" x14ac:dyDescent="0.25">
      <c r="A2217" s="4" t="s">
        <v>3679</v>
      </c>
      <c r="B2217" s="4" t="s">
        <v>90</v>
      </c>
      <c r="C2217" s="37" t="s">
        <v>3614</v>
      </c>
      <c r="D2217" s="35">
        <v>1620</v>
      </c>
      <c r="E2217" s="4" t="s">
        <v>3680</v>
      </c>
      <c r="F2217" s="5">
        <v>39378</v>
      </c>
      <c r="H2217" s="4" t="s">
        <v>40</v>
      </c>
      <c r="I2217" s="6">
        <v>6000</v>
      </c>
      <c r="J2217" s="6">
        <v>3000</v>
      </c>
      <c r="K2217" s="37" t="s">
        <v>3614</v>
      </c>
      <c r="L2217" s="120"/>
      <c r="M2217" s="3"/>
    </row>
    <row r="2218" spans="1:13" s="4" customFormat="1" ht="38.25" x14ac:dyDescent="0.25">
      <c r="A2218" s="4" t="s">
        <v>3681</v>
      </c>
      <c r="B2218" s="4" t="s">
        <v>59</v>
      </c>
      <c r="C2218" s="37" t="s">
        <v>3614</v>
      </c>
      <c r="D2218" s="35">
        <v>1622</v>
      </c>
      <c r="E2218" s="4" t="s">
        <v>3682</v>
      </c>
      <c r="F2218" s="5">
        <v>39434</v>
      </c>
      <c r="H2218" s="4" t="s">
        <v>40</v>
      </c>
      <c r="I2218" s="6">
        <v>15000</v>
      </c>
      <c r="J2218" s="6">
        <v>15000</v>
      </c>
      <c r="K2218" s="37" t="s">
        <v>3614</v>
      </c>
      <c r="L2218" s="120"/>
      <c r="M2218" s="3"/>
    </row>
    <row r="2219" spans="1:13" s="4" customFormat="1" ht="25.5" x14ac:dyDescent="0.25">
      <c r="A2219" s="4" t="s">
        <v>3686</v>
      </c>
      <c r="B2219" s="4" t="s">
        <v>59</v>
      </c>
      <c r="C2219" s="37" t="s">
        <v>3614</v>
      </c>
      <c r="D2219" s="35">
        <v>1631</v>
      </c>
      <c r="E2219" s="4" t="s">
        <v>3687</v>
      </c>
      <c r="F2219" s="5">
        <v>39469</v>
      </c>
      <c r="H2219" s="4" t="s">
        <v>40</v>
      </c>
      <c r="I2219" s="6">
        <v>7500</v>
      </c>
      <c r="J2219" s="6">
        <v>7500</v>
      </c>
      <c r="K2219" s="37" t="s">
        <v>3614</v>
      </c>
      <c r="L2219" s="120"/>
      <c r="M2219" s="3"/>
    </row>
    <row r="2220" spans="1:13" s="4" customFormat="1" ht="25.5" x14ac:dyDescent="0.25">
      <c r="A2220" s="4" t="s">
        <v>3688</v>
      </c>
      <c r="B2220" s="4" t="s">
        <v>90</v>
      </c>
      <c r="C2220" s="37" t="s">
        <v>3614</v>
      </c>
      <c r="D2220" s="35">
        <v>1635</v>
      </c>
      <c r="E2220" s="4" t="s">
        <v>3689</v>
      </c>
      <c r="F2220" s="5">
        <v>39413</v>
      </c>
      <c r="H2220" s="4" t="s">
        <v>40</v>
      </c>
      <c r="I2220" s="6">
        <v>4950</v>
      </c>
      <c r="J2220" s="6">
        <v>2475</v>
      </c>
      <c r="K2220" s="37" t="s">
        <v>3614</v>
      </c>
      <c r="L2220" s="120"/>
      <c r="M2220" s="3"/>
    </row>
    <row r="2221" spans="1:13" s="4" customFormat="1" ht="25.5" x14ac:dyDescent="0.25">
      <c r="A2221" s="4" t="s">
        <v>3690</v>
      </c>
      <c r="B2221" s="4" t="s">
        <v>90</v>
      </c>
      <c r="C2221" s="37" t="s">
        <v>3614</v>
      </c>
      <c r="D2221" s="35">
        <v>1636</v>
      </c>
      <c r="E2221" s="4" t="s">
        <v>3691</v>
      </c>
      <c r="F2221" s="5">
        <v>39469</v>
      </c>
      <c r="H2221" s="4" t="s">
        <v>40</v>
      </c>
      <c r="I2221" s="6">
        <v>9864</v>
      </c>
      <c r="J2221" s="6">
        <v>4932</v>
      </c>
      <c r="K2221" s="37" t="s">
        <v>3614</v>
      </c>
      <c r="L2221" s="120"/>
      <c r="M2221" s="3"/>
    </row>
    <row r="2222" spans="1:13" s="4" customFormat="1" ht="25.5" x14ac:dyDescent="0.25">
      <c r="A2222" s="4" t="s">
        <v>3692</v>
      </c>
      <c r="B2222" s="4" t="s">
        <v>11764</v>
      </c>
      <c r="C2222" s="37" t="s">
        <v>3614</v>
      </c>
      <c r="D2222" s="35">
        <v>1637</v>
      </c>
      <c r="E2222" s="4" t="s">
        <v>3693</v>
      </c>
      <c r="F2222" s="5">
        <v>39469</v>
      </c>
      <c r="H2222" s="4" t="s">
        <v>40</v>
      </c>
      <c r="I2222" s="6">
        <v>60000</v>
      </c>
      <c r="J2222" s="6">
        <v>30000</v>
      </c>
      <c r="K2222" s="37" t="s">
        <v>3614</v>
      </c>
      <c r="L2222" s="120"/>
      <c r="M2222" s="3"/>
    </row>
    <row r="2223" spans="1:13" s="4" customFormat="1" ht="25.5" x14ac:dyDescent="0.25">
      <c r="A2223" s="4" t="s">
        <v>3694</v>
      </c>
      <c r="B2223" s="4" t="s">
        <v>11764</v>
      </c>
      <c r="C2223" s="37" t="s">
        <v>3614</v>
      </c>
      <c r="D2223" s="35">
        <v>1638</v>
      </c>
      <c r="E2223" s="4" t="s">
        <v>3695</v>
      </c>
      <c r="F2223" s="5">
        <v>39469</v>
      </c>
      <c r="H2223" s="4" t="s">
        <v>40</v>
      </c>
      <c r="I2223" s="6">
        <v>80000</v>
      </c>
      <c r="J2223" s="6">
        <v>40000</v>
      </c>
      <c r="K2223" s="37" t="s">
        <v>3614</v>
      </c>
      <c r="L2223" s="120"/>
      <c r="M2223" s="3"/>
    </row>
    <row r="2224" spans="1:13" s="4" customFormat="1" ht="25.5" x14ac:dyDescent="0.25">
      <c r="A2224" s="4" t="s">
        <v>3696</v>
      </c>
      <c r="B2224" s="4" t="s">
        <v>11764</v>
      </c>
      <c r="C2224" s="37" t="s">
        <v>3614</v>
      </c>
      <c r="D2224" s="35">
        <v>1641</v>
      </c>
      <c r="E2224" s="4" t="s">
        <v>3697</v>
      </c>
      <c r="F2224" s="5">
        <v>39434</v>
      </c>
      <c r="H2224" s="4" t="s">
        <v>40</v>
      </c>
      <c r="I2224" s="6">
        <v>100000</v>
      </c>
      <c r="J2224" s="6">
        <v>50000</v>
      </c>
      <c r="K2224" s="37" t="s">
        <v>3614</v>
      </c>
      <c r="L2224" s="120"/>
      <c r="M2224" s="3"/>
    </row>
    <row r="2225" spans="1:13" s="4" customFormat="1" ht="25.5" x14ac:dyDescent="0.25">
      <c r="A2225" s="4" t="s">
        <v>3702</v>
      </c>
      <c r="B2225" s="4" t="s">
        <v>90</v>
      </c>
      <c r="C2225" s="37" t="s">
        <v>3614</v>
      </c>
      <c r="D2225" s="35">
        <v>1657</v>
      </c>
      <c r="E2225" s="4" t="s">
        <v>3703</v>
      </c>
      <c r="F2225" s="5">
        <v>39560</v>
      </c>
      <c r="H2225" s="4" t="s">
        <v>40</v>
      </c>
      <c r="I2225" s="6">
        <v>5746</v>
      </c>
      <c r="J2225" s="6">
        <v>2873</v>
      </c>
      <c r="K2225" s="37" t="s">
        <v>3614</v>
      </c>
      <c r="L2225" s="120"/>
      <c r="M2225" s="3"/>
    </row>
    <row r="2226" spans="1:13" s="4" customFormat="1" ht="25.5" x14ac:dyDescent="0.25">
      <c r="A2226" s="4" t="s">
        <v>3704</v>
      </c>
      <c r="B2226" s="4" t="s">
        <v>90</v>
      </c>
      <c r="C2226" s="37" t="s">
        <v>3614</v>
      </c>
      <c r="D2226" s="35">
        <v>1720</v>
      </c>
      <c r="E2226" s="4" t="s">
        <v>3705</v>
      </c>
      <c r="F2226" s="5">
        <v>39539</v>
      </c>
      <c r="H2226" s="4" t="s">
        <v>40</v>
      </c>
      <c r="I2226" s="6">
        <v>10200</v>
      </c>
      <c r="J2226" s="6">
        <v>5100</v>
      </c>
      <c r="K2226" s="37" t="s">
        <v>3614</v>
      </c>
      <c r="L2226" s="120"/>
      <c r="M2226" s="3"/>
    </row>
    <row r="2227" spans="1:13" s="4" customFormat="1" ht="25.5" x14ac:dyDescent="0.25">
      <c r="A2227" s="4" t="s">
        <v>3706</v>
      </c>
      <c r="B2227" s="4" t="s">
        <v>90</v>
      </c>
      <c r="C2227" s="37" t="s">
        <v>3614</v>
      </c>
      <c r="D2227" s="35">
        <v>1721</v>
      </c>
      <c r="E2227" s="4" t="s">
        <v>3707</v>
      </c>
      <c r="F2227" s="5">
        <v>39560</v>
      </c>
      <c r="H2227" s="4" t="s">
        <v>40</v>
      </c>
      <c r="I2227" s="6">
        <v>4692</v>
      </c>
      <c r="J2227" s="6">
        <v>2346</v>
      </c>
      <c r="K2227" s="37" t="s">
        <v>3614</v>
      </c>
      <c r="L2227" s="120"/>
      <c r="M2227" s="3"/>
    </row>
    <row r="2228" spans="1:13" s="4" customFormat="1" ht="25.5" x14ac:dyDescent="0.25">
      <c r="A2228" s="4" t="s">
        <v>3708</v>
      </c>
      <c r="B2228" s="4" t="s">
        <v>90</v>
      </c>
      <c r="C2228" s="37" t="s">
        <v>3614</v>
      </c>
      <c r="D2228" s="35">
        <v>1722</v>
      </c>
      <c r="E2228" s="4" t="s">
        <v>3709</v>
      </c>
      <c r="F2228" s="5">
        <v>39623</v>
      </c>
      <c r="H2228" s="4" t="s">
        <v>40</v>
      </c>
      <c r="I2228" s="6">
        <v>10200</v>
      </c>
      <c r="J2228" s="6">
        <v>5100</v>
      </c>
      <c r="K2228" s="37" t="s">
        <v>3614</v>
      </c>
      <c r="L2228" s="120"/>
      <c r="M2228" s="3"/>
    </row>
    <row r="2229" spans="1:13" s="4" customFormat="1" ht="25.5" x14ac:dyDescent="0.25">
      <c r="A2229" s="4" t="s">
        <v>3710</v>
      </c>
      <c r="B2229" s="4" t="s">
        <v>90</v>
      </c>
      <c r="C2229" s="37" t="s">
        <v>3614</v>
      </c>
      <c r="D2229" s="35">
        <v>1723</v>
      </c>
      <c r="E2229" s="4" t="s">
        <v>3711</v>
      </c>
      <c r="F2229" s="5">
        <v>39651</v>
      </c>
      <c r="H2229" s="4" t="s">
        <v>40</v>
      </c>
      <c r="I2229" s="6">
        <v>5172</v>
      </c>
      <c r="J2229" s="6">
        <v>2586</v>
      </c>
      <c r="K2229" s="37" t="s">
        <v>3614</v>
      </c>
      <c r="L2229" s="120"/>
      <c r="M2229" s="3"/>
    </row>
    <row r="2230" spans="1:13" s="4" customFormat="1" ht="25.5" x14ac:dyDescent="0.25">
      <c r="A2230" s="4" t="s">
        <v>3712</v>
      </c>
      <c r="B2230" s="4" t="s">
        <v>38</v>
      </c>
      <c r="C2230" s="37" t="s">
        <v>3614</v>
      </c>
      <c r="D2230" s="35">
        <v>2087</v>
      </c>
      <c r="E2230" s="4" t="s">
        <v>3713</v>
      </c>
      <c r="F2230" s="5">
        <v>39113</v>
      </c>
      <c r="H2230" s="4" t="s">
        <v>40</v>
      </c>
      <c r="I2230" s="6">
        <f>1612.47+1738.39+967.41+9600.45+7614.8</f>
        <v>21533.52</v>
      </c>
      <c r="J2230" s="6">
        <f>20566.11+967.41</f>
        <v>21533.52</v>
      </c>
      <c r="K2230" s="37" t="s">
        <v>3614</v>
      </c>
      <c r="L2230" s="120"/>
      <c r="M2230" s="3"/>
    </row>
    <row r="2231" spans="1:13" s="4" customFormat="1" ht="25.5" x14ac:dyDescent="0.25">
      <c r="A2231" s="4" t="s">
        <v>3714</v>
      </c>
      <c r="B2231" s="4" t="s">
        <v>38</v>
      </c>
      <c r="C2231" s="37" t="s">
        <v>3614</v>
      </c>
      <c r="D2231" s="35">
        <v>2174</v>
      </c>
      <c r="E2231" s="4" t="s">
        <v>3715</v>
      </c>
      <c r="F2231" s="5">
        <v>39113</v>
      </c>
      <c r="H2231" s="4" t="s">
        <v>40</v>
      </c>
      <c r="I2231" s="6">
        <f>62974.59+33251.09+66981.73+66584.16+29091.47</f>
        <v>258883.03999999998</v>
      </c>
      <c r="J2231" s="6">
        <f>192298.88+66584.16</f>
        <v>258883.04</v>
      </c>
      <c r="K2231" s="37" t="s">
        <v>3614</v>
      </c>
      <c r="L2231" s="120"/>
      <c r="M2231" s="3"/>
    </row>
    <row r="2232" spans="1:13" s="4" customFormat="1" ht="25.5" x14ac:dyDescent="0.25">
      <c r="A2232" s="4" t="s">
        <v>3716</v>
      </c>
      <c r="B2232" s="4" t="s">
        <v>38</v>
      </c>
      <c r="C2232" s="37" t="s">
        <v>3614</v>
      </c>
      <c r="D2232" s="35">
        <v>2179</v>
      </c>
      <c r="E2232" s="4" t="s">
        <v>3717</v>
      </c>
      <c r="F2232" s="5">
        <v>39113</v>
      </c>
      <c r="H2232" s="4" t="s">
        <v>40</v>
      </c>
      <c r="I2232" s="6">
        <f>33509.23+28780.63+30306.45+1158.51+44262.1</f>
        <v>138016.91999999998</v>
      </c>
      <c r="J2232" s="6">
        <f>107710.47+30306.45</f>
        <v>138016.92000000001</v>
      </c>
      <c r="K2232" s="37" t="s">
        <v>3614</v>
      </c>
      <c r="L2232" s="120"/>
      <c r="M2232" s="3"/>
    </row>
    <row r="2233" spans="1:13" s="4" customFormat="1" ht="25.5" x14ac:dyDescent="0.25">
      <c r="A2233" s="4" t="s">
        <v>3718</v>
      </c>
      <c r="B2233" s="4" t="s">
        <v>38</v>
      </c>
      <c r="C2233" s="37" t="s">
        <v>3614</v>
      </c>
      <c r="D2233" s="35">
        <v>2182</v>
      </c>
      <c r="E2233" s="4" t="s">
        <v>3719</v>
      </c>
      <c r="F2233" s="5">
        <v>39113</v>
      </c>
      <c r="H2233" s="4" t="s">
        <v>40</v>
      </c>
      <c r="I2233" s="6">
        <f>99887.6+898.56+5521.46+16402.57+54157.33</f>
        <v>176867.52000000002</v>
      </c>
      <c r="J2233" s="6">
        <f>175968.96+898.56</f>
        <v>176867.52</v>
      </c>
      <c r="K2233" s="37" t="s">
        <v>3614</v>
      </c>
      <c r="L2233" s="120"/>
      <c r="M2233" s="3"/>
    </row>
    <row r="2234" spans="1:13" s="4" customFormat="1" ht="25.5" x14ac:dyDescent="0.25">
      <c r="A2234" s="4" t="s">
        <v>3720</v>
      </c>
      <c r="B2234" s="4" t="s">
        <v>38</v>
      </c>
      <c r="C2234" s="37" t="s">
        <v>3614</v>
      </c>
      <c r="D2234" s="35">
        <v>2183</v>
      </c>
      <c r="E2234" s="4" t="s">
        <v>2285</v>
      </c>
      <c r="F2234" s="5">
        <v>39113</v>
      </c>
      <c r="H2234" s="4" t="s">
        <v>40</v>
      </c>
      <c r="I2234" s="6">
        <f>138411.96+55975.33+76751.89+40649.95+110023.33</f>
        <v>421812.46</v>
      </c>
      <c r="J2234" s="6">
        <f>345060.57+76751.89</f>
        <v>421812.46</v>
      </c>
      <c r="K2234" s="37" t="s">
        <v>3614</v>
      </c>
      <c r="L2234" s="120"/>
      <c r="M2234" s="3"/>
    </row>
    <row r="2235" spans="1:13" s="4" customFormat="1" ht="25.5" x14ac:dyDescent="0.25">
      <c r="A2235" s="4" t="s">
        <v>3721</v>
      </c>
      <c r="B2235" s="4" t="s">
        <v>38</v>
      </c>
      <c r="C2235" s="37" t="s">
        <v>3614</v>
      </c>
      <c r="D2235" s="35">
        <v>2185</v>
      </c>
      <c r="E2235" s="4" t="s">
        <v>3722</v>
      </c>
      <c r="F2235" s="5">
        <v>39113</v>
      </c>
      <c r="H2235" s="4" t="s">
        <v>40</v>
      </c>
      <c r="I2235" s="6">
        <f>30162.5+25141.47+4800+18350.85+53499.4</f>
        <v>131954.22</v>
      </c>
      <c r="J2235" s="6">
        <f>127154.22+4800</f>
        <v>131954.22</v>
      </c>
      <c r="K2235" s="37" t="s">
        <v>3614</v>
      </c>
      <c r="L2235" s="120"/>
      <c r="M2235" s="3"/>
    </row>
    <row r="2236" spans="1:13" s="4" customFormat="1" ht="38.25" x14ac:dyDescent="0.25">
      <c r="A2236" s="4" t="s">
        <v>3723</v>
      </c>
      <c r="B2236" s="4" t="s">
        <v>38</v>
      </c>
      <c r="C2236" s="37" t="s">
        <v>3614</v>
      </c>
      <c r="D2236" s="35">
        <v>2188</v>
      </c>
      <c r="E2236" s="4" t="s">
        <v>3724</v>
      </c>
      <c r="F2236" s="5">
        <v>39113</v>
      </c>
      <c r="H2236" s="4" t="s">
        <v>40</v>
      </c>
      <c r="I2236" s="6">
        <f>196109.14+31811.02+27448.44+79288.84</f>
        <v>334657.44</v>
      </c>
      <c r="J2236" s="6">
        <f>302846.42+31811.02</f>
        <v>334657.44</v>
      </c>
      <c r="K2236" s="37" t="s">
        <v>3614</v>
      </c>
      <c r="L2236" s="120"/>
      <c r="M2236" s="3"/>
    </row>
    <row r="2237" spans="1:13" s="4" customFormat="1" ht="51" x14ac:dyDescent="0.25">
      <c r="A2237" s="4" t="s">
        <v>3725</v>
      </c>
      <c r="B2237" s="4" t="s">
        <v>38</v>
      </c>
      <c r="C2237" s="37" t="s">
        <v>3614</v>
      </c>
      <c r="D2237" s="35">
        <v>2209</v>
      </c>
      <c r="E2237" s="4" t="s">
        <v>3726</v>
      </c>
      <c r="F2237" s="5">
        <v>39113</v>
      </c>
      <c r="H2237" s="4" t="s">
        <v>40</v>
      </c>
      <c r="I2237" s="6">
        <f>92069.03+25239.35+23239.03+5319.97-40178.53</f>
        <v>105688.85</v>
      </c>
      <c r="J2237" s="6">
        <f>80449.5+25239.35</f>
        <v>105688.85</v>
      </c>
      <c r="K2237" s="37" t="s">
        <v>3614</v>
      </c>
      <c r="L2237" s="120"/>
      <c r="M2237" s="3"/>
    </row>
    <row r="2238" spans="1:13" s="4" customFormat="1" ht="25.5" x14ac:dyDescent="0.25">
      <c r="A2238" s="4" t="s">
        <v>3727</v>
      </c>
      <c r="B2238" s="4" t="s">
        <v>38</v>
      </c>
      <c r="C2238" s="37" t="s">
        <v>3614</v>
      </c>
      <c r="D2238" s="35">
        <v>2219</v>
      </c>
      <c r="E2238" s="4" t="s">
        <v>3728</v>
      </c>
      <c r="F2238" s="5">
        <v>39113</v>
      </c>
      <c r="H2238" s="4" t="s">
        <v>40</v>
      </c>
      <c r="I2238" s="6">
        <f>65475.99+46621.63+33508.92+40455.49+28666.22</f>
        <v>214728.24999999997</v>
      </c>
      <c r="J2238" s="6">
        <f>174272.76+40455.49</f>
        <v>214728.25</v>
      </c>
      <c r="K2238" s="37" t="s">
        <v>3614</v>
      </c>
      <c r="L2238" s="120"/>
      <c r="M2238" s="3"/>
    </row>
    <row r="2239" spans="1:13" s="4" customFormat="1" ht="25.5" x14ac:dyDescent="0.25">
      <c r="A2239" s="4" t="s">
        <v>3729</v>
      </c>
      <c r="B2239" s="4" t="s">
        <v>38</v>
      </c>
      <c r="C2239" s="37" t="s">
        <v>3614</v>
      </c>
      <c r="D2239" s="35">
        <v>2225</v>
      </c>
      <c r="E2239" s="4" t="s">
        <v>3730</v>
      </c>
      <c r="F2239" s="5">
        <v>39113</v>
      </c>
      <c r="H2239" s="4" t="s">
        <v>40</v>
      </c>
      <c r="I2239" s="6">
        <f>36333.79+25633.87+4684.07+9369.55</f>
        <v>76021.280000000013</v>
      </c>
      <c r="J2239" s="6">
        <v>76021.279999999999</v>
      </c>
      <c r="K2239" s="37" t="s">
        <v>3614</v>
      </c>
      <c r="L2239" s="120"/>
      <c r="M2239" s="3"/>
    </row>
    <row r="2240" spans="1:13" s="4" customFormat="1" ht="25.5" x14ac:dyDescent="0.25">
      <c r="A2240" s="4" t="s">
        <v>3731</v>
      </c>
      <c r="B2240" s="4" t="s">
        <v>38</v>
      </c>
      <c r="C2240" s="37" t="s">
        <v>3614</v>
      </c>
      <c r="D2240" s="35">
        <v>2226</v>
      </c>
      <c r="E2240" s="4" t="s">
        <v>3732</v>
      </c>
      <c r="F2240" s="5">
        <v>39113</v>
      </c>
      <c r="H2240" s="4" t="s">
        <v>40</v>
      </c>
      <c r="I2240" s="6">
        <f>79709.18+147446.84+29768.14+60097.56+75844.63</f>
        <v>392866.35</v>
      </c>
      <c r="J2240" s="6">
        <f>332768.8+60097.56</f>
        <v>392866.36</v>
      </c>
      <c r="K2240" s="37" t="s">
        <v>3614</v>
      </c>
      <c r="L2240" s="120"/>
      <c r="M2240" s="3"/>
    </row>
    <row r="2241" spans="1:13" s="4" customFormat="1" ht="25.5" x14ac:dyDescent="0.25">
      <c r="A2241" s="4" t="s">
        <v>3733</v>
      </c>
      <c r="B2241" s="4" t="s">
        <v>38</v>
      </c>
      <c r="C2241" s="37" t="s">
        <v>3614</v>
      </c>
      <c r="D2241" s="35">
        <v>2228</v>
      </c>
      <c r="E2241" s="4" t="s">
        <v>3734</v>
      </c>
      <c r="F2241" s="5">
        <v>39113</v>
      </c>
      <c r="H2241" s="4" t="s">
        <v>40</v>
      </c>
      <c r="I2241" s="6">
        <f>45309.66+18010.18+69884.47+25752.78+23788.12</f>
        <v>182745.21</v>
      </c>
      <c r="J2241" s="6">
        <f>164735.56+18010.18</f>
        <v>182745.74</v>
      </c>
      <c r="K2241" s="37" t="s">
        <v>3614</v>
      </c>
      <c r="L2241" s="120"/>
      <c r="M2241" s="3"/>
    </row>
    <row r="2242" spans="1:13" s="4" customFormat="1" ht="25.5" x14ac:dyDescent="0.25">
      <c r="A2242" s="4" t="s">
        <v>3735</v>
      </c>
      <c r="B2242" s="4" t="s">
        <v>59</v>
      </c>
      <c r="C2242" s="37" t="s">
        <v>3614</v>
      </c>
      <c r="D2242" s="35">
        <v>3319</v>
      </c>
      <c r="E2242" s="4" t="s">
        <v>3736</v>
      </c>
      <c r="F2242" s="5">
        <v>39469</v>
      </c>
      <c r="H2242" s="4" t="s">
        <v>40</v>
      </c>
      <c r="I2242" s="6">
        <v>11250</v>
      </c>
      <c r="J2242" s="6">
        <v>11250</v>
      </c>
      <c r="K2242" s="37" t="s">
        <v>3614</v>
      </c>
      <c r="L2242" s="120"/>
      <c r="M2242" s="3"/>
    </row>
    <row r="2243" spans="1:13" s="4" customFormat="1" ht="25.5" x14ac:dyDescent="0.25">
      <c r="A2243" s="4" t="s">
        <v>3737</v>
      </c>
      <c r="B2243" s="4" t="s">
        <v>90</v>
      </c>
      <c r="C2243" s="37" t="s">
        <v>3614</v>
      </c>
      <c r="D2243" s="35">
        <v>3324</v>
      </c>
      <c r="E2243" s="4" t="s">
        <v>3738</v>
      </c>
      <c r="F2243" s="5">
        <v>39287</v>
      </c>
      <c r="H2243" s="4" t="s">
        <v>40</v>
      </c>
      <c r="I2243" s="6">
        <v>10200</v>
      </c>
      <c r="J2243" s="6">
        <v>5100</v>
      </c>
      <c r="K2243" s="37" t="s">
        <v>3614</v>
      </c>
      <c r="L2243" s="120"/>
      <c r="M2243" s="3"/>
    </row>
    <row r="2244" spans="1:13" s="4" customFormat="1" ht="25.5" x14ac:dyDescent="0.25">
      <c r="A2244" s="4" t="s">
        <v>3739</v>
      </c>
      <c r="B2244" s="4" t="s">
        <v>38</v>
      </c>
      <c r="C2244" s="37" t="s">
        <v>3614</v>
      </c>
      <c r="D2244" s="35">
        <v>3325</v>
      </c>
      <c r="E2244" s="4" t="s">
        <v>3740</v>
      </c>
      <c r="F2244" s="5">
        <v>39084</v>
      </c>
      <c r="H2244" s="4" t="s">
        <v>40</v>
      </c>
      <c r="I2244" s="6">
        <f>144195+57062.83+58345+58424.85+111908.03</f>
        <v>429935.70999999996</v>
      </c>
      <c r="J2244" s="6">
        <f>372872.88+57062.83</f>
        <v>429935.71</v>
      </c>
      <c r="K2244" s="37" t="s">
        <v>3614</v>
      </c>
      <c r="L2244" s="120"/>
      <c r="M2244" s="3"/>
    </row>
    <row r="2245" spans="1:13" s="4" customFormat="1" ht="25.5" x14ac:dyDescent="0.25">
      <c r="A2245" s="4" t="s">
        <v>3741</v>
      </c>
      <c r="B2245" s="4" t="s">
        <v>59</v>
      </c>
      <c r="C2245" s="37" t="s">
        <v>3614</v>
      </c>
      <c r="D2245" s="35">
        <v>3326</v>
      </c>
      <c r="E2245" s="4" t="s">
        <v>3651</v>
      </c>
      <c r="F2245" s="5">
        <v>39350</v>
      </c>
      <c r="H2245" s="4" t="s">
        <v>40</v>
      </c>
      <c r="I2245" s="6">
        <v>3750</v>
      </c>
      <c r="J2245" s="6">
        <v>3750</v>
      </c>
      <c r="K2245" s="37" t="s">
        <v>3614</v>
      </c>
      <c r="L2245" s="120"/>
      <c r="M2245" s="3"/>
    </row>
    <row r="2246" spans="1:13" s="4" customFormat="1" ht="38.25" x14ac:dyDescent="0.25">
      <c r="A2246" s="4" t="s">
        <v>3742</v>
      </c>
      <c r="B2246" s="4" t="s">
        <v>38</v>
      </c>
      <c r="C2246" s="37" t="s">
        <v>3614</v>
      </c>
      <c r="D2246" s="35">
        <v>3809</v>
      </c>
      <c r="E2246" s="4" t="s">
        <v>3743</v>
      </c>
      <c r="F2246" s="5">
        <v>39113</v>
      </c>
      <c r="H2246" s="4" t="s">
        <v>40</v>
      </c>
      <c r="I2246" s="6">
        <f>56637.5+29317.45+1205.29+16835.86+76582.48</f>
        <v>180578.58</v>
      </c>
      <c r="J2246" s="6">
        <f>179373.29+1205.29</f>
        <v>180578.58000000002</v>
      </c>
      <c r="K2246" s="37" t="s">
        <v>3614</v>
      </c>
      <c r="L2246" s="120"/>
      <c r="M2246" s="3"/>
    </row>
    <row r="2247" spans="1:13" s="4" customFormat="1" ht="25.5" x14ac:dyDescent="0.25">
      <c r="A2247" s="4" t="s">
        <v>3744</v>
      </c>
      <c r="B2247" s="4" t="s">
        <v>38</v>
      </c>
      <c r="C2247" s="37" t="s">
        <v>3614</v>
      </c>
      <c r="D2247" s="35">
        <v>3858</v>
      </c>
      <c r="E2247" s="4" t="s">
        <v>3745</v>
      </c>
      <c r="F2247" s="5">
        <v>39113</v>
      </c>
      <c r="H2247" s="4" t="s">
        <v>40</v>
      </c>
      <c r="I2247" s="6">
        <f>6619.85+4466.75+1600+6503.95+23518.25</f>
        <v>42708.800000000003</v>
      </c>
      <c r="J2247" s="6">
        <f>38242.05+4466.75</f>
        <v>42708.800000000003</v>
      </c>
      <c r="K2247" s="37" t="s">
        <v>3614</v>
      </c>
      <c r="L2247" s="120"/>
      <c r="M2247" s="3"/>
    </row>
    <row r="2248" spans="1:13" s="4" customFormat="1" ht="25.5" x14ac:dyDescent="0.25">
      <c r="A2248" s="4" t="s">
        <v>3746</v>
      </c>
      <c r="B2248" s="4" t="s">
        <v>38</v>
      </c>
      <c r="C2248" s="37" t="s">
        <v>3614</v>
      </c>
      <c r="D2248" s="35">
        <v>3862</v>
      </c>
      <c r="E2248" s="4" t="s">
        <v>3747</v>
      </c>
      <c r="F2248" s="5">
        <v>39113</v>
      </c>
      <c r="H2248" s="4" t="s">
        <v>40</v>
      </c>
      <c r="I2248" s="6">
        <f>14891.72+19629.51+1670.15</f>
        <v>36191.379999999997</v>
      </c>
      <c r="J2248" s="6">
        <f>34521.23+1670.15</f>
        <v>36191.380000000005</v>
      </c>
      <c r="K2248" s="37" t="s">
        <v>3614</v>
      </c>
      <c r="L2248" s="120"/>
      <c r="M2248" s="3"/>
    </row>
    <row r="2249" spans="1:13" s="4" customFormat="1" ht="38.25" x14ac:dyDescent="0.25">
      <c r="A2249" s="4" t="s">
        <v>3748</v>
      </c>
      <c r="B2249" s="4" t="s">
        <v>38</v>
      </c>
      <c r="C2249" s="37" t="s">
        <v>3614</v>
      </c>
      <c r="D2249" s="35">
        <v>3866</v>
      </c>
      <c r="E2249" s="4" t="s">
        <v>3749</v>
      </c>
      <c r="F2249" s="5">
        <v>39113</v>
      </c>
      <c r="H2249" s="4" t="s">
        <v>40</v>
      </c>
      <c r="I2249" s="6">
        <v>8627.44</v>
      </c>
      <c r="J2249" s="6">
        <v>8627.44</v>
      </c>
      <c r="K2249" s="37" t="s">
        <v>3614</v>
      </c>
      <c r="L2249" s="120"/>
      <c r="M2249" s="3"/>
    </row>
    <row r="2250" spans="1:13" s="4" customFormat="1" ht="38.25" x14ac:dyDescent="0.25">
      <c r="A2250" s="4" t="s">
        <v>3750</v>
      </c>
      <c r="B2250" s="4" t="s">
        <v>38</v>
      </c>
      <c r="C2250" s="37" t="s">
        <v>3614</v>
      </c>
      <c r="D2250" s="35">
        <v>3890</v>
      </c>
      <c r="E2250" s="4" t="s">
        <v>3751</v>
      </c>
      <c r="F2250" s="5">
        <v>39113</v>
      </c>
      <c r="H2250" s="4" t="s">
        <v>40</v>
      </c>
      <c r="I2250" s="6">
        <v>5724.81</v>
      </c>
      <c r="J2250" s="6">
        <v>5724.81</v>
      </c>
      <c r="K2250" s="37" t="s">
        <v>3614</v>
      </c>
      <c r="L2250" s="120"/>
      <c r="M2250" s="3"/>
    </row>
    <row r="2251" spans="1:13" s="4" customFormat="1" ht="25.5" x14ac:dyDescent="0.25">
      <c r="A2251" s="4" t="s">
        <v>3752</v>
      </c>
      <c r="B2251" s="4" t="s">
        <v>38</v>
      </c>
      <c r="C2251" s="37" t="s">
        <v>3614</v>
      </c>
      <c r="D2251" s="35">
        <v>3891</v>
      </c>
      <c r="E2251" s="4" t="s">
        <v>3753</v>
      </c>
      <c r="F2251" s="5">
        <v>39113</v>
      </c>
      <c r="H2251" s="4" t="s">
        <v>40</v>
      </c>
      <c r="I2251" s="6">
        <f>19333.79+820+1887.65+929+3426.98</f>
        <v>26397.420000000002</v>
      </c>
      <c r="J2251" s="6">
        <f>25577.42+820</f>
        <v>26397.42</v>
      </c>
      <c r="K2251" s="37" t="s">
        <v>3614</v>
      </c>
      <c r="L2251" s="120"/>
      <c r="M2251" s="3"/>
    </row>
    <row r="2252" spans="1:13" s="4" customFormat="1" ht="25.5" x14ac:dyDescent="0.25">
      <c r="A2252" s="4" t="s">
        <v>3754</v>
      </c>
      <c r="B2252" s="4" t="s">
        <v>59</v>
      </c>
      <c r="C2252" s="37" t="s">
        <v>3614</v>
      </c>
      <c r="D2252" s="35">
        <v>4139</v>
      </c>
      <c r="E2252" s="4" t="s">
        <v>3755</v>
      </c>
      <c r="F2252" s="5">
        <v>39469</v>
      </c>
      <c r="H2252" s="4" t="s">
        <v>40</v>
      </c>
      <c r="I2252" s="6">
        <v>22500</v>
      </c>
      <c r="J2252" s="6">
        <v>22500</v>
      </c>
      <c r="K2252" s="37" t="s">
        <v>3614</v>
      </c>
      <c r="L2252" s="120"/>
      <c r="M2252" s="3"/>
    </row>
    <row r="2253" spans="1:13" s="4" customFormat="1" ht="25.5" x14ac:dyDescent="0.25">
      <c r="A2253" s="4" t="s">
        <v>3756</v>
      </c>
      <c r="B2253" s="4" t="s">
        <v>59</v>
      </c>
      <c r="C2253" s="37" t="s">
        <v>3614</v>
      </c>
      <c r="D2253" s="35">
        <v>4759</v>
      </c>
      <c r="E2253" s="4" t="s">
        <v>3757</v>
      </c>
      <c r="F2253" s="5">
        <v>39756</v>
      </c>
      <c r="H2253" s="4" t="s">
        <v>40</v>
      </c>
      <c r="I2253" s="6">
        <v>7500</v>
      </c>
      <c r="J2253" s="6">
        <v>7500</v>
      </c>
      <c r="K2253" s="37" t="s">
        <v>3614</v>
      </c>
      <c r="L2253" s="120"/>
      <c r="M2253" s="3"/>
    </row>
    <row r="2254" spans="1:13" s="4" customFormat="1" ht="25.5" x14ac:dyDescent="0.25">
      <c r="A2254" s="4" t="s">
        <v>3758</v>
      </c>
      <c r="B2254" s="4" t="s">
        <v>59</v>
      </c>
      <c r="C2254" s="37" t="s">
        <v>3614</v>
      </c>
      <c r="D2254" s="35">
        <v>4760</v>
      </c>
      <c r="E2254" s="4" t="s">
        <v>3759</v>
      </c>
      <c r="F2254" s="5">
        <v>39791</v>
      </c>
      <c r="H2254" s="4" t="s">
        <v>40</v>
      </c>
      <c r="I2254" s="6">
        <v>3750</v>
      </c>
      <c r="J2254" s="6">
        <v>3750</v>
      </c>
      <c r="K2254" s="37" t="s">
        <v>3614</v>
      </c>
      <c r="L2254" s="120"/>
      <c r="M2254" s="3"/>
    </row>
    <row r="2255" spans="1:13" s="4" customFormat="1" ht="25.5" x14ac:dyDescent="0.25">
      <c r="A2255" s="4" t="s">
        <v>3760</v>
      </c>
      <c r="B2255" s="4" t="s">
        <v>90</v>
      </c>
      <c r="C2255" s="37" t="s">
        <v>3614</v>
      </c>
      <c r="D2255" s="35">
        <v>4761</v>
      </c>
      <c r="E2255" s="4" t="s">
        <v>3761</v>
      </c>
      <c r="F2255" s="5">
        <v>39791</v>
      </c>
      <c r="H2255" s="4" t="s">
        <v>40</v>
      </c>
      <c r="I2255" s="6">
        <v>5750</v>
      </c>
      <c r="J2255" s="6">
        <v>2875</v>
      </c>
      <c r="K2255" s="37" t="s">
        <v>3614</v>
      </c>
      <c r="L2255" s="120"/>
      <c r="M2255" s="3"/>
    </row>
    <row r="2256" spans="1:13" s="4" customFormat="1" ht="38.25" x14ac:dyDescent="0.25">
      <c r="A2256" s="4" t="s">
        <v>3762</v>
      </c>
      <c r="B2256" s="4" t="s">
        <v>59</v>
      </c>
      <c r="C2256" s="37" t="s">
        <v>3614</v>
      </c>
      <c r="D2256" s="35">
        <v>4851</v>
      </c>
      <c r="E2256" s="4" t="s">
        <v>3763</v>
      </c>
      <c r="F2256" s="5">
        <v>39959</v>
      </c>
      <c r="H2256" s="4" t="s">
        <v>40</v>
      </c>
      <c r="I2256" s="6">
        <v>3750</v>
      </c>
      <c r="J2256" s="6">
        <v>3750</v>
      </c>
      <c r="K2256" s="37" t="s">
        <v>3614</v>
      </c>
      <c r="L2256" s="120"/>
      <c r="M2256" s="3"/>
    </row>
    <row r="2257" spans="1:13" s="4" customFormat="1" ht="25.5" x14ac:dyDescent="0.25">
      <c r="A2257" s="4" t="s">
        <v>3764</v>
      </c>
      <c r="B2257" s="4" t="s">
        <v>90</v>
      </c>
      <c r="C2257" s="37" t="s">
        <v>3614</v>
      </c>
      <c r="D2257" s="35">
        <v>4852</v>
      </c>
      <c r="E2257" s="4" t="s">
        <v>3765</v>
      </c>
      <c r="F2257" s="5">
        <v>39840</v>
      </c>
      <c r="H2257" s="4" t="s">
        <v>40</v>
      </c>
      <c r="I2257" s="6">
        <v>10000</v>
      </c>
      <c r="J2257" s="6">
        <v>5000</v>
      </c>
      <c r="K2257" s="37" t="s">
        <v>3614</v>
      </c>
      <c r="L2257" s="120"/>
      <c r="M2257" s="3"/>
    </row>
    <row r="2258" spans="1:13" s="4" customFormat="1" ht="25.5" x14ac:dyDescent="0.25">
      <c r="A2258" s="4" t="s">
        <v>3766</v>
      </c>
      <c r="B2258" s="4" t="s">
        <v>90</v>
      </c>
      <c r="C2258" s="37" t="s">
        <v>3614</v>
      </c>
      <c r="D2258" s="35">
        <v>4853</v>
      </c>
      <c r="E2258" s="4" t="s">
        <v>3767</v>
      </c>
      <c r="F2258" s="5">
        <v>39868</v>
      </c>
      <c r="H2258" s="4" t="s">
        <v>40</v>
      </c>
      <c r="I2258" s="6">
        <v>10200</v>
      </c>
      <c r="J2258" s="6">
        <v>5100</v>
      </c>
      <c r="K2258" s="37" t="s">
        <v>3614</v>
      </c>
      <c r="L2258" s="120"/>
      <c r="M2258" s="3"/>
    </row>
    <row r="2259" spans="1:13" s="4" customFormat="1" ht="38.25" x14ac:dyDescent="0.25">
      <c r="A2259" s="4" t="s">
        <v>3768</v>
      </c>
      <c r="B2259" s="4" t="s">
        <v>59</v>
      </c>
      <c r="C2259" s="37" t="s">
        <v>3614</v>
      </c>
      <c r="D2259" s="35">
        <v>4863</v>
      </c>
      <c r="E2259" s="4" t="s">
        <v>3769</v>
      </c>
      <c r="F2259" s="5">
        <v>39987</v>
      </c>
      <c r="H2259" s="4" t="s">
        <v>40</v>
      </c>
      <c r="I2259" s="6">
        <v>7500</v>
      </c>
      <c r="J2259" s="6">
        <v>7500</v>
      </c>
      <c r="K2259" s="37" t="s">
        <v>3614</v>
      </c>
      <c r="L2259" s="120"/>
      <c r="M2259" s="3"/>
    </row>
    <row r="2260" spans="1:13" s="4" customFormat="1" ht="51" x14ac:dyDescent="0.25">
      <c r="A2260" s="4" t="s">
        <v>3770</v>
      </c>
      <c r="B2260" s="4" t="s">
        <v>59</v>
      </c>
      <c r="C2260" s="37" t="s">
        <v>3614</v>
      </c>
      <c r="D2260" s="35">
        <v>4923</v>
      </c>
      <c r="E2260" s="4" t="s">
        <v>3771</v>
      </c>
      <c r="F2260" s="5">
        <v>39987</v>
      </c>
      <c r="H2260" s="4" t="s">
        <v>40</v>
      </c>
      <c r="I2260" s="6">
        <v>7500</v>
      </c>
      <c r="J2260" s="6">
        <v>7500</v>
      </c>
      <c r="K2260" s="37" t="s">
        <v>3614</v>
      </c>
      <c r="L2260" s="120"/>
      <c r="M2260" s="3"/>
    </row>
    <row r="2261" spans="1:13" s="4" customFormat="1" ht="51" x14ac:dyDescent="0.25">
      <c r="A2261" s="4" t="s">
        <v>3772</v>
      </c>
      <c r="B2261" s="4" t="s">
        <v>11764</v>
      </c>
      <c r="C2261" s="37" t="s">
        <v>3614</v>
      </c>
      <c r="D2261" s="35">
        <v>4933</v>
      </c>
      <c r="E2261" s="4" t="s">
        <v>3773</v>
      </c>
      <c r="F2261" s="5">
        <v>40022</v>
      </c>
      <c r="H2261" s="4" t="s">
        <v>40</v>
      </c>
      <c r="I2261" s="6">
        <v>150000</v>
      </c>
      <c r="J2261" s="6">
        <v>75000</v>
      </c>
      <c r="K2261" s="37" t="s">
        <v>3614</v>
      </c>
      <c r="L2261" s="120"/>
      <c r="M2261" s="3"/>
    </row>
    <row r="2262" spans="1:13" s="4" customFormat="1" ht="38.25" x14ac:dyDescent="0.25">
      <c r="A2262" s="4" t="s">
        <v>3774</v>
      </c>
      <c r="B2262" s="4" t="s">
        <v>90</v>
      </c>
      <c r="C2262" s="37" t="s">
        <v>3614</v>
      </c>
      <c r="D2262" s="35">
        <v>4942</v>
      </c>
      <c r="E2262" s="4" t="s">
        <v>3775</v>
      </c>
      <c r="F2262" s="5">
        <v>39791</v>
      </c>
      <c r="H2262" s="4" t="s">
        <v>40</v>
      </c>
      <c r="I2262" s="6">
        <v>7096</v>
      </c>
      <c r="J2262" s="6">
        <v>3548</v>
      </c>
      <c r="K2262" s="37" t="s">
        <v>3614</v>
      </c>
      <c r="L2262" s="120"/>
      <c r="M2262" s="3"/>
    </row>
    <row r="2263" spans="1:13" s="4" customFormat="1" ht="25.5" x14ac:dyDescent="0.25">
      <c r="A2263" s="4" t="s">
        <v>3778</v>
      </c>
      <c r="B2263" s="4" t="s">
        <v>90</v>
      </c>
      <c r="C2263" s="37" t="s">
        <v>3614</v>
      </c>
      <c r="D2263" s="35">
        <v>4988</v>
      </c>
      <c r="E2263" s="4" t="s">
        <v>3779</v>
      </c>
      <c r="F2263" s="5">
        <v>39959</v>
      </c>
      <c r="H2263" s="4" t="s">
        <v>40</v>
      </c>
      <c r="I2263" s="6">
        <v>7060</v>
      </c>
      <c r="J2263" s="6">
        <v>3530</v>
      </c>
      <c r="K2263" s="37" t="s">
        <v>3614</v>
      </c>
      <c r="L2263" s="120"/>
      <c r="M2263" s="3"/>
    </row>
    <row r="2264" spans="1:13" s="4" customFormat="1" ht="38.25" x14ac:dyDescent="0.25">
      <c r="A2264" s="4" t="s">
        <v>3780</v>
      </c>
      <c r="B2264" s="4" t="s">
        <v>90</v>
      </c>
      <c r="C2264" s="37" t="s">
        <v>3614</v>
      </c>
      <c r="D2264" s="35">
        <v>4997</v>
      </c>
      <c r="E2264" s="4" t="s">
        <v>3781</v>
      </c>
      <c r="F2264" s="5">
        <v>39959</v>
      </c>
      <c r="H2264" s="4" t="s">
        <v>40</v>
      </c>
      <c r="I2264" s="6">
        <v>10200</v>
      </c>
      <c r="J2264" s="6">
        <v>5100</v>
      </c>
      <c r="K2264" s="37" t="s">
        <v>3614</v>
      </c>
      <c r="L2264" s="120"/>
      <c r="M2264" s="3"/>
    </row>
    <row r="2265" spans="1:13" s="4" customFormat="1" ht="38.25" x14ac:dyDescent="0.25">
      <c r="A2265" s="4" t="s">
        <v>3782</v>
      </c>
      <c r="B2265" s="4" t="s">
        <v>11764</v>
      </c>
      <c r="C2265" s="37" t="s">
        <v>3614</v>
      </c>
      <c r="D2265" s="35">
        <v>5004</v>
      </c>
      <c r="E2265" s="4" t="s">
        <v>3783</v>
      </c>
      <c r="F2265" s="5">
        <v>39896</v>
      </c>
      <c r="H2265" s="4" t="s">
        <v>40</v>
      </c>
      <c r="I2265" s="6">
        <v>60000</v>
      </c>
      <c r="J2265" s="6">
        <v>30000</v>
      </c>
      <c r="K2265" s="37" t="s">
        <v>3614</v>
      </c>
      <c r="L2265" s="120"/>
      <c r="M2265" s="3"/>
    </row>
    <row r="2266" spans="1:13" s="4" customFormat="1" ht="51" x14ac:dyDescent="0.25">
      <c r="A2266" s="4" t="s">
        <v>3784</v>
      </c>
      <c r="B2266" s="4" t="s">
        <v>11764</v>
      </c>
      <c r="C2266" s="37" t="s">
        <v>3614</v>
      </c>
      <c r="D2266" s="35">
        <v>5022</v>
      </c>
      <c r="E2266" s="4" t="s">
        <v>3785</v>
      </c>
      <c r="F2266" s="5">
        <v>39868</v>
      </c>
      <c r="H2266" s="4" t="s">
        <v>40</v>
      </c>
      <c r="I2266" s="6">
        <v>75000</v>
      </c>
      <c r="J2266" s="6">
        <v>37500</v>
      </c>
      <c r="K2266" s="37" t="s">
        <v>3614</v>
      </c>
      <c r="L2266" s="120"/>
      <c r="M2266" s="3"/>
    </row>
    <row r="2267" spans="1:13" s="4" customFormat="1" ht="25.5" x14ac:dyDescent="0.25">
      <c r="A2267" s="4" t="s">
        <v>3786</v>
      </c>
      <c r="B2267" s="4" t="s">
        <v>90</v>
      </c>
      <c r="C2267" s="37" t="s">
        <v>3614</v>
      </c>
      <c r="D2267" s="35">
        <v>5025</v>
      </c>
      <c r="E2267" s="4" t="s">
        <v>3787</v>
      </c>
      <c r="F2267" s="5">
        <v>39896</v>
      </c>
      <c r="H2267" s="4" t="s">
        <v>40</v>
      </c>
      <c r="I2267" s="6">
        <v>2600</v>
      </c>
      <c r="J2267" s="6">
        <v>1300</v>
      </c>
      <c r="K2267" s="37" t="s">
        <v>3614</v>
      </c>
      <c r="L2267" s="120"/>
      <c r="M2267" s="3"/>
    </row>
    <row r="2268" spans="1:13" s="4" customFormat="1" ht="38.25" x14ac:dyDescent="0.25">
      <c r="A2268" s="4" t="s">
        <v>3788</v>
      </c>
      <c r="B2268" s="4" t="s">
        <v>90</v>
      </c>
      <c r="C2268" s="37" t="s">
        <v>3614</v>
      </c>
      <c r="D2268" s="35">
        <v>5028</v>
      </c>
      <c r="E2268" s="4" t="s">
        <v>3789</v>
      </c>
      <c r="F2268" s="5">
        <v>39959</v>
      </c>
      <c r="H2268" s="4" t="s">
        <v>40</v>
      </c>
      <c r="I2268" s="6">
        <v>302</v>
      </c>
      <c r="J2268" s="6">
        <v>151</v>
      </c>
      <c r="K2268" s="37" t="s">
        <v>3614</v>
      </c>
      <c r="L2268" s="120"/>
      <c r="M2268" s="3"/>
    </row>
    <row r="2269" spans="1:13" s="4" customFormat="1" ht="25.5" x14ac:dyDescent="0.25">
      <c r="A2269" s="4" t="s">
        <v>3790</v>
      </c>
      <c r="B2269" s="4" t="s">
        <v>38</v>
      </c>
      <c r="C2269" s="37" t="s">
        <v>3614</v>
      </c>
      <c r="D2269" s="35">
        <v>5119</v>
      </c>
      <c r="E2269" s="4" t="s">
        <v>3791</v>
      </c>
      <c r="F2269" s="5">
        <v>39840</v>
      </c>
      <c r="H2269" s="4" t="s">
        <v>40</v>
      </c>
      <c r="I2269" s="6">
        <v>135548.87</v>
      </c>
      <c r="J2269" s="6">
        <f>123742.47+11806.4</f>
        <v>135548.87</v>
      </c>
      <c r="K2269" s="37" t="s">
        <v>3614</v>
      </c>
      <c r="L2269" s="120"/>
      <c r="M2269" s="3"/>
    </row>
    <row r="2270" spans="1:13" s="4" customFormat="1" ht="25.5" x14ac:dyDescent="0.25">
      <c r="A2270" s="4" t="s">
        <v>3792</v>
      </c>
      <c r="B2270" s="4" t="s">
        <v>38</v>
      </c>
      <c r="C2270" s="37" t="s">
        <v>3614</v>
      </c>
      <c r="D2270" s="35">
        <v>5172</v>
      </c>
      <c r="E2270" s="4" t="s">
        <v>3793</v>
      </c>
      <c r="F2270" s="5">
        <v>39840</v>
      </c>
      <c r="H2270" s="4" t="s">
        <v>40</v>
      </c>
      <c r="I2270" s="6">
        <v>47570.01</v>
      </c>
      <c r="J2270" s="6">
        <f>18211.54+29358.47</f>
        <v>47570.01</v>
      </c>
      <c r="K2270" s="37" t="s">
        <v>3614</v>
      </c>
      <c r="L2270" s="120"/>
      <c r="M2270" s="3"/>
    </row>
    <row r="2271" spans="1:13" s="4" customFormat="1" ht="25.5" x14ac:dyDescent="0.25">
      <c r="A2271" s="4" t="s">
        <v>3794</v>
      </c>
      <c r="B2271" s="4" t="s">
        <v>38</v>
      </c>
      <c r="C2271" s="37" t="s">
        <v>3614</v>
      </c>
      <c r="D2271" s="35">
        <v>5173</v>
      </c>
      <c r="E2271" s="4" t="s">
        <v>3795</v>
      </c>
      <c r="F2271" s="5">
        <v>39791</v>
      </c>
      <c r="H2271" s="4" t="s">
        <v>40</v>
      </c>
      <c r="I2271" s="6">
        <v>2833.51</v>
      </c>
      <c r="J2271" s="6">
        <v>2833.51</v>
      </c>
      <c r="K2271" s="37" t="s">
        <v>3614</v>
      </c>
      <c r="L2271" s="120"/>
      <c r="M2271" s="3"/>
    </row>
    <row r="2272" spans="1:13" s="4" customFormat="1" ht="25.5" x14ac:dyDescent="0.25">
      <c r="A2272" s="4" t="s">
        <v>3796</v>
      </c>
      <c r="B2272" s="4" t="s">
        <v>59</v>
      </c>
      <c r="C2272" s="37" t="s">
        <v>3614</v>
      </c>
      <c r="D2272" s="35">
        <v>7064</v>
      </c>
      <c r="E2272" s="4" t="s">
        <v>3797</v>
      </c>
      <c r="F2272" s="5">
        <v>40022</v>
      </c>
      <c r="H2272" s="4" t="s">
        <v>40</v>
      </c>
      <c r="I2272" s="6">
        <v>7500</v>
      </c>
      <c r="J2272" s="6">
        <v>7500</v>
      </c>
      <c r="K2272" s="37" t="s">
        <v>3614</v>
      </c>
      <c r="L2272" s="120"/>
      <c r="M2272" s="3"/>
    </row>
    <row r="2273" spans="1:13" s="4" customFormat="1" ht="25.5" x14ac:dyDescent="0.25">
      <c r="A2273" s="4" t="s">
        <v>3800</v>
      </c>
      <c r="B2273" s="4" t="s">
        <v>59</v>
      </c>
      <c r="C2273" s="37" t="s">
        <v>3614</v>
      </c>
      <c r="D2273" s="35">
        <v>7080</v>
      </c>
      <c r="E2273" s="4" t="s">
        <v>3801</v>
      </c>
      <c r="F2273" s="5">
        <v>40106</v>
      </c>
      <c r="H2273" s="4" t="s">
        <v>40</v>
      </c>
      <c r="I2273" s="6">
        <v>3750</v>
      </c>
      <c r="J2273" s="6">
        <v>3750</v>
      </c>
      <c r="K2273" s="37" t="s">
        <v>3614</v>
      </c>
      <c r="L2273" s="120"/>
      <c r="M2273" s="3"/>
    </row>
    <row r="2274" spans="1:13" s="4" customFormat="1" ht="25.5" x14ac:dyDescent="0.25">
      <c r="A2274" s="4" t="s">
        <v>3802</v>
      </c>
      <c r="B2274" s="4" t="s">
        <v>59</v>
      </c>
      <c r="C2274" s="37" t="s">
        <v>3614</v>
      </c>
      <c r="D2274" s="35">
        <v>7081</v>
      </c>
      <c r="E2274" s="4" t="s">
        <v>3803</v>
      </c>
      <c r="F2274" s="5">
        <v>40078</v>
      </c>
      <c r="H2274" s="4" t="s">
        <v>40</v>
      </c>
      <c r="I2274" s="6">
        <v>1875</v>
      </c>
      <c r="J2274" s="6">
        <v>1875</v>
      </c>
      <c r="K2274" s="37" t="s">
        <v>3614</v>
      </c>
      <c r="L2274" s="120"/>
      <c r="M2274" s="3"/>
    </row>
    <row r="2275" spans="1:13" s="4" customFormat="1" ht="25.5" x14ac:dyDescent="0.25">
      <c r="A2275" s="4" t="s">
        <v>3804</v>
      </c>
      <c r="B2275" s="4" t="s">
        <v>183</v>
      </c>
      <c r="C2275" s="37" t="s">
        <v>3614</v>
      </c>
      <c r="D2275" s="35">
        <v>7082</v>
      </c>
      <c r="E2275" s="4" t="s">
        <v>3805</v>
      </c>
      <c r="F2275" s="5">
        <v>40204</v>
      </c>
      <c r="H2275" s="4" t="s">
        <v>40</v>
      </c>
      <c r="I2275" s="6">
        <v>10762</v>
      </c>
      <c r="J2275" s="6">
        <v>5381</v>
      </c>
      <c r="K2275" s="37" t="s">
        <v>3614</v>
      </c>
      <c r="L2275" s="120"/>
      <c r="M2275" s="3"/>
    </row>
    <row r="2276" spans="1:13" s="4" customFormat="1" ht="38.25" x14ac:dyDescent="0.25">
      <c r="A2276" s="4" t="s">
        <v>3808</v>
      </c>
      <c r="B2276" s="4" t="s">
        <v>183</v>
      </c>
      <c r="C2276" s="37" t="s">
        <v>3614</v>
      </c>
      <c r="D2276" s="35">
        <v>7084</v>
      </c>
      <c r="E2276" s="4" t="s">
        <v>3809</v>
      </c>
      <c r="F2276" s="5">
        <v>40234</v>
      </c>
      <c r="H2276" s="4" t="s">
        <v>40</v>
      </c>
      <c r="I2276" s="6">
        <v>45000</v>
      </c>
      <c r="J2276" s="6">
        <v>30000</v>
      </c>
      <c r="K2276" s="37" t="s">
        <v>3614</v>
      </c>
      <c r="L2276" s="120"/>
      <c r="M2276" s="3"/>
    </row>
    <row r="2277" spans="1:13" s="4" customFormat="1" ht="38.25" x14ac:dyDescent="0.25">
      <c r="A2277" s="4" t="s">
        <v>3810</v>
      </c>
      <c r="B2277" s="4" t="s">
        <v>90</v>
      </c>
      <c r="C2277" s="37" t="s">
        <v>3614</v>
      </c>
      <c r="D2277" s="35">
        <v>7357</v>
      </c>
      <c r="E2277" s="4" t="s">
        <v>3811</v>
      </c>
      <c r="F2277" s="5">
        <v>40234</v>
      </c>
      <c r="H2277" s="4" t="s">
        <v>40</v>
      </c>
      <c r="I2277" s="6">
        <v>10000</v>
      </c>
      <c r="J2277" s="6">
        <v>5000</v>
      </c>
      <c r="K2277" s="37" t="s">
        <v>3614</v>
      </c>
      <c r="L2277" s="120"/>
      <c r="M2277" s="3"/>
    </row>
    <row r="2278" spans="1:13" s="4" customFormat="1" ht="25.5" x14ac:dyDescent="0.25">
      <c r="A2278" s="4" t="s">
        <v>3812</v>
      </c>
      <c r="B2278" s="4" t="s">
        <v>90</v>
      </c>
      <c r="C2278" s="37" t="s">
        <v>3614</v>
      </c>
      <c r="D2278" s="35">
        <v>7358</v>
      </c>
      <c r="E2278" s="4" t="s">
        <v>3813</v>
      </c>
      <c r="F2278" s="5">
        <v>40162</v>
      </c>
      <c r="H2278" s="4" t="s">
        <v>40</v>
      </c>
      <c r="I2278" s="6">
        <v>7310</v>
      </c>
      <c r="J2278" s="6">
        <v>3655</v>
      </c>
      <c r="K2278" s="37" t="s">
        <v>3614</v>
      </c>
      <c r="L2278" s="120"/>
      <c r="M2278" s="3"/>
    </row>
    <row r="2279" spans="1:13" s="4" customFormat="1" ht="25.5" x14ac:dyDescent="0.25">
      <c r="A2279" s="4" t="s">
        <v>3814</v>
      </c>
      <c r="B2279" s="4" t="s">
        <v>90</v>
      </c>
      <c r="C2279" s="37" t="s">
        <v>3614</v>
      </c>
      <c r="D2279" s="35">
        <v>7359</v>
      </c>
      <c r="E2279" s="4" t="s">
        <v>3815</v>
      </c>
      <c r="F2279" s="5">
        <v>40204</v>
      </c>
      <c r="H2279" s="4" t="s">
        <v>40</v>
      </c>
      <c r="I2279" s="6">
        <v>5000</v>
      </c>
      <c r="J2279" s="6">
        <v>2500</v>
      </c>
      <c r="K2279" s="37" t="s">
        <v>3614</v>
      </c>
      <c r="L2279" s="120"/>
      <c r="M2279" s="3"/>
    </row>
    <row r="2280" spans="1:13" s="4" customFormat="1" ht="25.5" x14ac:dyDescent="0.25">
      <c r="A2280" s="4" t="s">
        <v>3816</v>
      </c>
      <c r="B2280" s="4" t="s">
        <v>90</v>
      </c>
      <c r="C2280" s="37" t="s">
        <v>3614</v>
      </c>
      <c r="D2280" s="35">
        <v>7360</v>
      </c>
      <c r="E2280" s="4" t="s">
        <v>3817</v>
      </c>
      <c r="F2280" s="5">
        <v>40260</v>
      </c>
      <c r="H2280" s="4" t="s">
        <v>40</v>
      </c>
      <c r="I2280" s="6">
        <v>10000</v>
      </c>
      <c r="J2280" s="6">
        <v>5000</v>
      </c>
      <c r="K2280" s="37" t="s">
        <v>3614</v>
      </c>
      <c r="L2280" s="120"/>
      <c r="M2280" s="3"/>
    </row>
    <row r="2281" spans="1:13" s="4" customFormat="1" ht="51" x14ac:dyDescent="0.25">
      <c r="A2281" s="4" t="s">
        <v>3818</v>
      </c>
      <c r="B2281" s="4" t="s">
        <v>90</v>
      </c>
      <c r="C2281" s="37" t="s">
        <v>3614</v>
      </c>
      <c r="D2281" s="35">
        <v>7365</v>
      </c>
      <c r="E2281" s="4" t="s">
        <v>3819</v>
      </c>
      <c r="F2281" s="5">
        <v>40204</v>
      </c>
      <c r="H2281" s="4" t="s">
        <v>40</v>
      </c>
      <c r="I2281" s="6">
        <v>10450</v>
      </c>
      <c r="J2281" s="6">
        <v>5225</v>
      </c>
      <c r="K2281" s="37" t="s">
        <v>3614</v>
      </c>
      <c r="L2281" s="120"/>
      <c r="M2281" s="3"/>
    </row>
    <row r="2282" spans="1:13" s="4" customFormat="1" ht="25.5" x14ac:dyDescent="0.25">
      <c r="A2282" s="4" t="s">
        <v>3820</v>
      </c>
      <c r="B2282" s="4" t="s">
        <v>183</v>
      </c>
      <c r="C2282" s="37" t="s">
        <v>3614</v>
      </c>
      <c r="D2282" s="35">
        <v>7366</v>
      </c>
      <c r="E2282" s="4" t="s">
        <v>3821</v>
      </c>
      <c r="F2282" s="5">
        <v>40295</v>
      </c>
      <c r="H2282" s="4" t="s">
        <v>40</v>
      </c>
      <c r="I2282" s="6">
        <v>66953.759999999995</v>
      </c>
      <c r="J2282" s="6">
        <v>44348.88</v>
      </c>
      <c r="K2282" s="37" t="s">
        <v>3614</v>
      </c>
      <c r="L2282" s="120"/>
      <c r="M2282" s="3"/>
    </row>
    <row r="2283" spans="1:13" s="4" customFormat="1" ht="25.5" x14ac:dyDescent="0.25">
      <c r="A2283" s="4" t="s">
        <v>3822</v>
      </c>
      <c r="B2283" s="4" t="s">
        <v>90</v>
      </c>
      <c r="C2283" s="37" t="s">
        <v>3614</v>
      </c>
      <c r="D2283" s="35">
        <v>7367</v>
      </c>
      <c r="E2283" s="4" t="s">
        <v>3823</v>
      </c>
      <c r="F2283" s="5">
        <v>40260</v>
      </c>
      <c r="H2283" s="4" t="s">
        <v>40</v>
      </c>
      <c r="I2283" s="6">
        <v>4000</v>
      </c>
      <c r="J2283" s="6">
        <v>2000</v>
      </c>
      <c r="K2283" s="37" t="s">
        <v>3614</v>
      </c>
      <c r="L2283" s="120"/>
      <c r="M2283" s="3"/>
    </row>
    <row r="2284" spans="1:13" s="4" customFormat="1" ht="25.5" x14ac:dyDescent="0.25">
      <c r="A2284" s="4" t="s">
        <v>3824</v>
      </c>
      <c r="B2284" s="4" t="s">
        <v>90</v>
      </c>
      <c r="C2284" s="37" t="s">
        <v>3614</v>
      </c>
      <c r="D2284" s="35">
        <v>7368</v>
      </c>
      <c r="E2284" s="4" t="s">
        <v>3825</v>
      </c>
      <c r="F2284" s="5">
        <v>40260</v>
      </c>
      <c r="H2284" s="4" t="s">
        <v>40</v>
      </c>
      <c r="I2284" s="6">
        <v>2000</v>
      </c>
      <c r="J2284" s="6">
        <v>1000</v>
      </c>
      <c r="K2284" s="37" t="s">
        <v>3614</v>
      </c>
      <c r="L2284" s="120"/>
      <c r="M2284" s="3"/>
    </row>
    <row r="2285" spans="1:13" s="4" customFormat="1" ht="38.25" x14ac:dyDescent="0.25">
      <c r="A2285" s="4" t="s">
        <v>3826</v>
      </c>
      <c r="B2285" s="4" t="s">
        <v>90</v>
      </c>
      <c r="C2285" s="37" t="s">
        <v>3614</v>
      </c>
      <c r="D2285" s="35">
        <v>7369</v>
      </c>
      <c r="E2285" s="4" t="s">
        <v>3827</v>
      </c>
      <c r="F2285" s="5">
        <v>40260</v>
      </c>
      <c r="H2285" s="4" t="s">
        <v>40</v>
      </c>
      <c r="I2285" s="6">
        <v>2000</v>
      </c>
      <c r="J2285" s="6">
        <v>1000</v>
      </c>
      <c r="K2285" s="37" t="s">
        <v>3614</v>
      </c>
      <c r="L2285" s="120"/>
      <c r="M2285" s="3"/>
    </row>
    <row r="2286" spans="1:13" s="4" customFormat="1" ht="63.75" x14ac:dyDescent="0.25">
      <c r="A2286" s="4" t="s">
        <v>3828</v>
      </c>
      <c r="B2286" s="4" t="s">
        <v>190</v>
      </c>
      <c r="C2286" s="37" t="s">
        <v>3614</v>
      </c>
      <c r="D2286" s="35">
        <v>7370</v>
      </c>
      <c r="E2286" s="4" t="s">
        <v>3829</v>
      </c>
      <c r="F2286" s="5">
        <v>40295</v>
      </c>
      <c r="H2286" s="4" t="s">
        <v>40</v>
      </c>
      <c r="I2286" s="6">
        <v>51472.95</v>
      </c>
      <c r="J2286" s="6">
        <v>34293.949999999997</v>
      </c>
      <c r="K2286" s="37" t="s">
        <v>3614</v>
      </c>
      <c r="L2286" s="120"/>
      <c r="M2286" s="3"/>
    </row>
    <row r="2287" spans="1:13" s="4" customFormat="1" ht="25.5" x14ac:dyDescent="0.25">
      <c r="A2287" s="4" t="s">
        <v>3830</v>
      </c>
      <c r="B2287" s="4" t="s">
        <v>90</v>
      </c>
      <c r="C2287" s="37" t="s">
        <v>3614</v>
      </c>
      <c r="D2287" s="35">
        <v>7382</v>
      </c>
      <c r="E2287" s="4" t="s">
        <v>3831</v>
      </c>
      <c r="F2287" s="5">
        <v>40234</v>
      </c>
      <c r="H2287" s="4" t="s">
        <v>40</v>
      </c>
      <c r="I2287" s="6">
        <v>6950</v>
      </c>
      <c r="J2287" s="6">
        <v>3475</v>
      </c>
      <c r="K2287" s="37" t="s">
        <v>3614</v>
      </c>
      <c r="L2287" s="120"/>
      <c r="M2287" s="3"/>
    </row>
    <row r="2288" spans="1:13" s="4" customFormat="1" ht="51" x14ac:dyDescent="0.25">
      <c r="A2288" s="4" t="s">
        <v>3832</v>
      </c>
      <c r="B2288" s="4" t="s">
        <v>90</v>
      </c>
      <c r="C2288" s="37" t="s">
        <v>3614</v>
      </c>
      <c r="D2288" s="35">
        <v>7383</v>
      </c>
      <c r="E2288" s="4" t="s">
        <v>3833</v>
      </c>
      <c r="F2288" s="5">
        <v>40260</v>
      </c>
      <c r="H2288" s="4" t="s">
        <v>40</v>
      </c>
      <c r="I2288" s="6">
        <v>1858.5</v>
      </c>
      <c r="J2288" s="6">
        <v>929.25</v>
      </c>
      <c r="K2288" s="37" t="s">
        <v>3614</v>
      </c>
      <c r="L2288" s="120"/>
      <c r="M2288" s="3"/>
    </row>
    <row r="2289" spans="1:13" s="4" customFormat="1" ht="25.5" x14ac:dyDescent="0.25">
      <c r="A2289" s="4" t="s">
        <v>3834</v>
      </c>
      <c r="B2289" s="4" t="s">
        <v>90</v>
      </c>
      <c r="C2289" s="37" t="s">
        <v>3614</v>
      </c>
      <c r="D2289" s="35">
        <v>7387</v>
      </c>
      <c r="E2289" s="4" t="s">
        <v>3835</v>
      </c>
      <c r="F2289" s="5">
        <v>40260</v>
      </c>
      <c r="H2289" s="4" t="s">
        <v>40</v>
      </c>
      <c r="I2289" s="6">
        <v>2000</v>
      </c>
      <c r="J2289" s="6">
        <v>1000</v>
      </c>
      <c r="K2289" s="37" t="s">
        <v>3614</v>
      </c>
      <c r="L2289" s="120"/>
      <c r="M2289" s="3"/>
    </row>
    <row r="2290" spans="1:13" s="4" customFormat="1" ht="25.5" x14ac:dyDescent="0.25">
      <c r="A2290" s="4" t="s">
        <v>3836</v>
      </c>
      <c r="B2290" s="4" t="s">
        <v>90</v>
      </c>
      <c r="C2290" s="37" t="s">
        <v>3614</v>
      </c>
      <c r="D2290" s="35">
        <v>7389</v>
      </c>
      <c r="E2290" s="4" t="s">
        <v>3837</v>
      </c>
      <c r="F2290" s="5">
        <v>40240</v>
      </c>
      <c r="H2290" s="4" t="s">
        <v>40</v>
      </c>
      <c r="I2290" s="6">
        <v>800</v>
      </c>
      <c r="J2290" s="6">
        <v>400</v>
      </c>
      <c r="K2290" s="37" t="s">
        <v>3614</v>
      </c>
      <c r="L2290" s="120"/>
      <c r="M2290" s="3"/>
    </row>
    <row r="2291" spans="1:13" s="4" customFormat="1" ht="25.5" x14ac:dyDescent="0.25">
      <c r="A2291" s="4" t="s">
        <v>3838</v>
      </c>
      <c r="B2291" s="4" t="s">
        <v>90</v>
      </c>
      <c r="C2291" s="37" t="s">
        <v>3614</v>
      </c>
      <c r="D2291" s="35">
        <v>7391</v>
      </c>
      <c r="E2291" s="4" t="s">
        <v>3839</v>
      </c>
      <c r="F2291" s="5">
        <v>40260</v>
      </c>
      <c r="H2291" s="4" t="s">
        <v>40</v>
      </c>
      <c r="I2291" s="6">
        <v>5000</v>
      </c>
      <c r="J2291" s="6">
        <v>2500</v>
      </c>
      <c r="K2291" s="37" t="s">
        <v>3614</v>
      </c>
      <c r="L2291" s="120"/>
      <c r="M2291" s="3"/>
    </row>
    <row r="2292" spans="1:13" s="4" customFormat="1" ht="25.5" x14ac:dyDescent="0.25">
      <c r="A2292" s="4" t="s">
        <v>3840</v>
      </c>
      <c r="B2292" s="4" t="s">
        <v>90</v>
      </c>
      <c r="C2292" s="37" t="s">
        <v>3614</v>
      </c>
      <c r="D2292" s="35">
        <v>7393</v>
      </c>
      <c r="E2292" s="4" t="s">
        <v>3841</v>
      </c>
      <c r="F2292" s="5">
        <v>40260</v>
      </c>
      <c r="H2292" s="4" t="s">
        <v>40</v>
      </c>
      <c r="I2292" s="6">
        <v>3369.8</v>
      </c>
      <c r="J2292" s="6">
        <v>1684.9</v>
      </c>
      <c r="K2292" s="37" t="s">
        <v>3614</v>
      </c>
      <c r="L2292" s="120"/>
      <c r="M2292" s="3"/>
    </row>
    <row r="2293" spans="1:13" s="4" customFormat="1" ht="25.5" x14ac:dyDescent="0.25">
      <c r="A2293" s="4" t="s">
        <v>3842</v>
      </c>
      <c r="B2293" s="4" t="s">
        <v>90</v>
      </c>
      <c r="C2293" s="37" t="s">
        <v>3614</v>
      </c>
      <c r="D2293" s="35">
        <v>7395</v>
      </c>
      <c r="E2293" s="4" t="s">
        <v>3843</v>
      </c>
      <c r="F2293" s="5">
        <v>40260</v>
      </c>
      <c r="H2293" s="4" t="s">
        <v>40</v>
      </c>
      <c r="I2293" s="6">
        <v>2000</v>
      </c>
      <c r="J2293" s="6">
        <v>1000</v>
      </c>
      <c r="K2293" s="37" t="s">
        <v>3614</v>
      </c>
      <c r="L2293" s="120"/>
      <c r="M2293" s="3"/>
    </row>
    <row r="2294" spans="1:13" s="4" customFormat="1" ht="38.25" x14ac:dyDescent="0.25">
      <c r="A2294" s="4" t="s">
        <v>3844</v>
      </c>
      <c r="B2294" s="4" t="s">
        <v>90</v>
      </c>
      <c r="C2294" s="37" t="s">
        <v>3614</v>
      </c>
      <c r="D2294" s="35">
        <v>7396</v>
      </c>
      <c r="E2294" s="4" t="s">
        <v>3845</v>
      </c>
      <c r="F2294" s="5">
        <v>40260</v>
      </c>
      <c r="H2294" s="4" t="s">
        <v>40</v>
      </c>
      <c r="I2294" s="6">
        <v>2200</v>
      </c>
      <c r="J2294" s="6">
        <v>1100</v>
      </c>
      <c r="K2294" s="37" t="s">
        <v>3614</v>
      </c>
      <c r="L2294" s="120"/>
      <c r="M2294" s="3"/>
    </row>
    <row r="2295" spans="1:13" s="4" customFormat="1" ht="38.25" x14ac:dyDescent="0.25">
      <c r="A2295" s="4" t="s">
        <v>3846</v>
      </c>
      <c r="B2295" s="4" t="s">
        <v>90</v>
      </c>
      <c r="C2295" s="37" t="s">
        <v>3614</v>
      </c>
      <c r="D2295" s="35">
        <v>7397</v>
      </c>
      <c r="E2295" s="4" t="s">
        <v>3847</v>
      </c>
      <c r="F2295" s="5">
        <v>40260</v>
      </c>
      <c r="H2295" s="4" t="s">
        <v>40</v>
      </c>
      <c r="I2295" s="6">
        <v>500</v>
      </c>
      <c r="J2295" s="6">
        <v>250</v>
      </c>
      <c r="K2295" s="37" t="s">
        <v>3614</v>
      </c>
      <c r="L2295" s="120"/>
      <c r="M2295" s="3"/>
    </row>
    <row r="2296" spans="1:13" s="4" customFormat="1" ht="38.25" x14ac:dyDescent="0.25">
      <c r="A2296" s="4" t="s">
        <v>3848</v>
      </c>
      <c r="B2296" s="4" t="s">
        <v>90</v>
      </c>
      <c r="C2296" s="37" t="s">
        <v>3614</v>
      </c>
      <c r="D2296" s="35">
        <v>7398</v>
      </c>
      <c r="E2296" s="4" t="s">
        <v>3849</v>
      </c>
      <c r="F2296" s="5">
        <v>40260</v>
      </c>
      <c r="H2296" s="4" t="s">
        <v>40</v>
      </c>
      <c r="I2296" s="6">
        <v>2500</v>
      </c>
      <c r="J2296" s="6">
        <v>1250</v>
      </c>
      <c r="K2296" s="37" t="s">
        <v>3614</v>
      </c>
      <c r="L2296" s="120"/>
      <c r="M2296" s="3"/>
    </row>
    <row r="2297" spans="1:13" s="4" customFormat="1" ht="25.5" x14ac:dyDescent="0.25">
      <c r="A2297" s="4" t="s">
        <v>3850</v>
      </c>
      <c r="B2297" s="4" t="s">
        <v>90</v>
      </c>
      <c r="C2297" s="37" t="s">
        <v>3614</v>
      </c>
      <c r="D2297" s="35">
        <v>7399</v>
      </c>
      <c r="E2297" s="4" t="s">
        <v>3851</v>
      </c>
      <c r="F2297" s="5">
        <v>40260</v>
      </c>
      <c r="H2297" s="4" t="s">
        <v>40</v>
      </c>
      <c r="I2297" s="6">
        <v>1043.26</v>
      </c>
      <c r="J2297" s="6">
        <v>521.63</v>
      </c>
      <c r="K2297" s="37" t="s">
        <v>3614</v>
      </c>
      <c r="L2297" s="120"/>
      <c r="M2297" s="3"/>
    </row>
    <row r="2298" spans="1:13" s="4" customFormat="1" ht="25.5" x14ac:dyDescent="0.25">
      <c r="A2298" s="4" t="s">
        <v>3852</v>
      </c>
      <c r="B2298" s="4" t="s">
        <v>59</v>
      </c>
      <c r="C2298" s="37" t="s">
        <v>3614</v>
      </c>
      <c r="D2298" s="35">
        <v>7400</v>
      </c>
      <c r="E2298" s="4" t="s">
        <v>3853</v>
      </c>
      <c r="F2298" s="5">
        <v>40106</v>
      </c>
      <c r="H2298" s="4" t="s">
        <v>40</v>
      </c>
      <c r="I2298" s="6">
        <v>3750</v>
      </c>
      <c r="J2298" s="6">
        <v>3750</v>
      </c>
      <c r="K2298" s="37" t="s">
        <v>3614</v>
      </c>
      <c r="L2298" s="120"/>
      <c r="M2298" s="3"/>
    </row>
    <row r="2299" spans="1:13" s="4" customFormat="1" ht="25.5" x14ac:dyDescent="0.25">
      <c r="A2299" s="4" t="s">
        <v>3854</v>
      </c>
      <c r="B2299" s="4" t="s">
        <v>90</v>
      </c>
      <c r="C2299" s="37" t="s">
        <v>3614</v>
      </c>
      <c r="D2299" s="35">
        <v>7401</v>
      </c>
      <c r="E2299" s="4" t="s">
        <v>3855</v>
      </c>
      <c r="F2299" s="5">
        <v>40260</v>
      </c>
      <c r="H2299" s="4" t="s">
        <v>40</v>
      </c>
      <c r="I2299" s="6">
        <v>2000</v>
      </c>
      <c r="J2299" s="6">
        <v>1000</v>
      </c>
      <c r="K2299" s="37" t="s">
        <v>3614</v>
      </c>
      <c r="L2299" s="120"/>
      <c r="M2299" s="3"/>
    </row>
    <row r="2300" spans="1:13" s="4" customFormat="1" ht="51" x14ac:dyDescent="0.25">
      <c r="A2300" s="4" t="s">
        <v>3856</v>
      </c>
      <c r="B2300" s="4" t="s">
        <v>90</v>
      </c>
      <c r="C2300" s="37" t="s">
        <v>3614</v>
      </c>
      <c r="D2300" s="35">
        <v>7402</v>
      </c>
      <c r="E2300" s="4" t="s">
        <v>3857</v>
      </c>
      <c r="F2300" s="5">
        <v>40260</v>
      </c>
      <c r="H2300" s="4" t="s">
        <v>40</v>
      </c>
      <c r="I2300" s="6">
        <v>722.72</v>
      </c>
      <c r="J2300" s="6">
        <v>361.36</v>
      </c>
      <c r="K2300" s="37" t="s">
        <v>3614</v>
      </c>
      <c r="L2300" s="120"/>
      <c r="M2300" s="3"/>
    </row>
    <row r="2301" spans="1:13" s="4" customFormat="1" ht="25.5" x14ac:dyDescent="0.25">
      <c r="A2301" s="4" t="s">
        <v>3858</v>
      </c>
      <c r="B2301" s="4" t="s">
        <v>90</v>
      </c>
      <c r="C2301" s="37" t="s">
        <v>3614</v>
      </c>
      <c r="D2301" s="35">
        <v>7423</v>
      </c>
      <c r="E2301" s="4" t="s">
        <v>3859</v>
      </c>
      <c r="F2301" s="5">
        <v>40260</v>
      </c>
      <c r="H2301" s="4" t="s">
        <v>40</v>
      </c>
      <c r="I2301" s="6">
        <v>2000</v>
      </c>
      <c r="J2301" s="6">
        <v>1000</v>
      </c>
      <c r="K2301" s="37" t="s">
        <v>3614</v>
      </c>
      <c r="L2301" s="120"/>
      <c r="M2301" s="3"/>
    </row>
    <row r="2302" spans="1:13" s="4" customFormat="1" ht="38.25" x14ac:dyDescent="0.25">
      <c r="A2302" s="4" t="s">
        <v>3860</v>
      </c>
      <c r="B2302" s="4" t="s">
        <v>90</v>
      </c>
      <c r="C2302" s="37" t="s">
        <v>3614</v>
      </c>
      <c r="D2302" s="35">
        <v>7426</v>
      </c>
      <c r="E2302" s="4" t="s">
        <v>3861</v>
      </c>
      <c r="F2302" s="5">
        <v>40240</v>
      </c>
      <c r="H2302" s="4" t="s">
        <v>40</v>
      </c>
      <c r="I2302" s="6">
        <v>1500</v>
      </c>
      <c r="J2302" s="6">
        <v>750</v>
      </c>
      <c r="K2302" s="37" t="s">
        <v>3614</v>
      </c>
      <c r="L2302" s="120"/>
      <c r="M2302" s="3"/>
    </row>
    <row r="2303" spans="1:13" s="4" customFormat="1" ht="25.5" x14ac:dyDescent="0.25">
      <c r="A2303" s="4" t="s">
        <v>3862</v>
      </c>
      <c r="B2303" s="4" t="s">
        <v>90</v>
      </c>
      <c r="C2303" s="37" t="s">
        <v>3614</v>
      </c>
      <c r="D2303" s="35">
        <v>7428</v>
      </c>
      <c r="E2303" s="4" t="s">
        <v>3863</v>
      </c>
      <c r="F2303" s="5">
        <v>40260</v>
      </c>
      <c r="H2303" s="4" t="s">
        <v>40</v>
      </c>
      <c r="I2303" s="6">
        <v>2000</v>
      </c>
      <c r="J2303" s="6">
        <v>1000</v>
      </c>
      <c r="K2303" s="37" t="s">
        <v>3614</v>
      </c>
      <c r="L2303" s="120"/>
      <c r="M2303" s="3"/>
    </row>
    <row r="2304" spans="1:13" s="4" customFormat="1" ht="25.5" x14ac:dyDescent="0.25">
      <c r="A2304" s="4" t="s">
        <v>3864</v>
      </c>
      <c r="B2304" s="4" t="s">
        <v>90</v>
      </c>
      <c r="C2304" s="37" t="s">
        <v>3614</v>
      </c>
      <c r="D2304" s="35">
        <v>7429</v>
      </c>
      <c r="E2304" s="4" t="s">
        <v>3865</v>
      </c>
      <c r="F2304" s="5">
        <v>40260</v>
      </c>
      <c r="H2304" s="4" t="s">
        <v>40</v>
      </c>
      <c r="I2304" s="6">
        <v>2491</v>
      </c>
      <c r="J2304" s="6">
        <v>1245.5</v>
      </c>
      <c r="K2304" s="37" t="s">
        <v>3614</v>
      </c>
      <c r="L2304" s="120"/>
      <c r="M2304" s="3"/>
    </row>
    <row r="2305" spans="1:13" s="4" customFormat="1" ht="38.25" x14ac:dyDescent="0.25">
      <c r="A2305" s="4" t="s">
        <v>3866</v>
      </c>
      <c r="B2305" s="4" t="s">
        <v>90</v>
      </c>
      <c r="C2305" s="37" t="s">
        <v>3614</v>
      </c>
      <c r="D2305" s="35">
        <v>7431</v>
      </c>
      <c r="E2305" s="4" t="s">
        <v>3867</v>
      </c>
      <c r="F2305" s="5">
        <v>40204</v>
      </c>
      <c r="H2305" s="4" t="s">
        <v>40</v>
      </c>
      <c r="I2305" s="6">
        <v>776.5</v>
      </c>
      <c r="J2305" s="6">
        <v>388.25</v>
      </c>
      <c r="K2305" s="37" t="s">
        <v>3614</v>
      </c>
      <c r="L2305" s="120"/>
      <c r="M2305" s="3"/>
    </row>
    <row r="2306" spans="1:13" s="4" customFormat="1" ht="38.25" x14ac:dyDescent="0.25">
      <c r="A2306" s="4" t="s">
        <v>3868</v>
      </c>
      <c r="B2306" s="4" t="s">
        <v>183</v>
      </c>
      <c r="C2306" s="37" t="s">
        <v>3614</v>
      </c>
      <c r="D2306" s="35">
        <v>7432</v>
      </c>
      <c r="E2306" s="4" t="s">
        <v>3869</v>
      </c>
      <c r="F2306" s="5">
        <v>40204</v>
      </c>
      <c r="H2306" s="4" t="s">
        <v>40</v>
      </c>
      <c r="I2306" s="6">
        <v>28451.62</v>
      </c>
      <c r="J2306" s="6">
        <v>14225.81</v>
      </c>
      <c r="K2306" s="37" t="s">
        <v>3614</v>
      </c>
      <c r="L2306" s="120"/>
      <c r="M2306" s="3"/>
    </row>
    <row r="2307" spans="1:13" s="4" customFormat="1" ht="38.25" x14ac:dyDescent="0.25">
      <c r="A2307" s="4" t="s">
        <v>3870</v>
      </c>
      <c r="B2307" s="4" t="s">
        <v>90</v>
      </c>
      <c r="C2307" s="37" t="s">
        <v>3614</v>
      </c>
      <c r="D2307" s="35">
        <v>7433</v>
      </c>
      <c r="E2307" s="4" t="s">
        <v>3871</v>
      </c>
      <c r="F2307" s="5">
        <v>40234</v>
      </c>
      <c r="H2307" s="4" t="s">
        <v>40</v>
      </c>
      <c r="I2307" s="6">
        <v>3613.98</v>
      </c>
      <c r="J2307" s="6">
        <v>1806.99</v>
      </c>
      <c r="K2307" s="37" t="s">
        <v>3614</v>
      </c>
      <c r="L2307" s="120"/>
      <c r="M2307" s="3"/>
    </row>
    <row r="2308" spans="1:13" s="4" customFormat="1" ht="25.5" x14ac:dyDescent="0.25">
      <c r="A2308" s="4" t="s">
        <v>3872</v>
      </c>
      <c r="B2308" s="4" t="s">
        <v>183</v>
      </c>
      <c r="C2308" s="37" t="s">
        <v>3614</v>
      </c>
      <c r="D2308" s="35">
        <v>7434</v>
      </c>
      <c r="E2308" s="4" t="s">
        <v>3873</v>
      </c>
      <c r="F2308" s="5">
        <v>40260</v>
      </c>
      <c r="H2308" s="4" t="s">
        <v>40</v>
      </c>
      <c r="I2308" s="6">
        <v>68569.58</v>
      </c>
      <c r="J2308" s="6">
        <v>34284.79</v>
      </c>
      <c r="K2308" s="37" t="s">
        <v>3614</v>
      </c>
      <c r="L2308" s="120"/>
      <c r="M2308" s="3"/>
    </row>
    <row r="2309" spans="1:13" s="4" customFormat="1" ht="25.5" x14ac:dyDescent="0.25">
      <c r="A2309" s="4" t="s">
        <v>3874</v>
      </c>
      <c r="B2309" s="4" t="s">
        <v>90</v>
      </c>
      <c r="C2309" s="37" t="s">
        <v>3614</v>
      </c>
      <c r="D2309" s="35">
        <v>7435</v>
      </c>
      <c r="E2309" s="4" t="s">
        <v>3875</v>
      </c>
      <c r="F2309" s="5">
        <v>40204</v>
      </c>
      <c r="H2309" s="4" t="s">
        <v>40</v>
      </c>
      <c r="I2309" s="6">
        <v>8000</v>
      </c>
      <c r="J2309" s="6">
        <v>4000</v>
      </c>
      <c r="K2309" s="37" t="s">
        <v>3614</v>
      </c>
      <c r="L2309" s="120"/>
      <c r="M2309" s="3"/>
    </row>
    <row r="2310" spans="1:13" s="4" customFormat="1" ht="38.25" x14ac:dyDescent="0.25">
      <c r="A2310" s="4" t="s">
        <v>3876</v>
      </c>
      <c r="B2310" s="4" t="s">
        <v>190</v>
      </c>
      <c r="C2310" s="37" t="s">
        <v>3614</v>
      </c>
      <c r="D2310" s="35">
        <v>7436</v>
      </c>
      <c r="E2310" s="4" t="s">
        <v>3877</v>
      </c>
      <c r="F2310" s="5">
        <v>40323</v>
      </c>
      <c r="H2310" s="4" t="s">
        <v>40</v>
      </c>
      <c r="I2310" s="6">
        <v>26139.52</v>
      </c>
      <c r="J2310" s="6">
        <v>20569.759999999998</v>
      </c>
      <c r="K2310" s="37" t="s">
        <v>3614</v>
      </c>
      <c r="L2310" s="120"/>
      <c r="M2310" s="3"/>
    </row>
    <row r="2311" spans="1:13" s="4" customFormat="1" ht="25.5" x14ac:dyDescent="0.25">
      <c r="A2311" s="4" t="s">
        <v>3878</v>
      </c>
      <c r="B2311" s="4" t="s">
        <v>183</v>
      </c>
      <c r="C2311" s="37" t="s">
        <v>3614</v>
      </c>
      <c r="D2311" s="35">
        <v>7437</v>
      </c>
      <c r="E2311" s="4" t="s">
        <v>3879</v>
      </c>
      <c r="F2311" s="5">
        <v>40323</v>
      </c>
      <c r="H2311" s="4" t="s">
        <v>40</v>
      </c>
      <c r="I2311" s="6">
        <v>26975.4</v>
      </c>
      <c r="J2311" s="6">
        <v>25714.9</v>
      </c>
      <c r="K2311" s="37" t="s">
        <v>3614</v>
      </c>
      <c r="L2311" s="120"/>
      <c r="M2311" s="3"/>
    </row>
    <row r="2312" spans="1:13" s="4" customFormat="1" ht="25.5" x14ac:dyDescent="0.25">
      <c r="A2312" s="4" t="s">
        <v>3882</v>
      </c>
      <c r="B2312" s="4" t="s">
        <v>90</v>
      </c>
      <c r="C2312" s="37" t="s">
        <v>3614</v>
      </c>
      <c r="D2312" s="35">
        <v>7449</v>
      </c>
      <c r="E2312" s="4" t="s">
        <v>3883</v>
      </c>
      <c r="F2312" s="5">
        <v>40204</v>
      </c>
      <c r="H2312" s="4" t="s">
        <v>40</v>
      </c>
      <c r="I2312" s="6">
        <v>6864</v>
      </c>
      <c r="J2312" s="6">
        <v>3432</v>
      </c>
      <c r="K2312" s="37" t="s">
        <v>3614</v>
      </c>
      <c r="L2312" s="120"/>
      <c r="M2312" s="3"/>
    </row>
    <row r="2313" spans="1:13" s="4" customFormat="1" ht="25.5" x14ac:dyDescent="0.25">
      <c r="A2313" s="4" t="s">
        <v>3884</v>
      </c>
      <c r="B2313" s="4" t="s">
        <v>183</v>
      </c>
      <c r="C2313" s="37" t="s">
        <v>3614</v>
      </c>
      <c r="D2313" s="35">
        <v>7452</v>
      </c>
      <c r="E2313" s="4" t="s">
        <v>3885</v>
      </c>
      <c r="F2313" s="5">
        <v>40323</v>
      </c>
      <c r="H2313" s="4" t="s">
        <v>40</v>
      </c>
      <c r="I2313" s="6">
        <v>15000</v>
      </c>
      <c r="J2313" s="6">
        <v>15000</v>
      </c>
      <c r="K2313" s="37" t="s">
        <v>3614</v>
      </c>
      <c r="L2313" s="120"/>
      <c r="M2313" s="3"/>
    </row>
    <row r="2314" spans="1:13" s="4" customFormat="1" ht="25.5" x14ac:dyDescent="0.25">
      <c r="A2314" s="4" t="s">
        <v>3886</v>
      </c>
      <c r="B2314" s="4" t="s">
        <v>90</v>
      </c>
      <c r="C2314" s="37" t="s">
        <v>3614</v>
      </c>
      <c r="D2314" s="35">
        <v>7453</v>
      </c>
      <c r="E2314" s="4" t="s">
        <v>3887</v>
      </c>
      <c r="F2314" s="5">
        <v>40295</v>
      </c>
      <c r="H2314" s="4" t="s">
        <v>40</v>
      </c>
      <c r="I2314" s="6">
        <v>17782.22</v>
      </c>
      <c r="J2314" s="6">
        <v>8891.11</v>
      </c>
      <c r="K2314" s="37" t="s">
        <v>3614</v>
      </c>
      <c r="L2314" s="120"/>
      <c r="M2314" s="3"/>
    </row>
    <row r="2315" spans="1:13" s="4" customFormat="1" ht="25.5" x14ac:dyDescent="0.25">
      <c r="A2315" s="4" t="s">
        <v>3888</v>
      </c>
      <c r="B2315" s="4" t="s">
        <v>90</v>
      </c>
      <c r="C2315" s="37" t="s">
        <v>3614</v>
      </c>
      <c r="D2315" s="35">
        <v>7456</v>
      </c>
      <c r="E2315" s="4" t="s">
        <v>3889</v>
      </c>
      <c r="F2315" s="5">
        <v>40260</v>
      </c>
      <c r="H2315" s="4" t="s">
        <v>40</v>
      </c>
      <c r="I2315" s="6">
        <v>5195</v>
      </c>
      <c r="J2315" s="6">
        <v>2597.5</v>
      </c>
      <c r="K2315" s="37" t="s">
        <v>3614</v>
      </c>
      <c r="L2315" s="120"/>
      <c r="M2315" s="3"/>
    </row>
    <row r="2316" spans="1:13" s="4" customFormat="1" ht="25.5" x14ac:dyDescent="0.25">
      <c r="A2316" s="4" t="s">
        <v>3892</v>
      </c>
      <c r="B2316" s="4" t="s">
        <v>183</v>
      </c>
      <c r="C2316" s="37" t="s">
        <v>3614</v>
      </c>
      <c r="D2316" s="35">
        <v>7464</v>
      </c>
      <c r="E2316" s="4" t="s">
        <v>3893</v>
      </c>
      <c r="F2316" s="5">
        <v>40351</v>
      </c>
      <c r="H2316" s="4" t="s">
        <v>40</v>
      </c>
      <c r="I2316" s="6">
        <v>18417</v>
      </c>
      <c r="J2316" s="6">
        <v>11552</v>
      </c>
      <c r="K2316" s="37" t="s">
        <v>3614</v>
      </c>
      <c r="L2316" s="120"/>
      <c r="M2316" s="3"/>
    </row>
    <row r="2317" spans="1:13" s="4" customFormat="1" ht="51" x14ac:dyDescent="0.25">
      <c r="A2317" s="4" t="s">
        <v>3894</v>
      </c>
      <c r="B2317" s="4" t="s">
        <v>190</v>
      </c>
      <c r="C2317" s="37" t="s">
        <v>3614</v>
      </c>
      <c r="D2317" s="35">
        <v>7469</v>
      </c>
      <c r="E2317" s="4" t="s">
        <v>3773</v>
      </c>
      <c r="F2317" s="5">
        <v>40498</v>
      </c>
      <c r="H2317" s="4" t="s">
        <v>40</v>
      </c>
      <c r="I2317" s="6">
        <v>100000</v>
      </c>
      <c r="J2317" s="6">
        <v>50000</v>
      </c>
      <c r="K2317" s="37" t="s">
        <v>3614</v>
      </c>
      <c r="L2317" s="120"/>
      <c r="M2317" s="3"/>
    </row>
    <row r="2318" spans="1:13" s="4" customFormat="1" ht="25.5" x14ac:dyDescent="0.25">
      <c r="A2318" s="4" t="s">
        <v>3895</v>
      </c>
      <c r="B2318" s="4" t="s">
        <v>183</v>
      </c>
      <c r="C2318" s="37" t="s">
        <v>3614</v>
      </c>
      <c r="D2318" s="35">
        <v>7471</v>
      </c>
      <c r="E2318" s="4" t="s">
        <v>3896</v>
      </c>
      <c r="F2318" s="5">
        <v>40491</v>
      </c>
      <c r="H2318" s="4" t="s">
        <v>40</v>
      </c>
      <c r="I2318" s="6">
        <v>160000</v>
      </c>
      <c r="J2318" s="6">
        <v>80000</v>
      </c>
      <c r="K2318" s="37" t="s">
        <v>3614</v>
      </c>
      <c r="L2318" s="120"/>
      <c r="M2318" s="3"/>
    </row>
    <row r="2319" spans="1:13" s="4" customFormat="1" ht="25.5" x14ac:dyDescent="0.25">
      <c r="A2319" s="4" t="s">
        <v>3897</v>
      </c>
      <c r="B2319" s="4" t="s">
        <v>183</v>
      </c>
      <c r="C2319" s="37" t="s">
        <v>3614</v>
      </c>
      <c r="D2319" s="35">
        <v>7472</v>
      </c>
      <c r="E2319" s="4" t="s">
        <v>3898</v>
      </c>
      <c r="F2319" s="5">
        <v>40351</v>
      </c>
      <c r="H2319" s="4" t="s">
        <v>40</v>
      </c>
      <c r="I2319" s="6">
        <v>62526.32</v>
      </c>
      <c r="J2319" s="6">
        <v>36325.83</v>
      </c>
      <c r="K2319" s="37" t="s">
        <v>3614</v>
      </c>
      <c r="L2319" s="120"/>
      <c r="M2319" s="3"/>
    </row>
    <row r="2320" spans="1:13" s="4" customFormat="1" ht="76.5" x14ac:dyDescent="0.25">
      <c r="A2320" s="4" t="s">
        <v>3899</v>
      </c>
      <c r="B2320" s="4" t="s">
        <v>90</v>
      </c>
      <c r="C2320" s="37" t="s">
        <v>3614</v>
      </c>
      <c r="D2320" s="35">
        <v>8646</v>
      </c>
      <c r="E2320" s="4" t="s">
        <v>3900</v>
      </c>
      <c r="F2320" s="5">
        <v>40323</v>
      </c>
      <c r="H2320" s="4" t="s">
        <v>40</v>
      </c>
      <c r="I2320" s="6">
        <v>4000</v>
      </c>
      <c r="J2320" s="6">
        <v>2000</v>
      </c>
      <c r="K2320" s="37" t="s">
        <v>3614</v>
      </c>
      <c r="L2320" s="120"/>
      <c r="M2320" s="3"/>
    </row>
    <row r="2321" spans="1:13" s="4" customFormat="1" ht="38.25" x14ac:dyDescent="0.25">
      <c r="A2321" s="4" t="s">
        <v>3901</v>
      </c>
      <c r="B2321" s="4" t="s">
        <v>190</v>
      </c>
      <c r="C2321" s="37" t="s">
        <v>3614</v>
      </c>
      <c r="D2321" s="35">
        <v>8663</v>
      </c>
      <c r="E2321" s="4" t="s">
        <v>3902</v>
      </c>
      <c r="F2321" s="5">
        <v>40323</v>
      </c>
      <c r="H2321" s="4" t="s">
        <v>40</v>
      </c>
      <c r="I2321" s="6">
        <v>11444.76</v>
      </c>
      <c r="J2321" s="6">
        <v>5722.38</v>
      </c>
      <c r="K2321" s="37" t="s">
        <v>3614</v>
      </c>
      <c r="L2321" s="120"/>
      <c r="M2321" s="3"/>
    </row>
    <row r="2322" spans="1:13" s="4" customFormat="1" ht="38.25" x14ac:dyDescent="0.25">
      <c r="A2322" s="4" t="s">
        <v>3903</v>
      </c>
      <c r="B2322" s="4" t="s">
        <v>90</v>
      </c>
      <c r="C2322" s="37" t="s">
        <v>3614</v>
      </c>
      <c r="D2322" s="35">
        <v>8680</v>
      </c>
      <c r="E2322" s="4" t="s">
        <v>3904</v>
      </c>
      <c r="F2322" s="5">
        <v>40323</v>
      </c>
      <c r="H2322" s="4" t="s">
        <v>40</v>
      </c>
      <c r="I2322" s="6">
        <v>9064</v>
      </c>
      <c r="J2322" s="6">
        <v>4532</v>
      </c>
      <c r="K2322" s="37" t="s">
        <v>3614</v>
      </c>
      <c r="L2322" s="120"/>
      <c r="M2322" s="3"/>
    </row>
    <row r="2323" spans="1:13" s="4" customFormat="1" ht="38.25" x14ac:dyDescent="0.25">
      <c r="A2323" s="4" t="s">
        <v>3907</v>
      </c>
      <c r="B2323" s="4" t="s">
        <v>90</v>
      </c>
      <c r="C2323" s="37" t="s">
        <v>3614</v>
      </c>
      <c r="D2323" s="35">
        <v>8690</v>
      </c>
      <c r="E2323" s="4" t="s">
        <v>3908</v>
      </c>
      <c r="F2323" s="5">
        <v>40295</v>
      </c>
      <c r="H2323" s="4" t="s">
        <v>40</v>
      </c>
      <c r="I2323" s="6">
        <v>1002.74</v>
      </c>
      <c r="J2323" s="6">
        <v>501.37</v>
      </c>
      <c r="K2323" s="37" t="s">
        <v>3614</v>
      </c>
      <c r="L2323" s="120"/>
      <c r="M2323" s="3"/>
    </row>
    <row r="2324" spans="1:13" s="4" customFormat="1" ht="76.5" x14ac:dyDescent="0.25">
      <c r="A2324" s="4" t="s">
        <v>3909</v>
      </c>
      <c r="B2324" s="4" t="s">
        <v>183</v>
      </c>
      <c r="C2324" s="37" t="s">
        <v>3614</v>
      </c>
      <c r="D2324" s="35">
        <v>8695</v>
      </c>
      <c r="E2324" s="4" t="s">
        <v>3910</v>
      </c>
      <c r="F2324" s="5">
        <v>40519</v>
      </c>
      <c r="H2324" s="4" t="s">
        <v>40</v>
      </c>
      <c r="I2324" s="6">
        <v>12820</v>
      </c>
      <c r="J2324" s="6">
        <v>12035</v>
      </c>
      <c r="K2324" s="37" t="s">
        <v>3614</v>
      </c>
      <c r="L2324" s="120"/>
      <c r="M2324" s="3"/>
    </row>
    <row r="2325" spans="1:13" s="4" customFormat="1" ht="25.5" x14ac:dyDescent="0.25">
      <c r="A2325" s="4" t="s">
        <v>3911</v>
      </c>
      <c r="B2325" s="4" t="s">
        <v>183</v>
      </c>
      <c r="C2325" s="37" t="s">
        <v>3614</v>
      </c>
      <c r="D2325" s="35">
        <v>8696</v>
      </c>
      <c r="E2325" s="4" t="s">
        <v>3912</v>
      </c>
      <c r="F2325" s="5">
        <v>40351</v>
      </c>
      <c r="H2325" s="4" t="s">
        <v>40</v>
      </c>
      <c r="I2325" s="6">
        <v>3376</v>
      </c>
      <c r="J2325" s="6">
        <v>1688</v>
      </c>
      <c r="K2325" s="37" t="s">
        <v>3614</v>
      </c>
      <c r="L2325" s="120"/>
      <c r="M2325" s="3"/>
    </row>
    <row r="2326" spans="1:13" s="4" customFormat="1" ht="51" x14ac:dyDescent="0.25">
      <c r="A2326" s="4" t="s">
        <v>3913</v>
      </c>
      <c r="B2326" s="4" t="s">
        <v>190</v>
      </c>
      <c r="C2326" s="37" t="s">
        <v>3614</v>
      </c>
      <c r="D2326" s="35">
        <v>8698</v>
      </c>
      <c r="E2326" s="4" t="s">
        <v>3914</v>
      </c>
      <c r="F2326" s="5">
        <v>40351</v>
      </c>
      <c r="H2326" s="4" t="s">
        <v>40</v>
      </c>
      <c r="I2326" s="6">
        <v>22661.14</v>
      </c>
      <c r="J2326" s="6">
        <v>12643.07</v>
      </c>
      <c r="K2326" s="37" t="s">
        <v>3614</v>
      </c>
      <c r="L2326" s="120"/>
      <c r="M2326" s="3"/>
    </row>
    <row r="2327" spans="1:13" s="4" customFormat="1" ht="114.75" x14ac:dyDescent="0.25">
      <c r="A2327" s="4" t="s">
        <v>3917</v>
      </c>
      <c r="B2327" s="4" t="s">
        <v>90</v>
      </c>
      <c r="C2327" s="37" t="s">
        <v>3614</v>
      </c>
      <c r="D2327" s="35">
        <v>8700</v>
      </c>
      <c r="E2327" s="7" t="s">
        <v>3918</v>
      </c>
      <c r="F2327" s="5">
        <v>40519</v>
      </c>
      <c r="H2327" s="4" t="s">
        <v>40</v>
      </c>
      <c r="I2327" s="6">
        <v>23250</v>
      </c>
      <c r="J2327" s="6">
        <v>11625</v>
      </c>
      <c r="K2327" s="37" t="s">
        <v>3614</v>
      </c>
      <c r="L2327" s="120"/>
      <c r="M2327" s="3"/>
    </row>
    <row r="2328" spans="1:13" s="4" customFormat="1" ht="76.5" x14ac:dyDescent="0.25">
      <c r="A2328" s="4" t="s">
        <v>3919</v>
      </c>
      <c r="B2328" s="4" t="s">
        <v>190</v>
      </c>
      <c r="C2328" s="37" t="s">
        <v>3614</v>
      </c>
      <c r="D2328" s="35">
        <v>8701</v>
      </c>
      <c r="E2328" s="4" t="s">
        <v>3920</v>
      </c>
      <c r="F2328" s="5">
        <v>40498</v>
      </c>
      <c r="H2328" s="4" t="s">
        <v>40</v>
      </c>
      <c r="I2328" s="6">
        <v>43053</v>
      </c>
      <c r="J2328" s="6">
        <v>27759</v>
      </c>
      <c r="K2328" s="37" t="s">
        <v>3614</v>
      </c>
      <c r="L2328" s="120"/>
      <c r="M2328" s="3"/>
    </row>
    <row r="2329" spans="1:13" s="4" customFormat="1" ht="63.75" x14ac:dyDescent="0.25">
      <c r="A2329" s="4" t="s">
        <v>3921</v>
      </c>
      <c r="B2329" s="4" t="s">
        <v>90</v>
      </c>
      <c r="C2329" s="37" t="s">
        <v>3614</v>
      </c>
      <c r="D2329" s="35">
        <v>8702</v>
      </c>
      <c r="E2329" s="4" t="s">
        <v>3922</v>
      </c>
      <c r="F2329" s="5">
        <v>40323</v>
      </c>
      <c r="H2329" s="4" t="s">
        <v>40</v>
      </c>
      <c r="I2329" s="6">
        <v>8646.5</v>
      </c>
      <c r="J2329" s="6">
        <v>4323.25</v>
      </c>
      <c r="K2329" s="37" t="s">
        <v>3614</v>
      </c>
      <c r="L2329" s="120"/>
      <c r="M2329" s="3"/>
    </row>
    <row r="2330" spans="1:13" s="4" customFormat="1" ht="51" x14ac:dyDescent="0.25">
      <c r="A2330" s="4" t="s">
        <v>3923</v>
      </c>
      <c r="B2330" s="4" t="s">
        <v>90</v>
      </c>
      <c r="C2330" s="37" t="s">
        <v>3614</v>
      </c>
      <c r="D2330" s="35">
        <v>8703</v>
      </c>
      <c r="E2330" s="4" t="s">
        <v>3924</v>
      </c>
      <c r="F2330" s="5">
        <v>40567</v>
      </c>
      <c r="H2330" s="4" t="s">
        <v>40</v>
      </c>
      <c r="I2330" s="6">
        <v>9773.7999999999993</v>
      </c>
      <c r="J2330" s="6">
        <v>4886.8999999999996</v>
      </c>
      <c r="K2330" s="37" t="s">
        <v>3614</v>
      </c>
      <c r="L2330" s="120"/>
      <c r="M2330" s="3"/>
    </row>
    <row r="2331" spans="1:13" s="4" customFormat="1" ht="51" x14ac:dyDescent="0.25">
      <c r="A2331" s="4" t="s">
        <v>3925</v>
      </c>
      <c r="B2331" s="4" t="s">
        <v>183</v>
      </c>
      <c r="C2331" s="37" t="s">
        <v>3614</v>
      </c>
      <c r="D2331" s="35">
        <v>8704</v>
      </c>
      <c r="E2331" s="4" t="s">
        <v>3926</v>
      </c>
      <c r="F2331" s="5">
        <v>40594</v>
      </c>
      <c r="H2331" s="4" t="s">
        <v>40</v>
      </c>
      <c r="I2331" s="6">
        <v>12375</v>
      </c>
      <c r="J2331" s="6">
        <v>12375</v>
      </c>
      <c r="K2331" s="37" t="s">
        <v>3614</v>
      </c>
      <c r="L2331" s="120"/>
      <c r="M2331" s="3"/>
    </row>
    <row r="2332" spans="1:13" s="4" customFormat="1" ht="25.5" x14ac:dyDescent="0.25">
      <c r="A2332" s="4" t="s">
        <v>3929</v>
      </c>
      <c r="B2332" s="4" t="s">
        <v>190</v>
      </c>
      <c r="C2332" s="37" t="s">
        <v>3614</v>
      </c>
      <c r="D2332" s="35">
        <v>8706</v>
      </c>
      <c r="E2332" s="4" t="s">
        <v>3930</v>
      </c>
      <c r="F2332" s="5">
        <v>40519</v>
      </c>
      <c r="H2332" s="4" t="s">
        <v>40</v>
      </c>
      <c r="I2332" s="6">
        <v>24268.52</v>
      </c>
      <c r="J2332" s="6">
        <v>14478.02</v>
      </c>
      <c r="K2332" s="37" t="s">
        <v>3614</v>
      </c>
      <c r="L2332" s="120"/>
      <c r="M2332" s="3"/>
    </row>
    <row r="2333" spans="1:13" s="4" customFormat="1" ht="51" x14ac:dyDescent="0.25">
      <c r="A2333" s="4" t="s">
        <v>3931</v>
      </c>
      <c r="B2333" s="4" t="s">
        <v>183</v>
      </c>
      <c r="C2333" s="37" t="s">
        <v>3614</v>
      </c>
      <c r="D2333" s="35">
        <v>8707</v>
      </c>
      <c r="E2333" s="4" t="s">
        <v>3932</v>
      </c>
      <c r="F2333" s="5">
        <v>40596</v>
      </c>
      <c r="H2333" s="4" t="s">
        <v>40</v>
      </c>
      <c r="I2333" s="6">
        <v>11250</v>
      </c>
      <c r="J2333" s="6">
        <v>11250</v>
      </c>
      <c r="K2333" s="37" t="s">
        <v>3614</v>
      </c>
      <c r="L2333" s="120"/>
      <c r="M2333" s="3"/>
    </row>
    <row r="2334" spans="1:13" s="4" customFormat="1" ht="38.25" x14ac:dyDescent="0.25">
      <c r="A2334" s="4" t="s">
        <v>3935</v>
      </c>
      <c r="B2334" s="4" t="s">
        <v>183</v>
      </c>
      <c r="C2334" s="37" t="s">
        <v>3614</v>
      </c>
      <c r="D2334" s="35">
        <v>8719</v>
      </c>
      <c r="E2334" s="4" t="s">
        <v>3936</v>
      </c>
      <c r="F2334" s="5">
        <v>40568</v>
      </c>
      <c r="H2334" s="4" t="s">
        <v>40</v>
      </c>
      <c r="I2334" s="6">
        <v>12403.07</v>
      </c>
      <c r="J2334" s="6">
        <v>12403.07</v>
      </c>
      <c r="K2334" s="37" t="s">
        <v>3614</v>
      </c>
      <c r="L2334" s="120"/>
      <c r="M2334" s="3"/>
    </row>
    <row r="2335" spans="1:13" s="4" customFormat="1" ht="38.25" x14ac:dyDescent="0.25">
      <c r="A2335" s="4" t="s">
        <v>3939</v>
      </c>
      <c r="B2335" s="4" t="s">
        <v>190</v>
      </c>
      <c r="C2335" s="37" t="s">
        <v>3614</v>
      </c>
      <c r="D2335" s="35">
        <v>8721</v>
      </c>
      <c r="E2335" s="4" t="s">
        <v>3940</v>
      </c>
      <c r="F2335" s="5">
        <v>40869</v>
      </c>
      <c r="H2335" s="4" t="s">
        <v>40</v>
      </c>
      <c r="I2335" s="6">
        <v>7500</v>
      </c>
      <c r="J2335" s="6">
        <v>7500</v>
      </c>
      <c r="K2335" s="37" t="s">
        <v>3614</v>
      </c>
      <c r="L2335" s="120"/>
      <c r="M2335" s="3"/>
    </row>
    <row r="2336" spans="1:13" s="4" customFormat="1" ht="63.75" x14ac:dyDescent="0.25">
      <c r="A2336" s="4" t="s">
        <v>3941</v>
      </c>
      <c r="B2336" s="4" t="s">
        <v>183</v>
      </c>
      <c r="C2336" s="37" t="s">
        <v>3614</v>
      </c>
      <c r="D2336" s="35">
        <v>8723</v>
      </c>
      <c r="E2336" s="4" t="s">
        <v>3942</v>
      </c>
      <c r="F2336" s="5">
        <v>40813</v>
      </c>
      <c r="H2336" s="4" t="s">
        <v>40</v>
      </c>
      <c r="I2336" s="6">
        <v>5000</v>
      </c>
      <c r="J2336" s="6">
        <v>5000</v>
      </c>
      <c r="K2336" s="37" t="s">
        <v>3614</v>
      </c>
      <c r="L2336" s="120"/>
      <c r="M2336" s="3"/>
    </row>
    <row r="2337" spans="1:13" s="4" customFormat="1" ht="25.5" x14ac:dyDescent="0.25">
      <c r="A2337" s="4" t="s">
        <v>3943</v>
      </c>
      <c r="B2337" s="4" t="s">
        <v>183</v>
      </c>
      <c r="C2337" s="37" t="s">
        <v>3614</v>
      </c>
      <c r="D2337" s="35">
        <v>8740</v>
      </c>
      <c r="E2337" s="4" t="s">
        <v>3944</v>
      </c>
      <c r="F2337" s="5">
        <v>40813</v>
      </c>
      <c r="H2337" s="4" t="s">
        <v>40</v>
      </c>
      <c r="I2337" s="6">
        <v>5000</v>
      </c>
      <c r="J2337" s="6">
        <v>5000</v>
      </c>
      <c r="K2337" s="37" t="s">
        <v>3614</v>
      </c>
      <c r="L2337" s="120"/>
      <c r="M2337" s="3"/>
    </row>
    <row r="2338" spans="1:13" s="4" customFormat="1" ht="25.5" x14ac:dyDescent="0.25">
      <c r="A2338" s="4" t="s">
        <v>3945</v>
      </c>
      <c r="B2338" s="4" t="s">
        <v>190</v>
      </c>
      <c r="C2338" s="37" t="s">
        <v>3614</v>
      </c>
      <c r="D2338" s="35">
        <v>8745</v>
      </c>
      <c r="E2338" s="4" t="s">
        <v>3736</v>
      </c>
      <c r="F2338" s="5">
        <v>40841</v>
      </c>
      <c r="H2338" s="4" t="s">
        <v>40</v>
      </c>
      <c r="I2338" s="6">
        <v>6750</v>
      </c>
      <c r="J2338" s="6">
        <v>6750</v>
      </c>
      <c r="K2338" s="37" t="s">
        <v>3614</v>
      </c>
      <c r="L2338" s="120"/>
      <c r="M2338" s="3"/>
    </row>
    <row r="2339" spans="1:13" s="4" customFormat="1" ht="63.75" x14ac:dyDescent="0.25">
      <c r="A2339" s="4" t="s">
        <v>3950</v>
      </c>
      <c r="B2339" s="4" t="s">
        <v>183</v>
      </c>
      <c r="C2339" s="37" t="s">
        <v>3614</v>
      </c>
      <c r="D2339" s="35">
        <v>8748</v>
      </c>
      <c r="E2339" s="4" t="s">
        <v>3951</v>
      </c>
      <c r="F2339" s="5">
        <v>40897</v>
      </c>
      <c r="H2339" s="4" t="s">
        <v>40</v>
      </c>
      <c r="I2339" s="6">
        <v>9000</v>
      </c>
      <c r="J2339" s="6">
        <v>9000</v>
      </c>
      <c r="K2339" s="37" t="s">
        <v>3614</v>
      </c>
      <c r="L2339" s="120"/>
      <c r="M2339" s="3"/>
    </row>
    <row r="2340" spans="1:13" s="4" customFormat="1" ht="63.75" x14ac:dyDescent="0.25">
      <c r="A2340" s="4" t="s">
        <v>3952</v>
      </c>
      <c r="B2340" s="4" t="s">
        <v>190</v>
      </c>
      <c r="C2340" s="37" t="s">
        <v>3614</v>
      </c>
      <c r="D2340" s="35">
        <v>10738</v>
      </c>
      <c r="E2340" s="4" t="s">
        <v>3953</v>
      </c>
      <c r="F2340" s="5">
        <v>41261</v>
      </c>
      <c r="H2340" s="4" t="s">
        <v>40</v>
      </c>
      <c r="I2340" s="6">
        <v>15000</v>
      </c>
      <c r="J2340" s="6">
        <f>7500+7500</f>
        <v>15000</v>
      </c>
      <c r="K2340" s="37" t="s">
        <v>3614</v>
      </c>
      <c r="L2340" s="120"/>
      <c r="M2340" s="3"/>
    </row>
    <row r="2341" spans="1:13" s="4" customFormat="1" ht="51" x14ac:dyDescent="0.25">
      <c r="A2341" s="4" t="s">
        <v>3954</v>
      </c>
      <c r="B2341" s="4" t="s">
        <v>190</v>
      </c>
      <c r="C2341" s="37" t="s">
        <v>3614</v>
      </c>
      <c r="D2341" s="35">
        <v>10741</v>
      </c>
      <c r="E2341" s="4" t="s">
        <v>3955</v>
      </c>
      <c r="F2341" s="5">
        <v>40869</v>
      </c>
      <c r="H2341" s="4" t="s">
        <v>40</v>
      </c>
      <c r="I2341" s="6">
        <v>14343</v>
      </c>
      <c r="J2341" s="6">
        <v>14343</v>
      </c>
      <c r="K2341" s="37" t="s">
        <v>3614</v>
      </c>
      <c r="L2341" s="120"/>
      <c r="M2341" s="3"/>
    </row>
    <row r="2342" spans="1:13" s="4" customFormat="1" ht="38.25" x14ac:dyDescent="0.25">
      <c r="A2342" s="4" t="s">
        <v>3956</v>
      </c>
      <c r="B2342" s="4" t="s">
        <v>183</v>
      </c>
      <c r="C2342" s="37" t="s">
        <v>3614</v>
      </c>
      <c r="D2342" s="35">
        <v>10743</v>
      </c>
      <c r="E2342" s="4" t="s">
        <v>3957</v>
      </c>
      <c r="F2342" s="5">
        <v>40869</v>
      </c>
      <c r="H2342" s="4" t="s">
        <v>40</v>
      </c>
      <c r="I2342" s="6">
        <v>782</v>
      </c>
      <c r="J2342" s="6">
        <v>782</v>
      </c>
      <c r="K2342" s="37" t="s">
        <v>3614</v>
      </c>
      <c r="L2342" s="120"/>
      <c r="M2342" s="3"/>
    </row>
    <row r="2343" spans="1:13" s="4" customFormat="1" ht="51" x14ac:dyDescent="0.25">
      <c r="A2343" s="4" t="s">
        <v>3958</v>
      </c>
      <c r="B2343" s="4" t="s">
        <v>190</v>
      </c>
      <c r="C2343" s="37" t="s">
        <v>3614</v>
      </c>
      <c r="D2343" s="35">
        <v>10744</v>
      </c>
      <c r="E2343" s="4" t="s">
        <v>3959</v>
      </c>
      <c r="F2343" s="5">
        <v>40897</v>
      </c>
      <c r="H2343" s="4" t="s">
        <v>40</v>
      </c>
      <c r="I2343" s="6">
        <v>15000</v>
      </c>
      <c r="J2343" s="6">
        <v>15000</v>
      </c>
      <c r="K2343" s="37" t="s">
        <v>3614</v>
      </c>
      <c r="L2343" s="120"/>
      <c r="M2343" s="3"/>
    </row>
    <row r="2344" spans="1:13" s="4" customFormat="1" ht="38.25" x14ac:dyDescent="0.25">
      <c r="A2344" s="4" t="s">
        <v>3960</v>
      </c>
      <c r="B2344" s="4" t="s">
        <v>90</v>
      </c>
      <c r="C2344" s="37" t="s">
        <v>3614</v>
      </c>
      <c r="D2344" s="35">
        <v>10745</v>
      </c>
      <c r="E2344" s="4" t="s">
        <v>3961</v>
      </c>
      <c r="F2344" s="5">
        <v>40652</v>
      </c>
      <c r="H2344" s="4" t="s">
        <v>40</v>
      </c>
      <c r="I2344" s="6">
        <v>10000</v>
      </c>
      <c r="J2344" s="6">
        <v>5000</v>
      </c>
      <c r="K2344" s="37" t="s">
        <v>3614</v>
      </c>
      <c r="L2344" s="120"/>
      <c r="M2344" s="3"/>
    </row>
    <row r="2345" spans="1:13" s="4" customFormat="1" ht="38.25" x14ac:dyDescent="0.25">
      <c r="A2345" s="4" t="s">
        <v>3962</v>
      </c>
      <c r="B2345" s="4" t="s">
        <v>183</v>
      </c>
      <c r="C2345" s="37" t="s">
        <v>3614</v>
      </c>
      <c r="D2345" s="35">
        <v>10752</v>
      </c>
      <c r="E2345" s="4" t="s">
        <v>3963</v>
      </c>
      <c r="F2345" s="5">
        <v>40869</v>
      </c>
      <c r="H2345" s="4" t="s">
        <v>40</v>
      </c>
      <c r="I2345" s="6">
        <v>10261.299999999999</v>
      </c>
      <c r="J2345" s="6">
        <v>10261.299999999999</v>
      </c>
      <c r="K2345" s="37" t="s">
        <v>3614</v>
      </c>
      <c r="L2345" s="120"/>
      <c r="M2345" s="3"/>
    </row>
    <row r="2346" spans="1:13" s="4" customFormat="1" ht="25.5" x14ac:dyDescent="0.25">
      <c r="A2346" s="4" t="s">
        <v>3964</v>
      </c>
      <c r="B2346" s="4" t="s">
        <v>190</v>
      </c>
      <c r="C2346" s="37" t="s">
        <v>3614</v>
      </c>
      <c r="D2346" s="35">
        <v>10758</v>
      </c>
      <c r="E2346" s="4" t="s">
        <v>3965</v>
      </c>
      <c r="F2346" s="5">
        <v>40890</v>
      </c>
      <c r="H2346" s="4" t="s">
        <v>40</v>
      </c>
      <c r="I2346" s="6">
        <v>4125</v>
      </c>
      <c r="J2346" s="6">
        <v>4125</v>
      </c>
      <c r="K2346" s="37" t="s">
        <v>3614</v>
      </c>
      <c r="L2346" s="120"/>
      <c r="M2346" s="3"/>
    </row>
    <row r="2347" spans="1:13" s="4" customFormat="1" ht="38.25" x14ac:dyDescent="0.25">
      <c r="A2347" s="4" t="s">
        <v>3966</v>
      </c>
      <c r="B2347" s="4" t="s">
        <v>183</v>
      </c>
      <c r="C2347" s="37" t="s">
        <v>3614</v>
      </c>
      <c r="D2347" s="35">
        <v>10761</v>
      </c>
      <c r="E2347" s="4" t="s">
        <v>3967</v>
      </c>
      <c r="F2347" s="5">
        <v>40896</v>
      </c>
      <c r="H2347" s="4" t="s">
        <v>40</v>
      </c>
      <c r="I2347" s="6">
        <v>5000</v>
      </c>
      <c r="J2347" s="6">
        <v>5000</v>
      </c>
      <c r="K2347" s="37" t="s">
        <v>3614</v>
      </c>
      <c r="L2347" s="120"/>
      <c r="M2347" s="3"/>
    </row>
    <row r="2348" spans="1:13" s="4" customFormat="1" ht="38.25" x14ac:dyDescent="0.25">
      <c r="A2348" s="4" t="s">
        <v>3968</v>
      </c>
      <c r="B2348" s="4" t="s">
        <v>183</v>
      </c>
      <c r="C2348" s="37" t="s">
        <v>3614</v>
      </c>
      <c r="D2348" s="35">
        <v>10766</v>
      </c>
      <c r="E2348" s="4" t="s">
        <v>3969</v>
      </c>
      <c r="F2348" s="5">
        <v>40624</v>
      </c>
      <c r="H2348" s="4" t="s">
        <v>40</v>
      </c>
      <c r="I2348" s="6">
        <v>3300</v>
      </c>
      <c r="J2348" s="6">
        <v>3300</v>
      </c>
      <c r="K2348" s="37" t="s">
        <v>3614</v>
      </c>
      <c r="L2348" s="120"/>
      <c r="M2348" s="3"/>
    </row>
    <row r="2349" spans="1:13" s="4" customFormat="1" ht="51" x14ac:dyDescent="0.25">
      <c r="A2349" s="4" t="s">
        <v>3970</v>
      </c>
      <c r="B2349" s="4" t="s">
        <v>190</v>
      </c>
      <c r="C2349" s="37" t="s">
        <v>3614</v>
      </c>
      <c r="D2349" s="35">
        <v>10767</v>
      </c>
      <c r="E2349" s="4" t="s">
        <v>3971</v>
      </c>
      <c r="F2349" s="5">
        <v>40890</v>
      </c>
      <c r="H2349" s="4" t="s">
        <v>40</v>
      </c>
      <c r="I2349" s="6">
        <v>5625</v>
      </c>
      <c r="J2349" s="6">
        <v>5625</v>
      </c>
      <c r="K2349" s="37" t="s">
        <v>3614</v>
      </c>
      <c r="L2349" s="120"/>
      <c r="M2349" s="3"/>
    </row>
    <row r="2350" spans="1:13" s="4" customFormat="1" ht="38.25" x14ac:dyDescent="0.25">
      <c r="A2350" s="4" t="s">
        <v>3972</v>
      </c>
      <c r="B2350" s="4" t="s">
        <v>183</v>
      </c>
      <c r="C2350" s="37" t="s">
        <v>3614</v>
      </c>
      <c r="D2350" s="35">
        <v>10768</v>
      </c>
      <c r="E2350" s="4" t="s">
        <v>3973</v>
      </c>
      <c r="F2350" s="5">
        <v>40722</v>
      </c>
      <c r="H2350" s="4" t="s">
        <v>40</v>
      </c>
      <c r="I2350" s="6">
        <v>10000</v>
      </c>
      <c r="J2350" s="6">
        <v>10000</v>
      </c>
      <c r="K2350" s="37" t="s">
        <v>3614</v>
      </c>
      <c r="L2350" s="120"/>
      <c r="M2350" s="3"/>
    </row>
    <row r="2351" spans="1:13" s="4" customFormat="1" ht="63.75" x14ac:dyDescent="0.25">
      <c r="A2351" s="4" t="s">
        <v>3974</v>
      </c>
      <c r="B2351" s="4" t="s">
        <v>183</v>
      </c>
      <c r="C2351" s="37" t="s">
        <v>3614</v>
      </c>
      <c r="D2351" s="35">
        <v>10769</v>
      </c>
      <c r="E2351" s="4" t="s">
        <v>3975</v>
      </c>
      <c r="F2351" s="5">
        <v>40624</v>
      </c>
      <c r="H2351" s="4" t="s">
        <v>40</v>
      </c>
      <c r="I2351" s="6">
        <v>2500</v>
      </c>
      <c r="J2351" s="6">
        <v>2500</v>
      </c>
      <c r="K2351" s="37" t="s">
        <v>3614</v>
      </c>
      <c r="L2351" s="120"/>
      <c r="M2351" s="3"/>
    </row>
    <row r="2352" spans="1:13" s="4" customFormat="1" ht="51" x14ac:dyDescent="0.25">
      <c r="A2352" s="4" t="s">
        <v>3976</v>
      </c>
      <c r="B2352" s="4" t="s">
        <v>183</v>
      </c>
      <c r="C2352" s="37" t="s">
        <v>3614</v>
      </c>
      <c r="D2352" s="35">
        <v>10770</v>
      </c>
      <c r="E2352" s="4" t="s">
        <v>3977</v>
      </c>
      <c r="F2352" s="5">
        <v>40687</v>
      </c>
      <c r="H2352" s="4" t="s">
        <v>40</v>
      </c>
      <c r="I2352" s="6">
        <v>10000</v>
      </c>
      <c r="J2352" s="6">
        <v>10000</v>
      </c>
      <c r="K2352" s="37" t="s">
        <v>3614</v>
      </c>
      <c r="L2352" s="120"/>
      <c r="M2352" s="3"/>
    </row>
    <row r="2353" spans="1:13" s="4" customFormat="1" ht="51" x14ac:dyDescent="0.25">
      <c r="A2353" s="4" t="s">
        <v>3978</v>
      </c>
      <c r="B2353" s="4" t="s">
        <v>183</v>
      </c>
      <c r="C2353" s="37" t="s">
        <v>3614</v>
      </c>
      <c r="D2353" s="35">
        <v>10771</v>
      </c>
      <c r="E2353" s="4" t="s">
        <v>3979</v>
      </c>
      <c r="F2353" s="5">
        <v>40967</v>
      </c>
      <c r="H2353" s="4" t="s">
        <v>40</v>
      </c>
      <c r="I2353" s="6">
        <v>18750</v>
      </c>
      <c r="J2353" s="6">
        <v>18750</v>
      </c>
      <c r="K2353" s="37" t="s">
        <v>3614</v>
      </c>
      <c r="L2353" s="120"/>
      <c r="M2353" s="3"/>
    </row>
    <row r="2354" spans="1:13" s="4" customFormat="1" ht="51" x14ac:dyDescent="0.25">
      <c r="A2354" s="4" t="s">
        <v>3980</v>
      </c>
      <c r="B2354" s="4" t="s">
        <v>183</v>
      </c>
      <c r="C2354" s="37" t="s">
        <v>3614</v>
      </c>
      <c r="D2354" s="35">
        <v>10772</v>
      </c>
      <c r="E2354" s="4" t="s">
        <v>3981</v>
      </c>
      <c r="F2354" s="5">
        <v>40967</v>
      </c>
      <c r="H2354" s="4" t="s">
        <v>40</v>
      </c>
      <c r="I2354" s="6">
        <v>22125</v>
      </c>
      <c r="J2354" s="6">
        <v>22125</v>
      </c>
      <c r="K2354" s="37" t="s">
        <v>3614</v>
      </c>
      <c r="L2354" s="120"/>
      <c r="M2354" s="3"/>
    </row>
    <row r="2355" spans="1:13" s="4" customFormat="1" ht="38.25" x14ac:dyDescent="0.25">
      <c r="A2355" s="4" t="s">
        <v>3982</v>
      </c>
      <c r="B2355" s="4" t="s">
        <v>183</v>
      </c>
      <c r="C2355" s="37" t="s">
        <v>3614</v>
      </c>
      <c r="D2355" s="35">
        <v>10773</v>
      </c>
      <c r="E2355" s="4" t="s">
        <v>3983</v>
      </c>
      <c r="F2355" s="5">
        <v>40995</v>
      </c>
      <c r="H2355" s="4" t="s">
        <v>40</v>
      </c>
      <c r="I2355" s="6">
        <v>7500</v>
      </c>
      <c r="J2355" s="6">
        <v>7500</v>
      </c>
      <c r="K2355" s="37" t="s">
        <v>3614</v>
      </c>
      <c r="L2355" s="120"/>
      <c r="M2355" s="3"/>
    </row>
    <row r="2356" spans="1:13" s="4" customFormat="1" ht="25.5" x14ac:dyDescent="0.25">
      <c r="A2356" s="4" t="s">
        <v>3985</v>
      </c>
      <c r="B2356" s="4" t="s">
        <v>183</v>
      </c>
      <c r="C2356" s="37" t="s">
        <v>3614</v>
      </c>
      <c r="D2356" s="35">
        <v>10775</v>
      </c>
      <c r="E2356" s="4" t="s">
        <v>3986</v>
      </c>
      <c r="F2356" s="5">
        <v>40722</v>
      </c>
      <c r="H2356" s="4" t="s">
        <v>40</v>
      </c>
      <c r="I2356" s="6">
        <v>9687.5</v>
      </c>
      <c r="J2356" s="6">
        <v>9687.5</v>
      </c>
      <c r="K2356" s="37" t="s">
        <v>3614</v>
      </c>
      <c r="L2356" s="120"/>
      <c r="M2356" s="3"/>
    </row>
    <row r="2357" spans="1:13" s="4" customFormat="1" ht="38.25" x14ac:dyDescent="0.25">
      <c r="A2357" s="4" t="s">
        <v>3987</v>
      </c>
      <c r="B2357" s="4" t="s">
        <v>190</v>
      </c>
      <c r="C2357" s="37" t="s">
        <v>3614</v>
      </c>
      <c r="D2357" s="35">
        <v>10776</v>
      </c>
      <c r="E2357" s="4" t="s">
        <v>3988</v>
      </c>
      <c r="F2357" s="5">
        <v>40687</v>
      </c>
      <c r="H2357" s="4" t="s">
        <v>40</v>
      </c>
      <c r="I2357" s="6">
        <v>5000</v>
      </c>
      <c r="J2357" s="6">
        <v>5000</v>
      </c>
      <c r="K2357" s="37" t="s">
        <v>3614</v>
      </c>
      <c r="L2357" s="120"/>
      <c r="M2357" s="3"/>
    </row>
    <row r="2358" spans="1:13" s="4" customFormat="1" ht="38.25" x14ac:dyDescent="0.25">
      <c r="A2358" s="4" t="s">
        <v>3989</v>
      </c>
      <c r="B2358" s="4" t="s">
        <v>183</v>
      </c>
      <c r="C2358" s="37" t="s">
        <v>3614</v>
      </c>
      <c r="D2358" s="35">
        <v>10783</v>
      </c>
      <c r="E2358" s="4" t="s">
        <v>3990</v>
      </c>
      <c r="F2358" s="5">
        <v>40967</v>
      </c>
      <c r="H2358" s="4" t="s">
        <v>40</v>
      </c>
      <c r="I2358" s="6">
        <v>5625</v>
      </c>
      <c r="J2358" s="6">
        <v>5625</v>
      </c>
      <c r="K2358" s="37" t="s">
        <v>3614</v>
      </c>
      <c r="L2358" s="120"/>
      <c r="M2358" s="3"/>
    </row>
    <row r="2359" spans="1:13" s="4" customFormat="1" ht="38.25" x14ac:dyDescent="0.25">
      <c r="A2359" s="4" t="s">
        <v>3991</v>
      </c>
      <c r="B2359" s="4" t="s">
        <v>183</v>
      </c>
      <c r="C2359" s="37" t="s">
        <v>3614</v>
      </c>
      <c r="D2359" s="35">
        <v>10791</v>
      </c>
      <c r="E2359" s="4" t="s">
        <v>3992</v>
      </c>
      <c r="F2359" s="5">
        <v>41051</v>
      </c>
      <c r="H2359" s="4" t="s">
        <v>40</v>
      </c>
      <c r="I2359" s="6">
        <v>7500</v>
      </c>
      <c r="J2359" s="6">
        <v>7500</v>
      </c>
      <c r="K2359" s="37" t="s">
        <v>3614</v>
      </c>
      <c r="L2359" s="120"/>
      <c r="M2359" s="3"/>
    </row>
    <row r="2360" spans="1:13" s="4" customFormat="1" ht="38.25" x14ac:dyDescent="0.25">
      <c r="A2360" s="4" t="s">
        <v>3993</v>
      </c>
      <c r="B2360" s="4" t="s">
        <v>183</v>
      </c>
      <c r="C2360" s="37" t="s">
        <v>3614</v>
      </c>
      <c r="D2360" s="35">
        <v>10795</v>
      </c>
      <c r="E2360" s="4" t="s">
        <v>3994</v>
      </c>
      <c r="F2360" s="5">
        <v>41051</v>
      </c>
      <c r="H2360" s="4" t="s">
        <v>40</v>
      </c>
      <c r="I2360" s="6">
        <v>11625</v>
      </c>
      <c r="J2360" s="6">
        <f>6750+4875</f>
        <v>11625</v>
      </c>
      <c r="K2360" s="37" t="s">
        <v>3614</v>
      </c>
      <c r="L2360" s="120"/>
      <c r="M2360" s="3"/>
    </row>
    <row r="2361" spans="1:13" s="4" customFormat="1" ht="51" x14ac:dyDescent="0.25">
      <c r="A2361" s="4" t="s">
        <v>3995</v>
      </c>
      <c r="B2361" s="4" t="s">
        <v>183</v>
      </c>
      <c r="C2361" s="37" t="s">
        <v>3614</v>
      </c>
      <c r="D2361" s="35">
        <v>10801</v>
      </c>
      <c r="E2361" s="4" t="s">
        <v>3996</v>
      </c>
      <c r="F2361" s="5">
        <v>41051</v>
      </c>
      <c r="H2361" s="4" t="s">
        <v>40</v>
      </c>
      <c r="I2361" s="6">
        <v>7500</v>
      </c>
      <c r="J2361" s="6">
        <f>3750+3750</f>
        <v>7500</v>
      </c>
      <c r="K2361" s="37" t="s">
        <v>3614</v>
      </c>
      <c r="L2361" s="120"/>
      <c r="M2361" s="3"/>
    </row>
    <row r="2362" spans="1:13" s="4" customFormat="1" ht="63.75" x14ac:dyDescent="0.25">
      <c r="A2362" s="4" t="s">
        <v>3997</v>
      </c>
      <c r="B2362" s="4" t="s">
        <v>183</v>
      </c>
      <c r="C2362" s="37" t="s">
        <v>3614</v>
      </c>
      <c r="D2362" s="35">
        <v>10802</v>
      </c>
      <c r="E2362" s="4" t="s">
        <v>3998</v>
      </c>
      <c r="F2362" s="5">
        <v>40750</v>
      </c>
      <c r="H2362" s="4" t="s">
        <v>40</v>
      </c>
      <c r="I2362" s="6">
        <v>7500</v>
      </c>
      <c r="J2362" s="6">
        <v>7500</v>
      </c>
      <c r="K2362" s="37" t="s">
        <v>3614</v>
      </c>
      <c r="L2362" s="120"/>
      <c r="M2362" s="3"/>
    </row>
    <row r="2363" spans="1:13" s="4" customFormat="1" ht="38.25" x14ac:dyDescent="0.25">
      <c r="A2363" s="4" t="s">
        <v>3999</v>
      </c>
      <c r="B2363" s="4" t="s">
        <v>183</v>
      </c>
      <c r="C2363" s="37" t="s">
        <v>3614</v>
      </c>
      <c r="D2363" s="35">
        <v>10803</v>
      </c>
      <c r="E2363" s="4" t="s">
        <v>4000</v>
      </c>
      <c r="F2363" s="5">
        <v>40995</v>
      </c>
      <c r="H2363" s="4" t="s">
        <v>40</v>
      </c>
      <c r="I2363" s="6">
        <v>26085.200000000001</v>
      </c>
      <c r="J2363" s="6">
        <f>9952.2+16133</f>
        <v>26085.200000000001</v>
      </c>
      <c r="K2363" s="37" t="s">
        <v>3614</v>
      </c>
      <c r="L2363" s="120"/>
      <c r="M2363" s="3"/>
    </row>
    <row r="2364" spans="1:13" s="4" customFormat="1" ht="25.5" x14ac:dyDescent="0.25">
      <c r="A2364" s="4" t="s">
        <v>4001</v>
      </c>
      <c r="B2364" s="4" t="s">
        <v>183</v>
      </c>
      <c r="C2364" s="37" t="s">
        <v>3614</v>
      </c>
      <c r="D2364" s="35">
        <v>10804</v>
      </c>
      <c r="E2364" s="4" t="s">
        <v>4002</v>
      </c>
      <c r="F2364" s="5">
        <v>41205</v>
      </c>
      <c r="H2364" s="4" t="s">
        <v>40</v>
      </c>
      <c r="I2364" s="6">
        <v>9375</v>
      </c>
      <c r="J2364" s="6">
        <v>9375</v>
      </c>
      <c r="K2364" s="37" t="s">
        <v>3614</v>
      </c>
      <c r="L2364" s="120"/>
      <c r="M2364" s="3"/>
    </row>
    <row r="2365" spans="1:13" s="4" customFormat="1" ht="89.25" x14ac:dyDescent="0.25">
      <c r="A2365" s="4" t="s">
        <v>4003</v>
      </c>
      <c r="B2365" s="4" t="s">
        <v>183</v>
      </c>
      <c r="C2365" s="37" t="s">
        <v>3614</v>
      </c>
      <c r="D2365" s="35">
        <v>10805</v>
      </c>
      <c r="E2365" s="7" t="s">
        <v>4004</v>
      </c>
      <c r="F2365" s="5">
        <v>41205</v>
      </c>
      <c r="H2365" s="4" t="s">
        <v>40</v>
      </c>
      <c r="I2365" s="6">
        <v>30000</v>
      </c>
      <c r="J2365" s="6">
        <v>30000</v>
      </c>
      <c r="K2365" s="37" t="s">
        <v>3614</v>
      </c>
      <c r="L2365" s="120"/>
      <c r="M2365" s="3"/>
    </row>
    <row r="2366" spans="1:13" s="4" customFormat="1" ht="51" x14ac:dyDescent="0.25">
      <c r="A2366" s="4" t="s">
        <v>4005</v>
      </c>
      <c r="B2366" s="4" t="s">
        <v>190</v>
      </c>
      <c r="C2366" s="37" t="s">
        <v>3614</v>
      </c>
      <c r="D2366" s="35">
        <v>10806</v>
      </c>
      <c r="E2366" s="4" t="s">
        <v>4006</v>
      </c>
      <c r="F2366" s="5">
        <v>41240</v>
      </c>
      <c r="H2366" s="4" t="s">
        <v>40</v>
      </c>
      <c r="I2366" s="6">
        <v>875</v>
      </c>
      <c r="J2366" s="6">
        <v>875</v>
      </c>
      <c r="K2366" s="37" t="s">
        <v>3614</v>
      </c>
      <c r="L2366" s="120"/>
      <c r="M2366" s="3"/>
    </row>
    <row r="2367" spans="1:13" s="4" customFormat="1" ht="38.25" x14ac:dyDescent="0.25">
      <c r="A2367" s="4" t="s">
        <v>4007</v>
      </c>
      <c r="B2367" s="4" t="s">
        <v>190</v>
      </c>
      <c r="C2367" s="37" t="s">
        <v>3614</v>
      </c>
      <c r="D2367" s="35">
        <v>10807</v>
      </c>
      <c r="E2367" s="4" t="s">
        <v>4008</v>
      </c>
      <c r="F2367" s="5">
        <v>41205</v>
      </c>
      <c r="H2367" s="4" t="s">
        <v>40</v>
      </c>
      <c r="I2367" s="6">
        <v>9750</v>
      </c>
      <c r="J2367" s="6">
        <v>9750</v>
      </c>
      <c r="K2367" s="37" t="s">
        <v>3614</v>
      </c>
      <c r="L2367" s="120"/>
      <c r="M2367" s="3"/>
    </row>
    <row r="2368" spans="1:13" s="4" customFormat="1" ht="51" x14ac:dyDescent="0.25">
      <c r="A2368" s="4" t="s">
        <v>4009</v>
      </c>
      <c r="B2368" s="4" t="s">
        <v>190</v>
      </c>
      <c r="C2368" s="37" t="s">
        <v>3614</v>
      </c>
      <c r="D2368" s="35">
        <v>10970</v>
      </c>
      <c r="E2368" s="4" t="s">
        <v>3955</v>
      </c>
      <c r="F2368" s="5">
        <v>40869</v>
      </c>
      <c r="H2368" s="4" t="s">
        <v>40</v>
      </c>
      <c r="I2368" s="6">
        <v>9000</v>
      </c>
      <c r="J2368" s="6">
        <v>9000</v>
      </c>
      <c r="K2368" s="37" t="s">
        <v>3614</v>
      </c>
      <c r="L2368" s="120"/>
      <c r="M2368" s="3"/>
    </row>
    <row r="2369" spans="1:11" ht="51" x14ac:dyDescent="0.25">
      <c r="A2369" s="13" t="s">
        <v>10567</v>
      </c>
      <c r="B2369" s="13" t="s">
        <v>10195</v>
      </c>
      <c r="C2369" s="20" t="s">
        <v>3614</v>
      </c>
      <c r="D2369" s="19">
        <v>12359</v>
      </c>
      <c r="E2369" s="13" t="s">
        <v>10568</v>
      </c>
      <c r="F2369" s="14">
        <v>41051</v>
      </c>
      <c r="H2369" s="13" t="s">
        <v>651</v>
      </c>
      <c r="I2369" s="18">
        <v>7312</v>
      </c>
      <c r="J2369" s="18">
        <v>7312</v>
      </c>
      <c r="K2369" s="20" t="s">
        <v>3614</v>
      </c>
    </row>
    <row r="2370" spans="1:11" ht="51" x14ac:dyDescent="0.25">
      <c r="A2370" s="13" t="s">
        <v>10569</v>
      </c>
      <c r="B2370" s="13" t="s">
        <v>10195</v>
      </c>
      <c r="C2370" s="20" t="s">
        <v>3614</v>
      </c>
      <c r="D2370" s="19">
        <v>12366</v>
      </c>
      <c r="E2370" s="13" t="s">
        <v>10570</v>
      </c>
      <c r="F2370" s="14">
        <v>41177</v>
      </c>
      <c r="H2370" s="13" t="s">
        <v>651</v>
      </c>
      <c r="I2370" s="18">
        <v>7500</v>
      </c>
      <c r="J2370" s="18">
        <v>7500</v>
      </c>
      <c r="K2370" s="20" t="s">
        <v>3614</v>
      </c>
    </row>
    <row r="2371" spans="1:11" ht="38.25" x14ac:dyDescent="0.25">
      <c r="A2371" s="13" t="s">
        <v>10571</v>
      </c>
      <c r="B2371" s="13" t="s">
        <v>10195</v>
      </c>
      <c r="C2371" s="20" t="s">
        <v>3614</v>
      </c>
      <c r="D2371" s="19">
        <v>12367</v>
      </c>
      <c r="E2371" s="13" t="s">
        <v>10572</v>
      </c>
      <c r="F2371" s="14">
        <v>41261</v>
      </c>
      <c r="H2371" s="13" t="s">
        <v>651</v>
      </c>
      <c r="I2371" s="18">
        <v>13687</v>
      </c>
      <c r="J2371" s="18">
        <v>13687</v>
      </c>
      <c r="K2371" s="20" t="s">
        <v>3614</v>
      </c>
    </row>
    <row r="2372" spans="1:11" ht="38.25" x14ac:dyDescent="0.25">
      <c r="A2372" s="13" t="s">
        <v>10573</v>
      </c>
      <c r="B2372" s="13" t="s">
        <v>10195</v>
      </c>
      <c r="C2372" s="20" t="s">
        <v>3614</v>
      </c>
      <c r="D2372" s="19">
        <v>12368</v>
      </c>
      <c r="E2372" s="13" t="s">
        <v>10574</v>
      </c>
      <c r="F2372" s="14">
        <v>41051</v>
      </c>
      <c r="H2372" s="13" t="s">
        <v>651</v>
      </c>
      <c r="I2372" s="18">
        <v>21563</v>
      </c>
      <c r="J2372" s="18">
        <v>21563</v>
      </c>
      <c r="K2372" s="20" t="s">
        <v>3614</v>
      </c>
    </row>
    <row r="2373" spans="1:11" ht="38.25" x14ac:dyDescent="0.25">
      <c r="A2373" s="13" t="s">
        <v>10575</v>
      </c>
      <c r="B2373" s="13" t="s">
        <v>10192</v>
      </c>
      <c r="C2373" s="20" t="s">
        <v>3614</v>
      </c>
      <c r="D2373" s="19">
        <v>12369</v>
      </c>
      <c r="E2373" s="13" t="s">
        <v>10576</v>
      </c>
      <c r="F2373" s="14">
        <v>40967</v>
      </c>
      <c r="H2373" s="13" t="s">
        <v>651</v>
      </c>
      <c r="I2373" s="18">
        <v>9187</v>
      </c>
      <c r="J2373" s="18">
        <v>9187</v>
      </c>
      <c r="K2373" s="20" t="s">
        <v>3614</v>
      </c>
    </row>
    <row r="2374" spans="1:11" ht="89.25" x14ac:dyDescent="0.25">
      <c r="A2374" s="13" t="s">
        <v>10577</v>
      </c>
      <c r="B2374" s="13" t="s">
        <v>10192</v>
      </c>
      <c r="C2374" s="20" t="s">
        <v>3614</v>
      </c>
      <c r="D2374" s="19">
        <v>12370</v>
      </c>
      <c r="E2374" s="13" t="s">
        <v>10578</v>
      </c>
      <c r="F2374" s="14">
        <v>41261</v>
      </c>
      <c r="H2374" s="13" t="s">
        <v>651</v>
      </c>
      <c r="I2374" s="18">
        <v>6325</v>
      </c>
      <c r="J2374" s="18">
        <v>6325</v>
      </c>
      <c r="K2374" s="20" t="s">
        <v>3614</v>
      </c>
    </row>
    <row r="2375" spans="1:11" ht="51" x14ac:dyDescent="0.25">
      <c r="A2375" s="13" t="s">
        <v>10579</v>
      </c>
      <c r="B2375" s="13" t="s">
        <v>10192</v>
      </c>
      <c r="C2375" s="20" t="s">
        <v>3614</v>
      </c>
      <c r="D2375" s="19">
        <v>12371</v>
      </c>
      <c r="E2375" s="13" t="s">
        <v>10580</v>
      </c>
      <c r="F2375" s="14">
        <v>41261</v>
      </c>
      <c r="H2375" s="13" t="s">
        <v>651</v>
      </c>
      <c r="I2375" s="18">
        <v>4168</v>
      </c>
      <c r="J2375" s="18">
        <v>4168</v>
      </c>
      <c r="K2375" s="20" t="s">
        <v>3614</v>
      </c>
    </row>
    <row r="2376" spans="1:11" ht="63.75" x14ac:dyDescent="0.25">
      <c r="A2376" s="13" t="s">
        <v>10581</v>
      </c>
      <c r="B2376" s="13" t="s">
        <v>10192</v>
      </c>
      <c r="C2376" s="20" t="s">
        <v>3614</v>
      </c>
      <c r="D2376" s="19">
        <v>12372</v>
      </c>
      <c r="E2376" s="13" t="s">
        <v>10582</v>
      </c>
      <c r="F2376" s="14">
        <v>41051</v>
      </c>
      <c r="H2376" s="13" t="s">
        <v>651</v>
      </c>
      <c r="I2376" s="18">
        <v>5625</v>
      </c>
      <c r="J2376" s="18">
        <v>5625</v>
      </c>
      <c r="K2376" s="20" t="s">
        <v>3614</v>
      </c>
    </row>
    <row r="2377" spans="1:11" ht="51" x14ac:dyDescent="0.25">
      <c r="A2377" s="13" t="s">
        <v>10583</v>
      </c>
      <c r="B2377" s="13" t="s">
        <v>10192</v>
      </c>
      <c r="C2377" s="20" t="s">
        <v>3614</v>
      </c>
      <c r="D2377" s="19">
        <v>12373</v>
      </c>
      <c r="E2377" s="13" t="s">
        <v>10584</v>
      </c>
      <c r="F2377" s="14">
        <v>41114</v>
      </c>
      <c r="H2377" s="13" t="s">
        <v>651</v>
      </c>
      <c r="I2377" s="18">
        <v>14062</v>
      </c>
      <c r="J2377" s="18">
        <v>14062</v>
      </c>
      <c r="K2377" s="20" t="s">
        <v>3614</v>
      </c>
    </row>
    <row r="2378" spans="1:11" ht="51" x14ac:dyDescent="0.25">
      <c r="A2378" s="13" t="s">
        <v>10585</v>
      </c>
      <c r="B2378" s="13" t="s">
        <v>10220</v>
      </c>
      <c r="C2378" s="20" t="s">
        <v>3614</v>
      </c>
      <c r="D2378" s="19">
        <v>12375</v>
      </c>
      <c r="E2378" s="13" t="s">
        <v>10586</v>
      </c>
      <c r="F2378" s="14">
        <v>41240</v>
      </c>
      <c r="H2378" s="13" t="s">
        <v>651</v>
      </c>
      <c r="I2378" s="18">
        <v>10000</v>
      </c>
      <c r="J2378" s="18">
        <v>5000</v>
      </c>
      <c r="K2378" s="20" t="s">
        <v>3614</v>
      </c>
    </row>
    <row r="2379" spans="1:11" ht="38.25" x14ac:dyDescent="0.25">
      <c r="A2379" s="13" t="s">
        <v>10587</v>
      </c>
      <c r="B2379" s="13" t="s">
        <v>10220</v>
      </c>
      <c r="C2379" s="20" t="s">
        <v>3614</v>
      </c>
      <c r="D2379" s="19">
        <v>12378</v>
      </c>
      <c r="E2379" s="13" t="s">
        <v>10588</v>
      </c>
      <c r="F2379" s="14">
        <v>41205</v>
      </c>
      <c r="H2379" s="13" t="s">
        <v>651</v>
      </c>
      <c r="I2379" s="18">
        <v>10000</v>
      </c>
      <c r="J2379" s="18">
        <v>5000</v>
      </c>
      <c r="K2379" s="20" t="s">
        <v>3614</v>
      </c>
    </row>
    <row r="2380" spans="1:11" ht="38.25" x14ac:dyDescent="0.25">
      <c r="A2380" s="13" t="s">
        <v>10589</v>
      </c>
      <c r="B2380" s="13" t="s">
        <v>10192</v>
      </c>
      <c r="C2380" s="20" t="s">
        <v>3614</v>
      </c>
      <c r="D2380" s="19">
        <v>12386</v>
      </c>
      <c r="E2380" s="13" t="s">
        <v>4006</v>
      </c>
      <c r="F2380" s="14">
        <v>41051</v>
      </c>
      <c r="H2380" s="13" t="s">
        <v>651</v>
      </c>
      <c r="I2380" s="18">
        <v>13461</v>
      </c>
      <c r="J2380" s="18">
        <v>13461</v>
      </c>
      <c r="K2380" s="20" t="s">
        <v>3614</v>
      </c>
    </row>
    <row r="2381" spans="1:11" ht="25.5" x14ac:dyDescent="0.25">
      <c r="A2381" s="13" t="s">
        <v>10590</v>
      </c>
      <c r="B2381" s="13" t="s">
        <v>10192</v>
      </c>
      <c r="C2381" s="20" t="s">
        <v>3614</v>
      </c>
      <c r="D2381" s="19">
        <v>12387</v>
      </c>
      <c r="E2381" s="13" t="s">
        <v>10591</v>
      </c>
      <c r="F2381" s="14">
        <v>41114</v>
      </c>
      <c r="H2381" s="13" t="s">
        <v>651</v>
      </c>
      <c r="I2381" s="18">
        <v>6250</v>
      </c>
      <c r="J2381" s="18">
        <v>6250</v>
      </c>
      <c r="K2381" s="20" t="s">
        <v>3614</v>
      </c>
    </row>
    <row r="2382" spans="1:11" ht="63.75" x14ac:dyDescent="0.25">
      <c r="A2382" s="13" t="s">
        <v>10592</v>
      </c>
      <c r="B2382" s="13" t="s">
        <v>10192</v>
      </c>
      <c r="C2382" s="20" t="s">
        <v>3614</v>
      </c>
      <c r="D2382" s="19">
        <v>12388</v>
      </c>
      <c r="E2382" s="13" t="s">
        <v>10593</v>
      </c>
      <c r="F2382" s="14">
        <v>41177</v>
      </c>
      <c r="H2382" s="13" t="s">
        <v>651</v>
      </c>
      <c r="I2382" s="18">
        <v>7362</v>
      </c>
      <c r="J2382" s="18">
        <v>7362</v>
      </c>
      <c r="K2382" s="20" t="s">
        <v>3614</v>
      </c>
    </row>
    <row r="2383" spans="1:11" ht="63.75" x14ac:dyDescent="0.25">
      <c r="A2383" s="13" t="s">
        <v>10594</v>
      </c>
      <c r="B2383" s="13" t="s">
        <v>10192</v>
      </c>
      <c r="C2383" s="20" t="s">
        <v>3614</v>
      </c>
      <c r="D2383" s="19">
        <v>12389</v>
      </c>
      <c r="E2383" s="13" t="s">
        <v>10595</v>
      </c>
      <c r="F2383" s="14">
        <v>41114</v>
      </c>
      <c r="H2383" s="13" t="s">
        <v>651</v>
      </c>
      <c r="I2383" s="18">
        <v>7500</v>
      </c>
      <c r="J2383" s="18">
        <v>7500</v>
      </c>
      <c r="K2383" s="20" t="s">
        <v>3614</v>
      </c>
    </row>
    <row r="2384" spans="1:11" ht="51" x14ac:dyDescent="0.25">
      <c r="A2384" s="13" t="s">
        <v>10596</v>
      </c>
      <c r="B2384" s="13" t="s">
        <v>10220</v>
      </c>
      <c r="C2384" s="20" t="s">
        <v>3614</v>
      </c>
      <c r="D2384" s="19">
        <v>12390</v>
      </c>
      <c r="E2384" s="13" t="s">
        <v>10597</v>
      </c>
      <c r="F2384" s="14">
        <v>41240</v>
      </c>
      <c r="H2384" s="13" t="s">
        <v>651</v>
      </c>
      <c r="I2384" s="18">
        <v>8150</v>
      </c>
      <c r="J2384" s="18">
        <v>4075</v>
      </c>
      <c r="K2384" s="20" t="s">
        <v>3614</v>
      </c>
    </row>
    <row r="2385" spans="1:60" ht="38.25" x14ac:dyDescent="0.25">
      <c r="A2385" s="13" t="s">
        <v>10598</v>
      </c>
      <c r="B2385" s="13" t="s">
        <v>10220</v>
      </c>
      <c r="C2385" s="20" t="s">
        <v>3614</v>
      </c>
      <c r="D2385" s="19">
        <v>12391</v>
      </c>
      <c r="E2385" s="13" t="s">
        <v>4008</v>
      </c>
      <c r="F2385" s="14">
        <v>41240</v>
      </c>
      <c r="H2385" s="13" t="s">
        <v>651</v>
      </c>
      <c r="I2385" s="18">
        <v>8204.5</v>
      </c>
      <c r="J2385" s="18">
        <v>4102.25</v>
      </c>
      <c r="K2385" s="20" t="s">
        <v>3614</v>
      </c>
    </row>
    <row r="2386" spans="1:60" ht="127.5" x14ac:dyDescent="0.25">
      <c r="A2386" s="13" t="s">
        <v>10599</v>
      </c>
      <c r="B2386" s="13" t="s">
        <v>10195</v>
      </c>
      <c r="C2386" s="20" t="s">
        <v>3614</v>
      </c>
      <c r="D2386" s="19">
        <v>12392</v>
      </c>
      <c r="E2386" s="13" t="s">
        <v>10600</v>
      </c>
      <c r="F2386" s="14">
        <v>41408</v>
      </c>
      <c r="H2386" s="13" t="s">
        <v>651</v>
      </c>
      <c r="I2386" s="18">
        <v>7500</v>
      </c>
      <c r="J2386" s="18">
        <v>7500</v>
      </c>
      <c r="K2386" s="20" t="s">
        <v>3614</v>
      </c>
    </row>
    <row r="2387" spans="1:60" ht="114.75" x14ac:dyDescent="0.25">
      <c r="A2387" s="13" t="s">
        <v>10601</v>
      </c>
      <c r="B2387" s="13" t="s">
        <v>10195</v>
      </c>
      <c r="C2387" s="20" t="s">
        <v>3614</v>
      </c>
      <c r="D2387" s="19">
        <v>12393</v>
      </c>
      <c r="E2387" s="13" t="s">
        <v>10602</v>
      </c>
      <c r="F2387" s="14">
        <v>41387</v>
      </c>
      <c r="H2387" s="13" t="s">
        <v>651</v>
      </c>
      <c r="I2387" s="18">
        <v>7125</v>
      </c>
      <c r="J2387" s="18">
        <v>7125</v>
      </c>
      <c r="K2387" s="20" t="s">
        <v>3614</v>
      </c>
    </row>
    <row r="2388" spans="1:60" ht="63.75" x14ac:dyDescent="0.25">
      <c r="A2388" s="13" t="s">
        <v>10603</v>
      </c>
      <c r="B2388" s="13" t="s">
        <v>10192</v>
      </c>
      <c r="C2388" s="20" t="s">
        <v>3614</v>
      </c>
      <c r="D2388" s="19">
        <v>12394</v>
      </c>
      <c r="E2388" s="13" t="s">
        <v>10604</v>
      </c>
      <c r="F2388" s="14">
        <v>41205</v>
      </c>
      <c r="H2388" s="13" t="s">
        <v>651</v>
      </c>
      <c r="I2388" s="18">
        <v>9000</v>
      </c>
      <c r="J2388" s="18">
        <v>9000</v>
      </c>
      <c r="K2388" s="20" t="s">
        <v>3614</v>
      </c>
    </row>
    <row r="2389" spans="1:60" ht="63.75" x14ac:dyDescent="0.25">
      <c r="A2389" s="13" t="s">
        <v>10605</v>
      </c>
      <c r="B2389" s="13" t="s">
        <v>10220</v>
      </c>
      <c r="C2389" s="20" t="s">
        <v>3614</v>
      </c>
      <c r="D2389" s="19">
        <v>12395</v>
      </c>
      <c r="E2389" s="13" t="s">
        <v>10606</v>
      </c>
      <c r="F2389" s="14">
        <v>41261</v>
      </c>
      <c r="H2389" s="13" t="s">
        <v>651</v>
      </c>
      <c r="I2389" s="18">
        <v>8430</v>
      </c>
      <c r="J2389" s="18">
        <v>4215</v>
      </c>
      <c r="K2389" s="20" t="s">
        <v>3614</v>
      </c>
    </row>
    <row r="2390" spans="1:60" ht="25.5" x14ac:dyDescent="0.25">
      <c r="A2390" s="13" t="s">
        <v>10607</v>
      </c>
      <c r="B2390" s="13" t="s">
        <v>10192</v>
      </c>
      <c r="C2390" s="20" t="s">
        <v>3614</v>
      </c>
      <c r="D2390" s="19">
        <v>12397</v>
      </c>
      <c r="E2390" s="13" t="s">
        <v>10608</v>
      </c>
      <c r="F2390" s="14">
        <v>41478</v>
      </c>
      <c r="H2390" s="13" t="s">
        <v>651</v>
      </c>
      <c r="I2390" s="18">
        <v>14947.75</v>
      </c>
      <c r="J2390" s="18">
        <v>14947.75</v>
      </c>
      <c r="K2390" s="20" t="s">
        <v>3614</v>
      </c>
    </row>
    <row r="2391" spans="1:60" ht="38.25" x14ac:dyDescent="0.25">
      <c r="A2391" s="13" t="s">
        <v>10609</v>
      </c>
      <c r="B2391" s="13" t="s">
        <v>10192</v>
      </c>
      <c r="C2391" s="20" t="s">
        <v>3614</v>
      </c>
      <c r="D2391" s="19">
        <v>12399</v>
      </c>
      <c r="E2391" s="13" t="s">
        <v>10610</v>
      </c>
      <c r="F2391" s="14">
        <v>41569</v>
      </c>
      <c r="H2391" s="13" t="s">
        <v>651</v>
      </c>
      <c r="I2391" s="18">
        <v>16875</v>
      </c>
      <c r="J2391" s="18">
        <v>16875</v>
      </c>
      <c r="K2391" s="20" t="s">
        <v>3614</v>
      </c>
    </row>
    <row r="2392" spans="1:60" ht="76.5" x14ac:dyDescent="0.25">
      <c r="A2392" s="13" t="s">
        <v>10611</v>
      </c>
      <c r="B2392" s="13" t="s">
        <v>10192</v>
      </c>
      <c r="C2392" s="20" t="s">
        <v>3614</v>
      </c>
      <c r="D2392" s="19">
        <v>12400</v>
      </c>
      <c r="E2392" s="13" t="s">
        <v>10612</v>
      </c>
      <c r="F2392" s="14">
        <v>41541</v>
      </c>
      <c r="H2392" s="13" t="s">
        <v>651</v>
      </c>
      <c r="I2392" s="18">
        <v>22031</v>
      </c>
      <c r="J2392" s="18">
        <v>22031</v>
      </c>
      <c r="K2392" s="20" t="s">
        <v>3614</v>
      </c>
    </row>
    <row r="2393" spans="1:60" ht="63.75" x14ac:dyDescent="0.25">
      <c r="A2393" s="13" t="s">
        <v>10613</v>
      </c>
      <c r="B2393" s="13" t="s">
        <v>10195</v>
      </c>
      <c r="C2393" s="20" t="s">
        <v>3614</v>
      </c>
      <c r="D2393" s="19">
        <v>12401</v>
      </c>
      <c r="E2393" s="13" t="s">
        <v>3953</v>
      </c>
      <c r="F2393" s="14">
        <v>41604</v>
      </c>
      <c r="H2393" s="13" t="s">
        <v>651</v>
      </c>
      <c r="I2393" s="18">
        <v>7500</v>
      </c>
      <c r="J2393" s="18">
        <v>7500</v>
      </c>
      <c r="K2393" s="20" t="s">
        <v>3614</v>
      </c>
    </row>
    <row r="2394" spans="1:60" ht="114.75" x14ac:dyDescent="0.25">
      <c r="A2394" s="13" t="s">
        <v>10614</v>
      </c>
      <c r="B2394" s="13" t="s">
        <v>10192</v>
      </c>
      <c r="C2394" s="20" t="s">
        <v>3614</v>
      </c>
      <c r="D2394" s="19">
        <v>12402</v>
      </c>
      <c r="E2394" s="13" t="s">
        <v>10615</v>
      </c>
      <c r="F2394" s="14">
        <v>41569</v>
      </c>
      <c r="H2394" s="13" t="s">
        <v>651</v>
      </c>
      <c r="I2394" s="18">
        <v>22500</v>
      </c>
      <c r="J2394" s="18">
        <v>22500</v>
      </c>
      <c r="K2394" s="20" t="s">
        <v>3614</v>
      </c>
    </row>
    <row r="2395" spans="1:60" ht="102" x14ac:dyDescent="0.25">
      <c r="A2395" s="13" t="s">
        <v>10616</v>
      </c>
      <c r="B2395" s="13" t="s">
        <v>10195</v>
      </c>
      <c r="C2395" s="20" t="s">
        <v>3614</v>
      </c>
      <c r="D2395" s="19">
        <v>12403</v>
      </c>
      <c r="E2395" s="13" t="s">
        <v>10617</v>
      </c>
      <c r="F2395" s="14">
        <v>41541</v>
      </c>
      <c r="H2395" s="13" t="s">
        <v>651</v>
      </c>
      <c r="I2395" s="18">
        <v>11094</v>
      </c>
      <c r="J2395" s="18">
        <v>11094</v>
      </c>
      <c r="K2395" s="20" t="s">
        <v>3614</v>
      </c>
    </row>
    <row r="2396" spans="1:60" s="4" customFormat="1" ht="89.25" x14ac:dyDescent="0.25">
      <c r="A2396" s="9" t="s">
        <v>4010</v>
      </c>
      <c r="B2396" s="9" t="s">
        <v>13</v>
      </c>
      <c r="C2396" s="112" t="s">
        <v>3614</v>
      </c>
      <c r="D2396" s="90">
        <v>3696</v>
      </c>
      <c r="E2396" s="15" t="s">
        <v>3572</v>
      </c>
      <c r="F2396" s="11">
        <v>39083</v>
      </c>
      <c r="G2396" s="11">
        <v>42369</v>
      </c>
      <c r="H2396" s="9" t="s">
        <v>2593</v>
      </c>
      <c r="I2396" s="16">
        <v>1078541.95</v>
      </c>
      <c r="J2396" s="16">
        <v>1078541.95</v>
      </c>
      <c r="K2396" s="112" t="s">
        <v>3614</v>
      </c>
      <c r="L2396" s="121"/>
      <c r="M2396" s="12"/>
      <c r="N2396" s="9"/>
      <c r="O2396" s="9"/>
      <c r="P2396" s="9"/>
      <c r="Q2396" s="9"/>
      <c r="R2396" s="9"/>
      <c r="S2396" s="9"/>
      <c r="T2396" s="9"/>
      <c r="U2396" s="9"/>
      <c r="V2396" s="9"/>
      <c r="W2396" s="9"/>
      <c r="X2396" s="9"/>
      <c r="Y2396" s="9"/>
      <c r="Z2396" s="9"/>
      <c r="AA2396" s="9"/>
      <c r="AB2396" s="9"/>
      <c r="AC2396" s="9"/>
      <c r="AD2396" s="9"/>
      <c r="AE2396" s="9"/>
      <c r="AF2396" s="9"/>
      <c r="AG2396" s="9"/>
      <c r="AH2396" s="9"/>
      <c r="AI2396" s="9"/>
      <c r="AJ2396" s="9"/>
      <c r="AK2396" s="9"/>
      <c r="AL2396" s="9"/>
      <c r="AM2396" s="9"/>
      <c r="AN2396" s="9"/>
      <c r="AO2396" s="9"/>
      <c r="AP2396" s="9"/>
      <c r="AQ2396" s="9"/>
      <c r="AR2396" s="9"/>
      <c r="AS2396" s="9"/>
      <c r="AT2396" s="9"/>
      <c r="AU2396" s="9"/>
      <c r="AV2396" s="9"/>
      <c r="AW2396" s="9"/>
      <c r="AX2396" s="9"/>
      <c r="AY2396" s="9"/>
      <c r="AZ2396" s="9"/>
      <c r="BA2396" s="9"/>
      <c r="BB2396" s="9"/>
      <c r="BC2396" s="9"/>
      <c r="BD2396" s="9"/>
      <c r="BE2396" s="9"/>
      <c r="BF2396" s="9"/>
      <c r="BG2396" s="9"/>
      <c r="BH2396" s="9"/>
    </row>
    <row r="2397" spans="1:60" s="4" customFormat="1" ht="51" x14ac:dyDescent="0.25">
      <c r="A2397" s="9" t="s">
        <v>4011</v>
      </c>
      <c r="B2397" s="9" t="s">
        <v>13</v>
      </c>
      <c r="C2397" s="112" t="s">
        <v>3614</v>
      </c>
      <c r="D2397" s="90">
        <v>3713</v>
      </c>
      <c r="E2397" s="9" t="s">
        <v>4012</v>
      </c>
      <c r="F2397" s="11">
        <v>39083</v>
      </c>
      <c r="G2397" s="11">
        <v>42369</v>
      </c>
      <c r="H2397" s="9" t="s">
        <v>2593</v>
      </c>
      <c r="I2397" s="16">
        <v>8740.98</v>
      </c>
      <c r="J2397" s="16">
        <v>8740.98</v>
      </c>
      <c r="K2397" s="112" t="s">
        <v>3614</v>
      </c>
      <c r="L2397" s="121"/>
      <c r="M2397" s="12"/>
      <c r="N2397" s="9"/>
      <c r="O2397" s="9"/>
      <c r="P2397" s="9"/>
      <c r="Q2397" s="9"/>
      <c r="R2397" s="9"/>
      <c r="S2397" s="9"/>
      <c r="T2397" s="9"/>
      <c r="U2397" s="9"/>
      <c r="V2397" s="9"/>
      <c r="W2397" s="9"/>
      <c r="X2397" s="9"/>
      <c r="Y2397" s="9"/>
      <c r="Z2397" s="9"/>
      <c r="AA2397" s="9"/>
      <c r="AB2397" s="9"/>
      <c r="AC2397" s="9"/>
      <c r="AD2397" s="9"/>
      <c r="AE2397" s="9"/>
      <c r="AF2397" s="9"/>
      <c r="AG2397" s="9"/>
      <c r="AH2397" s="9"/>
      <c r="AI2397" s="9"/>
      <c r="AJ2397" s="9"/>
      <c r="AK2397" s="9"/>
      <c r="AL2397" s="9"/>
      <c r="AM2397" s="9"/>
      <c r="AN2397" s="9"/>
      <c r="AO2397" s="9"/>
      <c r="AP2397" s="9"/>
      <c r="AQ2397" s="9"/>
      <c r="AR2397" s="9"/>
      <c r="AS2397" s="9"/>
      <c r="AT2397" s="9"/>
      <c r="AU2397" s="9"/>
      <c r="AV2397" s="9"/>
      <c r="AW2397" s="9"/>
      <c r="AX2397" s="9"/>
      <c r="AY2397" s="9"/>
      <c r="AZ2397" s="9"/>
      <c r="BA2397" s="9"/>
      <c r="BB2397" s="9"/>
      <c r="BC2397" s="9"/>
      <c r="BD2397" s="9"/>
      <c r="BE2397" s="9"/>
      <c r="BF2397" s="9"/>
      <c r="BG2397" s="9"/>
      <c r="BH2397" s="9"/>
    </row>
    <row r="2398" spans="1:60" s="4" customFormat="1" ht="51" x14ac:dyDescent="0.25">
      <c r="A2398" s="9" t="s">
        <v>4013</v>
      </c>
      <c r="B2398" s="9" t="s">
        <v>13</v>
      </c>
      <c r="C2398" s="112" t="s">
        <v>3614</v>
      </c>
      <c r="D2398" s="90">
        <v>4212</v>
      </c>
      <c r="E2398" s="9" t="s">
        <v>2615</v>
      </c>
      <c r="F2398" s="11">
        <v>39083</v>
      </c>
      <c r="G2398" s="11">
        <v>42369</v>
      </c>
      <c r="H2398" s="9" t="s">
        <v>2593</v>
      </c>
      <c r="I2398" s="16">
        <v>30590.65</v>
      </c>
      <c r="J2398" s="16">
        <v>30590.65</v>
      </c>
      <c r="K2398" s="112" t="s">
        <v>3614</v>
      </c>
      <c r="L2398" s="121"/>
      <c r="M2398" s="12"/>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c r="AS2398" s="9"/>
      <c r="AT2398" s="9"/>
      <c r="AU2398" s="9"/>
      <c r="AV2398" s="9"/>
      <c r="AW2398" s="9"/>
      <c r="AX2398" s="9"/>
      <c r="AY2398" s="9"/>
      <c r="AZ2398" s="9"/>
      <c r="BA2398" s="9"/>
      <c r="BB2398" s="9"/>
      <c r="BC2398" s="9"/>
      <c r="BD2398" s="9"/>
      <c r="BE2398" s="9"/>
      <c r="BF2398" s="9"/>
      <c r="BG2398" s="9"/>
      <c r="BH2398" s="9"/>
    </row>
    <row r="2399" spans="1:60" s="4" customFormat="1" ht="114.75" x14ac:dyDescent="0.25">
      <c r="A2399" s="9" t="s">
        <v>4014</v>
      </c>
      <c r="B2399" s="9" t="s">
        <v>13</v>
      </c>
      <c r="C2399" s="112" t="s">
        <v>3614</v>
      </c>
      <c r="D2399" s="90">
        <v>4213</v>
      </c>
      <c r="E2399" s="15" t="s">
        <v>4015</v>
      </c>
      <c r="F2399" s="11">
        <v>39083</v>
      </c>
      <c r="G2399" s="11">
        <v>42369</v>
      </c>
      <c r="H2399" s="9" t="s">
        <v>2593</v>
      </c>
      <c r="I2399" s="16">
        <v>515471.59</v>
      </c>
      <c r="J2399" s="16">
        <v>515471.59</v>
      </c>
      <c r="K2399" s="112" t="s">
        <v>3614</v>
      </c>
      <c r="L2399" s="121"/>
      <c r="M2399" s="12"/>
      <c r="N2399" s="9"/>
      <c r="O2399" s="9"/>
      <c r="P2399" s="9"/>
      <c r="Q2399" s="9"/>
      <c r="R2399" s="9"/>
      <c r="S2399" s="9"/>
      <c r="T2399" s="9"/>
      <c r="U2399" s="9"/>
      <c r="V2399" s="9"/>
      <c r="W2399" s="9"/>
      <c r="X2399" s="9"/>
      <c r="Y2399" s="9"/>
      <c r="Z2399" s="9"/>
      <c r="AA2399" s="9"/>
      <c r="AB2399" s="9"/>
      <c r="AC2399" s="9"/>
      <c r="AD2399" s="9"/>
      <c r="AE2399" s="9"/>
      <c r="AF2399" s="9"/>
      <c r="AG2399" s="9"/>
      <c r="AH2399" s="9"/>
      <c r="AI2399" s="9"/>
      <c r="AJ2399" s="9"/>
      <c r="AK2399" s="9"/>
      <c r="AL2399" s="9"/>
      <c r="AM2399" s="9"/>
      <c r="AN2399" s="9"/>
      <c r="AO2399" s="9"/>
      <c r="AP2399" s="9"/>
      <c r="AQ2399" s="9"/>
      <c r="AR2399" s="9"/>
      <c r="AS2399" s="9"/>
      <c r="AT2399" s="9"/>
      <c r="AU2399" s="9"/>
      <c r="AV2399" s="9"/>
      <c r="AW2399" s="9"/>
      <c r="AX2399" s="9"/>
      <c r="AY2399" s="9"/>
      <c r="AZ2399" s="9"/>
      <c r="BA2399" s="9"/>
      <c r="BB2399" s="9"/>
      <c r="BC2399" s="9"/>
      <c r="BD2399" s="9"/>
      <c r="BE2399" s="9"/>
      <c r="BF2399" s="9"/>
      <c r="BG2399" s="9"/>
      <c r="BH2399" s="9"/>
    </row>
    <row r="2400" spans="1:60" s="4" customFormat="1" ht="89.25" x14ac:dyDescent="0.25">
      <c r="A2400" s="9" t="s">
        <v>4016</v>
      </c>
      <c r="B2400" s="9" t="s">
        <v>13</v>
      </c>
      <c r="C2400" s="112" t="s">
        <v>3614</v>
      </c>
      <c r="D2400" s="90">
        <v>4214</v>
      </c>
      <c r="E2400" s="15" t="s">
        <v>2597</v>
      </c>
      <c r="F2400" s="11">
        <v>39083</v>
      </c>
      <c r="G2400" s="11">
        <v>42369</v>
      </c>
      <c r="H2400" s="9" t="s">
        <v>2593</v>
      </c>
      <c r="I2400" s="16">
        <v>249333.83</v>
      </c>
      <c r="J2400" s="16">
        <v>249333.83</v>
      </c>
      <c r="K2400" s="112" t="s">
        <v>3614</v>
      </c>
      <c r="L2400" s="121"/>
      <c r="M2400" s="12"/>
      <c r="N2400" s="9"/>
      <c r="O2400" s="9"/>
      <c r="P2400" s="9"/>
      <c r="Q2400" s="9"/>
      <c r="R2400" s="9"/>
      <c r="S2400" s="9"/>
      <c r="T2400" s="9"/>
      <c r="U2400" s="9"/>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c r="AS2400" s="9"/>
      <c r="AT2400" s="9"/>
      <c r="AU2400" s="9"/>
      <c r="AV2400" s="9"/>
      <c r="AW2400" s="9"/>
      <c r="AX2400" s="9"/>
      <c r="AY2400" s="9"/>
      <c r="AZ2400" s="9"/>
      <c r="BA2400" s="9"/>
      <c r="BB2400" s="9"/>
      <c r="BC2400" s="9"/>
      <c r="BD2400" s="9"/>
      <c r="BE2400" s="9"/>
      <c r="BF2400" s="9"/>
      <c r="BG2400" s="9"/>
      <c r="BH2400" s="9"/>
    </row>
    <row r="2401" spans="1:60" s="4" customFormat="1" ht="140.25" x14ac:dyDescent="0.25">
      <c r="A2401" s="9" t="s">
        <v>4017</v>
      </c>
      <c r="B2401" s="9" t="s">
        <v>13</v>
      </c>
      <c r="C2401" s="112" t="s">
        <v>3614</v>
      </c>
      <c r="D2401" s="90">
        <v>4335</v>
      </c>
      <c r="E2401" s="15" t="s">
        <v>3561</v>
      </c>
      <c r="F2401" s="11">
        <v>39083</v>
      </c>
      <c r="G2401" s="11">
        <v>42369</v>
      </c>
      <c r="H2401" s="9" t="s">
        <v>2593</v>
      </c>
      <c r="I2401" s="16">
        <v>125417.72</v>
      </c>
      <c r="J2401" s="16">
        <v>125417.72</v>
      </c>
      <c r="K2401" s="112" t="s">
        <v>3614</v>
      </c>
      <c r="L2401" s="119"/>
      <c r="M2401" s="3"/>
      <c r="N2401" s="9"/>
      <c r="O2401" s="9"/>
      <c r="P2401" s="9"/>
      <c r="Q2401" s="9"/>
      <c r="R2401" s="9"/>
      <c r="S2401" s="9"/>
      <c r="T2401" s="9"/>
      <c r="U2401" s="9"/>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c r="AS2401" s="9"/>
      <c r="AT2401" s="9"/>
      <c r="AU2401" s="9"/>
      <c r="AV2401" s="9"/>
      <c r="AW2401" s="9"/>
      <c r="AX2401" s="9"/>
      <c r="AY2401" s="9"/>
      <c r="AZ2401" s="9"/>
      <c r="BA2401" s="9"/>
      <c r="BB2401" s="9"/>
      <c r="BC2401" s="9"/>
      <c r="BD2401" s="9"/>
      <c r="BE2401" s="9"/>
      <c r="BF2401" s="9"/>
      <c r="BG2401" s="9"/>
      <c r="BH2401" s="9"/>
    </row>
    <row r="2402" spans="1:60" s="4" customFormat="1" ht="89.25" x14ac:dyDescent="0.25">
      <c r="A2402" s="13" t="s">
        <v>4018</v>
      </c>
      <c r="B2402" s="9" t="s">
        <v>13</v>
      </c>
      <c r="C2402" s="112" t="s">
        <v>3614</v>
      </c>
      <c r="D2402" s="90">
        <v>12055</v>
      </c>
      <c r="E2402" s="13" t="s">
        <v>4019</v>
      </c>
      <c r="F2402" s="14">
        <v>40533</v>
      </c>
      <c r="G2402" s="14">
        <v>42825</v>
      </c>
      <c r="H2402" s="9" t="s">
        <v>2593</v>
      </c>
      <c r="I2402" s="16">
        <v>319359.18</v>
      </c>
      <c r="J2402" s="16">
        <v>319359.18</v>
      </c>
      <c r="K2402" s="112" t="s">
        <v>3614</v>
      </c>
      <c r="L2402" s="11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c r="AS2402" s="9"/>
      <c r="AT2402" s="9"/>
      <c r="AU2402" s="9"/>
      <c r="AV2402" s="9"/>
      <c r="AW2402" s="9"/>
      <c r="AX2402" s="9"/>
      <c r="AY2402" s="9"/>
      <c r="AZ2402" s="9"/>
      <c r="BA2402" s="9"/>
      <c r="BB2402" s="9"/>
      <c r="BC2402" s="9"/>
      <c r="BD2402" s="9"/>
      <c r="BE2402" s="9"/>
      <c r="BF2402" s="9"/>
      <c r="BG2402" s="9"/>
      <c r="BH2402" s="9"/>
    </row>
    <row r="2403" spans="1:60" s="32" customFormat="1" ht="51" x14ac:dyDescent="0.25">
      <c r="A2403" s="13" t="s">
        <v>11569</v>
      </c>
      <c r="B2403" s="32" t="s">
        <v>13</v>
      </c>
      <c r="C2403" s="112" t="s">
        <v>3614</v>
      </c>
      <c r="D2403" s="33">
        <v>13180</v>
      </c>
      <c r="E2403" s="13" t="s">
        <v>11570</v>
      </c>
      <c r="F2403" s="34">
        <v>40533</v>
      </c>
      <c r="G2403" s="34">
        <v>43100</v>
      </c>
      <c r="H2403" s="9" t="s">
        <v>2593</v>
      </c>
      <c r="I2403" s="94">
        <v>73592.06</v>
      </c>
      <c r="J2403" s="94">
        <v>73592.06</v>
      </c>
      <c r="K2403" s="112" t="s">
        <v>3614</v>
      </c>
      <c r="L2403" s="122"/>
    </row>
    <row r="2404" spans="1:60" s="4" customFormat="1" ht="25.5" x14ac:dyDescent="0.25">
      <c r="A2404" s="4" t="s">
        <v>4020</v>
      </c>
      <c r="B2404" s="4" t="s">
        <v>13</v>
      </c>
      <c r="C2404" s="37" t="s">
        <v>3614</v>
      </c>
      <c r="D2404" s="35">
        <v>12075</v>
      </c>
      <c r="E2404" s="4" t="s">
        <v>4021</v>
      </c>
      <c r="F2404" s="5">
        <v>40533</v>
      </c>
      <c r="G2404" s="5">
        <v>42825</v>
      </c>
      <c r="H2404" s="9" t="s">
        <v>2593</v>
      </c>
      <c r="I2404" s="6">
        <v>3148141.15</v>
      </c>
      <c r="J2404" s="6">
        <v>3148141.15</v>
      </c>
      <c r="K2404" s="37" t="s">
        <v>3614</v>
      </c>
      <c r="L2404" s="119"/>
      <c r="M2404" s="3"/>
    </row>
    <row r="2405" spans="1:60" s="4" customFormat="1" ht="63.75" x14ac:dyDescent="0.25">
      <c r="A2405" s="4" t="s">
        <v>4022</v>
      </c>
      <c r="B2405" s="4" t="s">
        <v>13</v>
      </c>
      <c r="C2405" s="37" t="s">
        <v>3614</v>
      </c>
      <c r="D2405" s="35">
        <v>12007</v>
      </c>
      <c r="E2405" s="4" t="s">
        <v>4023</v>
      </c>
      <c r="F2405" s="5">
        <v>40544</v>
      </c>
      <c r="G2405" s="5">
        <v>42825</v>
      </c>
      <c r="H2405" s="4" t="s">
        <v>3587</v>
      </c>
      <c r="I2405" s="6">
        <v>2834065.27</v>
      </c>
      <c r="J2405" s="6">
        <v>2834065.27</v>
      </c>
      <c r="K2405" s="37" t="s">
        <v>3614</v>
      </c>
      <c r="L2405" s="119"/>
      <c r="M2405" s="3"/>
    </row>
    <row r="2406" spans="1:60" s="4" customFormat="1" ht="153" x14ac:dyDescent="0.25">
      <c r="A2406" s="4" t="s">
        <v>4024</v>
      </c>
      <c r="B2406" s="4" t="s">
        <v>13</v>
      </c>
      <c r="C2406" s="37" t="s">
        <v>3614</v>
      </c>
      <c r="D2406" s="35">
        <v>12008</v>
      </c>
      <c r="E2406" s="7" t="s">
        <v>4025</v>
      </c>
      <c r="F2406" s="5">
        <v>40544</v>
      </c>
      <c r="G2406" s="5">
        <v>42825</v>
      </c>
      <c r="H2406" s="4" t="s">
        <v>3587</v>
      </c>
      <c r="I2406" s="6">
        <f>881618.99+340864.76+204335.84</f>
        <v>1426819.59</v>
      </c>
      <c r="J2406" s="6">
        <f>881618.99+340864.76+204335.84</f>
        <v>1426819.59</v>
      </c>
      <c r="K2406" s="37" t="s">
        <v>3614</v>
      </c>
      <c r="L2406" s="119"/>
      <c r="M2406" s="3"/>
      <c r="N2406" s="3"/>
    </row>
    <row r="2407" spans="1:60" s="32" customFormat="1" ht="102" x14ac:dyDescent="0.25">
      <c r="A2407" s="13" t="s">
        <v>11571</v>
      </c>
      <c r="B2407" s="32" t="s">
        <v>13</v>
      </c>
      <c r="C2407" s="37" t="s">
        <v>3614</v>
      </c>
      <c r="D2407" s="33">
        <v>13018</v>
      </c>
      <c r="E2407" s="13" t="s">
        <v>11572</v>
      </c>
      <c r="F2407" s="34">
        <v>40544</v>
      </c>
      <c r="G2407" s="34">
        <v>42825</v>
      </c>
      <c r="H2407" s="4" t="s">
        <v>3587</v>
      </c>
      <c r="I2407" s="94">
        <f>756827+143043.97</f>
        <v>899870.97</v>
      </c>
      <c r="J2407" s="94">
        <f>756827+143043.97</f>
        <v>899870.97</v>
      </c>
      <c r="K2407" s="37" t="s">
        <v>3614</v>
      </c>
      <c r="L2407" s="119"/>
    </row>
    <row r="2408" spans="1:60" s="32" customFormat="1" ht="51" x14ac:dyDescent="0.25">
      <c r="A2408" s="13" t="s">
        <v>11573</v>
      </c>
      <c r="B2408" s="32" t="s">
        <v>13</v>
      </c>
      <c r="C2408" s="37" t="s">
        <v>3614</v>
      </c>
      <c r="D2408" s="33">
        <v>13019</v>
      </c>
      <c r="E2408" s="13" t="s">
        <v>11574</v>
      </c>
      <c r="F2408" s="34">
        <v>40544</v>
      </c>
      <c r="G2408" s="34">
        <v>42825</v>
      </c>
      <c r="H2408" s="4" t="s">
        <v>3587</v>
      </c>
      <c r="I2408" s="94">
        <f>573958.46+359284.23</f>
        <v>933242.69</v>
      </c>
      <c r="J2408" s="94">
        <f>573958.46+359284.23</f>
        <v>933242.69</v>
      </c>
      <c r="K2408" s="37" t="s">
        <v>3614</v>
      </c>
      <c r="L2408" s="119"/>
    </row>
    <row r="2409" spans="1:60" s="32" customFormat="1" ht="89.25" x14ac:dyDescent="0.25">
      <c r="A2409" s="13" t="s">
        <v>11575</v>
      </c>
      <c r="B2409" s="32" t="s">
        <v>13</v>
      </c>
      <c r="C2409" s="37" t="s">
        <v>3614</v>
      </c>
      <c r="D2409" s="33">
        <v>13020</v>
      </c>
      <c r="E2409" s="13" t="s">
        <v>11576</v>
      </c>
      <c r="F2409" s="34">
        <v>40544</v>
      </c>
      <c r="G2409" s="34">
        <v>42825</v>
      </c>
      <c r="H2409" s="4" t="s">
        <v>3587</v>
      </c>
      <c r="I2409" s="94">
        <f>395785.8+104944.27</f>
        <v>500730.07</v>
      </c>
      <c r="J2409" s="94">
        <f>395785.8+104944.27</f>
        <v>500730.07</v>
      </c>
      <c r="K2409" s="37" t="s">
        <v>3614</v>
      </c>
      <c r="L2409" s="119"/>
    </row>
    <row r="2410" spans="1:60" s="32" customFormat="1" ht="114.75" x14ac:dyDescent="0.25">
      <c r="A2410" s="13" t="s">
        <v>11577</v>
      </c>
      <c r="B2410" s="32" t="s">
        <v>13</v>
      </c>
      <c r="C2410" s="37" t="s">
        <v>3614</v>
      </c>
      <c r="D2410" s="33">
        <v>13021</v>
      </c>
      <c r="E2410" s="13" t="s">
        <v>11578</v>
      </c>
      <c r="F2410" s="34">
        <v>40544</v>
      </c>
      <c r="G2410" s="34">
        <v>42825</v>
      </c>
      <c r="H2410" s="4" t="s">
        <v>3587</v>
      </c>
      <c r="I2410" s="94">
        <f>382778.96+55999.86</f>
        <v>438778.82</v>
      </c>
      <c r="J2410" s="94">
        <f>382778.96+55999.86</f>
        <v>438778.82</v>
      </c>
      <c r="K2410" s="37" t="s">
        <v>3614</v>
      </c>
      <c r="L2410" s="119"/>
    </row>
    <row r="2411" spans="1:60" s="32" customFormat="1" ht="102" x14ac:dyDescent="0.25">
      <c r="A2411" s="13" t="s">
        <v>11579</v>
      </c>
      <c r="B2411" s="32" t="s">
        <v>13</v>
      </c>
      <c r="C2411" s="37" t="s">
        <v>3614</v>
      </c>
      <c r="D2411" s="33">
        <v>13022</v>
      </c>
      <c r="E2411" s="13" t="s">
        <v>11580</v>
      </c>
      <c r="F2411" s="34">
        <v>40544</v>
      </c>
      <c r="G2411" s="34">
        <v>42825</v>
      </c>
      <c r="H2411" s="4" t="s">
        <v>3587</v>
      </c>
      <c r="I2411" s="94">
        <f>613288.05+76158.35</f>
        <v>689446.40000000002</v>
      </c>
      <c r="J2411" s="94">
        <f>613288.05+76158.35</f>
        <v>689446.40000000002</v>
      </c>
      <c r="K2411" s="37" t="s">
        <v>3614</v>
      </c>
      <c r="L2411" s="119"/>
    </row>
    <row r="2412" spans="1:60" s="32" customFormat="1" ht="76.5" x14ac:dyDescent="0.25">
      <c r="A2412" s="13" t="s">
        <v>11581</v>
      </c>
      <c r="B2412" s="32" t="s">
        <v>13</v>
      </c>
      <c r="C2412" s="37" t="s">
        <v>3614</v>
      </c>
      <c r="D2412" s="33">
        <v>13023</v>
      </c>
      <c r="E2412" s="13" t="s">
        <v>11582</v>
      </c>
      <c r="F2412" s="34">
        <v>40544</v>
      </c>
      <c r="G2412" s="34">
        <v>42825</v>
      </c>
      <c r="H2412" s="4" t="s">
        <v>3587</v>
      </c>
      <c r="I2412" s="94">
        <f>1460204.7+433646.76</f>
        <v>1893851.46</v>
      </c>
      <c r="J2412" s="94">
        <f>1460204.7+433646.76</f>
        <v>1893851.46</v>
      </c>
      <c r="K2412" s="37" t="s">
        <v>3614</v>
      </c>
      <c r="L2412" s="119"/>
    </row>
    <row r="2413" spans="1:60" s="32" customFormat="1" ht="102" x14ac:dyDescent="0.25">
      <c r="A2413" s="13" t="s">
        <v>11583</v>
      </c>
      <c r="B2413" s="32" t="s">
        <v>13</v>
      </c>
      <c r="C2413" s="37" t="s">
        <v>3614</v>
      </c>
      <c r="D2413" s="33">
        <v>13024</v>
      </c>
      <c r="E2413" s="13" t="s">
        <v>11568</v>
      </c>
      <c r="F2413" s="34">
        <v>40544</v>
      </c>
      <c r="G2413" s="34">
        <v>42825</v>
      </c>
      <c r="H2413" s="4" t="s">
        <v>3587</v>
      </c>
      <c r="I2413" s="94">
        <f>374066.04+131901.44</f>
        <v>505967.48</v>
      </c>
      <c r="J2413" s="94">
        <f>374066.04+131901.44</f>
        <v>505967.48</v>
      </c>
      <c r="K2413" s="37" t="s">
        <v>3614</v>
      </c>
      <c r="L2413" s="119"/>
    </row>
    <row r="2414" spans="1:60" s="32" customFormat="1" ht="63.75" x14ac:dyDescent="0.25">
      <c r="A2414" s="13" t="s">
        <v>11584</v>
      </c>
      <c r="B2414" s="32" t="s">
        <v>13</v>
      </c>
      <c r="C2414" s="37" t="s">
        <v>3614</v>
      </c>
      <c r="D2414" s="33">
        <v>13025</v>
      </c>
      <c r="E2414" s="13" t="s">
        <v>11585</v>
      </c>
      <c r="F2414" s="34">
        <v>40544</v>
      </c>
      <c r="G2414" s="34">
        <v>42825</v>
      </c>
      <c r="H2414" s="4" t="s">
        <v>3587</v>
      </c>
      <c r="I2414" s="94">
        <f>589931.88+41979.27</f>
        <v>631911.15</v>
      </c>
      <c r="J2414" s="94">
        <f>589931.88+41979.27</f>
        <v>631911.15</v>
      </c>
      <c r="K2414" s="37" t="s">
        <v>3614</v>
      </c>
      <c r="L2414" s="119"/>
    </row>
    <row r="2415" spans="1:60" s="32" customFormat="1" ht="114.75" x14ac:dyDescent="0.25">
      <c r="A2415" s="13" t="s">
        <v>11586</v>
      </c>
      <c r="B2415" s="32" t="s">
        <v>13</v>
      </c>
      <c r="C2415" s="37" t="s">
        <v>3614</v>
      </c>
      <c r="D2415" s="33">
        <v>13026</v>
      </c>
      <c r="E2415" s="13" t="s">
        <v>11587</v>
      </c>
      <c r="F2415" s="34">
        <v>40544</v>
      </c>
      <c r="G2415" s="34">
        <v>42825</v>
      </c>
      <c r="H2415" s="4" t="s">
        <v>3587</v>
      </c>
      <c r="I2415" s="94">
        <f>444894.89+89499.94</f>
        <v>534394.83000000007</v>
      </c>
      <c r="J2415" s="94">
        <f>444894.89+89499.94</f>
        <v>534394.83000000007</v>
      </c>
      <c r="K2415" s="37" t="s">
        <v>3614</v>
      </c>
      <c r="L2415" s="119"/>
    </row>
    <row r="2416" spans="1:60" s="32" customFormat="1" ht="63.75" x14ac:dyDescent="0.25">
      <c r="A2416" s="13" t="s">
        <v>11588</v>
      </c>
      <c r="B2416" s="32" t="s">
        <v>13</v>
      </c>
      <c r="C2416" s="37" t="s">
        <v>3614</v>
      </c>
      <c r="D2416" s="33">
        <v>13027</v>
      </c>
      <c r="E2416" s="13" t="s">
        <v>11539</v>
      </c>
      <c r="F2416" s="34">
        <v>40544</v>
      </c>
      <c r="G2416" s="34">
        <v>42825</v>
      </c>
      <c r="H2416" s="4" t="s">
        <v>3587</v>
      </c>
      <c r="I2416" s="94">
        <f>305437.81+32056.62</f>
        <v>337494.43</v>
      </c>
      <c r="J2416" s="94">
        <f>305437.81+32056.62</f>
        <v>337494.43</v>
      </c>
      <c r="K2416" s="37" t="s">
        <v>3614</v>
      </c>
      <c r="L2416" s="119"/>
    </row>
    <row r="2417" spans="1:14" s="4" customFormat="1" ht="76.5" x14ac:dyDescent="0.25">
      <c r="A2417" s="4" t="s">
        <v>4026</v>
      </c>
      <c r="B2417" s="4" t="s">
        <v>13</v>
      </c>
      <c r="C2417" s="37" t="s">
        <v>3614</v>
      </c>
      <c r="D2417" s="35">
        <v>10224</v>
      </c>
      <c r="E2417" s="4" t="s">
        <v>4027</v>
      </c>
      <c r="F2417" s="5">
        <v>40015</v>
      </c>
      <c r="G2417" s="5">
        <v>40815</v>
      </c>
      <c r="H2417" s="4" t="s">
        <v>2027</v>
      </c>
      <c r="I2417" s="6">
        <v>69097.100000000006</v>
      </c>
      <c r="J2417" s="6">
        <v>31093.7</v>
      </c>
      <c r="K2417" s="37" t="s">
        <v>3614</v>
      </c>
      <c r="L2417" s="119"/>
    </row>
    <row r="2418" spans="1:14" s="4" customFormat="1" ht="63.75" x14ac:dyDescent="0.25">
      <c r="A2418" s="4" t="s">
        <v>4028</v>
      </c>
      <c r="B2418" s="4" t="s">
        <v>13</v>
      </c>
      <c r="C2418" s="37" t="s">
        <v>3614</v>
      </c>
      <c r="D2418" s="35">
        <v>3717</v>
      </c>
      <c r="E2418" s="4" t="s">
        <v>4029</v>
      </c>
      <c r="F2418" s="5">
        <v>39083</v>
      </c>
      <c r="G2418" s="5">
        <v>42369</v>
      </c>
      <c r="H2418" s="4" t="s">
        <v>2637</v>
      </c>
      <c r="I2418" s="17">
        <v>5433207.2199999997</v>
      </c>
      <c r="J2418" s="17">
        <v>5433207.2199999997</v>
      </c>
      <c r="K2418" s="37" t="s">
        <v>3614</v>
      </c>
      <c r="L2418" s="119"/>
      <c r="M2418" s="3"/>
    </row>
    <row r="2419" spans="1:14" s="4" customFormat="1" ht="25.5" x14ac:dyDescent="0.25">
      <c r="C2419" s="37" t="s">
        <v>3614</v>
      </c>
      <c r="D2419" s="35"/>
      <c r="E2419" s="26" t="s">
        <v>351</v>
      </c>
      <c r="F2419" s="28"/>
      <c r="G2419" s="28"/>
      <c r="H2419" s="26"/>
      <c r="I2419" s="27">
        <f>SUM(I2184:I2193)</f>
        <v>434215.51999999996</v>
      </c>
      <c r="J2419" s="27">
        <f>SUM(J2184:J2193)</f>
        <v>123207.87999999999</v>
      </c>
      <c r="K2419" s="37" t="s">
        <v>3614</v>
      </c>
      <c r="L2419" s="119"/>
      <c r="M2419" s="3"/>
    </row>
    <row r="2420" spans="1:14" s="4" customFormat="1" ht="25.5" x14ac:dyDescent="0.25">
      <c r="C2420" s="37" t="s">
        <v>3614</v>
      </c>
      <c r="D2420" s="35"/>
      <c r="E2420" s="26" t="s">
        <v>352</v>
      </c>
      <c r="F2420" s="28"/>
      <c r="G2420" s="28"/>
      <c r="H2420" s="26"/>
      <c r="I2420" s="27">
        <f>SUM(I2194:I2395)</f>
        <v>6877531.4999999981</v>
      </c>
      <c r="J2420" s="27">
        <f>SUM(J2194:J2395)</f>
        <v>5575569.6000000006</v>
      </c>
      <c r="K2420" s="37" t="s">
        <v>3614</v>
      </c>
      <c r="L2420" s="119"/>
      <c r="M2420" s="3"/>
    </row>
    <row r="2421" spans="1:14" s="4" customFormat="1" ht="25.5" x14ac:dyDescent="0.25">
      <c r="C2421" s="37" t="s">
        <v>3614</v>
      </c>
      <c r="D2421" s="35"/>
      <c r="E2421" s="26" t="s">
        <v>4030</v>
      </c>
      <c r="F2421" s="28"/>
      <c r="G2421" s="28"/>
      <c r="H2421" s="26"/>
      <c r="I2421" s="27">
        <f>SUM(I2396:I2404)</f>
        <v>5549189.1099999994</v>
      </c>
      <c r="J2421" s="27">
        <f>SUM(J2396:J2404)</f>
        <v>5549189.1099999994</v>
      </c>
      <c r="K2421" s="37" t="s">
        <v>3614</v>
      </c>
      <c r="L2421" s="119"/>
      <c r="M2421" s="3"/>
      <c r="N2421" s="3"/>
    </row>
    <row r="2422" spans="1:14" s="4" customFormat="1" ht="25.5" x14ac:dyDescent="0.25">
      <c r="C2422" s="37" t="s">
        <v>3614</v>
      </c>
      <c r="D2422" s="35"/>
      <c r="E2422" s="26" t="s">
        <v>4031</v>
      </c>
      <c r="F2422" s="28"/>
      <c r="G2422" s="28"/>
      <c r="H2422" s="26"/>
      <c r="I2422" s="27">
        <f>SUM(I2405:I2416)</f>
        <v>11626573.16</v>
      </c>
      <c r="J2422" s="27">
        <f>SUM(J2405:J2416)</f>
        <v>11626573.16</v>
      </c>
      <c r="K2422" s="37" t="s">
        <v>3614</v>
      </c>
      <c r="L2422" s="119"/>
      <c r="M2422" s="3"/>
    </row>
    <row r="2423" spans="1:14" s="4" customFormat="1" ht="25.5" x14ac:dyDescent="0.25">
      <c r="C2423" s="37" t="s">
        <v>3614</v>
      </c>
      <c r="D2423" s="35"/>
      <c r="E2423" s="26" t="s">
        <v>2028</v>
      </c>
      <c r="F2423" s="28"/>
      <c r="G2423" s="28"/>
      <c r="H2423" s="26"/>
      <c r="I2423" s="25">
        <f>SUM(I2417)</f>
        <v>69097.100000000006</v>
      </c>
      <c r="J2423" s="25">
        <f>SUM(J2417)</f>
        <v>31093.7</v>
      </c>
      <c r="K2423" s="37" t="s">
        <v>3614</v>
      </c>
      <c r="L2423" s="119"/>
      <c r="M2423" s="3"/>
    </row>
    <row r="2424" spans="1:14" s="4" customFormat="1" ht="25.5" x14ac:dyDescent="0.25">
      <c r="C2424" s="37" t="s">
        <v>3614</v>
      </c>
      <c r="D2424" s="35"/>
      <c r="E2424" s="26" t="s">
        <v>2646</v>
      </c>
      <c r="F2424" s="28"/>
      <c r="G2424" s="28"/>
      <c r="H2424" s="26"/>
      <c r="I2424" s="27">
        <f>SUM(I2418)</f>
        <v>5433207.2199999997</v>
      </c>
      <c r="J2424" s="27">
        <f>SUM(J2418)</f>
        <v>5433207.2199999997</v>
      </c>
      <c r="K2424" s="37" t="s">
        <v>3614</v>
      </c>
      <c r="L2424" s="119"/>
      <c r="M2424" s="3"/>
    </row>
    <row r="2425" spans="1:14" s="4" customFormat="1" ht="25.5" x14ac:dyDescent="0.25">
      <c r="C2425" s="37" t="s">
        <v>3614</v>
      </c>
      <c r="D2425" s="35"/>
      <c r="E2425" s="26" t="s">
        <v>4032</v>
      </c>
      <c r="F2425" s="28"/>
      <c r="G2425" s="28"/>
      <c r="H2425" s="26"/>
      <c r="I2425" s="27">
        <f>SUM(I2419:I2424)</f>
        <v>29989813.609999999</v>
      </c>
      <c r="J2425" s="27">
        <f>SUM(J2419:J2424)</f>
        <v>28338840.669999998</v>
      </c>
      <c r="K2425" s="37" t="s">
        <v>3614</v>
      </c>
      <c r="L2425" s="119">
        <f>J2425</f>
        <v>28338840.669999998</v>
      </c>
      <c r="M2425" s="3">
        <f>SUM(J2425*0.4)</f>
        <v>11335536.267999999</v>
      </c>
    </row>
    <row r="2426" spans="1:14" s="4" customFormat="1" x14ac:dyDescent="0.25">
      <c r="C2426" s="37"/>
      <c r="D2426" s="35"/>
      <c r="F2426" s="5"/>
      <c r="G2426" s="5"/>
      <c r="I2426" s="17"/>
      <c r="J2426" s="17"/>
      <c r="K2426" s="37"/>
      <c r="L2426" s="119"/>
      <c r="M2426" s="3"/>
    </row>
    <row r="2427" spans="1:14" s="4" customFormat="1" ht="76.5" x14ac:dyDescent="0.25">
      <c r="A2427" s="4" t="s">
        <v>4033</v>
      </c>
      <c r="B2427" s="4" t="s">
        <v>13</v>
      </c>
      <c r="C2427" s="37" t="s">
        <v>4035</v>
      </c>
      <c r="D2427" s="35">
        <v>3924</v>
      </c>
      <c r="E2427" s="7" t="s">
        <v>4034</v>
      </c>
      <c r="F2427" s="5">
        <v>39615</v>
      </c>
      <c r="G2427" s="5">
        <v>40165</v>
      </c>
      <c r="H2427" s="4" t="s">
        <v>16</v>
      </c>
      <c r="I2427" s="6">
        <v>177000</v>
      </c>
      <c r="J2427" s="6">
        <v>53100</v>
      </c>
      <c r="K2427" s="37" t="s">
        <v>4035</v>
      </c>
      <c r="L2427" s="119"/>
      <c r="M2427" s="3"/>
    </row>
    <row r="2428" spans="1:14" s="4" customFormat="1" ht="38.25" x14ac:dyDescent="0.25">
      <c r="A2428" s="4" t="s">
        <v>4036</v>
      </c>
      <c r="B2428" s="4" t="s">
        <v>13</v>
      </c>
      <c r="C2428" s="37" t="s">
        <v>4035</v>
      </c>
      <c r="D2428" s="35">
        <v>4169</v>
      </c>
      <c r="E2428" s="4" t="s">
        <v>4037</v>
      </c>
      <c r="F2428" s="5">
        <v>39521</v>
      </c>
      <c r="G2428" s="5">
        <v>39537</v>
      </c>
      <c r="H2428" s="4" t="s">
        <v>16</v>
      </c>
      <c r="I2428" s="6">
        <v>89553.71</v>
      </c>
      <c r="J2428" s="6">
        <v>25371</v>
      </c>
      <c r="K2428" s="37" t="s">
        <v>4035</v>
      </c>
      <c r="L2428" s="119"/>
      <c r="M2428" s="3"/>
    </row>
    <row r="2429" spans="1:14" s="4" customFormat="1" ht="38.25" x14ac:dyDescent="0.25">
      <c r="A2429" s="4" t="s">
        <v>4038</v>
      </c>
      <c r="B2429" s="4" t="s">
        <v>13</v>
      </c>
      <c r="C2429" s="37" t="s">
        <v>4035</v>
      </c>
      <c r="D2429" s="35">
        <v>4171</v>
      </c>
      <c r="E2429" s="4" t="s">
        <v>4039</v>
      </c>
      <c r="F2429" s="5">
        <v>39331</v>
      </c>
      <c r="G2429" s="5">
        <v>39570</v>
      </c>
      <c r="H2429" s="4" t="s">
        <v>16</v>
      </c>
      <c r="I2429" s="6">
        <v>24000</v>
      </c>
      <c r="J2429" s="6">
        <v>7200</v>
      </c>
      <c r="K2429" s="37" t="s">
        <v>4035</v>
      </c>
      <c r="L2429" s="119"/>
      <c r="M2429" s="3"/>
    </row>
    <row r="2430" spans="1:14" s="4" customFormat="1" x14ac:dyDescent="0.25">
      <c r="A2430" s="4" t="s">
        <v>4040</v>
      </c>
      <c r="B2430" s="4" t="s">
        <v>13</v>
      </c>
      <c r="C2430" s="37" t="s">
        <v>4035</v>
      </c>
      <c r="D2430" s="35">
        <v>4180</v>
      </c>
      <c r="E2430" s="4" t="s">
        <v>4041</v>
      </c>
      <c r="F2430" s="5">
        <v>39873</v>
      </c>
      <c r="G2430" s="5">
        <v>40025</v>
      </c>
      <c r="H2430" s="4" t="s">
        <v>16</v>
      </c>
      <c r="I2430" s="6">
        <v>137500</v>
      </c>
      <c r="J2430" s="6">
        <v>41250</v>
      </c>
      <c r="K2430" s="37" t="s">
        <v>4035</v>
      </c>
      <c r="L2430" s="119"/>
      <c r="M2430" s="3"/>
    </row>
    <row r="2431" spans="1:14" s="4" customFormat="1" x14ac:dyDescent="0.25">
      <c r="A2431" s="4" t="s">
        <v>4042</v>
      </c>
      <c r="B2431" s="4" t="s">
        <v>13</v>
      </c>
      <c r="C2431" s="37" t="s">
        <v>4035</v>
      </c>
      <c r="D2431" s="35">
        <v>4182</v>
      </c>
      <c r="E2431" s="4" t="s">
        <v>4043</v>
      </c>
      <c r="F2431" s="5">
        <v>39330</v>
      </c>
      <c r="G2431" s="5">
        <v>39631</v>
      </c>
      <c r="H2431" s="4" t="s">
        <v>16</v>
      </c>
      <c r="I2431" s="6">
        <v>1035</v>
      </c>
      <c r="J2431" s="6">
        <v>310.5</v>
      </c>
      <c r="K2431" s="37" t="s">
        <v>4035</v>
      </c>
      <c r="L2431" s="119"/>
      <c r="M2431" s="3"/>
    </row>
    <row r="2432" spans="1:14" s="4" customFormat="1" ht="76.5" x14ac:dyDescent="0.25">
      <c r="A2432" s="4" t="s">
        <v>4044</v>
      </c>
      <c r="B2432" s="4" t="s">
        <v>13</v>
      </c>
      <c r="C2432" s="37" t="s">
        <v>4035</v>
      </c>
      <c r="D2432" s="35">
        <v>4188</v>
      </c>
      <c r="E2432" s="4" t="s">
        <v>4045</v>
      </c>
      <c r="F2432" s="5">
        <v>39514</v>
      </c>
      <c r="G2432" s="5">
        <v>39566</v>
      </c>
      <c r="H2432" s="4" t="s">
        <v>16</v>
      </c>
      <c r="I2432" s="6">
        <v>62550</v>
      </c>
      <c r="J2432" s="6">
        <v>18765</v>
      </c>
      <c r="K2432" s="37" t="s">
        <v>4035</v>
      </c>
      <c r="L2432" s="119"/>
      <c r="M2432" s="3"/>
    </row>
    <row r="2433" spans="1:13" s="4" customFormat="1" x14ac:dyDescent="0.25">
      <c r="A2433" s="4" t="s">
        <v>4046</v>
      </c>
      <c r="B2433" s="4" t="s">
        <v>13</v>
      </c>
      <c r="C2433" s="37" t="s">
        <v>4035</v>
      </c>
      <c r="D2433" s="35">
        <v>4189</v>
      </c>
      <c r="E2433" s="4" t="s">
        <v>4047</v>
      </c>
      <c r="F2433" s="5">
        <v>39380</v>
      </c>
      <c r="G2433" s="5">
        <v>39903</v>
      </c>
      <c r="H2433" s="4" t="s">
        <v>16</v>
      </c>
      <c r="I2433" s="6">
        <v>26996.3</v>
      </c>
      <c r="J2433" s="6">
        <v>8099.04</v>
      </c>
      <c r="K2433" s="37" t="s">
        <v>4035</v>
      </c>
      <c r="L2433" s="119"/>
      <c r="M2433" s="3"/>
    </row>
    <row r="2434" spans="1:13" s="4" customFormat="1" x14ac:dyDescent="0.25">
      <c r="A2434" s="4" t="s">
        <v>4048</v>
      </c>
      <c r="B2434" s="4" t="s">
        <v>13</v>
      </c>
      <c r="C2434" s="37" t="s">
        <v>4035</v>
      </c>
      <c r="D2434" s="35">
        <v>9857</v>
      </c>
      <c r="E2434" s="4" t="s">
        <v>4049</v>
      </c>
      <c r="F2434" s="5">
        <v>40017</v>
      </c>
      <c r="G2434" s="5">
        <v>40364</v>
      </c>
      <c r="H2434" s="4" t="s">
        <v>16</v>
      </c>
      <c r="I2434" s="6">
        <v>26500</v>
      </c>
      <c r="J2434" s="6">
        <v>7950</v>
      </c>
      <c r="K2434" s="37" t="s">
        <v>4035</v>
      </c>
      <c r="L2434" s="119"/>
      <c r="M2434" s="3"/>
    </row>
    <row r="2435" spans="1:13" s="4" customFormat="1" ht="25.5" x14ac:dyDescent="0.25">
      <c r="A2435" s="4" t="s">
        <v>4048</v>
      </c>
      <c r="B2435" s="4" t="s">
        <v>13</v>
      </c>
      <c r="C2435" s="37" t="s">
        <v>4035</v>
      </c>
      <c r="D2435" s="35">
        <v>9868</v>
      </c>
      <c r="E2435" s="4" t="s">
        <v>4050</v>
      </c>
      <c r="F2435" s="5">
        <v>40017</v>
      </c>
      <c r="G2435" s="5">
        <v>40364</v>
      </c>
      <c r="H2435" s="4" t="s">
        <v>16</v>
      </c>
      <c r="I2435" s="6">
        <v>12980</v>
      </c>
      <c r="J2435" s="6">
        <v>3567.3</v>
      </c>
      <c r="K2435" s="37" t="s">
        <v>4035</v>
      </c>
      <c r="L2435" s="119"/>
      <c r="M2435" s="3"/>
    </row>
    <row r="2436" spans="1:13" s="4" customFormat="1" ht="140.25" x14ac:dyDescent="0.25">
      <c r="A2436" s="4" t="s">
        <v>4051</v>
      </c>
      <c r="B2436" s="4" t="s">
        <v>13</v>
      </c>
      <c r="C2436" s="37" t="s">
        <v>4035</v>
      </c>
      <c r="D2436" s="35">
        <v>6189</v>
      </c>
      <c r="E2436" s="7" t="s">
        <v>4052</v>
      </c>
      <c r="F2436" s="5">
        <v>39845</v>
      </c>
      <c r="G2436" s="5">
        <v>40390</v>
      </c>
      <c r="H2436" s="4" t="s">
        <v>2039</v>
      </c>
      <c r="I2436" s="6">
        <v>77192.56</v>
      </c>
      <c r="J2436" s="6">
        <v>77192.56</v>
      </c>
      <c r="K2436" s="37" t="s">
        <v>4035</v>
      </c>
      <c r="L2436" s="119"/>
      <c r="M2436" s="3"/>
    </row>
    <row r="2437" spans="1:13" s="4" customFormat="1" ht="153" x14ac:dyDescent="0.25">
      <c r="A2437" s="4" t="s">
        <v>4053</v>
      </c>
      <c r="B2437" s="4" t="s">
        <v>13</v>
      </c>
      <c r="C2437" s="37" t="s">
        <v>4035</v>
      </c>
      <c r="D2437" s="35">
        <v>11090</v>
      </c>
      <c r="E2437" s="7" t="s">
        <v>4054</v>
      </c>
      <c r="F2437" s="5">
        <v>40695</v>
      </c>
      <c r="G2437" s="5">
        <v>41060</v>
      </c>
      <c r="H2437" s="4" t="s">
        <v>2039</v>
      </c>
      <c r="I2437" s="6">
        <v>11266.22</v>
      </c>
      <c r="J2437" s="6">
        <v>11266.22</v>
      </c>
      <c r="K2437" s="37" t="s">
        <v>4035</v>
      </c>
      <c r="L2437" s="119"/>
      <c r="M2437" s="3"/>
    </row>
    <row r="2438" spans="1:13" s="4" customFormat="1" ht="25.5" x14ac:dyDescent="0.25">
      <c r="A2438" s="4" t="s">
        <v>4055</v>
      </c>
      <c r="B2438" s="4" t="s">
        <v>13</v>
      </c>
      <c r="C2438" s="37" t="s">
        <v>4035</v>
      </c>
      <c r="D2438" s="35">
        <v>9856</v>
      </c>
      <c r="E2438" s="4" t="s">
        <v>4056</v>
      </c>
      <c r="F2438" s="5">
        <v>40394</v>
      </c>
      <c r="G2438" s="5">
        <v>40536</v>
      </c>
      <c r="H2438" s="4" t="s">
        <v>392</v>
      </c>
      <c r="I2438" s="6">
        <v>1464985.39</v>
      </c>
      <c r="J2438" s="6">
        <v>500000</v>
      </c>
      <c r="K2438" s="37" t="s">
        <v>4035</v>
      </c>
      <c r="L2438" s="119"/>
      <c r="M2438" s="3"/>
    </row>
    <row r="2439" spans="1:13" s="4" customFormat="1" ht="76.5" x14ac:dyDescent="0.25">
      <c r="A2439" s="4" t="s">
        <v>4057</v>
      </c>
      <c r="B2439" s="4" t="s">
        <v>13</v>
      </c>
      <c r="C2439" s="37" t="s">
        <v>4035</v>
      </c>
      <c r="D2439" s="35">
        <v>9898</v>
      </c>
      <c r="E2439" s="4" t="s">
        <v>4058</v>
      </c>
      <c r="F2439" s="5">
        <v>40844</v>
      </c>
      <c r="G2439" s="5">
        <v>40897</v>
      </c>
      <c r="H2439" s="4" t="s">
        <v>392</v>
      </c>
      <c r="I2439" s="6">
        <v>53815.5</v>
      </c>
      <c r="J2439" s="6">
        <v>18835.43</v>
      </c>
      <c r="K2439" s="37" t="s">
        <v>4035</v>
      </c>
      <c r="L2439" s="119"/>
      <c r="M2439" s="3"/>
    </row>
    <row r="2440" spans="1:13" s="4" customFormat="1" ht="38.25" x14ac:dyDescent="0.25">
      <c r="A2440" s="4" t="s">
        <v>4059</v>
      </c>
      <c r="B2440" s="4" t="s">
        <v>13</v>
      </c>
      <c r="C2440" s="37" t="s">
        <v>4035</v>
      </c>
      <c r="D2440" s="35">
        <v>10039</v>
      </c>
      <c r="E2440" s="4" t="s">
        <v>4060</v>
      </c>
      <c r="F2440" s="5">
        <v>40828</v>
      </c>
      <c r="G2440" s="5">
        <v>40897</v>
      </c>
      <c r="H2440" s="4" t="s">
        <v>392</v>
      </c>
      <c r="I2440" s="6">
        <v>87622.55</v>
      </c>
      <c r="J2440" s="6">
        <v>30667.89</v>
      </c>
      <c r="K2440" s="37" t="s">
        <v>4035</v>
      </c>
      <c r="L2440" s="119"/>
      <c r="M2440" s="3"/>
    </row>
    <row r="2441" spans="1:13" s="4" customFormat="1" ht="38.25" x14ac:dyDescent="0.25">
      <c r="A2441" s="4" t="s">
        <v>2285</v>
      </c>
      <c r="B2441" s="4" t="s">
        <v>38</v>
      </c>
      <c r="C2441" s="37" t="s">
        <v>4035</v>
      </c>
      <c r="D2441" s="35">
        <v>1185</v>
      </c>
      <c r="E2441" s="4" t="s">
        <v>4061</v>
      </c>
      <c r="F2441" s="5">
        <v>39083</v>
      </c>
      <c r="H2441" s="4" t="s">
        <v>40</v>
      </c>
      <c r="I2441" s="6">
        <v>600921.48</v>
      </c>
      <c r="J2441" s="6">
        <f>519971.92+80949.56</f>
        <v>600921.48</v>
      </c>
      <c r="K2441" s="37" t="s">
        <v>4035</v>
      </c>
      <c r="L2441" s="119"/>
      <c r="M2441" s="3"/>
    </row>
    <row r="2442" spans="1:13" s="4" customFormat="1" ht="76.5" x14ac:dyDescent="0.25">
      <c r="A2442" s="4" t="s">
        <v>3254</v>
      </c>
      <c r="B2442" s="4" t="s">
        <v>38</v>
      </c>
      <c r="C2442" s="37" t="s">
        <v>4035</v>
      </c>
      <c r="D2442" s="35">
        <v>1202</v>
      </c>
      <c r="E2442" s="4" t="s">
        <v>4062</v>
      </c>
      <c r="F2442" s="5">
        <v>39083</v>
      </c>
      <c r="H2442" s="4" t="s">
        <v>40</v>
      </c>
      <c r="I2442" s="6">
        <v>9163.56</v>
      </c>
      <c r="J2442" s="6">
        <v>9163.56</v>
      </c>
      <c r="K2442" s="37" t="s">
        <v>4035</v>
      </c>
      <c r="L2442" s="119"/>
      <c r="M2442" s="3"/>
    </row>
    <row r="2443" spans="1:13" s="4" customFormat="1" ht="38.25" x14ac:dyDescent="0.25">
      <c r="A2443" s="4" t="s">
        <v>4063</v>
      </c>
      <c r="B2443" s="4" t="s">
        <v>38</v>
      </c>
      <c r="C2443" s="37" t="s">
        <v>4035</v>
      </c>
      <c r="D2443" s="35">
        <v>1203</v>
      </c>
      <c r="E2443" s="4" t="s">
        <v>4064</v>
      </c>
      <c r="F2443" s="5">
        <v>39083</v>
      </c>
      <c r="H2443" s="4" t="s">
        <v>40</v>
      </c>
      <c r="I2443" s="6">
        <v>81450.789999999994</v>
      </c>
      <c r="J2443" s="6">
        <v>81450.789999999994</v>
      </c>
      <c r="K2443" s="37" t="s">
        <v>4035</v>
      </c>
      <c r="L2443" s="119"/>
      <c r="M2443" s="3"/>
    </row>
    <row r="2444" spans="1:13" s="4" customFormat="1" ht="38.25" x14ac:dyDescent="0.25">
      <c r="A2444" s="4" t="s">
        <v>4065</v>
      </c>
      <c r="B2444" s="4" t="s">
        <v>38</v>
      </c>
      <c r="C2444" s="37" t="s">
        <v>4035</v>
      </c>
      <c r="D2444" s="35">
        <v>2056</v>
      </c>
      <c r="E2444" s="4" t="s">
        <v>4066</v>
      </c>
      <c r="F2444" s="5">
        <v>39083</v>
      </c>
      <c r="H2444" s="4" t="s">
        <v>40</v>
      </c>
      <c r="I2444" s="6">
        <v>310003.76</v>
      </c>
      <c r="J2444" s="6">
        <f>260178.88+49824.88</f>
        <v>310003.76</v>
      </c>
      <c r="K2444" s="37" t="s">
        <v>4035</v>
      </c>
      <c r="L2444" s="119"/>
      <c r="M2444" s="3"/>
    </row>
    <row r="2445" spans="1:13" s="4" customFormat="1" ht="38.25" x14ac:dyDescent="0.25">
      <c r="A2445" s="4" t="s">
        <v>4067</v>
      </c>
      <c r="B2445" s="4" t="s">
        <v>13</v>
      </c>
      <c r="C2445" s="37" t="s">
        <v>4035</v>
      </c>
      <c r="D2445" s="35">
        <v>2057</v>
      </c>
      <c r="E2445" s="4" t="s">
        <v>4068</v>
      </c>
      <c r="F2445" s="5">
        <v>39083</v>
      </c>
      <c r="H2445" s="4" t="s">
        <v>40</v>
      </c>
      <c r="I2445" s="6">
        <v>150224.20000000001</v>
      </c>
      <c r="J2445" s="6">
        <f>135665.63+14558.57</f>
        <v>150224.20000000001</v>
      </c>
      <c r="K2445" s="37" t="s">
        <v>4035</v>
      </c>
      <c r="L2445" s="119"/>
      <c r="M2445" s="3"/>
    </row>
    <row r="2446" spans="1:13" s="4" customFormat="1" ht="63.75" x14ac:dyDescent="0.25">
      <c r="A2446" s="4" t="s">
        <v>4069</v>
      </c>
      <c r="B2446" s="4" t="s">
        <v>38</v>
      </c>
      <c r="C2446" s="37" t="s">
        <v>4035</v>
      </c>
      <c r="D2446" s="35">
        <v>2490</v>
      </c>
      <c r="E2446" s="4" t="s">
        <v>4070</v>
      </c>
      <c r="F2446" s="5">
        <v>39083</v>
      </c>
      <c r="H2446" s="4" t="s">
        <v>40</v>
      </c>
      <c r="I2446" s="6">
        <v>25915.62</v>
      </c>
      <c r="J2446" s="6">
        <v>25915.62</v>
      </c>
      <c r="K2446" s="37" t="s">
        <v>4035</v>
      </c>
      <c r="L2446" s="119"/>
      <c r="M2446" s="3"/>
    </row>
    <row r="2447" spans="1:13" s="4" customFormat="1" x14ac:dyDescent="0.25">
      <c r="A2447" s="4" t="s">
        <v>4071</v>
      </c>
      <c r="B2447" s="4" t="s">
        <v>13</v>
      </c>
      <c r="C2447" s="37" t="s">
        <v>4035</v>
      </c>
      <c r="D2447" s="35">
        <v>2501</v>
      </c>
      <c r="E2447" s="4" t="s">
        <v>4072</v>
      </c>
      <c r="F2447" s="5">
        <v>39083</v>
      </c>
      <c r="H2447" s="4" t="s">
        <v>40</v>
      </c>
      <c r="I2447" s="6">
        <v>231062.12</v>
      </c>
      <c r="J2447" s="6">
        <f>172815.38+58246.74</f>
        <v>231062.12</v>
      </c>
      <c r="K2447" s="37" t="s">
        <v>4035</v>
      </c>
      <c r="L2447" s="119"/>
      <c r="M2447" s="3"/>
    </row>
    <row r="2448" spans="1:13" s="4" customFormat="1" ht="51" x14ac:dyDescent="0.25">
      <c r="A2448" s="4" t="s">
        <v>4073</v>
      </c>
      <c r="B2448" s="4" t="s">
        <v>38</v>
      </c>
      <c r="C2448" s="37" t="s">
        <v>4035</v>
      </c>
      <c r="D2448" s="35">
        <v>2517</v>
      </c>
      <c r="E2448" s="4" t="s">
        <v>4074</v>
      </c>
      <c r="F2448" s="5">
        <v>39083</v>
      </c>
      <c r="H2448" s="4" t="s">
        <v>40</v>
      </c>
      <c r="I2448" s="6">
        <v>78001.38</v>
      </c>
      <c r="J2448" s="6">
        <v>78001.38</v>
      </c>
      <c r="K2448" s="37" t="s">
        <v>4035</v>
      </c>
      <c r="L2448" s="119"/>
      <c r="M2448" s="3"/>
    </row>
    <row r="2449" spans="1:13" s="4" customFormat="1" ht="63.75" x14ac:dyDescent="0.25">
      <c r="A2449" s="4" t="s">
        <v>4075</v>
      </c>
      <c r="B2449" s="4" t="s">
        <v>38</v>
      </c>
      <c r="C2449" s="37" t="s">
        <v>4035</v>
      </c>
      <c r="D2449" s="35">
        <v>2519</v>
      </c>
      <c r="E2449" s="4" t="s">
        <v>4076</v>
      </c>
      <c r="F2449" s="5">
        <v>39083</v>
      </c>
      <c r="H2449" s="4" t="s">
        <v>40</v>
      </c>
      <c r="I2449" s="6">
        <v>18891</v>
      </c>
      <c r="J2449" s="6">
        <v>18891</v>
      </c>
      <c r="K2449" s="37" t="s">
        <v>4035</v>
      </c>
      <c r="L2449" s="119"/>
      <c r="M2449" s="3"/>
    </row>
    <row r="2450" spans="1:13" s="4" customFormat="1" ht="38.25" x14ac:dyDescent="0.25">
      <c r="A2450" s="4" t="s">
        <v>4077</v>
      </c>
      <c r="B2450" s="4" t="s">
        <v>38</v>
      </c>
      <c r="C2450" s="37" t="s">
        <v>4035</v>
      </c>
      <c r="D2450" s="35">
        <v>2521</v>
      </c>
      <c r="E2450" s="4" t="s">
        <v>4078</v>
      </c>
      <c r="F2450" s="5">
        <v>39083</v>
      </c>
      <c r="H2450" s="4" t="s">
        <v>40</v>
      </c>
      <c r="I2450" s="6">
        <f>99139.64+7014.91</f>
        <v>106154.55</v>
      </c>
      <c r="J2450" s="6">
        <f>99139.64+7014.91</f>
        <v>106154.55</v>
      </c>
      <c r="K2450" s="37" t="s">
        <v>4035</v>
      </c>
      <c r="L2450" s="119"/>
      <c r="M2450" s="3"/>
    </row>
    <row r="2451" spans="1:13" s="4" customFormat="1" ht="25.5" x14ac:dyDescent="0.25">
      <c r="A2451" s="4" t="s">
        <v>4079</v>
      </c>
      <c r="B2451" s="4" t="s">
        <v>38</v>
      </c>
      <c r="C2451" s="37" t="s">
        <v>4035</v>
      </c>
      <c r="D2451" s="35">
        <v>2522</v>
      </c>
      <c r="E2451" s="4" t="s">
        <v>4080</v>
      </c>
      <c r="F2451" s="5">
        <v>39083</v>
      </c>
      <c r="H2451" s="4" t="s">
        <v>40</v>
      </c>
      <c r="I2451" s="6">
        <v>273965.62</v>
      </c>
      <c r="J2451" s="6">
        <f>228707.76+45257.86</f>
        <v>273965.62</v>
      </c>
      <c r="K2451" s="37" t="s">
        <v>4035</v>
      </c>
      <c r="L2451" s="119"/>
      <c r="M2451" s="3"/>
    </row>
    <row r="2452" spans="1:13" s="4" customFormat="1" ht="38.25" x14ac:dyDescent="0.25">
      <c r="A2452" s="4" t="s">
        <v>3739</v>
      </c>
      <c r="B2452" s="4" t="s">
        <v>38</v>
      </c>
      <c r="C2452" s="37" t="s">
        <v>4035</v>
      </c>
      <c r="D2452" s="35">
        <v>2523</v>
      </c>
      <c r="E2452" s="4" t="s">
        <v>4081</v>
      </c>
      <c r="F2452" s="5">
        <v>39083</v>
      </c>
      <c r="H2452" s="4" t="s">
        <v>40</v>
      </c>
      <c r="I2452" s="6">
        <v>492824.12</v>
      </c>
      <c r="J2452" s="6">
        <f>425508.04+67316.08</f>
        <v>492824.12</v>
      </c>
      <c r="K2452" s="37" t="s">
        <v>4035</v>
      </c>
      <c r="L2452" s="119"/>
      <c r="M2452" s="3"/>
    </row>
    <row r="2453" spans="1:13" s="4" customFormat="1" ht="76.5" x14ac:dyDescent="0.25">
      <c r="A2453" s="4" t="s">
        <v>4082</v>
      </c>
      <c r="B2453" s="4" t="s">
        <v>38</v>
      </c>
      <c r="C2453" s="37" t="s">
        <v>4035</v>
      </c>
      <c r="D2453" s="35">
        <v>2524</v>
      </c>
      <c r="E2453" s="4" t="s">
        <v>4083</v>
      </c>
      <c r="F2453" s="5">
        <v>39083</v>
      </c>
      <c r="H2453" s="4" t="s">
        <v>40</v>
      </c>
      <c r="I2453" s="6">
        <f>176177.16+21000</f>
        <v>197177.16</v>
      </c>
      <c r="J2453" s="6">
        <f>176177.16+21000</f>
        <v>197177.16</v>
      </c>
      <c r="K2453" s="37" t="s">
        <v>4035</v>
      </c>
      <c r="L2453" s="119"/>
      <c r="M2453" s="3"/>
    </row>
    <row r="2454" spans="1:13" s="4" customFormat="1" x14ac:dyDescent="0.25">
      <c r="A2454" s="4" t="s">
        <v>4084</v>
      </c>
      <c r="B2454" s="4" t="s">
        <v>13</v>
      </c>
      <c r="C2454" s="37" t="s">
        <v>4035</v>
      </c>
      <c r="D2454" s="35">
        <v>2525</v>
      </c>
      <c r="E2454" s="4" t="s">
        <v>4085</v>
      </c>
      <c r="F2454" s="5">
        <v>39083</v>
      </c>
      <c r="H2454" s="4" t="s">
        <v>40</v>
      </c>
      <c r="I2454" s="6">
        <v>159778.71</v>
      </c>
      <c r="J2454" s="6">
        <f>143071.44+16707.27</f>
        <v>159778.71</v>
      </c>
      <c r="K2454" s="37" t="s">
        <v>4035</v>
      </c>
      <c r="L2454" s="119"/>
      <c r="M2454" s="3"/>
    </row>
    <row r="2455" spans="1:13" s="4" customFormat="1" ht="51" x14ac:dyDescent="0.25">
      <c r="A2455" s="4" t="s">
        <v>4086</v>
      </c>
      <c r="B2455" s="4" t="s">
        <v>38</v>
      </c>
      <c r="C2455" s="37" t="s">
        <v>4035</v>
      </c>
      <c r="D2455" s="35">
        <v>2526</v>
      </c>
      <c r="E2455" s="4" t="s">
        <v>4087</v>
      </c>
      <c r="F2455" s="5">
        <v>39083</v>
      </c>
      <c r="H2455" s="4" t="s">
        <v>40</v>
      </c>
      <c r="I2455" s="6">
        <f>87980.17+3952.16</f>
        <v>91932.33</v>
      </c>
      <c r="J2455" s="6">
        <f>87980.17+3952.16</f>
        <v>91932.33</v>
      </c>
      <c r="K2455" s="37" t="s">
        <v>4035</v>
      </c>
      <c r="L2455" s="119"/>
      <c r="M2455" s="3"/>
    </row>
    <row r="2456" spans="1:13" s="4" customFormat="1" ht="51" x14ac:dyDescent="0.25">
      <c r="A2456" s="4" t="s">
        <v>4088</v>
      </c>
      <c r="B2456" s="4" t="s">
        <v>38</v>
      </c>
      <c r="C2456" s="37" t="s">
        <v>4035</v>
      </c>
      <c r="D2456" s="35">
        <v>2527</v>
      </c>
      <c r="E2456" s="4" t="s">
        <v>4089</v>
      </c>
      <c r="F2456" s="5">
        <v>39083</v>
      </c>
      <c r="H2456" s="4" t="s">
        <v>40</v>
      </c>
      <c r="I2456" s="6">
        <v>24651.5</v>
      </c>
      <c r="J2456" s="6">
        <f>23317.66+1333.84</f>
        <v>24651.5</v>
      </c>
      <c r="K2456" s="37" t="s">
        <v>4035</v>
      </c>
      <c r="L2456" s="119"/>
      <c r="M2456" s="3"/>
    </row>
    <row r="2457" spans="1:13" s="4" customFormat="1" ht="25.5" x14ac:dyDescent="0.25">
      <c r="A2457" s="4" t="s">
        <v>4090</v>
      </c>
      <c r="B2457" s="4" t="s">
        <v>38</v>
      </c>
      <c r="C2457" s="37" t="s">
        <v>4035</v>
      </c>
      <c r="D2457" s="35">
        <v>2528</v>
      </c>
      <c r="E2457" s="4" t="s">
        <v>4091</v>
      </c>
      <c r="F2457" s="5">
        <v>39083</v>
      </c>
      <c r="H2457" s="4" t="s">
        <v>40</v>
      </c>
      <c r="I2457" s="6">
        <v>88126.17</v>
      </c>
      <c r="J2457" s="6">
        <f>63289.1+24837.07</f>
        <v>88126.17</v>
      </c>
      <c r="K2457" s="37" t="s">
        <v>4035</v>
      </c>
      <c r="L2457" s="119"/>
      <c r="M2457" s="3"/>
    </row>
    <row r="2458" spans="1:13" s="4" customFormat="1" ht="51" x14ac:dyDescent="0.25">
      <c r="A2458" s="4" t="s">
        <v>4092</v>
      </c>
      <c r="B2458" s="4" t="s">
        <v>38</v>
      </c>
      <c r="C2458" s="37" t="s">
        <v>4035</v>
      </c>
      <c r="D2458" s="35">
        <v>2546</v>
      </c>
      <c r="E2458" s="4" t="s">
        <v>4093</v>
      </c>
      <c r="F2458" s="5">
        <v>39083</v>
      </c>
      <c r="G2458" s="5">
        <v>39813</v>
      </c>
      <c r="H2458" s="4" t="s">
        <v>40</v>
      </c>
      <c r="I2458" s="6">
        <v>2914.69</v>
      </c>
      <c r="J2458" s="6">
        <v>2914.69</v>
      </c>
      <c r="K2458" s="37" t="s">
        <v>4035</v>
      </c>
      <c r="L2458" s="119"/>
      <c r="M2458" s="3"/>
    </row>
    <row r="2459" spans="1:13" s="4" customFormat="1" ht="51" x14ac:dyDescent="0.25">
      <c r="A2459" s="4" t="s">
        <v>4094</v>
      </c>
      <c r="B2459" s="4" t="s">
        <v>38</v>
      </c>
      <c r="C2459" s="37" t="s">
        <v>4035</v>
      </c>
      <c r="D2459" s="35">
        <v>2547</v>
      </c>
      <c r="E2459" s="4" t="s">
        <v>4095</v>
      </c>
      <c r="F2459" s="5">
        <v>39083</v>
      </c>
      <c r="H2459" s="4" t="s">
        <v>40</v>
      </c>
      <c r="I2459" s="6">
        <v>8171.66</v>
      </c>
      <c r="J2459" s="6">
        <v>8171.66</v>
      </c>
      <c r="K2459" s="37" t="s">
        <v>4035</v>
      </c>
      <c r="L2459" s="119"/>
      <c r="M2459" s="3"/>
    </row>
    <row r="2460" spans="1:13" s="4" customFormat="1" ht="38.25" x14ac:dyDescent="0.25">
      <c r="A2460" s="4" t="s">
        <v>4096</v>
      </c>
      <c r="B2460" s="4" t="s">
        <v>38</v>
      </c>
      <c r="C2460" s="37" t="s">
        <v>4035</v>
      </c>
      <c r="D2460" s="35">
        <v>2548</v>
      </c>
      <c r="E2460" s="4" t="s">
        <v>4097</v>
      </c>
      <c r="F2460" s="5">
        <v>39083</v>
      </c>
      <c r="H2460" s="4" t="s">
        <v>40</v>
      </c>
      <c r="I2460" s="6">
        <v>97127.31</v>
      </c>
      <c r="J2460" s="6">
        <v>97127.31</v>
      </c>
      <c r="K2460" s="37" t="s">
        <v>4035</v>
      </c>
      <c r="L2460" s="119"/>
      <c r="M2460" s="3"/>
    </row>
    <row r="2461" spans="1:13" s="4" customFormat="1" ht="38.25" x14ac:dyDescent="0.25">
      <c r="A2461" s="4" t="s">
        <v>4098</v>
      </c>
      <c r="B2461" s="4" t="s">
        <v>38</v>
      </c>
      <c r="C2461" s="37" t="s">
        <v>4035</v>
      </c>
      <c r="D2461" s="35">
        <v>2549</v>
      </c>
      <c r="E2461" s="4" t="s">
        <v>4099</v>
      </c>
      <c r="F2461" s="5">
        <v>39083</v>
      </c>
      <c r="G2461" s="5">
        <v>39813</v>
      </c>
      <c r="H2461" s="4" t="s">
        <v>40</v>
      </c>
      <c r="I2461" s="6">
        <v>2160</v>
      </c>
      <c r="J2461" s="6">
        <v>2160</v>
      </c>
      <c r="K2461" s="37" t="s">
        <v>4035</v>
      </c>
      <c r="L2461" s="119"/>
      <c r="M2461" s="3"/>
    </row>
    <row r="2462" spans="1:13" s="4" customFormat="1" x14ac:dyDescent="0.25">
      <c r="A2462" s="4" t="s">
        <v>4100</v>
      </c>
      <c r="B2462" s="4" t="s">
        <v>59</v>
      </c>
      <c r="C2462" s="37" t="s">
        <v>4035</v>
      </c>
      <c r="D2462" s="35">
        <v>2567</v>
      </c>
      <c r="E2462" s="4" t="s">
        <v>4101</v>
      </c>
      <c r="F2462" s="5">
        <v>39175</v>
      </c>
      <c r="G2462" s="5">
        <v>39379</v>
      </c>
      <c r="H2462" s="4" t="s">
        <v>40</v>
      </c>
      <c r="I2462" s="6">
        <v>5000</v>
      </c>
      <c r="J2462" s="6">
        <v>5000</v>
      </c>
      <c r="K2462" s="37" t="s">
        <v>4035</v>
      </c>
      <c r="L2462" s="119"/>
      <c r="M2462" s="3"/>
    </row>
    <row r="2463" spans="1:13" s="4" customFormat="1" ht="25.5" x14ac:dyDescent="0.25">
      <c r="A2463" s="4" t="s">
        <v>4102</v>
      </c>
      <c r="B2463" s="4" t="s">
        <v>59</v>
      </c>
      <c r="C2463" s="37" t="s">
        <v>4035</v>
      </c>
      <c r="D2463" s="35">
        <v>2569</v>
      </c>
      <c r="E2463" s="4" t="s">
        <v>4103</v>
      </c>
      <c r="F2463" s="5">
        <v>39119</v>
      </c>
      <c r="G2463" s="5">
        <v>39400</v>
      </c>
      <c r="H2463" s="4" t="s">
        <v>40</v>
      </c>
      <c r="I2463" s="6">
        <v>5000</v>
      </c>
      <c r="J2463" s="6">
        <v>5000</v>
      </c>
      <c r="K2463" s="37" t="s">
        <v>4035</v>
      </c>
      <c r="L2463" s="119"/>
      <c r="M2463" s="3"/>
    </row>
    <row r="2464" spans="1:13" s="4" customFormat="1" ht="25.5" x14ac:dyDescent="0.25">
      <c r="A2464" s="4" t="s">
        <v>4104</v>
      </c>
      <c r="B2464" s="4" t="s">
        <v>59</v>
      </c>
      <c r="C2464" s="37" t="s">
        <v>4035</v>
      </c>
      <c r="D2464" s="35">
        <v>2570</v>
      </c>
      <c r="E2464" s="4" t="s">
        <v>4105</v>
      </c>
      <c r="F2464" s="5">
        <v>39175</v>
      </c>
      <c r="G2464" s="5">
        <v>39409</v>
      </c>
      <c r="H2464" s="4" t="s">
        <v>40</v>
      </c>
      <c r="I2464" s="6">
        <v>3000</v>
      </c>
      <c r="J2464" s="6">
        <v>3000</v>
      </c>
      <c r="K2464" s="37" t="s">
        <v>4035</v>
      </c>
      <c r="L2464" s="119"/>
      <c r="M2464" s="3"/>
    </row>
    <row r="2465" spans="1:13" s="4" customFormat="1" x14ac:dyDescent="0.25">
      <c r="A2465" s="4" t="s">
        <v>4106</v>
      </c>
      <c r="B2465" s="4" t="s">
        <v>59</v>
      </c>
      <c r="C2465" s="37" t="s">
        <v>4035</v>
      </c>
      <c r="D2465" s="35">
        <v>2571</v>
      </c>
      <c r="E2465" s="4" t="s">
        <v>4107</v>
      </c>
      <c r="F2465" s="5">
        <v>39211</v>
      </c>
      <c r="G2465" s="5">
        <v>39245</v>
      </c>
      <c r="H2465" s="4" t="s">
        <v>40</v>
      </c>
      <c r="I2465" s="6">
        <v>10000</v>
      </c>
      <c r="J2465" s="6">
        <v>10000</v>
      </c>
      <c r="K2465" s="37" t="s">
        <v>4035</v>
      </c>
      <c r="L2465" s="119"/>
      <c r="M2465" s="3"/>
    </row>
    <row r="2466" spans="1:13" s="4" customFormat="1" x14ac:dyDescent="0.25">
      <c r="A2466" s="4" t="s">
        <v>4108</v>
      </c>
      <c r="B2466" s="4" t="s">
        <v>59</v>
      </c>
      <c r="C2466" s="37" t="s">
        <v>4035</v>
      </c>
      <c r="D2466" s="35">
        <v>2572</v>
      </c>
      <c r="E2466" s="4" t="s">
        <v>4109</v>
      </c>
      <c r="F2466" s="5">
        <v>39211</v>
      </c>
      <c r="G2466" s="5">
        <v>39420</v>
      </c>
      <c r="H2466" s="4" t="s">
        <v>40</v>
      </c>
      <c r="I2466" s="6">
        <v>3000</v>
      </c>
      <c r="J2466" s="6">
        <v>3000</v>
      </c>
      <c r="K2466" s="37" t="s">
        <v>4035</v>
      </c>
      <c r="L2466" s="119"/>
      <c r="M2466" s="3"/>
    </row>
    <row r="2467" spans="1:13" s="4" customFormat="1" ht="25.5" x14ac:dyDescent="0.25">
      <c r="A2467" s="4" t="s">
        <v>4110</v>
      </c>
      <c r="B2467" s="4" t="s">
        <v>59</v>
      </c>
      <c r="C2467" s="37" t="s">
        <v>4035</v>
      </c>
      <c r="D2467" s="35">
        <v>2605</v>
      </c>
      <c r="E2467" s="4" t="s">
        <v>4111</v>
      </c>
      <c r="F2467" s="5">
        <v>39211</v>
      </c>
      <c r="G2467" s="5">
        <v>39388</v>
      </c>
      <c r="H2467" s="4" t="s">
        <v>40</v>
      </c>
      <c r="I2467" s="6">
        <v>5000</v>
      </c>
      <c r="J2467" s="6">
        <v>5000</v>
      </c>
      <c r="K2467" s="37" t="s">
        <v>4035</v>
      </c>
      <c r="L2467" s="119"/>
      <c r="M2467" s="3"/>
    </row>
    <row r="2468" spans="1:13" s="4" customFormat="1" ht="25.5" x14ac:dyDescent="0.25">
      <c r="A2468" s="4" t="s">
        <v>4112</v>
      </c>
      <c r="B2468" s="4" t="s">
        <v>50</v>
      </c>
      <c r="C2468" s="37" t="s">
        <v>4035</v>
      </c>
      <c r="D2468" s="35">
        <v>2606</v>
      </c>
      <c r="E2468" s="4" t="s">
        <v>4113</v>
      </c>
      <c r="F2468" s="5">
        <v>39175</v>
      </c>
      <c r="G2468" s="5">
        <v>39289</v>
      </c>
      <c r="H2468" s="4" t="s">
        <v>40</v>
      </c>
      <c r="I2468" s="6">
        <v>150000</v>
      </c>
      <c r="J2468" s="6">
        <v>75000</v>
      </c>
      <c r="K2468" s="37" t="s">
        <v>4035</v>
      </c>
      <c r="L2468" s="119"/>
      <c r="M2468" s="3"/>
    </row>
    <row r="2469" spans="1:13" s="4" customFormat="1" ht="25.5" x14ac:dyDescent="0.25">
      <c r="A2469" s="4" t="s">
        <v>4114</v>
      </c>
      <c r="B2469" s="4" t="s">
        <v>59</v>
      </c>
      <c r="C2469" s="37" t="s">
        <v>4035</v>
      </c>
      <c r="D2469" s="35">
        <v>2607</v>
      </c>
      <c r="E2469" s="4" t="s">
        <v>4115</v>
      </c>
      <c r="F2469" s="5">
        <v>39274</v>
      </c>
      <c r="G2469" s="5">
        <v>39552</v>
      </c>
      <c r="H2469" s="4" t="s">
        <v>40</v>
      </c>
      <c r="I2469" s="6">
        <v>5000</v>
      </c>
      <c r="J2469" s="6">
        <v>5000</v>
      </c>
      <c r="K2469" s="37" t="s">
        <v>4035</v>
      </c>
      <c r="L2469" s="119"/>
      <c r="M2469" s="3"/>
    </row>
    <row r="2470" spans="1:13" s="4" customFormat="1" ht="25.5" x14ac:dyDescent="0.25">
      <c r="A2470" s="4" t="s">
        <v>4116</v>
      </c>
      <c r="B2470" s="4" t="s">
        <v>59</v>
      </c>
      <c r="C2470" s="37" t="s">
        <v>4035</v>
      </c>
      <c r="D2470" s="35">
        <v>2608</v>
      </c>
      <c r="E2470" s="4" t="s">
        <v>4117</v>
      </c>
      <c r="F2470" s="5">
        <v>39330</v>
      </c>
      <c r="G2470" s="5">
        <v>39549</v>
      </c>
      <c r="H2470" s="4" t="s">
        <v>40</v>
      </c>
      <c r="I2470" s="6">
        <v>10000</v>
      </c>
      <c r="J2470" s="6">
        <v>10000</v>
      </c>
      <c r="K2470" s="37" t="s">
        <v>4035</v>
      </c>
      <c r="L2470" s="119"/>
      <c r="M2470" s="3"/>
    </row>
    <row r="2471" spans="1:13" s="4" customFormat="1" ht="25.5" x14ac:dyDescent="0.25">
      <c r="A2471" s="4" t="s">
        <v>4118</v>
      </c>
      <c r="B2471" s="4" t="s">
        <v>59</v>
      </c>
      <c r="C2471" s="37" t="s">
        <v>4035</v>
      </c>
      <c r="D2471" s="35">
        <v>2610</v>
      </c>
      <c r="E2471" s="4" t="s">
        <v>4119</v>
      </c>
      <c r="F2471" s="5">
        <v>39274</v>
      </c>
      <c r="G2471" s="5">
        <v>39599</v>
      </c>
      <c r="H2471" s="4" t="s">
        <v>40</v>
      </c>
      <c r="I2471" s="6">
        <v>2500</v>
      </c>
      <c r="J2471" s="6">
        <v>2500</v>
      </c>
      <c r="K2471" s="37" t="s">
        <v>4035</v>
      </c>
      <c r="L2471" s="119"/>
      <c r="M2471" s="3"/>
    </row>
    <row r="2472" spans="1:13" s="4" customFormat="1" ht="25.5" x14ac:dyDescent="0.25">
      <c r="A2472" s="4" t="s">
        <v>4120</v>
      </c>
      <c r="B2472" s="4" t="s">
        <v>3116</v>
      </c>
      <c r="C2472" s="37" t="s">
        <v>4035</v>
      </c>
      <c r="D2472" s="35">
        <v>2611</v>
      </c>
      <c r="E2472" s="4" t="s">
        <v>4121</v>
      </c>
      <c r="F2472" s="5">
        <v>39274</v>
      </c>
      <c r="G2472" s="5">
        <v>39644</v>
      </c>
      <c r="H2472" s="4" t="s">
        <v>40</v>
      </c>
      <c r="I2472" s="6">
        <v>150000</v>
      </c>
      <c r="J2472" s="6">
        <v>75000</v>
      </c>
      <c r="K2472" s="37" t="s">
        <v>4035</v>
      </c>
      <c r="L2472" s="119"/>
      <c r="M2472" s="3"/>
    </row>
    <row r="2473" spans="1:13" s="4" customFormat="1" ht="25.5" x14ac:dyDescent="0.25">
      <c r="A2473" s="4" t="s">
        <v>4122</v>
      </c>
      <c r="B2473" s="4" t="s">
        <v>59</v>
      </c>
      <c r="C2473" s="37" t="s">
        <v>4035</v>
      </c>
      <c r="D2473" s="35">
        <v>2614</v>
      </c>
      <c r="E2473" s="4" t="s">
        <v>4123</v>
      </c>
      <c r="F2473" s="5">
        <v>39393</v>
      </c>
      <c r="G2473" s="5">
        <v>39599</v>
      </c>
      <c r="H2473" s="4" t="s">
        <v>40</v>
      </c>
      <c r="I2473" s="6">
        <v>4000</v>
      </c>
      <c r="J2473" s="6">
        <v>4000</v>
      </c>
      <c r="K2473" s="37" t="s">
        <v>4035</v>
      </c>
      <c r="L2473" s="119"/>
      <c r="M2473" s="3"/>
    </row>
    <row r="2474" spans="1:13" s="4" customFormat="1" ht="25.5" x14ac:dyDescent="0.25">
      <c r="A2474" s="4" t="s">
        <v>4124</v>
      </c>
      <c r="B2474" s="4" t="s">
        <v>90</v>
      </c>
      <c r="C2474" s="37" t="s">
        <v>4035</v>
      </c>
      <c r="D2474" s="35">
        <v>2615</v>
      </c>
      <c r="E2474" s="4" t="s">
        <v>4125</v>
      </c>
      <c r="F2474" s="5">
        <v>39274</v>
      </c>
      <c r="G2474" s="5">
        <v>39409</v>
      </c>
      <c r="H2474" s="4" t="s">
        <v>40</v>
      </c>
      <c r="I2474" s="6">
        <v>10000</v>
      </c>
      <c r="J2474" s="6">
        <v>5000</v>
      </c>
      <c r="K2474" s="37" t="s">
        <v>4035</v>
      </c>
      <c r="L2474" s="119"/>
      <c r="M2474" s="3"/>
    </row>
    <row r="2475" spans="1:13" s="4" customFormat="1" ht="25.5" x14ac:dyDescent="0.25">
      <c r="A2475" s="4" t="s">
        <v>4128</v>
      </c>
      <c r="B2475" s="4" t="s">
        <v>50</v>
      </c>
      <c r="C2475" s="37" t="s">
        <v>4035</v>
      </c>
      <c r="D2475" s="35">
        <v>2618</v>
      </c>
      <c r="E2475" s="4" t="s">
        <v>4129</v>
      </c>
      <c r="F2475" s="5">
        <v>39119</v>
      </c>
      <c r="G2475" s="5">
        <v>39426</v>
      </c>
      <c r="H2475" s="4" t="s">
        <v>40</v>
      </c>
      <c r="I2475" s="6">
        <v>70000</v>
      </c>
      <c r="J2475" s="6">
        <v>35000</v>
      </c>
      <c r="K2475" s="37" t="s">
        <v>4035</v>
      </c>
      <c r="L2475" s="119"/>
      <c r="M2475" s="3"/>
    </row>
    <row r="2476" spans="1:13" s="4" customFormat="1" ht="25.5" x14ac:dyDescent="0.25">
      <c r="A2476" s="4" t="s">
        <v>4130</v>
      </c>
      <c r="B2476" s="4" t="s">
        <v>50</v>
      </c>
      <c r="C2476" s="37" t="s">
        <v>4035</v>
      </c>
      <c r="D2476" s="35">
        <v>2620</v>
      </c>
      <c r="E2476" s="4" t="s">
        <v>4131</v>
      </c>
      <c r="F2476" s="5">
        <v>39393</v>
      </c>
      <c r="G2476" s="5">
        <v>39507</v>
      </c>
      <c r="H2476" s="4" t="s">
        <v>40</v>
      </c>
      <c r="I2476" s="6">
        <v>95000</v>
      </c>
      <c r="J2476" s="6">
        <v>47500</v>
      </c>
      <c r="K2476" s="37" t="s">
        <v>4035</v>
      </c>
      <c r="L2476" s="119"/>
      <c r="M2476" s="3"/>
    </row>
    <row r="2477" spans="1:13" s="4" customFormat="1" ht="25.5" x14ac:dyDescent="0.25">
      <c r="A2477" s="4" t="s">
        <v>4132</v>
      </c>
      <c r="B2477" s="4" t="s">
        <v>50</v>
      </c>
      <c r="C2477" s="37" t="s">
        <v>4035</v>
      </c>
      <c r="D2477" s="35">
        <v>2621</v>
      </c>
      <c r="E2477" s="4" t="s">
        <v>4133</v>
      </c>
      <c r="F2477" s="5">
        <v>39540</v>
      </c>
      <c r="G2477" s="5">
        <v>39615</v>
      </c>
      <c r="H2477" s="4" t="s">
        <v>40</v>
      </c>
      <c r="I2477" s="6">
        <v>10000</v>
      </c>
      <c r="J2477" s="6">
        <v>5000</v>
      </c>
      <c r="K2477" s="37" t="s">
        <v>4035</v>
      </c>
      <c r="L2477" s="119"/>
      <c r="M2477" s="3"/>
    </row>
    <row r="2478" spans="1:13" s="4" customFormat="1" ht="25.5" x14ac:dyDescent="0.25">
      <c r="A2478" s="4" t="s">
        <v>4134</v>
      </c>
      <c r="B2478" s="4" t="s">
        <v>59</v>
      </c>
      <c r="C2478" s="37" t="s">
        <v>4035</v>
      </c>
      <c r="D2478" s="35">
        <v>2622</v>
      </c>
      <c r="E2478" s="4" t="s">
        <v>4135</v>
      </c>
      <c r="F2478" s="5">
        <v>39603</v>
      </c>
      <c r="G2478" s="5">
        <v>39885</v>
      </c>
      <c r="H2478" s="4" t="s">
        <v>40</v>
      </c>
      <c r="I2478" s="6">
        <v>5000</v>
      </c>
      <c r="J2478" s="6">
        <v>5000</v>
      </c>
      <c r="K2478" s="37" t="s">
        <v>4035</v>
      </c>
      <c r="L2478" s="119"/>
      <c r="M2478" s="3"/>
    </row>
    <row r="2479" spans="1:13" s="4" customFormat="1" ht="25.5" x14ac:dyDescent="0.25">
      <c r="A2479" s="4" t="s">
        <v>4136</v>
      </c>
      <c r="B2479" s="4" t="s">
        <v>59</v>
      </c>
      <c r="C2479" s="37" t="s">
        <v>4035</v>
      </c>
      <c r="D2479" s="35">
        <v>2623</v>
      </c>
      <c r="E2479" s="4" t="s">
        <v>4137</v>
      </c>
      <c r="F2479" s="5">
        <v>39603</v>
      </c>
      <c r="G2479" s="5">
        <v>39842</v>
      </c>
      <c r="H2479" s="4" t="s">
        <v>40</v>
      </c>
      <c r="I2479" s="6">
        <v>5000</v>
      </c>
      <c r="J2479" s="6">
        <v>5000</v>
      </c>
      <c r="K2479" s="37" t="s">
        <v>4035</v>
      </c>
      <c r="L2479" s="119"/>
      <c r="M2479" s="3"/>
    </row>
    <row r="2480" spans="1:13" s="4" customFormat="1" ht="25.5" x14ac:dyDescent="0.25">
      <c r="A2480" s="4" t="s">
        <v>4138</v>
      </c>
      <c r="B2480" s="4" t="s">
        <v>90</v>
      </c>
      <c r="C2480" s="37" t="s">
        <v>4035</v>
      </c>
      <c r="D2480" s="35">
        <v>2624</v>
      </c>
      <c r="E2480" s="4" t="s">
        <v>4139</v>
      </c>
      <c r="F2480" s="5">
        <v>39484</v>
      </c>
      <c r="H2480" s="4" t="s">
        <v>40</v>
      </c>
      <c r="I2480" s="6">
        <v>10000</v>
      </c>
      <c r="J2480" s="6">
        <v>5000</v>
      </c>
      <c r="K2480" s="37" t="s">
        <v>4035</v>
      </c>
      <c r="L2480" s="119"/>
      <c r="M2480" s="3"/>
    </row>
    <row r="2481" spans="1:13" s="4" customFormat="1" ht="25.5" x14ac:dyDescent="0.25">
      <c r="A2481" s="4" t="s">
        <v>4140</v>
      </c>
      <c r="B2481" s="4" t="s">
        <v>59</v>
      </c>
      <c r="C2481" s="37" t="s">
        <v>4035</v>
      </c>
      <c r="D2481" s="35">
        <v>2625</v>
      </c>
      <c r="E2481" s="4" t="s">
        <v>4141</v>
      </c>
      <c r="F2481" s="5">
        <v>39757</v>
      </c>
      <c r="G2481" s="5">
        <v>39973</v>
      </c>
      <c r="H2481" s="4" t="s">
        <v>40</v>
      </c>
      <c r="I2481" s="6">
        <v>7500</v>
      </c>
      <c r="J2481" s="6">
        <v>7500</v>
      </c>
      <c r="K2481" s="37" t="s">
        <v>4035</v>
      </c>
      <c r="L2481" s="119"/>
      <c r="M2481" s="3"/>
    </row>
    <row r="2482" spans="1:13" s="4" customFormat="1" ht="38.25" x14ac:dyDescent="0.25">
      <c r="A2482" s="4" t="s">
        <v>4142</v>
      </c>
      <c r="B2482" s="4" t="s">
        <v>50</v>
      </c>
      <c r="C2482" s="37" t="s">
        <v>4035</v>
      </c>
      <c r="D2482" s="35">
        <v>2626</v>
      </c>
      <c r="E2482" s="4" t="s">
        <v>4143</v>
      </c>
      <c r="F2482" s="5">
        <v>39757</v>
      </c>
      <c r="G2482" s="5">
        <v>40008</v>
      </c>
      <c r="H2482" s="4" t="s">
        <v>40</v>
      </c>
      <c r="I2482" s="6">
        <v>110000</v>
      </c>
      <c r="J2482" s="6">
        <v>55000</v>
      </c>
      <c r="K2482" s="37" t="s">
        <v>4035</v>
      </c>
      <c r="L2482" s="119"/>
      <c r="M2482" s="3"/>
    </row>
    <row r="2483" spans="1:13" s="4" customFormat="1" ht="25.5" x14ac:dyDescent="0.25">
      <c r="A2483" s="4" t="s">
        <v>4144</v>
      </c>
      <c r="B2483" s="4" t="s">
        <v>59</v>
      </c>
      <c r="C2483" s="37" t="s">
        <v>4035</v>
      </c>
      <c r="D2483" s="35">
        <v>2627</v>
      </c>
      <c r="E2483" s="4" t="s">
        <v>4145</v>
      </c>
      <c r="F2483" s="5">
        <v>39792</v>
      </c>
      <c r="G2483" s="5">
        <v>39993</v>
      </c>
      <c r="H2483" s="4" t="s">
        <v>40</v>
      </c>
      <c r="I2483" s="6">
        <v>12000</v>
      </c>
      <c r="J2483" s="6">
        <v>12000</v>
      </c>
      <c r="K2483" s="37" t="s">
        <v>4035</v>
      </c>
      <c r="L2483" s="119"/>
      <c r="M2483" s="3"/>
    </row>
    <row r="2484" spans="1:13" s="4" customFormat="1" ht="38.25" x14ac:dyDescent="0.25">
      <c r="A2484" s="4" t="s">
        <v>4146</v>
      </c>
      <c r="B2484" s="4" t="s">
        <v>38</v>
      </c>
      <c r="C2484" s="37" t="s">
        <v>4035</v>
      </c>
      <c r="D2484" s="35">
        <v>2978</v>
      </c>
      <c r="E2484" s="4" t="s">
        <v>4147</v>
      </c>
      <c r="F2484" s="5">
        <v>39083</v>
      </c>
      <c r="H2484" s="4" t="s">
        <v>40</v>
      </c>
      <c r="I2484" s="6">
        <v>4300</v>
      </c>
      <c r="J2484" s="6">
        <v>4300</v>
      </c>
      <c r="K2484" s="37" t="s">
        <v>4035</v>
      </c>
      <c r="L2484" s="119"/>
      <c r="M2484" s="3"/>
    </row>
    <row r="2485" spans="1:13" s="4" customFormat="1" ht="25.5" x14ac:dyDescent="0.25">
      <c r="A2485" s="4" t="s">
        <v>4148</v>
      </c>
      <c r="B2485" s="4" t="s">
        <v>50</v>
      </c>
      <c r="C2485" s="37" t="s">
        <v>4035</v>
      </c>
      <c r="D2485" s="35">
        <v>4679</v>
      </c>
      <c r="E2485" s="4" t="s">
        <v>4149</v>
      </c>
      <c r="F2485" s="5">
        <v>39694</v>
      </c>
      <c r="G2485" s="5">
        <v>39932</v>
      </c>
      <c r="H2485" s="4" t="s">
        <v>40</v>
      </c>
      <c r="I2485" s="6">
        <v>18000</v>
      </c>
      <c r="J2485" s="6">
        <v>9000</v>
      </c>
      <c r="K2485" s="37" t="s">
        <v>4035</v>
      </c>
      <c r="L2485" s="119"/>
      <c r="M2485" s="3"/>
    </row>
    <row r="2486" spans="1:13" s="4" customFormat="1" ht="25.5" x14ac:dyDescent="0.25">
      <c r="A2486" s="4" t="s">
        <v>4150</v>
      </c>
      <c r="B2486" s="4" t="s">
        <v>59</v>
      </c>
      <c r="C2486" s="37" t="s">
        <v>4035</v>
      </c>
      <c r="D2486" s="35">
        <v>4683</v>
      </c>
      <c r="E2486" s="4" t="s">
        <v>4151</v>
      </c>
      <c r="F2486" s="5">
        <v>39904</v>
      </c>
      <c r="H2486" s="4" t="s">
        <v>40</v>
      </c>
      <c r="I2486" s="6">
        <v>22500</v>
      </c>
      <c r="J2486" s="6">
        <v>22500</v>
      </c>
      <c r="K2486" s="37" t="s">
        <v>4035</v>
      </c>
      <c r="L2486" s="119"/>
      <c r="M2486" s="3"/>
    </row>
    <row r="2487" spans="1:13" s="4" customFormat="1" ht="25.5" x14ac:dyDescent="0.25">
      <c r="A2487" s="4" t="s">
        <v>4152</v>
      </c>
      <c r="B2487" s="4" t="s">
        <v>59</v>
      </c>
      <c r="C2487" s="37" t="s">
        <v>4035</v>
      </c>
      <c r="D2487" s="35">
        <v>4684</v>
      </c>
      <c r="E2487" s="4" t="s">
        <v>4153</v>
      </c>
      <c r="F2487" s="5">
        <v>39876</v>
      </c>
      <c r="G2487" s="5">
        <v>40164</v>
      </c>
      <c r="H2487" s="4" t="s">
        <v>40</v>
      </c>
      <c r="I2487" s="6">
        <v>12000</v>
      </c>
      <c r="J2487" s="6">
        <v>12000</v>
      </c>
      <c r="K2487" s="37" t="s">
        <v>4035</v>
      </c>
      <c r="L2487" s="119"/>
      <c r="M2487" s="3"/>
    </row>
    <row r="2488" spans="1:13" s="4" customFormat="1" ht="25.5" x14ac:dyDescent="0.25">
      <c r="A2488" s="4" t="s">
        <v>4154</v>
      </c>
      <c r="B2488" s="4" t="s">
        <v>59</v>
      </c>
      <c r="C2488" s="37" t="s">
        <v>4035</v>
      </c>
      <c r="D2488" s="35">
        <v>4685</v>
      </c>
      <c r="E2488" s="4" t="s">
        <v>4155</v>
      </c>
      <c r="F2488" s="5">
        <v>39876</v>
      </c>
      <c r="G2488" s="5">
        <v>40154</v>
      </c>
      <c r="H2488" s="4" t="s">
        <v>40</v>
      </c>
      <c r="I2488" s="6">
        <v>7000</v>
      </c>
      <c r="J2488" s="6">
        <v>7000</v>
      </c>
      <c r="K2488" s="37" t="s">
        <v>4035</v>
      </c>
      <c r="L2488" s="119"/>
      <c r="M2488" s="3"/>
    </row>
    <row r="2489" spans="1:13" s="4" customFormat="1" ht="25.5" x14ac:dyDescent="0.25">
      <c r="A2489" s="4" t="s">
        <v>4156</v>
      </c>
      <c r="B2489" s="4" t="s">
        <v>3116</v>
      </c>
      <c r="C2489" s="37" t="s">
        <v>4035</v>
      </c>
      <c r="D2489" s="35">
        <v>4686</v>
      </c>
      <c r="E2489" s="4" t="s">
        <v>4155</v>
      </c>
      <c r="F2489" s="5">
        <v>39876</v>
      </c>
      <c r="G2489" s="5">
        <v>40008</v>
      </c>
      <c r="H2489" s="4" t="s">
        <v>40</v>
      </c>
      <c r="I2489" s="6">
        <v>136000</v>
      </c>
      <c r="J2489" s="6">
        <v>68000</v>
      </c>
      <c r="K2489" s="37" t="s">
        <v>4035</v>
      </c>
      <c r="L2489" s="119"/>
      <c r="M2489" s="3"/>
    </row>
    <row r="2490" spans="1:13" s="4" customFormat="1" ht="25.5" x14ac:dyDescent="0.25">
      <c r="A2490" s="4" t="s">
        <v>4157</v>
      </c>
      <c r="B2490" s="4" t="s">
        <v>59</v>
      </c>
      <c r="C2490" s="37" t="s">
        <v>4035</v>
      </c>
      <c r="D2490" s="35">
        <v>4687</v>
      </c>
      <c r="E2490" s="4" t="s">
        <v>4158</v>
      </c>
      <c r="F2490" s="5">
        <v>39995</v>
      </c>
      <c r="H2490" s="4" t="s">
        <v>40</v>
      </c>
      <c r="I2490" s="6">
        <v>3750</v>
      </c>
      <c r="J2490" s="6">
        <v>3750</v>
      </c>
      <c r="K2490" s="37" t="s">
        <v>4035</v>
      </c>
      <c r="L2490" s="119"/>
      <c r="M2490" s="3"/>
    </row>
    <row r="2491" spans="1:13" s="4" customFormat="1" ht="25.5" x14ac:dyDescent="0.25">
      <c r="A2491" s="4" t="s">
        <v>4159</v>
      </c>
      <c r="B2491" s="4" t="s">
        <v>50</v>
      </c>
      <c r="C2491" s="37" t="s">
        <v>4035</v>
      </c>
      <c r="D2491" s="35">
        <v>4688</v>
      </c>
      <c r="E2491" s="4" t="s">
        <v>4160</v>
      </c>
      <c r="F2491" s="5">
        <v>39876</v>
      </c>
      <c r="H2491" s="4" t="s">
        <v>40</v>
      </c>
      <c r="I2491" s="6">
        <v>44164</v>
      </c>
      <c r="J2491" s="6">
        <v>22082</v>
      </c>
      <c r="K2491" s="37" t="s">
        <v>4035</v>
      </c>
      <c r="L2491" s="119"/>
      <c r="M2491" s="3"/>
    </row>
    <row r="2492" spans="1:13" s="4" customFormat="1" ht="76.5" x14ac:dyDescent="0.25">
      <c r="A2492" s="4" t="s">
        <v>4161</v>
      </c>
      <c r="B2492" s="4" t="s">
        <v>59</v>
      </c>
      <c r="C2492" s="37" t="s">
        <v>4035</v>
      </c>
      <c r="D2492" s="35">
        <v>4690</v>
      </c>
      <c r="E2492" s="7" t="s">
        <v>4162</v>
      </c>
      <c r="F2492" s="5">
        <v>39995</v>
      </c>
      <c r="H2492" s="4" t="s">
        <v>40</v>
      </c>
      <c r="I2492" s="6">
        <v>19000</v>
      </c>
      <c r="J2492" s="6">
        <v>19000</v>
      </c>
      <c r="K2492" s="37" t="s">
        <v>4035</v>
      </c>
      <c r="L2492" s="119"/>
      <c r="M2492" s="3"/>
    </row>
    <row r="2493" spans="1:13" s="4" customFormat="1" ht="25.5" x14ac:dyDescent="0.25">
      <c r="A2493" s="4" t="s">
        <v>4163</v>
      </c>
      <c r="B2493" s="4" t="s">
        <v>59</v>
      </c>
      <c r="C2493" s="37" t="s">
        <v>4035</v>
      </c>
      <c r="D2493" s="35">
        <v>4691</v>
      </c>
      <c r="E2493" s="4" t="s">
        <v>4164</v>
      </c>
      <c r="F2493" s="5">
        <v>40058</v>
      </c>
      <c r="H2493" s="4" t="s">
        <v>40</v>
      </c>
      <c r="I2493" s="6">
        <v>15000</v>
      </c>
      <c r="J2493" s="6">
        <v>15000</v>
      </c>
      <c r="K2493" s="37" t="s">
        <v>4035</v>
      </c>
      <c r="L2493" s="119"/>
      <c r="M2493" s="3"/>
    </row>
    <row r="2494" spans="1:13" s="4" customFormat="1" ht="114.75" x14ac:dyDescent="0.25">
      <c r="A2494" s="4" t="s">
        <v>4165</v>
      </c>
      <c r="B2494" s="4" t="s">
        <v>59</v>
      </c>
      <c r="C2494" s="37" t="s">
        <v>4035</v>
      </c>
      <c r="D2494" s="35">
        <v>4693</v>
      </c>
      <c r="E2494" s="7" t="s">
        <v>4166</v>
      </c>
      <c r="F2494" s="5">
        <v>40058</v>
      </c>
      <c r="H2494" s="4" t="s">
        <v>40</v>
      </c>
      <c r="I2494" s="6">
        <v>5000</v>
      </c>
      <c r="J2494" s="6">
        <v>5000</v>
      </c>
      <c r="K2494" s="37" t="s">
        <v>4035</v>
      </c>
      <c r="L2494" s="119"/>
      <c r="M2494" s="3"/>
    </row>
    <row r="2495" spans="1:13" s="4" customFormat="1" ht="25.5" x14ac:dyDescent="0.25">
      <c r="A2495" s="4" t="s">
        <v>4167</v>
      </c>
      <c r="B2495" s="4" t="s">
        <v>50</v>
      </c>
      <c r="C2495" s="37" t="s">
        <v>4035</v>
      </c>
      <c r="D2495" s="35">
        <v>4695</v>
      </c>
      <c r="E2495" s="4" t="s">
        <v>4168</v>
      </c>
      <c r="F2495" s="5">
        <v>39814</v>
      </c>
      <c r="G2495" s="5">
        <v>40151</v>
      </c>
      <c r="H2495" s="4" t="s">
        <v>40</v>
      </c>
      <c r="I2495" s="6">
        <v>39860</v>
      </c>
      <c r="J2495" s="6">
        <v>19930</v>
      </c>
      <c r="K2495" s="37" t="s">
        <v>4035</v>
      </c>
      <c r="L2495" s="119"/>
      <c r="M2495" s="3"/>
    </row>
    <row r="2496" spans="1:13" s="4" customFormat="1" ht="51" x14ac:dyDescent="0.25">
      <c r="A2496" s="4" t="s">
        <v>4169</v>
      </c>
      <c r="B2496" s="4" t="s">
        <v>183</v>
      </c>
      <c r="C2496" s="37" t="s">
        <v>4035</v>
      </c>
      <c r="D2496" s="35">
        <v>6996</v>
      </c>
      <c r="E2496" s="4" t="s">
        <v>4170</v>
      </c>
      <c r="F2496" s="5">
        <v>40359</v>
      </c>
      <c r="H2496" s="4" t="s">
        <v>40</v>
      </c>
      <c r="I2496" s="6">
        <v>10000</v>
      </c>
      <c r="J2496" s="6">
        <v>5000</v>
      </c>
      <c r="K2496" s="37" t="s">
        <v>4035</v>
      </c>
      <c r="L2496" s="119"/>
      <c r="M2496" s="3"/>
    </row>
    <row r="2497" spans="1:13" s="4" customFormat="1" ht="25.5" x14ac:dyDescent="0.25">
      <c r="A2497" s="4" t="s">
        <v>4171</v>
      </c>
      <c r="B2497" s="4" t="s">
        <v>183</v>
      </c>
      <c r="C2497" s="37" t="s">
        <v>4035</v>
      </c>
      <c r="D2497" s="35">
        <v>6997</v>
      </c>
      <c r="E2497" s="4" t="s">
        <v>4172</v>
      </c>
      <c r="F2497" s="5">
        <v>40359</v>
      </c>
      <c r="H2497" s="4" t="s">
        <v>40</v>
      </c>
      <c r="I2497" s="6">
        <v>5000</v>
      </c>
      <c r="J2497" s="6">
        <v>2500</v>
      </c>
      <c r="K2497" s="37" t="s">
        <v>4035</v>
      </c>
      <c r="L2497" s="119"/>
      <c r="M2497" s="3"/>
    </row>
    <row r="2498" spans="1:13" s="4" customFormat="1" ht="114.75" x14ac:dyDescent="0.25">
      <c r="A2498" s="4" t="s">
        <v>4173</v>
      </c>
      <c r="B2498" s="4" t="s">
        <v>183</v>
      </c>
      <c r="C2498" s="37" t="s">
        <v>4035</v>
      </c>
      <c r="D2498" s="35">
        <v>6998</v>
      </c>
      <c r="E2498" s="7" t="s">
        <v>4174</v>
      </c>
      <c r="F2498" s="5">
        <v>40359</v>
      </c>
      <c r="H2498" s="4" t="s">
        <v>40</v>
      </c>
      <c r="I2498" s="6">
        <v>6000</v>
      </c>
      <c r="J2498" s="6">
        <v>3000</v>
      </c>
      <c r="K2498" s="37" t="s">
        <v>4035</v>
      </c>
      <c r="L2498" s="119"/>
      <c r="M2498" s="3"/>
    </row>
    <row r="2499" spans="1:13" s="4" customFormat="1" ht="89.25" x14ac:dyDescent="0.25">
      <c r="A2499" s="4" t="s">
        <v>4175</v>
      </c>
      <c r="B2499" s="4" t="s">
        <v>183</v>
      </c>
      <c r="C2499" s="37" t="s">
        <v>4035</v>
      </c>
      <c r="D2499" s="35">
        <v>6999</v>
      </c>
      <c r="E2499" s="7" t="s">
        <v>4176</v>
      </c>
      <c r="F2499" s="5">
        <v>40304</v>
      </c>
      <c r="H2499" s="4" t="s">
        <v>40</v>
      </c>
      <c r="I2499" s="6">
        <v>10000</v>
      </c>
      <c r="J2499" s="6">
        <v>5000</v>
      </c>
      <c r="K2499" s="37" t="s">
        <v>4035</v>
      </c>
      <c r="L2499" s="119"/>
      <c r="M2499" s="3"/>
    </row>
    <row r="2500" spans="1:13" s="4" customFormat="1" ht="25.5" x14ac:dyDescent="0.25">
      <c r="A2500" s="4" t="s">
        <v>4177</v>
      </c>
      <c r="B2500" s="4" t="s">
        <v>90</v>
      </c>
      <c r="C2500" s="37" t="s">
        <v>4035</v>
      </c>
      <c r="D2500" s="35">
        <v>7001</v>
      </c>
      <c r="E2500" s="4" t="s">
        <v>4178</v>
      </c>
      <c r="F2500" s="5">
        <v>39995</v>
      </c>
      <c r="H2500" s="4" t="s">
        <v>40</v>
      </c>
      <c r="I2500" s="6">
        <v>10200</v>
      </c>
      <c r="J2500" s="6">
        <v>5100</v>
      </c>
      <c r="K2500" s="37" t="s">
        <v>4035</v>
      </c>
      <c r="L2500" s="119"/>
      <c r="M2500" s="3"/>
    </row>
    <row r="2501" spans="1:13" s="4" customFormat="1" ht="25.5" x14ac:dyDescent="0.25">
      <c r="A2501" s="4" t="s">
        <v>4179</v>
      </c>
      <c r="B2501" s="4" t="s">
        <v>90</v>
      </c>
      <c r="C2501" s="37" t="s">
        <v>4035</v>
      </c>
      <c r="D2501" s="35">
        <v>7003</v>
      </c>
      <c r="E2501" s="4" t="s">
        <v>4180</v>
      </c>
      <c r="F2501" s="5">
        <v>40058</v>
      </c>
      <c r="H2501" s="4" t="s">
        <v>40</v>
      </c>
      <c r="I2501" s="6">
        <v>10200</v>
      </c>
      <c r="J2501" s="6">
        <v>5100</v>
      </c>
      <c r="K2501" s="37" t="s">
        <v>4035</v>
      </c>
      <c r="L2501" s="119"/>
      <c r="M2501" s="3"/>
    </row>
    <row r="2502" spans="1:13" s="4" customFormat="1" ht="25.5" x14ac:dyDescent="0.25">
      <c r="A2502" s="4" t="s">
        <v>4181</v>
      </c>
      <c r="B2502" s="4" t="s">
        <v>90</v>
      </c>
      <c r="C2502" s="37" t="s">
        <v>4035</v>
      </c>
      <c r="D2502" s="35">
        <v>7004</v>
      </c>
      <c r="E2502" s="4" t="s">
        <v>4182</v>
      </c>
      <c r="F2502" s="5">
        <v>40128</v>
      </c>
      <c r="H2502" s="4" t="s">
        <v>40</v>
      </c>
      <c r="I2502" s="6">
        <v>10200</v>
      </c>
      <c r="J2502" s="6">
        <v>5100</v>
      </c>
      <c r="K2502" s="37" t="s">
        <v>4035</v>
      </c>
      <c r="L2502" s="119"/>
      <c r="M2502" s="3"/>
    </row>
    <row r="2503" spans="1:13" s="4" customFormat="1" ht="89.25" x14ac:dyDescent="0.25">
      <c r="A2503" s="4" t="s">
        <v>4183</v>
      </c>
      <c r="B2503" s="4" t="s">
        <v>183</v>
      </c>
      <c r="C2503" s="37" t="s">
        <v>4035</v>
      </c>
      <c r="D2503" s="35">
        <v>7005</v>
      </c>
      <c r="E2503" s="7" t="s">
        <v>4184</v>
      </c>
      <c r="F2503" s="5">
        <v>40422</v>
      </c>
      <c r="H2503" s="4" t="s">
        <v>40</v>
      </c>
      <c r="I2503" s="6">
        <v>11550</v>
      </c>
      <c r="J2503" s="6">
        <v>5775</v>
      </c>
      <c r="K2503" s="37" t="s">
        <v>4035</v>
      </c>
      <c r="L2503" s="119"/>
      <c r="M2503" s="3"/>
    </row>
    <row r="2504" spans="1:13" s="4" customFormat="1" ht="89.25" x14ac:dyDescent="0.25">
      <c r="A2504" s="4" t="s">
        <v>4185</v>
      </c>
      <c r="B2504" s="4" t="s">
        <v>183</v>
      </c>
      <c r="C2504" s="37" t="s">
        <v>4035</v>
      </c>
      <c r="D2504" s="35">
        <v>7610</v>
      </c>
      <c r="E2504" s="7" t="s">
        <v>4186</v>
      </c>
      <c r="F2504" s="5">
        <v>40156</v>
      </c>
      <c r="G2504" s="5">
        <v>40359</v>
      </c>
      <c r="H2504" s="4" t="s">
        <v>40</v>
      </c>
      <c r="I2504" s="6">
        <v>12500</v>
      </c>
      <c r="J2504" s="6">
        <v>12500</v>
      </c>
      <c r="K2504" s="37" t="s">
        <v>4035</v>
      </c>
      <c r="L2504" s="119"/>
      <c r="M2504" s="3"/>
    </row>
    <row r="2505" spans="1:13" s="4" customFormat="1" ht="102" x14ac:dyDescent="0.25">
      <c r="A2505" s="4" t="s">
        <v>4189</v>
      </c>
      <c r="B2505" s="4" t="s">
        <v>183</v>
      </c>
      <c r="C2505" s="37" t="s">
        <v>4035</v>
      </c>
      <c r="D2505" s="35">
        <v>7612</v>
      </c>
      <c r="E2505" s="7" t="s">
        <v>4190</v>
      </c>
      <c r="F2505" s="5">
        <v>40304</v>
      </c>
      <c r="G2505" s="5">
        <v>40498</v>
      </c>
      <c r="H2505" s="4" t="s">
        <v>40</v>
      </c>
      <c r="I2505" s="6">
        <v>7500</v>
      </c>
      <c r="J2505" s="6">
        <v>7500</v>
      </c>
      <c r="K2505" s="37" t="s">
        <v>4035</v>
      </c>
      <c r="L2505" s="119"/>
      <c r="M2505" s="3"/>
    </row>
    <row r="2506" spans="1:13" s="4" customFormat="1" ht="102" x14ac:dyDescent="0.25">
      <c r="A2506" s="4" t="s">
        <v>4191</v>
      </c>
      <c r="B2506" s="4" t="s">
        <v>183</v>
      </c>
      <c r="C2506" s="37" t="s">
        <v>4035</v>
      </c>
      <c r="D2506" s="35">
        <v>7613</v>
      </c>
      <c r="E2506" s="7" t="s">
        <v>4192</v>
      </c>
      <c r="F2506" s="5">
        <v>40485</v>
      </c>
      <c r="H2506" s="4" t="s">
        <v>40</v>
      </c>
      <c r="I2506" s="6">
        <v>10000</v>
      </c>
      <c r="J2506" s="6">
        <v>10000</v>
      </c>
      <c r="K2506" s="37" t="s">
        <v>4035</v>
      </c>
      <c r="L2506" s="119"/>
      <c r="M2506" s="3"/>
    </row>
    <row r="2507" spans="1:13" s="4" customFormat="1" ht="38.25" x14ac:dyDescent="0.25">
      <c r="A2507" s="4" t="s">
        <v>4193</v>
      </c>
      <c r="B2507" s="4" t="s">
        <v>183</v>
      </c>
      <c r="C2507" s="37" t="s">
        <v>4035</v>
      </c>
      <c r="D2507" s="35">
        <v>7614</v>
      </c>
      <c r="E2507" s="4" t="s">
        <v>4194</v>
      </c>
      <c r="F2507" s="5">
        <v>40359</v>
      </c>
      <c r="H2507" s="4" t="s">
        <v>40</v>
      </c>
      <c r="I2507" s="6">
        <v>10000</v>
      </c>
      <c r="J2507" s="6">
        <v>10000</v>
      </c>
      <c r="K2507" s="37" t="s">
        <v>4035</v>
      </c>
      <c r="L2507" s="119"/>
      <c r="M2507" s="3"/>
    </row>
    <row r="2508" spans="1:13" s="4" customFormat="1" ht="140.25" x14ac:dyDescent="0.25">
      <c r="A2508" s="4" t="s">
        <v>4195</v>
      </c>
      <c r="B2508" s="4" t="s">
        <v>183</v>
      </c>
      <c r="C2508" s="37" t="s">
        <v>4035</v>
      </c>
      <c r="D2508" s="35">
        <v>7615</v>
      </c>
      <c r="E2508" s="7" t="s">
        <v>4196</v>
      </c>
      <c r="F2508" s="5">
        <v>40422</v>
      </c>
      <c r="H2508" s="4" t="s">
        <v>40</v>
      </c>
      <c r="I2508" s="6">
        <v>10000</v>
      </c>
      <c r="J2508" s="6">
        <v>10000</v>
      </c>
      <c r="K2508" s="37" t="s">
        <v>4035</v>
      </c>
      <c r="L2508" s="119"/>
      <c r="M2508" s="3"/>
    </row>
    <row r="2509" spans="1:13" s="4" customFormat="1" ht="76.5" x14ac:dyDescent="0.25">
      <c r="A2509" s="4" t="s">
        <v>4197</v>
      </c>
      <c r="B2509" s="4" t="s">
        <v>183</v>
      </c>
      <c r="C2509" s="37" t="s">
        <v>4035</v>
      </c>
      <c r="D2509" s="35">
        <v>7616</v>
      </c>
      <c r="E2509" s="4" t="s">
        <v>4198</v>
      </c>
      <c r="F2509" s="5">
        <v>40359</v>
      </c>
      <c r="H2509" s="4" t="s">
        <v>40</v>
      </c>
      <c r="I2509" s="6">
        <v>10000</v>
      </c>
      <c r="J2509" s="6">
        <v>10000</v>
      </c>
      <c r="K2509" s="37" t="s">
        <v>4035</v>
      </c>
      <c r="L2509" s="119"/>
      <c r="M2509" s="3"/>
    </row>
    <row r="2510" spans="1:13" s="4" customFormat="1" ht="63.75" x14ac:dyDescent="0.25">
      <c r="A2510" s="4" t="s">
        <v>4199</v>
      </c>
      <c r="B2510" s="4" t="s">
        <v>190</v>
      </c>
      <c r="C2510" s="37" t="s">
        <v>4035</v>
      </c>
      <c r="D2510" s="35">
        <v>7617</v>
      </c>
      <c r="E2510" s="4" t="s">
        <v>4200</v>
      </c>
      <c r="F2510" s="5">
        <v>40156</v>
      </c>
      <c r="G2510" s="5">
        <v>40464</v>
      </c>
      <c r="H2510" s="4" t="s">
        <v>40</v>
      </c>
      <c r="I2510" s="6">
        <v>828.5</v>
      </c>
      <c r="J2510" s="6">
        <v>414.25</v>
      </c>
      <c r="K2510" s="37" t="s">
        <v>4035</v>
      </c>
      <c r="L2510" s="119"/>
      <c r="M2510" s="3"/>
    </row>
    <row r="2511" spans="1:13" s="4" customFormat="1" ht="25.5" x14ac:dyDescent="0.25">
      <c r="A2511" s="4" t="s">
        <v>4201</v>
      </c>
      <c r="B2511" s="4" t="s">
        <v>183</v>
      </c>
      <c r="C2511" s="37" t="s">
        <v>4035</v>
      </c>
      <c r="D2511" s="35">
        <v>7618</v>
      </c>
      <c r="E2511" s="4" t="s">
        <v>4202</v>
      </c>
      <c r="F2511" s="5">
        <v>40485</v>
      </c>
      <c r="G2511" s="5">
        <v>40498</v>
      </c>
      <c r="H2511" s="4" t="s">
        <v>40</v>
      </c>
      <c r="I2511" s="6">
        <v>20000</v>
      </c>
      <c r="J2511" s="6">
        <v>20000</v>
      </c>
      <c r="K2511" s="37" t="s">
        <v>4035</v>
      </c>
      <c r="L2511" s="119"/>
      <c r="M2511" s="3"/>
    </row>
    <row r="2512" spans="1:13" s="4" customFormat="1" ht="76.5" x14ac:dyDescent="0.25">
      <c r="A2512" s="4" t="s">
        <v>4203</v>
      </c>
      <c r="B2512" s="4" t="s">
        <v>183</v>
      </c>
      <c r="C2512" s="37" t="s">
        <v>4035</v>
      </c>
      <c r="D2512" s="35">
        <v>7619</v>
      </c>
      <c r="E2512" s="4" t="s">
        <v>4204</v>
      </c>
      <c r="F2512" s="5">
        <v>40359</v>
      </c>
      <c r="H2512" s="4" t="s">
        <v>40</v>
      </c>
      <c r="I2512" s="6">
        <v>19809.5</v>
      </c>
      <c r="J2512" s="6">
        <v>19809.5</v>
      </c>
      <c r="K2512" s="37" t="s">
        <v>4035</v>
      </c>
      <c r="L2512" s="119"/>
      <c r="M2512" s="3"/>
    </row>
    <row r="2513" spans="1:13" s="4" customFormat="1" ht="38.25" x14ac:dyDescent="0.25">
      <c r="A2513" s="4" t="s">
        <v>4205</v>
      </c>
      <c r="B2513" s="4" t="s">
        <v>183</v>
      </c>
      <c r="C2513" s="37" t="s">
        <v>4035</v>
      </c>
      <c r="D2513" s="35">
        <v>7620</v>
      </c>
      <c r="E2513" s="4" t="s">
        <v>4206</v>
      </c>
      <c r="F2513" s="5">
        <v>40422</v>
      </c>
      <c r="H2513" s="4" t="s">
        <v>40</v>
      </c>
      <c r="I2513" s="6">
        <v>32500</v>
      </c>
      <c r="J2513" s="6">
        <v>20000</v>
      </c>
      <c r="K2513" s="37" t="s">
        <v>4035</v>
      </c>
      <c r="L2513" s="119"/>
      <c r="M2513" s="3"/>
    </row>
    <row r="2514" spans="1:13" s="4" customFormat="1" ht="25.5" x14ac:dyDescent="0.25">
      <c r="A2514" s="4" t="s">
        <v>4207</v>
      </c>
      <c r="B2514" s="4" t="s">
        <v>183</v>
      </c>
      <c r="C2514" s="37" t="s">
        <v>4035</v>
      </c>
      <c r="D2514" s="35">
        <v>7621</v>
      </c>
      <c r="E2514" s="4" t="s">
        <v>4208</v>
      </c>
      <c r="F2514" s="5">
        <v>40422</v>
      </c>
      <c r="G2514" s="5">
        <v>40522</v>
      </c>
      <c r="H2514" s="4" t="s">
        <v>40</v>
      </c>
      <c r="I2514" s="6">
        <v>18331</v>
      </c>
      <c r="J2514" s="6">
        <v>9165.5</v>
      </c>
      <c r="K2514" s="37" t="s">
        <v>4035</v>
      </c>
      <c r="L2514" s="119"/>
      <c r="M2514" s="3"/>
    </row>
    <row r="2515" spans="1:13" s="4" customFormat="1" ht="51" x14ac:dyDescent="0.25">
      <c r="A2515" s="4" t="s">
        <v>4209</v>
      </c>
      <c r="B2515" s="4" t="s">
        <v>183</v>
      </c>
      <c r="C2515" s="37" t="s">
        <v>4035</v>
      </c>
      <c r="D2515" s="35">
        <v>7622</v>
      </c>
      <c r="E2515" s="4" t="s">
        <v>4210</v>
      </c>
      <c r="F2515" s="5">
        <v>40485</v>
      </c>
      <c r="G2515" s="5">
        <v>40522</v>
      </c>
      <c r="H2515" s="4" t="s">
        <v>40</v>
      </c>
      <c r="I2515" s="6">
        <v>22500</v>
      </c>
      <c r="J2515" s="6">
        <v>22500</v>
      </c>
      <c r="K2515" s="37" t="s">
        <v>4035</v>
      </c>
      <c r="L2515" s="119"/>
      <c r="M2515" s="3"/>
    </row>
    <row r="2516" spans="1:13" s="4" customFormat="1" x14ac:dyDescent="0.25">
      <c r="A2516" s="4" t="s">
        <v>4211</v>
      </c>
      <c r="B2516" s="4" t="s">
        <v>183</v>
      </c>
      <c r="C2516" s="37" t="s">
        <v>4035</v>
      </c>
      <c r="D2516" s="35">
        <v>8878</v>
      </c>
      <c r="E2516" s="4" t="s">
        <v>4212</v>
      </c>
      <c r="F2516" s="5">
        <v>40359</v>
      </c>
      <c r="H2516" s="4" t="s">
        <v>40</v>
      </c>
      <c r="I2516" s="6">
        <v>5500</v>
      </c>
      <c r="J2516" s="6">
        <v>2750</v>
      </c>
      <c r="K2516" s="37" t="s">
        <v>4035</v>
      </c>
      <c r="L2516" s="119"/>
      <c r="M2516" s="3"/>
    </row>
    <row r="2517" spans="1:13" s="4" customFormat="1" ht="38.25" x14ac:dyDescent="0.25">
      <c r="A2517" s="4" t="s">
        <v>4213</v>
      </c>
      <c r="B2517" s="4" t="s">
        <v>183</v>
      </c>
      <c r="C2517" s="37" t="s">
        <v>4035</v>
      </c>
      <c r="D2517" s="35">
        <v>8879</v>
      </c>
      <c r="E2517" s="4" t="s">
        <v>4214</v>
      </c>
      <c r="F2517" s="5">
        <v>40849</v>
      </c>
      <c r="H2517" s="4" t="s">
        <v>40</v>
      </c>
      <c r="I2517" s="6">
        <v>43500</v>
      </c>
      <c r="J2517" s="6">
        <v>43500</v>
      </c>
      <c r="K2517" s="37" t="s">
        <v>4035</v>
      </c>
      <c r="L2517" s="119"/>
      <c r="M2517" s="3"/>
    </row>
    <row r="2518" spans="1:13" s="4" customFormat="1" ht="38.25" x14ac:dyDescent="0.25">
      <c r="A2518" s="4" t="s">
        <v>4215</v>
      </c>
      <c r="B2518" s="4" t="s">
        <v>183</v>
      </c>
      <c r="C2518" s="37" t="s">
        <v>4035</v>
      </c>
      <c r="D2518" s="35">
        <v>8880</v>
      </c>
      <c r="E2518" s="4" t="s">
        <v>4216</v>
      </c>
      <c r="F2518" s="5">
        <v>40721</v>
      </c>
      <c r="H2518" s="4" t="s">
        <v>40</v>
      </c>
      <c r="I2518" s="6">
        <v>15000</v>
      </c>
      <c r="J2518" s="6">
        <v>12500</v>
      </c>
      <c r="K2518" s="37" t="s">
        <v>4035</v>
      </c>
      <c r="L2518" s="119"/>
      <c r="M2518" s="3"/>
    </row>
    <row r="2519" spans="1:13" s="4" customFormat="1" ht="51" x14ac:dyDescent="0.25">
      <c r="A2519" s="4" t="s">
        <v>4217</v>
      </c>
      <c r="B2519" s="4" t="s">
        <v>190</v>
      </c>
      <c r="C2519" s="37" t="s">
        <v>4035</v>
      </c>
      <c r="D2519" s="35">
        <v>8881</v>
      </c>
      <c r="E2519" s="4" t="s">
        <v>4218</v>
      </c>
      <c r="F2519" s="5">
        <v>40604</v>
      </c>
      <c r="H2519" s="4" t="s">
        <v>40</v>
      </c>
      <c r="I2519" s="6">
        <v>20000</v>
      </c>
      <c r="J2519" s="6">
        <v>20000</v>
      </c>
      <c r="K2519" s="37" t="s">
        <v>4035</v>
      </c>
      <c r="L2519" s="119"/>
      <c r="M2519" s="3"/>
    </row>
    <row r="2520" spans="1:13" s="4" customFormat="1" ht="38.25" x14ac:dyDescent="0.25">
      <c r="A2520" s="4" t="s">
        <v>4219</v>
      </c>
      <c r="B2520" s="4" t="s">
        <v>183</v>
      </c>
      <c r="C2520" s="37" t="s">
        <v>4035</v>
      </c>
      <c r="D2520" s="35">
        <v>8882</v>
      </c>
      <c r="E2520" s="4" t="s">
        <v>4220</v>
      </c>
      <c r="F2520" s="5">
        <v>40485</v>
      </c>
      <c r="H2520" s="4" t="s">
        <v>40</v>
      </c>
      <c r="I2520" s="6">
        <v>7500</v>
      </c>
      <c r="J2520" s="6">
        <v>7500</v>
      </c>
      <c r="K2520" s="37" t="s">
        <v>4035</v>
      </c>
      <c r="L2520" s="119"/>
      <c r="M2520" s="3"/>
    </row>
    <row r="2521" spans="1:13" s="4" customFormat="1" ht="25.5" x14ac:dyDescent="0.25">
      <c r="A2521" s="4" t="s">
        <v>4221</v>
      </c>
      <c r="B2521" s="4" t="s">
        <v>190</v>
      </c>
      <c r="C2521" s="37" t="s">
        <v>4035</v>
      </c>
      <c r="D2521" s="35">
        <v>8884</v>
      </c>
      <c r="E2521" s="4" t="s">
        <v>4222</v>
      </c>
      <c r="F2521" s="5">
        <v>40520</v>
      </c>
      <c r="H2521" s="4" t="s">
        <v>40</v>
      </c>
      <c r="I2521" s="6">
        <v>20835</v>
      </c>
      <c r="J2521" s="6">
        <v>10417.5</v>
      </c>
      <c r="K2521" s="37" t="s">
        <v>4035</v>
      </c>
      <c r="L2521" s="119"/>
      <c r="M2521" s="3"/>
    </row>
    <row r="2522" spans="1:13" s="4" customFormat="1" ht="51" x14ac:dyDescent="0.25">
      <c r="A2522" s="4" t="s">
        <v>4223</v>
      </c>
      <c r="B2522" s="4" t="s">
        <v>183</v>
      </c>
      <c r="C2522" s="37" t="s">
        <v>4035</v>
      </c>
      <c r="D2522" s="35">
        <v>8886</v>
      </c>
      <c r="E2522" s="4" t="s">
        <v>4224</v>
      </c>
      <c r="F2522" s="5">
        <v>40820</v>
      </c>
      <c r="H2522" s="4" t="s">
        <v>40</v>
      </c>
      <c r="I2522" s="6">
        <v>5000</v>
      </c>
      <c r="J2522" s="6">
        <v>2500</v>
      </c>
      <c r="K2522" s="37" t="s">
        <v>4035</v>
      </c>
      <c r="L2522" s="119"/>
      <c r="M2522" s="3"/>
    </row>
    <row r="2523" spans="1:13" s="4" customFormat="1" ht="51" x14ac:dyDescent="0.25">
      <c r="A2523" s="4" t="s">
        <v>4225</v>
      </c>
      <c r="B2523" s="4" t="s">
        <v>183</v>
      </c>
      <c r="C2523" s="37" t="s">
        <v>4035</v>
      </c>
      <c r="D2523" s="35">
        <v>8887</v>
      </c>
      <c r="E2523" s="4" t="s">
        <v>4226</v>
      </c>
      <c r="F2523" s="5">
        <v>40820</v>
      </c>
      <c r="H2523" s="4" t="s">
        <v>40</v>
      </c>
      <c r="I2523" s="6">
        <v>16000</v>
      </c>
      <c r="J2523" s="6">
        <v>8000</v>
      </c>
      <c r="K2523" s="37" t="s">
        <v>4035</v>
      </c>
      <c r="L2523" s="119"/>
      <c r="M2523" s="3"/>
    </row>
    <row r="2524" spans="1:13" s="4" customFormat="1" ht="76.5" x14ac:dyDescent="0.25">
      <c r="A2524" s="4" t="s">
        <v>4227</v>
      </c>
      <c r="B2524" s="4" t="s">
        <v>190</v>
      </c>
      <c r="C2524" s="37" t="s">
        <v>4035</v>
      </c>
      <c r="D2524" s="35">
        <v>8888</v>
      </c>
      <c r="E2524" s="7" t="s">
        <v>4228</v>
      </c>
      <c r="F2524" s="5">
        <v>40604</v>
      </c>
      <c r="H2524" s="4" t="s">
        <v>40</v>
      </c>
      <c r="I2524" s="6">
        <v>7500</v>
      </c>
      <c r="J2524" s="6">
        <v>7500</v>
      </c>
      <c r="K2524" s="37" t="s">
        <v>4035</v>
      </c>
      <c r="L2524" s="119"/>
      <c r="M2524" s="3"/>
    </row>
    <row r="2525" spans="1:13" s="4" customFormat="1" ht="25.5" x14ac:dyDescent="0.25">
      <c r="A2525" s="4" t="s">
        <v>4231</v>
      </c>
      <c r="B2525" s="4" t="s">
        <v>183</v>
      </c>
      <c r="C2525" s="37" t="s">
        <v>4035</v>
      </c>
      <c r="D2525" s="35">
        <v>8890</v>
      </c>
      <c r="E2525" s="4" t="s">
        <v>4232</v>
      </c>
      <c r="F2525" s="5">
        <v>40156</v>
      </c>
      <c r="H2525" s="4" t="s">
        <v>40</v>
      </c>
      <c r="I2525" s="6">
        <v>52393.2</v>
      </c>
      <c r="J2525" s="6">
        <v>26196.6</v>
      </c>
      <c r="K2525" s="37" t="s">
        <v>4035</v>
      </c>
      <c r="L2525" s="119"/>
      <c r="M2525" s="3"/>
    </row>
    <row r="2526" spans="1:13" s="4" customFormat="1" ht="63.75" x14ac:dyDescent="0.25">
      <c r="A2526" s="4" t="s">
        <v>4233</v>
      </c>
      <c r="B2526" s="4" t="s">
        <v>183</v>
      </c>
      <c r="C2526" s="37" t="s">
        <v>4035</v>
      </c>
      <c r="D2526" s="35">
        <v>8891</v>
      </c>
      <c r="E2526" s="4" t="s">
        <v>4234</v>
      </c>
      <c r="F2526" s="5">
        <v>40604</v>
      </c>
      <c r="H2526" s="4" t="s">
        <v>40</v>
      </c>
      <c r="I2526" s="6">
        <v>20000</v>
      </c>
      <c r="J2526" s="6">
        <v>10000</v>
      </c>
      <c r="K2526" s="37" t="s">
        <v>4035</v>
      </c>
      <c r="L2526" s="119"/>
      <c r="M2526" s="3"/>
    </row>
    <row r="2527" spans="1:13" s="4" customFormat="1" ht="51" x14ac:dyDescent="0.25">
      <c r="A2527" s="4" t="s">
        <v>4235</v>
      </c>
      <c r="B2527" s="4" t="s">
        <v>183</v>
      </c>
      <c r="C2527" s="37" t="s">
        <v>4035</v>
      </c>
      <c r="D2527" s="35">
        <v>8892</v>
      </c>
      <c r="E2527" s="4" t="s">
        <v>4236</v>
      </c>
      <c r="F2527" s="5">
        <v>40520</v>
      </c>
      <c r="H2527" s="4" t="s">
        <v>40</v>
      </c>
      <c r="I2527" s="6">
        <v>20000</v>
      </c>
      <c r="J2527" s="6">
        <v>10000</v>
      </c>
      <c r="K2527" s="37" t="s">
        <v>4035</v>
      </c>
      <c r="L2527" s="119"/>
      <c r="M2527" s="3"/>
    </row>
    <row r="2528" spans="1:13" s="4" customFormat="1" ht="38.25" x14ac:dyDescent="0.25">
      <c r="A2528" s="4" t="s">
        <v>4237</v>
      </c>
      <c r="B2528" s="4" t="s">
        <v>190</v>
      </c>
      <c r="C2528" s="37" t="s">
        <v>4035</v>
      </c>
      <c r="D2528" s="35">
        <v>8893</v>
      </c>
      <c r="E2528" s="4" t="s">
        <v>4238</v>
      </c>
      <c r="F2528" s="5">
        <v>40674</v>
      </c>
      <c r="H2528" s="4" t="s">
        <v>40</v>
      </c>
      <c r="I2528" s="6">
        <v>10000</v>
      </c>
      <c r="J2528" s="6">
        <v>10000</v>
      </c>
      <c r="K2528" s="37" t="s">
        <v>4035</v>
      </c>
      <c r="L2528" s="119"/>
      <c r="M2528" s="3"/>
    </row>
    <row r="2529" spans="1:13" s="4" customFormat="1" ht="38.25" x14ac:dyDescent="0.25">
      <c r="A2529" s="4" t="s">
        <v>4237</v>
      </c>
      <c r="B2529" s="4" t="s">
        <v>190</v>
      </c>
      <c r="C2529" s="37" t="s">
        <v>4035</v>
      </c>
      <c r="D2529" s="35">
        <v>8894</v>
      </c>
      <c r="E2529" s="4" t="s">
        <v>4239</v>
      </c>
      <c r="F2529" s="5">
        <v>40820</v>
      </c>
      <c r="H2529" s="4" t="s">
        <v>40</v>
      </c>
      <c r="I2529" s="6">
        <v>13000</v>
      </c>
      <c r="J2529" s="6">
        <v>13000</v>
      </c>
      <c r="K2529" s="37" t="s">
        <v>4035</v>
      </c>
      <c r="L2529" s="119"/>
      <c r="M2529" s="3"/>
    </row>
    <row r="2530" spans="1:13" s="4" customFormat="1" ht="51" x14ac:dyDescent="0.25">
      <c r="A2530" s="4" t="s">
        <v>4240</v>
      </c>
      <c r="B2530" s="4" t="s">
        <v>183</v>
      </c>
      <c r="C2530" s="37" t="s">
        <v>4035</v>
      </c>
      <c r="D2530" s="35">
        <v>8896</v>
      </c>
      <c r="E2530" s="4" t="s">
        <v>4241</v>
      </c>
      <c r="F2530" s="5">
        <v>40820</v>
      </c>
      <c r="H2530" s="4" t="s">
        <v>40</v>
      </c>
      <c r="I2530" s="6">
        <v>18550</v>
      </c>
      <c r="J2530" s="6">
        <v>11775</v>
      </c>
      <c r="K2530" s="37" t="s">
        <v>4035</v>
      </c>
      <c r="L2530" s="119"/>
      <c r="M2530" s="3"/>
    </row>
    <row r="2531" spans="1:13" s="4" customFormat="1" ht="51" x14ac:dyDescent="0.25">
      <c r="A2531" s="4" t="s">
        <v>4242</v>
      </c>
      <c r="B2531" s="4" t="s">
        <v>183</v>
      </c>
      <c r="C2531" s="37" t="s">
        <v>4035</v>
      </c>
      <c r="D2531" s="35">
        <v>8897</v>
      </c>
      <c r="E2531" s="4" t="s">
        <v>4243</v>
      </c>
      <c r="F2531" s="5">
        <v>40820</v>
      </c>
      <c r="H2531" s="4" t="s">
        <v>40</v>
      </c>
      <c r="I2531" s="6">
        <v>6843.04</v>
      </c>
      <c r="J2531" s="6">
        <v>5921.52</v>
      </c>
      <c r="K2531" s="37" t="s">
        <v>4035</v>
      </c>
      <c r="L2531" s="119"/>
      <c r="M2531" s="3"/>
    </row>
    <row r="2532" spans="1:13" s="4" customFormat="1" ht="89.25" x14ac:dyDescent="0.25">
      <c r="A2532" s="4" t="s">
        <v>4244</v>
      </c>
      <c r="B2532" s="4" t="s">
        <v>183</v>
      </c>
      <c r="C2532" s="37" t="s">
        <v>4035</v>
      </c>
      <c r="D2532" s="35">
        <v>8898</v>
      </c>
      <c r="E2532" s="7" t="s">
        <v>4245</v>
      </c>
      <c r="F2532" s="5">
        <v>40485</v>
      </c>
      <c r="H2532" s="4" t="s">
        <v>40</v>
      </c>
      <c r="I2532" s="6">
        <v>20000</v>
      </c>
      <c r="J2532" s="6">
        <v>10000</v>
      </c>
      <c r="K2532" s="37" t="s">
        <v>4035</v>
      </c>
      <c r="L2532" s="119"/>
      <c r="M2532" s="3"/>
    </row>
    <row r="2533" spans="1:13" s="4" customFormat="1" x14ac:dyDescent="0.25">
      <c r="A2533" s="4" t="s">
        <v>4246</v>
      </c>
      <c r="B2533" s="4" t="s">
        <v>183</v>
      </c>
      <c r="C2533" s="37" t="s">
        <v>4035</v>
      </c>
      <c r="D2533" s="35">
        <v>8899</v>
      </c>
      <c r="E2533" s="4" t="s">
        <v>4247</v>
      </c>
      <c r="F2533" s="5">
        <v>40721</v>
      </c>
      <c r="H2533" s="4" t="s">
        <v>40</v>
      </c>
      <c r="I2533" s="6">
        <v>200000</v>
      </c>
      <c r="J2533" s="6">
        <v>100000</v>
      </c>
      <c r="K2533" s="37" t="s">
        <v>4035</v>
      </c>
      <c r="L2533" s="119"/>
      <c r="M2533" s="3"/>
    </row>
    <row r="2534" spans="1:13" s="4" customFormat="1" ht="76.5" x14ac:dyDescent="0.25">
      <c r="A2534" s="4" t="s">
        <v>4248</v>
      </c>
      <c r="B2534" s="4" t="s">
        <v>183</v>
      </c>
      <c r="C2534" s="37" t="s">
        <v>4035</v>
      </c>
      <c r="D2534" s="35">
        <v>8900</v>
      </c>
      <c r="E2534" s="4" t="s">
        <v>4249</v>
      </c>
      <c r="F2534" s="5">
        <v>40849</v>
      </c>
      <c r="H2534" s="4" t="s">
        <v>40</v>
      </c>
      <c r="I2534" s="6">
        <v>20000</v>
      </c>
      <c r="J2534" s="6">
        <v>10000</v>
      </c>
      <c r="K2534" s="37" t="s">
        <v>4035</v>
      </c>
      <c r="L2534" s="119"/>
      <c r="M2534" s="3"/>
    </row>
    <row r="2535" spans="1:13" s="4" customFormat="1" x14ac:dyDescent="0.25">
      <c r="A2535" s="4" t="s">
        <v>4250</v>
      </c>
      <c r="B2535" s="4" t="s">
        <v>183</v>
      </c>
      <c r="C2535" s="37" t="s">
        <v>4035</v>
      </c>
      <c r="D2535" s="35">
        <v>8901</v>
      </c>
      <c r="E2535" s="4" t="s">
        <v>4251</v>
      </c>
      <c r="F2535" s="5">
        <v>40520</v>
      </c>
      <c r="H2535" s="4" t="s">
        <v>40</v>
      </c>
      <c r="I2535" s="6">
        <v>2225.54</v>
      </c>
      <c r="J2535" s="6">
        <v>1112.77</v>
      </c>
      <c r="K2535" s="37" t="s">
        <v>4035</v>
      </c>
      <c r="L2535" s="119"/>
      <c r="M2535" s="3"/>
    </row>
    <row r="2536" spans="1:13" s="4" customFormat="1" ht="51" x14ac:dyDescent="0.25">
      <c r="A2536" s="4" t="s">
        <v>4252</v>
      </c>
      <c r="B2536" s="4" t="s">
        <v>183</v>
      </c>
      <c r="C2536" s="37" t="s">
        <v>4035</v>
      </c>
      <c r="D2536" s="35">
        <v>8902</v>
      </c>
      <c r="E2536" s="4" t="s">
        <v>4253</v>
      </c>
      <c r="F2536" s="5">
        <v>40604</v>
      </c>
      <c r="H2536" s="4" t="s">
        <v>40</v>
      </c>
      <c r="I2536" s="6">
        <v>25000</v>
      </c>
      <c r="J2536" s="6">
        <v>25000</v>
      </c>
      <c r="K2536" s="37" t="s">
        <v>4035</v>
      </c>
      <c r="L2536" s="119"/>
      <c r="M2536" s="3"/>
    </row>
    <row r="2537" spans="1:13" s="4" customFormat="1" ht="51" x14ac:dyDescent="0.25">
      <c r="A2537" s="4" t="s">
        <v>4254</v>
      </c>
      <c r="B2537" s="4" t="s">
        <v>183</v>
      </c>
      <c r="C2537" s="37" t="s">
        <v>4035</v>
      </c>
      <c r="D2537" s="35">
        <v>8903</v>
      </c>
      <c r="E2537" s="4" t="s">
        <v>4255</v>
      </c>
      <c r="F2537" s="5">
        <v>40820</v>
      </c>
      <c r="H2537" s="4" t="s">
        <v>40</v>
      </c>
      <c r="I2537" s="6">
        <v>8069.2</v>
      </c>
      <c r="J2537" s="6">
        <v>4999.6000000000004</v>
      </c>
      <c r="K2537" s="37" t="s">
        <v>4035</v>
      </c>
      <c r="L2537" s="119"/>
      <c r="M2537" s="3"/>
    </row>
    <row r="2538" spans="1:13" s="4" customFormat="1" x14ac:dyDescent="0.25">
      <c r="A2538" s="4" t="s">
        <v>4256</v>
      </c>
      <c r="B2538" s="4" t="s">
        <v>183</v>
      </c>
      <c r="C2538" s="37" t="s">
        <v>4035</v>
      </c>
      <c r="D2538" s="35">
        <v>8904</v>
      </c>
      <c r="E2538" s="4" t="s">
        <v>4257</v>
      </c>
      <c r="F2538" s="5">
        <v>40304</v>
      </c>
      <c r="H2538" s="4" t="s">
        <v>40</v>
      </c>
      <c r="I2538" s="6">
        <v>15100</v>
      </c>
      <c r="J2538" s="6">
        <v>7550</v>
      </c>
      <c r="K2538" s="37" t="s">
        <v>4035</v>
      </c>
      <c r="L2538" s="119"/>
      <c r="M2538" s="3"/>
    </row>
    <row r="2539" spans="1:13" s="4" customFormat="1" ht="51" x14ac:dyDescent="0.25">
      <c r="A2539" s="4" t="s">
        <v>4258</v>
      </c>
      <c r="B2539" s="4" t="s">
        <v>190</v>
      </c>
      <c r="C2539" s="37" t="s">
        <v>4035</v>
      </c>
      <c r="D2539" s="35">
        <v>8905</v>
      </c>
      <c r="E2539" s="4" t="s">
        <v>4259</v>
      </c>
      <c r="F2539" s="5">
        <v>40485</v>
      </c>
      <c r="H2539" s="4" t="s">
        <v>40</v>
      </c>
      <c r="I2539" s="6">
        <v>10000</v>
      </c>
      <c r="J2539" s="6">
        <v>10000</v>
      </c>
      <c r="K2539" s="37" t="s">
        <v>4035</v>
      </c>
      <c r="L2539" s="119"/>
      <c r="M2539" s="3"/>
    </row>
    <row r="2540" spans="1:13" s="4" customFormat="1" ht="25.5" x14ac:dyDescent="0.25">
      <c r="A2540" s="4" t="s">
        <v>4260</v>
      </c>
      <c r="B2540" s="4" t="s">
        <v>183</v>
      </c>
      <c r="C2540" s="37" t="s">
        <v>4035</v>
      </c>
      <c r="D2540" s="35">
        <v>8906</v>
      </c>
      <c r="E2540" s="4" t="s">
        <v>4261</v>
      </c>
      <c r="F2540" s="5">
        <v>40849</v>
      </c>
      <c r="H2540" s="4" t="s">
        <v>40</v>
      </c>
      <c r="I2540" s="6">
        <v>18226</v>
      </c>
      <c r="J2540" s="6">
        <v>12863</v>
      </c>
      <c r="K2540" s="37" t="s">
        <v>4035</v>
      </c>
      <c r="L2540" s="119"/>
      <c r="M2540" s="3"/>
    </row>
    <row r="2541" spans="1:13" s="4" customFormat="1" ht="51" x14ac:dyDescent="0.25">
      <c r="A2541" s="4" t="s">
        <v>4262</v>
      </c>
      <c r="B2541" s="4" t="s">
        <v>183</v>
      </c>
      <c r="C2541" s="37" t="s">
        <v>4035</v>
      </c>
      <c r="D2541" s="35">
        <v>8907</v>
      </c>
      <c r="E2541" s="4" t="s">
        <v>4263</v>
      </c>
      <c r="F2541" s="5">
        <v>40520</v>
      </c>
      <c r="H2541" s="4" t="s">
        <v>40</v>
      </c>
      <c r="I2541" s="6">
        <v>7500</v>
      </c>
      <c r="J2541" s="6">
        <v>7500</v>
      </c>
      <c r="K2541" s="37" t="s">
        <v>4035</v>
      </c>
      <c r="L2541" s="119"/>
      <c r="M2541" s="3"/>
    </row>
    <row r="2542" spans="1:13" s="4" customFormat="1" ht="76.5" x14ac:dyDescent="0.25">
      <c r="A2542" s="4" t="s">
        <v>4264</v>
      </c>
      <c r="B2542" s="4" t="s">
        <v>38</v>
      </c>
      <c r="C2542" s="37" t="s">
        <v>4035</v>
      </c>
      <c r="D2542" s="35">
        <v>8931</v>
      </c>
      <c r="E2542" s="4" t="s">
        <v>4265</v>
      </c>
      <c r="F2542" s="5">
        <v>40544</v>
      </c>
      <c r="H2542" s="4" t="s">
        <v>40</v>
      </c>
      <c r="I2542" s="6">
        <v>16759.439999999999</v>
      </c>
      <c r="J2542" s="6">
        <v>16759.439999999999</v>
      </c>
      <c r="K2542" s="37" t="s">
        <v>4035</v>
      </c>
      <c r="L2542" s="119"/>
      <c r="M2542" s="3"/>
    </row>
    <row r="2543" spans="1:13" s="4" customFormat="1" ht="51" x14ac:dyDescent="0.25">
      <c r="A2543" s="4" t="s">
        <v>4266</v>
      </c>
      <c r="B2543" s="4" t="s">
        <v>38</v>
      </c>
      <c r="C2543" s="37" t="s">
        <v>4035</v>
      </c>
      <c r="D2543" s="35">
        <v>8935</v>
      </c>
      <c r="E2543" s="4" t="s">
        <v>4267</v>
      </c>
      <c r="F2543" s="5">
        <v>40544</v>
      </c>
      <c r="H2543" s="4" t="s">
        <v>40</v>
      </c>
      <c r="I2543" s="6">
        <f>6037.39+4099.47</f>
        <v>10136.86</v>
      </c>
      <c r="J2543" s="6">
        <f>6037.39+4099.47</f>
        <v>10136.86</v>
      </c>
      <c r="K2543" s="37" t="s">
        <v>4035</v>
      </c>
      <c r="L2543" s="119"/>
      <c r="M2543" s="3"/>
    </row>
    <row r="2544" spans="1:13" s="4" customFormat="1" ht="51" x14ac:dyDescent="0.25">
      <c r="A2544" s="4" t="s">
        <v>4268</v>
      </c>
      <c r="B2544" s="4" t="s">
        <v>38</v>
      </c>
      <c r="C2544" s="37" t="s">
        <v>4035</v>
      </c>
      <c r="D2544" s="35">
        <v>10636</v>
      </c>
      <c r="E2544" s="4" t="s">
        <v>4269</v>
      </c>
      <c r="F2544" s="5">
        <v>40909</v>
      </c>
      <c r="H2544" s="4" t="s">
        <v>40</v>
      </c>
      <c r="I2544" s="6">
        <v>22080</v>
      </c>
      <c r="J2544" s="6">
        <f>13390+8690</f>
        <v>22080</v>
      </c>
      <c r="K2544" s="37" t="s">
        <v>4035</v>
      </c>
      <c r="L2544" s="119"/>
      <c r="M2544" s="3"/>
    </row>
    <row r="2545" spans="1:13" s="4" customFormat="1" ht="38.25" x14ac:dyDescent="0.25">
      <c r="A2545" s="4" t="s">
        <v>4270</v>
      </c>
      <c r="B2545" s="4" t="s">
        <v>183</v>
      </c>
      <c r="C2545" s="37" t="s">
        <v>4035</v>
      </c>
      <c r="D2545" s="35">
        <v>10637</v>
      </c>
      <c r="E2545" s="4" t="s">
        <v>4271</v>
      </c>
      <c r="F2545" s="5">
        <v>41157</v>
      </c>
      <c r="H2545" s="4" t="s">
        <v>40</v>
      </c>
      <c r="I2545" s="6">
        <v>60000</v>
      </c>
      <c r="J2545" s="6">
        <v>60000</v>
      </c>
      <c r="K2545" s="37" t="s">
        <v>4035</v>
      </c>
      <c r="L2545" s="119"/>
      <c r="M2545" s="3"/>
    </row>
    <row r="2546" spans="1:13" s="4" customFormat="1" ht="38.25" x14ac:dyDescent="0.25">
      <c r="A2546" s="4" t="s">
        <v>4272</v>
      </c>
      <c r="B2546" s="4" t="s">
        <v>183</v>
      </c>
      <c r="C2546" s="37" t="s">
        <v>4035</v>
      </c>
      <c r="D2546" s="35">
        <v>10638</v>
      </c>
      <c r="E2546" s="4" t="s">
        <v>4273</v>
      </c>
      <c r="F2546" s="5">
        <v>41038</v>
      </c>
      <c r="H2546" s="4" t="s">
        <v>40</v>
      </c>
      <c r="I2546" s="6">
        <v>15000</v>
      </c>
      <c r="J2546" s="6">
        <v>15000</v>
      </c>
      <c r="K2546" s="37" t="s">
        <v>4035</v>
      </c>
      <c r="L2546" s="119"/>
      <c r="M2546" s="3"/>
    </row>
    <row r="2547" spans="1:13" s="4" customFormat="1" ht="25.5" x14ac:dyDescent="0.25">
      <c r="A2547" s="4" t="s">
        <v>4274</v>
      </c>
      <c r="B2547" s="4" t="s">
        <v>190</v>
      </c>
      <c r="C2547" s="37" t="s">
        <v>4035</v>
      </c>
      <c r="D2547" s="35">
        <v>10639</v>
      </c>
      <c r="E2547" s="4" t="s">
        <v>4275</v>
      </c>
      <c r="F2547" s="5">
        <v>41222</v>
      </c>
      <c r="H2547" s="4" t="s">
        <v>40</v>
      </c>
      <c r="I2547" s="6">
        <v>4000</v>
      </c>
      <c r="J2547" s="6">
        <v>2000</v>
      </c>
      <c r="K2547" s="37" t="s">
        <v>4035</v>
      </c>
      <c r="L2547" s="119"/>
      <c r="M2547" s="3"/>
    </row>
    <row r="2548" spans="1:13" s="4" customFormat="1" ht="38.25" x14ac:dyDescent="0.25">
      <c r="A2548" s="4" t="s">
        <v>4276</v>
      </c>
      <c r="B2548" s="4" t="s">
        <v>183</v>
      </c>
      <c r="C2548" s="37" t="s">
        <v>4035</v>
      </c>
      <c r="D2548" s="35">
        <v>10640</v>
      </c>
      <c r="E2548" s="4" t="s">
        <v>4277</v>
      </c>
      <c r="F2548" s="5">
        <v>41220</v>
      </c>
      <c r="H2548" s="4" t="s">
        <v>40</v>
      </c>
      <c r="I2548" s="6">
        <v>10000</v>
      </c>
      <c r="J2548" s="6">
        <v>10000</v>
      </c>
      <c r="K2548" s="37" t="s">
        <v>4035</v>
      </c>
      <c r="L2548" s="119"/>
      <c r="M2548" s="3"/>
    </row>
    <row r="2549" spans="1:13" s="4" customFormat="1" ht="38.25" x14ac:dyDescent="0.25">
      <c r="A2549" s="4" t="s">
        <v>4278</v>
      </c>
      <c r="B2549" s="4" t="s">
        <v>190</v>
      </c>
      <c r="C2549" s="37" t="s">
        <v>4035</v>
      </c>
      <c r="D2549" s="35">
        <v>10641</v>
      </c>
      <c r="E2549" s="4" t="s">
        <v>4279</v>
      </c>
      <c r="F2549" s="5">
        <v>40849</v>
      </c>
      <c r="H2549" s="4" t="s">
        <v>40</v>
      </c>
      <c r="I2549" s="6">
        <v>10000</v>
      </c>
      <c r="J2549" s="6">
        <v>10000</v>
      </c>
      <c r="K2549" s="37" t="s">
        <v>4035</v>
      </c>
      <c r="L2549" s="119"/>
      <c r="M2549" s="3"/>
    </row>
    <row r="2550" spans="1:13" s="4" customFormat="1" ht="38.25" x14ac:dyDescent="0.25">
      <c r="A2550" s="4" t="s">
        <v>4280</v>
      </c>
      <c r="B2550" s="4" t="s">
        <v>183</v>
      </c>
      <c r="C2550" s="37" t="s">
        <v>4035</v>
      </c>
      <c r="D2550" s="35">
        <v>10642</v>
      </c>
      <c r="E2550" s="4" t="s">
        <v>4281</v>
      </c>
      <c r="F2550" s="5">
        <v>41068</v>
      </c>
      <c r="H2550" s="4" t="s">
        <v>40</v>
      </c>
      <c r="I2550" s="6">
        <v>10000</v>
      </c>
      <c r="J2550" s="6">
        <v>10000</v>
      </c>
      <c r="K2550" s="37" t="s">
        <v>4035</v>
      </c>
      <c r="L2550" s="119"/>
      <c r="M2550" s="3"/>
    </row>
    <row r="2551" spans="1:13" s="4" customFormat="1" ht="51" x14ac:dyDescent="0.25">
      <c r="A2551" s="4" t="s">
        <v>4282</v>
      </c>
      <c r="B2551" s="4" t="s">
        <v>183</v>
      </c>
      <c r="C2551" s="37" t="s">
        <v>4035</v>
      </c>
      <c r="D2551" s="35">
        <v>10643</v>
      </c>
      <c r="E2551" s="4" t="s">
        <v>4283</v>
      </c>
      <c r="F2551" s="5">
        <v>40982</v>
      </c>
      <c r="H2551" s="4" t="s">
        <v>40</v>
      </c>
      <c r="I2551" s="6">
        <v>80000</v>
      </c>
      <c r="J2551" s="6">
        <v>40000</v>
      </c>
      <c r="K2551" s="37" t="s">
        <v>4035</v>
      </c>
      <c r="L2551" s="119"/>
      <c r="M2551" s="3"/>
    </row>
    <row r="2552" spans="1:13" s="4" customFormat="1" ht="38.25" x14ac:dyDescent="0.25">
      <c r="A2552" s="4" t="s">
        <v>4284</v>
      </c>
      <c r="B2552" s="4" t="s">
        <v>183</v>
      </c>
      <c r="C2552" s="37" t="s">
        <v>4035</v>
      </c>
      <c r="D2552" s="35">
        <v>10644</v>
      </c>
      <c r="E2552" s="4" t="s">
        <v>4285</v>
      </c>
      <c r="F2552" s="5">
        <v>41220</v>
      </c>
      <c r="H2552" s="4" t="s">
        <v>40</v>
      </c>
      <c r="I2552" s="6">
        <v>18000</v>
      </c>
      <c r="J2552" s="6">
        <v>9000</v>
      </c>
      <c r="K2552" s="37" t="s">
        <v>4035</v>
      </c>
      <c r="L2552" s="119"/>
      <c r="M2552" s="3"/>
    </row>
    <row r="2553" spans="1:13" s="4" customFormat="1" ht="25.5" x14ac:dyDescent="0.25">
      <c r="A2553" s="4" t="s">
        <v>4242</v>
      </c>
      <c r="B2553" s="4" t="s">
        <v>183</v>
      </c>
      <c r="C2553" s="37" t="s">
        <v>4035</v>
      </c>
      <c r="D2553" s="35">
        <v>10645</v>
      </c>
      <c r="E2553" s="4" t="s">
        <v>4286</v>
      </c>
      <c r="F2553" s="5">
        <v>40820</v>
      </c>
      <c r="H2553" s="4" t="s">
        <v>40</v>
      </c>
      <c r="I2553" s="6">
        <v>2156.96</v>
      </c>
      <c r="J2553" s="6">
        <v>1078.48</v>
      </c>
      <c r="K2553" s="37" t="s">
        <v>4035</v>
      </c>
      <c r="L2553" s="119"/>
      <c r="M2553" s="3"/>
    </row>
    <row r="2554" spans="1:13" s="4" customFormat="1" ht="25.5" x14ac:dyDescent="0.25">
      <c r="A2554" s="4" t="s">
        <v>4287</v>
      </c>
      <c r="B2554" s="4" t="s">
        <v>190</v>
      </c>
      <c r="C2554" s="37" t="s">
        <v>4035</v>
      </c>
      <c r="D2554" s="35">
        <v>10646</v>
      </c>
      <c r="E2554" s="4" t="s">
        <v>4288</v>
      </c>
      <c r="F2554" s="5">
        <v>40604</v>
      </c>
      <c r="H2554" s="4" t="s">
        <v>40</v>
      </c>
      <c r="I2554" s="6">
        <v>10000</v>
      </c>
      <c r="J2554" s="6">
        <v>5000</v>
      </c>
      <c r="K2554" s="37" t="s">
        <v>4035</v>
      </c>
      <c r="L2554" s="119"/>
      <c r="M2554" s="3"/>
    </row>
    <row r="2555" spans="1:13" s="4" customFormat="1" ht="25.5" x14ac:dyDescent="0.25">
      <c r="A2555" s="4" t="s">
        <v>4289</v>
      </c>
      <c r="B2555" s="4" t="s">
        <v>183</v>
      </c>
      <c r="C2555" s="37" t="s">
        <v>4035</v>
      </c>
      <c r="D2555" s="35">
        <v>10647</v>
      </c>
      <c r="E2555" s="4" t="s">
        <v>4290</v>
      </c>
      <c r="F2555" s="5">
        <v>40977</v>
      </c>
      <c r="H2555" s="4" t="s">
        <v>40</v>
      </c>
      <c r="I2555" s="6">
        <v>3750</v>
      </c>
      <c r="J2555" s="6">
        <v>3750</v>
      </c>
      <c r="K2555" s="37" t="s">
        <v>4035</v>
      </c>
      <c r="L2555" s="119"/>
      <c r="M2555" s="3"/>
    </row>
    <row r="2556" spans="1:13" s="4" customFormat="1" ht="38.25" x14ac:dyDescent="0.25">
      <c r="A2556" s="4" t="s">
        <v>4291</v>
      </c>
      <c r="B2556" s="4" t="s">
        <v>183</v>
      </c>
      <c r="C2556" s="37" t="s">
        <v>4035</v>
      </c>
      <c r="D2556" s="35">
        <v>10648</v>
      </c>
      <c r="E2556" s="4" t="s">
        <v>4292</v>
      </c>
      <c r="F2556" s="5">
        <v>40977</v>
      </c>
      <c r="H2556" s="4" t="s">
        <v>40</v>
      </c>
      <c r="I2556" s="6">
        <v>10000</v>
      </c>
      <c r="J2556" s="6">
        <v>10000</v>
      </c>
      <c r="K2556" s="37" t="s">
        <v>4035</v>
      </c>
      <c r="L2556" s="119"/>
      <c r="M2556" s="3"/>
    </row>
    <row r="2557" spans="1:13" s="4" customFormat="1" ht="38.25" x14ac:dyDescent="0.25">
      <c r="A2557" s="4" t="s">
        <v>4293</v>
      </c>
      <c r="B2557" s="4" t="s">
        <v>4294</v>
      </c>
      <c r="C2557" s="37" t="s">
        <v>4035</v>
      </c>
      <c r="D2557" s="35">
        <v>10649</v>
      </c>
      <c r="E2557" s="4" t="s">
        <v>4295</v>
      </c>
      <c r="F2557" s="5">
        <v>40982</v>
      </c>
      <c r="H2557" s="4" t="s">
        <v>40</v>
      </c>
      <c r="I2557" s="6">
        <v>10000</v>
      </c>
      <c r="J2557" s="6">
        <v>5000</v>
      </c>
      <c r="K2557" s="37" t="s">
        <v>4035</v>
      </c>
      <c r="L2557" s="119"/>
      <c r="M2557" s="3"/>
    </row>
    <row r="2558" spans="1:13" s="4" customFormat="1" ht="38.25" x14ac:dyDescent="0.25">
      <c r="A2558" s="4" t="s">
        <v>4296</v>
      </c>
      <c r="B2558" s="4" t="s">
        <v>183</v>
      </c>
      <c r="C2558" s="37" t="s">
        <v>4035</v>
      </c>
      <c r="D2558" s="35">
        <v>10650</v>
      </c>
      <c r="E2558" s="4" t="s">
        <v>4297</v>
      </c>
      <c r="F2558" s="5">
        <v>41069</v>
      </c>
      <c r="H2558" s="4" t="s">
        <v>40</v>
      </c>
      <c r="I2558" s="6">
        <v>10000</v>
      </c>
      <c r="J2558" s="6">
        <v>10000</v>
      </c>
      <c r="K2558" s="37" t="s">
        <v>4035</v>
      </c>
      <c r="L2558" s="119"/>
      <c r="M2558" s="3"/>
    </row>
    <row r="2559" spans="1:13" s="4" customFormat="1" ht="38.25" x14ac:dyDescent="0.25">
      <c r="A2559" s="4" t="s">
        <v>4298</v>
      </c>
      <c r="B2559" s="4" t="s">
        <v>190</v>
      </c>
      <c r="C2559" s="37" t="s">
        <v>4035</v>
      </c>
      <c r="D2559" s="35">
        <v>10651</v>
      </c>
      <c r="E2559" s="4" t="s">
        <v>4299</v>
      </c>
      <c r="F2559" s="5">
        <v>40982</v>
      </c>
      <c r="H2559" s="4" t="s">
        <v>40</v>
      </c>
      <c r="I2559" s="6">
        <v>10000</v>
      </c>
      <c r="J2559" s="6">
        <v>10000</v>
      </c>
      <c r="K2559" s="37" t="s">
        <v>4035</v>
      </c>
      <c r="L2559" s="119"/>
      <c r="M2559" s="3"/>
    </row>
    <row r="2560" spans="1:13" s="4" customFormat="1" ht="51" x14ac:dyDescent="0.25">
      <c r="A2560" s="4" t="s">
        <v>4298</v>
      </c>
      <c r="B2560" s="4" t="s">
        <v>190</v>
      </c>
      <c r="C2560" s="37" t="s">
        <v>4035</v>
      </c>
      <c r="D2560" s="35">
        <v>10652</v>
      </c>
      <c r="E2560" s="4" t="s">
        <v>4300</v>
      </c>
      <c r="F2560" s="5">
        <v>41220</v>
      </c>
      <c r="H2560" s="4" t="s">
        <v>40</v>
      </c>
      <c r="I2560" s="6">
        <f>17434+16539.72</f>
        <v>33973.72</v>
      </c>
      <c r="J2560" s="6">
        <v>21986.86</v>
      </c>
      <c r="K2560" s="37" t="s">
        <v>4035</v>
      </c>
      <c r="L2560" s="119"/>
      <c r="M2560" s="3"/>
    </row>
    <row r="2561" spans="1:13" s="4" customFormat="1" ht="38.25" x14ac:dyDescent="0.25">
      <c r="A2561" s="4" t="s">
        <v>4301</v>
      </c>
      <c r="B2561" s="4" t="s">
        <v>183</v>
      </c>
      <c r="C2561" s="37" t="s">
        <v>4035</v>
      </c>
      <c r="D2561" s="35">
        <v>10653</v>
      </c>
      <c r="E2561" s="4" t="s">
        <v>4302</v>
      </c>
      <c r="F2561" s="5">
        <v>40982</v>
      </c>
      <c r="H2561" s="4" t="s">
        <v>40</v>
      </c>
      <c r="I2561" s="6">
        <v>12638.46</v>
      </c>
      <c r="J2561" s="6">
        <v>6319.23</v>
      </c>
      <c r="K2561" s="37" t="s">
        <v>4035</v>
      </c>
      <c r="L2561" s="119"/>
      <c r="M2561" s="3"/>
    </row>
    <row r="2562" spans="1:13" s="4" customFormat="1" ht="38.25" x14ac:dyDescent="0.25">
      <c r="A2562" s="4" t="s">
        <v>4303</v>
      </c>
      <c r="B2562" s="4" t="s">
        <v>183</v>
      </c>
      <c r="C2562" s="37" t="s">
        <v>4035</v>
      </c>
      <c r="D2562" s="35">
        <v>10654</v>
      </c>
      <c r="E2562" s="4" t="s">
        <v>4304</v>
      </c>
      <c r="F2562" s="5">
        <v>40849</v>
      </c>
      <c r="H2562" s="4" t="s">
        <v>40</v>
      </c>
      <c r="I2562" s="6">
        <v>2000</v>
      </c>
      <c r="J2562" s="6">
        <v>2000</v>
      </c>
      <c r="K2562" s="37" t="s">
        <v>4035</v>
      </c>
      <c r="L2562" s="119"/>
      <c r="M2562" s="3"/>
    </row>
    <row r="2563" spans="1:13" s="4" customFormat="1" ht="38.25" x14ac:dyDescent="0.25">
      <c r="A2563" s="4" t="s">
        <v>4305</v>
      </c>
      <c r="B2563" s="4" t="s">
        <v>183</v>
      </c>
      <c r="C2563" s="37" t="s">
        <v>4035</v>
      </c>
      <c r="D2563" s="35">
        <v>10655</v>
      </c>
      <c r="E2563" s="4" t="s">
        <v>4306</v>
      </c>
      <c r="F2563" s="5">
        <v>40849</v>
      </c>
      <c r="H2563" s="4" t="s">
        <v>40</v>
      </c>
      <c r="I2563" s="6">
        <v>19456.48</v>
      </c>
      <c r="J2563" s="6">
        <v>9728.24</v>
      </c>
      <c r="K2563" s="37" t="s">
        <v>4035</v>
      </c>
      <c r="L2563" s="119"/>
      <c r="M2563" s="3"/>
    </row>
    <row r="2564" spans="1:13" s="4" customFormat="1" ht="38.25" x14ac:dyDescent="0.25">
      <c r="A2564" s="4" t="s">
        <v>4307</v>
      </c>
      <c r="B2564" s="4" t="s">
        <v>38</v>
      </c>
      <c r="C2564" s="37" t="s">
        <v>4035</v>
      </c>
      <c r="D2564" s="35">
        <v>10656</v>
      </c>
      <c r="E2564" s="4" t="s">
        <v>4308</v>
      </c>
      <c r="F2564" s="5">
        <v>40674</v>
      </c>
      <c r="H2564" s="4" t="s">
        <v>40</v>
      </c>
      <c r="I2564" s="6">
        <v>1186</v>
      </c>
      <c r="J2564" s="6">
        <v>593</v>
      </c>
      <c r="K2564" s="37" t="s">
        <v>4035</v>
      </c>
      <c r="L2564" s="119"/>
      <c r="M2564" s="3"/>
    </row>
    <row r="2565" spans="1:13" ht="76.5" x14ac:dyDescent="0.25">
      <c r="A2565" s="13" t="s">
        <v>10487</v>
      </c>
      <c r="B2565" s="13" t="s">
        <v>38</v>
      </c>
      <c r="C2565" s="20" t="s">
        <v>4035</v>
      </c>
      <c r="D2565" s="19">
        <v>10737</v>
      </c>
      <c r="E2565" s="13" t="s">
        <v>10618</v>
      </c>
      <c r="F2565" s="14">
        <v>41275</v>
      </c>
      <c r="H2565" s="13" t="s">
        <v>651</v>
      </c>
      <c r="I2565" s="18">
        <v>10658.69</v>
      </c>
      <c r="J2565" s="18">
        <v>10658.69</v>
      </c>
      <c r="K2565" s="20" t="s">
        <v>4035</v>
      </c>
    </row>
    <row r="2566" spans="1:13" s="4" customFormat="1" ht="25.5" x14ac:dyDescent="0.25">
      <c r="A2566" s="4" t="s">
        <v>4309</v>
      </c>
      <c r="B2566" s="4" t="s">
        <v>38</v>
      </c>
      <c r="C2566" s="37" t="s">
        <v>4035</v>
      </c>
      <c r="D2566" s="35">
        <v>11648</v>
      </c>
      <c r="E2566" s="4" t="s">
        <v>4310</v>
      </c>
      <c r="F2566" s="5">
        <v>40909</v>
      </c>
      <c r="G2566" s="5">
        <v>40939</v>
      </c>
      <c r="H2566" s="4" t="s">
        <v>40</v>
      </c>
      <c r="I2566" s="6">
        <v>2000</v>
      </c>
      <c r="J2566" s="6">
        <v>1000</v>
      </c>
      <c r="K2566" s="37" t="s">
        <v>4035</v>
      </c>
      <c r="L2566" s="119"/>
      <c r="M2566" s="3"/>
    </row>
    <row r="2567" spans="1:13" ht="89.25" x14ac:dyDescent="0.25">
      <c r="A2567" s="13" t="s">
        <v>10619</v>
      </c>
      <c r="B2567" s="13" t="s">
        <v>10192</v>
      </c>
      <c r="C2567" s="20" t="s">
        <v>4035</v>
      </c>
      <c r="D2567" s="19">
        <v>12793</v>
      </c>
      <c r="E2567" s="13" t="s">
        <v>10620</v>
      </c>
      <c r="F2567" s="14">
        <v>41220</v>
      </c>
      <c r="H2567" s="13" t="s">
        <v>651</v>
      </c>
      <c r="I2567" s="18">
        <v>25000</v>
      </c>
      <c r="J2567" s="18">
        <v>25000</v>
      </c>
      <c r="K2567" s="20" t="s">
        <v>4035</v>
      </c>
    </row>
    <row r="2568" spans="1:13" ht="38.25" x14ac:dyDescent="0.25">
      <c r="A2568" s="13" t="s">
        <v>10621</v>
      </c>
      <c r="B2568" s="13" t="s">
        <v>10195</v>
      </c>
      <c r="C2568" s="20" t="s">
        <v>4035</v>
      </c>
      <c r="D2568" s="19">
        <v>12794</v>
      </c>
      <c r="E2568" s="13" t="s">
        <v>4239</v>
      </c>
      <c r="F2568" s="14">
        <v>41234</v>
      </c>
      <c r="H2568" s="13" t="s">
        <v>651</v>
      </c>
      <c r="I2568" s="18">
        <v>20000</v>
      </c>
      <c r="J2568" s="18">
        <v>20000</v>
      </c>
      <c r="K2568" s="20" t="s">
        <v>4035</v>
      </c>
    </row>
    <row r="2569" spans="1:13" ht="25.5" x14ac:dyDescent="0.25">
      <c r="A2569" s="13" t="s">
        <v>10622</v>
      </c>
      <c r="B2569" s="13" t="s">
        <v>10192</v>
      </c>
      <c r="C2569" s="20" t="s">
        <v>4035</v>
      </c>
      <c r="D2569" s="19">
        <v>12795</v>
      </c>
      <c r="E2569" s="13" t="s">
        <v>10623</v>
      </c>
      <c r="F2569" s="14">
        <v>41255</v>
      </c>
      <c r="H2569" s="13" t="s">
        <v>651</v>
      </c>
      <c r="I2569" s="18">
        <v>20000</v>
      </c>
      <c r="J2569" s="18">
        <v>20000</v>
      </c>
      <c r="K2569" s="20" t="s">
        <v>4035</v>
      </c>
    </row>
    <row r="2570" spans="1:13" ht="38.25" x14ac:dyDescent="0.25">
      <c r="A2570" s="13" t="s">
        <v>10624</v>
      </c>
      <c r="B2570" s="13" t="s">
        <v>10625</v>
      </c>
      <c r="C2570" s="20" t="s">
        <v>4035</v>
      </c>
      <c r="D2570" s="19">
        <v>12796</v>
      </c>
      <c r="E2570" s="13" t="s">
        <v>10626</v>
      </c>
      <c r="F2570" s="14">
        <v>41220</v>
      </c>
      <c r="H2570" s="13" t="s">
        <v>651</v>
      </c>
      <c r="I2570" s="18">
        <v>39723.480000000003</v>
      </c>
      <c r="J2570" s="18">
        <v>19861.740000000002</v>
      </c>
      <c r="K2570" s="20" t="s">
        <v>4035</v>
      </c>
    </row>
    <row r="2571" spans="1:13" ht="38.25" x14ac:dyDescent="0.25">
      <c r="A2571" s="13" t="s">
        <v>10627</v>
      </c>
      <c r="B2571" s="13" t="s">
        <v>10192</v>
      </c>
      <c r="C2571" s="20" t="s">
        <v>4035</v>
      </c>
      <c r="D2571" s="19">
        <v>12797</v>
      </c>
      <c r="E2571" s="13" t="s">
        <v>10628</v>
      </c>
      <c r="F2571" s="14">
        <v>41255</v>
      </c>
      <c r="H2571" s="13" t="s">
        <v>651</v>
      </c>
      <c r="I2571" s="18">
        <v>10000</v>
      </c>
      <c r="J2571" s="18">
        <v>10000</v>
      </c>
      <c r="K2571" s="20" t="s">
        <v>4035</v>
      </c>
    </row>
    <row r="2572" spans="1:13" ht="38.25" x14ac:dyDescent="0.25">
      <c r="A2572" s="13" t="s">
        <v>10629</v>
      </c>
      <c r="B2572" s="13" t="s">
        <v>10192</v>
      </c>
      <c r="C2572" s="20" t="s">
        <v>4035</v>
      </c>
      <c r="D2572" s="19">
        <v>12798</v>
      </c>
      <c r="E2572" s="13" t="s">
        <v>10630</v>
      </c>
      <c r="F2572" s="14">
        <v>41255</v>
      </c>
      <c r="H2572" s="13" t="s">
        <v>651</v>
      </c>
      <c r="I2572" s="18">
        <v>15000</v>
      </c>
      <c r="J2572" s="18">
        <v>15000</v>
      </c>
      <c r="K2572" s="20" t="s">
        <v>4035</v>
      </c>
    </row>
    <row r="2573" spans="1:13" ht="63.75" x14ac:dyDescent="0.25">
      <c r="A2573" s="13" t="s">
        <v>10631</v>
      </c>
      <c r="B2573" s="13" t="s">
        <v>10195</v>
      </c>
      <c r="C2573" s="20" t="s">
        <v>4035</v>
      </c>
      <c r="D2573" s="19">
        <v>12799</v>
      </c>
      <c r="E2573" s="13" t="s">
        <v>10632</v>
      </c>
      <c r="F2573" s="14">
        <v>41339</v>
      </c>
      <c r="H2573" s="13" t="s">
        <v>651</v>
      </c>
      <c r="I2573" s="18">
        <v>30000</v>
      </c>
      <c r="J2573" s="18">
        <v>15000</v>
      </c>
      <c r="K2573" s="20" t="s">
        <v>4035</v>
      </c>
    </row>
    <row r="2574" spans="1:13" ht="38.25" x14ac:dyDescent="0.25">
      <c r="A2574" s="13" t="s">
        <v>10633</v>
      </c>
      <c r="B2574" s="13" t="s">
        <v>10192</v>
      </c>
      <c r="C2574" s="20" t="s">
        <v>4035</v>
      </c>
      <c r="D2574" s="19">
        <v>12800</v>
      </c>
      <c r="E2574" s="13" t="s">
        <v>10634</v>
      </c>
      <c r="F2574" s="14">
        <v>41220</v>
      </c>
      <c r="H2574" s="13" t="s">
        <v>651</v>
      </c>
      <c r="I2574" s="18">
        <v>28200</v>
      </c>
      <c r="J2574" s="18">
        <v>14100</v>
      </c>
      <c r="K2574" s="20" t="s">
        <v>4035</v>
      </c>
    </row>
    <row r="2575" spans="1:13" ht="38.25" x14ac:dyDescent="0.25">
      <c r="A2575" s="13" t="s">
        <v>10635</v>
      </c>
      <c r="B2575" s="13" t="s">
        <v>10625</v>
      </c>
      <c r="C2575" s="20" t="s">
        <v>4035</v>
      </c>
      <c r="D2575" s="19">
        <v>12801</v>
      </c>
      <c r="E2575" s="13" t="s">
        <v>10636</v>
      </c>
      <c r="F2575" s="14">
        <v>41157</v>
      </c>
      <c r="H2575" s="13" t="s">
        <v>651</v>
      </c>
      <c r="I2575" s="18">
        <v>10000</v>
      </c>
      <c r="J2575" s="18">
        <v>5000</v>
      </c>
      <c r="K2575" s="20" t="s">
        <v>4035</v>
      </c>
    </row>
    <row r="2576" spans="1:13" ht="25.5" x14ac:dyDescent="0.25">
      <c r="A2576" s="13" t="s">
        <v>10637</v>
      </c>
      <c r="B2576" s="13" t="s">
        <v>10625</v>
      </c>
      <c r="C2576" s="20" t="s">
        <v>4035</v>
      </c>
      <c r="D2576" s="19">
        <v>12802</v>
      </c>
      <c r="E2576" s="13" t="s">
        <v>10638</v>
      </c>
      <c r="F2576" s="14">
        <v>41339</v>
      </c>
      <c r="H2576" s="13" t="s">
        <v>651</v>
      </c>
      <c r="I2576" s="18">
        <v>10000</v>
      </c>
      <c r="J2576" s="18">
        <v>5000</v>
      </c>
      <c r="K2576" s="20" t="s">
        <v>4035</v>
      </c>
    </row>
    <row r="2577" spans="1:13" ht="38.25" x14ac:dyDescent="0.25">
      <c r="A2577" s="13" t="s">
        <v>10639</v>
      </c>
      <c r="B2577" s="13" t="s">
        <v>10192</v>
      </c>
      <c r="C2577" s="20" t="s">
        <v>4035</v>
      </c>
      <c r="D2577" s="19">
        <v>12803</v>
      </c>
      <c r="E2577" s="13" t="s">
        <v>10640</v>
      </c>
      <c r="F2577" s="14">
        <v>41339</v>
      </c>
      <c r="H2577" s="13" t="s">
        <v>651</v>
      </c>
      <c r="I2577" s="18">
        <v>3750</v>
      </c>
      <c r="J2577" s="18">
        <v>3750</v>
      </c>
      <c r="K2577" s="20" t="s">
        <v>4035</v>
      </c>
    </row>
    <row r="2578" spans="1:13" ht="102" x14ac:dyDescent="0.25">
      <c r="A2578" s="13" t="s">
        <v>10641</v>
      </c>
      <c r="B2578" s="13" t="s">
        <v>10192</v>
      </c>
      <c r="C2578" s="20" t="s">
        <v>4035</v>
      </c>
      <c r="D2578" s="19">
        <v>12804</v>
      </c>
      <c r="E2578" s="13" t="s">
        <v>10642</v>
      </c>
      <c r="F2578" s="14">
        <v>41451</v>
      </c>
      <c r="H2578" s="13" t="s">
        <v>651</v>
      </c>
      <c r="I2578" s="18">
        <v>10000</v>
      </c>
      <c r="J2578" s="18">
        <v>10000</v>
      </c>
      <c r="K2578" s="20" t="s">
        <v>4035</v>
      </c>
    </row>
    <row r="2579" spans="1:13" ht="38.25" x14ac:dyDescent="0.25">
      <c r="A2579" s="13" t="s">
        <v>10643</v>
      </c>
      <c r="B2579" s="13" t="s">
        <v>10192</v>
      </c>
      <c r="C2579" s="20" t="s">
        <v>4035</v>
      </c>
      <c r="D2579" s="19">
        <v>12805</v>
      </c>
      <c r="E2579" s="13" t="s">
        <v>10644</v>
      </c>
      <c r="F2579" s="14">
        <v>41521</v>
      </c>
      <c r="H2579" s="13" t="s">
        <v>651</v>
      </c>
      <c r="I2579" s="18">
        <v>10000</v>
      </c>
      <c r="J2579" s="18">
        <v>10000</v>
      </c>
      <c r="K2579" s="20" t="s">
        <v>4035</v>
      </c>
    </row>
    <row r="2580" spans="1:13" ht="38.25" x14ac:dyDescent="0.25">
      <c r="A2580" s="13" t="s">
        <v>10647</v>
      </c>
      <c r="B2580" s="13" t="s">
        <v>10192</v>
      </c>
      <c r="C2580" s="20" t="s">
        <v>4035</v>
      </c>
      <c r="D2580" s="19">
        <v>12807</v>
      </c>
      <c r="E2580" s="13" t="s">
        <v>10648</v>
      </c>
      <c r="F2580" s="14">
        <v>41584</v>
      </c>
      <c r="H2580" s="13" t="s">
        <v>651</v>
      </c>
      <c r="I2580" s="18">
        <v>5000</v>
      </c>
      <c r="J2580" s="18">
        <v>5000</v>
      </c>
      <c r="K2580" s="20" t="s">
        <v>4035</v>
      </c>
    </row>
    <row r="2581" spans="1:13" ht="51" x14ac:dyDescent="0.25">
      <c r="A2581" s="13" t="s">
        <v>10649</v>
      </c>
      <c r="B2581" s="13" t="s">
        <v>10195</v>
      </c>
      <c r="C2581" s="20" t="s">
        <v>4035</v>
      </c>
      <c r="D2581" s="19">
        <v>12808</v>
      </c>
      <c r="E2581" s="13" t="s">
        <v>10650</v>
      </c>
      <c r="F2581" s="14">
        <v>41451</v>
      </c>
      <c r="H2581" s="13" t="s">
        <v>651</v>
      </c>
      <c r="I2581" s="18">
        <v>50000</v>
      </c>
      <c r="J2581" s="18">
        <v>50000</v>
      </c>
      <c r="K2581" s="20" t="s">
        <v>4035</v>
      </c>
    </row>
    <row r="2582" spans="1:13" s="4" customFormat="1" ht="51" x14ac:dyDescent="0.25">
      <c r="A2582" s="4" t="s">
        <v>4311</v>
      </c>
      <c r="B2582" s="4" t="s">
        <v>13</v>
      </c>
      <c r="C2582" s="37" t="s">
        <v>4035</v>
      </c>
      <c r="D2582" s="35">
        <v>3784</v>
      </c>
      <c r="E2582" s="4" t="s">
        <v>4312</v>
      </c>
      <c r="F2582" s="5">
        <v>39717</v>
      </c>
      <c r="G2582" s="5">
        <v>40085</v>
      </c>
      <c r="H2582" s="4" t="s">
        <v>2027</v>
      </c>
      <c r="I2582" s="6">
        <v>176752.83</v>
      </c>
      <c r="J2582" s="6">
        <v>73462.5</v>
      </c>
      <c r="K2582" s="37" t="s">
        <v>4035</v>
      </c>
      <c r="L2582" s="119"/>
      <c r="M2582" s="3"/>
    </row>
    <row r="2583" spans="1:13" s="4" customFormat="1" ht="153" x14ac:dyDescent="0.25">
      <c r="A2583" s="4" t="s">
        <v>4313</v>
      </c>
      <c r="B2583" s="4" t="s">
        <v>13</v>
      </c>
      <c r="C2583" s="37" t="s">
        <v>4035</v>
      </c>
      <c r="D2583" s="35">
        <v>10192</v>
      </c>
      <c r="E2583" s="7" t="s">
        <v>4314</v>
      </c>
      <c r="F2583" s="5">
        <v>40359</v>
      </c>
      <c r="G2583" s="5">
        <v>40877</v>
      </c>
      <c r="H2583" s="4" t="s">
        <v>2027</v>
      </c>
      <c r="I2583" s="6">
        <v>107618.39</v>
      </c>
      <c r="J2583" s="6">
        <v>48428.28</v>
      </c>
      <c r="K2583" s="37" t="s">
        <v>4035</v>
      </c>
      <c r="L2583" s="119"/>
      <c r="M2583" s="3"/>
    </row>
    <row r="2584" spans="1:13" s="4" customFormat="1" x14ac:dyDescent="0.25">
      <c r="C2584" s="37" t="s">
        <v>4035</v>
      </c>
      <c r="D2584" s="35"/>
      <c r="E2584" s="26" t="s">
        <v>351</v>
      </c>
      <c r="F2584" s="28"/>
      <c r="G2584" s="28"/>
      <c r="H2584" s="26"/>
      <c r="I2584" s="27">
        <f>SUM(I2427:I2435)</f>
        <v>558115.01</v>
      </c>
      <c r="J2584" s="27">
        <f>SUM(J2427:J2435)</f>
        <v>165612.84</v>
      </c>
      <c r="K2584" s="37" t="s">
        <v>4035</v>
      </c>
      <c r="L2584" s="119"/>
      <c r="M2584" s="3"/>
    </row>
    <row r="2585" spans="1:13" s="4" customFormat="1" x14ac:dyDescent="0.25">
      <c r="C2585" s="37" t="s">
        <v>4035</v>
      </c>
      <c r="D2585" s="35"/>
      <c r="E2585" s="26" t="s">
        <v>2643</v>
      </c>
      <c r="F2585" s="28"/>
      <c r="G2585" s="28"/>
      <c r="H2585" s="26"/>
      <c r="I2585" s="27">
        <f>SUM(I2436:I2437)</f>
        <v>88458.78</v>
      </c>
      <c r="J2585" s="27">
        <f>SUM(J2436:J2437)</f>
        <v>88458.78</v>
      </c>
      <c r="K2585" s="37" t="s">
        <v>4035</v>
      </c>
      <c r="L2585" s="119"/>
      <c r="M2585" s="3"/>
    </row>
    <row r="2586" spans="1:13" s="4" customFormat="1" x14ac:dyDescent="0.25">
      <c r="C2586" s="37" t="s">
        <v>4035</v>
      </c>
      <c r="D2586" s="35"/>
      <c r="E2586" s="26" t="s">
        <v>786</v>
      </c>
      <c r="F2586" s="28"/>
      <c r="G2586" s="28"/>
      <c r="H2586" s="26"/>
      <c r="I2586" s="27">
        <f>SUM(I2438:I2440)</f>
        <v>1606423.44</v>
      </c>
      <c r="J2586" s="27">
        <f>SUM(J2438:J2440)</f>
        <v>549503.31999999995</v>
      </c>
      <c r="K2586" s="37" t="s">
        <v>4035</v>
      </c>
      <c r="L2586" s="119"/>
      <c r="M2586" s="3"/>
    </row>
    <row r="2587" spans="1:13" s="4" customFormat="1" x14ac:dyDescent="0.25">
      <c r="C2587" s="37" t="s">
        <v>4035</v>
      </c>
      <c r="D2587" s="35"/>
      <c r="E2587" s="26" t="s">
        <v>352</v>
      </c>
      <c r="F2587" s="28"/>
      <c r="G2587" s="28"/>
      <c r="H2587" s="26"/>
      <c r="I2587" s="27">
        <f>SUM(I2441:I2581)</f>
        <v>5599522.8000000026</v>
      </c>
      <c r="J2587" s="27">
        <f>SUM(J2441:J2581)</f>
        <v>4751532.5100000035</v>
      </c>
      <c r="K2587" s="37" t="s">
        <v>4035</v>
      </c>
      <c r="L2587" s="119"/>
      <c r="M2587" s="3"/>
    </row>
    <row r="2588" spans="1:13" s="4" customFormat="1" x14ac:dyDescent="0.25">
      <c r="C2588" s="37" t="s">
        <v>4035</v>
      </c>
      <c r="D2588" s="35"/>
      <c r="E2588" s="26" t="s">
        <v>2028</v>
      </c>
      <c r="F2588" s="28"/>
      <c r="G2588" s="28"/>
      <c r="H2588" s="26"/>
      <c r="I2588" s="27">
        <f>SUM(I2582:I2583)</f>
        <v>284371.21999999997</v>
      </c>
      <c r="J2588" s="27">
        <f>SUM(J2582:J2583)</f>
        <v>121890.78</v>
      </c>
      <c r="K2588" s="37" t="s">
        <v>4035</v>
      </c>
      <c r="L2588" s="119"/>
      <c r="M2588" s="3"/>
    </row>
    <row r="2589" spans="1:13" s="4" customFormat="1" x14ac:dyDescent="0.25">
      <c r="C2589" s="37" t="s">
        <v>4035</v>
      </c>
      <c r="D2589" s="35"/>
      <c r="E2589" s="26" t="s">
        <v>4315</v>
      </c>
      <c r="F2589" s="28"/>
      <c r="G2589" s="28"/>
      <c r="H2589" s="26"/>
      <c r="I2589" s="27">
        <f>SUM(I2584:I2588)</f>
        <v>8136891.2500000028</v>
      </c>
      <c r="J2589" s="27">
        <f>SUM(J2584:J2588)</f>
        <v>5676998.2300000032</v>
      </c>
      <c r="K2589" s="37" t="s">
        <v>4035</v>
      </c>
      <c r="L2589" s="119">
        <f>J2589</f>
        <v>5676998.2300000032</v>
      </c>
      <c r="M2589" s="3">
        <f>SUM(J2589*0.4)</f>
        <v>2270799.2920000013</v>
      </c>
    </row>
    <row r="2591" spans="1:13" s="4" customFormat="1" ht="38.25" x14ac:dyDescent="0.2">
      <c r="A2591" s="117" t="s">
        <v>11473</v>
      </c>
      <c r="B2591" s="4" t="s">
        <v>13</v>
      </c>
      <c r="C2591" s="37" t="s">
        <v>4318</v>
      </c>
      <c r="D2591" s="35">
        <v>4414</v>
      </c>
      <c r="E2591" s="91" t="s">
        <v>11758</v>
      </c>
      <c r="F2591" s="5"/>
      <c r="G2591" s="5"/>
      <c r="H2591" s="4" t="s">
        <v>2032</v>
      </c>
      <c r="I2591" s="6">
        <v>998906.07</v>
      </c>
      <c r="J2591" s="6">
        <v>998906.07</v>
      </c>
      <c r="K2591" s="37" t="s">
        <v>4318</v>
      </c>
      <c r="L2591" s="119"/>
      <c r="M2591" s="3"/>
    </row>
    <row r="2592" spans="1:13" s="32" customFormat="1" ht="89.25" x14ac:dyDescent="0.25">
      <c r="A2592" s="13" t="s">
        <v>11469</v>
      </c>
      <c r="B2592" s="32" t="s">
        <v>13</v>
      </c>
      <c r="C2592" s="38" t="s">
        <v>4318</v>
      </c>
      <c r="D2592" s="33">
        <v>6538</v>
      </c>
      <c r="E2592" s="13" t="s">
        <v>11470</v>
      </c>
      <c r="F2592" s="34">
        <v>40544</v>
      </c>
      <c r="G2592" s="34">
        <v>41274</v>
      </c>
      <c r="H2592" s="4" t="s">
        <v>2032</v>
      </c>
      <c r="I2592" s="94">
        <v>259018.21</v>
      </c>
      <c r="J2592" s="94">
        <v>259018.21</v>
      </c>
      <c r="K2592" s="38" t="s">
        <v>4318</v>
      </c>
      <c r="L2592" s="122"/>
    </row>
    <row r="2593" spans="1:13" s="4" customFormat="1" ht="76.5" x14ac:dyDescent="0.25">
      <c r="A2593" s="4" t="s">
        <v>4319</v>
      </c>
      <c r="B2593" s="4" t="s">
        <v>13</v>
      </c>
      <c r="C2593" s="37" t="s">
        <v>4318</v>
      </c>
      <c r="D2593" s="35">
        <v>3897</v>
      </c>
      <c r="E2593" s="7" t="s">
        <v>4320</v>
      </c>
      <c r="F2593" s="5">
        <v>39955</v>
      </c>
      <c r="G2593" s="5">
        <v>40140</v>
      </c>
      <c r="H2593" s="4" t="s">
        <v>16</v>
      </c>
      <c r="I2593" s="6">
        <v>28500</v>
      </c>
      <c r="J2593" s="6">
        <v>11400</v>
      </c>
      <c r="K2593" s="37" t="s">
        <v>4318</v>
      </c>
      <c r="L2593" s="119"/>
      <c r="M2593" s="3"/>
    </row>
    <row r="2594" spans="1:13" s="4" customFormat="1" ht="38.25" x14ac:dyDescent="0.25">
      <c r="A2594" s="4" t="s">
        <v>4321</v>
      </c>
      <c r="B2594" s="4" t="s">
        <v>13</v>
      </c>
      <c r="C2594" s="37" t="s">
        <v>4318</v>
      </c>
      <c r="D2594" s="35">
        <v>3898</v>
      </c>
      <c r="E2594" s="4" t="s">
        <v>4322</v>
      </c>
      <c r="F2594" s="5">
        <v>39360</v>
      </c>
      <c r="G2594" s="5">
        <v>39507</v>
      </c>
      <c r="H2594" s="4" t="s">
        <v>16</v>
      </c>
      <c r="I2594" s="6">
        <v>11850</v>
      </c>
      <c r="J2594" s="6">
        <v>4740</v>
      </c>
      <c r="K2594" s="37" t="s">
        <v>4318</v>
      </c>
      <c r="L2594" s="119"/>
      <c r="M2594" s="3"/>
    </row>
    <row r="2595" spans="1:13" s="4" customFormat="1" x14ac:dyDescent="0.25">
      <c r="A2595" s="4" t="s">
        <v>4323</v>
      </c>
      <c r="B2595" s="4" t="s">
        <v>13</v>
      </c>
      <c r="C2595" s="37" t="s">
        <v>4318</v>
      </c>
      <c r="D2595" s="35">
        <v>4078</v>
      </c>
      <c r="E2595" s="4" t="s">
        <v>4324</v>
      </c>
      <c r="F2595" s="5">
        <v>39671</v>
      </c>
      <c r="G2595" s="5">
        <v>40025</v>
      </c>
      <c r="H2595" s="4" t="s">
        <v>16</v>
      </c>
      <c r="I2595" s="6">
        <v>47178.400000000001</v>
      </c>
      <c r="J2595" s="6">
        <v>13500</v>
      </c>
      <c r="K2595" s="37" t="s">
        <v>4318</v>
      </c>
      <c r="L2595" s="119"/>
      <c r="M2595" s="3"/>
    </row>
    <row r="2596" spans="1:13" s="4" customFormat="1" ht="76.5" x14ac:dyDescent="0.25">
      <c r="A2596" s="4" t="s">
        <v>4325</v>
      </c>
      <c r="B2596" s="4" t="s">
        <v>13</v>
      </c>
      <c r="C2596" s="37" t="s">
        <v>4318</v>
      </c>
      <c r="D2596" s="35">
        <v>4079</v>
      </c>
      <c r="E2596" s="7" t="s">
        <v>4326</v>
      </c>
      <c r="F2596" s="5">
        <v>39464</v>
      </c>
      <c r="G2596" s="5">
        <v>39538</v>
      </c>
      <c r="H2596" s="4" t="s">
        <v>16</v>
      </c>
      <c r="I2596" s="6">
        <v>18101.54</v>
      </c>
      <c r="J2596" s="6">
        <v>4704</v>
      </c>
      <c r="K2596" s="37" t="s">
        <v>4318</v>
      </c>
      <c r="L2596" s="119"/>
      <c r="M2596" s="3"/>
    </row>
    <row r="2597" spans="1:13" s="4" customFormat="1" ht="25.5" x14ac:dyDescent="0.25">
      <c r="A2597" s="4" t="s">
        <v>4327</v>
      </c>
      <c r="B2597" s="4" t="s">
        <v>13</v>
      </c>
      <c r="C2597" s="37" t="s">
        <v>4318</v>
      </c>
      <c r="D2597" s="35">
        <v>4080</v>
      </c>
      <c r="E2597" s="4" t="s">
        <v>4328</v>
      </c>
      <c r="F2597" s="5">
        <v>39966</v>
      </c>
      <c r="G2597" s="5">
        <v>40217</v>
      </c>
      <c r="H2597" s="4" t="s">
        <v>16</v>
      </c>
      <c r="I2597" s="6">
        <v>7424.59</v>
      </c>
      <c r="J2597" s="6">
        <v>2227.38</v>
      </c>
      <c r="K2597" s="37" t="s">
        <v>4318</v>
      </c>
      <c r="L2597" s="119"/>
      <c r="M2597" s="3"/>
    </row>
    <row r="2598" spans="1:13" s="4" customFormat="1" ht="76.5" x14ac:dyDescent="0.25">
      <c r="A2598" s="4" t="s">
        <v>4329</v>
      </c>
      <c r="B2598" s="4" t="s">
        <v>13</v>
      </c>
      <c r="C2598" s="37" t="s">
        <v>4318</v>
      </c>
      <c r="D2598" s="35">
        <v>4081</v>
      </c>
      <c r="E2598" s="7" t="s">
        <v>4330</v>
      </c>
      <c r="F2598" s="5">
        <v>39671</v>
      </c>
      <c r="G2598" s="5">
        <v>39791</v>
      </c>
      <c r="H2598" s="4" t="s">
        <v>16</v>
      </c>
      <c r="I2598" s="6">
        <v>7806.15</v>
      </c>
      <c r="J2598" s="6">
        <v>2341.85</v>
      </c>
      <c r="K2598" s="37" t="s">
        <v>4318</v>
      </c>
      <c r="L2598" s="119"/>
      <c r="M2598" s="3"/>
    </row>
    <row r="2599" spans="1:13" s="4" customFormat="1" ht="38.25" x14ac:dyDescent="0.25">
      <c r="A2599" s="4" t="s">
        <v>4331</v>
      </c>
      <c r="B2599" s="4" t="s">
        <v>13</v>
      </c>
      <c r="C2599" s="37" t="s">
        <v>4318</v>
      </c>
      <c r="D2599" s="35">
        <v>4082</v>
      </c>
      <c r="E2599" s="4" t="s">
        <v>4332</v>
      </c>
      <c r="F2599" s="5">
        <v>39616</v>
      </c>
      <c r="G2599" s="5">
        <v>39721</v>
      </c>
      <c r="H2599" s="4" t="s">
        <v>16</v>
      </c>
      <c r="I2599" s="6">
        <v>9210.57</v>
      </c>
      <c r="J2599" s="6">
        <v>2763.14</v>
      </c>
      <c r="K2599" s="37" t="s">
        <v>4318</v>
      </c>
      <c r="L2599" s="119"/>
      <c r="M2599" s="3"/>
    </row>
    <row r="2600" spans="1:13" s="4" customFormat="1" ht="38.25" x14ac:dyDescent="0.25">
      <c r="A2600" s="4" t="s">
        <v>4333</v>
      </c>
      <c r="B2600" s="4" t="s">
        <v>13</v>
      </c>
      <c r="C2600" s="37" t="s">
        <v>4318</v>
      </c>
      <c r="D2600" s="35">
        <v>4083</v>
      </c>
      <c r="E2600" s="4" t="s">
        <v>4334</v>
      </c>
      <c r="F2600" s="5">
        <v>39415</v>
      </c>
      <c r="G2600" s="5">
        <v>39672</v>
      </c>
      <c r="H2600" s="4" t="s">
        <v>16</v>
      </c>
      <c r="I2600" s="6">
        <v>10112</v>
      </c>
      <c r="J2600" s="6">
        <v>3033.6</v>
      </c>
      <c r="K2600" s="37" t="s">
        <v>4318</v>
      </c>
      <c r="L2600" s="119"/>
      <c r="M2600" s="3"/>
    </row>
    <row r="2601" spans="1:13" s="4" customFormat="1" ht="38.25" x14ac:dyDescent="0.25">
      <c r="A2601" s="4" t="s">
        <v>4335</v>
      </c>
      <c r="B2601" s="4" t="s">
        <v>13</v>
      </c>
      <c r="C2601" s="37" t="s">
        <v>4318</v>
      </c>
      <c r="D2601" s="35">
        <v>4085</v>
      </c>
      <c r="E2601" s="4" t="s">
        <v>4336</v>
      </c>
      <c r="F2601" s="5">
        <v>39671</v>
      </c>
      <c r="G2601" s="5">
        <v>39812</v>
      </c>
      <c r="H2601" s="4" t="s">
        <v>16</v>
      </c>
      <c r="I2601" s="6">
        <v>11316.61</v>
      </c>
      <c r="J2601" s="6">
        <v>2606</v>
      </c>
      <c r="K2601" s="37" t="s">
        <v>4318</v>
      </c>
      <c r="L2601" s="119"/>
      <c r="M2601" s="3"/>
    </row>
    <row r="2602" spans="1:13" s="4" customFormat="1" ht="25.5" x14ac:dyDescent="0.25">
      <c r="A2602" s="4" t="s">
        <v>4337</v>
      </c>
      <c r="B2602" s="4" t="s">
        <v>13</v>
      </c>
      <c r="C2602" s="37" t="s">
        <v>4318</v>
      </c>
      <c r="D2602" s="35">
        <v>4087</v>
      </c>
      <c r="E2602" s="4" t="s">
        <v>4338</v>
      </c>
      <c r="F2602" s="5">
        <v>39770</v>
      </c>
      <c r="G2602" s="5">
        <v>39962</v>
      </c>
      <c r="H2602" s="4" t="s">
        <v>16</v>
      </c>
      <c r="I2602" s="6">
        <v>28000</v>
      </c>
      <c r="J2602" s="6">
        <v>8220</v>
      </c>
      <c r="K2602" s="37" t="s">
        <v>4318</v>
      </c>
      <c r="L2602" s="119"/>
      <c r="M2602" s="3"/>
    </row>
    <row r="2603" spans="1:13" s="4" customFormat="1" ht="76.5" x14ac:dyDescent="0.25">
      <c r="A2603" s="4" t="s">
        <v>4339</v>
      </c>
      <c r="B2603" s="4" t="s">
        <v>13</v>
      </c>
      <c r="C2603" s="37" t="s">
        <v>4318</v>
      </c>
      <c r="D2603" s="35">
        <v>4090</v>
      </c>
      <c r="E2603" s="4" t="s">
        <v>4340</v>
      </c>
      <c r="F2603" s="5">
        <v>39659</v>
      </c>
      <c r="G2603" s="5">
        <v>39752</v>
      </c>
      <c r="H2603" s="4" t="s">
        <v>16</v>
      </c>
      <c r="I2603" s="6">
        <v>14957.95</v>
      </c>
      <c r="J2603" s="6">
        <v>4487.3900000000003</v>
      </c>
      <c r="K2603" s="37" t="s">
        <v>4318</v>
      </c>
      <c r="L2603" s="119"/>
      <c r="M2603" s="3"/>
    </row>
    <row r="2604" spans="1:13" s="4" customFormat="1" ht="38.25" x14ac:dyDescent="0.25">
      <c r="A2604" s="4" t="s">
        <v>4341</v>
      </c>
      <c r="B2604" s="4" t="s">
        <v>13</v>
      </c>
      <c r="C2604" s="37" t="s">
        <v>4318</v>
      </c>
      <c r="D2604" s="35">
        <v>4093</v>
      </c>
      <c r="E2604" s="4" t="s">
        <v>4342</v>
      </c>
      <c r="F2604" s="5">
        <v>39792</v>
      </c>
      <c r="G2604" s="5">
        <v>40116</v>
      </c>
      <c r="H2604" s="4" t="s">
        <v>16</v>
      </c>
      <c r="I2604" s="6">
        <v>8350</v>
      </c>
      <c r="J2604" s="6">
        <v>3340</v>
      </c>
      <c r="K2604" s="37" t="s">
        <v>4318</v>
      </c>
      <c r="L2604" s="119"/>
      <c r="M2604" s="3"/>
    </row>
    <row r="2605" spans="1:13" s="4" customFormat="1" ht="63.75" x14ac:dyDescent="0.25">
      <c r="A2605" s="4" t="s">
        <v>4343</v>
      </c>
      <c r="B2605" s="4" t="s">
        <v>13</v>
      </c>
      <c r="C2605" s="37" t="s">
        <v>4318</v>
      </c>
      <c r="D2605" s="35">
        <v>4097</v>
      </c>
      <c r="E2605" s="4" t="s">
        <v>4344</v>
      </c>
      <c r="F2605" s="5">
        <v>39328</v>
      </c>
      <c r="G2605" s="5">
        <v>39721</v>
      </c>
      <c r="H2605" s="4" t="s">
        <v>16</v>
      </c>
      <c r="I2605" s="6">
        <v>30500</v>
      </c>
      <c r="J2605" s="6">
        <v>9150</v>
      </c>
      <c r="K2605" s="37" t="s">
        <v>4318</v>
      </c>
      <c r="L2605" s="119"/>
      <c r="M2605" s="3"/>
    </row>
    <row r="2606" spans="1:13" s="4" customFormat="1" ht="63.75" x14ac:dyDescent="0.25">
      <c r="A2606" s="4" t="s">
        <v>4345</v>
      </c>
      <c r="B2606" s="4" t="s">
        <v>13</v>
      </c>
      <c r="C2606" s="37" t="s">
        <v>4318</v>
      </c>
      <c r="D2606" s="35">
        <v>4100</v>
      </c>
      <c r="E2606" s="4" t="s">
        <v>4346</v>
      </c>
      <c r="F2606" s="5">
        <v>39406</v>
      </c>
      <c r="G2606" s="5">
        <v>39538</v>
      </c>
      <c r="H2606" s="4" t="s">
        <v>16</v>
      </c>
      <c r="I2606" s="6">
        <v>240000</v>
      </c>
      <c r="J2606" s="6">
        <v>31500</v>
      </c>
      <c r="K2606" s="37" t="s">
        <v>4318</v>
      </c>
      <c r="L2606" s="119"/>
      <c r="M2606" s="3"/>
    </row>
    <row r="2607" spans="1:13" s="4" customFormat="1" ht="76.5" x14ac:dyDescent="0.25">
      <c r="A2607" s="4" t="s">
        <v>4327</v>
      </c>
      <c r="B2607" s="4" t="s">
        <v>13</v>
      </c>
      <c r="C2607" s="37" t="s">
        <v>4318</v>
      </c>
      <c r="D2607" s="35">
        <v>4103</v>
      </c>
      <c r="E2607" s="7" t="s">
        <v>4347</v>
      </c>
      <c r="F2607" s="5">
        <v>39847</v>
      </c>
      <c r="G2607" s="5">
        <v>39933</v>
      </c>
      <c r="H2607" s="4" t="s">
        <v>16</v>
      </c>
      <c r="I2607" s="6">
        <v>1234.57</v>
      </c>
      <c r="J2607" s="6">
        <v>493.83</v>
      </c>
      <c r="K2607" s="37" t="s">
        <v>4318</v>
      </c>
      <c r="L2607" s="119"/>
      <c r="M2607" s="3"/>
    </row>
    <row r="2608" spans="1:13" s="4" customFormat="1" x14ac:dyDescent="0.25">
      <c r="A2608" s="4" t="s">
        <v>4348</v>
      </c>
      <c r="B2608" s="4" t="s">
        <v>13</v>
      </c>
      <c r="C2608" s="37" t="s">
        <v>4318</v>
      </c>
      <c r="D2608" s="35">
        <v>4106</v>
      </c>
      <c r="E2608" s="4" t="s">
        <v>4349</v>
      </c>
      <c r="F2608" s="5">
        <v>39821</v>
      </c>
      <c r="G2608" s="5">
        <v>40221</v>
      </c>
      <c r="H2608" s="4" t="s">
        <v>16</v>
      </c>
      <c r="I2608" s="6">
        <v>6174.4</v>
      </c>
      <c r="J2608" s="6">
        <v>1950</v>
      </c>
      <c r="K2608" s="37" t="s">
        <v>4318</v>
      </c>
      <c r="L2608" s="119"/>
      <c r="M2608" s="3"/>
    </row>
    <row r="2609" spans="1:13" s="4" customFormat="1" ht="25.5" x14ac:dyDescent="0.25">
      <c r="A2609" s="4" t="s">
        <v>4350</v>
      </c>
      <c r="B2609" s="4" t="s">
        <v>13</v>
      </c>
      <c r="C2609" s="37" t="s">
        <v>4318</v>
      </c>
      <c r="D2609" s="35">
        <v>9890</v>
      </c>
      <c r="E2609" s="4" t="s">
        <v>4351</v>
      </c>
      <c r="F2609" s="5">
        <v>40319</v>
      </c>
      <c r="G2609" s="5">
        <v>40508</v>
      </c>
      <c r="H2609" s="4" t="s">
        <v>16</v>
      </c>
      <c r="I2609" s="6">
        <v>11453.74</v>
      </c>
      <c r="J2609" s="6">
        <v>2606.4</v>
      </c>
      <c r="K2609" s="37" t="s">
        <v>4318</v>
      </c>
      <c r="L2609" s="119"/>
      <c r="M2609" s="3"/>
    </row>
    <row r="2610" spans="1:13" s="4" customFormat="1" x14ac:dyDescent="0.25">
      <c r="A2610" s="4" t="s">
        <v>4352</v>
      </c>
      <c r="B2610" s="4" t="s">
        <v>13</v>
      </c>
      <c r="C2610" s="37" t="s">
        <v>4318</v>
      </c>
      <c r="D2610" s="35">
        <v>9918</v>
      </c>
      <c r="E2610" s="4" t="s">
        <v>4353</v>
      </c>
      <c r="F2610" s="5">
        <v>40289</v>
      </c>
      <c r="G2610" s="5">
        <v>40483</v>
      </c>
      <c r="H2610" s="4" t="s">
        <v>16</v>
      </c>
      <c r="I2610" s="6">
        <v>7062.98</v>
      </c>
      <c r="J2610" s="6">
        <v>2118.89</v>
      </c>
      <c r="K2610" s="37" t="s">
        <v>4318</v>
      </c>
      <c r="L2610" s="119"/>
      <c r="M2610" s="3"/>
    </row>
    <row r="2611" spans="1:13" s="4" customFormat="1" ht="38.25" x14ac:dyDescent="0.25">
      <c r="A2611" s="4" t="s">
        <v>4354</v>
      </c>
      <c r="B2611" s="4" t="s">
        <v>13</v>
      </c>
      <c r="C2611" s="37" t="s">
        <v>4318</v>
      </c>
      <c r="D2611" s="35">
        <v>9973</v>
      </c>
      <c r="E2611" s="4" t="s">
        <v>4355</v>
      </c>
      <c r="F2611" s="5">
        <v>40493</v>
      </c>
      <c r="G2611" s="5">
        <v>40695</v>
      </c>
      <c r="H2611" s="4" t="s">
        <v>16</v>
      </c>
      <c r="I2611" s="6">
        <v>20000</v>
      </c>
      <c r="J2611" s="6">
        <v>8000</v>
      </c>
      <c r="K2611" s="37" t="s">
        <v>4318</v>
      </c>
      <c r="L2611" s="119"/>
      <c r="M2611" s="3"/>
    </row>
    <row r="2612" spans="1:13" s="4" customFormat="1" x14ac:dyDescent="0.25">
      <c r="A2612" s="4" t="s">
        <v>4356</v>
      </c>
      <c r="B2612" s="4" t="s">
        <v>13</v>
      </c>
      <c r="C2612" s="37" t="s">
        <v>4318</v>
      </c>
      <c r="D2612" s="35">
        <v>9986</v>
      </c>
      <c r="E2612" s="4" t="s">
        <v>4357</v>
      </c>
      <c r="F2612" s="5">
        <v>40526</v>
      </c>
      <c r="G2612" s="5">
        <v>40693</v>
      </c>
      <c r="H2612" s="4" t="s">
        <v>16</v>
      </c>
      <c r="I2612" s="6">
        <v>46077.13</v>
      </c>
      <c r="J2612" s="6">
        <v>13200</v>
      </c>
      <c r="K2612" s="37" t="s">
        <v>4318</v>
      </c>
      <c r="L2612" s="119"/>
      <c r="M2612" s="3"/>
    </row>
    <row r="2613" spans="1:13" s="4" customFormat="1" ht="25.5" x14ac:dyDescent="0.25">
      <c r="A2613" s="4" t="s">
        <v>4358</v>
      </c>
      <c r="B2613" s="4" t="s">
        <v>13</v>
      </c>
      <c r="C2613" s="37" t="s">
        <v>4318</v>
      </c>
      <c r="D2613" s="35">
        <v>10000</v>
      </c>
      <c r="E2613" s="4" t="s">
        <v>4359</v>
      </c>
      <c r="F2613" s="5">
        <v>40129</v>
      </c>
      <c r="G2613" s="5">
        <v>40364</v>
      </c>
      <c r="H2613" s="4" t="s">
        <v>16</v>
      </c>
      <c r="I2613" s="6">
        <v>13920.7</v>
      </c>
      <c r="J2613" s="6">
        <v>3632.64</v>
      </c>
      <c r="K2613" s="37" t="s">
        <v>4318</v>
      </c>
      <c r="L2613" s="119"/>
      <c r="M2613" s="3"/>
    </row>
    <row r="2614" spans="1:13" s="4" customFormat="1" x14ac:dyDescent="0.25">
      <c r="A2614" s="4" t="s">
        <v>4360</v>
      </c>
      <c r="B2614" s="4" t="s">
        <v>13</v>
      </c>
      <c r="C2614" s="37" t="s">
        <v>4318</v>
      </c>
      <c r="D2614" s="35">
        <v>10056</v>
      </c>
      <c r="E2614" s="4" t="s">
        <v>4361</v>
      </c>
      <c r="F2614" s="5">
        <v>40455</v>
      </c>
      <c r="G2614" s="5">
        <v>40570</v>
      </c>
      <c r="H2614" s="4" t="s">
        <v>16</v>
      </c>
      <c r="I2614" s="6">
        <v>9436</v>
      </c>
      <c r="J2614" s="6">
        <v>2830.8</v>
      </c>
      <c r="K2614" s="37" t="s">
        <v>4318</v>
      </c>
      <c r="L2614" s="119"/>
      <c r="M2614" s="3"/>
    </row>
    <row r="2615" spans="1:13" s="4" customFormat="1" x14ac:dyDescent="0.25">
      <c r="A2615" s="4" t="s">
        <v>4339</v>
      </c>
      <c r="B2615" s="4" t="s">
        <v>13</v>
      </c>
      <c r="C2615" s="37" t="s">
        <v>4318</v>
      </c>
      <c r="D2615" s="35">
        <v>10161</v>
      </c>
      <c r="E2615" s="4" t="s">
        <v>4362</v>
      </c>
      <c r="F2615" s="5">
        <v>40526</v>
      </c>
      <c r="G2615" s="5">
        <v>40693</v>
      </c>
      <c r="H2615" s="4" t="s">
        <v>16</v>
      </c>
      <c r="I2615" s="6">
        <v>36000</v>
      </c>
      <c r="J2615" s="6">
        <v>10725</v>
      </c>
      <c r="K2615" s="37" t="s">
        <v>4318</v>
      </c>
      <c r="L2615" s="119"/>
      <c r="M2615" s="3"/>
    </row>
    <row r="2616" spans="1:13" s="4" customFormat="1" ht="38.25" x14ac:dyDescent="0.25">
      <c r="A2616" s="4" t="s">
        <v>4363</v>
      </c>
      <c r="B2616" s="4" t="s">
        <v>13</v>
      </c>
      <c r="C2616" s="37" t="s">
        <v>4318</v>
      </c>
      <c r="D2616" s="35">
        <v>9500</v>
      </c>
      <c r="E2616" s="4" t="s">
        <v>4364</v>
      </c>
      <c r="F2616" s="5">
        <v>39731</v>
      </c>
      <c r="G2616" s="5">
        <v>40154</v>
      </c>
      <c r="H2616" s="4" t="s">
        <v>389</v>
      </c>
      <c r="I2616" s="6">
        <v>31200</v>
      </c>
      <c r="J2616" s="6">
        <v>7000</v>
      </c>
      <c r="K2616" s="37" t="s">
        <v>4318</v>
      </c>
      <c r="L2616" s="119"/>
      <c r="M2616" s="3"/>
    </row>
    <row r="2617" spans="1:13" s="4" customFormat="1" ht="25.5" x14ac:dyDescent="0.25">
      <c r="A2617" s="4" t="s">
        <v>4365</v>
      </c>
      <c r="B2617" s="4" t="s">
        <v>13</v>
      </c>
      <c r="C2617" s="37" t="s">
        <v>4318</v>
      </c>
      <c r="D2617" s="35">
        <v>10223</v>
      </c>
      <c r="E2617" s="4" t="s">
        <v>4366</v>
      </c>
      <c r="F2617" s="5">
        <v>41142</v>
      </c>
      <c r="G2617" s="5">
        <v>41267</v>
      </c>
      <c r="H2617" s="4" t="s">
        <v>392</v>
      </c>
      <c r="I2617" s="6">
        <v>392117.85</v>
      </c>
      <c r="J2617" s="6">
        <v>117635.36</v>
      </c>
      <c r="K2617" s="37" t="s">
        <v>4318</v>
      </c>
      <c r="L2617" s="119"/>
      <c r="M2617" s="3"/>
    </row>
    <row r="2618" spans="1:13" s="4" customFormat="1" x14ac:dyDescent="0.25">
      <c r="A2618" s="4" t="s">
        <v>4367</v>
      </c>
      <c r="B2618" s="4" t="s">
        <v>50</v>
      </c>
      <c r="C2618" s="37" t="s">
        <v>4318</v>
      </c>
      <c r="D2618" s="35">
        <v>2120</v>
      </c>
      <c r="E2618" s="4" t="s">
        <v>4368</v>
      </c>
      <c r="F2618" s="5">
        <v>39146</v>
      </c>
      <c r="G2618" s="5">
        <v>39637</v>
      </c>
      <c r="H2618" s="4" t="s">
        <v>40</v>
      </c>
      <c r="I2618" s="6">
        <v>6758</v>
      </c>
      <c r="J2618" s="6">
        <v>3379</v>
      </c>
      <c r="K2618" s="37" t="s">
        <v>4318</v>
      </c>
      <c r="L2618" s="119"/>
      <c r="M2618" s="3"/>
    </row>
    <row r="2619" spans="1:13" s="4" customFormat="1" x14ac:dyDescent="0.25">
      <c r="A2619" s="4" t="s">
        <v>4369</v>
      </c>
      <c r="B2619" s="4" t="s">
        <v>59</v>
      </c>
      <c r="C2619" s="37" t="s">
        <v>4318</v>
      </c>
      <c r="D2619" s="35">
        <v>2121</v>
      </c>
      <c r="E2619" s="4" t="s">
        <v>4370</v>
      </c>
      <c r="F2619" s="5">
        <v>39146</v>
      </c>
      <c r="G2619" s="5">
        <v>39434</v>
      </c>
      <c r="H2619" s="4" t="s">
        <v>40</v>
      </c>
      <c r="I2619" s="6">
        <v>1250</v>
      </c>
      <c r="J2619" s="6">
        <v>1250</v>
      </c>
      <c r="K2619" s="37" t="s">
        <v>4318</v>
      </c>
      <c r="L2619" s="119"/>
      <c r="M2619" s="3"/>
    </row>
    <row r="2620" spans="1:13" s="4" customFormat="1" x14ac:dyDescent="0.25">
      <c r="A2620" s="4" t="s">
        <v>4371</v>
      </c>
      <c r="B2620" s="4" t="s">
        <v>50</v>
      </c>
      <c r="C2620" s="37" t="s">
        <v>4318</v>
      </c>
      <c r="D2620" s="35">
        <v>2122</v>
      </c>
      <c r="E2620" s="4" t="s">
        <v>4372</v>
      </c>
      <c r="F2620" s="5">
        <v>39146</v>
      </c>
      <c r="G2620" s="5">
        <v>39239</v>
      </c>
      <c r="H2620" s="4" t="s">
        <v>40</v>
      </c>
      <c r="I2620" s="6">
        <v>8000</v>
      </c>
      <c r="J2620" s="6">
        <v>4000</v>
      </c>
      <c r="K2620" s="37" t="s">
        <v>4318</v>
      </c>
      <c r="L2620" s="119"/>
      <c r="M2620" s="3"/>
    </row>
    <row r="2621" spans="1:13" s="4" customFormat="1" ht="25.5" x14ac:dyDescent="0.25">
      <c r="A2621" s="4" t="s">
        <v>4373</v>
      </c>
      <c r="B2621" s="4" t="s">
        <v>59</v>
      </c>
      <c r="C2621" s="37" t="s">
        <v>4318</v>
      </c>
      <c r="D2621" s="35">
        <v>2123</v>
      </c>
      <c r="E2621" s="4" t="s">
        <v>4374</v>
      </c>
      <c r="F2621" s="5">
        <v>39146</v>
      </c>
      <c r="G2621" s="5">
        <v>39458</v>
      </c>
      <c r="H2621" s="4" t="s">
        <v>40</v>
      </c>
      <c r="I2621" s="6">
        <v>3000</v>
      </c>
      <c r="J2621" s="6">
        <v>3000</v>
      </c>
      <c r="K2621" s="37" t="s">
        <v>4318</v>
      </c>
      <c r="L2621" s="119"/>
      <c r="M2621" s="3"/>
    </row>
    <row r="2622" spans="1:13" s="4" customFormat="1" x14ac:dyDescent="0.25">
      <c r="A2622" s="4" t="s">
        <v>4375</v>
      </c>
      <c r="B2622" s="4" t="s">
        <v>50</v>
      </c>
      <c r="C2622" s="37" t="s">
        <v>4318</v>
      </c>
      <c r="D2622" s="35">
        <v>2124</v>
      </c>
      <c r="E2622" s="4" t="s">
        <v>4376</v>
      </c>
      <c r="F2622" s="5">
        <v>39146</v>
      </c>
      <c r="G2622" s="5">
        <v>39328</v>
      </c>
      <c r="H2622" s="4" t="s">
        <v>40</v>
      </c>
      <c r="I2622" s="6">
        <v>11240</v>
      </c>
      <c r="J2622" s="6">
        <v>5620</v>
      </c>
      <c r="K2622" s="37" t="s">
        <v>4318</v>
      </c>
      <c r="L2622" s="119"/>
      <c r="M2622" s="3"/>
    </row>
    <row r="2623" spans="1:13" s="4" customFormat="1" x14ac:dyDescent="0.25">
      <c r="A2623" s="4" t="s">
        <v>4377</v>
      </c>
      <c r="B2623" s="4" t="s">
        <v>50</v>
      </c>
      <c r="C2623" s="37" t="s">
        <v>4318</v>
      </c>
      <c r="D2623" s="35">
        <v>2126</v>
      </c>
      <c r="E2623" s="4" t="s">
        <v>4378</v>
      </c>
      <c r="F2623" s="5">
        <v>39146</v>
      </c>
      <c r="G2623" s="5">
        <v>39548</v>
      </c>
      <c r="H2623" s="4" t="s">
        <v>40</v>
      </c>
      <c r="I2623" s="6">
        <v>40000</v>
      </c>
      <c r="J2623" s="6">
        <v>20000</v>
      </c>
      <c r="K2623" s="37" t="s">
        <v>4318</v>
      </c>
      <c r="L2623" s="119"/>
      <c r="M2623" s="3"/>
    </row>
    <row r="2624" spans="1:13" s="4" customFormat="1" x14ac:dyDescent="0.25">
      <c r="A2624" s="4" t="s">
        <v>4379</v>
      </c>
      <c r="B2624" s="4" t="s">
        <v>59</v>
      </c>
      <c r="C2624" s="37" t="s">
        <v>4318</v>
      </c>
      <c r="D2624" s="35">
        <v>2132</v>
      </c>
      <c r="E2624" s="4" t="s">
        <v>4380</v>
      </c>
      <c r="F2624" s="5">
        <v>39146</v>
      </c>
      <c r="G2624" s="5">
        <v>39829</v>
      </c>
      <c r="H2624" s="4" t="s">
        <v>40</v>
      </c>
      <c r="I2624" s="6">
        <v>15000</v>
      </c>
      <c r="J2624" s="6">
        <v>15000</v>
      </c>
      <c r="K2624" s="37" t="s">
        <v>4318</v>
      </c>
      <c r="L2624" s="119"/>
      <c r="M2624" s="3"/>
    </row>
    <row r="2625" spans="1:13" s="4" customFormat="1" x14ac:dyDescent="0.25">
      <c r="A2625" s="4" t="s">
        <v>4381</v>
      </c>
      <c r="B2625" s="4" t="s">
        <v>59</v>
      </c>
      <c r="C2625" s="37" t="s">
        <v>4318</v>
      </c>
      <c r="D2625" s="35">
        <v>2133</v>
      </c>
      <c r="E2625" s="4" t="s">
        <v>4382</v>
      </c>
      <c r="F2625" s="5">
        <v>39146</v>
      </c>
      <c r="G2625" s="5">
        <v>39358</v>
      </c>
      <c r="H2625" s="4" t="s">
        <v>40</v>
      </c>
      <c r="I2625" s="6">
        <v>7500</v>
      </c>
      <c r="J2625" s="6">
        <v>7500</v>
      </c>
      <c r="K2625" s="37" t="s">
        <v>4318</v>
      </c>
      <c r="L2625" s="119"/>
      <c r="M2625" s="3"/>
    </row>
    <row r="2626" spans="1:13" s="4" customFormat="1" x14ac:dyDescent="0.25">
      <c r="A2626" s="4" t="s">
        <v>4383</v>
      </c>
      <c r="B2626" s="4" t="s">
        <v>90</v>
      </c>
      <c r="C2626" s="37" t="s">
        <v>4318</v>
      </c>
      <c r="D2626" s="35">
        <v>2135</v>
      </c>
      <c r="E2626" s="4" t="s">
        <v>4384</v>
      </c>
      <c r="F2626" s="5">
        <v>39202</v>
      </c>
      <c r="G2626" s="5">
        <v>39444</v>
      </c>
      <c r="H2626" s="4" t="s">
        <v>40</v>
      </c>
      <c r="I2626" s="6">
        <v>5100</v>
      </c>
      <c r="J2626" s="6">
        <v>2550</v>
      </c>
      <c r="K2626" s="37" t="s">
        <v>4318</v>
      </c>
      <c r="L2626" s="119"/>
      <c r="M2626" s="3"/>
    </row>
    <row r="2627" spans="1:13" s="4" customFormat="1" x14ac:dyDescent="0.25">
      <c r="A2627" s="4" t="s">
        <v>4385</v>
      </c>
      <c r="B2627" s="4" t="s">
        <v>59</v>
      </c>
      <c r="C2627" s="37" t="s">
        <v>4318</v>
      </c>
      <c r="D2627" s="35">
        <v>2136</v>
      </c>
      <c r="E2627" s="4" t="s">
        <v>4386</v>
      </c>
      <c r="F2627" s="5">
        <v>39202</v>
      </c>
      <c r="G2627" s="5">
        <v>39475</v>
      </c>
      <c r="H2627" s="4" t="s">
        <v>40</v>
      </c>
      <c r="I2627" s="6">
        <v>22500</v>
      </c>
      <c r="J2627" s="6">
        <v>22500</v>
      </c>
      <c r="K2627" s="37" t="s">
        <v>4318</v>
      </c>
      <c r="L2627" s="119"/>
      <c r="M2627" s="3"/>
    </row>
    <row r="2628" spans="1:13" s="4" customFormat="1" ht="25.5" x14ac:dyDescent="0.25">
      <c r="A2628" s="4" t="s">
        <v>4387</v>
      </c>
      <c r="B2628" s="4" t="s">
        <v>90</v>
      </c>
      <c r="C2628" s="37" t="s">
        <v>4318</v>
      </c>
      <c r="D2628" s="35">
        <v>2138</v>
      </c>
      <c r="E2628" s="4" t="s">
        <v>4388</v>
      </c>
      <c r="F2628" s="5">
        <v>39202</v>
      </c>
      <c r="G2628" s="5">
        <v>39415</v>
      </c>
      <c r="H2628" s="4" t="s">
        <v>40</v>
      </c>
      <c r="I2628" s="6">
        <v>3620</v>
      </c>
      <c r="J2628" s="6">
        <v>1810</v>
      </c>
      <c r="K2628" s="37" t="s">
        <v>4318</v>
      </c>
      <c r="L2628" s="119"/>
      <c r="M2628" s="3"/>
    </row>
    <row r="2629" spans="1:13" s="4" customFormat="1" x14ac:dyDescent="0.25">
      <c r="A2629" s="4" t="s">
        <v>4389</v>
      </c>
      <c r="B2629" s="4" t="s">
        <v>59</v>
      </c>
      <c r="C2629" s="37" t="s">
        <v>4318</v>
      </c>
      <c r="D2629" s="35">
        <v>2139</v>
      </c>
      <c r="E2629" s="4" t="s">
        <v>4390</v>
      </c>
      <c r="F2629" s="5">
        <v>39202</v>
      </c>
      <c r="G2629" s="5">
        <v>39568</v>
      </c>
      <c r="H2629" s="4" t="s">
        <v>40</v>
      </c>
      <c r="I2629" s="6">
        <v>4994</v>
      </c>
      <c r="J2629" s="6">
        <v>4994</v>
      </c>
      <c r="K2629" s="37" t="s">
        <v>4318</v>
      </c>
      <c r="L2629" s="119"/>
      <c r="M2629" s="3"/>
    </row>
    <row r="2630" spans="1:13" s="4" customFormat="1" ht="25.5" x14ac:dyDescent="0.25">
      <c r="A2630" s="4" t="s">
        <v>4391</v>
      </c>
      <c r="B2630" s="4" t="s">
        <v>59</v>
      </c>
      <c r="C2630" s="37" t="s">
        <v>4318</v>
      </c>
      <c r="D2630" s="35">
        <v>2142</v>
      </c>
      <c r="E2630" s="4" t="s">
        <v>4392</v>
      </c>
      <c r="F2630" s="5">
        <v>39202</v>
      </c>
      <c r="G2630" s="5">
        <v>39415</v>
      </c>
      <c r="H2630" s="4" t="s">
        <v>40</v>
      </c>
      <c r="I2630" s="6">
        <v>7500</v>
      </c>
      <c r="J2630" s="6">
        <v>7500</v>
      </c>
      <c r="K2630" s="37" t="s">
        <v>4318</v>
      </c>
      <c r="L2630" s="119"/>
      <c r="M2630" s="3"/>
    </row>
    <row r="2631" spans="1:13" s="4" customFormat="1" ht="25.5" x14ac:dyDescent="0.25">
      <c r="A2631" s="4" t="s">
        <v>4393</v>
      </c>
      <c r="B2631" s="4" t="s">
        <v>59</v>
      </c>
      <c r="C2631" s="37" t="s">
        <v>4318</v>
      </c>
      <c r="D2631" s="35">
        <v>2144</v>
      </c>
      <c r="E2631" s="4" t="s">
        <v>4394</v>
      </c>
      <c r="F2631" s="5">
        <v>39202</v>
      </c>
      <c r="G2631" s="5">
        <v>39563</v>
      </c>
      <c r="H2631" s="4" t="s">
        <v>40</v>
      </c>
      <c r="I2631" s="6">
        <v>7500</v>
      </c>
      <c r="J2631" s="6">
        <v>7500</v>
      </c>
      <c r="K2631" s="37" t="s">
        <v>4318</v>
      </c>
      <c r="L2631" s="119"/>
      <c r="M2631" s="3"/>
    </row>
    <row r="2632" spans="1:13" s="4" customFormat="1" ht="25.5" x14ac:dyDescent="0.25">
      <c r="A2632" s="4" t="s">
        <v>4395</v>
      </c>
      <c r="B2632" s="4" t="s">
        <v>59</v>
      </c>
      <c r="C2632" s="37" t="s">
        <v>4318</v>
      </c>
      <c r="D2632" s="35">
        <v>2145</v>
      </c>
      <c r="E2632" s="4" t="s">
        <v>4396</v>
      </c>
      <c r="F2632" s="5">
        <v>39258</v>
      </c>
      <c r="G2632" s="5">
        <v>39554</v>
      </c>
      <c r="H2632" s="4" t="s">
        <v>40</v>
      </c>
      <c r="I2632" s="6">
        <v>22500</v>
      </c>
      <c r="J2632" s="6">
        <v>22500</v>
      </c>
      <c r="K2632" s="37" t="s">
        <v>4318</v>
      </c>
      <c r="L2632" s="119"/>
      <c r="M2632" s="3"/>
    </row>
    <row r="2633" spans="1:13" s="4" customFormat="1" ht="25.5" x14ac:dyDescent="0.25">
      <c r="A2633" s="4" t="s">
        <v>4397</v>
      </c>
      <c r="B2633" s="4" t="s">
        <v>50</v>
      </c>
      <c r="C2633" s="37" t="s">
        <v>4318</v>
      </c>
      <c r="D2633" s="35">
        <v>2146</v>
      </c>
      <c r="E2633" s="4" t="s">
        <v>4398</v>
      </c>
      <c r="F2633" s="5">
        <v>39258</v>
      </c>
      <c r="G2633" s="5">
        <v>39440</v>
      </c>
      <c r="H2633" s="4" t="s">
        <v>40</v>
      </c>
      <c r="I2633" s="6">
        <v>14000</v>
      </c>
      <c r="J2633" s="6">
        <v>7000</v>
      </c>
      <c r="K2633" s="37" t="s">
        <v>4318</v>
      </c>
      <c r="L2633" s="119"/>
      <c r="M2633" s="3"/>
    </row>
    <row r="2634" spans="1:13" s="4" customFormat="1" ht="25.5" x14ac:dyDescent="0.25">
      <c r="A2634" s="4" t="s">
        <v>4399</v>
      </c>
      <c r="B2634" s="4" t="s">
        <v>50</v>
      </c>
      <c r="C2634" s="37" t="s">
        <v>4318</v>
      </c>
      <c r="D2634" s="35">
        <v>2148</v>
      </c>
      <c r="E2634" s="4" t="s">
        <v>4400</v>
      </c>
      <c r="F2634" s="5">
        <v>39322</v>
      </c>
      <c r="G2634" s="5">
        <v>39504</v>
      </c>
      <c r="H2634" s="4" t="s">
        <v>40</v>
      </c>
      <c r="I2634" s="6">
        <v>6962.86</v>
      </c>
      <c r="J2634" s="6">
        <v>3481.43</v>
      </c>
      <c r="K2634" s="37" t="s">
        <v>4318</v>
      </c>
      <c r="L2634" s="119"/>
      <c r="M2634" s="3"/>
    </row>
    <row r="2635" spans="1:13" s="4" customFormat="1" ht="25.5" x14ac:dyDescent="0.25">
      <c r="A2635" s="4" t="s">
        <v>4401</v>
      </c>
      <c r="B2635" s="4" t="s">
        <v>50</v>
      </c>
      <c r="C2635" s="37" t="s">
        <v>4318</v>
      </c>
      <c r="D2635" s="35">
        <v>2150</v>
      </c>
      <c r="E2635" s="4" t="s">
        <v>4402</v>
      </c>
      <c r="F2635" s="5">
        <v>39322</v>
      </c>
      <c r="G2635" s="5">
        <v>39805</v>
      </c>
      <c r="H2635" s="4" t="s">
        <v>40</v>
      </c>
      <c r="I2635" s="6">
        <v>80000</v>
      </c>
      <c r="J2635" s="6">
        <v>40000</v>
      </c>
      <c r="K2635" s="37" t="s">
        <v>4318</v>
      </c>
      <c r="L2635" s="119"/>
      <c r="M2635" s="3"/>
    </row>
    <row r="2636" spans="1:13" s="4" customFormat="1" ht="38.25" x14ac:dyDescent="0.25">
      <c r="A2636" s="4" t="s">
        <v>4403</v>
      </c>
      <c r="B2636" s="4" t="s">
        <v>90</v>
      </c>
      <c r="C2636" s="37" t="s">
        <v>4318</v>
      </c>
      <c r="D2636" s="35">
        <v>2151</v>
      </c>
      <c r="E2636" s="4" t="s">
        <v>4404</v>
      </c>
      <c r="F2636" s="5">
        <v>39322</v>
      </c>
      <c r="G2636" s="5">
        <v>39420</v>
      </c>
      <c r="H2636" s="4" t="s">
        <v>40</v>
      </c>
      <c r="I2636" s="6">
        <v>7000</v>
      </c>
      <c r="J2636" s="6">
        <v>3500</v>
      </c>
      <c r="K2636" s="37" t="s">
        <v>4318</v>
      </c>
      <c r="L2636" s="119"/>
      <c r="M2636" s="3"/>
    </row>
    <row r="2637" spans="1:13" s="4" customFormat="1" ht="25.5" x14ac:dyDescent="0.25">
      <c r="A2637" s="4" t="s">
        <v>4405</v>
      </c>
      <c r="B2637" s="4" t="s">
        <v>90</v>
      </c>
      <c r="C2637" s="37" t="s">
        <v>4318</v>
      </c>
      <c r="D2637" s="35">
        <v>2152</v>
      </c>
      <c r="E2637" s="4" t="s">
        <v>4406</v>
      </c>
      <c r="F2637" s="5">
        <v>39377</v>
      </c>
      <c r="G2637" s="5">
        <v>39512</v>
      </c>
      <c r="H2637" s="4" t="s">
        <v>40</v>
      </c>
      <c r="I2637" s="6">
        <v>5000</v>
      </c>
      <c r="J2637" s="6">
        <v>2500</v>
      </c>
      <c r="K2637" s="37" t="s">
        <v>4318</v>
      </c>
      <c r="L2637" s="119"/>
      <c r="M2637" s="3"/>
    </row>
    <row r="2638" spans="1:13" s="4" customFormat="1" ht="38.25" x14ac:dyDescent="0.25">
      <c r="A2638" s="4" t="s">
        <v>4407</v>
      </c>
      <c r="B2638" s="4" t="s">
        <v>50</v>
      </c>
      <c r="C2638" s="37" t="s">
        <v>4318</v>
      </c>
      <c r="D2638" s="35">
        <v>2153</v>
      </c>
      <c r="E2638" s="4" t="s">
        <v>4408</v>
      </c>
      <c r="F2638" s="5">
        <v>39475</v>
      </c>
      <c r="G2638" s="5">
        <v>39675</v>
      </c>
      <c r="H2638" s="4" t="s">
        <v>40</v>
      </c>
      <c r="I2638" s="6">
        <v>40000</v>
      </c>
      <c r="J2638" s="6">
        <v>20000</v>
      </c>
      <c r="K2638" s="37" t="s">
        <v>4318</v>
      </c>
      <c r="L2638" s="119"/>
      <c r="M2638" s="3"/>
    </row>
    <row r="2639" spans="1:13" s="4" customFormat="1" ht="38.25" x14ac:dyDescent="0.25">
      <c r="A2639" s="4" t="s">
        <v>4409</v>
      </c>
      <c r="B2639" s="4" t="s">
        <v>90</v>
      </c>
      <c r="C2639" s="37" t="s">
        <v>4318</v>
      </c>
      <c r="D2639" s="35">
        <v>2156</v>
      </c>
      <c r="E2639" s="4" t="s">
        <v>4410</v>
      </c>
      <c r="F2639" s="5">
        <v>39475</v>
      </c>
      <c r="G2639" s="5">
        <v>39679</v>
      </c>
      <c r="H2639" s="4" t="s">
        <v>40</v>
      </c>
      <c r="I2639" s="6">
        <v>6260.94</v>
      </c>
      <c r="J2639" s="6">
        <v>3130.47</v>
      </c>
      <c r="K2639" s="37" t="s">
        <v>4318</v>
      </c>
      <c r="L2639" s="119"/>
      <c r="M2639" s="3"/>
    </row>
    <row r="2640" spans="1:13" s="4" customFormat="1" ht="38.25" x14ac:dyDescent="0.25">
      <c r="A2640" s="4" t="s">
        <v>4411</v>
      </c>
      <c r="B2640" s="4" t="s">
        <v>59</v>
      </c>
      <c r="C2640" s="37" t="s">
        <v>4318</v>
      </c>
      <c r="D2640" s="35">
        <v>2157</v>
      </c>
      <c r="E2640" s="4" t="s">
        <v>4412</v>
      </c>
      <c r="F2640" s="5">
        <v>39475</v>
      </c>
      <c r="G2640" s="5">
        <v>39805</v>
      </c>
      <c r="H2640" s="4" t="s">
        <v>40</v>
      </c>
      <c r="I2640" s="6">
        <v>15000</v>
      </c>
      <c r="J2640" s="6">
        <v>15000</v>
      </c>
      <c r="K2640" s="37" t="s">
        <v>4318</v>
      </c>
      <c r="L2640" s="119"/>
      <c r="M2640" s="3"/>
    </row>
    <row r="2641" spans="1:13" s="4" customFormat="1" ht="38.25" x14ac:dyDescent="0.25">
      <c r="A2641" s="4" t="s">
        <v>4413</v>
      </c>
      <c r="B2641" s="4" t="s">
        <v>50</v>
      </c>
      <c r="C2641" s="37" t="s">
        <v>4318</v>
      </c>
      <c r="D2641" s="35">
        <v>2184</v>
      </c>
      <c r="E2641" s="4" t="s">
        <v>4414</v>
      </c>
      <c r="F2641" s="5">
        <v>39475</v>
      </c>
      <c r="G2641" s="5">
        <v>39749</v>
      </c>
      <c r="H2641" s="4" t="s">
        <v>40</v>
      </c>
      <c r="I2641" s="6">
        <v>13762.5</v>
      </c>
      <c r="J2641" s="6">
        <v>6881.25</v>
      </c>
      <c r="K2641" s="37" t="s">
        <v>4318</v>
      </c>
      <c r="L2641" s="119"/>
      <c r="M2641" s="3"/>
    </row>
    <row r="2642" spans="1:13" s="4" customFormat="1" ht="25.5" x14ac:dyDescent="0.25">
      <c r="A2642" s="4" t="s">
        <v>4415</v>
      </c>
      <c r="B2642" s="4" t="s">
        <v>50</v>
      </c>
      <c r="C2642" s="37" t="s">
        <v>4318</v>
      </c>
      <c r="D2642" s="35">
        <v>2186</v>
      </c>
      <c r="E2642" s="4" t="s">
        <v>4416</v>
      </c>
      <c r="F2642" s="5">
        <v>39475</v>
      </c>
      <c r="G2642" s="5">
        <v>39681</v>
      </c>
      <c r="H2642" s="4" t="s">
        <v>40</v>
      </c>
      <c r="I2642" s="6">
        <v>14000</v>
      </c>
      <c r="J2642" s="6">
        <v>7000</v>
      </c>
      <c r="K2642" s="37" t="s">
        <v>4318</v>
      </c>
      <c r="L2642" s="119"/>
      <c r="M2642" s="3"/>
    </row>
    <row r="2643" spans="1:13" s="4" customFormat="1" ht="38.25" x14ac:dyDescent="0.25">
      <c r="A2643" s="4" t="s">
        <v>4417</v>
      </c>
      <c r="B2643" s="4" t="s">
        <v>50</v>
      </c>
      <c r="C2643" s="37" t="s">
        <v>4318</v>
      </c>
      <c r="D2643" s="35">
        <v>2187</v>
      </c>
      <c r="E2643" s="4" t="s">
        <v>4418</v>
      </c>
      <c r="F2643" s="5">
        <v>39475</v>
      </c>
      <c r="G2643" s="5">
        <v>39675</v>
      </c>
      <c r="H2643" s="4" t="s">
        <v>40</v>
      </c>
      <c r="I2643" s="6">
        <v>10760</v>
      </c>
      <c r="J2643" s="6">
        <v>5380</v>
      </c>
      <c r="K2643" s="37" t="s">
        <v>4318</v>
      </c>
      <c r="L2643" s="119"/>
      <c r="M2643" s="3"/>
    </row>
    <row r="2644" spans="1:13" s="4" customFormat="1" ht="38.25" x14ac:dyDescent="0.25">
      <c r="A2644" s="4" t="s">
        <v>4419</v>
      </c>
      <c r="B2644" s="4" t="s">
        <v>50</v>
      </c>
      <c r="C2644" s="37" t="s">
        <v>4318</v>
      </c>
      <c r="D2644" s="35">
        <v>2189</v>
      </c>
      <c r="E2644" s="4" t="s">
        <v>4420</v>
      </c>
      <c r="F2644" s="5">
        <v>39475</v>
      </c>
      <c r="G2644" s="5">
        <v>39765</v>
      </c>
      <c r="H2644" s="4" t="s">
        <v>40</v>
      </c>
      <c r="I2644" s="6">
        <v>100000</v>
      </c>
      <c r="J2644" s="6">
        <v>50000</v>
      </c>
      <c r="K2644" s="37" t="s">
        <v>4318</v>
      </c>
      <c r="L2644" s="119"/>
      <c r="M2644" s="3"/>
    </row>
    <row r="2645" spans="1:13" s="4" customFormat="1" ht="38.25" x14ac:dyDescent="0.25">
      <c r="A2645" s="4" t="s">
        <v>4421</v>
      </c>
      <c r="B2645" s="4" t="s">
        <v>59</v>
      </c>
      <c r="C2645" s="37" t="s">
        <v>4318</v>
      </c>
      <c r="D2645" s="35">
        <v>2200</v>
      </c>
      <c r="E2645" s="4" t="s">
        <v>4422</v>
      </c>
      <c r="F2645" s="5">
        <v>39475</v>
      </c>
      <c r="G2645" s="5">
        <v>39731</v>
      </c>
      <c r="H2645" s="4" t="s">
        <v>40</v>
      </c>
      <c r="I2645" s="6">
        <v>3750</v>
      </c>
      <c r="J2645" s="6">
        <v>3750</v>
      </c>
      <c r="K2645" s="37" t="s">
        <v>4318</v>
      </c>
      <c r="L2645" s="119"/>
      <c r="M2645" s="3"/>
    </row>
    <row r="2646" spans="1:13" s="4" customFormat="1" ht="38.25" x14ac:dyDescent="0.25">
      <c r="A2646" s="4" t="s">
        <v>4423</v>
      </c>
      <c r="B2646" s="4" t="s">
        <v>59</v>
      </c>
      <c r="C2646" s="37" t="s">
        <v>4318</v>
      </c>
      <c r="D2646" s="35">
        <v>2202</v>
      </c>
      <c r="E2646" s="4" t="s">
        <v>4424</v>
      </c>
      <c r="F2646" s="5">
        <v>39538</v>
      </c>
      <c r="G2646" s="5">
        <v>39792</v>
      </c>
      <c r="H2646" s="4" t="s">
        <v>40</v>
      </c>
      <c r="I2646" s="6">
        <v>6770</v>
      </c>
      <c r="J2646" s="6">
        <v>6770</v>
      </c>
      <c r="K2646" s="37" t="s">
        <v>4318</v>
      </c>
      <c r="L2646" s="119"/>
      <c r="M2646" s="3"/>
    </row>
    <row r="2647" spans="1:13" s="4" customFormat="1" ht="25.5" x14ac:dyDescent="0.25">
      <c r="A2647" s="4" t="s">
        <v>4425</v>
      </c>
      <c r="B2647" s="4" t="s">
        <v>50</v>
      </c>
      <c r="C2647" s="37" t="s">
        <v>4318</v>
      </c>
      <c r="D2647" s="35">
        <v>2203</v>
      </c>
      <c r="E2647" s="4" t="s">
        <v>4426</v>
      </c>
      <c r="F2647" s="5">
        <v>39538</v>
      </c>
      <c r="G2647" s="5">
        <v>39769</v>
      </c>
      <c r="H2647" s="4" t="s">
        <v>40</v>
      </c>
      <c r="I2647" s="6">
        <v>30000</v>
      </c>
      <c r="J2647" s="6">
        <v>15000</v>
      </c>
      <c r="K2647" s="37" t="s">
        <v>4318</v>
      </c>
      <c r="L2647" s="119"/>
      <c r="M2647" s="3"/>
    </row>
    <row r="2648" spans="1:13" s="4" customFormat="1" ht="25.5" x14ac:dyDescent="0.25">
      <c r="A2648" s="4" t="s">
        <v>4427</v>
      </c>
      <c r="B2648" s="4" t="s">
        <v>50</v>
      </c>
      <c r="C2648" s="37" t="s">
        <v>4318</v>
      </c>
      <c r="D2648" s="35">
        <v>2204</v>
      </c>
      <c r="E2648" s="4" t="s">
        <v>4428</v>
      </c>
      <c r="F2648" s="5">
        <v>39538</v>
      </c>
      <c r="G2648" s="5">
        <v>39848</v>
      </c>
      <c r="H2648" s="4" t="s">
        <v>40</v>
      </c>
      <c r="I2648" s="6">
        <v>30000</v>
      </c>
      <c r="J2648" s="6">
        <v>15000</v>
      </c>
      <c r="K2648" s="37" t="s">
        <v>4318</v>
      </c>
      <c r="L2648" s="119"/>
      <c r="M2648" s="3"/>
    </row>
    <row r="2649" spans="1:13" s="4" customFormat="1" ht="25.5" x14ac:dyDescent="0.25">
      <c r="A2649" s="4" t="s">
        <v>4429</v>
      </c>
      <c r="B2649" s="4" t="s">
        <v>59</v>
      </c>
      <c r="C2649" s="37" t="s">
        <v>4318</v>
      </c>
      <c r="D2649" s="35">
        <v>2205</v>
      </c>
      <c r="E2649" s="4" t="s">
        <v>4430</v>
      </c>
      <c r="F2649" s="5">
        <v>39538</v>
      </c>
      <c r="G2649" s="5">
        <v>40123</v>
      </c>
      <c r="H2649" s="4" t="s">
        <v>40</v>
      </c>
      <c r="I2649" s="6">
        <v>5000</v>
      </c>
      <c r="J2649" s="6">
        <v>5000</v>
      </c>
      <c r="K2649" s="37" t="s">
        <v>4318</v>
      </c>
      <c r="L2649" s="119"/>
      <c r="M2649" s="3"/>
    </row>
    <row r="2650" spans="1:13" s="4" customFormat="1" ht="25.5" x14ac:dyDescent="0.25">
      <c r="A2650" s="4" t="s">
        <v>4431</v>
      </c>
      <c r="B2650" s="4" t="s">
        <v>50</v>
      </c>
      <c r="C2650" s="37" t="s">
        <v>4318</v>
      </c>
      <c r="D2650" s="35">
        <v>2206</v>
      </c>
      <c r="E2650" s="4" t="s">
        <v>4432</v>
      </c>
      <c r="F2650" s="5">
        <v>39538</v>
      </c>
      <c r="G2650" s="5">
        <v>39685</v>
      </c>
      <c r="H2650" s="4" t="s">
        <v>40</v>
      </c>
      <c r="I2650" s="6">
        <v>30000</v>
      </c>
      <c r="J2650" s="6">
        <v>15000</v>
      </c>
      <c r="K2650" s="37" t="s">
        <v>4318</v>
      </c>
      <c r="L2650" s="119"/>
      <c r="M2650" s="3"/>
    </row>
    <row r="2651" spans="1:13" s="4" customFormat="1" ht="63.75" x14ac:dyDescent="0.25">
      <c r="A2651" s="4" t="s">
        <v>4433</v>
      </c>
      <c r="B2651" s="4" t="s">
        <v>38</v>
      </c>
      <c r="C2651" s="37" t="s">
        <v>4318</v>
      </c>
      <c r="D2651" s="35">
        <v>2534</v>
      </c>
      <c r="E2651" s="4" t="s">
        <v>4434</v>
      </c>
      <c r="F2651" s="5">
        <v>39083</v>
      </c>
      <c r="H2651" s="4" t="s">
        <v>40</v>
      </c>
      <c r="I2651" s="6">
        <f>50539.98+35744.6+19052.37+24529.39+44697.18</f>
        <v>174563.52</v>
      </c>
      <c r="J2651" s="6">
        <f>138818.92+35744.6</f>
        <v>174563.52000000002</v>
      </c>
      <c r="K2651" s="37" t="s">
        <v>4318</v>
      </c>
      <c r="L2651" s="119"/>
      <c r="M2651" s="3"/>
    </row>
    <row r="2652" spans="1:13" s="4" customFormat="1" ht="63.75" x14ac:dyDescent="0.25">
      <c r="A2652" s="4" t="s">
        <v>4435</v>
      </c>
      <c r="B2652" s="4" t="s">
        <v>38</v>
      </c>
      <c r="C2652" s="37" t="s">
        <v>4318</v>
      </c>
      <c r="D2652" s="35">
        <v>2550</v>
      </c>
      <c r="E2652" s="4" t="s">
        <v>4436</v>
      </c>
      <c r="F2652" s="5">
        <v>39083</v>
      </c>
      <c r="H2652" s="4" t="s">
        <v>40</v>
      </c>
      <c r="I2652" s="6">
        <v>361628.41</v>
      </c>
      <c r="J2652" s="6">
        <f>340175.16+21453.25</f>
        <v>361628.41</v>
      </c>
      <c r="K2652" s="37" t="s">
        <v>4318</v>
      </c>
      <c r="L2652" s="119"/>
      <c r="M2652" s="3"/>
    </row>
    <row r="2653" spans="1:13" s="4" customFormat="1" ht="25.5" x14ac:dyDescent="0.25">
      <c r="A2653" s="4" t="s">
        <v>4437</v>
      </c>
      <c r="B2653" s="4" t="s">
        <v>38</v>
      </c>
      <c r="C2653" s="37" t="s">
        <v>4318</v>
      </c>
      <c r="D2653" s="35">
        <v>2552</v>
      </c>
      <c r="E2653" s="4" t="s">
        <v>4438</v>
      </c>
      <c r="F2653" s="5">
        <v>39083</v>
      </c>
      <c r="H2653" s="4" t="s">
        <v>40</v>
      </c>
      <c r="I2653" s="6">
        <f>14700+3778.76+4996.61+1508.01+3363.8</f>
        <v>28347.18</v>
      </c>
      <c r="J2653" s="6">
        <f>23350.57+4996.61</f>
        <v>28347.18</v>
      </c>
      <c r="K2653" s="37" t="s">
        <v>4318</v>
      </c>
      <c r="L2653" s="119"/>
      <c r="M2653" s="3"/>
    </row>
    <row r="2654" spans="1:13" s="4" customFormat="1" ht="51" x14ac:dyDescent="0.25">
      <c r="A2654" s="4" t="s">
        <v>4439</v>
      </c>
      <c r="B2654" s="4" t="s">
        <v>38</v>
      </c>
      <c r="C2654" s="37" t="s">
        <v>4318</v>
      </c>
      <c r="D2654" s="35">
        <v>2553</v>
      </c>
      <c r="E2654" s="4" t="s">
        <v>4440</v>
      </c>
      <c r="F2654" s="5">
        <v>39083</v>
      </c>
      <c r="H2654" s="4" t="s">
        <v>40</v>
      </c>
      <c r="I2654" s="6">
        <v>6689</v>
      </c>
      <c r="J2654" s="6">
        <v>6689</v>
      </c>
      <c r="K2654" s="37" t="s">
        <v>4318</v>
      </c>
      <c r="L2654" s="119"/>
      <c r="M2654" s="3"/>
    </row>
    <row r="2655" spans="1:13" s="4" customFormat="1" ht="38.25" x14ac:dyDescent="0.25">
      <c r="A2655" s="4" t="s">
        <v>4441</v>
      </c>
      <c r="B2655" s="4" t="s">
        <v>38</v>
      </c>
      <c r="C2655" s="37" t="s">
        <v>4318</v>
      </c>
      <c r="D2655" s="35">
        <v>2554</v>
      </c>
      <c r="E2655" s="4" t="s">
        <v>4442</v>
      </c>
      <c r="F2655" s="5">
        <v>39083</v>
      </c>
      <c r="H2655" s="4" t="s">
        <v>40</v>
      </c>
      <c r="I2655" s="6">
        <v>74344.59</v>
      </c>
      <c r="J2655" s="6">
        <f>67829.09+6515.5</f>
        <v>74344.59</v>
      </c>
      <c r="K2655" s="37" t="s">
        <v>4318</v>
      </c>
      <c r="L2655" s="119"/>
      <c r="M2655" s="3"/>
    </row>
    <row r="2656" spans="1:13" s="4" customFormat="1" ht="102" x14ac:dyDescent="0.25">
      <c r="A2656" s="4" t="s">
        <v>4443</v>
      </c>
      <c r="B2656" s="4" t="s">
        <v>38</v>
      </c>
      <c r="C2656" s="37" t="s">
        <v>4318</v>
      </c>
      <c r="D2656" s="35">
        <v>2555</v>
      </c>
      <c r="E2656" s="7" t="s">
        <v>4444</v>
      </c>
      <c r="F2656" s="5">
        <v>39083</v>
      </c>
      <c r="H2656" s="4" t="s">
        <v>40</v>
      </c>
      <c r="I2656" s="6">
        <v>132468.18</v>
      </c>
      <c r="J2656" s="6">
        <f>128666.18+3802</f>
        <v>132468.18</v>
      </c>
      <c r="K2656" s="37" t="s">
        <v>4318</v>
      </c>
      <c r="L2656" s="119"/>
      <c r="M2656" s="3"/>
    </row>
    <row r="2657" spans="1:13" s="4" customFormat="1" ht="38.25" x14ac:dyDescent="0.25">
      <c r="A2657" s="4" t="s">
        <v>2284</v>
      </c>
      <c r="B2657" s="4" t="s">
        <v>38</v>
      </c>
      <c r="C2657" s="37" t="s">
        <v>4318</v>
      </c>
      <c r="D2657" s="35">
        <v>2556</v>
      </c>
      <c r="E2657" s="4" t="s">
        <v>4445</v>
      </c>
      <c r="F2657" s="5">
        <v>39083</v>
      </c>
      <c r="H2657" s="4" t="s">
        <v>40</v>
      </c>
      <c r="I2657" s="6">
        <f>76764.3+58253.37+55333.88+51410.81+123252.39</f>
        <v>365014.75</v>
      </c>
      <c r="J2657" s="6">
        <f>306761.38+58253.37</f>
        <v>365014.75</v>
      </c>
      <c r="K2657" s="37" t="s">
        <v>4318</v>
      </c>
      <c r="L2657" s="119"/>
      <c r="M2657" s="3"/>
    </row>
    <row r="2658" spans="1:13" s="4" customFormat="1" ht="51" x14ac:dyDescent="0.25">
      <c r="A2658" s="4" t="s">
        <v>4446</v>
      </c>
      <c r="B2658" s="4" t="s">
        <v>38</v>
      </c>
      <c r="C2658" s="37" t="s">
        <v>4318</v>
      </c>
      <c r="D2658" s="35">
        <v>2559</v>
      </c>
      <c r="E2658" s="4" t="s">
        <v>4447</v>
      </c>
      <c r="F2658" s="5">
        <v>39083</v>
      </c>
      <c r="H2658" s="4" t="s">
        <v>40</v>
      </c>
      <c r="I2658" s="6">
        <v>74643.03</v>
      </c>
      <c r="J2658" s="6">
        <v>74643.03</v>
      </c>
      <c r="K2658" s="37" t="s">
        <v>4318</v>
      </c>
      <c r="L2658" s="119"/>
      <c r="M2658" s="3"/>
    </row>
    <row r="2659" spans="1:13" s="4" customFormat="1" ht="76.5" x14ac:dyDescent="0.25">
      <c r="A2659" s="4" t="s">
        <v>4448</v>
      </c>
      <c r="B2659" s="4" t="s">
        <v>38</v>
      </c>
      <c r="C2659" s="37" t="s">
        <v>4318</v>
      </c>
      <c r="D2659" s="35">
        <v>2560</v>
      </c>
      <c r="E2659" s="4" t="s">
        <v>4449</v>
      </c>
      <c r="F2659" s="5">
        <v>39083</v>
      </c>
      <c r="H2659" s="4" t="s">
        <v>40</v>
      </c>
      <c r="I2659" s="6">
        <v>76254.67</v>
      </c>
      <c r="J2659" s="6">
        <v>76254.67</v>
      </c>
      <c r="K2659" s="37" t="s">
        <v>4318</v>
      </c>
      <c r="L2659" s="119"/>
      <c r="M2659" s="3"/>
    </row>
    <row r="2660" spans="1:13" s="4" customFormat="1" ht="63.75" x14ac:dyDescent="0.25">
      <c r="A2660" s="4" t="s">
        <v>4450</v>
      </c>
      <c r="B2660" s="4" t="s">
        <v>38</v>
      </c>
      <c r="C2660" s="37" t="s">
        <v>4318</v>
      </c>
      <c r="D2660" s="35">
        <v>2563</v>
      </c>
      <c r="E2660" s="4" t="s">
        <v>4451</v>
      </c>
      <c r="F2660" s="5">
        <v>39083</v>
      </c>
      <c r="H2660" s="4" t="s">
        <v>40</v>
      </c>
      <c r="I2660" s="6">
        <f>46410+24955+2300+2975+4730</f>
        <v>81370</v>
      </c>
      <c r="J2660" s="6">
        <f>78395+2975</f>
        <v>81370</v>
      </c>
      <c r="K2660" s="37" t="s">
        <v>4318</v>
      </c>
      <c r="L2660" s="119"/>
      <c r="M2660" s="3"/>
    </row>
    <row r="2661" spans="1:13" s="4" customFormat="1" ht="51" x14ac:dyDescent="0.25">
      <c r="A2661" s="4" t="s">
        <v>4452</v>
      </c>
      <c r="B2661" s="4" t="s">
        <v>38</v>
      </c>
      <c r="C2661" s="37" t="s">
        <v>4318</v>
      </c>
      <c r="D2661" s="35">
        <v>2564</v>
      </c>
      <c r="E2661" s="4" t="s">
        <v>4453</v>
      </c>
      <c r="F2661" s="5">
        <v>39083</v>
      </c>
      <c r="H2661" s="4" t="s">
        <v>40</v>
      </c>
      <c r="I2661" s="6">
        <v>3359.06</v>
      </c>
      <c r="J2661" s="6">
        <v>3359.06</v>
      </c>
      <c r="K2661" s="37" t="s">
        <v>4318</v>
      </c>
      <c r="L2661" s="119"/>
      <c r="M2661" s="3"/>
    </row>
    <row r="2662" spans="1:13" s="4" customFormat="1" ht="51" x14ac:dyDescent="0.25">
      <c r="A2662" s="4" t="s">
        <v>4454</v>
      </c>
      <c r="B2662" s="4" t="s">
        <v>38</v>
      </c>
      <c r="C2662" s="37" t="s">
        <v>4318</v>
      </c>
      <c r="D2662" s="35">
        <v>2565</v>
      </c>
      <c r="E2662" s="4" t="s">
        <v>4455</v>
      </c>
      <c r="F2662" s="5">
        <v>39083</v>
      </c>
      <c r="H2662" s="4" t="s">
        <v>40</v>
      </c>
      <c r="I2662" s="6">
        <v>36319.67</v>
      </c>
      <c r="J2662" s="6">
        <f>33387.67+2932</f>
        <v>36319.67</v>
      </c>
      <c r="K2662" s="37" t="s">
        <v>4318</v>
      </c>
      <c r="L2662" s="119"/>
      <c r="M2662" s="3"/>
    </row>
    <row r="2663" spans="1:13" s="4" customFormat="1" ht="25.5" x14ac:dyDescent="0.25">
      <c r="A2663" s="4" t="s">
        <v>4456</v>
      </c>
      <c r="B2663" s="4" t="s">
        <v>38</v>
      </c>
      <c r="C2663" s="37" t="s">
        <v>4318</v>
      </c>
      <c r="D2663" s="35">
        <v>2568</v>
      </c>
      <c r="E2663" s="4" t="s">
        <v>108</v>
      </c>
      <c r="F2663" s="5">
        <v>39083</v>
      </c>
      <c r="H2663" s="4" t="s">
        <v>40</v>
      </c>
      <c r="I2663" s="6">
        <v>312282.56</v>
      </c>
      <c r="J2663" s="6">
        <f>274611.61+37670.95</f>
        <v>312282.56</v>
      </c>
      <c r="K2663" s="37" t="s">
        <v>4318</v>
      </c>
      <c r="L2663" s="119"/>
      <c r="M2663" s="3"/>
    </row>
    <row r="2664" spans="1:13" s="4" customFormat="1" ht="25.5" x14ac:dyDescent="0.25">
      <c r="A2664" s="4" t="s">
        <v>4457</v>
      </c>
      <c r="B2664" s="4" t="s">
        <v>50</v>
      </c>
      <c r="C2664" s="37" t="s">
        <v>4318</v>
      </c>
      <c r="D2664" s="35">
        <v>4846</v>
      </c>
      <c r="E2664" s="4" t="s">
        <v>4458</v>
      </c>
      <c r="F2664" s="5">
        <v>39594</v>
      </c>
      <c r="G2664" s="5">
        <v>39972</v>
      </c>
      <c r="H2664" s="4" t="s">
        <v>40</v>
      </c>
      <c r="I2664" s="6">
        <v>19951.46</v>
      </c>
      <c r="J2664" s="6">
        <v>9975.73</v>
      </c>
      <c r="K2664" s="37" t="s">
        <v>4318</v>
      </c>
      <c r="L2664" s="119"/>
      <c r="M2664" s="3"/>
    </row>
    <row r="2665" spans="1:13" s="4" customFormat="1" ht="25.5" x14ac:dyDescent="0.25">
      <c r="A2665" s="4" t="s">
        <v>4459</v>
      </c>
      <c r="B2665" s="4" t="s">
        <v>50</v>
      </c>
      <c r="C2665" s="37" t="s">
        <v>4318</v>
      </c>
      <c r="D2665" s="35">
        <v>4849</v>
      </c>
      <c r="E2665" s="4" t="s">
        <v>4460</v>
      </c>
      <c r="F2665" s="5">
        <v>39538</v>
      </c>
      <c r="G2665" s="5">
        <v>39967</v>
      </c>
      <c r="H2665" s="4" t="s">
        <v>40</v>
      </c>
      <c r="I2665" s="6">
        <v>40000</v>
      </c>
      <c r="J2665" s="6">
        <v>20000</v>
      </c>
      <c r="K2665" s="37" t="s">
        <v>4318</v>
      </c>
      <c r="L2665" s="119"/>
      <c r="M2665" s="3"/>
    </row>
    <row r="2666" spans="1:13" s="4" customFormat="1" x14ac:dyDescent="0.25">
      <c r="A2666" s="4" t="s">
        <v>4461</v>
      </c>
      <c r="B2666" s="4" t="s">
        <v>90</v>
      </c>
      <c r="C2666" s="37" t="s">
        <v>4318</v>
      </c>
      <c r="D2666" s="35">
        <v>4850</v>
      </c>
      <c r="E2666" s="4" t="s">
        <v>4462</v>
      </c>
      <c r="F2666" s="5">
        <v>39538</v>
      </c>
      <c r="G2666" s="5">
        <v>40004</v>
      </c>
      <c r="H2666" s="4" t="s">
        <v>40</v>
      </c>
      <c r="I2666" s="6">
        <v>6600</v>
      </c>
      <c r="J2666" s="6">
        <v>3300</v>
      </c>
      <c r="K2666" s="37" t="s">
        <v>4318</v>
      </c>
      <c r="L2666" s="119"/>
      <c r="M2666" s="3"/>
    </row>
    <row r="2667" spans="1:13" s="4" customFormat="1" ht="25.5" x14ac:dyDescent="0.25">
      <c r="A2667" s="4" t="s">
        <v>4463</v>
      </c>
      <c r="B2667" s="4" t="s">
        <v>90</v>
      </c>
      <c r="C2667" s="37" t="s">
        <v>4318</v>
      </c>
      <c r="D2667" s="35">
        <v>4907</v>
      </c>
      <c r="E2667" s="4" t="s">
        <v>4464</v>
      </c>
      <c r="F2667" s="5">
        <v>39538</v>
      </c>
      <c r="G2667" s="5">
        <v>39980</v>
      </c>
      <c r="H2667" s="4" t="s">
        <v>40</v>
      </c>
      <c r="I2667" s="6">
        <f>8000</f>
        <v>8000</v>
      </c>
      <c r="J2667" s="6">
        <f>4000</f>
        <v>4000</v>
      </c>
      <c r="K2667" s="37" t="s">
        <v>4318</v>
      </c>
      <c r="L2667" s="119"/>
      <c r="M2667" s="3"/>
    </row>
    <row r="2668" spans="1:13" s="4" customFormat="1" ht="25.5" x14ac:dyDescent="0.25">
      <c r="A2668" s="4" t="s">
        <v>4465</v>
      </c>
      <c r="B2668" s="4" t="s">
        <v>50</v>
      </c>
      <c r="C2668" s="37" t="s">
        <v>4318</v>
      </c>
      <c r="D2668" s="35">
        <v>4908</v>
      </c>
      <c r="E2668" s="4" t="s">
        <v>4466</v>
      </c>
      <c r="F2668" s="5">
        <v>39594</v>
      </c>
      <c r="G2668" s="5">
        <v>40165</v>
      </c>
      <c r="H2668" s="4" t="s">
        <v>40</v>
      </c>
      <c r="I2668" s="6">
        <v>6865</v>
      </c>
      <c r="J2668" s="6">
        <v>3432.5</v>
      </c>
      <c r="K2668" s="37" t="s">
        <v>4318</v>
      </c>
      <c r="L2668" s="119"/>
      <c r="M2668" s="3"/>
    </row>
    <row r="2669" spans="1:13" s="4" customFormat="1" ht="25.5" x14ac:dyDescent="0.25">
      <c r="A2669" s="4" t="s">
        <v>4467</v>
      </c>
      <c r="B2669" s="4" t="s">
        <v>50</v>
      </c>
      <c r="C2669" s="37" t="s">
        <v>4318</v>
      </c>
      <c r="D2669" s="35">
        <v>4910</v>
      </c>
      <c r="E2669" s="4" t="s">
        <v>4468</v>
      </c>
      <c r="F2669" s="5">
        <v>39815</v>
      </c>
      <c r="G2669" s="5">
        <v>40073</v>
      </c>
      <c r="H2669" s="4" t="s">
        <v>40</v>
      </c>
      <c r="I2669" s="6">
        <v>10000</v>
      </c>
      <c r="J2669" s="6">
        <v>5000</v>
      </c>
      <c r="K2669" s="37" t="s">
        <v>4318</v>
      </c>
      <c r="L2669" s="119"/>
      <c r="M2669" s="3"/>
    </row>
    <row r="2670" spans="1:13" s="4" customFormat="1" x14ac:dyDescent="0.25">
      <c r="A2670" s="4" t="s">
        <v>4469</v>
      </c>
      <c r="B2670" s="4" t="s">
        <v>50</v>
      </c>
      <c r="C2670" s="37" t="s">
        <v>4318</v>
      </c>
      <c r="D2670" s="35">
        <v>4912</v>
      </c>
      <c r="E2670" s="4" t="s">
        <v>4470</v>
      </c>
      <c r="F2670" s="5">
        <v>39815</v>
      </c>
      <c r="G2670" s="5">
        <v>39909</v>
      </c>
      <c r="H2670" s="4" t="s">
        <v>40</v>
      </c>
      <c r="I2670" s="6">
        <v>30000</v>
      </c>
      <c r="J2670" s="6">
        <v>15000</v>
      </c>
      <c r="K2670" s="37" t="s">
        <v>4318</v>
      </c>
      <c r="L2670" s="119"/>
      <c r="M2670" s="3"/>
    </row>
    <row r="2671" spans="1:13" s="4" customFormat="1" ht="25.5" x14ac:dyDescent="0.25">
      <c r="A2671" s="4" t="s">
        <v>4471</v>
      </c>
      <c r="B2671" s="4" t="s">
        <v>59</v>
      </c>
      <c r="C2671" s="37" t="s">
        <v>4318</v>
      </c>
      <c r="D2671" s="35">
        <v>4916</v>
      </c>
      <c r="E2671" s="4" t="s">
        <v>4472</v>
      </c>
      <c r="F2671" s="5">
        <v>39815</v>
      </c>
      <c r="G2671" s="5">
        <v>39878</v>
      </c>
      <c r="H2671" s="4" t="s">
        <v>40</v>
      </c>
      <c r="I2671" s="6">
        <v>7500</v>
      </c>
      <c r="J2671" s="6">
        <v>7500</v>
      </c>
      <c r="K2671" s="37" t="s">
        <v>4318</v>
      </c>
      <c r="L2671" s="119"/>
      <c r="M2671" s="3"/>
    </row>
    <row r="2672" spans="1:13" s="4" customFormat="1" ht="25.5" x14ac:dyDescent="0.25">
      <c r="A2672" s="4" t="s">
        <v>4473</v>
      </c>
      <c r="B2672" s="4" t="s">
        <v>50</v>
      </c>
      <c r="C2672" s="37" t="s">
        <v>4318</v>
      </c>
      <c r="D2672" s="35">
        <v>4919</v>
      </c>
      <c r="E2672" s="4" t="s">
        <v>4474</v>
      </c>
      <c r="F2672" s="5">
        <v>39853</v>
      </c>
      <c r="G2672" s="5">
        <v>40043</v>
      </c>
      <c r="H2672" s="4" t="s">
        <v>40</v>
      </c>
      <c r="I2672" s="6">
        <v>7407</v>
      </c>
      <c r="J2672" s="6">
        <v>3703.5</v>
      </c>
      <c r="K2672" s="37" t="s">
        <v>4318</v>
      </c>
      <c r="L2672" s="119"/>
      <c r="M2672" s="3"/>
    </row>
    <row r="2673" spans="1:13" s="4" customFormat="1" ht="25.5" x14ac:dyDescent="0.25">
      <c r="A2673" s="4" t="s">
        <v>4475</v>
      </c>
      <c r="B2673" s="4" t="s">
        <v>50</v>
      </c>
      <c r="C2673" s="37" t="s">
        <v>4318</v>
      </c>
      <c r="D2673" s="35">
        <v>4920</v>
      </c>
      <c r="E2673" s="4" t="s">
        <v>4476</v>
      </c>
      <c r="F2673" s="5">
        <v>39853</v>
      </c>
      <c r="G2673" s="5">
        <v>40149</v>
      </c>
      <c r="H2673" s="4" t="s">
        <v>40</v>
      </c>
      <c r="I2673" s="6">
        <v>56500</v>
      </c>
      <c r="J2673" s="6">
        <v>28250</v>
      </c>
      <c r="K2673" s="37" t="s">
        <v>4318</v>
      </c>
      <c r="L2673" s="119"/>
      <c r="M2673" s="3"/>
    </row>
    <row r="2674" spans="1:13" s="4" customFormat="1" ht="25.5" x14ac:dyDescent="0.25">
      <c r="A2674" s="4" t="s">
        <v>4477</v>
      </c>
      <c r="B2674" s="4" t="s">
        <v>50</v>
      </c>
      <c r="C2674" s="37" t="s">
        <v>4318</v>
      </c>
      <c r="D2674" s="35">
        <v>4921</v>
      </c>
      <c r="E2674" s="4" t="s">
        <v>4478</v>
      </c>
      <c r="F2674" s="5">
        <v>39853</v>
      </c>
      <c r="G2674" s="5">
        <v>40164</v>
      </c>
      <c r="H2674" s="4" t="s">
        <v>40</v>
      </c>
      <c r="I2674" s="6">
        <v>80000</v>
      </c>
      <c r="J2674" s="6">
        <v>40000</v>
      </c>
      <c r="K2674" s="37" t="s">
        <v>4318</v>
      </c>
      <c r="L2674" s="119"/>
      <c r="M2674" s="3"/>
    </row>
    <row r="2675" spans="1:13" s="4" customFormat="1" ht="38.25" x14ac:dyDescent="0.25">
      <c r="A2675" s="4" t="s">
        <v>4479</v>
      </c>
      <c r="B2675" s="4" t="s">
        <v>50</v>
      </c>
      <c r="C2675" s="37" t="s">
        <v>4318</v>
      </c>
      <c r="D2675" s="35">
        <v>4922</v>
      </c>
      <c r="E2675" s="4" t="s">
        <v>4480</v>
      </c>
      <c r="F2675" s="5">
        <v>39853</v>
      </c>
      <c r="G2675" s="5">
        <v>40000</v>
      </c>
      <c r="H2675" s="4" t="s">
        <v>40</v>
      </c>
      <c r="I2675" s="6">
        <v>80000</v>
      </c>
      <c r="J2675" s="6">
        <v>40000</v>
      </c>
      <c r="K2675" s="37" t="s">
        <v>4318</v>
      </c>
      <c r="L2675" s="119"/>
      <c r="M2675" s="3"/>
    </row>
    <row r="2676" spans="1:13" s="4" customFormat="1" ht="25.5" x14ac:dyDescent="0.25">
      <c r="A2676" s="4" t="s">
        <v>4481</v>
      </c>
      <c r="B2676" s="4" t="s">
        <v>59</v>
      </c>
      <c r="C2676" s="37" t="s">
        <v>4318</v>
      </c>
      <c r="D2676" s="35">
        <v>4925</v>
      </c>
      <c r="E2676" s="4" t="s">
        <v>4482</v>
      </c>
      <c r="F2676" s="5">
        <v>39853</v>
      </c>
      <c r="G2676" s="5">
        <v>40113</v>
      </c>
      <c r="H2676" s="4" t="s">
        <v>40</v>
      </c>
      <c r="I2676" s="6">
        <v>2500</v>
      </c>
      <c r="J2676" s="6">
        <v>2500</v>
      </c>
      <c r="K2676" s="37" t="s">
        <v>4318</v>
      </c>
      <c r="L2676" s="119"/>
      <c r="M2676" s="3"/>
    </row>
    <row r="2677" spans="1:13" s="4" customFormat="1" ht="25.5" x14ac:dyDescent="0.25">
      <c r="A2677" s="4" t="s">
        <v>4483</v>
      </c>
      <c r="B2677" s="4" t="s">
        <v>59</v>
      </c>
      <c r="C2677" s="37" t="s">
        <v>4318</v>
      </c>
      <c r="D2677" s="35">
        <v>4927</v>
      </c>
      <c r="E2677" s="4" t="s">
        <v>4484</v>
      </c>
      <c r="F2677" s="5">
        <v>39853</v>
      </c>
      <c r="G2677" s="5">
        <v>40171</v>
      </c>
      <c r="H2677" s="4" t="s">
        <v>40</v>
      </c>
      <c r="I2677" s="6">
        <v>50000</v>
      </c>
      <c r="J2677" s="6">
        <v>50000</v>
      </c>
      <c r="K2677" s="37" t="s">
        <v>4318</v>
      </c>
      <c r="L2677" s="119"/>
      <c r="M2677" s="3"/>
    </row>
    <row r="2678" spans="1:13" s="4" customFormat="1" x14ac:dyDescent="0.25">
      <c r="A2678" s="4" t="s">
        <v>4485</v>
      </c>
      <c r="B2678" s="4" t="s">
        <v>90</v>
      </c>
      <c r="C2678" s="37" t="s">
        <v>4318</v>
      </c>
      <c r="D2678" s="35">
        <v>4930</v>
      </c>
      <c r="E2678" s="4" t="s">
        <v>4486</v>
      </c>
      <c r="F2678" s="5">
        <v>39853</v>
      </c>
      <c r="G2678" s="5">
        <v>40141</v>
      </c>
      <c r="H2678" s="4" t="s">
        <v>40</v>
      </c>
      <c r="I2678" s="6">
        <v>6000</v>
      </c>
      <c r="J2678" s="6">
        <v>3000</v>
      </c>
      <c r="K2678" s="37" t="s">
        <v>4318</v>
      </c>
      <c r="L2678" s="119"/>
      <c r="M2678" s="3"/>
    </row>
    <row r="2679" spans="1:13" s="4" customFormat="1" ht="25.5" x14ac:dyDescent="0.25">
      <c r="A2679" s="4" t="s">
        <v>4487</v>
      </c>
      <c r="B2679" s="4" t="s">
        <v>50</v>
      </c>
      <c r="C2679" s="37" t="s">
        <v>4318</v>
      </c>
      <c r="D2679" s="35">
        <v>4931</v>
      </c>
      <c r="E2679" s="4" t="s">
        <v>4488</v>
      </c>
      <c r="F2679" s="5">
        <v>39853</v>
      </c>
      <c r="G2679" s="5">
        <v>40126</v>
      </c>
      <c r="H2679" s="4" t="s">
        <v>40</v>
      </c>
      <c r="I2679" s="6">
        <v>5729</v>
      </c>
      <c r="J2679" s="6">
        <v>2864.5</v>
      </c>
      <c r="K2679" s="37" t="s">
        <v>4318</v>
      </c>
      <c r="L2679" s="119"/>
      <c r="M2679" s="3"/>
    </row>
    <row r="2680" spans="1:13" s="4" customFormat="1" ht="38.25" x14ac:dyDescent="0.25">
      <c r="A2680" s="4" t="s">
        <v>4489</v>
      </c>
      <c r="B2680" s="4" t="s">
        <v>50</v>
      </c>
      <c r="C2680" s="37" t="s">
        <v>4318</v>
      </c>
      <c r="D2680" s="35">
        <v>4970</v>
      </c>
      <c r="E2680" s="4" t="s">
        <v>4490</v>
      </c>
      <c r="F2680" s="5">
        <v>39853</v>
      </c>
      <c r="G2680" s="5">
        <v>40031</v>
      </c>
      <c r="H2680" s="4" t="s">
        <v>40</v>
      </c>
      <c r="I2680" s="6">
        <v>20000</v>
      </c>
      <c r="J2680" s="6">
        <v>10000</v>
      </c>
      <c r="K2680" s="37" t="s">
        <v>4318</v>
      </c>
      <c r="L2680" s="119"/>
      <c r="M2680" s="3"/>
    </row>
    <row r="2681" spans="1:13" s="4" customFormat="1" ht="25.5" x14ac:dyDescent="0.25">
      <c r="A2681" s="4" t="s">
        <v>4491</v>
      </c>
      <c r="B2681" s="4" t="s">
        <v>59</v>
      </c>
      <c r="C2681" s="37" t="s">
        <v>4318</v>
      </c>
      <c r="D2681" s="35">
        <v>4980</v>
      </c>
      <c r="E2681" s="4" t="s">
        <v>4492</v>
      </c>
      <c r="F2681" s="5">
        <v>39853</v>
      </c>
      <c r="G2681" s="5">
        <v>40095</v>
      </c>
      <c r="H2681" s="4" t="s">
        <v>40</v>
      </c>
      <c r="I2681" s="6">
        <v>7500</v>
      </c>
      <c r="J2681" s="6">
        <v>7500</v>
      </c>
      <c r="K2681" s="37" t="s">
        <v>4318</v>
      </c>
      <c r="L2681" s="119"/>
      <c r="M2681" s="3"/>
    </row>
    <row r="2682" spans="1:13" s="4" customFormat="1" ht="38.25" x14ac:dyDescent="0.25">
      <c r="A2682" s="4" t="s">
        <v>4493</v>
      </c>
      <c r="B2682" s="4" t="s">
        <v>59</v>
      </c>
      <c r="C2682" s="37" t="s">
        <v>4318</v>
      </c>
      <c r="D2682" s="35">
        <v>4991</v>
      </c>
      <c r="E2682" s="4" t="s">
        <v>4494</v>
      </c>
      <c r="F2682" s="5">
        <v>39919</v>
      </c>
      <c r="G2682" s="5">
        <v>40200</v>
      </c>
      <c r="H2682" s="4" t="s">
        <v>40</v>
      </c>
      <c r="I2682" s="6">
        <v>7500</v>
      </c>
      <c r="J2682" s="6">
        <v>7500</v>
      </c>
      <c r="K2682" s="37" t="s">
        <v>4318</v>
      </c>
      <c r="L2682" s="119"/>
      <c r="M2682" s="3"/>
    </row>
    <row r="2683" spans="1:13" s="4" customFormat="1" ht="25.5" x14ac:dyDescent="0.25">
      <c r="A2683" s="4" t="s">
        <v>4495</v>
      </c>
      <c r="B2683" s="4" t="s">
        <v>50</v>
      </c>
      <c r="C2683" s="37" t="s">
        <v>4318</v>
      </c>
      <c r="D2683" s="35">
        <v>4994</v>
      </c>
      <c r="E2683" s="4" t="s">
        <v>4496</v>
      </c>
      <c r="F2683" s="5">
        <v>39904</v>
      </c>
      <c r="G2683" s="5">
        <v>40170</v>
      </c>
      <c r="H2683" s="4" t="s">
        <v>40</v>
      </c>
      <c r="I2683" s="6">
        <v>49905.48</v>
      </c>
      <c r="J2683" s="6">
        <v>24952.74</v>
      </c>
      <c r="K2683" s="37" t="s">
        <v>4318</v>
      </c>
      <c r="L2683" s="119"/>
      <c r="M2683" s="3"/>
    </row>
    <row r="2684" spans="1:13" s="4" customFormat="1" x14ac:dyDescent="0.25">
      <c r="A2684" s="4" t="s">
        <v>4497</v>
      </c>
      <c r="B2684" s="4" t="s">
        <v>59</v>
      </c>
      <c r="C2684" s="37" t="s">
        <v>4318</v>
      </c>
      <c r="D2684" s="35">
        <v>4998</v>
      </c>
      <c r="E2684" s="4" t="s">
        <v>4498</v>
      </c>
      <c r="F2684" s="5">
        <v>39919</v>
      </c>
      <c r="G2684" s="5">
        <v>40210</v>
      </c>
      <c r="H2684" s="4" t="s">
        <v>40</v>
      </c>
      <c r="I2684" s="6">
        <v>7500</v>
      </c>
      <c r="J2684" s="6">
        <v>7500</v>
      </c>
      <c r="K2684" s="37" t="s">
        <v>4318</v>
      </c>
      <c r="L2684" s="119"/>
      <c r="M2684" s="3"/>
    </row>
    <row r="2685" spans="1:13" s="4" customFormat="1" ht="25.5" x14ac:dyDescent="0.25">
      <c r="A2685" s="4" t="s">
        <v>4499</v>
      </c>
      <c r="B2685" s="4" t="s">
        <v>59</v>
      </c>
      <c r="C2685" s="37" t="s">
        <v>4318</v>
      </c>
      <c r="D2685" s="35">
        <v>4999</v>
      </c>
      <c r="E2685" s="4" t="s">
        <v>4500</v>
      </c>
      <c r="F2685" s="5">
        <v>39919</v>
      </c>
      <c r="G2685" s="5">
        <v>40141</v>
      </c>
      <c r="H2685" s="4" t="s">
        <v>40</v>
      </c>
      <c r="I2685" s="6">
        <v>5000</v>
      </c>
      <c r="J2685" s="6">
        <v>5000</v>
      </c>
      <c r="K2685" s="37" t="s">
        <v>4318</v>
      </c>
      <c r="L2685" s="119"/>
      <c r="M2685" s="3"/>
    </row>
    <row r="2686" spans="1:13" s="4" customFormat="1" ht="25.5" x14ac:dyDescent="0.25">
      <c r="A2686" s="4" t="s">
        <v>4501</v>
      </c>
      <c r="B2686" s="4" t="s">
        <v>59</v>
      </c>
      <c r="C2686" s="37" t="s">
        <v>4318</v>
      </c>
      <c r="D2686" s="35">
        <v>5000</v>
      </c>
      <c r="E2686" s="4" t="s">
        <v>4502</v>
      </c>
      <c r="F2686" s="5">
        <v>40091</v>
      </c>
      <c r="G2686" s="5">
        <v>40323</v>
      </c>
      <c r="H2686" s="4" t="s">
        <v>40</v>
      </c>
      <c r="I2686" s="6">
        <v>5000</v>
      </c>
      <c r="J2686" s="6">
        <v>5000</v>
      </c>
      <c r="K2686" s="37" t="s">
        <v>4318</v>
      </c>
      <c r="L2686" s="119"/>
      <c r="M2686" s="3"/>
    </row>
    <row r="2687" spans="1:13" s="4" customFormat="1" ht="38.25" x14ac:dyDescent="0.25">
      <c r="A2687" s="4" t="s">
        <v>4503</v>
      </c>
      <c r="B2687" s="4" t="s">
        <v>38</v>
      </c>
      <c r="C2687" s="37" t="s">
        <v>4318</v>
      </c>
      <c r="D2687" s="35">
        <v>5370</v>
      </c>
      <c r="E2687" s="4" t="s">
        <v>4504</v>
      </c>
      <c r="F2687" s="5">
        <v>39814</v>
      </c>
      <c r="H2687" s="4" t="s">
        <v>40</v>
      </c>
      <c r="I2687" s="6">
        <v>8737.7099999999991</v>
      </c>
      <c r="J2687" s="6">
        <v>8737.7099999999991</v>
      </c>
      <c r="K2687" s="37" t="s">
        <v>4318</v>
      </c>
      <c r="L2687" s="119"/>
      <c r="M2687" s="3"/>
    </row>
    <row r="2688" spans="1:13" s="4" customFormat="1" ht="25.5" x14ac:dyDescent="0.25">
      <c r="A2688" s="4" t="s">
        <v>4505</v>
      </c>
      <c r="B2688" s="4" t="s">
        <v>38</v>
      </c>
      <c r="C2688" s="37" t="s">
        <v>4318</v>
      </c>
      <c r="D2688" s="35">
        <v>5406</v>
      </c>
      <c r="E2688" s="4" t="s">
        <v>4506</v>
      </c>
      <c r="F2688" s="5">
        <v>39814</v>
      </c>
      <c r="H2688" s="4" t="s">
        <v>40</v>
      </c>
      <c r="I2688" s="6">
        <v>21415</v>
      </c>
      <c r="J2688" s="6">
        <v>21415</v>
      </c>
      <c r="K2688" s="37" t="s">
        <v>4318</v>
      </c>
      <c r="L2688" s="119"/>
      <c r="M2688" s="3"/>
    </row>
    <row r="2689" spans="1:13" s="4" customFormat="1" ht="25.5" x14ac:dyDescent="0.25">
      <c r="A2689" s="4" t="s">
        <v>4507</v>
      </c>
      <c r="B2689" s="4" t="s">
        <v>38</v>
      </c>
      <c r="C2689" s="37" t="s">
        <v>4318</v>
      </c>
      <c r="D2689" s="35">
        <v>5407</v>
      </c>
      <c r="E2689" s="4" t="s">
        <v>4508</v>
      </c>
      <c r="F2689" s="5">
        <v>39814</v>
      </c>
      <c r="H2689" s="4" t="s">
        <v>40</v>
      </c>
      <c r="I2689" s="6">
        <f>46601.43+19269.5+24162.45+16060.5</f>
        <v>106093.87999999999</v>
      </c>
      <c r="J2689" s="6">
        <f>81931.43+24162.45</f>
        <v>106093.87999999999</v>
      </c>
      <c r="K2689" s="37" t="s">
        <v>4318</v>
      </c>
      <c r="L2689" s="119"/>
      <c r="M2689" s="3"/>
    </row>
    <row r="2690" spans="1:13" s="4" customFormat="1" ht="51" x14ac:dyDescent="0.25">
      <c r="A2690" s="4" t="s">
        <v>4509</v>
      </c>
      <c r="B2690" s="4" t="s">
        <v>183</v>
      </c>
      <c r="C2690" s="37" t="s">
        <v>4318</v>
      </c>
      <c r="D2690" s="35">
        <v>7205</v>
      </c>
      <c r="E2690" s="4" t="s">
        <v>4510</v>
      </c>
      <c r="F2690" s="5">
        <v>40210</v>
      </c>
      <c r="G2690" s="5">
        <v>40514</v>
      </c>
      <c r="H2690" s="4" t="s">
        <v>40</v>
      </c>
      <c r="I2690" s="6">
        <v>15000</v>
      </c>
      <c r="J2690" s="6">
        <v>15000</v>
      </c>
      <c r="K2690" s="37" t="s">
        <v>4318</v>
      </c>
      <c r="L2690" s="119"/>
      <c r="M2690" s="3"/>
    </row>
    <row r="2691" spans="1:13" s="4" customFormat="1" ht="38.25" x14ac:dyDescent="0.25">
      <c r="A2691" s="4" t="s">
        <v>4511</v>
      </c>
      <c r="B2691" s="4" t="s">
        <v>183</v>
      </c>
      <c r="C2691" s="37" t="s">
        <v>4318</v>
      </c>
      <c r="D2691" s="35">
        <v>7206</v>
      </c>
      <c r="E2691" s="4" t="s">
        <v>4512</v>
      </c>
      <c r="F2691" s="5">
        <v>40409</v>
      </c>
      <c r="G2691" s="5">
        <v>40641</v>
      </c>
      <c r="H2691" s="4" t="s">
        <v>40</v>
      </c>
      <c r="I2691" s="6">
        <v>9238</v>
      </c>
      <c r="J2691" s="6">
        <v>8369</v>
      </c>
      <c r="K2691" s="37" t="s">
        <v>4318</v>
      </c>
      <c r="L2691" s="119"/>
      <c r="M2691" s="3"/>
    </row>
    <row r="2692" spans="1:13" s="4" customFormat="1" ht="25.5" x14ac:dyDescent="0.25">
      <c r="A2692" s="4" t="s">
        <v>4513</v>
      </c>
      <c r="B2692" s="4" t="s">
        <v>190</v>
      </c>
      <c r="C2692" s="37" t="s">
        <v>4318</v>
      </c>
      <c r="D2692" s="35">
        <v>7207</v>
      </c>
      <c r="E2692" s="4" t="s">
        <v>4514</v>
      </c>
      <c r="F2692" s="5">
        <v>40522</v>
      </c>
      <c r="G2692" s="5">
        <v>40739</v>
      </c>
      <c r="H2692" s="4" t="s">
        <v>40</v>
      </c>
      <c r="I2692" s="6">
        <v>10000</v>
      </c>
      <c r="J2692" s="6">
        <v>10000</v>
      </c>
      <c r="K2692" s="37" t="s">
        <v>4318</v>
      </c>
      <c r="L2692" s="119"/>
      <c r="M2692" s="3"/>
    </row>
    <row r="2693" spans="1:13" s="4" customFormat="1" ht="38.25" x14ac:dyDescent="0.25">
      <c r="A2693" s="4" t="s">
        <v>4515</v>
      </c>
      <c r="B2693" s="4" t="s">
        <v>183</v>
      </c>
      <c r="C2693" s="37" t="s">
        <v>4318</v>
      </c>
      <c r="D2693" s="35">
        <v>7208</v>
      </c>
      <c r="E2693" s="4" t="s">
        <v>4516</v>
      </c>
      <c r="F2693" s="5">
        <v>40158</v>
      </c>
      <c r="G2693" s="5">
        <v>40528</v>
      </c>
      <c r="H2693" s="4" t="s">
        <v>40</v>
      </c>
      <c r="I2693" s="6">
        <v>21580</v>
      </c>
      <c r="J2693" s="6">
        <v>10790</v>
      </c>
      <c r="K2693" s="37" t="s">
        <v>4318</v>
      </c>
      <c r="L2693" s="119"/>
      <c r="M2693" s="3"/>
    </row>
    <row r="2694" spans="1:13" s="4" customFormat="1" ht="38.25" x14ac:dyDescent="0.25">
      <c r="A2694" s="4" t="s">
        <v>4517</v>
      </c>
      <c r="B2694" s="4" t="s">
        <v>183</v>
      </c>
      <c r="C2694" s="37" t="s">
        <v>4318</v>
      </c>
      <c r="D2694" s="35">
        <v>7209</v>
      </c>
      <c r="E2694" s="4" t="s">
        <v>4518</v>
      </c>
      <c r="F2694" s="5">
        <v>40290</v>
      </c>
      <c r="G2694" s="5">
        <v>40618</v>
      </c>
      <c r="H2694" s="4" t="s">
        <v>40</v>
      </c>
      <c r="I2694" s="6">
        <v>16937.919999999998</v>
      </c>
      <c r="J2694" s="6">
        <v>10155.709999999999</v>
      </c>
      <c r="K2694" s="37" t="s">
        <v>4318</v>
      </c>
      <c r="L2694" s="119"/>
      <c r="M2694" s="3"/>
    </row>
    <row r="2695" spans="1:13" s="4" customFormat="1" ht="38.25" x14ac:dyDescent="0.25">
      <c r="A2695" s="4" t="s">
        <v>4519</v>
      </c>
      <c r="B2695" s="4" t="s">
        <v>13</v>
      </c>
      <c r="C2695" s="37" t="s">
        <v>4318</v>
      </c>
      <c r="D2695" s="35">
        <v>7210</v>
      </c>
      <c r="E2695" s="4" t="s">
        <v>4520</v>
      </c>
      <c r="F2695" s="5">
        <v>40448</v>
      </c>
      <c r="G2695" s="5">
        <v>40716</v>
      </c>
      <c r="H2695" s="4" t="s">
        <v>40</v>
      </c>
      <c r="I2695" s="6">
        <v>7500</v>
      </c>
      <c r="J2695" s="6">
        <v>7500</v>
      </c>
      <c r="K2695" s="37" t="s">
        <v>4318</v>
      </c>
      <c r="L2695" s="119"/>
      <c r="M2695" s="3"/>
    </row>
    <row r="2696" spans="1:13" s="4" customFormat="1" ht="25.5" x14ac:dyDescent="0.25">
      <c r="A2696" s="4" t="s">
        <v>4521</v>
      </c>
      <c r="B2696" s="4" t="s">
        <v>90</v>
      </c>
      <c r="C2696" s="37" t="s">
        <v>4318</v>
      </c>
      <c r="D2696" s="35">
        <v>7211</v>
      </c>
      <c r="E2696" s="4" t="s">
        <v>4522</v>
      </c>
      <c r="F2696" s="5">
        <v>40290</v>
      </c>
      <c r="G2696" s="5">
        <v>40521</v>
      </c>
      <c r="H2696" s="4" t="s">
        <v>40</v>
      </c>
      <c r="I2696" s="6">
        <v>8308.42</v>
      </c>
      <c r="J2696" s="6">
        <v>4154.8100000000004</v>
      </c>
      <c r="K2696" s="37" t="s">
        <v>4318</v>
      </c>
      <c r="L2696" s="119"/>
      <c r="M2696" s="3"/>
    </row>
    <row r="2697" spans="1:13" s="4" customFormat="1" ht="38.25" x14ac:dyDescent="0.25">
      <c r="A2697" s="4" t="s">
        <v>4523</v>
      </c>
      <c r="B2697" s="4" t="s">
        <v>190</v>
      </c>
      <c r="C2697" s="37" t="s">
        <v>4318</v>
      </c>
      <c r="D2697" s="35">
        <v>7212</v>
      </c>
      <c r="E2697" s="4" t="s">
        <v>4524</v>
      </c>
      <c r="F2697" s="5">
        <v>40449</v>
      </c>
      <c r="H2697" s="4" t="s">
        <v>40</v>
      </c>
      <c r="I2697" s="6">
        <v>27226</v>
      </c>
      <c r="J2697" s="6">
        <v>13613</v>
      </c>
      <c r="K2697" s="37" t="s">
        <v>4318</v>
      </c>
      <c r="L2697" s="119"/>
      <c r="M2697" s="3"/>
    </row>
    <row r="2698" spans="1:13" s="4" customFormat="1" ht="38.25" x14ac:dyDescent="0.25">
      <c r="A2698" s="4" t="s">
        <v>4525</v>
      </c>
      <c r="B2698" s="4" t="s">
        <v>190</v>
      </c>
      <c r="C2698" s="37" t="s">
        <v>4318</v>
      </c>
      <c r="D2698" s="35">
        <v>7213</v>
      </c>
      <c r="E2698" s="4" t="s">
        <v>4526</v>
      </c>
      <c r="F2698" s="5">
        <v>40290</v>
      </c>
      <c r="G2698" s="5">
        <v>40750</v>
      </c>
      <c r="H2698" s="4" t="s">
        <v>40</v>
      </c>
      <c r="I2698" s="6">
        <v>38231</v>
      </c>
      <c r="J2698" s="6">
        <v>30356.5</v>
      </c>
      <c r="K2698" s="37" t="s">
        <v>4318</v>
      </c>
      <c r="L2698" s="119"/>
      <c r="M2698" s="3"/>
    </row>
    <row r="2699" spans="1:13" s="4" customFormat="1" ht="38.25" x14ac:dyDescent="0.25">
      <c r="A2699" s="4" t="s">
        <v>4527</v>
      </c>
      <c r="B2699" s="4" t="s">
        <v>50</v>
      </c>
      <c r="C2699" s="37" t="s">
        <v>4318</v>
      </c>
      <c r="D2699" s="35">
        <v>7214</v>
      </c>
      <c r="E2699" s="4" t="s">
        <v>4528</v>
      </c>
      <c r="F2699" s="5">
        <v>39538</v>
      </c>
      <c r="G2699" s="5">
        <v>40186</v>
      </c>
      <c r="H2699" s="4" t="s">
        <v>40</v>
      </c>
      <c r="I2699" s="6">
        <v>40000</v>
      </c>
      <c r="J2699" s="6">
        <v>20000</v>
      </c>
      <c r="K2699" s="37" t="s">
        <v>4318</v>
      </c>
      <c r="L2699" s="119"/>
      <c r="M2699" s="3"/>
    </row>
    <row r="2700" spans="1:13" s="4" customFormat="1" ht="25.5" x14ac:dyDescent="0.25">
      <c r="A2700" s="4" t="s">
        <v>4529</v>
      </c>
      <c r="B2700" s="4" t="s">
        <v>183</v>
      </c>
      <c r="C2700" s="37" t="s">
        <v>4318</v>
      </c>
      <c r="D2700" s="35">
        <v>7215</v>
      </c>
      <c r="E2700" s="4" t="s">
        <v>4530</v>
      </c>
      <c r="F2700" s="5">
        <v>40290</v>
      </c>
      <c r="G2700" s="5">
        <v>40519</v>
      </c>
      <c r="H2700" s="4" t="s">
        <v>40</v>
      </c>
      <c r="I2700" s="6">
        <v>7980</v>
      </c>
      <c r="J2700" s="6">
        <v>7500</v>
      </c>
      <c r="K2700" s="37" t="s">
        <v>4318</v>
      </c>
      <c r="L2700" s="119"/>
      <c r="M2700" s="3"/>
    </row>
    <row r="2701" spans="1:13" s="4" customFormat="1" ht="38.25" x14ac:dyDescent="0.25">
      <c r="A2701" s="4" t="s">
        <v>4531</v>
      </c>
      <c r="B2701" s="4" t="s">
        <v>190</v>
      </c>
      <c r="C2701" s="37" t="s">
        <v>4318</v>
      </c>
      <c r="D2701" s="35">
        <v>7216</v>
      </c>
      <c r="E2701" s="4" t="s">
        <v>4532</v>
      </c>
      <c r="F2701" s="5">
        <v>40290</v>
      </c>
      <c r="G2701" s="5">
        <v>40585</v>
      </c>
      <c r="H2701" s="4" t="s">
        <v>40</v>
      </c>
      <c r="I2701" s="6">
        <v>10000</v>
      </c>
      <c r="J2701" s="6">
        <v>10000</v>
      </c>
      <c r="K2701" s="37" t="s">
        <v>4318</v>
      </c>
      <c r="L2701" s="119"/>
      <c r="M2701" s="3"/>
    </row>
    <row r="2702" spans="1:13" s="4" customFormat="1" ht="25.5" x14ac:dyDescent="0.25">
      <c r="A2702" s="4" t="s">
        <v>4533</v>
      </c>
      <c r="B2702" s="4" t="s">
        <v>183</v>
      </c>
      <c r="C2702" s="37" t="s">
        <v>4318</v>
      </c>
      <c r="D2702" s="35">
        <v>7217</v>
      </c>
      <c r="E2702" s="4" t="s">
        <v>4534</v>
      </c>
      <c r="F2702" s="5">
        <v>40290</v>
      </c>
      <c r="H2702" s="4" t="s">
        <v>40</v>
      </c>
      <c r="I2702" s="6">
        <v>3750</v>
      </c>
      <c r="J2702" s="6">
        <v>3750</v>
      </c>
      <c r="K2702" s="37" t="s">
        <v>4318</v>
      </c>
      <c r="L2702" s="119"/>
      <c r="M2702" s="3"/>
    </row>
    <row r="2703" spans="1:13" s="4" customFormat="1" ht="25.5" x14ac:dyDescent="0.25">
      <c r="A2703" s="4" t="s">
        <v>4535</v>
      </c>
      <c r="B2703" s="4" t="s">
        <v>183</v>
      </c>
      <c r="C2703" s="37" t="s">
        <v>4318</v>
      </c>
      <c r="D2703" s="35">
        <v>7218</v>
      </c>
      <c r="E2703" s="4" t="s">
        <v>4536</v>
      </c>
      <c r="F2703" s="5">
        <v>40158</v>
      </c>
      <c r="G2703" s="5">
        <v>40302</v>
      </c>
      <c r="H2703" s="4" t="s">
        <v>40</v>
      </c>
      <c r="I2703" s="6">
        <v>12772.2</v>
      </c>
      <c r="J2703" s="6">
        <v>6386.1</v>
      </c>
      <c r="K2703" s="37" t="s">
        <v>4318</v>
      </c>
      <c r="L2703" s="119"/>
      <c r="M2703" s="3"/>
    </row>
    <row r="2704" spans="1:13" s="4" customFormat="1" ht="38.25" x14ac:dyDescent="0.25">
      <c r="A2704" s="4" t="s">
        <v>4537</v>
      </c>
      <c r="B2704" s="4" t="s">
        <v>183</v>
      </c>
      <c r="C2704" s="37" t="s">
        <v>4318</v>
      </c>
      <c r="D2704" s="35">
        <v>7219</v>
      </c>
      <c r="E2704" s="4" t="s">
        <v>4538</v>
      </c>
      <c r="F2704" s="5">
        <v>40322</v>
      </c>
      <c r="G2704" s="5">
        <v>40682</v>
      </c>
      <c r="H2704" s="4" t="s">
        <v>40</v>
      </c>
      <c r="I2704" s="6">
        <v>6620</v>
      </c>
      <c r="J2704" s="6">
        <v>5000</v>
      </c>
      <c r="K2704" s="37" t="s">
        <v>4318</v>
      </c>
      <c r="L2704" s="119"/>
      <c r="M2704" s="3"/>
    </row>
    <row r="2705" spans="1:13" s="4" customFormat="1" ht="38.25" x14ac:dyDescent="0.25">
      <c r="A2705" s="4" t="s">
        <v>4539</v>
      </c>
      <c r="B2705" s="4" t="s">
        <v>183</v>
      </c>
      <c r="C2705" s="37" t="s">
        <v>4318</v>
      </c>
      <c r="D2705" s="35">
        <v>7220</v>
      </c>
      <c r="E2705" s="4" t="s">
        <v>4540</v>
      </c>
      <c r="F2705" s="5">
        <v>40158</v>
      </c>
      <c r="H2705" s="4" t="s">
        <v>40</v>
      </c>
      <c r="I2705" s="6">
        <v>10000</v>
      </c>
      <c r="J2705" s="6">
        <v>10000</v>
      </c>
      <c r="K2705" s="37" t="s">
        <v>4318</v>
      </c>
      <c r="L2705" s="119"/>
      <c r="M2705" s="3"/>
    </row>
    <row r="2706" spans="1:13" s="4" customFormat="1" ht="38.25" x14ac:dyDescent="0.25">
      <c r="A2706" s="4" t="s">
        <v>4541</v>
      </c>
      <c r="B2706" s="4" t="s">
        <v>50</v>
      </c>
      <c r="C2706" s="37" t="s">
        <v>4318</v>
      </c>
      <c r="D2706" s="35">
        <v>7221</v>
      </c>
      <c r="E2706" s="4" t="s">
        <v>4542</v>
      </c>
      <c r="F2706" s="5">
        <v>40091</v>
      </c>
      <c r="G2706" s="5">
        <v>40205</v>
      </c>
      <c r="H2706" s="4" t="s">
        <v>40</v>
      </c>
      <c r="I2706" s="6">
        <v>16000</v>
      </c>
      <c r="J2706" s="6">
        <v>8000</v>
      </c>
      <c r="K2706" s="37" t="s">
        <v>4318</v>
      </c>
      <c r="L2706" s="119"/>
      <c r="M2706" s="3"/>
    </row>
    <row r="2707" spans="1:13" s="4" customFormat="1" ht="38.25" x14ac:dyDescent="0.25">
      <c r="A2707" s="4" t="s">
        <v>4543</v>
      </c>
      <c r="B2707" s="4" t="s">
        <v>183</v>
      </c>
      <c r="C2707" s="37" t="s">
        <v>4318</v>
      </c>
      <c r="D2707" s="35">
        <v>7222</v>
      </c>
      <c r="E2707" s="4" t="s">
        <v>4544</v>
      </c>
      <c r="F2707" s="5">
        <v>40448</v>
      </c>
      <c r="H2707" s="4" t="s">
        <v>40</v>
      </c>
      <c r="I2707" s="6">
        <v>2016</v>
      </c>
      <c r="J2707" s="6">
        <v>1008</v>
      </c>
      <c r="K2707" s="37" t="s">
        <v>4318</v>
      </c>
      <c r="L2707" s="119"/>
      <c r="M2707" s="3"/>
    </row>
    <row r="2708" spans="1:13" s="4" customFormat="1" ht="38.25" x14ac:dyDescent="0.25">
      <c r="A2708" s="4" t="s">
        <v>4545</v>
      </c>
      <c r="B2708" s="4" t="s">
        <v>183</v>
      </c>
      <c r="C2708" s="37" t="s">
        <v>4318</v>
      </c>
      <c r="D2708" s="35">
        <v>7223</v>
      </c>
      <c r="E2708" s="4" t="s">
        <v>4546</v>
      </c>
      <c r="F2708" s="5">
        <v>40190</v>
      </c>
      <c r="G2708" s="5">
        <v>40550</v>
      </c>
      <c r="H2708" s="4" t="s">
        <v>40</v>
      </c>
      <c r="I2708" s="6">
        <v>57885.2</v>
      </c>
      <c r="J2708" s="6">
        <v>36442.6</v>
      </c>
      <c r="K2708" s="37" t="s">
        <v>4318</v>
      </c>
      <c r="L2708" s="119"/>
      <c r="M2708" s="3"/>
    </row>
    <row r="2709" spans="1:13" s="4" customFormat="1" ht="38.25" x14ac:dyDescent="0.25">
      <c r="A2709" s="4" t="s">
        <v>4547</v>
      </c>
      <c r="B2709" s="4" t="s">
        <v>183</v>
      </c>
      <c r="C2709" s="37" t="s">
        <v>4318</v>
      </c>
      <c r="D2709" s="35">
        <v>7224</v>
      </c>
      <c r="E2709" s="4" t="s">
        <v>4548</v>
      </c>
      <c r="F2709" s="5">
        <v>40290</v>
      </c>
      <c r="G2709" s="5">
        <v>40553</v>
      </c>
      <c r="H2709" s="4" t="s">
        <v>40</v>
      </c>
      <c r="I2709" s="6">
        <v>20000</v>
      </c>
      <c r="J2709" s="6">
        <v>10000</v>
      </c>
      <c r="K2709" s="37" t="s">
        <v>4318</v>
      </c>
      <c r="L2709" s="119"/>
      <c r="M2709" s="3"/>
    </row>
    <row r="2710" spans="1:13" s="4" customFormat="1" ht="38.25" x14ac:dyDescent="0.25">
      <c r="A2710" s="4" t="s">
        <v>4549</v>
      </c>
      <c r="B2710" s="4" t="s">
        <v>38</v>
      </c>
      <c r="C2710" s="37" t="s">
        <v>4318</v>
      </c>
      <c r="D2710" s="35">
        <v>7225</v>
      </c>
      <c r="E2710" s="4" t="s">
        <v>4550</v>
      </c>
      <c r="F2710" s="5">
        <v>40179</v>
      </c>
      <c r="H2710" s="4" t="s">
        <v>40</v>
      </c>
      <c r="I2710" s="6">
        <v>46000</v>
      </c>
      <c r="J2710" s="6">
        <v>46000</v>
      </c>
      <c r="K2710" s="37" t="s">
        <v>4318</v>
      </c>
      <c r="L2710" s="119"/>
      <c r="M2710" s="3"/>
    </row>
    <row r="2711" spans="1:13" s="4" customFormat="1" ht="38.25" x14ac:dyDescent="0.25">
      <c r="A2711" s="4" t="s">
        <v>4551</v>
      </c>
      <c r="B2711" s="4" t="s">
        <v>38</v>
      </c>
      <c r="C2711" s="37" t="s">
        <v>4318</v>
      </c>
      <c r="D2711" s="35">
        <v>7226</v>
      </c>
      <c r="E2711" s="4" t="s">
        <v>4552</v>
      </c>
      <c r="F2711" s="5">
        <v>40179</v>
      </c>
      <c r="G2711" s="5">
        <v>40487</v>
      </c>
      <c r="H2711" s="4" t="s">
        <v>40</v>
      </c>
      <c r="I2711" s="6">
        <v>9000</v>
      </c>
      <c r="J2711" s="6">
        <v>9000</v>
      </c>
      <c r="K2711" s="37" t="s">
        <v>4318</v>
      </c>
      <c r="L2711" s="119"/>
      <c r="M2711" s="3"/>
    </row>
    <row r="2712" spans="1:13" s="4" customFormat="1" ht="38.25" x14ac:dyDescent="0.25">
      <c r="A2712" s="4" t="s">
        <v>4553</v>
      </c>
      <c r="B2712" s="4" t="s">
        <v>38</v>
      </c>
      <c r="C2712" s="37" t="s">
        <v>4318</v>
      </c>
      <c r="D2712" s="35">
        <v>7227</v>
      </c>
      <c r="E2712" s="4" t="s">
        <v>4554</v>
      </c>
      <c r="F2712" s="5">
        <v>39814</v>
      </c>
      <c r="H2712" s="4" t="s">
        <v>40</v>
      </c>
      <c r="I2712" s="6">
        <v>6250</v>
      </c>
      <c r="J2712" s="6">
        <v>6250</v>
      </c>
      <c r="K2712" s="37" t="s">
        <v>4318</v>
      </c>
      <c r="L2712" s="119"/>
      <c r="M2712" s="3"/>
    </row>
    <row r="2713" spans="1:13" s="4" customFormat="1" ht="63.75" x14ac:dyDescent="0.25">
      <c r="A2713" s="4" t="s">
        <v>4555</v>
      </c>
      <c r="B2713" s="4" t="s">
        <v>38</v>
      </c>
      <c r="C2713" s="37" t="s">
        <v>4318</v>
      </c>
      <c r="D2713" s="35">
        <v>7228</v>
      </c>
      <c r="E2713" s="4" t="s">
        <v>4556</v>
      </c>
      <c r="F2713" s="5">
        <v>40179</v>
      </c>
      <c r="H2713" s="4" t="s">
        <v>40</v>
      </c>
      <c r="I2713" s="6">
        <v>3000</v>
      </c>
      <c r="J2713" s="6">
        <v>3000</v>
      </c>
      <c r="K2713" s="37" t="s">
        <v>4318</v>
      </c>
      <c r="L2713" s="119"/>
      <c r="M2713" s="3"/>
    </row>
    <row r="2714" spans="1:13" s="4" customFormat="1" ht="38.25" x14ac:dyDescent="0.25">
      <c r="A2714" s="4" t="s">
        <v>4557</v>
      </c>
      <c r="B2714" s="4" t="s">
        <v>38</v>
      </c>
      <c r="C2714" s="37" t="s">
        <v>4318</v>
      </c>
      <c r="D2714" s="35">
        <v>7229</v>
      </c>
      <c r="E2714" s="4" t="s">
        <v>4558</v>
      </c>
      <c r="F2714" s="5">
        <v>40179</v>
      </c>
      <c r="H2714" s="4" t="s">
        <v>40</v>
      </c>
      <c r="I2714" s="6">
        <v>39800</v>
      </c>
      <c r="J2714" s="6">
        <v>39800</v>
      </c>
      <c r="K2714" s="37" t="s">
        <v>4318</v>
      </c>
      <c r="L2714" s="119"/>
      <c r="M2714" s="3"/>
    </row>
    <row r="2715" spans="1:13" s="4" customFormat="1" ht="25.5" x14ac:dyDescent="0.25">
      <c r="A2715" s="4" t="s">
        <v>4559</v>
      </c>
      <c r="B2715" s="4" t="s">
        <v>183</v>
      </c>
      <c r="C2715" s="37" t="s">
        <v>4318</v>
      </c>
      <c r="D2715" s="35">
        <v>8587</v>
      </c>
      <c r="E2715" s="4" t="s">
        <v>4560</v>
      </c>
      <c r="F2715" s="5">
        <v>40290</v>
      </c>
      <c r="G2715" s="5">
        <v>40666</v>
      </c>
      <c r="H2715" s="4" t="s">
        <v>40</v>
      </c>
      <c r="I2715" s="6">
        <v>48550</v>
      </c>
      <c r="J2715" s="6">
        <v>15000</v>
      </c>
      <c r="K2715" s="37" t="s">
        <v>4318</v>
      </c>
      <c r="L2715" s="119"/>
      <c r="M2715" s="3"/>
    </row>
    <row r="2716" spans="1:13" s="4" customFormat="1" ht="38.25" x14ac:dyDescent="0.25">
      <c r="A2716" s="4" t="s">
        <v>4561</v>
      </c>
      <c r="B2716" s="4" t="s">
        <v>183</v>
      </c>
      <c r="C2716" s="37" t="s">
        <v>4318</v>
      </c>
      <c r="D2716" s="35">
        <v>8591</v>
      </c>
      <c r="E2716" s="4" t="s">
        <v>4562</v>
      </c>
      <c r="F2716" s="5">
        <v>40609</v>
      </c>
      <c r="G2716" s="5">
        <v>41024</v>
      </c>
      <c r="H2716" s="4" t="s">
        <v>40</v>
      </c>
      <c r="I2716" s="6">
        <v>15000</v>
      </c>
      <c r="J2716" s="6">
        <v>15000</v>
      </c>
      <c r="K2716" s="37" t="s">
        <v>4318</v>
      </c>
      <c r="L2716" s="119"/>
      <c r="M2716" s="3"/>
    </row>
    <row r="2717" spans="1:13" s="4" customFormat="1" ht="76.5" x14ac:dyDescent="0.25">
      <c r="A2717" s="4" t="s">
        <v>4563</v>
      </c>
      <c r="B2717" s="4" t="s">
        <v>183</v>
      </c>
      <c r="C2717" s="37" t="s">
        <v>4318</v>
      </c>
      <c r="D2717" s="35">
        <v>8593</v>
      </c>
      <c r="E2717" s="4" t="s">
        <v>4564</v>
      </c>
      <c r="F2717" s="5">
        <v>40686</v>
      </c>
      <c r="G2717" s="5">
        <v>41226</v>
      </c>
      <c r="H2717" s="4" t="s">
        <v>40</v>
      </c>
      <c r="I2717" s="6">
        <v>49193.14</v>
      </c>
      <c r="J2717" s="6">
        <v>30000</v>
      </c>
      <c r="K2717" s="37" t="s">
        <v>4318</v>
      </c>
      <c r="L2717" s="119"/>
      <c r="M2717" s="3"/>
    </row>
    <row r="2718" spans="1:13" s="4" customFormat="1" ht="38.25" x14ac:dyDescent="0.25">
      <c r="A2718" s="4" t="s">
        <v>4565</v>
      </c>
      <c r="B2718" s="4" t="s">
        <v>183</v>
      </c>
      <c r="C2718" s="37" t="s">
        <v>4318</v>
      </c>
      <c r="D2718" s="35">
        <v>8594</v>
      </c>
      <c r="E2718" s="4" t="s">
        <v>4566</v>
      </c>
      <c r="F2718" s="5">
        <v>40844</v>
      </c>
      <c r="G2718" s="5">
        <v>40876</v>
      </c>
      <c r="H2718" s="4" t="s">
        <v>40</v>
      </c>
      <c r="I2718" s="6">
        <v>6250</v>
      </c>
      <c r="J2718" s="6">
        <v>5000</v>
      </c>
      <c r="K2718" s="37" t="s">
        <v>4318</v>
      </c>
      <c r="L2718" s="119"/>
      <c r="M2718" s="3"/>
    </row>
    <row r="2719" spans="1:13" s="4" customFormat="1" ht="38.25" x14ac:dyDescent="0.25">
      <c r="A2719" s="4" t="s">
        <v>4567</v>
      </c>
      <c r="B2719" s="4" t="s">
        <v>183</v>
      </c>
      <c r="C2719" s="37" t="s">
        <v>4318</v>
      </c>
      <c r="D2719" s="35">
        <v>8638</v>
      </c>
      <c r="E2719" s="4" t="s">
        <v>4568</v>
      </c>
      <c r="F2719" s="5">
        <v>40413</v>
      </c>
      <c r="G2719" s="5">
        <v>40722</v>
      </c>
      <c r="H2719" s="4" t="s">
        <v>40</v>
      </c>
      <c r="I2719" s="6">
        <v>15000</v>
      </c>
      <c r="J2719" s="6">
        <v>15000</v>
      </c>
      <c r="K2719" s="37" t="s">
        <v>4318</v>
      </c>
      <c r="L2719" s="119"/>
      <c r="M2719" s="3"/>
    </row>
    <row r="2720" spans="1:13" s="4" customFormat="1" ht="51" x14ac:dyDescent="0.25">
      <c r="A2720" s="4" t="s">
        <v>4569</v>
      </c>
      <c r="B2720" s="4" t="s">
        <v>183</v>
      </c>
      <c r="C2720" s="37" t="s">
        <v>4318</v>
      </c>
      <c r="D2720" s="35">
        <v>8639</v>
      </c>
      <c r="E2720" s="4" t="s">
        <v>4570</v>
      </c>
      <c r="F2720" s="5">
        <v>40484</v>
      </c>
      <c r="G2720" s="5">
        <v>40864</v>
      </c>
      <c r="H2720" s="4" t="s">
        <v>40</v>
      </c>
      <c r="I2720" s="6">
        <v>32250</v>
      </c>
      <c r="J2720" s="6">
        <v>20000</v>
      </c>
      <c r="K2720" s="37" t="s">
        <v>4318</v>
      </c>
      <c r="L2720" s="119"/>
      <c r="M2720" s="3"/>
    </row>
    <row r="2721" spans="1:13" s="4" customFormat="1" ht="38.25" x14ac:dyDescent="0.25">
      <c r="A2721" s="4" t="s">
        <v>4571</v>
      </c>
      <c r="B2721" s="4" t="s">
        <v>183</v>
      </c>
      <c r="C2721" s="37" t="s">
        <v>4318</v>
      </c>
      <c r="D2721" s="35">
        <v>8640</v>
      </c>
      <c r="E2721" s="4" t="s">
        <v>4572</v>
      </c>
      <c r="F2721" s="5">
        <v>40610</v>
      </c>
      <c r="G2721" s="5">
        <v>40875</v>
      </c>
      <c r="H2721" s="4" t="s">
        <v>40</v>
      </c>
      <c r="I2721" s="6">
        <v>7500</v>
      </c>
      <c r="J2721" s="6">
        <v>7500</v>
      </c>
      <c r="K2721" s="37" t="s">
        <v>4318</v>
      </c>
      <c r="L2721" s="119"/>
      <c r="M2721" s="3"/>
    </row>
    <row r="2722" spans="1:13" s="4" customFormat="1" ht="51" x14ac:dyDescent="0.25">
      <c r="A2722" s="4" t="s">
        <v>4573</v>
      </c>
      <c r="B2722" s="4" t="s">
        <v>183</v>
      </c>
      <c r="C2722" s="37" t="s">
        <v>4318</v>
      </c>
      <c r="D2722" s="35">
        <v>8641</v>
      </c>
      <c r="E2722" s="4" t="s">
        <v>4574</v>
      </c>
      <c r="F2722" s="5">
        <v>40569</v>
      </c>
      <c r="G2722" s="5">
        <v>40805</v>
      </c>
      <c r="H2722" s="4" t="s">
        <v>40</v>
      </c>
      <c r="I2722" s="6">
        <v>7500</v>
      </c>
      <c r="J2722" s="6">
        <v>7500</v>
      </c>
      <c r="K2722" s="37" t="s">
        <v>4318</v>
      </c>
      <c r="L2722" s="119"/>
      <c r="M2722" s="3"/>
    </row>
    <row r="2723" spans="1:13" s="4" customFormat="1" ht="25.5" x14ac:dyDescent="0.25">
      <c r="A2723" s="4" t="s">
        <v>4575</v>
      </c>
      <c r="B2723" s="4" t="s">
        <v>183</v>
      </c>
      <c r="C2723" s="37" t="s">
        <v>4318</v>
      </c>
      <c r="D2723" s="35">
        <v>8652</v>
      </c>
      <c r="E2723" s="4" t="s">
        <v>4576</v>
      </c>
      <c r="F2723" s="5">
        <v>40560</v>
      </c>
      <c r="G2723" s="5">
        <v>40788</v>
      </c>
      <c r="H2723" s="4" t="s">
        <v>40</v>
      </c>
      <c r="I2723" s="6">
        <v>7500</v>
      </c>
      <c r="J2723" s="6">
        <v>7500</v>
      </c>
      <c r="K2723" s="37" t="s">
        <v>4318</v>
      </c>
      <c r="L2723" s="119"/>
      <c r="M2723" s="3"/>
    </row>
    <row r="2724" spans="1:13" s="4" customFormat="1" ht="51" x14ac:dyDescent="0.25">
      <c r="A2724" s="4" t="s">
        <v>4577</v>
      </c>
      <c r="B2724" s="4" t="s">
        <v>190</v>
      </c>
      <c r="C2724" s="37" t="s">
        <v>4318</v>
      </c>
      <c r="D2724" s="35">
        <v>8661</v>
      </c>
      <c r="E2724" s="4" t="s">
        <v>4578</v>
      </c>
      <c r="F2724" s="5">
        <v>40681</v>
      </c>
      <c r="G2724" s="5">
        <v>41059</v>
      </c>
      <c r="H2724" s="4" t="s">
        <v>40</v>
      </c>
      <c r="I2724" s="6">
        <v>26140</v>
      </c>
      <c r="J2724" s="6">
        <v>22500</v>
      </c>
      <c r="K2724" s="37" t="s">
        <v>4318</v>
      </c>
      <c r="L2724" s="119"/>
      <c r="M2724" s="3"/>
    </row>
    <row r="2725" spans="1:13" s="4" customFormat="1" ht="63.75" x14ac:dyDescent="0.25">
      <c r="A2725" s="4" t="s">
        <v>4579</v>
      </c>
      <c r="B2725" s="4" t="s">
        <v>190</v>
      </c>
      <c r="C2725" s="37" t="s">
        <v>4318</v>
      </c>
      <c r="D2725" s="35">
        <v>8662</v>
      </c>
      <c r="E2725" s="4" t="s">
        <v>4580</v>
      </c>
      <c r="F2725" s="5">
        <v>40834</v>
      </c>
      <c r="G2725" s="5">
        <v>40900</v>
      </c>
      <c r="H2725" s="4" t="s">
        <v>40</v>
      </c>
      <c r="I2725" s="6">
        <v>24000</v>
      </c>
      <c r="J2725" s="6">
        <v>12000</v>
      </c>
      <c r="K2725" s="37" t="s">
        <v>4318</v>
      </c>
      <c r="L2725" s="119"/>
      <c r="M2725" s="3"/>
    </row>
    <row r="2726" spans="1:13" s="4" customFormat="1" ht="38.25" x14ac:dyDescent="0.25">
      <c r="A2726" s="4" t="s">
        <v>4581</v>
      </c>
      <c r="B2726" s="4" t="s">
        <v>183</v>
      </c>
      <c r="C2726" s="37" t="s">
        <v>4318</v>
      </c>
      <c r="D2726" s="35">
        <v>8667</v>
      </c>
      <c r="E2726" s="4" t="s">
        <v>4582</v>
      </c>
      <c r="F2726" s="5">
        <v>40788</v>
      </c>
      <c r="G2726" s="5">
        <v>40898</v>
      </c>
      <c r="H2726" s="4" t="s">
        <v>40</v>
      </c>
      <c r="I2726" s="6">
        <v>10000</v>
      </c>
      <c r="J2726" s="6">
        <v>5000</v>
      </c>
      <c r="K2726" s="37" t="s">
        <v>4318</v>
      </c>
      <c r="L2726" s="119"/>
      <c r="M2726" s="3"/>
    </row>
    <row r="2727" spans="1:13" s="4" customFormat="1" ht="51" x14ac:dyDescent="0.25">
      <c r="A2727" s="4" t="s">
        <v>4583</v>
      </c>
      <c r="B2727" s="4" t="s">
        <v>183</v>
      </c>
      <c r="C2727" s="37" t="s">
        <v>4318</v>
      </c>
      <c r="D2727" s="35">
        <v>8669</v>
      </c>
      <c r="E2727" s="4" t="s">
        <v>4584</v>
      </c>
      <c r="F2727" s="5">
        <v>40822</v>
      </c>
      <c r="G2727" s="5">
        <v>41120</v>
      </c>
      <c r="H2727" s="4" t="s">
        <v>40</v>
      </c>
      <c r="I2727" s="6">
        <v>22500</v>
      </c>
      <c r="J2727" s="6">
        <v>15000</v>
      </c>
      <c r="K2727" s="37" t="s">
        <v>4318</v>
      </c>
      <c r="L2727" s="119"/>
      <c r="M2727" s="3"/>
    </row>
    <row r="2728" spans="1:13" s="4" customFormat="1" ht="51" x14ac:dyDescent="0.25">
      <c r="A2728" s="4" t="s">
        <v>4585</v>
      </c>
      <c r="B2728" s="4" t="s">
        <v>183</v>
      </c>
      <c r="C2728" s="37" t="s">
        <v>4318</v>
      </c>
      <c r="D2728" s="35">
        <v>8671</v>
      </c>
      <c r="E2728" s="4" t="s">
        <v>4586</v>
      </c>
      <c r="F2728" s="5">
        <v>40464</v>
      </c>
      <c r="G2728" s="5">
        <v>40742</v>
      </c>
      <c r="H2728" s="4" t="s">
        <v>40</v>
      </c>
      <c r="I2728" s="6">
        <v>7500</v>
      </c>
      <c r="J2728" s="6">
        <v>7500</v>
      </c>
      <c r="K2728" s="37" t="s">
        <v>4318</v>
      </c>
      <c r="L2728" s="119"/>
      <c r="M2728" s="3"/>
    </row>
    <row r="2729" spans="1:13" s="4" customFormat="1" ht="25.5" x14ac:dyDescent="0.25">
      <c r="A2729" s="4" t="s">
        <v>4587</v>
      </c>
      <c r="B2729" s="4" t="s">
        <v>183</v>
      </c>
      <c r="C2729" s="37" t="s">
        <v>4318</v>
      </c>
      <c r="D2729" s="35">
        <v>8672</v>
      </c>
      <c r="E2729" s="4" t="s">
        <v>4588</v>
      </c>
      <c r="F2729" s="5">
        <v>40494</v>
      </c>
      <c r="G2729" s="5">
        <v>41087</v>
      </c>
      <c r="H2729" s="4" t="s">
        <v>40</v>
      </c>
      <c r="I2729" s="6">
        <v>19000</v>
      </c>
      <c r="J2729" s="6">
        <v>15000</v>
      </c>
      <c r="K2729" s="37" t="s">
        <v>4318</v>
      </c>
      <c r="L2729" s="119"/>
      <c r="M2729" s="3"/>
    </row>
    <row r="2730" spans="1:13" s="4" customFormat="1" ht="38.25" x14ac:dyDescent="0.25">
      <c r="A2730" s="4" t="s">
        <v>4539</v>
      </c>
      <c r="B2730" s="4" t="s">
        <v>183</v>
      </c>
      <c r="C2730" s="37" t="s">
        <v>4318</v>
      </c>
      <c r="D2730" s="35">
        <v>8673</v>
      </c>
      <c r="E2730" s="4" t="s">
        <v>4589</v>
      </c>
      <c r="F2730" s="5">
        <v>40464</v>
      </c>
      <c r="G2730" s="5">
        <v>40704</v>
      </c>
      <c r="H2730" s="4" t="s">
        <v>40</v>
      </c>
      <c r="I2730" s="6">
        <v>20000</v>
      </c>
      <c r="J2730" s="6">
        <v>10000</v>
      </c>
      <c r="K2730" s="37" t="s">
        <v>4318</v>
      </c>
      <c r="L2730" s="119"/>
      <c r="M2730" s="3"/>
    </row>
    <row r="2731" spans="1:13" s="4" customFormat="1" ht="25.5" x14ac:dyDescent="0.25">
      <c r="A2731" s="4" t="s">
        <v>4590</v>
      </c>
      <c r="B2731" s="4" t="s">
        <v>183</v>
      </c>
      <c r="C2731" s="37" t="s">
        <v>4318</v>
      </c>
      <c r="D2731" s="35">
        <v>8675</v>
      </c>
      <c r="E2731" s="4" t="s">
        <v>4591</v>
      </c>
      <c r="F2731" s="5">
        <v>40522</v>
      </c>
      <c r="G2731" s="5">
        <v>40834</v>
      </c>
      <c r="H2731" s="4" t="s">
        <v>40</v>
      </c>
      <c r="I2731" s="6">
        <v>15000</v>
      </c>
      <c r="J2731" s="6">
        <v>15000</v>
      </c>
      <c r="K2731" s="37" t="s">
        <v>4318</v>
      </c>
      <c r="L2731" s="119"/>
      <c r="M2731" s="3"/>
    </row>
    <row r="2732" spans="1:13" s="4" customFormat="1" ht="38.25" x14ac:dyDescent="0.25">
      <c r="A2732" s="4" t="s">
        <v>4592</v>
      </c>
      <c r="B2732" s="4" t="s">
        <v>183</v>
      </c>
      <c r="C2732" s="37" t="s">
        <v>4318</v>
      </c>
      <c r="D2732" s="35">
        <v>8678</v>
      </c>
      <c r="E2732" s="4" t="s">
        <v>4593</v>
      </c>
      <c r="F2732" s="5">
        <v>40728</v>
      </c>
      <c r="G2732" s="5">
        <v>40885</v>
      </c>
      <c r="H2732" s="4" t="s">
        <v>40</v>
      </c>
      <c r="I2732" s="6">
        <v>7500</v>
      </c>
      <c r="J2732" s="6">
        <v>7500</v>
      </c>
      <c r="K2732" s="37" t="s">
        <v>4318</v>
      </c>
      <c r="L2732" s="119"/>
      <c r="M2732" s="3"/>
    </row>
    <row r="2733" spans="1:13" s="4" customFormat="1" ht="38.25" x14ac:dyDescent="0.25">
      <c r="A2733" s="4" t="s">
        <v>4594</v>
      </c>
      <c r="B2733" s="4" t="s">
        <v>183</v>
      </c>
      <c r="C2733" s="37" t="s">
        <v>4318</v>
      </c>
      <c r="D2733" s="35">
        <v>8684</v>
      </c>
      <c r="E2733" s="4" t="s">
        <v>4595</v>
      </c>
      <c r="F2733" s="5">
        <v>40525</v>
      </c>
      <c r="G2733" s="5">
        <v>40772</v>
      </c>
      <c r="H2733" s="4" t="s">
        <v>40</v>
      </c>
      <c r="I2733" s="6">
        <v>15000</v>
      </c>
      <c r="J2733" s="6">
        <v>15000</v>
      </c>
      <c r="K2733" s="37" t="s">
        <v>4318</v>
      </c>
      <c r="L2733" s="119"/>
      <c r="M2733" s="3"/>
    </row>
    <row r="2734" spans="1:13" s="4" customFormat="1" ht="38.25" x14ac:dyDescent="0.25">
      <c r="A2734" s="4" t="s">
        <v>4596</v>
      </c>
      <c r="B2734" s="4" t="s">
        <v>183</v>
      </c>
      <c r="C2734" s="37" t="s">
        <v>4318</v>
      </c>
      <c r="D2734" s="35">
        <v>8697</v>
      </c>
      <c r="E2734" s="4" t="s">
        <v>4597</v>
      </c>
      <c r="F2734" s="5">
        <v>40240</v>
      </c>
      <c r="G2734" s="5">
        <v>40646</v>
      </c>
      <c r="H2734" s="4" t="s">
        <v>40</v>
      </c>
      <c r="I2734" s="6">
        <v>14925</v>
      </c>
      <c r="J2734" s="6">
        <v>10000</v>
      </c>
      <c r="K2734" s="37" t="s">
        <v>4318</v>
      </c>
      <c r="L2734" s="119"/>
      <c r="M2734" s="3"/>
    </row>
    <row r="2735" spans="1:13" s="4" customFormat="1" ht="25.5" x14ac:dyDescent="0.25">
      <c r="A2735" s="4" t="s">
        <v>4598</v>
      </c>
      <c r="B2735" s="4" t="s">
        <v>183</v>
      </c>
      <c r="C2735" s="37" t="s">
        <v>4318</v>
      </c>
      <c r="D2735" s="35">
        <v>8709</v>
      </c>
      <c r="E2735" s="4" t="s">
        <v>4599</v>
      </c>
      <c r="F2735" s="5">
        <v>40525</v>
      </c>
      <c r="G2735" s="5">
        <v>40730</v>
      </c>
      <c r="H2735" s="4" t="s">
        <v>40</v>
      </c>
      <c r="I2735" s="6">
        <v>7500</v>
      </c>
      <c r="J2735" s="6">
        <v>7500</v>
      </c>
      <c r="K2735" s="37" t="s">
        <v>4318</v>
      </c>
      <c r="L2735" s="119"/>
      <c r="M2735" s="3"/>
    </row>
    <row r="2736" spans="1:13" s="4" customFormat="1" ht="51" x14ac:dyDescent="0.25">
      <c r="A2736" s="4" t="s">
        <v>4600</v>
      </c>
      <c r="B2736" s="4" t="s">
        <v>183</v>
      </c>
      <c r="C2736" s="37" t="s">
        <v>4318</v>
      </c>
      <c r="D2736" s="35">
        <v>8718</v>
      </c>
      <c r="E2736" s="4" t="s">
        <v>4601</v>
      </c>
      <c r="F2736" s="5">
        <v>40809</v>
      </c>
      <c r="G2736" s="5">
        <v>40906</v>
      </c>
      <c r="H2736" s="4" t="s">
        <v>40</v>
      </c>
      <c r="I2736" s="6">
        <v>11509</v>
      </c>
      <c r="J2736" s="6">
        <v>7500</v>
      </c>
      <c r="K2736" s="37" t="s">
        <v>4318</v>
      </c>
      <c r="L2736" s="119"/>
      <c r="M2736" s="3"/>
    </row>
    <row r="2737" spans="1:60" s="4" customFormat="1" ht="38.25" x14ac:dyDescent="0.25">
      <c r="A2737" s="4" t="s">
        <v>4602</v>
      </c>
      <c r="B2737" s="4" t="s">
        <v>38</v>
      </c>
      <c r="C2737" s="37" t="s">
        <v>4318</v>
      </c>
      <c r="D2737" s="35">
        <v>8803</v>
      </c>
      <c r="E2737" s="4" t="s">
        <v>4603</v>
      </c>
      <c r="F2737" s="5">
        <v>40544</v>
      </c>
      <c r="H2737" s="4" t="s">
        <v>40</v>
      </c>
      <c r="I2737" s="6">
        <v>23700</v>
      </c>
      <c r="J2737" s="6">
        <f>6900+16800</f>
        <v>23700</v>
      </c>
      <c r="K2737" s="37" t="s">
        <v>4318</v>
      </c>
      <c r="L2737" s="119"/>
      <c r="M2737" s="3"/>
    </row>
    <row r="2738" spans="1:60" s="4" customFormat="1" ht="38.25" x14ac:dyDescent="0.25">
      <c r="A2738" s="4" t="s">
        <v>4604</v>
      </c>
      <c r="B2738" s="4" t="s">
        <v>38</v>
      </c>
      <c r="C2738" s="37" t="s">
        <v>4318</v>
      </c>
      <c r="D2738" s="35">
        <v>8806</v>
      </c>
      <c r="E2738" s="4" t="s">
        <v>4605</v>
      </c>
      <c r="F2738" s="5">
        <v>40544</v>
      </c>
      <c r="H2738" s="4" t="s">
        <v>40</v>
      </c>
      <c r="I2738" s="6">
        <v>3160.5</v>
      </c>
      <c r="J2738" s="6">
        <v>3160.5</v>
      </c>
      <c r="K2738" s="37" t="s">
        <v>4318</v>
      </c>
      <c r="L2738" s="119"/>
      <c r="M2738" s="3"/>
    </row>
    <row r="2739" spans="1:60" s="9" customFormat="1" ht="38.25" x14ac:dyDescent="0.25">
      <c r="A2739" s="4" t="s">
        <v>4606</v>
      </c>
      <c r="B2739" s="4" t="s">
        <v>38</v>
      </c>
      <c r="C2739" s="37" t="s">
        <v>4318</v>
      </c>
      <c r="D2739" s="35">
        <v>8811</v>
      </c>
      <c r="E2739" s="4" t="s">
        <v>4607</v>
      </c>
      <c r="F2739" s="5">
        <v>40544</v>
      </c>
      <c r="G2739" s="4"/>
      <c r="H2739" s="4" t="s">
        <v>40</v>
      </c>
      <c r="I2739" s="6">
        <v>6063</v>
      </c>
      <c r="J2739" s="6">
        <f>4928+1135</f>
        <v>6063</v>
      </c>
      <c r="K2739" s="37" t="s">
        <v>4318</v>
      </c>
      <c r="L2739" s="119"/>
      <c r="M2739" s="3"/>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row>
    <row r="2740" spans="1:60" s="4" customFormat="1" ht="38.25" x14ac:dyDescent="0.25">
      <c r="A2740" s="4" t="s">
        <v>4608</v>
      </c>
      <c r="B2740" s="4" t="s">
        <v>38</v>
      </c>
      <c r="C2740" s="37" t="s">
        <v>4318</v>
      </c>
      <c r="D2740" s="35">
        <v>8812</v>
      </c>
      <c r="E2740" s="4" t="s">
        <v>4609</v>
      </c>
      <c r="F2740" s="5">
        <v>40544</v>
      </c>
      <c r="H2740" s="4" t="s">
        <v>40</v>
      </c>
      <c r="I2740" s="6">
        <v>655</v>
      </c>
      <c r="J2740" s="6">
        <v>655</v>
      </c>
      <c r="K2740" s="37" t="s">
        <v>4318</v>
      </c>
      <c r="L2740" s="119"/>
      <c r="M2740" s="3"/>
    </row>
    <row r="2741" spans="1:60" s="4" customFormat="1" ht="51" x14ac:dyDescent="0.25">
      <c r="A2741" s="4" t="s">
        <v>4610</v>
      </c>
      <c r="B2741" s="4" t="s">
        <v>38</v>
      </c>
      <c r="C2741" s="37" t="s">
        <v>4318</v>
      </c>
      <c r="D2741" s="35">
        <v>8813</v>
      </c>
      <c r="E2741" s="4" t="s">
        <v>4611</v>
      </c>
      <c r="F2741" s="5">
        <v>40544</v>
      </c>
      <c r="H2741" s="4" t="s">
        <v>40</v>
      </c>
      <c r="I2741" s="6">
        <v>646</v>
      </c>
      <c r="J2741" s="6">
        <v>646</v>
      </c>
      <c r="K2741" s="37" t="s">
        <v>4318</v>
      </c>
      <c r="L2741" s="119"/>
      <c r="M2741" s="3"/>
    </row>
    <row r="2742" spans="1:60" s="4" customFormat="1" ht="38.25" x14ac:dyDescent="0.25">
      <c r="A2742" s="4" t="s">
        <v>4612</v>
      </c>
      <c r="B2742" s="4" t="s">
        <v>183</v>
      </c>
      <c r="C2742" s="37" t="s">
        <v>4318</v>
      </c>
      <c r="D2742" s="35">
        <v>10590</v>
      </c>
      <c r="E2742" s="4" t="s">
        <v>4613</v>
      </c>
      <c r="F2742" s="5">
        <v>40952</v>
      </c>
      <c r="G2742" s="5">
        <v>41220</v>
      </c>
      <c r="H2742" s="4" t="s">
        <v>40</v>
      </c>
      <c r="I2742" s="6">
        <v>5000</v>
      </c>
      <c r="J2742" s="6">
        <v>5000</v>
      </c>
      <c r="K2742" s="37" t="s">
        <v>4318</v>
      </c>
      <c r="L2742" s="119"/>
      <c r="M2742" s="3"/>
    </row>
    <row r="2743" spans="1:60" s="4" customFormat="1" ht="25.5" x14ac:dyDescent="0.25">
      <c r="A2743" s="4" t="s">
        <v>4614</v>
      </c>
      <c r="B2743" s="4" t="s">
        <v>183</v>
      </c>
      <c r="C2743" s="37" t="s">
        <v>4318</v>
      </c>
      <c r="D2743" s="35">
        <v>10686</v>
      </c>
      <c r="E2743" s="4" t="s">
        <v>4615</v>
      </c>
      <c r="F2743" s="5">
        <v>40830</v>
      </c>
      <c r="G2743" s="5">
        <v>41297</v>
      </c>
      <c r="H2743" s="4" t="s">
        <v>40</v>
      </c>
      <c r="I2743" s="6">
        <v>18086</v>
      </c>
      <c r="J2743" s="6">
        <f>12393+400</f>
        <v>12793</v>
      </c>
      <c r="K2743" s="37" t="s">
        <v>4318</v>
      </c>
      <c r="L2743" s="119"/>
      <c r="M2743" s="3"/>
    </row>
    <row r="2744" spans="1:60" s="4" customFormat="1" ht="38.25" x14ac:dyDescent="0.25">
      <c r="A2744" s="4" t="s">
        <v>4616</v>
      </c>
      <c r="B2744" s="4" t="s">
        <v>183</v>
      </c>
      <c r="C2744" s="37" t="s">
        <v>4318</v>
      </c>
      <c r="D2744" s="35">
        <v>10690</v>
      </c>
      <c r="E2744" s="4" t="s">
        <v>4617</v>
      </c>
      <c r="F2744" s="5">
        <v>40659</v>
      </c>
      <c r="G2744" s="5">
        <v>41079</v>
      </c>
      <c r="H2744" s="4" t="s">
        <v>40</v>
      </c>
      <c r="I2744" s="6">
        <v>9288</v>
      </c>
      <c r="J2744" s="6">
        <v>4644</v>
      </c>
      <c r="K2744" s="37" t="s">
        <v>4318</v>
      </c>
      <c r="L2744" s="119"/>
      <c r="M2744" s="3"/>
    </row>
    <row r="2745" spans="1:60" s="4" customFormat="1" ht="38.25" x14ac:dyDescent="0.25">
      <c r="A2745" s="4" t="s">
        <v>4618</v>
      </c>
      <c r="B2745" s="4" t="s">
        <v>190</v>
      </c>
      <c r="C2745" s="37" t="s">
        <v>4318</v>
      </c>
      <c r="D2745" s="35">
        <v>10691</v>
      </c>
      <c r="E2745" s="4" t="s">
        <v>4619</v>
      </c>
      <c r="F2745" s="5">
        <v>41176</v>
      </c>
      <c r="G2745" s="5">
        <v>41262</v>
      </c>
      <c r="H2745" s="4" t="s">
        <v>40</v>
      </c>
      <c r="I2745" s="6">
        <v>12000</v>
      </c>
      <c r="J2745" s="6">
        <v>6000</v>
      </c>
      <c r="K2745" s="37" t="s">
        <v>4318</v>
      </c>
      <c r="L2745" s="119"/>
      <c r="M2745" s="3"/>
    </row>
    <row r="2746" spans="1:60" s="4" customFormat="1" ht="25.5" x14ac:dyDescent="0.25">
      <c r="A2746" s="4" t="s">
        <v>4620</v>
      </c>
      <c r="B2746" s="4" t="s">
        <v>183</v>
      </c>
      <c r="C2746" s="37" t="s">
        <v>4318</v>
      </c>
      <c r="D2746" s="35">
        <v>10712</v>
      </c>
      <c r="E2746" s="4" t="s">
        <v>4621</v>
      </c>
      <c r="F2746" s="5">
        <v>41087</v>
      </c>
      <c r="G2746" s="5">
        <v>41334</v>
      </c>
      <c r="H2746" s="4" t="s">
        <v>40</v>
      </c>
      <c r="I2746" s="6">
        <v>7500</v>
      </c>
      <c r="J2746" s="6">
        <f>3750+3750</f>
        <v>7500</v>
      </c>
      <c r="K2746" s="37" t="s">
        <v>4318</v>
      </c>
      <c r="L2746" s="119"/>
      <c r="M2746" s="3"/>
    </row>
    <row r="2747" spans="1:60" s="4" customFormat="1" ht="25.5" x14ac:dyDescent="0.25">
      <c r="A2747" s="4" t="s">
        <v>4622</v>
      </c>
      <c r="B2747" s="4" t="s">
        <v>183</v>
      </c>
      <c r="C2747" s="37" t="s">
        <v>4318</v>
      </c>
      <c r="D2747" s="35">
        <v>10715</v>
      </c>
      <c r="E2747" s="4" t="s">
        <v>4623</v>
      </c>
      <c r="F2747" s="5">
        <v>40926</v>
      </c>
      <c r="G2747" s="5">
        <v>41123</v>
      </c>
      <c r="H2747" s="4" t="s">
        <v>40</v>
      </c>
      <c r="I2747" s="6">
        <v>15000</v>
      </c>
      <c r="J2747" s="6">
        <v>15000</v>
      </c>
      <c r="K2747" s="37" t="s">
        <v>4318</v>
      </c>
      <c r="L2747" s="119"/>
      <c r="M2747" s="3"/>
    </row>
    <row r="2748" spans="1:60" s="4" customFormat="1" ht="38.25" x14ac:dyDescent="0.25">
      <c r="A2748" s="4" t="s">
        <v>4624</v>
      </c>
      <c r="B2748" s="4" t="s">
        <v>90</v>
      </c>
      <c r="C2748" s="37" t="s">
        <v>4318</v>
      </c>
      <c r="D2748" s="35">
        <v>10716</v>
      </c>
      <c r="E2748" s="4" t="s">
        <v>4625</v>
      </c>
      <c r="F2748" s="5">
        <v>40701</v>
      </c>
      <c r="G2748" s="5">
        <v>41078</v>
      </c>
      <c r="H2748" s="4" t="s">
        <v>40</v>
      </c>
      <c r="I2748" s="6">
        <v>10000</v>
      </c>
      <c r="J2748" s="6">
        <v>5000</v>
      </c>
      <c r="K2748" s="37" t="s">
        <v>4318</v>
      </c>
      <c r="L2748" s="119"/>
      <c r="M2748" s="3"/>
    </row>
    <row r="2749" spans="1:60" s="4" customFormat="1" ht="38.25" x14ac:dyDescent="0.25">
      <c r="A2749" s="4" t="s">
        <v>4626</v>
      </c>
      <c r="B2749" s="4" t="s">
        <v>190</v>
      </c>
      <c r="C2749" s="37" t="s">
        <v>4318</v>
      </c>
      <c r="D2749" s="35">
        <v>10723</v>
      </c>
      <c r="E2749" s="4" t="s">
        <v>4627</v>
      </c>
      <c r="F2749" s="5">
        <v>40828</v>
      </c>
      <c r="G2749" s="5">
        <v>40934</v>
      </c>
      <c r="H2749" s="4" t="s">
        <v>40</v>
      </c>
      <c r="I2749" s="6">
        <v>28080</v>
      </c>
      <c r="J2749" s="6">
        <v>14040</v>
      </c>
      <c r="K2749" s="37" t="s">
        <v>4318</v>
      </c>
      <c r="L2749" s="119"/>
      <c r="M2749" s="3"/>
    </row>
    <row r="2750" spans="1:60" s="4" customFormat="1" ht="38.25" x14ac:dyDescent="0.25">
      <c r="A2750" s="4" t="s">
        <v>4628</v>
      </c>
      <c r="B2750" s="4" t="s">
        <v>190</v>
      </c>
      <c r="C2750" s="37" t="s">
        <v>4318</v>
      </c>
      <c r="D2750" s="35">
        <v>10725</v>
      </c>
      <c r="E2750" s="4" t="s">
        <v>4629</v>
      </c>
      <c r="F2750" s="5">
        <v>40830</v>
      </c>
      <c r="G2750" s="5">
        <v>41417</v>
      </c>
      <c r="H2750" s="4" t="s">
        <v>40</v>
      </c>
      <c r="I2750" s="6">
        <v>7954</v>
      </c>
      <c r="J2750" s="6">
        <v>3977</v>
      </c>
      <c r="K2750" s="37" t="s">
        <v>4318</v>
      </c>
      <c r="L2750" s="119"/>
      <c r="M2750" s="3"/>
    </row>
    <row r="2751" spans="1:60" s="4" customFormat="1" ht="25.5" x14ac:dyDescent="0.25">
      <c r="A2751" s="4" t="s">
        <v>4630</v>
      </c>
      <c r="B2751" s="4" t="s">
        <v>183</v>
      </c>
      <c r="C2751" s="37" t="s">
        <v>4318</v>
      </c>
      <c r="D2751" s="35">
        <v>10726</v>
      </c>
      <c r="E2751" s="4" t="s">
        <v>4631</v>
      </c>
      <c r="F2751" s="5">
        <v>41082</v>
      </c>
      <c r="G2751" s="5">
        <v>41348</v>
      </c>
      <c r="H2751" s="4" t="s">
        <v>40</v>
      </c>
      <c r="I2751" s="6">
        <v>7500</v>
      </c>
      <c r="J2751" s="6">
        <f>3750+3750</f>
        <v>7500</v>
      </c>
      <c r="K2751" s="37" t="s">
        <v>4318</v>
      </c>
      <c r="L2751" s="119"/>
      <c r="M2751" s="3"/>
    </row>
    <row r="2752" spans="1:60" s="4" customFormat="1" ht="38.25" x14ac:dyDescent="0.25">
      <c r="A2752" s="4" t="s">
        <v>4632</v>
      </c>
      <c r="B2752" s="4" t="s">
        <v>190</v>
      </c>
      <c r="C2752" s="37" t="s">
        <v>4318</v>
      </c>
      <c r="D2752" s="35">
        <v>10731</v>
      </c>
      <c r="E2752" s="4" t="s">
        <v>4633</v>
      </c>
      <c r="F2752" s="5">
        <v>40994</v>
      </c>
      <c r="G2752" s="5">
        <v>41232</v>
      </c>
      <c r="H2752" s="4" t="s">
        <v>40</v>
      </c>
      <c r="I2752" s="6">
        <v>4500</v>
      </c>
      <c r="J2752" s="6">
        <v>4500</v>
      </c>
      <c r="K2752" s="37" t="s">
        <v>4318</v>
      </c>
      <c r="L2752" s="119"/>
      <c r="M2752" s="3"/>
    </row>
    <row r="2753" spans="1:13" s="4" customFormat="1" ht="38.25" x14ac:dyDescent="0.25">
      <c r="A2753" s="4" t="s">
        <v>4634</v>
      </c>
      <c r="B2753" s="4" t="s">
        <v>183</v>
      </c>
      <c r="C2753" s="37" t="s">
        <v>4318</v>
      </c>
      <c r="D2753" s="35">
        <v>10733</v>
      </c>
      <c r="E2753" s="4" t="s">
        <v>4635</v>
      </c>
      <c r="F2753" s="5">
        <v>40994</v>
      </c>
      <c r="G2753" s="5">
        <v>41186</v>
      </c>
      <c r="H2753" s="4" t="s">
        <v>40</v>
      </c>
      <c r="I2753" s="6">
        <v>7500</v>
      </c>
      <c r="J2753" s="6">
        <v>7500</v>
      </c>
      <c r="K2753" s="37" t="s">
        <v>4318</v>
      </c>
      <c r="L2753" s="119"/>
      <c r="M2753" s="3"/>
    </row>
    <row r="2754" spans="1:13" s="4" customFormat="1" ht="38.25" x14ac:dyDescent="0.25">
      <c r="A2754" s="4" t="s">
        <v>4636</v>
      </c>
      <c r="B2754" s="4" t="s">
        <v>90</v>
      </c>
      <c r="C2754" s="37" t="s">
        <v>4318</v>
      </c>
      <c r="D2754" s="35">
        <v>10734</v>
      </c>
      <c r="E2754" s="4" t="s">
        <v>4637</v>
      </c>
      <c r="F2754" s="5">
        <v>40981</v>
      </c>
      <c r="G2754" s="5">
        <v>41215</v>
      </c>
      <c r="H2754" s="4" t="s">
        <v>40</v>
      </c>
      <c r="I2754" s="6">
        <v>7000</v>
      </c>
      <c r="J2754" s="6">
        <v>3500</v>
      </c>
      <c r="K2754" s="37" t="s">
        <v>4318</v>
      </c>
      <c r="L2754" s="119"/>
      <c r="M2754" s="3"/>
    </row>
    <row r="2755" spans="1:13" s="4" customFormat="1" ht="51" x14ac:dyDescent="0.25">
      <c r="A2755" s="4" t="s">
        <v>4638</v>
      </c>
      <c r="B2755" s="4" t="s">
        <v>183</v>
      </c>
      <c r="C2755" s="37" t="s">
        <v>4318</v>
      </c>
      <c r="D2755" s="35">
        <v>10735</v>
      </c>
      <c r="E2755" s="4" t="s">
        <v>4639</v>
      </c>
      <c r="F2755" s="5">
        <v>40554</v>
      </c>
      <c r="G2755" s="5">
        <v>41110</v>
      </c>
      <c r="H2755" s="4" t="s">
        <v>40</v>
      </c>
      <c r="I2755" s="6">
        <v>15474</v>
      </c>
      <c r="J2755" s="6">
        <v>11487</v>
      </c>
      <c r="K2755" s="37" t="s">
        <v>4318</v>
      </c>
      <c r="L2755" s="119"/>
      <c r="M2755" s="3"/>
    </row>
    <row r="2756" spans="1:13" s="4" customFormat="1" ht="38.25" x14ac:dyDescent="0.25">
      <c r="A2756" s="4" t="s">
        <v>4640</v>
      </c>
      <c r="B2756" s="4" t="s">
        <v>183</v>
      </c>
      <c r="C2756" s="37" t="s">
        <v>4318</v>
      </c>
      <c r="D2756" s="35">
        <v>10736</v>
      </c>
      <c r="E2756" s="4" t="s">
        <v>4641</v>
      </c>
      <c r="F2756" s="5">
        <v>40953</v>
      </c>
      <c r="G2756" s="5">
        <v>41401</v>
      </c>
      <c r="H2756" s="4" t="s">
        <v>40</v>
      </c>
      <c r="I2756" s="6">
        <v>22500</v>
      </c>
      <c r="J2756" s="6">
        <f>18750+3750</f>
        <v>22500</v>
      </c>
      <c r="K2756" s="37" t="s">
        <v>4318</v>
      </c>
      <c r="L2756" s="119"/>
      <c r="M2756" s="3"/>
    </row>
    <row r="2757" spans="1:13" s="4" customFormat="1" ht="25.5" x14ac:dyDescent="0.25">
      <c r="A2757" s="4" t="s">
        <v>4642</v>
      </c>
      <c r="B2757" s="4" t="s">
        <v>190</v>
      </c>
      <c r="C2757" s="37" t="s">
        <v>4318</v>
      </c>
      <c r="D2757" s="35">
        <v>10739</v>
      </c>
      <c r="E2757" s="4" t="s">
        <v>4643</v>
      </c>
      <c r="F2757" s="5">
        <v>40788</v>
      </c>
      <c r="G2757" s="5">
        <v>41033</v>
      </c>
      <c r="H2757" s="4" t="s">
        <v>40</v>
      </c>
      <c r="I2757" s="6">
        <v>17176</v>
      </c>
      <c r="J2757" s="6">
        <v>8588</v>
      </c>
      <c r="K2757" s="37" t="s">
        <v>4318</v>
      </c>
      <c r="L2757" s="119"/>
      <c r="M2757" s="3"/>
    </row>
    <row r="2758" spans="1:13" s="4" customFormat="1" ht="25.5" x14ac:dyDescent="0.25">
      <c r="A2758" s="4" t="s">
        <v>4644</v>
      </c>
      <c r="B2758" s="4" t="s">
        <v>183</v>
      </c>
      <c r="C2758" s="37" t="s">
        <v>4318</v>
      </c>
      <c r="D2758" s="35">
        <v>10740</v>
      </c>
      <c r="E2758" s="4" t="s">
        <v>4645</v>
      </c>
      <c r="F2758" s="5">
        <v>40855</v>
      </c>
      <c r="G2758" s="5">
        <v>41309</v>
      </c>
      <c r="H2758" s="4" t="s">
        <v>40</v>
      </c>
      <c r="I2758" s="6">
        <v>7500</v>
      </c>
      <c r="J2758" s="6">
        <f>3750+3750</f>
        <v>7500</v>
      </c>
      <c r="K2758" s="37" t="s">
        <v>4318</v>
      </c>
      <c r="L2758" s="119"/>
      <c r="M2758" s="3"/>
    </row>
    <row r="2759" spans="1:13" s="4" customFormat="1" ht="38.25" x14ac:dyDescent="0.25">
      <c r="A2759" s="4" t="s">
        <v>4646</v>
      </c>
      <c r="B2759" s="4" t="s">
        <v>190</v>
      </c>
      <c r="C2759" s="37" t="s">
        <v>4318</v>
      </c>
      <c r="D2759" s="35">
        <v>10742</v>
      </c>
      <c r="E2759" s="4" t="s">
        <v>4647</v>
      </c>
      <c r="F2759" s="5">
        <v>40786</v>
      </c>
      <c r="G2759" s="5">
        <v>41222</v>
      </c>
      <c r="H2759" s="4" t="s">
        <v>40</v>
      </c>
      <c r="I2759" s="6">
        <v>31278</v>
      </c>
      <c r="J2759" s="6">
        <v>15639</v>
      </c>
      <c r="K2759" s="37" t="s">
        <v>4318</v>
      </c>
      <c r="L2759" s="119"/>
      <c r="M2759" s="3"/>
    </row>
    <row r="2760" spans="1:13" s="4" customFormat="1" ht="25.5" x14ac:dyDescent="0.25">
      <c r="A2760" s="4" t="s">
        <v>4648</v>
      </c>
      <c r="B2760" s="4" t="s">
        <v>183</v>
      </c>
      <c r="C2760" s="37" t="s">
        <v>4318</v>
      </c>
      <c r="D2760" s="35">
        <v>10777</v>
      </c>
      <c r="E2760" s="4" t="s">
        <v>4649</v>
      </c>
      <c r="F2760" s="5">
        <v>40941</v>
      </c>
      <c r="G2760" s="5">
        <v>41219</v>
      </c>
      <c r="H2760" s="4" t="s">
        <v>40</v>
      </c>
      <c r="I2760" s="6">
        <v>7500</v>
      </c>
      <c r="J2760" s="6">
        <v>7500</v>
      </c>
      <c r="K2760" s="37" t="s">
        <v>4318</v>
      </c>
      <c r="L2760" s="119"/>
      <c r="M2760" s="3"/>
    </row>
    <row r="2761" spans="1:13" s="4" customFormat="1" ht="38.25" x14ac:dyDescent="0.25">
      <c r="A2761" s="4" t="s">
        <v>4650</v>
      </c>
      <c r="B2761" s="4" t="s">
        <v>90</v>
      </c>
      <c r="C2761" s="37" t="s">
        <v>4318</v>
      </c>
      <c r="D2761" s="35">
        <v>10778</v>
      </c>
      <c r="E2761" s="4" t="s">
        <v>4651</v>
      </c>
      <c r="F2761" s="5">
        <v>40659</v>
      </c>
      <c r="G2761" s="5">
        <v>40954</v>
      </c>
      <c r="H2761" s="4" t="s">
        <v>40</v>
      </c>
      <c r="I2761" s="6">
        <v>8000</v>
      </c>
      <c r="J2761" s="6">
        <v>4000</v>
      </c>
      <c r="K2761" s="37" t="s">
        <v>4318</v>
      </c>
      <c r="L2761" s="119"/>
      <c r="M2761" s="3"/>
    </row>
    <row r="2762" spans="1:13" s="4" customFormat="1" ht="25.5" x14ac:dyDescent="0.25">
      <c r="A2762" s="4" t="s">
        <v>4652</v>
      </c>
      <c r="B2762" s="4" t="s">
        <v>183</v>
      </c>
      <c r="C2762" s="37" t="s">
        <v>4318</v>
      </c>
      <c r="D2762" s="35">
        <v>10779</v>
      </c>
      <c r="E2762" s="4" t="s">
        <v>4653</v>
      </c>
      <c r="F2762" s="5">
        <v>41169</v>
      </c>
      <c r="G2762" s="5">
        <v>41389</v>
      </c>
      <c r="H2762" s="4" t="s">
        <v>40</v>
      </c>
      <c r="I2762" s="6">
        <v>7500</v>
      </c>
      <c r="J2762" s="6">
        <f>3750+3750</f>
        <v>7500</v>
      </c>
      <c r="K2762" s="37" t="s">
        <v>4318</v>
      </c>
      <c r="L2762" s="119"/>
      <c r="M2762" s="3"/>
    </row>
    <row r="2763" spans="1:13" s="4" customFormat="1" ht="38.25" x14ac:dyDescent="0.25">
      <c r="A2763" s="4" t="s">
        <v>4654</v>
      </c>
      <c r="B2763" s="4" t="s">
        <v>190</v>
      </c>
      <c r="C2763" s="37" t="s">
        <v>4318</v>
      </c>
      <c r="D2763" s="35">
        <v>10780</v>
      </c>
      <c r="E2763" s="4" t="s">
        <v>4655</v>
      </c>
      <c r="F2763" s="5">
        <v>40980</v>
      </c>
      <c r="G2763" s="5">
        <v>41345</v>
      </c>
      <c r="H2763" s="4" t="s">
        <v>40</v>
      </c>
      <c r="I2763" s="6">
        <v>7400</v>
      </c>
      <c r="J2763" s="6">
        <f>4439+561</f>
        <v>5000</v>
      </c>
      <c r="K2763" s="37" t="s">
        <v>4318</v>
      </c>
      <c r="L2763" s="119"/>
      <c r="M2763" s="3"/>
    </row>
    <row r="2764" spans="1:13" s="4" customFormat="1" ht="38.25" x14ac:dyDescent="0.25">
      <c r="A2764" s="4" t="s">
        <v>4656</v>
      </c>
      <c r="B2764" s="4" t="s">
        <v>90</v>
      </c>
      <c r="C2764" s="37" t="s">
        <v>4318</v>
      </c>
      <c r="D2764" s="35">
        <v>10798</v>
      </c>
      <c r="E2764" s="4" t="s">
        <v>4657</v>
      </c>
      <c r="F2764" s="5">
        <v>40606</v>
      </c>
      <c r="G2764" s="5">
        <v>41141</v>
      </c>
      <c r="H2764" s="4" t="s">
        <v>40</v>
      </c>
      <c r="I2764" s="6">
        <v>10000</v>
      </c>
      <c r="J2764" s="6">
        <v>5000</v>
      </c>
      <c r="K2764" s="37" t="s">
        <v>4318</v>
      </c>
      <c r="L2764" s="119"/>
      <c r="M2764" s="3"/>
    </row>
    <row r="2765" spans="1:13" s="4" customFormat="1" ht="25.5" x14ac:dyDescent="0.25">
      <c r="A2765" s="4" t="s">
        <v>4658</v>
      </c>
      <c r="B2765" s="4" t="s">
        <v>183</v>
      </c>
      <c r="C2765" s="37" t="s">
        <v>4318</v>
      </c>
      <c r="D2765" s="35">
        <v>10800</v>
      </c>
      <c r="E2765" s="4" t="s">
        <v>4659</v>
      </c>
      <c r="F2765" s="5">
        <v>40945</v>
      </c>
      <c r="G2765" s="5">
        <v>41263</v>
      </c>
      <c r="H2765" s="4" t="s">
        <v>40</v>
      </c>
      <c r="I2765" s="6">
        <v>6000</v>
      </c>
      <c r="J2765" s="6">
        <v>6000</v>
      </c>
      <c r="K2765" s="37" t="s">
        <v>4318</v>
      </c>
      <c r="L2765" s="119"/>
      <c r="M2765" s="3"/>
    </row>
    <row r="2766" spans="1:13" s="4" customFormat="1" ht="38.25" x14ac:dyDescent="0.25">
      <c r="A2766" s="4" t="s">
        <v>4660</v>
      </c>
      <c r="B2766" s="4" t="s">
        <v>38</v>
      </c>
      <c r="C2766" s="37" t="s">
        <v>4318</v>
      </c>
      <c r="D2766" s="35">
        <v>10860</v>
      </c>
      <c r="E2766" s="4" t="s">
        <v>4661</v>
      </c>
      <c r="F2766" s="5">
        <v>40909</v>
      </c>
      <c r="H2766" s="4" t="s">
        <v>40</v>
      </c>
      <c r="I2766" s="6">
        <v>9852.9</v>
      </c>
      <c r="J2766" s="6">
        <f>7902.9+1950</f>
        <v>9852.9</v>
      </c>
      <c r="K2766" s="37" t="s">
        <v>4318</v>
      </c>
      <c r="L2766" s="119"/>
      <c r="M2766" s="3"/>
    </row>
    <row r="2767" spans="1:13" ht="25.5" x14ac:dyDescent="0.25">
      <c r="A2767" s="13" t="s">
        <v>10651</v>
      </c>
      <c r="B2767" s="13" t="s">
        <v>10192</v>
      </c>
      <c r="C2767" s="20" t="s">
        <v>4318</v>
      </c>
      <c r="D2767" s="19">
        <v>12351</v>
      </c>
      <c r="E2767" s="13" t="s">
        <v>10652</v>
      </c>
      <c r="F2767" s="14">
        <v>41402</v>
      </c>
      <c r="G2767" s="14">
        <v>41605</v>
      </c>
      <c r="H2767" s="13" t="s">
        <v>651</v>
      </c>
      <c r="I2767" s="18">
        <v>7500</v>
      </c>
      <c r="J2767" s="18">
        <v>7500</v>
      </c>
      <c r="K2767" s="20" t="s">
        <v>4318</v>
      </c>
    </row>
    <row r="2768" spans="1:13" ht="38.25" x14ac:dyDescent="0.25">
      <c r="A2768" s="13" t="s">
        <v>10653</v>
      </c>
      <c r="B2768" s="13" t="s">
        <v>10192</v>
      </c>
      <c r="C2768" s="20" t="s">
        <v>4318</v>
      </c>
      <c r="D2768" s="19">
        <v>12363</v>
      </c>
      <c r="E2768" s="13" t="s">
        <v>10654</v>
      </c>
      <c r="F2768" s="14">
        <v>41304</v>
      </c>
      <c r="G2768" s="14">
        <v>41478</v>
      </c>
      <c r="H2768" s="13" t="s">
        <v>651</v>
      </c>
      <c r="I2768" s="18">
        <v>7000</v>
      </c>
      <c r="J2768" s="18">
        <v>3500</v>
      </c>
      <c r="K2768" s="20" t="s">
        <v>4318</v>
      </c>
    </row>
    <row r="2769" spans="1:11" ht="25.5" x14ac:dyDescent="0.25">
      <c r="A2769" s="13" t="s">
        <v>10655</v>
      </c>
      <c r="B2769" s="13" t="s">
        <v>10192</v>
      </c>
      <c r="C2769" s="20" t="s">
        <v>4318</v>
      </c>
      <c r="D2769" s="19">
        <v>12364</v>
      </c>
      <c r="E2769" s="13" t="s">
        <v>10656</v>
      </c>
      <c r="F2769" s="14">
        <v>41344</v>
      </c>
      <c r="G2769" s="14">
        <v>41470</v>
      </c>
      <c r="H2769" s="13" t="s">
        <v>651</v>
      </c>
      <c r="I2769" s="18">
        <v>7500</v>
      </c>
      <c r="J2769" s="18">
        <v>7500</v>
      </c>
      <c r="K2769" s="20" t="s">
        <v>4318</v>
      </c>
    </row>
    <row r="2770" spans="1:11" ht="25.5" x14ac:dyDescent="0.25">
      <c r="A2770" s="13" t="s">
        <v>10657</v>
      </c>
      <c r="B2770" s="13" t="s">
        <v>10195</v>
      </c>
      <c r="C2770" s="20" t="s">
        <v>4318</v>
      </c>
      <c r="D2770" s="19">
        <v>12396</v>
      </c>
      <c r="E2770" s="13" t="s">
        <v>10658</v>
      </c>
      <c r="F2770" s="14">
        <v>41219</v>
      </c>
      <c r="G2770" s="14">
        <v>41502</v>
      </c>
      <c r="H2770" s="13" t="s">
        <v>651</v>
      </c>
      <c r="I2770" s="18">
        <v>7500</v>
      </c>
      <c r="J2770" s="18">
        <v>7500</v>
      </c>
      <c r="K2770" s="20" t="s">
        <v>4318</v>
      </c>
    </row>
    <row r="2771" spans="1:11" ht="25.5" x14ac:dyDescent="0.25">
      <c r="A2771" s="13" t="s">
        <v>10659</v>
      </c>
      <c r="B2771" s="13" t="s">
        <v>10192</v>
      </c>
      <c r="C2771" s="20" t="s">
        <v>4318</v>
      </c>
      <c r="D2771" s="19">
        <v>12404</v>
      </c>
      <c r="E2771" s="13" t="s">
        <v>10660</v>
      </c>
      <c r="F2771" s="14">
        <v>41325</v>
      </c>
      <c r="G2771" s="14">
        <v>41460</v>
      </c>
      <c r="H2771" s="13" t="s">
        <v>651</v>
      </c>
      <c r="I2771" s="18">
        <v>7500</v>
      </c>
      <c r="J2771" s="18">
        <v>7500</v>
      </c>
      <c r="K2771" s="20" t="s">
        <v>4318</v>
      </c>
    </row>
    <row r="2772" spans="1:11" ht="38.25" x14ac:dyDescent="0.25">
      <c r="A2772" s="13" t="s">
        <v>10661</v>
      </c>
      <c r="B2772" s="13" t="s">
        <v>10192</v>
      </c>
      <c r="C2772" s="20" t="s">
        <v>4318</v>
      </c>
      <c r="D2772" s="19">
        <v>12491</v>
      </c>
      <c r="E2772" s="13" t="s">
        <v>10662</v>
      </c>
      <c r="F2772" s="14">
        <v>41051</v>
      </c>
      <c r="G2772" s="14">
        <v>41593</v>
      </c>
      <c r="H2772" s="13" t="s">
        <v>651</v>
      </c>
      <c r="I2772" s="18">
        <v>45000</v>
      </c>
      <c r="J2772" s="18">
        <v>45000</v>
      </c>
      <c r="K2772" s="20" t="s">
        <v>4318</v>
      </c>
    </row>
    <row r="2773" spans="1:11" ht="38.25" x14ac:dyDescent="0.25">
      <c r="A2773" s="13" t="s">
        <v>10663</v>
      </c>
      <c r="B2773" s="13" t="s">
        <v>10192</v>
      </c>
      <c r="C2773" s="20" t="s">
        <v>4318</v>
      </c>
      <c r="D2773" s="19">
        <v>12499</v>
      </c>
      <c r="E2773" s="13" t="s">
        <v>10664</v>
      </c>
      <c r="F2773" s="14">
        <v>41402</v>
      </c>
      <c r="G2773" s="14">
        <v>41470</v>
      </c>
      <c r="H2773" s="13" t="s">
        <v>651</v>
      </c>
      <c r="I2773" s="18">
        <v>30000</v>
      </c>
      <c r="J2773" s="18">
        <v>15000</v>
      </c>
      <c r="K2773" s="20" t="s">
        <v>4318</v>
      </c>
    </row>
    <row r="2774" spans="1:11" ht="25.5" x14ac:dyDescent="0.25">
      <c r="A2774" s="13" t="s">
        <v>10665</v>
      </c>
      <c r="B2774" s="13" t="s">
        <v>10195</v>
      </c>
      <c r="C2774" s="20" t="s">
        <v>4318</v>
      </c>
      <c r="D2774" s="19">
        <v>12537</v>
      </c>
      <c r="E2774" s="13" t="s">
        <v>10666</v>
      </c>
      <c r="F2774" s="14">
        <v>41535</v>
      </c>
      <c r="G2774" s="14">
        <v>41597</v>
      </c>
      <c r="H2774" s="13" t="s">
        <v>651</v>
      </c>
      <c r="I2774" s="18">
        <v>60000</v>
      </c>
      <c r="J2774" s="18">
        <v>30000</v>
      </c>
      <c r="K2774" s="20" t="s">
        <v>4318</v>
      </c>
    </row>
    <row r="2775" spans="1:11" ht="25.5" x14ac:dyDescent="0.25">
      <c r="A2775" s="13" t="s">
        <v>10667</v>
      </c>
      <c r="B2775" s="13" t="s">
        <v>10195</v>
      </c>
      <c r="C2775" s="20" t="s">
        <v>4318</v>
      </c>
      <c r="D2775" s="19">
        <v>12538</v>
      </c>
      <c r="E2775" s="13" t="s">
        <v>10668</v>
      </c>
      <c r="F2775" s="14">
        <v>41340</v>
      </c>
      <c r="G2775" s="14">
        <v>41549</v>
      </c>
      <c r="H2775" s="13" t="s">
        <v>651</v>
      </c>
      <c r="I2775" s="18">
        <v>12750</v>
      </c>
      <c r="J2775" s="18">
        <v>6375</v>
      </c>
      <c r="K2775" s="20" t="s">
        <v>4318</v>
      </c>
    </row>
    <row r="2776" spans="1:11" ht="25.5" x14ac:dyDescent="0.25">
      <c r="A2776" s="13" t="s">
        <v>10669</v>
      </c>
      <c r="B2776" s="13" t="s">
        <v>10192</v>
      </c>
      <c r="C2776" s="20" t="s">
        <v>4318</v>
      </c>
      <c r="D2776" s="19">
        <v>12544</v>
      </c>
      <c r="E2776" s="13" t="s">
        <v>10670</v>
      </c>
      <c r="F2776" s="14">
        <v>40955</v>
      </c>
      <c r="G2776" s="14">
        <v>41380</v>
      </c>
      <c r="H2776" s="13" t="s">
        <v>651</v>
      </c>
      <c r="I2776" s="18">
        <v>15000</v>
      </c>
      <c r="J2776" s="18">
        <v>7500</v>
      </c>
      <c r="K2776" s="20" t="s">
        <v>4318</v>
      </c>
    </row>
    <row r="2777" spans="1:11" ht="38.25" x14ac:dyDescent="0.25">
      <c r="A2777" s="13" t="s">
        <v>10671</v>
      </c>
      <c r="B2777" s="13" t="s">
        <v>10195</v>
      </c>
      <c r="C2777" s="20" t="s">
        <v>4318</v>
      </c>
      <c r="D2777" s="19">
        <v>12550</v>
      </c>
      <c r="E2777" s="13" t="s">
        <v>10672</v>
      </c>
      <c r="F2777" s="14">
        <v>41404</v>
      </c>
      <c r="G2777" s="14">
        <v>41619</v>
      </c>
      <c r="H2777" s="13" t="s">
        <v>651</v>
      </c>
      <c r="I2777" s="18">
        <v>60000</v>
      </c>
      <c r="J2777" s="18">
        <v>30000</v>
      </c>
      <c r="K2777" s="20" t="s">
        <v>4318</v>
      </c>
    </row>
    <row r="2778" spans="1:11" ht="25.5" x14ac:dyDescent="0.25">
      <c r="A2778" s="13" t="s">
        <v>10673</v>
      </c>
      <c r="B2778" s="13" t="s">
        <v>10192</v>
      </c>
      <c r="C2778" s="20" t="s">
        <v>4318</v>
      </c>
      <c r="D2778" s="19">
        <v>12551</v>
      </c>
      <c r="E2778" s="13" t="s">
        <v>10674</v>
      </c>
      <c r="F2778" s="14">
        <v>41449</v>
      </c>
      <c r="G2778" s="14">
        <v>41521</v>
      </c>
      <c r="H2778" s="13" t="s">
        <v>651</v>
      </c>
      <c r="I2778" s="18">
        <v>3750</v>
      </c>
      <c r="J2778" s="18">
        <v>3750</v>
      </c>
      <c r="K2778" s="20" t="s">
        <v>4318</v>
      </c>
    </row>
    <row r="2779" spans="1:11" ht="38.25" x14ac:dyDescent="0.25">
      <c r="A2779" s="13" t="s">
        <v>10675</v>
      </c>
      <c r="B2779" s="13" t="s">
        <v>10220</v>
      </c>
      <c r="C2779" s="20" t="s">
        <v>4318</v>
      </c>
      <c r="D2779" s="19">
        <v>12594</v>
      </c>
      <c r="E2779" s="13" t="s">
        <v>10676</v>
      </c>
      <c r="F2779" s="14">
        <v>41288</v>
      </c>
      <c r="G2779" s="14">
        <v>41418</v>
      </c>
      <c r="H2779" s="13" t="s">
        <v>651</v>
      </c>
      <c r="I2779" s="18">
        <v>18500</v>
      </c>
      <c r="J2779" s="18">
        <v>9250</v>
      </c>
      <c r="K2779" s="20" t="s">
        <v>4318</v>
      </c>
    </row>
    <row r="2780" spans="1:11" ht="25.5" x14ac:dyDescent="0.25">
      <c r="A2780" s="13" t="s">
        <v>10677</v>
      </c>
      <c r="B2780" s="13" t="s">
        <v>10192</v>
      </c>
      <c r="C2780" s="20" t="s">
        <v>4318</v>
      </c>
      <c r="D2780" s="19">
        <v>12595</v>
      </c>
      <c r="E2780" s="13" t="s">
        <v>10678</v>
      </c>
      <c r="F2780" s="14">
        <v>41374</v>
      </c>
      <c r="G2780" s="14">
        <v>41486</v>
      </c>
      <c r="H2780" s="13" t="s">
        <v>651</v>
      </c>
      <c r="I2780" s="18">
        <v>40000</v>
      </c>
      <c r="J2780" s="18">
        <v>20000</v>
      </c>
      <c r="K2780" s="20" t="s">
        <v>4318</v>
      </c>
    </row>
    <row r="2781" spans="1:11" ht="25.5" x14ac:dyDescent="0.25">
      <c r="A2781" s="13" t="s">
        <v>10679</v>
      </c>
      <c r="B2781" s="13" t="s">
        <v>10195</v>
      </c>
      <c r="C2781" s="20" t="s">
        <v>4318</v>
      </c>
      <c r="D2781" s="19">
        <v>12598</v>
      </c>
      <c r="E2781" s="13" t="s">
        <v>10680</v>
      </c>
      <c r="F2781" s="14">
        <v>41219</v>
      </c>
      <c r="G2781" s="14">
        <v>41421</v>
      </c>
      <c r="H2781" s="13" t="s">
        <v>651</v>
      </c>
      <c r="I2781" s="18">
        <v>15000</v>
      </c>
      <c r="J2781" s="18">
        <v>7500</v>
      </c>
      <c r="K2781" s="20" t="s">
        <v>4318</v>
      </c>
    </row>
    <row r="2782" spans="1:11" ht="25.5" x14ac:dyDescent="0.25">
      <c r="A2782" s="13" t="s">
        <v>10681</v>
      </c>
      <c r="B2782" s="13" t="s">
        <v>10195</v>
      </c>
      <c r="C2782" s="20" t="s">
        <v>4318</v>
      </c>
      <c r="D2782" s="19">
        <v>12599</v>
      </c>
      <c r="E2782" s="13" t="s">
        <v>10682</v>
      </c>
      <c r="F2782" s="14">
        <v>41325</v>
      </c>
      <c r="G2782" s="14">
        <v>41555</v>
      </c>
      <c r="H2782" s="13" t="s">
        <v>651</v>
      </c>
      <c r="I2782" s="18">
        <v>7390</v>
      </c>
      <c r="J2782" s="18">
        <v>3695</v>
      </c>
      <c r="K2782" s="20" t="s">
        <v>4318</v>
      </c>
    </row>
    <row r="2783" spans="1:11" ht="89.25" x14ac:dyDescent="0.25">
      <c r="A2783" s="13" t="s">
        <v>10683</v>
      </c>
      <c r="B2783" s="13" t="s">
        <v>38</v>
      </c>
      <c r="C2783" s="20" t="s">
        <v>4318</v>
      </c>
      <c r="D2783" s="19">
        <v>12600</v>
      </c>
      <c r="E2783" s="13" t="s">
        <v>10684</v>
      </c>
      <c r="F2783" s="14">
        <v>41275</v>
      </c>
      <c r="H2783" s="13" t="s">
        <v>651</v>
      </c>
      <c r="I2783" s="18">
        <v>6000</v>
      </c>
      <c r="J2783" s="18">
        <v>3000</v>
      </c>
      <c r="K2783" s="20" t="s">
        <v>4318</v>
      </c>
    </row>
    <row r="2784" spans="1:11" ht="25.5" x14ac:dyDescent="0.25">
      <c r="A2784" s="13" t="s">
        <v>10685</v>
      </c>
      <c r="B2784" s="13" t="s">
        <v>38</v>
      </c>
      <c r="C2784" s="20" t="s">
        <v>4318</v>
      </c>
      <c r="D2784" s="19">
        <v>12607</v>
      </c>
      <c r="E2784" s="13" t="s">
        <v>10686</v>
      </c>
      <c r="F2784" s="14">
        <v>41275</v>
      </c>
      <c r="H2784" s="13" t="s">
        <v>651</v>
      </c>
      <c r="I2784" s="18">
        <v>2318</v>
      </c>
      <c r="J2784" s="18">
        <v>2318</v>
      </c>
      <c r="K2784" s="20" t="s">
        <v>4318</v>
      </c>
    </row>
    <row r="2785" spans="1:13" s="4" customFormat="1" ht="63.75" x14ac:dyDescent="0.25">
      <c r="A2785" s="4" t="s">
        <v>4662</v>
      </c>
      <c r="B2785" s="4" t="s">
        <v>13</v>
      </c>
      <c r="C2785" s="37" t="s">
        <v>4318</v>
      </c>
      <c r="D2785" s="35">
        <v>3360</v>
      </c>
      <c r="E2785" s="4" t="s">
        <v>4663</v>
      </c>
      <c r="F2785" s="5">
        <v>39083</v>
      </c>
      <c r="G2785" s="5">
        <v>42369</v>
      </c>
      <c r="H2785" s="4" t="s">
        <v>2637</v>
      </c>
      <c r="I2785" s="17">
        <v>26998.73</v>
      </c>
      <c r="J2785" s="17">
        <v>26998.73</v>
      </c>
      <c r="K2785" s="37" t="s">
        <v>4318</v>
      </c>
      <c r="L2785" s="119"/>
      <c r="M2785" s="3"/>
    </row>
    <row r="2786" spans="1:13" s="4" customFormat="1" x14ac:dyDescent="0.25">
      <c r="C2786" s="37" t="s">
        <v>4318</v>
      </c>
      <c r="D2786" s="35"/>
      <c r="E2786" s="26" t="s">
        <v>2642</v>
      </c>
      <c r="F2786" s="28"/>
      <c r="G2786" s="28"/>
      <c r="H2786" s="26"/>
      <c r="I2786" s="27">
        <f>SUM(I2591+I2592)</f>
        <v>1257924.28</v>
      </c>
      <c r="J2786" s="27">
        <f>SUM(J2591+J2592)</f>
        <v>1257924.28</v>
      </c>
      <c r="K2786" s="37" t="s">
        <v>4318</v>
      </c>
      <c r="L2786" s="119"/>
      <c r="M2786" s="3"/>
    </row>
    <row r="2787" spans="1:13" s="4" customFormat="1" x14ac:dyDescent="0.25">
      <c r="C2787" s="37" t="s">
        <v>4318</v>
      </c>
      <c r="D2787" s="35"/>
      <c r="E2787" s="26" t="s">
        <v>351</v>
      </c>
      <c r="F2787" s="28"/>
      <c r="G2787" s="28"/>
      <c r="H2787" s="26"/>
      <c r="I2787" s="25">
        <f>SUM(I2593:I2615)</f>
        <v>624667.32999999996</v>
      </c>
      <c r="J2787" s="25">
        <f>SUM(J2593:J2615)</f>
        <v>149570.91999999998</v>
      </c>
      <c r="K2787" s="37" t="s">
        <v>4318</v>
      </c>
      <c r="L2787" s="119"/>
      <c r="M2787" s="3"/>
    </row>
    <row r="2788" spans="1:13" s="4" customFormat="1" x14ac:dyDescent="0.25">
      <c r="C2788" s="37" t="s">
        <v>4318</v>
      </c>
      <c r="D2788" s="35"/>
      <c r="E2788" s="26" t="s">
        <v>786</v>
      </c>
      <c r="F2788" s="28"/>
      <c r="G2788" s="28"/>
      <c r="H2788" s="26"/>
      <c r="I2788" s="27">
        <f>SUM(I2616:I2617)</f>
        <v>423317.85</v>
      </c>
      <c r="J2788" s="27">
        <f>SUM(J2616:J2617)</f>
        <v>124635.36</v>
      </c>
      <c r="K2788" s="37" t="s">
        <v>4318</v>
      </c>
      <c r="L2788" s="119"/>
      <c r="M2788" s="3"/>
    </row>
    <row r="2789" spans="1:13" s="4" customFormat="1" x14ac:dyDescent="0.25">
      <c r="C2789" s="37" t="s">
        <v>4318</v>
      </c>
      <c r="D2789" s="35"/>
      <c r="E2789" s="26" t="s">
        <v>352</v>
      </c>
      <c r="F2789" s="28"/>
      <c r="G2789" s="28"/>
      <c r="H2789" s="26"/>
      <c r="I2789" s="27">
        <f>SUM(I2618:I2784)</f>
        <v>4478650.7300000004</v>
      </c>
      <c r="J2789" s="27">
        <f>SUM(J2618:J2784)</f>
        <v>3585715.45</v>
      </c>
      <c r="K2789" s="37" t="s">
        <v>4318</v>
      </c>
      <c r="L2789" s="119"/>
      <c r="M2789" s="3"/>
    </row>
    <row r="2790" spans="1:13" s="4" customFormat="1" x14ac:dyDescent="0.25">
      <c r="C2790" s="37" t="s">
        <v>4318</v>
      </c>
      <c r="D2790" s="35"/>
      <c r="E2790" s="26" t="s">
        <v>2646</v>
      </c>
      <c r="F2790" s="28"/>
      <c r="G2790" s="28"/>
      <c r="H2790" s="26"/>
      <c r="I2790" s="27">
        <f>SUM(I2785)</f>
        <v>26998.73</v>
      </c>
      <c r="J2790" s="27">
        <f>SUM(J2785)</f>
        <v>26998.73</v>
      </c>
      <c r="K2790" s="37" t="s">
        <v>4318</v>
      </c>
      <c r="L2790" s="119"/>
      <c r="M2790" s="3"/>
    </row>
    <row r="2791" spans="1:13" s="4" customFormat="1" x14ac:dyDescent="0.25">
      <c r="C2791" s="37" t="s">
        <v>4318</v>
      </c>
      <c r="D2791" s="35"/>
      <c r="E2791" s="26" t="s">
        <v>4664</v>
      </c>
      <c r="F2791" s="28"/>
      <c r="G2791" s="28"/>
      <c r="H2791" s="26"/>
      <c r="I2791" s="27">
        <f>SUM(I2786:I2790)</f>
        <v>6811558.9200000009</v>
      </c>
      <c r="J2791" s="27">
        <f>SUM(J2786:J2790)</f>
        <v>5144844.74</v>
      </c>
      <c r="K2791" s="37" t="s">
        <v>4318</v>
      </c>
      <c r="L2791" s="119">
        <f>J2791</f>
        <v>5144844.74</v>
      </c>
      <c r="M2791" s="3">
        <f>SUM(J2791*0.4)</f>
        <v>2057937.8960000002</v>
      </c>
    </row>
    <row r="2792" spans="1:13" s="4" customFormat="1" x14ac:dyDescent="0.25">
      <c r="C2792" s="37"/>
      <c r="D2792" s="35"/>
      <c r="F2792" s="5"/>
      <c r="G2792" s="5"/>
      <c r="I2792" s="17"/>
      <c r="J2792" s="17"/>
      <c r="K2792" s="37"/>
      <c r="L2792" s="119"/>
      <c r="M2792" s="3"/>
    </row>
    <row r="2793" spans="1:13" s="4" customFormat="1" x14ac:dyDescent="0.25">
      <c r="A2793" s="4" t="s">
        <v>4665</v>
      </c>
      <c r="B2793" s="4" t="s">
        <v>13</v>
      </c>
      <c r="C2793" s="37" t="s">
        <v>4667</v>
      </c>
      <c r="D2793" s="35">
        <v>3937</v>
      </c>
      <c r="E2793" s="4" t="s">
        <v>4666</v>
      </c>
      <c r="F2793" s="5">
        <v>39843</v>
      </c>
      <c r="G2793" s="5">
        <v>40451</v>
      </c>
      <c r="H2793" s="4" t="s">
        <v>16</v>
      </c>
      <c r="I2793" s="6">
        <v>1013000</v>
      </c>
      <c r="J2793" s="6">
        <v>194805</v>
      </c>
      <c r="K2793" s="37" t="s">
        <v>4667</v>
      </c>
      <c r="L2793" s="119"/>
      <c r="M2793" s="3"/>
    </row>
    <row r="2794" spans="1:13" s="4" customFormat="1" x14ac:dyDescent="0.25">
      <c r="A2794" s="4" t="s">
        <v>4668</v>
      </c>
      <c r="B2794" s="4" t="s">
        <v>13</v>
      </c>
      <c r="C2794" s="37" t="s">
        <v>4667</v>
      </c>
      <c r="D2794" s="35">
        <v>4040</v>
      </c>
      <c r="E2794" s="4" t="s">
        <v>4669</v>
      </c>
      <c r="F2794" s="5">
        <v>39406</v>
      </c>
      <c r="G2794" s="5">
        <v>39538</v>
      </c>
      <c r="H2794" s="4" t="s">
        <v>16</v>
      </c>
      <c r="I2794" s="6">
        <v>15420</v>
      </c>
      <c r="J2794" s="6">
        <v>3247</v>
      </c>
      <c r="K2794" s="37" t="s">
        <v>4667</v>
      </c>
      <c r="L2794" s="119"/>
      <c r="M2794" s="3"/>
    </row>
    <row r="2795" spans="1:13" s="4" customFormat="1" ht="38.25" x14ac:dyDescent="0.25">
      <c r="A2795" s="4" t="s">
        <v>4670</v>
      </c>
      <c r="B2795" s="4" t="s">
        <v>13</v>
      </c>
      <c r="C2795" s="37" t="s">
        <v>4667</v>
      </c>
      <c r="D2795" s="35">
        <v>4042</v>
      </c>
      <c r="E2795" s="4" t="s">
        <v>4671</v>
      </c>
      <c r="F2795" s="5">
        <v>39972</v>
      </c>
      <c r="G2795" s="5">
        <v>40256</v>
      </c>
      <c r="H2795" s="4" t="s">
        <v>16</v>
      </c>
      <c r="I2795" s="6">
        <v>6900</v>
      </c>
      <c r="J2795" s="6">
        <v>2070</v>
      </c>
      <c r="K2795" s="37" t="s">
        <v>4667</v>
      </c>
      <c r="L2795" s="119"/>
      <c r="M2795" s="3"/>
    </row>
    <row r="2796" spans="1:13" s="4" customFormat="1" ht="38.25" x14ac:dyDescent="0.25">
      <c r="A2796" s="4" t="s">
        <v>4672</v>
      </c>
      <c r="B2796" s="4" t="s">
        <v>13</v>
      </c>
      <c r="C2796" s="37" t="s">
        <v>4667</v>
      </c>
      <c r="D2796" s="35">
        <v>4059</v>
      </c>
      <c r="E2796" s="4" t="s">
        <v>4673</v>
      </c>
      <c r="F2796" s="5">
        <v>39874</v>
      </c>
      <c r="G2796" s="5">
        <v>40053</v>
      </c>
      <c r="H2796" s="4" t="s">
        <v>16</v>
      </c>
      <c r="I2796" s="6">
        <v>6274</v>
      </c>
      <c r="J2796" s="6">
        <v>1882</v>
      </c>
      <c r="K2796" s="37" t="s">
        <v>4667</v>
      </c>
      <c r="L2796" s="119"/>
      <c r="M2796" s="3"/>
    </row>
    <row r="2797" spans="1:13" s="4" customFormat="1" ht="63.75" x14ac:dyDescent="0.25">
      <c r="A2797" s="4" t="s">
        <v>4674</v>
      </c>
      <c r="B2797" s="4" t="s">
        <v>13</v>
      </c>
      <c r="C2797" s="37" t="s">
        <v>4667</v>
      </c>
      <c r="D2797" s="35">
        <v>4061</v>
      </c>
      <c r="E2797" s="4" t="s">
        <v>4675</v>
      </c>
      <c r="F2797" s="5">
        <v>39735</v>
      </c>
      <c r="G2797" s="5">
        <v>39871</v>
      </c>
      <c r="H2797" s="4" t="s">
        <v>16</v>
      </c>
      <c r="I2797" s="6">
        <v>14896</v>
      </c>
      <c r="J2797" s="6">
        <v>4018</v>
      </c>
      <c r="K2797" s="37" t="s">
        <v>4667</v>
      </c>
      <c r="L2797" s="119"/>
      <c r="M2797" s="3"/>
    </row>
    <row r="2798" spans="1:13" s="4" customFormat="1" x14ac:dyDescent="0.25">
      <c r="A2798" s="4" t="s">
        <v>4676</v>
      </c>
      <c r="B2798" s="4" t="s">
        <v>13</v>
      </c>
      <c r="C2798" s="37" t="s">
        <v>4667</v>
      </c>
      <c r="D2798" s="35">
        <v>4062</v>
      </c>
      <c r="E2798" s="4" t="s">
        <v>4677</v>
      </c>
      <c r="F2798" s="5">
        <v>39507</v>
      </c>
      <c r="G2798" s="5">
        <v>39903</v>
      </c>
      <c r="H2798" s="4" t="s">
        <v>16</v>
      </c>
      <c r="I2798" s="6">
        <v>105411</v>
      </c>
      <c r="J2798" s="6">
        <v>31623.3</v>
      </c>
      <c r="K2798" s="37" t="s">
        <v>4667</v>
      </c>
      <c r="L2798" s="119"/>
      <c r="M2798" s="3"/>
    </row>
    <row r="2799" spans="1:13" s="4" customFormat="1" ht="76.5" x14ac:dyDescent="0.25">
      <c r="A2799" s="4" t="s">
        <v>4678</v>
      </c>
      <c r="B2799" s="4" t="s">
        <v>13</v>
      </c>
      <c r="C2799" s="37" t="s">
        <v>4667</v>
      </c>
      <c r="D2799" s="35">
        <v>4064</v>
      </c>
      <c r="E2799" s="7" t="s">
        <v>4679</v>
      </c>
      <c r="F2799" s="5">
        <v>39545</v>
      </c>
      <c r="G2799" s="5">
        <v>40087</v>
      </c>
      <c r="H2799" s="4" t="s">
        <v>16</v>
      </c>
      <c r="I2799" s="6">
        <v>100079.48</v>
      </c>
      <c r="J2799" s="6">
        <v>30023.84</v>
      </c>
      <c r="K2799" s="37" t="s">
        <v>4667</v>
      </c>
      <c r="L2799" s="119"/>
      <c r="M2799" s="3"/>
    </row>
    <row r="2800" spans="1:13" s="4" customFormat="1" ht="38.25" x14ac:dyDescent="0.25">
      <c r="A2800" s="4" t="s">
        <v>4680</v>
      </c>
      <c r="B2800" s="4" t="s">
        <v>13</v>
      </c>
      <c r="C2800" s="37" t="s">
        <v>4667</v>
      </c>
      <c r="D2800" s="35">
        <v>4065</v>
      </c>
      <c r="E2800" s="4" t="s">
        <v>4681</v>
      </c>
      <c r="F2800" s="5">
        <v>39507</v>
      </c>
      <c r="G2800" s="5">
        <v>39689</v>
      </c>
      <c r="H2800" s="4" t="s">
        <v>16</v>
      </c>
      <c r="I2800" s="6">
        <v>15572.69</v>
      </c>
      <c r="J2800" s="6">
        <v>4671.8100000000004</v>
      </c>
      <c r="K2800" s="37" t="s">
        <v>4667</v>
      </c>
      <c r="L2800" s="119"/>
      <c r="M2800" s="3"/>
    </row>
    <row r="2801" spans="1:13" s="4" customFormat="1" ht="25.5" x14ac:dyDescent="0.25">
      <c r="A2801" s="4" t="s">
        <v>4682</v>
      </c>
      <c r="B2801" s="4" t="s">
        <v>13</v>
      </c>
      <c r="C2801" s="37" t="s">
        <v>4667</v>
      </c>
      <c r="D2801" s="35">
        <v>4069</v>
      </c>
      <c r="E2801" s="4" t="s">
        <v>4683</v>
      </c>
      <c r="F2801" s="5">
        <v>39759</v>
      </c>
      <c r="G2801" s="5">
        <v>39871</v>
      </c>
      <c r="H2801" s="4" t="s">
        <v>16</v>
      </c>
      <c r="I2801" s="6">
        <v>14798</v>
      </c>
      <c r="J2801" s="6">
        <v>4320</v>
      </c>
      <c r="K2801" s="37" t="s">
        <v>4667</v>
      </c>
      <c r="L2801" s="119"/>
      <c r="M2801" s="3"/>
    </row>
    <row r="2802" spans="1:13" s="4" customFormat="1" ht="25.5" x14ac:dyDescent="0.25">
      <c r="A2802" s="4" t="s">
        <v>4676</v>
      </c>
      <c r="B2802" s="4" t="s">
        <v>13</v>
      </c>
      <c r="C2802" s="37" t="s">
        <v>4667</v>
      </c>
      <c r="D2802" s="35">
        <v>4071</v>
      </c>
      <c r="E2802" s="4" t="s">
        <v>4684</v>
      </c>
      <c r="F2802" s="5">
        <v>39507</v>
      </c>
      <c r="G2802" s="5">
        <v>39903</v>
      </c>
      <c r="H2802" s="4" t="s">
        <v>16</v>
      </c>
      <c r="I2802" s="6">
        <v>27481</v>
      </c>
      <c r="J2802" s="6">
        <v>5280</v>
      </c>
      <c r="K2802" s="37" t="s">
        <v>4667</v>
      </c>
      <c r="L2802" s="119"/>
      <c r="M2802" s="3"/>
    </row>
    <row r="2803" spans="1:13" s="4" customFormat="1" ht="38.25" x14ac:dyDescent="0.25">
      <c r="A2803" s="4" t="s">
        <v>4685</v>
      </c>
      <c r="B2803" s="4" t="s">
        <v>13</v>
      </c>
      <c r="C2803" s="37" t="s">
        <v>4667</v>
      </c>
      <c r="D2803" s="35">
        <v>4073</v>
      </c>
      <c r="E2803" s="4" t="s">
        <v>4686</v>
      </c>
      <c r="F2803" s="5">
        <v>39966</v>
      </c>
      <c r="G2803" s="5">
        <v>40162</v>
      </c>
      <c r="H2803" s="4" t="s">
        <v>16</v>
      </c>
      <c r="I2803" s="6">
        <v>27906</v>
      </c>
      <c r="J2803" s="6">
        <v>7800</v>
      </c>
      <c r="K2803" s="37" t="s">
        <v>4667</v>
      </c>
      <c r="L2803" s="119"/>
      <c r="M2803" s="3"/>
    </row>
    <row r="2804" spans="1:13" s="4" customFormat="1" ht="76.5" x14ac:dyDescent="0.25">
      <c r="A2804" s="4" t="s">
        <v>4687</v>
      </c>
      <c r="B2804" s="4" t="s">
        <v>13</v>
      </c>
      <c r="C2804" s="37" t="s">
        <v>4667</v>
      </c>
      <c r="D2804" s="35">
        <v>4077</v>
      </c>
      <c r="E2804" s="7" t="s">
        <v>4688</v>
      </c>
      <c r="F2804" s="5">
        <v>39415</v>
      </c>
      <c r="G2804" s="5">
        <v>39752</v>
      </c>
      <c r="H2804" s="4" t="s">
        <v>16</v>
      </c>
      <c r="I2804" s="6">
        <v>51325</v>
      </c>
      <c r="J2804" s="6">
        <v>14681</v>
      </c>
      <c r="K2804" s="37" t="s">
        <v>4667</v>
      </c>
      <c r="L2804" s="119"/>
      <c r="M2804" s="3"/>
    </row>
    <row r="2805" spans="1:13" s="4" customFormat="1" x14ac:dyDescent="0.25">
      <c r="A2805" s="4" t="s">
        <v>4689</v>
      </c>
      <c r="B2805" s="4" t="s">
        <v>13</v>
      </c>
      <c r="C2805" s="37" t="s">
        <v>4667</v>
      </c>
      <c r="D2805" s="35">
        <v>9879</v>
      </c>
      <c r="E2805" s="4" t="s">
        <v>4690</v>
      </c>
      <c r="F2805" s="5">
        <v>40318</v>
      </c>
      <c r="G2805" s="5">
        <v>40466</v>
      </c>
      <c r="H2805" s="4" t="s">
        <v>16</v>
      </c>
      <c r="I2805" s="6">
        <v>70444</v>
      </c>
      <c r="J2805" s="6">
        <v>20310</v>
      </c>
      <c r="K2805" s="37" t="s">
        <v>4667</v>
      </c>
      <c r="L2805" s="119"/>
      <c r="M2805" s="3"/>
    </row>
    <row r="2806" spans="1:13" s="4" customFormat="1" ht="51" x14ac:dyDescent="0.25">
      <c r="A2806" s="4" t="s">
        <v>4691</v>
      </c>
      <c r="B2806" s="4" t="s">
        <v>13</v>
      </c>
      <c r="C2806" s="37" t="s">
        <v>4667</v>
      </c>
      <c r="D2806" s="35">
        <v>9888</v>
      </c>
      <c r="E2806" s="4" t="s">
        <v>4692</v>
      </c>
      <c r="F2806" s="5">
        <v>40221</v>
      </c>
      <c r="G2806" s="5">
        <v>40332</v>
      </c>
      <c r="H2806" s="4" t="s">
        <v>16</v>
      </c>
      <c r="I2806" s="6">
        <v>9500</v>
      </c>
      <c r="J2806" s="6">
        <v>3800</v>
      </c>
      <c r="K2806" s="37" t="s">
        <v>4667</v>
      </c>
      <c r="L2806" s="119"/>
      <c r="M2806" s="3"/>
    </row>
    <row r="2807" spans="1:13" s="4" customFormat="1" ht="25.5" x14ac:dyDescent="0.25">
      <c r="A2807" s="4" t="s">
        <v>4693</v>
      </c>
      <c r="B2807" s="4" t="s">
        <v>13</v>
      </c>
      <c r="C2807" s="37" t="s">
        <v>4667</v>
      </c>
      <c r="D2807" s="35">
        <v>9982</v>
      </c>
      <c r="E2807" s="4" t="s">
        <v>4694</v>
      </c>
      <c r="F2807" s="5">
        <v>40071</v>
      </c>
      <c r="G2807" s="5">
        <v>40269</v>
      </c>
      <c r="H2807" s="4" t="s">
        <v>16</v>
      </c>
      <c r="I2807" s="6">
        <v>12200</v>
      </c>
      <c r="J2807" s="6">
        <v>3660</v>
      </c>
      <c r="K2807" s="37" t="s">
        <v>4667</v>
      </c>
      <c r="L2807" s="119"/>
      <c r="M2807" s="3"/>
    </row>
    <row r="2808" spans="1:13" s="4" customFormat="1" ht="25.5" x14ac:dyDescent="0.25">
      <c r="A2808" s="4" t="s">
        <v>4695</v>
      </c>
      <c r="B2808" s="4" t="s">
        <v>13</v>
      </c>
      <c r="C2808" s="37" t="s">
        <v>4667</v>
      </c>
      <c r="D2808" s="35">
        <v>10059</v>
      </c>
      <c r="E2808" s="4" t="s">
        <v>4696</v>
      </c>
      <c r="F2808" s="5">
        <v>40500</v>
      </c>
      <c r="G2808" s="5">
        <v>40570</v>
      </c>
      <c r="H2808" s="4" t="s">
        <v>16</v>
      </c>
      <c r="I2808" s="6">
        <v>11240</v>
      </c>
      <c r="J2808" s="6">
        <v>3372</v>
      </c>
      <c r="K2808" s="37" t="s">
        <v>4667</v>
      </c>
      <c r="L2808" s="119"/>
      <c r="M2808" s="3"/>
    </row>
    <row r="2809" spans="1:13" s="4" customFormat="1" ht="25.5" x14ac:dyDescent="0.25">
      <c r="A2809" s="4" t="s">
        <v>4697</v>
      </c>
      <c r="B2809" s="4" t="s">
        <v>13</v>
      </c>
      <c r="C2809" s="37" t="s">
        <v>4667</v>
      </c>
      <c r="D2809" s="35">
        <v>10171</v>
      </c>
      <c r="E2809" s="4" t="s">
        <v>4698</v>
      </c>
      <c r="F2809" s="5">
        <v>39415</v>
      </c>
      <c r="G2809" s="5">
        <v>40221</v>
      </c>
      <c r="H2809" s="4" t="s">
        <v>16</v>
      </c>
      <c r="I2809" s="6">
        <v>26431.72</v>
      </c>
      <c r="J2809" s="6">
        <v>7929.52</v>
      </c>
      <c r="K2809" s="37" t="s">
        <v>4667</v>
      </c>
      <c r="L2809" s="119"/>
      <c r="M2809" s="3"/>
    </row>
    <row r="2810" spans="1:13" s="4" customFormat="1" ht="63.75" x14ac:dyDescent="0.25">
      <c r="A2810" s="4" t="s">
        <v>4699</v>
      </c>
      <c r="B2810" s="4" t="s">
        <v>13</v>
      </c>
      <c r="C2810" s="37" t="s">
        <v>4667</v>
      </c>
      <c r="D2810" s="35">
        <v>4400</v>
      </c>
      <c r="E2810" s="4" t="s">
        <v>4700</v>
      </c>
      <c r="F2810" s="5">
        <v>39508</v>
      </c>
      <c r="G2810" s="5">
        <v>40074</v>
      </c>
      <c r="H2810" s="4" t="s">
        <v>2039</v>
      </c>
      <c r="I2810" s="6">
        <v>51494.720000000001</v>
      </c>
      <c r="J2810" s="6">
        <v>51494.720000000001</v>
      </c>
      <c r="K2810" s="37" t="s">
        <v>4667</v>
      </c>
      <c r="L2810" s="119"/>
      <c r="M2810" s="3"/>
    </row>
    <row r="2811" spans="1:13" s="4" customFormat="1" ht="76.5" x14ac:dyDescent="0.25">
      <c r="A2811" s="4" t="s">
        <v>4701</v>
      </c>
      <c r="B2811" s="4" t="s">
        <v>13</v>
      </c>
      <c r="C2811" s="37" t="s">
        <v>4667</v>
      </c>
      <c r="D2811" s="35">
        <v>5699</v>
      </c>
      <c r="E2811" s="4" t="s">
        <v>4702</v>
      </c>
      <c r="F2811" s="5">
        <v>39479</v>
      </c>
      <c r="G2811" s="5">
        <v>40390</v>
      </c>
      <c r="H2811" s="4" t="s">
        <v>2039</v>
      </c>
      <c r="I2811" s="6">
        <v>37387.93</v>
      </c>
      <c r="J2811" s="6">
        <v>37387.93</v>
      </c>
      <c r="K2811" s="37" t="s">
        <v>4667</v>
      </c>
      <c r="L2811" s="119"/>
      <c r="M2811" s="3"/>
    </row>
    <row r="2812" spans="1:13" s="4" customFormat="1" ht="38.25" x14ac:dyDescent="0.25">
      <c r="A2812" s="4" t="s">
        <v>4703</v>
      </c>
      <c r="B2812" s="4" t="s">
        <v>13</v>
      </c>
      <c r="C2812" s="37" t="s">
        <v>4667</v>
      </c>
      <c r="D2812" s="35">
        <v>5700</v>
      </c>
      <c r="E2812" s="4" t="s">
        <v>4704</v>
      </c>
      <c r="F2812" s="5">
        <v>39722</v>
      </c>
      <c r="G2812" s="5">
        <v>40086</v>
      </c>
      <c r="H2812" s="4" t="s">
        <v>2039</v>
      </c>
      <c r="I2812" s="6">
        <f>68774.76-96.47</f>
        <v>68678.289999999994</v>
      </c>
      <c r="J2812" s="6">
        <f>68774.76-96.47</f>
        <v>68678.289999999994</v>
      </c>
      <c r="K2812" s="37" t="s">
        <v>4667</v>
      </c>
      <c r="L2812" s="119"/>
      <c r="M2812" s="3"/>
    </row>
    <row r="2813" spans="1:13" s="4" customFormat="1" ht="38.25" x14ac:dyDescent="0.25">
      <c r="A2813" s="4" t="s">
        <v>4705</v>
      </c>
      <c r="B2813" s="4" t="s">
        <v>13</v>
      </c>
      <c r="C2813" s="37" t="s">
        <v>4667</v>
      </c>
      <c r="D2813" s="35">
        <v>5701</v>
      </c>
      <c r="E2813" s="4" t="s">
        <v>4706</v>
      </c>
      <c r="F2813" s="5">
        <v>39569</v>
      </c>
      <c r="G2813" s="5">
        <v>40117</v>
      </c>
      <c r="H2813" s="4" t="s">
        <v>2039</v>
      </c>
      <c r="I2813" s="6">
        <f>93598.75-59.02</f>
        <v>93539.73</v>
      </c>
      <c r="J2813" s="6">
        <f>93598.75-59.02</f>
        <v>93539.73</v>
      </c>
      <c r="K2813" s="37" t="s">
        <v>4667</v>
      </c>
      <c r="L2813" s="119"/>
      <c r="M2813" s="3"/>
    </row>
    <row r="2814" spans="1:13" s="4" customFormat="1" ht="51" x14ac:dyDescent="0.25">
      <c r="A2814" s="4" t="s">
        <v>4707</v>
      </c>
      <c r="B2814" s="4" t="s">
        <v>13</v>
      </c>
      <c r="C2814" s="37" t="s">
        <v>4667</v>
      </c>
      <c r="D2814" s="35">
        <v>5702</v>
      </c>
      <c r="E2814" s="4" t="s">
        <v>4708</v>
      </c>
      <c r="F2814" s="5">
        <v>39814</v>
      </c>
      <c r="G2814" s="5">
        <v>40268</v>
      </c>
      <c r="H2814" s="4" t="s">
        <v>2039</v>
      </c>
      <c r="I2814" s="6">
        <v>58461.98</v>
      </c>
      <c r="J2814" s="6">
        <v>58461.98</v>
      </c>
      <c r="K2814" s="37" t="s">
        <v>4667</v>
      </c>
      <c r="L2814" s="119"/>
      <c r="M2814" s="3"/>
    </row>
    <row r="2815" spans="1:13" s="4" customFormat="1" ht="38.25" x14ac:dyDescent="0.25">
      <c r="A2815" s="4" t="s">
        <v>4709</v>
      </c>
      <c r="B2815" s="4" t="s">
        <v>13</v>
      </c>
      <c r="C2815" s="37" t="s">
        <v>4667</v>
      </c>
      <c r="D2815" s="35">
        <v>5703</v>
      </c>
      <c r="E2815" s="4" t="s">
        <v>4710</v>
      </c>
      <c r="F2815" s="5">
        <v>39814</v>
      </c>
      <c r="G2815" s="5">
        <v>40178</v>
      </c>
      <c r="H2815" s="4" t="s">
        <v>2039</v>
      </c>
      <c r="I2815" s="6">
        <v>69342.06</v>
      </c>
      <c r="J2815" s="6">
        <v>69342.06</v>
      </c>
      <c r="K2815" s="37" t="s">
        <v>4667</v>
      </c>
      <c r="L2815" s="119"/>
      <c r="M2815" s="3"/>
    </row>
    <row r="2816" spans="1:13" s="4" customFormat="1" ht="25.5" x14ac:dyDescent="0.25">
      <c r="A2816" s="4" t="s">
        <v>4711</v>
      </c>
      <c r="B2816" s="4" t="s">
        <v>13</v>
      </c>
      <c r="C2816" s="37" t="s">
        <v>4667</v>
      </c>
      <c r="D2816" s="35">
        <v>5704</v>
      </c>
      <c r="E2816" s="4" t="s">
        <v>4711</v>
      </c>
      <c r="F2816" s="5">
        <v>39995</v>
      </c>
      <c r="G2816" s="5">
        <v>40421</v>
      </c>
      <c r="H2816" s="4" t="s">
        <v>2039</v>
      </c>
      <c r="I2816" s="6">
        <v>50013.15</v>
      </c>
      <c r="J2816" s="6">
        <v>50013.15</v>
      </c>
      <c r="K2816" s="37" t="s">
        <v>4667</v>
      </c>
      <c r="L2816" s="119"/>
      <c r="M2816" s="3"/>
    </row>
    <row r="2817" spans="1:13" s="4" customFormat="1" ht="38.25" x14ac:dyDescent="0.25">
      <c r="A2817" s="4" t="s">
        <v>4712</v>
      </c>
      <c r="B2817" s="4" t="s">
        <v>13</v>
      </c>
      <c r="C2817" s="37" t="s">
        <v>4667</v>
      </c>
      <c r="D2817" s="35">
        <v>5705</v>
      </c>
      <c r="E2817" s="4" t="s">
        <v>4713</v>
      </c>
      <c r="F2817" s="5">
        <v>40057</v>
      </c>
      <c r="G2817" s="5">
        <v>40421</v>
      </c>
      <c r="H2817" s="4" t="s">
        <v>2039</v>
      </c>
      <c r="I2817" s="6">
        <f>62571.9-2.17</f>
        <v>62569.73</v>
      </c>
      <c r="J2817" s="6">
        <f>62571.9-2.17</f>
        <v>62569.73</v>
      </c>
      <c r="K2817" s="37" t="s">
        <v>4667</v>
      </c>
      <c r="L2817" s="119"/>
      <c r="M2817" s="3"/>
    </row>
    <row r="2818" spans="1:13" s="4" customFormat="1" ht="76.5" x14ac:dyDescent="0.25">
      <c r="A2818" s="4" t="s">
        <v>4714</v>
      </c>
      <c r="B2818" s="4" t="s">
        <v>13</v>
      </c>
      <c r="C2818" s="37" t="s">
        <v>4667</v>
      </c>
      <c r="D2818" s="35">
        <v>5706</v>
      </c>
      <c r="E2818" s="4" t="s">
        <v>4715</v>
      </c>
      <c r="F2818" s="5">
        <v>40118</v>
      </c>
      <c r="G2818" s="5">
        <v>40482</v>
      </c>
      <c r="H2818" s="4" t="s">
        <v>2039</v>
      </c>
      <c r="I2818" s="6">
        <v>8938.7999999999993</v>
      </c>
      <c r="J2818" s="6">
        <v>8938.7999999999993</v>
      </c>
      <c r="K2818" s="37" t="s">
        <v>4667</v>
      </c>
      <c r="L2818" s="119"/>
      <c r="M2818" s="3"/>
    </row>
    <row r="2819" spans="1:13" s="4" customFormat="1" ht="25.5" x14ac:dyDescent="0.25">
      <c r="A2819" s="4" t="s">
        <v>4716</v>
      </c>
      <c r="B2819" s="4" t="s">
        <v>13</v>
      </c>
      <c r="C2819" s="37" t="s">
        <v>4667</v>
      </c>
      <c r="D2819" s="35">
        <v>5707</v>
      </c>
      <c r="E2819" s="4" t="s">
        <v>4716</v>
      </c>
      <c r="F2819" s="5">
        <v>40087</v>
      </c>
      <c r="G2819" s="5">
        <v>40451</v>
      </c>
      <c r="H2819" s="4" t="s">
        <v>2039</v>
      </c>
      <c r="I2819" s="6">
        <f>28554.51-19.65</f>
        <v>28534.859999999997</v>
      </c>
      <c r="J2819" s="6">
        <f>28554.51-19.65</f>
        <v>28534.859999999997</v>
      </c>
      <c r="K2819" s="37" t="s">
        <v>4667</v>
      </c>
      <c r="L2819" s="119"/>
      <c r="M2819" s="3"/>
    </row>
    <row r="2820" spans="1:13" s="4" customFormat="1" ht="63.75" x14ac:dyDescent="0.25">
      <c r="A2820" s="4" t="s">
        <v>4717</v>
      </c>
      <c r="B2820" s="4" t="s">
        <v>13</v>
      </c>
      <c r="C2820" s="37" t="s">
        <v>4667</v>
      </c>
      <c r="D2820" s="35">
        <v>5708</v>
      </c>
      <c r="E2820" s="4" t="s">
        <v>4718</v>
      </c>
      <c r="F2820" s="5">
        <v>39295</v>
      </c>
      <c r="G2820" s="5">
        <v>39691</v>
      </c>
      <c r="H2820" s="4" t="s">
        <v>2039</v>
      </c>
      <c r="I2820" s="6">
        <v>75816.160000000003</v>
      </c>
      <c r="J2820" s="6">
        <v>75816.160000000003</v>
      </c>
      <c r="K2820" s="37" t="s">
        <v>4667</v>
      </c>
      <c r="L2820" s="119"/>
      <c r="M2820" s="3"/>
    </row>
    <row r="2821" spans="1:13" s="4" customFormat="1" ht="63.75" x14ac:dyDescent="0.25">
      <c r="A2821" s="4" t="s">
        <v>4719</v>
      </c>
      <c r="B2821" s="4" t="s">
        <v>13</v>
      </c>
      <c r="C2821" s="37" t="s">
        <v>4667</v>
      </c>
      <c r="D2821" s="35">
        <v>5709</v>
      </c>
      <c r="E2821" s="4" t="s">
        <v>4720</v>
      </c>
      <c r="F2821" s="5">
        <v>39349</v>
      </c>
      <c r="G2821" s="5">
        <v>39714</v>
      </c>
      <c r="H2821" s="4" t="s">
        <v>2039</v>
      </c>
      <c r="I2821" s="6">
        <v>62573.93</v>
      </c>
      <c r="J2821" s="6">
        <v>62573.93</v>
      </c>
      <c r="K2821" s="37" t="s">
        <v>4667</v>
      </c>
      <c r="L2821" s="119"/>
      <c r="M2821" s="3"/>
    </row>
    <row r="2822" spans="1:13" s="4" customFormat="1" ht="51" x14ac:dyDescent="0.25">
      <c r="A2822" s="4" t="s">
        <v>4721</v>
      </c>
      <c r="B2822" s="4" t="s">
        <v>13</v>
      </c>
      <c r="C2822" s="37" t="s">
        <v>4667</v>
      </c>
      <c r="D2822" s="35">
        <v>5710</v>
      </c>
      <c r="E2822" s="4" t="s">
        <v>4722</v>
      </c>
      <c r="F2822" s="5">
        <v>39332</v>
      </c>
      <c r="G2822" s="5">
        <v>39727</v>
      </c>
      <c r="H2822" s="4" t="s">
        <v>2039</v>
      </c>
      <c r="I2822" s="6">
        <f>58302.56-62.93</f>
        <v>58239.63</v>
      </c>
      <c r="J2822" s="6">
        <f>58302.56-62.93</f>
        <v>58239.63</v>
      </c>
      <c r="K2822" s="37" t="s">
        <v>4667</v>
      </c>
      <c r="L2822" s="119"/>
      <c r="M2822" s="3"/>
    </row>
    <row r="2823" spans="1:13" s="4" customFormat="1" ht="63.75" x14ac:dyDescent="0.25">
      <c r="A2823" s="4" t="s">
        <v>4723</v>
      </c>
      <c r="B2823" s="4" t="s">
        <v>13</v>
      </c>
      <c r="C2823" s="37" t="s">
        <v>4667</v>
      </c>
      <c r="D2823" s="35">
        <v>5711</v>
      </c>
      <c r="E2823" s="4" t="s">
        <v>4724</v>
      </c>
      <c r="F2823" s="5">
        <v>39478</v>
      </c>
      <c r="G2823" s="5">
        <v>39833</v>
      </c>
      <c r="H2823" s="4" t="s">
        <v>2039</v>
      </c>
      <c r="I2823" s="6">
        <v>63060.9</v>
      </c>
      <c r="J2823" s="6">
        <v>63060.9</v>
      </c>
      <c r="K2823" s="37" t="s">
        <v>4667</v>
      </c>
      <c r="L2823" s="119"/>
      <c r="M2823" s="3"/>
    </row>
    <row r="2824" spans="1:13" s="4" customFormat="1" ht="63.75" x14ac:dyDescent="0.25">
      <c r="A2824" s="4" t="s">
        <v>4725</v>
      </c>
      <c r="B2824" s="4" t="s">
        <v>13</v>
      </c>
      <c r="C2824" s="37" t="s">
        <v>4667</v>
      </c>
      <c r="D2824" s="35">
        <v>5712</v>
      </c>
      <c r="E2824" s="4" t="s">
        <v>4726</v>
      </c>
      <c r="F2824" s="5">
        <v>39265</v>
      </c>
      <c r="G2824" s="5">
        <v>39753</v>
      </c>
      <c r="H2824" s="4" t="s">
        <v>2039</v>
      </c>
      <c r="I2824" s="6">
        <f>88423.18-97.26</f>
        <v>88325.92</v>
      </c>
      <c r="J2824" s="6">
        <f>88423.18-97.26</f>
        <v>88325.92</v>
      </c>
      <c r="K2824" s="37" t="s">
        <v>4667</v>
      </c>
      <c r="L2824" s="119"/>
      <c r="M2824" s="3"/>
    </row>
    <row r="2825" spans="1:13" s="4" customFormat="1" ht="51" x14ac:dyDescent="0.25">
      <c r="A2825" s="4" t="s">
        <v>4727</v>
      </c>
      <c r="B2825" s="4" t="s">
        <v>13</v>
      </c>
      <c r="C2825" s="37" t="s">
        <v>4667</v>
      </c>
      <c r="D2825" s="35">
        <v>5713</v>
      </c>
      <c r="E2825" s="4" t="s">
        <v>4728</v>
      </c>
      <c r="F2825" s="5">
        <v>39569</v>
      </c>
      <c r="G2825" s="5">
        <v>40298</v>
      </c>
      <c r="H2825" s="4" t="s">
        <v>2039</v>
      </c>
      <c r="I2825" s="6">
        <f>303578.6-150.05</f>
        <v>303428.55</v>
      </c>
      <c r="J2825" s="6">
        <f>303578.6-150.05</f>
        <v>303428.55</v>
      </c>
      <c r="K2825" s="37" t="s">
        <v>4667</v>
      </c>
      <c r="L2825" s="119"/>
      <c r="M2825" s="3"/>
    </row>
    <row r="2826" spans="1:13" s="4" customFormat="1" ht="76.5" x14ac:dyDescent="0.25">
      <c r="A2826" s="4" t="s">
        <v>4729</v>
      </c>
      <c r="B2826" s="4" t="s">
        <v>13</v>
      </c>
      <c r="C2826" s="37" t="s">
        <v>4667</v>
      </c>
      <c r="D2826" s="35">
        <v>5714</v>
      </c>
      <c r="E2826" s="4" t="s">
        <v>4730</v>
      </c>
      <c r="F2826" s="5">
        <v>39722</v>
      </c>
      <c r="G2826" s="5">
        <v>40908</v>
      </c>
      <c r="H2826" s="4" t="s">
        <v>2039</v>
      </c>
      <c r="I2826" s="6">
        <v>263856.71999999997</v>
      </c>
      <c r="J2826" s="6">
        <v>263856.71999999997</v>
      </c>
      <c r="K2826" s="37" t="s">
        <v>4667</v>
      </c>
      <c r="L2826" s="119"/>
      <c r="M2826" s="3"/>
    </row>
    <row r="2827" spans="1:13" s="4" customFormat="1" ht="76.5" x14ac:dyDescent="0.25">
      <c r="A2827" s="4" t="s">
        <v>4731</v>
      </c>
      <c r="B2827" s="4" t="s">
        <v>13</v>
      </c>
      <c r="C2827" s="37" t="s">
        <v>4667</v>
      </c>
      <c r="D2827" s="35">
        <v>5715</v>
      </c>
      <c r="E2827" s="4" t="s">
        <v>4732</v>
      </c>
      <c r="F2827" s="5">
        <v>39661</v>
      </c>
      <c r="G2827" s="5">
        <v>40390</v>
      </c>
      <c r="H2827" s="4" t="s">
        <v>2039</v>
      </c>
      <c r="I2827" s="6">
        <f>208037.27-64.74</f>
        <v>207972.53</v>
      </c>
      <c r="J2827" s="6">
        <f>208037.27-64.74</f>
        <v>207972.53</v>
      </c>
      <c r="K2827" s="37" t="s">
        <v>4667</v>
      </c>
      <c r="L2827" s="119"/>
      <c r="M2827" s="3"/>
    </row>
    <row r="2828" spans="1:13" s="4" customFormat="1" ht="51" x14ac:dyDescent="0.25">
      <c r="A2828" s="4" t="s">
        <v>4733</v>
      </c>
      <c r="B2828" s="4" t="s">
        <v>13</v>
      </c>
      <c r="C2828" s="37" t="s">
        <v>4667</v>
      </c>
      <c r="D2828" s="35">
        <v>5716</v>
      </c>
      <c r="E2828" s="4" t="s">
        <v>4734</v>
      </c>
      <c r="F2828" s="5">
        <v>39814</v>
      </c>
      <c r="G2828" s="5">
        <v>40544</v>
      </c>
      <c r="H2828" s="4" t="s">
        <v>2039</v>
      </c>
      <c r="I2828" s="6">
        <v>181247.05</v>
      </c>
      <c r="J2828" s="6">
        <v>181247.05</v>
      </c>
      <c r="K2828" s="37" t="s">
        <v>4667</v>
      </c>
      <c r="L2828" s="119"/>
      <c r="M2828" s="3"/>
    </row>
    <row r="2829" spans="1:13" s="4" customFormat="1" ht="76.5" x14ac:dyDescent="0.25">
      <c r="A2829" s="4" t="s">
        <v>4735</v>
      </c>
      <c r="B2829" s="4" t="s">
        <v>13</v>
      </c>
      <c r="C2829" s="37" t="s">
        <v>4667</v>
      </c>
      <c r="D2829" s="35">
        <v>5717</v>
      </c>
      <c r="E2829" s="4" t="s">
        <v>4736</v>
      </c>
      <c r="F2829" s="5">
        <v>39904</v>
      </c>
      <c r="G2829" s="5">
        <v>41000</v>
      </c>
      <c r="H2829" s="4" t="s">
        <v>2039</v>
      </c>
      <c r="I2829" s="6">
        <f>91568.23+52299+80909.73</f>
        <v>224776.95999999996</v>
      </c>
      <c r="J2829" s="6">
        <v>224776.95999999999</v>
      </c>
      <c r="K2829" s="37" t="s">
        <v>4667</v>
      </c>
      <c r="L2829" s="119"/>
      <c r="M2829" s="3"/>
    </row>
    <row r="2830" spans="1:13" s="4" customFormat="1" ht="38.25" x14ac:dyDescent="0.25">
      <c r="A2830" s="4" t="s">
        <v>4737</v>
      </c>
      <c r="B2830" s="4" t="s">
        <v>13</v>
      </c>
      <c r="C2830" s="37" t="s">
        <v>4667</v>
      </c>
      <c r="D2830" s="35">
        <v>5718</v>
      </c>
      <c r="E2830" s="4" t="s">
        <v>4738</v>
      </c>
      <c r="F2830" s="5">
        <v>40179</v>
      </c>
      <c r="G2830" s="5">
        <v>40999</v>
      </c>
      <c r="H2830" s="4" t="s">
        <v>2039</v>
      </c>
      <c r="I2830" s="6">
        <f>10439.62+70377.53+42999.84</f>
        <v>123816.98999999999</v>
      </c>
      <c r="J2830" s="6">
        <v>123816.99</v>
      </c>
      <c r="K2830" s="37" t="s">
        <v>4667</v>
      </c>
      <c r="L2830" s="119"/>
      <c r="M2830" s="3"/>
    </row>
    <row r="2831" spans="1:13" s="4" customFormat="1" ht="51" x14ac:dyDescent="0.25">
      <c r="A2831" s="4" t="s">
        <v>4739</v>
      </c>
      <c r="B2831" s="4" t="s">
        <v>13</v>
      </c>
      <c r="C2831" s="37" t="s">
        <v>4667</v>
      </c>
      <c r="D2831" s="35">
        <v>6522</v>
      </c>
      <c r="E2831" s="4" t="s">
        <v>4740</v>
      </c>
      <c r="F2831" s="5">
        <v>39814</v>
      </c>
      <c r="G2831" s="5">
        <v>40544</v>
      </c>
      <c r="H2831" s="4" t="s">
        <v>2039</v>
      </c>
      <c r="I2831" s="6">
        <f>119096.17-180.76+33855.3</f>
        <v>152770.71000000002</v>
      </c>
      <c r="J2831" s="6">
        <f>152951.47-180.76</f>
        <v>152770.71</v>
      </c>
      <c r="K2831" s="37" t="s">
        <v>4667</v>
      </c>
      <c r="L2831" s="119"/>
      <c r="M2831" s="3"/>
    </row>
    <row r="2832" spans="1:13" s="4" customFormat="1" ht="76.5" x14ac:dyDescent="0.25">
      <c r="A2832" s="4" t="s">
        <v>4741</v>
      </c>
      <c r="B2832" s="4" t="s">
        <v>13</v>
      </c>
      <c r="C2832" s="37" t="s">
        <v>4667</v>
      </c>
      <c r="D2832" s="35">
        <v>6523</v>
      </c>
      <c r="E2832" s="4" t="s">
        <v>4742</v>
      </c>
      <c r="F2832" s="5">
        <v>39661</v>
      </c>
      <c r="G2832" s="5">
        <v>40490</v>
      </c>
      <c r="H2832" s="4" t="s">
        <v>2039</v>
      </c>
      <c r="I2832" s="6">
        <v>29177.48</v>
      </c>
      <c r="J2832" s="6">
        <v>29177.48</v>
      </c>
      <c r="K2832" s="37" t="s">
        <v>4667</v>
      </c>
      <c r="L2832" s="119"/>
      <c r="M2832" s="3"/>
    </row>
    <row r="2833" spans="1:13" s="4" customFormat="1" ht="51" x14ac:dyDescent="0.25">
      <c r="A2833" s="4" t="s">
        <v>4743</v>
      </c>
      <c r="B2833" s="4" t="s">
        <v>13</v>
      </c>
      <c r="C2833" s="37" t="s">
        <v>4667</v>
      </c>
      <c r="D2833" s="35">
        <v>6525</v>
      </c>
      <c r="E2833" s="4" t="s">
        <v>4744</v>
      </c>
      <c r="F2833" s="5">
        <v>39569</v>
      </c>
      <c r="G2833" s="5">
        <v>40298</v>
      </c>
      <c r="H2833" s="4" t="s">
        <v>2039</v>
      </c>
      <c r="I2833" s="6">
        <v>61353.27</v>
      </c>
      <c r="J2833" s="6">
        <v>61353.27</v>
      </c>
      <c r="K2833" s="37" t="s">
        <v>4667</v>
      </c>
      <c r="L2833" s="119"/>
      <c r="M2833" s="3"/>
    </row>
    <row r="2834" spans="1:13" s="4" customFormat="1" ht="76.5" x14ac:dyDescent="0.25">
      <c r="A2834" s="4" t="s">
        <v>4745</v>
      </c>
      <c r="B2834" s="4" t="s">
        <v>13</v>
      </c>
      <c r="C2834" s="37" t="s">
        <v>4667</v>
      </c>
      <c r="D2834" s="35">
        <v>6526</v>
      </c>
      <c r="E2834" s="4" t="s">
        <v>4746</v>
      </c>
      <c r="F2834" s="5">
        <v>40360</v>
      </c>
      <c r="G2834" s="5">
        <v>40724</v>
      </c>
      <c r="H2834" s="4" t="s">
        <v>2039</v>
      </c>
      <c r="I2834" s="6">
        <v>95159.29</v>
      </c>
      <c r="J2834" s="6">
        <v>95159.29</v>
      </c>
      <c r="K2834" s="37" t="s">
        <v>4667</v>
      </c>
      <c r="L2834" s="119"/>
      <c r="M2834" s="3"/>
    </row>
    <row r="2835" spans="1:13" s="4" customFormat="1" ht="102" x14ac:dyDescent="0.25">
      <c r="A2835" s="4" t="s">
        <v>4747</v>
      </c>
      <c r="B2835" s="4" t="s">
        <v>13</v>
      </c>
      <c r="C2835" s="37" t="s">
        <v>4667</v>
      </c>
      <c r="D2835" s="35">
        <v>6527</v>
      </c>
      <c r="E2835" s="7" t="s">
        <v>4748</v>
      </c>
      <c r="F2835" s="5">
        <v>40087</v>
      </c>
      <c r="G2835" s="5">
        <v>40512</v>
      </c>
      <c r="H2835" s="4" t="s">
        <v>2039</v>
      </c>
      <c r="I2835" s="6">
        <v>46169.68</v>
      </c>
      <c r="J2835" s="6">
        <v>46169.68</v>
      </c>
      <c r="K2835" s="37" t="s">
        <v>4667</v>
      </c>
      <c r="L2835" s="119"/>
      <c r="M2835" s="3"/>
    </row>
    <row r="2836" spans="1:13" s="4" customFormat="1" ht="76.5" x14ac:dyDescent="0.25">
      <c r="A2836" s="4" t="s">
        <v>4749</v>
      </c>
      <c r="B2836" s="4" t="s">
        <v>13</v>
      </c>
      <c r="C2836" s="37" t="s">
        <v>4667</v>
      </c>
      <c r="D2836" s="35">
        <v>6528</v>
      </c>
      <c r="E2836" s="4" t="s">
        <v>4750</v>
      </c>
      <c r="F2836" s="5">
        <v>40118</v>
      </c>
      <c r="G2836" s="5">
        <v>40543</v>
      </c>
      <c r="H2836" s="4" t="s">
        <v>2039</v>
      </c>
      <c r="I2836" s="6">
        <v>60818.28</v>
      </c>
      <c r="J2836" s="6">
        <v>60818.28</v>
      </c>
      <c r="K2836" s="37" t="s">
        <v>4667</v>
      </c>
      <c r="L2836" s="119"/>
      <c r="M2836" s="3"/>
    </row>
    <row r="2837" spans="1:13" s="4" customFormat="1" ht="76.5" x14ac:dyDescent="0.25">
      <c r="A2837" s="4" t="s">
        <v>4751</v>
      </c>
      <c r="B2837" s="4" t="s">
        <v>13</v>
      </c>
      <c r="C2837" s="37" t="s">
        <v>4667</v>
      </c>
      <c r="D2837" s="35">
        <v>6530</v>
      </c>
      <c r="E2837" s="4" t="s">
        <v>4752</v>
      </c>
      <c r="F2837" s="5">
        <v>39995</v>
      </c>
      <c r="G2837" s="5">
        <v>40421</v>
      </c>
      <c r="H2837" s="4" t="s">
        <v>2039</v>
      </c>
      <c r="I2837" s="6">
        <v>32923.64</v>
      </c>
      <c r="J2837" s="6">
        <v>32923.64</v>
      </c>
      <c r="K2837" s="37" t="s">
        <v>4667</v>
      </c>
      <c r="L2837" s="119"/>
      <c r="M2837" s="3"/>
    </row>
    <row r="2838" spans="1:13" s="4" customFormat="1" ht="51" x14ac:dyDescent="0.25">
      <c r="A2838" s="4" t="s">
        <v>4753</v>
      </c>
      <c r="B2838" s="4" t="s">
        <v>13</v>
      </c>
      <c r="C2838" s="37" t="s">
        <v>4667</v>
      </c>
      <c r="D2838" s="35">
        <v>6531</v>
      </c>
      <c r="E2838" s="4" t="s">
        <v>4754</v>
      </c>
      <c r="F2838" s="5">
        <v>39814</v>
      </c>
      <c r="G2838" s="5">
        <v>40268</v>
      </c>
      <c r="H2838" s="4" t="s">
        <v>2039</v>
      </c>
      <c r="I2838" s="6">
        <v>1361.23</v>
      </c>
      <c r="J2838" s="6">
        <v>1361.23</v>
      </c>
      <c r="K2838" s="37" t="s">
        <v>4667</v>
      </c>
      <c r="L2838" s="119"/>
      <c r="M2838" s="3"/>
    </row>
    <row r="2839" spans="1:13" s="4" customFormat="1" ht="38.25" x14ac:dyDescent="0.25">
      <c r="A2839" s="4" t="s">
        <v>4755</v>
      </c>
      <c r="B2839" s="4" t="s">
        <v>13</v>
      </c>
      <c r="C2839" s="37" t="s">
        <v>4667</v>
      </c>
      <c r="D2839" s="35">
        <v>11231</v>
      </c>
      <c r="E2839" s="4" t="s">
        <v>4756</v>
      </c>
      <c r="F2839" s="5">
        <v>40756</v>
      </c>
      <c r="G2839" s="5">
        <v>40877</v>
      </c>
      <c r="H2839" s="4" t="s">
        <v>2039</v>
      </c>
      <c r="I2839" s="6">
        <v>9191.4</v>
      </c>
      <c r="J2839" s="6">
        <v>9191.4</v>
      </c>
      <c r="K2839" s="37" t="s">
        <v>4667</v>
      </c>
      <c r="L2839" s="119"/>
      <c r="M2839" s="3"/>
    </row>
    <row r="2840" spans="1:13" s="4" customFormat="1" ht="89.25" x14ac:dyDescent="0.25">
      <c r="A2840" s="4" t="s">
        <v>4757</v>
      </c>
      <c r="B2840" s="4" t="s">
        <v>13</v>
      </c>
      <c r="C2840" s="37" t="s">
        <v>4667</v>
      </c>
      <c r="D2840" s="35">
        <v>11232</v>
      </c>
      <c r="E2840" s="7" t="s">
        <v>4758</v>
      </c>
      <c r="F2840" s="5">
        <v>40725</v>
      </c>
      <c r="G2840" s="5">
        <v>40967</v>
      </c>
      <c r="H2840" s="4" t="s">
        <v>2039</v>
      </c>
      <c r="I2840" s="6">
        <v>127454.78</v>
      </c>
      <c r="J2840" s="6">
        <f>21267.07+106187.71</f>
        <v>127454.78</v>
      </c>
      <c r="K2840" s="37" t="s">
        <v>4667</v>
      </c>
      <c r="L2840" s="119"/>
      <c r="M2840" s="3"/>
    </row>
    <row r="2841" spans="1:13" s="4" customFormat="1" ht="63.75" x14ac:dyDescent="0.25">
      <c r="A2841" s="4" t="s">
        <v>4759</v>
      </c>
      <c r="B2841" s="4" t="s">
        <v>13</v>
      </c>
      <c r="C2841" s="37" t="s">
        <v>4667</v>
      </c>
      <c r="D2841" s="35">
        <v>11233</v>
      </c>
      <c r="E2841" s="4" t="s">
        <v>4760</v>
      </c>
      <c r="F2841" s="5">
        <v>40544</v>
      </c>
      <c r="G2841" s="5">
        <v>40999</v>
      </c>
      <c r="H2841" s="4" t="s">
        <v>2039</v>
      </c>
      <c r="I2841" s="6">
        <v>139451.96</v>
      </c>
      <c r="J2841" s="6">
        <f>118550.39+20901.57</f>
        <v>139451.96</v>
      </c>
      <c r="K2841" s="37" t="s">
        <v>4667</v>
      </c>
      <c r="L2841" s="119"/>
      <c r="M2841" s="3"/>
    </row>
    <row r="2842" spans="1:13" s="4" customFormat="1" ht="38.25" x14ac:dyDescent="0.25">
      <c r="A2842" s="4" t="s">
        <v>4761</v>
      </c>
      <c r="B2842" s="4" t="s">
        <v>13</v>
      </c>
      <c r="C2842" s="37" t="s">
        <v>4667</v>
      </c>
      <c r="D2842" s="35">
        <v>11234</v>
      </c>
      <c r="E2842" s="4" t="s">
        <v>4762</v>
      </c>
      <c r="F2842" s="5">
        <v>40603</v>
      </c>
      <c r="G2842" s="5">
        <v>40967</v>
      </c>
      <c r="H2842" s="4" t="s">
        <v>2039</v>
      </c>
      <c r="I2842" s="6">
        <v>148847.94</v>
      </c>
      <c r="J2842" s="6">
        <f>88382.88+60465.06</f>
        <v>148847.94</v>
      </c>
      <c r="K2842" s="37" t="s">
        <v>4667</v>
      </c>
      <c r="L2842" s="119"/>
      <c r="M2842" s="3"/>
    </row>
    <row r="2843" spans="1:13" s="32" customFormat="1" ht="63.75" x14ac:dyDescent="0.25">
      <c r="A2843" s="13" t="s">
        <v>11395</v>
      </c>
      <c r="B2843" s="32" t="s">
        <v>13</v>
      </c>
      <c r="C2843" s="38" t="s">
        <v>4667</v>
      </c>
      <c r="D2843" s="33">
        <v>12934</v>
      </c>
      <c r="E2843" s="13" t="s">
        <v>11396</v>
      </c>
      <c r="F2843" s="34">
        <v>41127</v>
      </c>
      <c r="G2843" s="34">
        <v>41182</v>
      </c>
      <c r="H2843" s="4" t="s">
        <v>2039</v>
      </c>
      <c r="I2843" s="94">
        <v>14600.1</v>
      </c>
      <c r="J2843" s="94">
        <v>14600.1</v>
      </c>
      <c r="K2843" s="38" t="s">
        <v>4667</v>
      </c>
      <c r="L2843" s="119"/>
    </row>
    <row r="2844" spans="1:13" s="32" customFormat="1" ht="76.5" x14ac:dyDescent="0.25">
      <c r="A2844" s="13" t="s">
        <v>11397</v>
      </c>
      <c r="B2844" s="32" t="s">
        <v>13</v>
      </c>
      <c r="C2844" s="38" t="s">
        <v>4667</v>
      </c>
      <c r="D2844" s="33">
        <v>12937</v>
      </c>
      <c r="E2844" s="13" t="s">
        <v>11398</v>
      </c>
      <c r="F2844" s="34">
        <v>41183</v>
      </c>
      <c r="G2844" s="34">
        <v>41274</v>
      </c>
      <c r="H2844" s="4" t="s">
        <v>2039</v>
      </c>
      <c r="I2844" s="94">
        <v>11313.45</v>
      </c>
      <c r="J2844" s="94">
        <v>11313.45</v>
      </c>
      <c r="K2844" s="38" t="s">
        <v>4667</v>
      </c>
      <c r="L2844" s="119"/>
    </row>
    <row r="2845" spans="1:13" s="32" customFormat="1" ht="102" x14ac:dyDescent="0.25">
      <c r="A2845" s="13" t="s">
        <v>11399</v>
      </c>
      <c r="B2845" s="32" t="s">
        <v>13</v>
      </c>
      <c r="C2845" s="38" t="s">
        <v>4667</v>
      </c>
      <c r="D2845" s="33">
        <v>12938</v>
      </c>
      <c r="E2845" s="13" t="s">
        <v>11400</v>
      </c>
      <c r="F2845" s="34">
        <v>41153</v>
      </c>
      <c r="G2845" s="34">
        <v>41944</v>
      </c>
      <c r="H2845" s="4" t="s">
        <v>2039</v>
      </c>
      <c r="I2845" s="94">
        <v>16281.01</v>
      </c>
      <c r="J2845" s="94">
        <v>16281.01</v>
      </c>
      <c r="K2845" s="38" t="s">
        <v>4667</v>
      </c>
      <c r="L2845" s="119"/>
    </row>
    <row r="2846" spans="1:13" s="4" customFormat="1" ht="25.5" x14ac:dyDescent="0.25">
      <c r="A2846" s="4" t="s">
        <v>4763</v>
      </c>
      <c r="B2846" s="4" t="s">
        <v>13</v>
      </c>
      <c r="C2846" s="37" t="s">
        <v>4667</v>
      </c>
      <c r="D2846" s="35">
        <v>9485</v>
      </c>
      <c r="E2846" s="4" t="s">
        <v>4764</v>
      </c>
      <c r="F2846" s="5">
        <v>40126</v>
      </c>
      <c r="G2846" s="5">
        <v>40213</v>
      </c>
      <c r="H2846" s="4" t="s">
        <v>389</v>
      </c>
      <c r="I2846" s="6">
        <v>89523</v>
      </c>
      <c r="J2846" s="6">
        <v>31333.05</v>
      </c>
      <c r="K2846" s="37" t="s">
        <v>4667</v>
      </c>
      <c r="L2846" s="119"/>
      <c r="M2846" s="3"/>
    </row>
    <row r="2847" spans="1:13" s="4" customFormat="1" ht="25.5" x14ac:dyDescent="0.25">
      <c r="A2847" s="4" t="s">
        <v>4765</v>
      </c>
      <c r="B2847" s="4" t="s">
        <v>13</v>
      </c>
      <c r="C2847" s="37" t="s">
        <v>4667</v>
      </c>
      <c r="D2847" s="35">
        <v>9498</v>
      </c>
      <c r="E2847" s="4" t="s">
        <v>4766</v>
      </c>
      <c r="F2847" s="5">
        <v>39423</v>
      </c>
      <c r="G2847" s="5">
        <v>39932</v>
      </c>
      <c r="H2847" s="4" t="s">
        <v>389</v>
      </c>
      <c r="I2847" s="6">
        <v>76194.97</v>
      </c>
      <c r="J2847" s="6">
        <v>29716.04</v>
      </c>
      <c r="K2847" s="37" t="s">
        <v>4667</v>
      </c>
      <c r="L2847" s="119"/>
      <c r="M2847" s="3"/>
    </row>
    <row r="2848" spans="1:13" s="4" customFormat="1" ht="102" x14ac:dyDescent="0.25">
      <c r="A2848" s="4" t="s">
        <v>4665</v>
      </c>
      <c r="B2848" s="4" t="s">
        <v>13</v>
      </c>
      <c r="C2848" s="37" t="s">
        <v>4667</v>
      </c>
      <c r="D2848" s="35">
        <v>9910</v>
      </c>
      <c r="E2848" s="7" t="s">
        <v>4767</v>
      </c>
      <c r="F2848" s="5">
        <v>40836</v>
      </c>
      <c r="G2848" s="5">
        <v>41073</v>
      </c>
      <c r="H2848" s="4" t="s">
        <v>392</v>
      </c>
      <c r="I2848" s="6">
        <v>271404.71999999997</v>
      </c>
      <c r="J2848" s="6">
        <v>54280.94</v>
      </c>
      <c r="K2848" s="37" t="s">
        <v>4667</v>
      </c>
      <c r="L2848" s="119"/>
      <c r="M2848" s="3"/>
    </row>
    <row r="2849" spans="1:13" s="4" customFormat="1" ht="63.75" x14ac:dyDescent="0.25">
      <c r="A2849" s="4" t="s">
        <v>4768</v>
      </c>
      <c r="B2849" s="4" t="s">
        <v>13</v>
      </c>
      <c r="C2849" s="37" t="s">
        <v>4667</v>
      </c>
      <c r="D2849" s="35">
        <v>10021</v>
      </c>
      <c r="E2849" s="4" t="s">
        <v>4769</v>
      </c>
      <c r="F2849" s="5">
        <v>40448</v>
      </c>
      <c r="G2849" s="5">
        <v>40535</v>
      </c>
      <c r="H2849" s="4" t="s">
        <v>392</v>
      </c>
      <c r="I2849" s="6">
        <v>203400</v>
      </c>
      <c r="J2849" s="6">
        <v>50850</v>
      </c>
      <c r="K2849" s="37" t="s">
        <v>4667</v>
      </c>
      <c r="L2849" s="119"/>
      <c r="M2849" s="3"/>
    </row>
    <row r="2850" spans="1:13" s="4" customFormat="1" ht="51" x14ac:dyDescent="0.25">
      <c r="A2850" s="4" t="s">
        <v>4770</v>
      </c>
      <c r="B2850" s="4" t="s">
        <v>13</v>
      </c>
      <c r="C2850" s="37" t="s">
        <v>4667</v>
      </c>
      <c r="D2850" s="35">
        <v>10071</v>
      </c>
      <c r="E2850" s="4" t="s">
        <v>4771</v>
      </c>
      <c r="F2850" s="5">
        <v>40448</v>
      </c>
      <c r="G2850" s="5">
        <v>40542</v>
      </c>
      <c r="H2850" s="4" t="s">
        <v>392</v>
      </c>
      <c r="I2850" s="6">
        <v>145948.38</v>
      </c>
      <c r="J2850" s="6">
        <v>51081.93</v>
      </c>
      <c r="K2850" s="37" t="s">
        <v>4667</v>
      </c>
      <c r="L2850" s="119"/>
      <c r="M2850" s="3"/>
    </row>
    <row r="2851" spans="1:13" s="4" customFormat="1" ht="51" x14ac:dyDescent="0.25">
      <c r="A2851" s="4" t="s">
        <v>4772</v>
      </c>
      <c r="B2851" s="4" t="s">
        <v>13</v>
      </c>
      <c r="C2851" s="37" t="s">
        <v>4667</v>
      </c>
      <c r="D2851" s="35">
        <v>10153</v>
      </c>
      <c r="E2851" s="4" t="s">
        <v>4773</v>
      </c>
      <c r="F2851" s="5">
        <v>40792</v>
      </c>
      <c r="G2851" s="5">
        <v>40900</v>
      </c>
      <c r="H2851" s="4" t="s">
        <v>392</v>
      </c>
      <c r="I2851" s="6">
        <v>884174.47</v>
      </c>
      <c r="J2851" s="6">
        <v>176834.89</v>
      </c>
      <c r="K2851" s="37" t="s">
        <v>4667</v>
      </c>
      <c r="L2851" s="119"/>
      <c r="M2851" s="3"/>
    </row>
    <row r="2852" spans="1:13" s="4" customFormat="1" ht="38.25" x14ac:dyDescent="0.25">
      <c r="A2852" s="4" t="s">
        <v>4774</v>
      </c>
      <c r="B2852" s="4" t="s">
        <v>13</v>
      </c>
      <c r="C2852" s="37" t="s">
        <v>4667</v>
      </c>
      <c r="D2852" s="35">
        <v>10176</v>
      </c>
      <c r="E2852" s="4" t="s">
        <v>4775</v>
      </c>
      <c r="F2852" s="5">
        <v>41129</v>
      </c>
      <c r="G2852" s="5">
        <v>41527</v>
      </c>
      <c r="H2852" s="4" t="s">
        <v>392</v>
      </c>
      <c r="I2852" s="6">
        <v>702679.4</v>
      </c>
      <c r="J2852" s="6">
        <v>210803.83</v>
      </c>
      <c r="K2852" s="37" t="s">
        <v>4667</v>
      </c>
      <c r="L2852" s="119"/>
      <c r="M2852" s="3"/>
    </row>
    <row r="2853" spans="1:13" s="4" customFormat="1" ht="25.5" x14ac:dyDescent="0.25">
      <c r="A2853" s="4" t="s">
        <v>4776</v>
      </c>
      <c r="B2853" s="4" t="s">
        <v>13</v>
      </c>
      <c r="C2853" s="37" t="s">
        <v>4667</v>
      </c>
      <c r="D2853" s="35">
        <v>10200</v>
      </c>
      <c r="E2853" s="4" t="s">
        <v>4777</v>
      </c>
      <c r="F2853" s="5">
        <v>41136</v>
      </c>
      <c r="G2853" s="5">
        <v>41271</v>
      </c>
      <c r="H2853" s="4" t="s">
        <v>392</v>
      </c>
      <c r="I2853" s="6">
        <v>84997.34</v>
      </c>
      <c r="J2853" s="6">
        <v>12749.6</v>
      </c>
      <c r="K2853" s="37" t="s">
        <v>4667</v>
      </c>
      <c r="L2853" s="119"/>
      <c r="M2853" s="3"/>
    </row>
    <row r="2854" spans="1:13" s="4" customFormat="1" ht="89.25" x14ac:dyDescent="0.25">
      <c r="A2854" s="4" t="s">
        <v>4778</v>
      </c>
      <c r="B2854" s="4" t="s">
        <v>13</v>
      </c>
      <c r="C2854" s="37" t="s">
        <v>4667</v>
      </c>
      <c r="D2854" s="35">
        <v>10206</v>
      </c>
      <c r="E2854" s="7" t="s">
        <v>4779</v>
      </c>
      <c r="F2854" s="5">
        <v>41106</v>
      </c>
      <c r="G2854" s="5">
        <v>41267</v>
      </c>
      <c r="H2854" s="4" t="s">
        <v>392</v>
      </c>
      <c r="I2854" s="6">
        <v>214665.56</v>
      </c>
      <c r="J2854" s="6">
        <v>32199.83</v>
      </c>
      <c r="K2854" s="37" t="s">
        <v>4667</v>
      </c>
      <c r="L2854" s="119"/>
      <c r="M2854" s="3"/>
    </row>
    <row r="2855" spans="1:13" s="4" customFormat="1" ht="102" x14ac:dyDescent="0.25">
      <c r="A2855" s="4" t="s">
        <v>4780</v>
      </c>
      <c r="B2855" s="4" t="s">
        <v>13</v>
      </c>
      <c r="C2855" s="37" t="s">
        <v>4667</v>
      </c>
      <c r="D2855" s="35">
        <v>10217</v>
      </c>
      <c r="E2855" s="7" t="s">
        <v>4781</v>
      </c>
      <c r="F2855" s="5">
        <v>40394</v>
      </c>
      <c r="G2855" s="5">
        <v>40533</v>
      </c>
      <c r="H2855" s="4" t="s">
        <v>392</v>
      </c>
      <c r="I2855" s="6">
        <v>1305146.96</v>
      </c>
      <c r="J2855" s="6">
        <v>456801.44</v>
      </c>
      <c r="K2855" s="37" t="s">
        <v>4667</v>
      </c>
      <c r="L2855" s="119"/>
      <c r="M2855" s="3"/>
    </row>
    <row r="2856" spans="1:13" s="4" customFormat="1" ht="38.25" x14ac:dyDescent="0.25">
      <c r="A2856" s="4" t="s">
        <v>11657</v>
      </c>
      <c r="B2856" s="4" t="s">
        <v>13</v>
      </c>
      <c r="C2856" s="37" t="s">
        <v>4667</v>
      </c>
      <c r="D2856" s="35">
        <v>13436</v>
      </c>
      <c r="E2856" s="99" t="s">
        <v>11658</v>
      </c>
      <c r="F2856" s="97">
        <v>40681</v>
      </c>
      <c r="G2856" s="98">
        <v>42704</v>
      </c>
      <c r="H2856" s="4" t="s">
        <v>11659</v>
      </c>
      <c r="I2856" s="100">
        <v>2264596.94</v>
      </c>
      <c r="J2856" s="100">
        <v>905838.78</v>
      </c>
      <c r="K2856" s="37" t="s">
        <v>4667</v>
      </c>
      <c r="L2856" s="119"/>
      <c r="M2856" s="3"/>
    </row>
    <row r="2857" spans="1:13" s="4" customFormat="1" ht="25.5" x14ac:dyDescent="0.25">
      <c r="A2857" s="4" t="s">
        <v>4782</v>
      </c>
      <c r="B2857" s="4" t="s">
        <v>38</v>
      </c>
      <c r="C2857" s="37" t="s">
        <v>4667</v>
      </c>
      <c r="D2857" s="35">
        <v>2070</v>
      </c>
      <c r="E2857" s="4" t="s">
        <v>4783</v>
      </c>
      <c r="F2857" s="5">
        <v>39083</v>
      </c>
      <c r="H2857" s="4" t="s">
        <v>40</v>
      </c>
      <c r="I2857" s="6">
        <v>30904</v>
      </c>
      <c r="J2857" s="6">
        <v>30904</v>
      </c>
      <c r="K2857" s="37" t="s">
        <v>4667</v>
      </c>
      <c r="L2857" s="119"/>
      <c r="M2857" s="3"/>
    </row>
    <row r="2858" spans="1:13" s="4" customFormat="1" ht="25.5" x14ac:dyDescent="0.25">
      <c r="A2858" s="4" t="s">
        <v>4784</v>
      </c>
      <c r="B2858" s="4" t="s">
        <v>38</v>
      </c>
      <c r="C2858" s="37" t="s">
        <v>4667</v>
      </c>
      <c r="D2858" s="35">
        <v>2072</v>
      </c>
      <c r="E2858" s="4" t="s">
        <v>4785</v>
      </c>
      <c r="F2858" s="5">
        <v>39083</v>
      </c>
      <c r="H2858" s="4" t="s">
        <v>40</v>
      </c>
      <c r="I2858" s="6">
        <v>225</v>
      </c>
      <c r="J2858" s="6">
        <v>225</v>
      </c>
      <c r="K2858" s="37" t="s">
        <v>4667</v>
      </c>
      <c r="L2858" s="119"/>
      <c r="M2858" s="3"/>
    </row>
    <row r="2859" spans="1:13" s="4" customFormat="1" ht="25.5" x14ac:dyDescent="0.25">
      <c r="A2859" s="4" t="s">
        <v>4786</v>
      </c>
      <c r="B2859" s="4" t="s">
        <v>38</v>
      </c>
      <c r="C2859" s="37" t="s">
        <v>4667</v>
      </c>
      <c r="D2859" s="35">
        <v>2073</v>
      </c>
      <c r="E2859" s="4" t="s">
        <v>4787</v>
      </c>
      <c r="F2859" s="5">
        <v>39083</v>
      </c>
      <c r="H2859" s="4" t="s">
        <v>40</v>
      </c>
      <c r="I2859" s="6">
        <v>261716.54</v>
      </c>
      <c r="J2859" s="6">
        <f>238067.93+23648.61</f>
        <v>261716.53999999998</v>
      </c>
      <c r="K2859" s="37" t="s">
        <v>4667</v>
      </c>
      <c r="L2859" s="119"/>
      <c r="M2859" s="3"/>
    </row>
    <row r="2860" spans="1:13" s="4" customFormat="1" ht="63.75" x14ac:dyDescent="0.25">
      <c r="A2860" s="4" t="s">
        <v>4788</v>
      </c>
      <c r="B2860" s="4" t="s">
        <v>38</v>
      </c>
      <c r="C2860" s="37" t="s">
        <v>4667</v>
      </c>
      <c r="D2860" s="35">
        <v>2074</v>
      </c>
      <c r="E2860" s="4" t="s">
        <v>4789</v>
      </c>
      <c r="F2860" s="5">
        <v>39083</v>
      </c>
      <c r="H2860" s="4" t="s">
        <v>40</v>
      </c>
      <c r="I2860" s="6">
        <v>249006.72</v>
      </c>
      <c r="J2860" s="6">
        <f>216702.32+32304.4</f>
        <v>249006.72</v>
      </c>
      <c r="K2860" s="37" t="s">
        <v>4667</v>
      </c>
      <c r="L2860" s="119"/>
      <c r="M2860" s="3"/>
    </row>
    <row r="2861" spans="1:13" s="4" customFormat="1" ht="25.5" x14ac:dyDescent="0.25">
      <c r="A2861" s="4" t="s">
        <v>4790</v>
      </c>
      <c r="B2861" s="4" t="s">
        <v>38</v>
      </c>
      <c r="C2861" s="37" t="s">
        <v>4667</v>
      </c>
      <c r="D2861" s="35">
        <v>2086</v>
      </c>
      <c r="E2861" s="4" t="s">
        <v>4791</v>
      </c>
      <c r="F2861" s="5">
        <v>39083</v>
      </c>
      <c r="H2861" s="4" t="s">
        <v>40</v>
      </c>
      <c r="I2861" s="6">
        <v>48243</v>
      </c>
      <c r="J2861" s="6">
        <v>48243</v>
      </c>
      <c r="K2861" s="37" t="s">
        <v>4667</v>
      </c>
      <c r="L2861" s="119"/>
      <c r="M2861" s="3"/>
    </row>
    <row r="2862" spans="1:13" s="4" customFormat="1" ht="89.25" x14ac:dyDescent="0.25">
      <c r="A2862" s="4" t="s">
        <v>4792</v>
      </c>
      <c r="B2862" s="4" t="s">
        <v>38</v>
      </c>
      <c r="C2862" s="37" t="s">
        <v>4667</v>
      </c>
      <c r="D2862" s="35">
        <v>2089</v>
      </c>
      <c r="E2862" s="7" t="s">
        <v>4793</v>
      </c>
      <c r="F2862" s="5">
        <v>39083</v>
      </c>
      <c r="H2862" s="4" t="s">
        <v>40</v>
      </c>
      <c r="I2862" s="6">
        <v>97439.78</v>
      </c>
      <c r="J2862" s="6">
        <f>92339.78+5100</f>
        <v>97439.78</v>
      </c>
      <c r="K2862" s="37" t="s">
        <v>4667</v>
      </c>
      <c r="L2862" s="119"/>
      <c r="M2862" s="3"/>
    </row>
    <row r="2863" spans="1:13" s="4" customFormat="1" ht="76.5" x14ac:dyDescent="0.25">
      <c r="A2863" s="4" t="s">
        <v>4794</v>
      </c>
      <c r="B2863" s="4" t="s">
        <v>38</v>
      </c>
      <c r="C2863" s="37" t="s">
        <v>4667</v>
      </c>
      <c r="D2863" s="35">
        <v>2092</v>
      </c>
      <c r="E2863" s="7" t="s">
        <v>4795</v>
      </c>
      <c r="F2863" s="5">
        <v>39083</v>
      </c>
      <c r="H2863" s="4" t="s">
        <v>40</v>
      </c>
      <c r="I2863" s="6">
        <v>136543.26999999999</v>
      </c>
      <c r="J2863" s="6">
        <f>126857.83+9685.44</f>
        <v>136543.26999999999</v>
      </c>
      <c r="K2863" s="37" t="s">
        <v>4667</v>
      </c>
      <c r="L2863" s="119"/>
      <c r="M2863" s="3"/>
    </row>
    <row r="2864" spans="1:13" s="4" customFormat="1" ht="38.25" x14ac:dyDescent="0.25">
      <c r="A2864" s="4" t="s">
        <v>4796</v>
      </c>
      <c r="B2864" s="4" t="s">
        <v>38</v>
      </c>
      <c r="C2864" s="37" t="s">
        <v>4667</v>
      </c>
      <c r="D2864" s="35">
        <v>2094</v>
      </c>
      <c r="E2864" s="4" t="s">
        <v>4797</v>
      </c>
      <c r="F2864" s="5">
        <v>39083</v>
      </c>
      <c r="H2864" s="4" t="s">
        <v>40</v>
      </c>
      <c r="I2864" s="6">
        <v>71909</v>
      </c>
      <c r="J2864" s="6">
        <f>62851.4+9057.6</f>
        <v>71909</v>
      </c>
      <c r="K2864" s="37" t="s">
        <v>4667</v>
      </c>
      <c r="L2864" s="119"/>
      <c r="M2864" s="3"/>
    </row>
    <row r="2865" spans="1:13" s="4" customFormat="1" ht="25.5" x14ac:dyDescent="0.25">
      <c r="A2865" s="4" t="s">
        <v>4798</v>
      </c>
      <c r="B2865" s="4" t="s">
        <v>38</v>
      </c>
      <c r="C2865" s="37" t="s">
        <v>4667</v>
      </c>
      <c r="D2865" s="35">
        <v>2100</v>
      </c>
      <c r="E2865" s="4" t="s">
        <v>4799</v>
      </c>
      <c r="F2865" s="5">
        <v>39083</v>
      </c>
      <c r="H2865" s="4" t="s">
        <v>40</v>
      </c>
      <c r="I2865" s="6">
        <v>233138.1</v>
      </c>
      <c r="J2865" s="6">
        <f>209893.4+23244.7</f>
        <v>233138.1</v>
      </c>
      <c r="K2865" s="37" t="s">
        <v>4667</v>
      </c>
      <c r="L2865" s="119"/>
      <c r="M2865" s="3"/>
    </row>
    <row r="2866" spans="1:13" s="4" customFormat="1" ht="25.5" x14ac:dyDescent="0.25">
      <c r="A2866" s="4" t="s">
        <v>4800</v>
      </c>
      <c r="B2866" s="4" t="s">
        <v>38</v>
      </c>
      <c r="C2866" s="37" t="s">
        <v>4667</v>
      </c>
      <c r="D2866" s="35">
        <v>2110</v>
      </c>
      <c r="E2866" s="4" t="s">
        <v>4801</v>
      </c>
      <c r="F2866" s="5">
        <v>39083</v>
      </c>
      <c r="H2866" s="4" t="s">
        <v>40</v>
      </c>
      <c r="I2866" s="6">
        <v>48128.5</v>
      </c>
      <c r="J2866" s="6">
        <v>48128.5</v>
      </c>
      <c r="K2866" s="37" t="s">
        <v>4667</v>
      </c>
      <c r="L2866" s="119"/>
      <c r="M2866" s="3"/>
    </row>
    <row r="2867" spans="1:13" s="4" customFormat="1" ht="38.25" x14ac:dyDescent="0.25">
      <c r="A2867" s="4" t="s">
        <v>4802</v>
      </c>
      <c r="B2867" s="4" t="s">
        <v>38</v>
      </c>
      <c r="C2867" s="37" t="s">
        <v>4667</v>
      </c>
      <c r="D2867" s="35">
        <v>2111</v>
      </c>
      <c r="E2867" s="4" t="s">
        <v>4803</v>
      </c>
      <c r="F2867" s="5">
        <v>39083</v>
      </c>
      <c r="H2867" s="4" t="s">
        <v>40</v>
      </c>
      <c r="I2867" s="6">
        <v>16464.349999999999</v>
      </c>
      <c r="J2867" s="6">
        <v>16464.349999999999</v>
      </c>
      <c r="K2867" s="37" t="s">
        <v>4667</v>
      </c>
      <c r="L2867" s="119"/>
      <c r="M2867" s="3"/>
    </row>
    <row r="2868" spans="1:13" s="4" customFormat="1" ht="38.25" x14ac:dyDescent="0.25">
      <c r="A2868" s="4" t="s">
        <v>4804</v>
      </c>
      <c r="B2868" s="4" t="s">
        <v>38</v>
      </c>
      <c r="C2868" s="37" t="s">
        <v>4667</v>
      </c>
      <c r="D2868" s="35">
        <v>2112</v>
      </c>
      <c r="E2868" s="4" t="s">
        <v>4805</v>
      </c>
      <c r="F2868" s="5">
        <v>39083</v>
      </c>
      <c r="H2868" s="4" t="s">
        <v>40</v>
      </c>
      <c r="I2868" s="6">
        <f>9552.4+18836.4+1993+4600.95+3212.6</f>
        <v>38195.35</v>
      </c>
      <c r="J2868" s="6">
        <f>34982.75+3212.6</f>
        <v>38195.35</v>
      </c>
      <c r="K2868" s="37" t="s">
        <v>4667</v>
      </c>
      <c r="L2868" s="119"/>
      <c r="M2868" s="3"/>
    </row>
    <row r="2869" spans="1:13" s="4" customFormat="1" ht="25.5" x14ac:dyDescent="0.25">
      <c r="A2869" s="4" t="s">
        <v>4806</v>
      </c>
      <c r="B2869" s="4" t="s">
        <v>38</v>
      </c>
      <c r="C2869" s="37" t="s">
        <v>4667</v>
      </c>
      <c r="D2869" s="35">
        <v>2113</v>
      </c>
      <c r="E2869" s="4" t="s">
        <v>4807</v>
      </c>
      <c r="F2869" s="5">
        <v>39083</v>
      </c>
      <c r="H2869" s="4" t="s">
        <v>40</v>
      </c>
      <c r="I2869" s="6">
        <v>11491.55</v>
      </c>
      <c r="J2869" s="6">
        <v>11491.55</v>
      </c>
      <c r="K2869" s="37" t="s">
        <v>4667</v>
      </c>
      <c r="L2869" s="119"/>
      <c r="M2869" s="3"/>
    </row>
    <row r="2870" spans="1:13" s="4" customFormat="1" ht="25.5" x14ac:dyDescent="0.25">
      <c r="A2870" s="4" t="s">
        <v>4808</v>
      </c>
      <c r="B2870" s="4" t="s">
        <v>38</v>
      </c>
      <c r="C2870" s="37" t="s">
        <v>4667</v>
      </c>
      <c r="D2870" s="35">
        <v>2114</v>
      </c>
      <c r="E2870" s="4" t="s">
        <v>4809</v>
      </c>
      <c r="F2870" s="5">
        <v>39083</v>
      </c>
      <c r="H2870" s="4" t="s">
        <v>40</v>
      </c>
      <c r="I2870" s="6">
        <v>329544.14</v>
      </c>
      <c r="J2870" s="6">
        <f>244746.99+84797.15</f>
        <v>329544.14</v>
      </c>
      <c r="K2870" s="37" t="s">
        <v>4667</v>
      </c>
      <c r="L2870" s="119"/>
      <c r="M2870" s="3"/>
    </row>
    <row r="2871" spans="1:13" s="4" customFormat="1" ht="25.5" x14ac:dyDescent="0.25">
      <c r="A2871" s="4" t="s">
        <v>4810</v>
      </c>
      <c r="B2871" s="4" t="s">
        <v>38</v>
      </c>
      <c r="C2871" s="37" t="s">
        <v>4667</v>
      </c>
      <c r="D2871" s="35">
        <v>2115</v>
      </c>
      <c r="E2871" s="4" t="s">
        <v>4811</v>
      </c>
      <c r="F2871" s="5">
        <v>39083</v>
      </c>
      <c r="H2871" s="4" t="s">
        <v>40</v>
      </c>
      <c r="I2871" s="6">
        <v>2436.35</v>
      </c>
      <c r="J2871" s="6">
        <v>2436.35</v>
      </c>
      <c r="K2871" s="37" t="s">
        <v>4667</v>
      </c>
      <c r="L2871" s="119"/>
      <c r="M2871" s="3"/>
    </row>
    <row r="2872" spans="1:13" s="4" customFormat="1" ht="25.5" x14ac:dyDescent="0.25">
      <c r="A2872" s="4" t="s">
        <v>4812</v>
      </c>
      <c r="B2872" s="4" t="s">
        <v>38</v>
      </c>
      <c r="C2872" s="37" t="s">
        <v>4667</v>
      </c>
      <c r="D2872" s="35">
        <v>2116</v>
      </c>
      <c r="E2872" s="4" t="s">
        <v>4813</v>
      </c>
      <c r="F2872" s="5">
        <v>39083</v>
      </c>
      <c r="H2872" s="4" t="s">
        <v>40</v>
      </c>
      <c r="I2872" s="6">
        <v>7400</v>
      </c>
      <c r="J2872" s="6">
        <v>7400</v>
      </c>
      <c r="K2872" s="37" t="s">
        <v>4667</v>
      </c>
      <c r="L2872" s="119"/>
      <c r="M2872" s="3"/>
    </row>
    <row r="2873" spans="1:13" s="4" customFormat="1" ht="38.25" x14ac:dyDescent="0.25">
      <c r="A2873" s="4" t="s">
        <v>4814</v>
      </c>
      <c r="B2873" s="4" t="s">
        <v>38</v>
      </c>
      <c r="C2873" s="37" t="s">
        <v>4667</v>
      </c>
      <c r="D2873" s="35">
        <v>2118</v>
      </c>
      <c r="E2873" s="4" t="s">
        <v>4815</v>
      </c>
      <c r="F2873" s="5">
        <v>39083</v>
      </c>
      <c r="H2873" s="4" t="s">
        <v>40</v>
      </c>
      <c r="I2873" s="6">
        <v>12164.4</v>
      </c>
      <c r="J2873" s="6">
        <v>12164.4</v>
      </c>
      <c r="K2873" s="37" t="s">
        <v>4667</v>
      </c>
      <c r="L2873" s="119"/>
      <c r="M2873" s="3"/>
    </row>
    <row r="2874" spans="1:13" s="4" customFormat="1" ht="63.75" x14ac:dyDescent="0.25">
      <c r="A2874" s="4" t="s">
        <v>4816</v>
      </c>
      <c r="B2874" s="4" t="s">
        <v>38</v>
      </c>
      <c r="C2874" s="37" t="s">
        <v>4667</v>
      </c>
      <c r="D2874" s="35">
        <v>2119</v>
      </c>
      <c r="E2874" s="4" t="s">
        <v>4817</v>
      </c>
      <c r="F2874" s="5">
        <v>39083</v>
      </c>
      <c r="H2874" s="4" t="s">
        <v>40</v>
      </c>
      <c r="I2874" s="6">
        <v>26701.09</v>
      </c>
      <c r="J2874" s="6">
        <f>24295.5+2405.59</f>
        <v>26701.09</v>
      </c>
      <c r="K2874" s="37" t="s">
        <v>4667</v>
      </c>
      <c r="L2874" s="119"/>
      <c r="M2874" s="3"/>
    </row>
    <row r="2875" spans="1:13" s="4" customFormat="1" ht="25.5" x14ac:dyDescent="0.25">
      <c r="A2875" s="4" t="s">
        <v>4818</v>
      </c>
      <c r="B2875" s="4" t="s">
        <v>38</v>
      </c>
      <c r="C2875" s="37" t="s">
        <v>4667</v>
      </c>
      <c r="D2875" s="35">
        <v>2128</v>
      </c>
      <c r="E2875" s="4" t="s">
        <v>4819</v>
      </c>
      <c r="F2875" s="5">
        <v>39448</v>
      </c>
      <c r="H2875" s="4" t="s">
        <v>40</v>
      </c>
      <c r="I2875" s="6">
        <v>19166.7</v>
      </c>
      <c r="J2875" s="6">
        <v>19166.7</v>
      </c>
      <c r="K2875" s="37" t="s">
        <v>4667</v>
      </c>
      <c r="L2875" s="119"/>
      <c r="M2875" s="3"/>
    </row>
    <row r="2876" spans="1:13" s="4" customFormat="1" ht="38.25" x14ac:dyDescent="0.25">
      <c r="A2876" s="4" t="s">
        <v>4820</v>
      </c>
      <c r="B2876" s="4" t="s">
        <v>38</v>
      </c>
      <c r="C2876" s="37" t="s">
        <v>4667</v>
      </c>
      <c r="D2876" s="35">
        <v>2707</v>
      </c>
      <c r="E2876" s="4" t="s">
        <v>4821</v>
      </c>
      <c r="F2876" s="5">
        <v>39083</v>
      </c>
      <c r="H2876" s="4" t="s">
        <v>40</v>
      </c>
      <c r="I2876" s="6">
        <v>89767.25</v>
      </c>
      <c r="J2876" s="6">
        <f>80070.9+9696.35</f>
        <v>89767.25</v>
      </c>
      <c r="K2876" s="37" t="s">
        <v>4667</v>
      </c>
      <c r="L2876" s="119"/>
      <c r="M2876" s="3"/>
    </row>
    <row r="2877" spans="1:13" s="4" customFormat="1" ht="25.5" x14ac:dyDescent="0.25">
      <c r="A2877" s="4" t="s">
        <v>4822</v>
      </c>
      <c r="B2877" s="4" t="s">
        <v>38</v>
      </c>
      <c r="C2877" s="37" t="s">
        <v>4667</v>
      </c>
      <c r="D2877" s="35">
        <v>2709</v>
      </c>
      <c r="E2877" s="4" t="s">
        <v>4823</v>
      </c>
      <c r="F2877" s="5">
        <v>39448</v>
      </c>
      <c r="H2877" s="4" t="s">
        <v>40</v>
      </c>
      <c r="I2877" s="6">
        <v>4954</v>
      </c>
      <c r="J2877" s="6">
        <v>4954</v>
      </c>
      <c r="K2877" s="37" t="s">
        <v>4667</v>
      </c>
      <c r="L2877" s="119"/>
      <c r="M2877" s="3"/>
    </row>
    <row r="2878" spans="1:13" s="4" customFormat="1" x14ac:dyDescent="0.25">
      <c r="A2878" s="4" t="s">
        <v>4824</v>
      </c>
      <c r="B2878" s="4" t="s">
        <v>50</v>
      </c>
      <c r="C2878" s="37" t="s">
        <v>4667</v>
      </c>
      <c r="D2878" s="35">
        <v>2896</v>
      </c>
      <c r="E2878" s="4" t="s">
        <v>4825</v>
      </c>
      <c r="F2878" s="5">
        <v>39136</v>
      </c>
      <c r="H2878" s="4" t="s">
        <v>40</v>
      </c>
      <c r="I2878" s="6">
        <v>120000</v>
      </c>
      <c r="J2878" s="6">
        <v>60000</v>
      </c>
      <c r="K2878" s="37" t="s">
        <v>4667</v>
      </c>
      <c r="L2878" s="119"/>
      <c r="M2878" s="3"/>
    </row>
    <row r="2879" spans="1:13" s="4" customFormat="1" x14ac:dyDescent="0.25">
      <c r="A2879" s="4" t="s">
        <v>4826</v>
      </c>
      <c r="B2879" s="4" t="s">
        <v>50</v>
      </c>
      <c r="C2879" s="37" t="s">
        <v>4667</v>
      </c>
      <c r="D2879" s="35">
        <v>2899</v>
      </c>
      <c r="E2879" s="4" t="s">
        <v>4827</v>
      </c>
      <c r="F2879" s="5">
        <v>39269</v>
      </c>
      <c r="H2879" s="4" t="s">
        <v>40</v>
      </c>
      <c r="I2879" s="6">
        <v>150000</v>
      </c>
      <c r="J2879" s="6">
        <v>75000</v>
      </c>
      <c r="K2879" s="37" t="s">
        <v>4667</v>
      </c>
      <c r="L2879" s="119"/>
      <c r="M2879" s="3"/>
    </row>
    <row r="2880" spans="1:13" s="4" customFormat="1" x14ac:dyDescent="0.25">
      <c r="A2880" s="4" t="s">
        <v>4828</v>
      </c>
      <c r="B2880" s="4" t="s">
        <v>59</v>
      </c>
      <c r="C2880" s="37" t="s">
        <v>4667</v>
      </c>
      <c r="D2880" s="35">
        <v>2900</v>
      </c>
      <c r="E2880" s="4" t="s">
        <v>4829</v>
      </c>
      <c r="F2880" s="5">
        <v>39213</v>
      </c>
      <c r="H2880" s="4" t="s">
        <v>40</v>
      </c>
      <c r="I2880" s="6">
        <v>11250</v>
      </c>
      <c r="J2880" s="6">
        <v>11250</v>
      </c>
      <c r="K2880" s="37" t="s">
        <v>4667</v>
      </c>
      <c r="L2880" s="119"/>
      <c r="M2880" s="3"/>
    </row>
    <row r="2881" spans="1:13" s="4" customFormat="1" x14ac:dyDescent="0.25">
      <c r="A2881" s="4" t="s">
        <v>4830</v>
      </c>
      <c r="B2881" s="4" t="s">
        <v>50</v>
      </c>
      <c r="C2881" s="37" t="s">
        <v>4667</v>
      </c>
      <c r="D2881" s="35">
        <v>2901</v>
      </c>
      <c r="E2881" s="4" t="s">
        <v>4831</v>
      </c>
      <c r="F2881" s="5">
        <v>39269</v>
      </c>
      <c r="H2881" s="4" t="s">
        <v>40</v>
      </c>
      <c r="I2881" s="6">
        <v>28100</v>
      </c>
      <c r="J2881" s="6">
        <v>14050</v>
      </c>
      <c r="K2881" s="37" t="s">
        <v>4667</v>
      </c>
      <c r="L2881" s="119"/>
      <c r="M2881" s="3"/>
    </row>
    <row r="2882" spans="1:13" s="4" customFormat="1" x14ac:dyDescent="0.25">
      <c r="A2882" s="4" t="s">
        <v>4832</v>
      </c>
      <c r="B2882" s="4" t="s">
        <v>50</v>
      </c>
      <c r="C2882" s="37" t="s">
        <v>4667</v>
      </c>
      <c r="D2882" s="35">
        <v>2903</v>
      </c>
      <c r="E2882" s="4" t="s">
        <v>4833</v>
      </c>
      <c r="F2882" s="5">
        <v>39136</v>
      </c>
      <c r="H2882" s="4" t="s">
        <v>40</v>
      </c>
      <c r="I2882" s="6">
        <v>50000</v>
      </c>
      <c r="J2882" s="6">
        <v>25000</v>
      </c>
      <c r="K2882" s="37" t="s">
        <v>4667</v>
      </c>
      <c r="L2882" s="119"/>
      <c r="M2882" s="3"/>
    </row>
    <row r="2883" spans="1:13" s="4" customFormat="1" x14ac:dyDescent="0.25">
      <c r="A2883" s="4" t="s">
        <v>4834</v>
      </c>
      <c r="B2883" s="4" t="s">
        <v>59</v>
      </c>
      <c r="C2883" s="37" t="s">
        <v>4667</v>
      </c>
      <c r="D2883" s="35">
        <v>2904</v>
      </c>
      <c r="E2883" s="4" t="s">
        <v>4835</v>
      </c>
      <c r="F2883" s="5">
        <v>39213</v>
      </c>
      <c r="H2883" s="4" t="s">
        <v>40</v>
      </c>
      <c r="I2883" s="6">
        <v>3000</v>
      </c>
      <c r="J2883" s="6">
        <v>3000</v>
      </c>
      <c r="K2883" s="37" t="s">
        <v>4667</v>
      </c>
      <c r="L2883" s="119"/>
      <c r="M2883" s="3"/>
    </row>
    <row r="2884" spans="1:13" s="4" customFormat="1" x14ac:dyDescent="0.25">
      <c r="A2884" s="4" t="s">
        <v>4836</v>
      </c>
      <c r="B2884" s="4" t="s">
        <v>50</v>
      </c>
      <c r="C2884" s="37" t="s">
        <v>4667</v>
      </c>
      <c r="D2884" s="35">
        <v>2906</v>
      </c>
      <c r="E2884" s="4" t="s">
        <v>4837</v>
      </c>
      <c r="F2884" s="5">
        <v>39269</v>
      </c>
      <c r="H2884" s="4" t="s">
        <v>40</v>
      </c>
      <c r="I2884" s="6">
        <v>40000</v>
      </c>
      <c r="J2884" s="6">
        <v>20000</v>
      </c>
      <c r="K2884" s="37" t="s">
        <v>4667</v>
      </c>
      <c r="L2884" s="119"/>
      <c r="M2884" s="3"/>
    </row>
    <row r="2885" spans="1:13" s="4" customFormat="1" x14ac:dyDescent="0.25">
      <c r="A2885" s="4" t="s">
        <v>4838</v>
      </c>
      <c r="B2885" s="4" t="s">
        <v>50</v>
      </c>
      <c r="C2885" s="37" t="s">
        <v>4667</v>
      </c>
      <c r="D2885" s="35">
        <v>2909</v>
      </c>
      <c r="E2885" s="4" t="s">
        <v>4839</v>
      </c>
      <c r="F2885" s="5">
        <v>39137</v>
      </c>
      <c r="H2885" s="4" t="s">
        <v>40</v>
      </c>
      <c r="I2885" s="6">
        <v>20000</v>
      </c>
      <c r="J2885" s="6">
        <v>10000</v>
      </c>
      <c r="K2885" s="37" t="s">
        <v>4667</v>
      </c>
      <c r="L2885" s="119"/>
      <c r="M2885" s="3"/>
    </row>
    <row r="2886" spans="1:13" s="4" customFormat="1" x14ac:dyDescent="0.25">
      <c r="A2886" s="4" t="s">
        <v>4840</v>
      </c>
      <c r="B2886" s="4" t="s">
        <v>50</v>
      </c>
      <c r="C2886" s="37" t="s">
        <v>4667</v>
      </c>
      <c r="D2886" s="35">
        <v>2910</v>
      </c>
      <c r="E2886" s="4" t="s">
        <v>4841</v>
      </c>
      <c r="F2886" s="5">
        <v>39346</v>
      </c>
      <c r="H2886" s="4" t="s">
        <v>40</v>
      </c>
      <c r="I2886" s="6">
        <v>60000</v>
      </c>
      <c r="J2886" s="6">
        <v>30000</v>
      </c>
      <c r="K2886" s="37" t="s">
        <v>4667</v>
      </c>
      <c r="L2886" s="119"/>
      <c r="M2886" s="3"/>
    </row>
    <row r="2887" spans="1:13" s="4" customFormat="1" x14ac:dyDescent="0.25">
      <c r="A2887" s="4" t="s">
        <v>4842</v>
      </c>
      <c r="B2887" s="4" t="s">
        <v>59</v>
      </c>
      <c r="C2887" s="37" t="s">
        <v>4667</v>
      </c>
      <c r="D2887" s="35">
        <v>2911</v>
      </c>
      <c r="E2887" s="4" t="s">
        <v>4843</v>
      </c>
      <c r="F2887" s="5">
        <v>39213</v>
      </c>
      <c r="H2887" s="4" t="s">
        <v>40</v>
      </c>
      <c r="I2887" s="6">
        <v>7500</v>
      </c>
      <c r="J2887" s="6">
        <v>7500</v>
      </c>
      <c r="K2887" s="37" t="s">
        <v>4667</v>
      </c>
      <c r="L2887" s="119"/>
      <c r="M2887" s="3"/>
    </row>
    <row r="2888" spans="1:13" s="4" customFormat="1" x14ac:dyDescent="0.25">
      <c r="A2888" s="4" t="s">
        <v>4844</v>
      </c>
      <c r="B2888" s="4" t="s">
        <v>50</v>
      </c>
      <c r="C2888" s="37" t="s">
        <v>4667</v>
      </c>
      <c r="D2888" s="35">
        <v>2912</v>
      </c>
      <c r="E2888" s="4" t="s">
        <v>4845</v>
      </c>
      <c r="F2888" s="5">
        <v>39136</v>
      </c>
      <c r="H2888" s="4" t="s">
        <v>40</v>
      </c>
      <c r="I2888" s="6">
        <v>143358</v>
      </c>
      <c r="J2888" s="6">
        <v>71679</v>
      </c>
      <c r="K2888" s="37" t="s">
        <v>4667</v>
      </c>
      <c r="L2888" s="119"/>
      <c r="M2888" s="3"/>
    </row>
    <row r="2889" spans="1:13" s="4" customFormat="1" ht="25.5" x14ac:dyDescent="0.25">
      <c r="A2889" s="4" t="s">
        <v>4846</v>
      </c>
      <c r="B2889" s="4" t="s">
        <v>59</v>
      </c>
      <c r="C2889" s="37" t="s">
        <v>4667</v>
      </c>
      <c r="D2889" s="35">
        <v>2914</v>
      </c>
      <c r="E2889" s="4" t="s">
        <v>4847</v>
      </c>
      <c r="F2889" s="5">
        <v>39269</v>
      </c>
      <c r="H2889" s="4" t="s">
        <v>40</v>
      </c>
      <c r="I2889" s="6">
        <v>11250</v>
      </c>
      <c r="J2889" s="6">
        <v>11250</v>
      </c>
      <c r="K2889" s="37" t="s">
        <v>4667</v>
      </c>
      <c r="L2889" s="119"/>
      <c r="M2889" s="3"/>
    </row>
    <row r="2890" spans="1:13" s="4" customFormat="1" x14ac:dyDescent="0.25">
      <c r="A2890" s="4" t="s">
        <v>4848</v>
      </c>
      <c r="B2890" s="4" t="s">
        <v>59</v>
      </c>
      <c r="C2890" s="37" t="s">
        <v>4667</v>
      </c>
      <c r="D2890" s="35">
        <v>2915</v>
      </c>
      <c r="E2890" s="4" t="s">
        <v>4849</v>
      </c>
      <c r="F2890" s="5">
        <v>39136</v>
      </c>
      <c r="H2890" s="4" t="s">
        <v>40</v>
      </c>
      <c r="I2890" s="6">
        <v>3750</v>
      </c>
      <c r="J2890" s="6">
        <v>3750</v>
      </c>
      <c r="K2890" s="37" t="s">
        <v>4667</v>
      </c>
      <c r="L2890" s="119"/>
      <c r="M2890" s="3"/>
    </row>
    <row r="2891" spans="1:13" s="4" customFormat="1" ht="25.5" x14ac:dyDescent="0.25">
      <c r="A2891" s="4" t="s">
        <v>4854</v>
      </c>
      <c r="B2891" s="4" t="s">
        <v>50</v>
      </c>
      <c r="C2891" s="37" t="s">
        <v>4667</v>
      </c>
      <c r="D2891" s="35">
        <v>2921</v>
      </c>
      <c r="E2891" s="4" t="s">
        <v>4855</v>
      </c>
      <c r="F2891" s="5">
        <v>39542</v>
      </c>
      <c r="H2891" s="4" t="s">
        <v>40</v>
      </c>
      <c r="I2891" s="6">
        <v>50000</v>
      </c>
      <c r="J2891" s="6">
        <v>25000</v>
      </c>
      <c r="K2891" s="37" t="s">
        <v>4667</v>
      </c>
      <c r="L2891" s="119"/>
      <c r="M2891" s="3"/>
    </row>
    <row r="2892" spans="1:13" s="4" customFormat="1" ht="76.5" x14ac:dyDescent="0.25">
      <c r="A2892" s="4" t="s">
        <v>4822</v>
      </c>
      <c r="B2892" s="4" t="s">
        <v>38</v>
      </c>
      <c r="C2892" s="37" t="s">
        <v>4667</v>
      </c>
      <c r="D2892" s="35">
        <v>2923</v>
      </c>
      <c r="E2892" s="4" t="s">
        <v>4858</v>
      </c>
      <c r="F2892" s="5">
        <v>39448</v>
      </c>
      <c r="H2892" s="4" t="s">
        <v>40</v>
      </c>
      <c r="I2892" s="6">
        <v>4226.6000000000004</v>
      </c>
      <c r="J2892" s="6">
        <v>4226.6000000000004</v>
      </c>
      <c r="K2892" s="37" t="s">
        <v>4667</v>
      </c>
      <c r="L2892" s="119"/>
      <c r="M2892" s="3"/>
    </row>
    <row r="2893" spans="1:13" s="4" customFormat="1" ht="25.5" x14ac:dyDescent="0.25">
      <c r="A2893" s="4" t="s">
        <v>4861</v>
      </c>
      <c r="B2893" s="4" t="s">
        <v>90</v>
      </c>
      <c r="C2893" s="37" t="s">
        <v>4667</v>
      </c>
      <c r="D2893" s="35">
        <v>2925</v>
      </c>
      <c r="E2893" s="4" t="s">
        <v>4862</v>
      </c>
      <c r="F2893" s="5">
        <v>39542</v>
      </c>
      <c r="H2893" s="4" t="s">
        <v>40</v>
      </c>
      <c r="I2893" s="6">
        <v>10200</v>
      </c>
      <c r="J2893" s="6">
        <v>5100</v>
      </c>
      <c r="K2893" s="37" t="s">
        <v>4667</v>
      </c>
      <c r="L2893" s="119"/>
      <c r="M2893" s="3"/>
    </row>
    <row r="2894" spans="1:13" s="4" customFormat="1" ht="25.5" x14ac:dyDescent="0.25">
      <c r="A2894" s="4" t="s">
        <v>4863</v>
      </c>
      <c r="B2894" s="4" t="s">
        <v>59</v>
      </c>
      <c r="C2894" s="37" t="s">
        <v>4667</v>
      </c>
      <c r="D2894" s="35">
        <v>2926</v>
      </c>
      <c r="E2894" s="4" t="s">
        <v>4864</v>
      </c>
      <c r="F2894" s="5">
        <v>39703</v>
      </c>
      <c r="H2894" s="4" t="s">
        <v>40</v>
      </c>
      <c r="I2894" s="6">
        <v>7500</v>
      </c>
      <c r="J2894" s="6">
        <v>7500</v>
      </c>
      <c r="K2894" s="37" t="s">
        <v>4667</v>
      </c>
      <c r="L2894" s="119"/>
      <c r="M2894" s="3"/>
    </row>
    <row r="2895" spans="1:13" s="4" customFormat="1" x14ac:dyDescent="0.25">
      <c r="A2895" s="4" t="s">
        <v>4865</v>
      </c>
      <c r="B2895" s="4" t="s">
        <v>59</v>
      </c>
      <c r="C2895" s="37" t="s">
        <v>4667</v>
      </c>
      <c r="D2895" s="35">
        <v>2927</v>
      </c>
      <c r="E2895" s="4" t="s">
        <v>4866</v>
      </c>
      <c r="F2895" s="5">
        <v>39703</v>
      </c>
      <c r="H2895" s="4" t="s">
        <v>40</v>
      </c>
      <c r="I2895" s="6">
        <v>7500</v>
      </c>
      <c r="J2895" s="6">
        <v>7500</v>
      </c>
      <c r="K2895" s="37" t="s">
        <v>4667</v>
      </c>
      <c r="L2895" s="119"/>
      <c r="M2895" s="3"/>
    </row>
    <row r="2896" spans="1:13" s="4" customFormat="1" x14ac:dyDescent="0.25">
      <c r="A2896" s="4" t="s">
        <v>4867</v>
      </c>
      <c r="B2896" s="4" t="s">
        <v>50</v>
      </c>
      <c r="C2896" s="37" t="s">
        <v>4667</v>
      </c>
      <c r="D2896" s="35">
        <v>2928</v>
      </c>
      <c r="E2896" s="4" t="s">
        <v>4868</v>
      </c>
      <c r="F2896" s="5">
        <v>39605</v>
      </c>
      <c r="H2896" s="4" t="s">
        <v>40</v>
      </c>
      <c r="I2896" s="6">
        <v>90000</v>
      </c>
      <c r="J2896" s="6">
        <v>45000</v>
      </c>
      <c r="K2896" s="37" t="s">
        <v>4667</v>
      </c>
      <c r="L2896" s="119"/>
      <c r="M2896" s="3"/>
    </row>
    <row r="2897" spans="1:13" s="4" customFormat="1" ht="25.5" x14ac:dyDescent="0.25">
      <c r="A2897" s="4" t="s">
        <v>4869</v>
      </c>
      <c r="B2897" s="4" t="s">
        <v>50</v>
      </c>
      <c r="C2897" s="37" t="s">
        <v>4667</v>
      </c>
      <c r="D2897" s="35">
        <v>2929</v>
      </c>
      <c r="E2897" s="4" t="s">
        <v>4870</v>
      </c>
      <c r="F2897" s="5">
        <v>39605</v>
      </c>
      <c r="H2897" s="4" t="s">
        <v>40</v>
      </c>
      <c r="I2897" s="6">
        <v>3870</v>
      </c>
      <c r="J2897" s="6">
        <v>1935</v>
      </c>
      <c r="K2897" s="37" t="s">
        <v>4667</v>
      </c>
      <c r="L2897" s="119"/>
      <c r="M2897" s="3"/>
    </row>
    <row r="2898" spans="1:13" s="4" customFormat="1" x14ac:dyDescent="0.25">
      <c r="A2898" s="4" t="s">
        <v>4871</v>
      </c>
      <c r="B2898" s="4" t="s">
        <v>90</v>
      </c>
      <c r="C2898" s="37" t="s">
        <v>4667</v>
      </c>
      <c r="D2898" s="35">
        <v>2930</v>
      </c>
      <c r="E2898" s="4" t="s">
        <v>4872</v>
      </c>
      <c r="F2898" s="5">
        <v>39605</v>
      </c>
      <c r="H2898" s="4" t="s">
        <v>40</v>
      </c>
      <c r="I2898" s="6">
        <v>10200</v>
      </c>
      <c r="J2898" s="6">
        <v>5100</v>
      </c>
      <c r="K2898" s="37" t="s">
        <v>4667</v>
      </c>
      <c r="L2898" s="119"/>
      <c r="M2898" s="3"/>
    </row>
    <row r="2899" spans="1:13" s="4" customFormat="1" ht="38.25" x14ac:dyDescent="0.25">
      <c r="A2899" s="4" t="s">
        <v>4873</v>
      </c>
      <c r="B2899" s="4" t="s">
        <v>38</v>
      </c>
      <c r="C2899" s="37" t="s">
        <v>4667</v>
      </c>
      <c r="D2899" s="35">
        <v>5562</v>
      </c>
      <c r="E2899" s="4" t="s">
        <v>4874</v>
      </c>
      <c r="F2899" s="5">
        <v>39814</v>
      </c>
      <c r="H2899" s="4" t="s">
        <v>40</v>
      </c>
      <c r="I2899" s="6">
        <v>12818.95</v>
      </c>
      <c r="J2899" s="6">
        <v>12818.95</v>
      </c>
      <c r="K2899" s="37" t="s">
        <v>4667</v>
      </c>
      <c r="L2899" s="119"/>
      <c r="M2899" s="3"/>
    </row>
    <row r="2900" spans="1:13" s="4" customFormat="1" ht="63.75" x14ac:dyDescent="0.25">
      <c r="A2900" s="4" t="s">
        <v>4875</v>
      </c>
      <c r="B2900" s="4" t="s">
        <v>38</v>
      </c>
      <c r="C2900" s="37" t="s">
        <v>4667</v>
      </c>
      <c r="D2900" s="35">
        <v>5565</v>
      </c>
      <c r="E2900" s="4" t="s">
        <v>4876</v>
      </c>
      <c r="F2900" s="5">
        <v>39814</v>
      </c>
      <c r="H2900" s="4" t="s">
        <v>40</v>
      </c>
      <c r="I2900" s="6">
        <v>27828.05</v>
      </c>
      <c r="J2900" s="6">
        <f>19463.65+8364.4</f>
        <v>27828.050000000003</v>
      </c>
      <c r="K2900" s="37" t="s">
        <v>4667</v>
      </c>
      <c r="L2900" s="119"/>
      <c r="M2900" s="3"/>
    </row>
    <row r="2901" spans="1:13" s="4" customFormat="1" ht="51" x14ac:dyDescent="0.25">
      <c r="A2901" s="4" t="s">
        <v>2372</v>
      </c>
      <c r="B2901" s="4" t="s">
        <v>38</v>
      </c>
      <c r="C2901" s="37" t="s">
        <v>4667</v>
      </c>
      <c r="D2901" s="35">
        <v>5568</v>
      </c>
      <c r="E2901" s="4" t="s">
        <v>4877</v>
      </c>
      <c r="F2901" s="5">
        <v>39814</v>
      </c>
      <c r="H2901" s="4" t="s">
        <v>40</v>
      </c>
      <c r="I2901" s="6">
        <v>834.6</v>
      </c>
      <c r="J2901" s="6">
        <v>834.6</v>
      </c>
      <c r="K2901" s="37" t="s">
        <v>4667</v>
      </c>
      <c r="L2901" s="119"/>
      <c r="M2901" s="3"/>
    </row>
    <row r="2902" spans="1:13" s="4" customFormat="1" ht="25.5" x14ac:dyDescent="0.25">
      <c r="A2902" s="4" t="s">
        <v>4878</v>
      </c>
      <c r="B2902" s="4" t="s">
        <v>38</v>
      </c>
      <c r="C2902" s="37" t="s">
        <v>4667</v>
      </c>
      <c r="D2902" s="35">
        <v>5571</v>
      </c>
      <c r="E2902" s="4" t="s">
        <v>4879</v>
      </c>
      <c r="F2902" s="5">
        <v>39814</v>
      </c>
      <c r="H2902" s="4" t="s">
        <v>40</v>
      </c>
      <c r="I2902" s="6">
        <v>19000</v>
      </c>
      <c r="J2902" s="6">
        <v>19000</v>
      </c>
      <c r="K2902" s="37" t="s">
        <v>4667</v>
      </c>
      <c r="L2902" s="119"/>
      <c r="M2902" s="3"/>
    </row>
    <row r="2903" spans="1:13" s="4" customFormat="1" ht="89.25" x14ac:dyDescent="0.25">
      <c r="A2903" s="4" t="s">
        <v>4880</v>
      </c>
      <c r="B2903" s="4" t="s">
        <v>38</v>
      </c>
      <c r="C2903" s="37" t="s">
        <v>4667</v>
      </c>
      <c r="D2903" s="35">
        <v>5572</v>
      </c>
      <c r="E2903" s="7" t="s">
        <v>4881</v>
      </c>
      <c r="F2903" s="5">
        <v>39814</v>
      </c>
      <c r="H2903" s="4" t="s">
        <v>40</v>
      </c>
      <c r="I2903" s="6">
        <v>800.68</v>
      </c>
      <c r="J2903" s="6">
        <v>800.68</v>
      </c>
      <c r="K2903" s="37" t="s">
        <v>4667</v>
      </c>
      <c r="L2903" s="119"/>
      <c r="M2903" s="3"/>
    </row>
    <row r="2904" spans="1:13" s="4" customFormat="1" ht="51" x14ac:dyDescent="0.25">
      <c r="A2904" s="4" t="s">
        <v>4886</v>
      </c>
      <c r="B2904" s="4" t="s">
        <v>59</v>
      </c>
      <c r="C2904" s="37" t="s">
        <v>4667</v>
      </c>
      <c r="D2904" s="35">
        <v>5822</v>
      </c>
      <c r="E2904" s="4" t="s">
        <v>4887</v>
      </c>
      <c r="F2904" s="5">
        <v>39965</v>
      </c>
      <c r="H2904" s="4" t="s">
        <v>40</v>
      </c>
      <c r="I2904" s="6">
        <v>3750</v>
      </c>
      <c r="J2904" s="6">
        <v>3750</v>
      </c>
      <c r="K2904" s="37" t="s">
        <v>4667</v>
      </c>
      <c r="L2904" s="119"/>
      <c r="M2904" s="3"/>
    </row>
    <row r="2905" spans="1:13" s="4" customFormat="1" ht="25.5" x14ac:dyDescent="0.25">
      <c r="A2905" s="4" t="s">
        <v>4890</v>
      </c>
      <c r="B2905" s="4" t="s">
        <v>50</v>
      </c>
      <c r="C2905" s="37" t="s">
        <v>4667</v>
      </c>
      <c r="D2905" s="35">
        <v>5824</v>
      </c>
      <c r="E2905" s="4" t="s">
        <v>4891</v>
      </c>
      <c r="F2905" s="5">
        <v>39891</v>
      </c>
      <c r="H2905" s="4" t="s">
        <v>40</v>
      </c>
      <c r="I2905" s="6">
        <v>8958</v>
      </c>
      <c r="J2905" s="6">
        <v>4479</v>
      </c>
      <c r="K2905" s="37" t="s">
        <v>4667</v>
      </c>
      <c r="L2905" s="119"/>
      <c r="M2905" s="3"/>
    </row>
    <row r="2906" spans="1:13" s="4" customFormat="1" ht="38.25" x14ac:dyDescent="0.25">
      <c r="A2906" s="4" t="s">
        <v>4892</v>
      </c>
      <c r="B2906" s="4" t="s">
        <v>50</v>
      </c>
      <c r="C2906" s="37" t="s">
        <v>4667</v>
      </c>
      <c r="D2906" s="35">
        <v>5825</v>
      </c>
      <c r="E2906" s="4" t="s">
        <v>4893</v>
      </c>
      <c r="F2906" s="5">
        <v>39966</v>
      </c>
      <c r="H2906" s="4" t="s">
        <v>40</v>
      </c>
      <c r="I2906" s="6">
        <v>30540</v>
      </c>
      <c r="J2906" s="6">
        <v>15270</v>
      </c>
      <c r="K2906" s="37" t="s">
        <v>4667</v>
      </c>
      <c r="L2906" s="119"/>
      <c r="M2906" s="3"/>
    </row>
    <row r="2907" spans="1:13" s="4" customFormat="1" ht="25.5" x14ac:dyDescent="0.25">
      <c r="A2907" s="4" t="s">
        <v>4894</v>
      </c>
      <c r="B2907" s="4" t="s">
        <v>59</v>
      </c>
      <c r="C2907" s="37" t="s">
        <v>4667</v>
      </c>
      <c r="D2907" s="35">
        <v>5826</v>
      </c>
      <c r="E2907" s="4" t="s">
        <v>4895</v>
      </c>
      <c r="F2907" s="5">
        <v>39966</v>
      </c>
      <c r="H2907" s="4" t="s">
        <v>40</v>
      </c>
      <c r="I2907" s="6">
        <v>30000</v>
      </c>
      <c r="J2907" s="6">
        <v>30000</v>
      </c>
      <c r="K2907" s="37" t="s">
        <v>4667</v>
      </c>
      <c r="L2907" s="119"/>
      <c r="M2907" s="3"/>
    </row>
    <row r="2908" spans="1:13" s="4" customFormat="1" ht="38.25" x14ac:dyDescent="0.25">
      <c r="A2908" s="4" t="s">
        <v>4896</v>
      </c>
      <c r="B2908" s="4" t="s">
        <v>59</v>
      </c>
      <c r="C2908" s="37" t="s">
        <v>4667</v>
      </c>
      <c r="D2908" s="35">
        <v>5827</v>
      </c>
      <c r="E2908" s="4" t="s">
        <v>4897</v>
      </c>
      <c r="F2908" s="5">
        <v>40007</v>
      </c>
      <c r="H2908" s="4" t="s">
        <v>40</v>
      </c>
      <c r="I2908" s="6">
        <v>52500</v>
      </c>
      <c r="J2908" s="6">
        <v>52500</v>
      </c>
      <c r="K2908" s="37" t="s">
        <v>4667</v>
      </c>
      <c r="L2908" s="119"/>
      <c r="M2908" s="3"/>
    </row>
    <row r="2909" spans="1:13" s="4" customFormat="1" ht="51" x14ac:dyDescent="0.25">
      <c r="A2909" s="4" t="s">
        <v>4900</v>
      </c>
      <c r="B2909" s="4" t="s">
        <v>59</v>
      </c>
      <c r="C2909" s="37" t="s">
        <v>4667</v>
      </c>
      <c r="D2909" s="35">
        <v>5829</v>
      </c>
      <c r="E2909" s="4" t="s">
        <v>4901</v>
      </c>
      <c r="F2909" s="5">
        <v>40086</v>
      </c>
      <c r="H2909" s="4" t="s">
        <v>40</v>
      </c>
      <c r="I2909" s="6">
        <v>7500</v>
      </c>
      <c r="J2909" s="6">
        <v>7500</v>
      </c>
      <c r="K2909" s="37" t="s">
        <v>4667</v>
      </c>
      <c r="L2909" s="119"/>
      <c r="M2909" s="3"/>
    </row>
    <row r="2910" spans="1:13" s="4" customFormat="1" ht="63.75" x14ac:dyDescent="0.25">
      <c r="A2910" s="4" t="s">
        <v>4902</v>
      </c>
      <c r="B2910" s="4" t="s">
        <v>190</v>
      </c>
      <c r="C2910" s="37" t="s">
        <v>4667</v>
      </c>
      <c r="D2910" s="35">
        <v>6913</v>
      </c>
      <c r="E2910" s="4" t="s">
        <v>4903</v>
      </c>
      <c r="F2910" s="5">
        <v>40378</v>
      </c>
      <c r="H2910" s="4" t="s">
        <v>40</v>
      </c>
      <c r="I2910" s="6">
        <v>3500</v>
      </c>
      <c r="J2910" s="6">
        <v>3500</v>
      </c>
      <c r="K2910" s="37" t="s">
        <v>4667</v>
      </c>
      <c r="L2910" s="119"/>
      <c r="M2910" s="3"/>
    </row>
    <row r="2911" spans="1:13" s="4" customFormat="1" ht="38.25" x14ac:dyDescent="0.25">
      <c r="A2911" s="4" t="s">
        <v>4904</v>
      </c>
      <c r="B2911" s="4" t="s">
        <v>190</v>
      </c>
      <c r="C2911" s="37" t="s">
        <v>4667</v>
      </c>
      <c r="D2911" s="35">
        <v>6914</v>
      </c>
      <c r="E2911" s="4" t="s">
        <v>4905</v>
      </c>
      <c r="F2911" s="5">
        <v>40252</v>
      </c>
      <c r="H2911" s="4" t="s">
        <v>40</v>
      </c>
      <c r="I2911" s="6">
        <v>11250</v>
      </c>
      <c r="J2911" s="6">
        <v>11250</v>
      </c>
      <c r="K2911" s="37" t="s">
        <v>4667</v>
      </c>
      <c r="L2911" s="119"/>
      <c r="M2911" s="3"/>
    </row>
    <row r="2912" spans="1:13" s="4" customFormat="1" ht="51" x14ac:dyDescent="0.25">
      <c r="A2912" s="4" t="s">
        <v>4906</v>
      </c>
      <c r="B2912" s="4" t="s">
        <v>183</v>
      </c>
      <c r="C2912" s="37" t="s">
        <v>4667</v>
      </c>
      <c r="D2912" s="35">
        <v>6921</v>
      </c>
      <c r="E2912" s="4" t="s">
        <v>4907</v>
      </c>
      <c r="F2912" s="5">
        <v>40452</v>
      </c>
      <c r="H2912" s="4" t="s">
        <v>40</v>
      </c>
      <c r="I2912" s="6">
        <v>8000</v>
      </c>
      <c r="J2912" s="6">
        <v>8000</v>
      </c>
      <c r="K2912" s="37" t="s">
        <v>4667</v>
      </c>
      <c r="L2912" s="119"/>
      <c r="M2912" s="3"/>
    </row>
    <row r="2913" spans="1:13" s="4" customFormat="1" ht="25.5" x14ac:dyDescent="0.25">
      <c r="A2913" s="4" t="s">
        <v>4910</v>
      </c>
      <c r="B2913" s="4" t="s">
        <v>183</v>
      </c>
      <c r="C2913" s="37" t="s">
        <v>4667</v>
      </c>
      <c r="D2913" s="35">
        <v>6926</v>
      </c>
      <c r="E2913" s="4" t="s">
        <v>4911</v>
      </c>
      <c r="F2913" s="5">
        <v>40305</v>
      </c>
      <c r="H2913" s="4" t="s">
        <v>40</v>
      </c>
      <c r="I2913" s="6">
        <v>10000</v>
      </c>
      <c r="J2913" s="6">
        <v>10000</v>
      </c>
      <c r="K2913" s="37" t="s">
        <v>4667</v>
      </c>
      <c r="L2913" s="119"/>
      <c r="M2913" s="3"/>
    </row>
    <row r="2914" spans="1:13" s="4" customFormat="1" ht="25.5" x14ac:dyDescent="0.25">
      <c r="A2914" s="4" t="s">
        <v>4912</v>
      </c>
      <c r="B2914" s="4" t="s">
        <v>59</v>
      </c>
      <c r="C2914" s="37" t="s">
        <v>4667</v>
      </c>
      <c r="D2914" s="35">
        <v>6934</v>
      </c>
      <c r="E2914" s="4" t="s">
        <v>4913</v>
      </c>
      <c r="F2914" s="5">
        <v>40154</v>
      </c>
      <c r="H2914" s="4" t="s">
        <v>40</v>
      </c>
      <c r="I2914" s="6">
        <v>7500</v>
      </c>
      <c r="J2914" s="6">
        <v>7500</v>
      </c>
      <c r="K2914" s="37" t="s">
        <v>4667</v>
      </c>
      <c r="L2914" s="119"/>
      <c r="M2914" s="3"/>
    </row>
    <row r="2915" spans="1:13" s="4" customFormat="1" ht="51" x14ac:dyDescent="0.25">
      <c r="A2915" s="4" t="s">
        <v>4914</v>
      </c>
      <c r="B2915" s="4" t="s">
        <v>190</v>
      </c>
      <c r="C2915" s="37" t="s">
        <v>4667</v>
      </c>
      <c r="D2915" s="35">
        <v>6939</v>
      </c>
      <c r="E2915" s="4" t="s">
        <v>4915</v>
      </c>
      <c r="F2915" s="5">
        <v>40179</v>
      </c>
      <c r="H2915" s="4" t="s">
        <v>40</v>
      </c>
      <c r="I2915" s="6">
        <v>10000</v>
      </c>
      <c r="J2915" s="6">
        <v>10000</v>
      </c>
      <c r="K2915" s="37" t="s">
        <v>4667</v>
      </c>
      <c r="L2915" s="119"/>
      <c r="M2915" s="3"/>
    </row>
    <row r="2916" spans="1:13" s="4" customFormat="1" ht="25.5" x14ac:dyDescent="0.25">
      <c r="A2916" s="4" t="s">
        <v>4916</v>
      </c>
      <c r="B2916" s="4" t="s">
        <v>90</v>
      </c>
      <c r="C2916" s="37" t="s">
        <v>4667</v>
      </c>
      <c r="D2916" s="35">
        <v>6949</v>
      </c>
      <c r="E2916" s="4" t="s">
        <v>4917</v>
      </c>
      <c r="F2916" s="5">
        <v>39814</v>
      </c>
      <c r="H2916" s="4" t="s">
        <v>40</v>
      </c>
      <c r="I2916" s="6">
        <v>11805</v>
      </c>
      <c r="J2916" s="6">
        <v>5100</v>
      </c>
      <c r="K2916" s="37" t="s">
        <v>4667</v>
      </c>
      <c r="L2916" s="119"/>
      <c r="M2916" s="3"/>
    </row>
    <row r="2917" spans="1:13" s="4" customFormat="1" ht="25.5" x14ac:dyDescent="0.25">
      <c r="A2917" s="4" t="s">
        <v>4920</v>
      </c>
      <c r="B2917" s="4" t="s">
        <v>90</v>
      </c>
      <c r="C2917" s="37" t="s">
        <v>4667</v>
      </c>
      <c r="D2917" s="35">
        <v>6955</v>
      </c>
      <c r="E2917" s="4" t="s">
        <v>4921</v>
      </c>
      <c r="F2917" s="5">
        <v>40452</v>
      </c>
      <c r="H2917" s="4" t="s">
        <v>40</v>
      </c>
      <c r="I2917" s="6">
        <v>21570</v>
      </c>
      <c r="J2917" s="6">
        <v>10785</v>
      </c>
      <c r="K2917" s="37" t="s">
        <v>4667</v>
      </c>
      <c r="L2917" s="119"/>
      <c r="M2917" s="3"/>
    </row>
    <row r="2918" spans="1:13" s="4" customFormat="1" ht="25.5" x14ac:dyDescent="0.25">
      <c r="A2918" s="4" t="s">
        <v>4922</v>
      </c>
      <c r="B2918" s="4" t="s">
        <v>190</v>
      </c>
      <c r="C2918" s="37" t="s">
        <v>4667</v>
      </c>
      <c r="D2918" s="35">
        <v>6957</v>
      </c>
      <c r="E2918" s="4" t="s">
        <v>4923</v>
      </c>
      <c r="F2918" s="5">
        <v>40375</v>
      </c>
      <c r="H2918" s="4" t="s">
        <v>40</v>
      </c>
      <c r="I2918" s="6">
        <v>90070</v>
      </c>
      <c r="J2918" s="6">
        <v>56285</v>
      </c>
      <c r="K2918" s="37" t="s">
        <v>4667</v>
      </c>
      <c r="L2918" s="119"/>
      <c r="M2918" s="3"/>
    </row>
    <row r="2919" spans="1:13" s="4" customFormat="1" ht="25.5" x14ac:dyDescent="0.25">
      <c r="A2919" s="4" t="s">
        <v>4924</v>
      </c>
      <c r="B2919" s="4" t="s">
        <v>90</v>
      </c>
      <c r="C2919" s="37" t="s">
        <v>4667</v>
      </c>
      <c r="D2919" s="35">
        <v>6958</v>
      </c>
      <c r="E2919" s="4" t="s">
        <v>4925</v>
      </c>
      <c r="F2919" s="5">
        <v>40252</v>
      </c>
      <c r="H2919" s="4" t="s">
        <v>40</v>
      </c>
      <c r="I2919" s="6">
        <v>8248</v>
      </c>
      <c r="J2919" s="6">
        <v>4124</v>
      </c>
      <c r="K2919" s="37" t="s">
        <v>4667</v>
      </c>
      <c r="L2919" s="119"/>
      <c r="M2919" s="3"/>
    </row>
    <row r="2920" spans="1:13" s="4" customFormat="1" ht="25.5" x14ac:dyDescent="0.25">
      <c r="A2920" s="4" t="s">
        <v>4926</v>
      </c>
      <c r="B2920" s="4" t="s">
        <v>190</v>
      </c>
      <c r="C2920" s="37" t="s">
        <v>4667</v>
      </c>
      <c r="D2920" s="35">
        <v>6961</v>
      </c>
      <c r="E2920" s="4" t="s">
        <v>4927</v>
      </c>
      <c r="F2920" s="5">
        <v>40305</v>
      </c>
      <c r="H2920" s="4" t="s">
        <v>40</v>
      </c>
      <c r="I2920" s="6">
        <v>20000</v>
      </c>
      <c r="J2920" s="6">
        <v>10000</v>
      </c>
      <c r="K2920" s="37" t="s">
        <v>4667</v>
      </c>
      <c r="L2920" s="119"/>
      <c r="M2920" s="3"/>
    </row>
    <row r="2921" spans="1:13" s="4" customFormat="1" ht="63.75" x14ac:dyDescent="0.25">
      <c r="A2921" s="4" t="s">
        <v>4928</v>
      </c>
      <c r="B2921" s="4" t="s">
        <v>190</v>
      </c>
      <c r="C2921" s="37" t="s">
        <v>4667</v>
      </c>
      <c r="D2921" s="35">
        <v>6965</v>
      </c>
      <c r="E2921" s="4" t="s">
        <v>4929</v>
      </c>
      <c r="F2921" s="5">
        <v>40378</v>
      </c>
      <c r="H2921" s="4" t="s">
        <v>40</v>
      </c>
      <c r="I2921" s="6">
        <v>116956</v>
      </c>
      <c r="J2921" s="6">
        <v>58483</v>
      </c>
      <c r="K2921" s="37" t="s">
        <v>4667</v>
      </c>
      <c r="L2921" s="119"/>
      <c r="M2921" s="3"/>
    </row>
    <row r="2922" spans="1:13" s="4" customFormat="1" ht="76.5" x14ac:dyDescent="0.25">
      <c r="A2922" s="4" t="s">
        <v>4932</v>
      </c>
      <c r="B2922" s="4" t="s">
        <v>190</v>
      </c>
      <c r="C2922" s="37" t="s">
        <v>4667</v>
      </c>
      <c r="D2922" s="35">
        <v>6973</v>
      </c>
      <c r="E2922" s="4" t="s">
        <v>4933</v>
      </c>
      <c r="F2922" s="5">
        <v>40452</v>
      </c>
      <c r="H2922" s="4" t="s">
        <v>40</v>
      </c>
      <c r="I2922" s="6">
        <v>37000</v>
      </c>
      <c r="J2922" s="6">
        <v>28500</v>
      </c>
      <c r="K2922" s="37" t="s">
        <v>4667</v>
      </c>
      <c r="L2922" s="119"/>
      <c r="M2922" s="3"/>
    </row>
    <row r="2923" spans="1:13" s="4" customFormat="1" ht="38.25" x14ac:dyDescent="0.25">
      <c r="A2923" s="4" t="s">
        <v>4934</v>
      </c>
      <c r="B2923" s="4" t="s">
        <v>190</v>
      </c>
      <c r="C2923" s="37" t="s">
        <v>4667</v>
      </c>
      <c r="D2923" s="35">
        <v>6978</v>
      </c>
      <c r="E2923" s="4" t="s">
        <v>4935</v>
      </c>
      <c r="F2923" s="5">
        <v>40252</v>
      </c>
      <c r="H2923" s="4" t="s">
        <v>40</v>
      </c>
      <c r="I2923" s="6">
        <v>20000</v>
      </c>
      <c r="J2923" s="6">
        <v>20000</v>
      </c>
      <c r="K2923" s="37" t="s">
        <v>4667</v>
      </c>
      <c r="L2923" s="119"/>
      <c r="M2923" s="3"/>
    </row>
    <row r="2924" spans="1:13" s="4" customFormat="1" ht="76.5" x14ac:dyDescent="0.25">
      <c r="A2924" s="4" t="s">
        <v>4936</v>
      </c>
      <c r="B2924" s="4" t="s">
        <v>59</v>
      </c>
      <c r="C2924" s="37" t="s">
        <v>4667</v>
      </c>
      <c r="D2924" s="35">
        <v>6980</v>
      </c>
      <c r="E2924" s="4" t="s">
        <v>4937</v>
      </c>
      <c r="F2924" s="5">
        <v>40154</v>
      </c>
      <c r="H2924" s="4" t="s">
        <v>40</v>
      </c>
      <c r="I2924" s="6">
        <v>7500</v>
      </c>
      <c r="J2924" s="6">
        <v>7500</v>
      </c>
      <c r="K2924" s="37" t="s">
        <v>4667</v>
      </c>
      <c r="L2924" s="119"/>
      <c r="M2924" s="3"/>
    </row>
    <row r="2925" spans="1:13" s="4" customFormat="1" ht="25.5" x14ac:dyDescent="0.25">
      <c r="A2925" s="4" t="s">
        <v>4938</v>
      </c>
      <c r="B2925" s="4" t="s">
        <v>190</v>
      </c>
      <c r="C2925" s="37" t="s">
        <v>4667</v>
      </c>
      <c r="D2925" s="35">
        <v>6982</v>
      </c>
      <c r="E2925" s="4" t="s">
        <v>4939</v>
      </c>
      <c r="F2925" s="5">
        <v>40452</v>
      </c>
      <c r="H2925" s="4" t="s">
        <v>40</v>
      </c>
      <c r="I2925" s="6">
        <v>10000</v>
      </c>
      <c r="J2925" s="6">
        <v>10000</v>
      </c>
      <c r="K2925" s="37" t="s">
        <v>4667</v>
      </c>
      <c r="L2925" s="119"/>
      <c r="M2925" s="3"/>
    </row>
    <row r="2926" spans="1:13" s="4" customFormat="1" ht="38.25" x14ac:dyDescent="0.25">
      <c r="A2926" s="4" t="s">
        <v>4940</v>
      </c>
      <c r="B2926" s="4" t="s">
        <v>38</v>
      </c>
      <c r="C2926" s="37" t="s">
        <v>4667</v>
      </c>
      <c r="D2926" s="35">
        <v>7017</v>
      </c>
      <c r="E2926" s="4" t="s">
        <v>4941</v>
      </c>
      <c r="F2926" s="5">
        <v>40179</v>
      </c>
      <c r="H2926" s="4" t="s">
        <v>40</v>
      </c>
      <c r="I2926" s="6">
        <v>6300</v>
      </c>
      <c r="J2926" s="6">
        <v>6300</v>
      </c>
      <c r="K2926" s="37" t="s">
        <v>4667</v>
      </c>
      <c r="L2926" s="119"/>
      <c r="M2926" s="3"/>
    </row>
    <row r="2927" spans="1:13" s="4" customFormat="1" ht="76.5" x14ac:dyDescent="0.25">
      <c r="A2927" s="4" t="s">
        <v>4942</v>
      </c>
      <c r="B2927" s="4" t="s">
        <v>38</v>
      </c>
      <c r="C2927" s="37" t="s">
        <v>4667</v>
      </c>
      <c r="D2927" s="35">
        <v>8710</v>
      </c>
      <c r="E2927" s="4" t="s">
        <v>4943</v>
      </c>
      <c r="F2927" s="5">
        <v>40544</v>
      </c>
      <c r="H2927" s="4" t="s">
        <v>40</v>
      </c>
      <c r="I2927" s="6">
        <v>1210</v>
      </c>
      <c r="J2927" s="6">
        <v>1210</v>
      </c>
      <c r="K2927" s="37" t="s">
        <v>4667</v>
      </c>
      <c r="L2927" s="119"/>
      <c r="M2927" s="3"/>
    </row>
    <row r="2928" spans="1:13" s="4" customFormat="1" ht="25.5" x14ac:dyDescent="0.25">
      <c r="A2928" s="4" t="s">
        <v>4944</v>
      </c>
      <c r="B2928" s="4" t="s">
        <v>38</v>
      </c>
      <c r="C2928" s="37" t="s">
        <v>4667</v>
      </c>
      <c r="D2928" s="35">
        <v>8711</v>
      </c>
      <c r="E2928" s="4" t="s">
        <v>4945</v>
      </c>
      <c r="F2928" s="5">
        <v>40544</v>
      </c>
      <c r="H2928" s="4" t="s">
        <v>40</v>
      </c>
      <c r="I2928" s="6">
        <v>1200.5</v>
      </c>
      <c r="J2928" s="6">
        <v>1200.5</v>
      </c>
      <c r="K2928" s="37" t="s">
        <v>4667</v>
      </c>
      <c r="L2928" s="119"/>
      <c r="M2928" s="3"/>
    </row>
    <row r="2929" spans="1:13" s="4" customFormat="1" ht="51" x14ac:dyDescent="0.25">
      <c r="A2929" s="4" t="s">
        <v>4946</v>
      </c>
      <c r="B2929" s="4" t="s">
        <v>38</v>
      </c>
      <c r="C2929" s="37" t="s">
        <v>4667</v>
      </c>
      <c r="D2929" s="35">
        <v>8713</v>
      </c>
      <c r="E2929" s="4" t="s">
        <v>4947</v>
      </c>
      <c r="F2929" s="5">
        <v>40544</v>
      </c>
      <c r="H2929" s="4" t="s">
        <v>40</v>
      </c>
      <c r="I2929" s="6">
        <v>16826.28</v>
      </c>
      <c r="J2929" s="6">
        <f>4000+12826.28</f>
        <v>16826.28</v>
      </c>
      <c r="K2929" s="37" t="s">
        <v>4667</v>
      </c>
      <c r="L2929" s="119"/>
      <c r="M2929" s="3"/>
    </row>
    <row r="2930" spans="1:13" s="4" customFormat="1" ht="38.25" x14ac:dyDescent="0.25">
      <c r="A2930" s="4" t="s">
        <v>4948</v>
      </c>
      <c r="B2930" s="4" t="s">
        <v>38</v>
      </c>
      <c r="C2930" s="37" t="s">
        <v>4667</v>
      </c>
      <c r="D2930" s="35">
        <v>8715</v>
      </c>
      <c r="E2930" s="4" t="s">
        <v>4949</v>
      </c>
      <c r="F2930" s="5">
        <v>40544</v>
      </c>
      <c r="H2930" s="4" t="s">
        <v>40</v>
      </c>
      <c r="I2930" s="6">
        <v>14167.46</v>
      </c>
      <c r="J2930" s="6">
        <f>5759.39+8408.07</f>
        <v>14167.46</v>
      </c>
      <c r="K2930" s="37" t="s">
        <v>4667</v>
      </c>
      <c r="L2930" s="119"/>
      <c r="M2930" s="3"/>
    </row>
    <row r="2931" spans="1:13" s="4" customFormat="1" ht="76.5" x14ac:dyDescent="0.25">
      <c r="A2931" s="4" t="s">
        <v>4950</v>
      </c>
      <c r="B2931" s="4" t="s">
        <v>38</v>
      </c>
      <c r="C2931" s="37" t="s">
        <v>4667</v>
      </c>
      <c r="D2931" s="35">
        <v>8716</v>
      </c>
      <c r="E2931" s="4" t="s">
        <v>4951</v>
      </c>
      <c r="F2931" s="5">
        <v>40544</v>
      </c>
      <c r="H2931" s="4" t="s">
        <v>40</v>
      </c>
      <c r="I2931" s="6">
        <v>3817.76</v>
      </c>
      <c r="J2931" s="6">
        <v>3817.76</v>
      </c>
      <c r="K2931" s="37" t="s">
        <v>4667</v>
      </c>
      <c r="L2931" s="119"/>
      <c r="M2931" s="3"/>
    </row>
    <row r="2932" spans="1:13" s="4" customFormat="1" ht="38.25" x14ac:dyDescent="0.25">
      <c r="A2932" s="4" t="s">
        <v>4952</v>
      </c>
      <c r="B2932" s="4" t="s">
        <v>190</v>
      </c>
      <c r="C2932" s="37" t="s">
        <v>4667</v>
      </c>
      <c r="D2932" s="35">
        <v>8754</v>
      </c>
      <c r="E2932" s="4" t="s">
        <v>4953</v>
      </c>
      <c r="F2932" s="5">
        <v>40553</v>
      </c>
      <c r="H2932" s="4" t="s">
        <v>40</v>
      </c>
      <c r="I2932" s="6">
        <v>29438</v>
      </c>
      <c r="J2932" s="6">
        <v>17719</v>
      </c>
      <c r="K2932" s="37" t="s">
        <v>4667</v>
      </c>
      <c r="L2932" s="119"/>
      <c r="M2932" s="3"/>
    </row>
    <row r="2933" spans="1:13" s="4" customFormat="1" ht="38.25" x14ac:dyDescent="0.25">
      <c r="A2933" s="4" t="s">
        <v>4954</v>
      </c>
      <c r="B2933" s="4" t="s">
        <v>183</v>
      </c>
      <c r="C2933" s="37" t="s">
        <v>4667</v>
      </c>
      <c r="D2933" s="35">
        <v>8784</v>
      </c>
      <c r="E2933" s="4" t="s">
        <v>4955</v>
      </c>
      <c r="F2933" s="5">
        <v>40550</v>
      </c>
      <c r="H2933" s="4" t="s">
        <v>40</v>
      </c>
      <c r="I2933" s="6">
        <v>25000</v>
      </c>
      <c r="J2933" s="6">
        <v>25000</v>
      </c>
      <c r="K2933" s="37" t="s">
        <v>4667</v>
      </c>
      <c r="L2933" s="119"/>
      <c r="M2933" s="3"/>
    </row>
    <row r="2934" spans="1:13" s="4" customFormat="1" ht="25.5" x14ac:dyDescent="0.25">
      <c r="A2934" s="4" t="s">
        <v>4956</v>
      </c>
      <c r="B2934" s="4" t="s">
        <v>190</v>
      </c>
      <c r="C2934" s="37" t="s">
        <v>4667</v>
      </c>
      <c r="D2934" s="35">
        <v>8792</v>
      </c>
      <c r="E2934" s="4" t="s">
        <v>4957</v>
      </c>
      <c r="F2934" s="5">
        <v>40557</v>
      </c>
      <c r="H2934" s="4" t="s">
        <v>40</v>
      </c>
      <c r="I2934" s="6">
        <v>100000</v>
      </c>
      <c r="J2934" s="6">
        <v>50000</v>
      </c>
      <c r="K2934" s="37" t="s">
        <v>4667</v>
      </c>
      <c r="L2934" s="119"/>
      <c r="M2934" s="3"/>
    </row>
    <row r="2935" spans="1:13" s="4" customFormat="1" ht="38.25" x14ac:dyDescent="0.25">
      <c r="A2935" s="4" t="s">
        <v>4958</v>
      </c>
      <c r="B2935" s="4" t="s">
        <v>183</v>
      </c>
      <c r="C2935" s="37" t="s">
        <v>4667</v>
      </c>
      <c r="D2935" s="35">
        <v>8802</v>
      </c>
      <c r="E2935" s="4" t="s">
        <v>4959</v>
      </c>
      <c r="F2935" s="5">
        <v>40553</v>
      </c>
      <c r="H2935" s="4" t="s">
        <v>40</v>
      </c>
      <c r="I2935" s="6">
        <v>7500</v>
      </c>
      <c r="J2935" s="6">
        <v>7500</v>
      </c>
      <c r="K2935" s="37" t="s">
        <v>4667</v>
      </c>
      <c r="L2935" s="119"/>
      <c r="M2935" s="3"/>
    </row>
    <row r="2936" spans="1:13" s="4" customFormat="1" ht="38.25" x14ac:dyDescent="0.25">
      <c r="A2936" s="4" t="s">
        <v>4960</v>
      </c>
      <c r="B2936" s="4" t="s">
        <v>190</v>
      </c>
      <c r="C2936" s="37" t="s">
        <v>4667</v>
      </c>
      <c r="D2936" s="35">
        <v>8804</v>
      </c>
      <c r="E2936" s="4" t="s">
        <v>4961</v>
      </c>
      <c r="F2936" s="5">
        <v>40399</v>
      </c>
      <c r="H2936" s="4" t="s">
        <v>40</v>
      </c>
      <c r="I2936" s="6">
        <v>37276</v>
      </c>
      <c r="J2936" s="6">
        <v>18638</v>
      </c>
      <c r="K2936" s="37" t="s">
        <v>4667</v>
      </c>
      <c r="L2936" s="119"/>
      <c r="M2936" s="3"/>
    </row>
    <row r="2937" spans="1:13" s="4" customFormat="1" ht="51" x14ac:dyDescent="0.25">
      <c r="A2937" s="4" t="s">
        <v>4962</v>
      </c>
      <c r="B2937" s="4" t="s">
        <v>183</v>
      </c>
      <c r="C2937" s="37" t="s">
        <v>4667</v>
      </c>
      <c r="D2937" s="35">
        <v>8805</v>
      </c>
      <c r="E2937" s="4" t="s">
        <v>4963</v>
      </c>
      <c r="F2937" s="5">
        <v>40556</v>
      </c>
      <c r="H2937" s="4" t="s">
        <v>40</v>
      </c>
      <c r="I2937" s="6">
        <v>17248</v>
      </c>
      <c r="J2937" s="6">
        <v>12374</v>
      </c>
      <c r="K2937" s="37" t="s">
        <v>4667</v>
      </c>
      <c r="L2937" s="119"/>
      <c r="M2937" s="3"/>
    </row>
    <row r="2938" spans="1:13" s="4" customFormat="1" ht="102" x14ac:dyDescent="0.25">
      <c r="A2938" s="4" t="s">
        <v>4964</v>
      </c>
      <c r="B2938" s="4" t="s">
        <v>183</v>
      </c>
      <c r="C2938" s="37" t="s">
        <v>4667</v>
      </c>
      <c r="D2938" s="35">
        <v>8809</v>
      </c>
      <c r="E2938" s="7" t="s">
        <v>4965</v>
      </c>
      <c r="F2938" s="5">
        <v>40553</v>
      </c>
      <c r="H2938" s="4" t="s">
        <v>40</v>
      </c>
      <c r="I2938" s="6">
        <v>46600</v>
      </c>
      <c r="J2938" s="6">
        <v>43300</v>
      </c>
      <c r="K2938" s="37" t="s">
        <v>4667</v>
      </c>
      <c r="L2938" s="119"/>
      <c r="M2938" s="3"/>
    </row>
    <row r="2939" spans="1:13" s="4" customFormat="1" ht="38.25" x14ac:dyDescent="0.25">
      <c r="A2939" s="4" t="s">
        <v>4968</v>
      </c>
      <c r="B2939" s="4" t="s">
        <v>183</v>
      </c>
      <c r="C2939" s="37" t="s">
        <v>4667</v>
      </c>
      <c r="D2939" s="35">
        <v>8814</v>
      </c>
      <c r="E2939" s="4" t="s">
        <v>4969</v>
      </c>
      <c r="F2939" s="5">
        <v>40553</v>
      </c>
      <c r="H2939" s="4" t="s">
        <v>40</v>
      </c>
      <c r="I2939" s="6">
        <v>10000</v>
      </c>
      <c r="J2939" s="6">
        <v>10000</v>
      </c>
      <c r="K2939" s="37" t="s">
        <v>4667</v>
      </c>
      <c r="L2939" s="119"/>
      <c r="M2939" s="3"/>
    </row>
    <row r="2940" spans="1:13" s="4" customFormat="1" ht="127.5" x14ac:dyDescent="0.25">
      <c r="A2940" s="4" t="s">
        <v>4970</v>
      </c>
      <c r="B2940" s="4" t="s">
        <v>183</v>
      </c>
      <c r="C2940" s="37" t="s">
        <v>4667</v>
      </c>
      <c r="D2940" s="35">
        <v>8908</v>
      </c>
      <c r="E2940" s="7" t="s">
        <v>4971</v>
      </c>
      <c r="F2940" s="5">
        <v>40833</v>
      </c>
      <c r="H2940" s="4" t="s">
        <v>40</v>
      </c>
      <c r="I2940" s="6">
        <v>48000</v>
      </c>
      <c r="J2940" s="6">
        <v>39000</v>
      </c>
      <c r="K2940" s="37" t="s">
        <v>4667</v>
      </c>
      <c r="L2940" s="119"/>
      <c r="M2940" s="3"/>
    </row>
    <row r="2941" spans="1:13" s="4" customFormat="1" ht="153" x14ac:dyDescent="0.25">
      <c r="A2941" s="4" t="s">
        <v>4972</v>
      </c>
      <c r="B2941" s="4" t="s">
        <v>190</v>
      </c>
      <c r="C2941" s="37" t="s">
        <v>4667</v>
      </c>
      <c r="D2941" s="35">
        <v>8909</v>
      </c>
      <c r="E2941" s="7" t="s">
        <v>4973</v>
      </c>
      <c r="F2941" s="5">
        <v>40830</v>
      </c>
      <c r="H2941" s="4" t="s">
        <v>40</v>
      </c>
      <c r="I2941" s="6">
        <v>68602</v>
      </c>
      <c r="J2941" s="6">
        <v>52301</v>
      </c>
      <c r="K2941" s="37" t="s">
        <v>4667</v>
      </c>
      <c r="L2941" s="119"/>
      <c r="M2941" s="3"/>
    </row>
    <row r="2942" spans="1:13" s="4" customFormat="1" ht="38.25" x14ac:dyDescent="0.25">
      <c r="A2942" s="4" t="s">
        <v>4974</v>
      </c>
      <c r="B2942" s="4" t="s">
        <v>90</v>
      </c>
      <c r="C2942" s="37" t="s">
        <v>4667</v>
      </c>
      <c r="D2942" s="35">
        <v>8913</v>
      </c>
      <c r="E2942" s="4" t="s">
        <v>4975</v>
      </c>
      <c r="F2942" s="5">
        <v>40543</v>
      </c>
      <c r="H2942" s="4" t="s">
        <v>40</v>
      </c>
      <c r="I2942" s="6">
        <v>28680</v>
      </c>
      <c r="J2942" s="6">
        <v>14340</v>
      </c>
      <c r="K2942" s="37" t="s">
        <v>4667</v>
      </c>
      <c r="L2942" s="119"/>
      <c r="M2942" s="3"/>
    </row>
    <row r="2943" spans="1:13" s="4" customFormat="1" ht="51" x14ac:dyDescent="0.25">
      <c r="A2943" s="4" t="s">
        <v>4976</v>
      </c>
      <c r="B2943" s="4" t="s">
        <v>183</v>
      </c>
      <c r="C2943" s="37" t="s">
        <v>4667</v>
      </c>
      <c r="D2943" s="35">
        <v>8914</v>
      </c>
      <c r="E2943" s="4" t="s">
        <v>4977</v>
      </c>
      <c r="F2943" s="5">
        <v>40544</v>
      </c>
      <c r="H2943" s="4" t="s">
        <v>40</v>
      </c>
      <c r="I2943" s="6">
        <v>22500</v>
      </c>
      <c r="J2943" s="6">
        <v>22500</v>
      </c>
      <c r="K2943" s="37" t="s">
        <v>4667</v>
      </c>
      <c r="L2943" s="119"/>
      <c r="M2943" s="3"/>
    </row>
    <row r="2944" spans="1:13" s="4" customFormat="1" ht="76.5" x14ac:dyDescent="0.25">
      <c r="A2944" s="4" t="s">
        <v>4976</v>
      </c>
      <c r="B2944" s="4" t="s">
        <v>183</v>
      </c>
      <c r="C2944" s="37" t="s">
        <v>4667</v>
      </c>
      <c r="D2944" s="35">
        <v>8915</v>
      </c>
      <c r="E2944" s="4" t="s">
        <v>4978</v>
      </c>
      <c r="F2944" s="5">
        <v>40831</v>
      </c>
      <c r="H2944" s="4" t="s">
        <v>40</v>
      </c>
      <c r="I2944" s="6">
        <v>22500</v>
      </c>
      <c r="J2944" s="6">
        <v>22500</v>
      </c>
      <c r="K2944" s="37" t="s">
        <v>4667</v>
      </c>
      <c r="L2944" s="119"/>
      <c r="M2944" s="3"/>
    </row>
    <row r="2945" spans="1:13" s="4" customFormat="1" ht="38.25" x14ac:dyDescent="0.25">
      <c r="A2945" s="4" t="s">
        <v>4979</v>
      </c>
      <c r="B2945" s="4" t="s">
        <v>38</v>
      </c>
      <c r="C2945" s="37" t="s">
        <v>4667</v>
      </c>
      <c r="D2945" s="35">
        <v>9262</v>
      </c>
      <c r="E2945" s="4" t="s">
        <v>4980</v>
      </c>
      <c r="F2945" s="5">
        <v>40544</v>
      </c>
      <c r="H2945" s="4" t="s">
        <v>40</v>
      </c>
      <c r="I2945" s="6">
        <v>11910</v>
      </c>
      <c r="J2945" s="6">
        <v>5955</v>
      </c>
      <c r="K2945" s="37" t="s">
        <v>4667</v>
      </c>
      <c r="L2945" s="119"/>
      <c r="M2945" s="3"/>
    </row>
    <row r="2946" spans="1:13" s="4" customFormat="1" ht="25.5" x14ac:dyDescent="0.25">
      <c r="A2946" s="4" t="s">
        <v>4983</v>
      </c>
      <c r="B2946" s="4" t="s">
        <v>183</v>
      </c>
      <c r="C2946" s="37" t="s">
        <v>4667</v>
      </c>
      <c r="D2946" s="35">
        <v>10593</v>
      </c>
      <c r="E2946" s="4" t="s">
        <v>4984</v>
      </c>
      <c r="F2946" s="5">
        <v>40820</v>
      </c>
      <c r="H2946" s="4" t="s">
        <v>40</v>
      </c>
      <c r="I2946" s="6">
        <v>20000</v>
      </c>
      <c r="J2946" s="6">
        <v>17500</v>
      </c>
      <c r="K2946" s="37" t="s">
        <v>4667</v>
      </c>
      <c r="L2946" s="119"/>
      <c r="M2946" s="3"/>
    </row>
    <row r="2947" spans="1:13" s="4" customFormat="1" ht="76.5" x14ac:dyDescent="0.25">
      <c r="A2947" s="4" t="s">
        <v>4985</v>
      </c>
      <c r="B2947" s="4" t="s">
        <v>38</v>
      </c>
      <c r="C2947" s="37" t="s">
        <v>4667</v>
      </c>
      <c r="D2947" s="35">
        <v>10610</v>
      </c>
      <c r="E2947" s="4" t="s">
        <v>4986</v>
      </c>
      <c r="F2947" s="5">
        <v>40909</v>
      </c>
      <c r="H2947" s="4" t="s">
        <v>40</v>
      </c>
      <c r="I2947" s="6">
        <v>5000</v>
      </c>
      <c r="J2947" s="6">
        <v>5000</v>
      </c>
      <c r="K2947" s="37" t="s">
        <v>4667</v>
      </c>
      <c r="L2947" s="119"/>
      <c r="M2947" s="3"/>
    </row>
    <row r="2948" spans="1:13" s="4" customFormat="1" ht="25.5" x14ac:dyDescent="0.25">
      <c r="A2948" s="4" t="s">
        <v>4987</v>
      </c>
      <c r="B2948" s="4" t="s">
        <v>190</v>
      </c>
      <c r="C2948" s="37" t="s">
        <v>4667</v>
      </c>
      <c r="D2948" s="35">
        <v>10624</v>
      </c>
      <c r="E2948" s="4" t="s">
        <v>4988</v>
      </c>
      <c r="F2948" s="5">
        <v>41008</v>
      </c>
      <c r="H2948" s="4" t="s">
        <v>40</v>
      </c>
      <c r="I2948" s="6">
        <v>10000</v>
      </c>
      <c r="J2948" s="6">
        <v>10000</v>
      </c>
      <c r="K2948" s="37" t="s">
        <v>4667</v>
      </c>
      <c r="L2948" s="119"/>
      <c r="M2948" s="3"/>
    </row>
    <row r="2949" spans="1:13" s="4" customFormat="1" ht="38.25" x14ac:dyDescent="0.25">
      <c r="A2949" s="4" t="s">
        <v>4989</v>
      </c>
      <c r="B2949" s="4" t="s">
        <v>190</v>
      </c>
      <c r="C2949" s="37" t="s">
        <v>4667</v>
      </c>
      <c r="D2949" s="35">
        <v>10625</v>
      </c>
      <c r="E2949" s="4" t="s">
        <v>4990</v>
      </c>
      <c r="F2949" s="5">
        <v>41050</v>
      </c>
      <c r="H2949" s="4" t="s">
        <v>40</v>
      </c>
      <c r="I2949" s="6">
        <v>30000</v>
      </c>
      <c r="J2949" s="6">
        <f>15000+15000</f>
        <v>30000</v>
      </c>
      <c r="K2949" s="37" t="s">
        <v>4667</v>
      </c>
      <c r="L2949" s="119"/>
      <c r="M2949" s="3"/>
    </row>
    <row r="2950" spans="1:13" s="4" customFormat="1" ht="38.25" x14ac:dyDescent="0.25">
      <c r="A2950" s="4" t="s">
        <v>4991</v>
      </c>
      <c r="B2950" s="4" t="s">
        <v>190</v>
      </c>
      <c r="C2950" s="37" t="s">
        <v>4667</v>
      </c>
      <c r="D2950" s="35">
        <v>10626</v>
      </c>
      <c r="E2950" s="4" t="s">
        <v>4992</v>
      </c>
      <c r="F2950" s="5">
        <v>40952</v>
      </c>
      <c r="H2950" s="4" t="s">
        <v>40</v>
      </c>
      <c r="I2950" s="6">
        <v>140000</v>
      </c>
      <c r="J2950" s="6">
        <v>70000</v>
      </c>
      <c r="K2950" s="37" t="s">
        <v>4667</v>
      </c>
      <c r="L2950" s="119"/>
      <c r="M2950" s="3"/>
    </row>
    <row r="2951" spans="1:13" s="4" customFormat="1" ht="25.5" x14ac:dyDescent="0.25">
      <c r="A2951" s="4" t="s">
        <v>4995</v>
      </c>
      <c r="B2951" s="4" t="s">
        <v>190</v>
      </c>
      <c r="C2951" s="37" t="s">
        <v>4667</v>
      </c>
      <c r="D2951" s="35">
        <v>10628</v>
      </c>
      <c r="E2951" s="4" t="s">
        <v>4996</v>
      </c>
      <c r="F2951" s="5">
        <v>40970</v>
      </c>
      <c r="H2951" s="4" t="s">
        <v>40</v>
      </c>
      <c r="I2951" s="6">
        <v>7500</v>
      </c>
      <c r="J2951" s="6">
        <v>7500</v>
      </c>
      <c r="K2951" s="37" t="s">
        <v>4667</v>
      </c>
      <c r="L2951" s="119"/>
      <c r="M2951" s="3"/>
    </row>
    <row r="2952" spans="1:13" s="4" customFormat="1" ht="63.75" x14ac:dyDescent="0.25">
      <c r="A2952" s="4" t="s">
        <v>4997</v>
      </c>
      <c r="B2952" s="4" t="s">
        <v>183</v>
      </c>
      <c r="C2952" s="37" t="s">
        <v>4667</v>
      </c>
      <c r="D2952" s="35">
        <v>10629</v>
      </c>
      <c r="E2952" s="4" t="s">
        <v>4998</v>
      </c>
      <c r="F2952" s="5">
        <v>41148</v>
      </c>
      <c r="H2952" s="4" t="s">
        <v>40</v>
      </c>
      <c r="I2952" s="6">
        <v>530</v>
      </c>
      <c r="J2952" s="6">
        <v>265</v>
      </c>
      <c r="K2952" s="37" t="s">
        <v>4667</v>
      </c>
      <c r="L2952" s="119"/>
      <c r="M2952" s="3"/>
    </row>
    <row r="2953" spans="1:13" s="4" customFormat="1" ht="38.25" x14ac:dyDescent="0.25">
      <c r="A2953" s="4" t="s">
        <v>5001</v>
      </c>
      <c r="B2953" s="4" t="s">
        <v>190</v>
      </c>
      <c r="C2953" s="37" t="s">
        <v>4667</v>
      </c>
      <c r="D2953" s="35">
        <v>10631</v>
      </c>
      <c r="E2953" s="4" t="s">
        <v>5002</v>
      </c>
      <c r="F2953" s="5">
        <v>41061</v>
      </c>
      <c r="H2953" s="4" t="s">
        <v>40</v>
      </c>
      <c r="I2953" s="6">
        <v>7500</v>
      </c>
      <c r="J2953" s="6">
        <f>3750+3750</f>
        <v>7500</v>
      </c>
      <c r="K2953" s="37" t="s">
        <v>4667</v>
      </c>
      <c r="L2953" s="119"/>
      <c r="M2953" s="3"/>
    </row>
    <row r="2954" spans="1:13" s="4" customFormat="1" ht="153" x14ac:dyDescent="0.25">
      <c r="A2954" s="4" t="s">
        <v>5005</v>
      </c>
      <c r="B2954" s="4" t="s">
        <v>190</v>
      </c>
      <c r="C2954" s="37" t="s">
        <v>4667</v>
      </c>
      <c r="D2954" s="35">
        <v>10633</v>
      </c>
      <c r="E2954" s="7" t="s">
        <v>4973</v>
      </c>
      <c r="F2954" s="5">
        <v>41075</v>
      </c>
      <c r="H2954" s="4" t="s">
        <v>40</v>
      </c>
      <c r="I2954" s="6">
        <v>17460</v>
      </c>
      <c r="J2954" s="6">
        <v>17460</v>
      </c>
      <c r="K2954" s="37" t="s">
        <v>4667</v>
      </c>
      <c r="L2954" s="119"/>
      <c r="M2954" s="3"/>
    </row>
    <row r="2955" spans="1:13" s="4" customFormat="1" ht="63.75" x14ac:dyDescent="0.25">
      <c r="A2955" s="4" t="s">
        <v>5006</v>
      </c>
      <c r="B2955" s="4" t="s">
        <v>190</v>
      </c>
      <c r="C2955" s="37" t="s">
        <v>4667</v>
      </c>
      <c r="D2955" s="35">
        <v>10634</v>
      </c>
      <c r="E2955" s="4" t="s">
        <v>5007</v>
      </c>
      <c r="F2955" s="5">
        <v>40987</v>
      </c>
      <c r="H2955" s="4" t="s">
        <v>40</v>
      </c>
      <c r="I2955" s="6">
        <v>10000</v>
      </c>
      <c r="J2955" s="6">
        <v>10000</v>
      </c>
      <c r="K2955" s="37" t="s">
        <v>4667</v>
      </c>
      <c r="L2955" s="119"/>
      <c r="M2955" s="3"/>
    </row>
    <row r="2956" spans="1:13" s="4" customFormat="1" ht="51" x14ac:dyDescent="0.25">
      <c r="A2956" s="4" t="s">
        <v>5008</v>
      </c>
      <c r="B2956" s="4" t="s">
        <v>183</v>
      </c>
      <c r="C2956" s="37" t="s">
        <v>4667</v>
      </c>
      <c r="D2956" s="35">
        <v>10635</v>
      </c>
      <c r="E2956" s="4" t="s">
        <v>5009</v>
      </c>
      <c r="F2956" s="5">
        <v>41000</v>
      </c>
      <c r="H2956" s="4" t="s">
        <v>40</v>
      </c>
      <c r="I2956" s="6">
        <v>12000</v>
      </c>
      <c r="J2956" s="6">
        <v>12000</v>
      </c>
      <c r="K2956" s="37" t="s">
        <v>4667</v>
      </c>
      <c r="L2956" s="119"/>
      <c r="M2956" s="3"/>
    </row>
    <row r="2957" spans="1:13" s="4" customFormat="1" ht="25.5" x14ac:dyDescent="0.25">
      <c r="A2957" s="4" t="s">
        <v>5010</v>
      </c>
      <c r="B2957" s="4" t="s">
        <v>38</v>
      </c>
      <c r="C2957" s="37" t="s">
        <v>4667</v>
      </c>
      <c r="D2957" s="35">
        <v>10952</v>
      </c>
      <c r="E2957" s="4" t="s">
        <v>5011</v>
      </c>
      <c r="F2957" s="5">
        <v>40996</v>
      </c>
      <c r="G2957" s="5">
        <v>40996</v>
      </c>
      <c r="H2957" s="4" t="s">
        <v>40</v>
      </c>
      <c r="I2957" s="6">
        <v>1000</v>
      </c>
      <c r="J2957" s="6">
        <v>500</v>
      </c>
      <c r="K2957" s="37" t="s">
        <v>4667</v>
      </c>
      <c r="L2957" s="119"/>
      <c r="M2957" s="3"/>
    </row>
    <row r="2958" spans="1:13" ht="51" x14ac:dyDescent="0.25">
      <c r="A2958" s="13" t="s">
        <v>10687</v>
      </c>
      <c r="B2958" s="13" t="s">
        <v>10195</v>
      </c>
      <c r="C2958" s="20" t="s">
        <v>4667</v>
      </c>
      <c r="D2958" s="19">
        <v>12146</v>
      </c>
      <c r="E2958" s="13" t="s">
        <v>10688</v>
      </c>
      <c r="F2958" s="14">
        <v>41222</v>
      </c>
      <c r="H2958" s="13" t="s">
        <v>651</v>
      </c>
      <c r="I2958" s="18">
        <v>17050</v>
      </c>
      <c r="J2958" s="18">
        <v>8525</v>
      </c>
      <c r="K2958" s="20" t="s">
        <v>4667</v>
      </c>
    </row>
    <row r="2959" spans="1:13" ht="25.5" x14ac:dyDescent="0.25">
      <c r="A2959" s="13" t="s">
        <v>10689</v>
      </c>
      <c r="B2959" s="13" t="s">
        <v>10192</v>
      </c>
      <c r="C2959" s="20" t="s">
        <v>4667</v>
      </c>
      <c r="D2959" s="19">
        <v>12159</v>
      </c>
      <c r="E2959" s="13" t="s">
        <v>10690</v>
      </c>
      <c r="F2959" s="14">
        <v>40820</v>
      </c>
      <c r="H2959" s="13" t="s">
        <v>651</v>
      </c>
      <c r="I2959" s="18">
        <v>5148</v>
      </c>
      <c r="J2959" s="18">
        <v>2574</v>
      </c>
      <c r="K2959" s="20" t="s">
        <v>4667</v>
      </c>
    </row>
    <row r="2960" spans="1:13" ht="25.5" x14ac:dyDescent="0.25">
      <c r="A2960" s="13" t="s">
        <v>10691</v>
      </c>
      <c r="B2960" s="13" t="s">
        <v>10195</v>
      </c>
      <c r="C2960" s="20" t="s">
        <v>4667</v>
      </c>
      <c r="D2960" s="19">
        <v>12162</v>
      </c>
      <c r="E2960" s="13" t="s">
        <v>10692</v>
      </c>
      <c r="F2960" s="14">
        <v>41340</v>
      </c>
      <c r="H2960" s="13" t="s">
        <v>651</v>
      </c>
      <c r="I2960" s="18">
        <v>10000</v>
      </c>
      <c r="J2960" s="18">
        <v>10000</v>
      </c>
      <c r="K2960" s="20" t="s">
        <v>4667</v>
      </c>
    </row>
    <row r="2961" spans="1:11" ht="25.5" x14ac:dyDescent="0.25">
      <c r="A2961" s="13" t="s">
        <v>10693</v>
      </c>
      <c r="B2961" s="13" t="s">
        <v>10192</v>
      </c>
      <c r="C2961" s="20" t="s">
        <v>4667</v>
      </c>
      <c r="D2961" s="19">
        <v>12166</v>
      </c>
      <c r="E2961" s="13" t="s">
        <v>10694</v>
      </c>
      <c r="F2961" s="14">
        <v>41309</v>
      </c>
      <c r="H2961" s="13" t="s">
        <v>651</v>
      </c>
      <c r="I2961" s="18">
        <v>7407</v>
      </c>
      <c r="J2961" s="18">
        <v>3704</v>
      </c>
      <c r="K2961" s="20" t="s">
        <v>4667</v>
      </c>
    </row>
    <row r="2962" spans="1:11" ht="38.25" x14ac:dyDescent="0.25">
      <c r="A2962" s="13" t="s">
        <v>10697</v>
      </c>
      <c r="B2962" s="13" t="s">
        <v>10195</v>
      </c>
      <c r="C2962" s="20" t="s">
        <v>4667</v>
      </c>
      <c r="D2962" s="19">
        <v>12171</v>
      </c>
      <c r="E2962" s="13" t="s">
        <v>10698</v>
      </c>
      <c r="F2962" s="14">
        <v>41534</v>
      </c>
      <c r="H2962" s="13" t="s">
        <v>651</v>
      </c>
      <c r="I2962" s="18">
        <v>4032</v>
      </c>
      <c r="J2962" s="18">
        <v>2400</v>
      </c>
      <c r="K2962" s="20" t="s">
        <v>4667</v>
      </c>
    </row>
    <row r="2963" spans="1:11" ht="25.5" x14ac:dyDescent="0.25">
      <c r="A2963" s="13" t="s">
        <v>10699</v>
      </c>
      <c r="B2963" s="13" t="s">
        <v>10195</v>
      </c>
      <c r="C2963" s="20" t="s">
        <v>4667</v>
      </c>
      <c r="D2963" s="19">
        <v>12172</v>
      </c>
      <c r="E2963" s="13" t="s">
        <v>10700</v>
      </c>
      <c r="F2963" s="14">
        <v>41416</v>
      </c>
      <c r="H2963" s="13" t="s">
        <v>651</v>
      </c>
      <c r="I2963" s="18">
        <v>3750</v>
      </c>
      <c r="J2963" s="18">
        <v>3750</v>
      </c>
      <c r="K2963" s="20" t="s">
        <v>4667</v>
      </c>
    </row>
    <row r="2964" spans="1:11" ht="38.25" x14ac:dyDescent="0.25">
      <c r="A2964" s="13" t="s">
        <v>10701</v>
      </c>
      <c r="B2964" s="13" t="s">
        <v>10220</v>
      </c>
      <c r="C2964" s="20" t="s">
        <v>4667</v>
      </c>
      <c r="D2964" s="19">
        <v>12174</v>
      </c>
      <c r="E2964" s="13" t="s">
        <v>10702</v>
      </c>
      <c r="F2964" s="14">
        <v>41018</v>
      </c>
      <c r="H2964" s="13" t="s">
        <v>651</v>
      </c>
      <c r="I2964" s="18">
        <v>8376</v>
      </c>
      <c r="J2964" s="18">
        <v>4188</v>
      </c>
      <c r="K2964" s="20" t="s">
        <v>4667</v>
      </c>
    </row>
    <row r="2965" spans="1:11" ht="25.5" x14ac:dyDescent="0.25">
      <c r="A2965" s="13" t="s">
        <v>10703</v>
      </c>
      <c r="B2965" s="13" t="s">
        <v>10220</v>
      </c>
      <c r="C2965" s="20" t="s">
        <v>4667</v>
      </c>
      <c r="D2965" s="19">
        <v>12343</v>
      </c>
      <c r="E2965" s="13" t="s">
        <v>10704</v>
      </c>
      <c r="F2965" s="14">
        <v>41212</v>
      </c>
      <c r="H2965" s="13" t="s">
        <v>651</v>
      </c>
      <c r="I2965" s="18">
        <v>14954</v>
      </c>
      <c r="J2965" s="18">
        <v>7477</v>
      </c>
      <c r="K2965" s="20" t="s">
        <v>4667</v>
      </c>
    </row>
    <row r="2966" spans="1:11" ht="25.5" x14ac:dyDescent="0.25">
      <c r="A2966" s="13" t="s">
        <v>10705</v>
      </c>
      <c r="B2966" s="13" t="s">
        <v>10192</v>
      </c>
      <c r="C2966" s="20" t="s">
        <v>4667</v>
      </c>
      <c r="D2966" s="19">
        <v>12344</v>
      </c>
      <c r="E2966" s="13" t="s">
        <v>10706</v>
      </c>
      <c r="F2966" s="14">
        <v>41282</v>
      </c>
      <c r="H2966" s="13" t="s">
        <v>651</v>
      </c>
      <c r="I2966" s="18">
        <v>17518</v>
      </c>
      <c r="J2966" s="18">
        <v>13759</v>
      </c>
      <c r="K2966" s="20" t="s">
        <v>4667</v>
      </c>
    </row>
    <row r="2967" spans="1:11" ht="25.5" x14ac:dyDescent="0.25">
      <c r="A2967" s="13" t="s">
        <v>10707</v>
      </c>
      <c r="B2967" s="13" t="s">
        <v>10195</v>
      </c>
      <c r="C2967" s="20" t="s">
        <v>4667</v>
      </c>
      <c r="D2967" s="19">
        <v>12347</v>
      </c>
      <c r="E2967" s="13" t="s">
        <v>10708</v>
      </c>
      <c r="F2967" s="14">
        <v>41061</v>
      </c>
      <c r="H2967" s="13" t="s">
        <v>651</v>
      </c>
      <c r="I2967" s="18">
        <v>7500</v>
      </c>
      <c r="J2967" s="18">
        <v>7500</v>
      </c>
      <c r="K2967" s="20" t="s">
        <v>4667</v>
      </c>
    </row>
    <row r="2968" spans="1:11" ht="25.5" x14ac:dyDescent="0.25">
      <c r="A2968" s="13" t="s">
        <v>10709</v>
      </c>
      <c r="B2968" s="13" t="s">
        <v>10195</v>
      </c>
      <c r="C2968" s="20" t="s">
        <v>4667</v>
      </c>
      <c r="D2968" s="19">
        <v>12349</v>
      </c>
      <c r="E2968" s="13" t="s">
        <v>10710</v>
      </c>
      <c r="F2968" s="14">
        <v>41518</v>
      </c>
      <c r="H2968" s="13" t="s">
        <v>651</v>
      </c>
      <c r="I2968" s="18">
        <v>10000</v>
      </c>
      <c r="J2968" s="18">
        <v>10000</v>
      </c>
      <c r="K2968" s="20" t="s">
        <v>4667</v>
      </c>
    </row>
    <row r="2969" spans="1:11" ht="25.5" x14ac:dyDescent="0.25">
      <c r="A2969" s="13" t="s">
        <v>10711</v>
      </c>
      <c r="B2969" s="13" t="s">
        <v>10195</v>
      </c>
      <c r="C2969" s="20" t="s">
        <v>4667</v>
      </c>
      <c r="D2969" s="19">
        <v>12350</v>
      </c>
      <c r="E2969" s="13" t="s">
        <v>10712</v>
      </c>
      <c r="F2969" s="14">
        <v>41426</v>
      </c>
      <c r="H2969" s="13" t="s">
        <v>651</v>
      </c>
      <c r="I2969" s="18">
        <v>8836</v>
      </c>
      <c r="J2969" s="18">
        <v>6918</v>
      </c>
      <c r="K2969" s="20" t="s">
        <v>4667</v>
      </c>
    </row>
    <row r="2970" spans="1:11" ht="25.5" x14ac:dyDescent="0.25">
      <c r="A2970" s="13" t="s">
        <v>10713</v>
      </c>
      <c r="B2970" s="13" t="s">
        <v>10192</v>
      </c>
      <c r="C2970" s="20" t="s">
        <v>4667</v>
      </c>
      <c r="D2970" s="19">
        <v>12406</v>
      </c>
      <c r="E2970" s="13" t="s">
        <v>10714</v>
      </c>
      <c r="F2970" s="14">
        <v>41551</v>
      </c>
      <c r="H2970" s="13" t="s">
        <v>651</v>
      </c>
      <c r="I2970" s="18">
        <v>10000</v>
      </c>
      <c r="J2970" s="18">
        <v>10000</v>
      </c>
      <c r="K2970" s="20" t="s">
        <v>4667</v>
      </c>
    </row>
    <row r="2971" spans="1:11" ht="25.5" x14ac:dyDescent="0.25">
      <c r="A2971" s="13" t="s">
        <v>10719</v>
      </c>
      <c r="B2971" s="13" t="s">
        <v>10192</v>
      </c>
      <c r="C2971" s="20" t="s">
        <v>4667</v>
      </c>
      <c r="D2971" s="19">
        <v>12409</v>
      </c>
      <c r="E2971" s="13" t="s">
        <v>10720</v>
      </c>
      <c r="F2971" s="14">
        <v>41411</v>
      </c>
      <c r="H2971" s="13" t="s">
        <v>651</v>
      </c>
      <c r="I2971" s="18">
        <v>2500</v>
      </c>
      <c r="J2971" s="18">
        <v>2500</v>
      </c>
      <c r="K2971" s="20" t="s">
        <v>4667</v>
      </c>
    </row>
    <row r="2972" spans="1:11" ht="51" x14ac:dyDescent="0.25">
      <c r="A2972" s="13" t="s">
        <v>10721</v>
      </c>
      <c r="B2972" s="13" t="s">
        <v>10192</v>
      </c>
      <c r="C2972" s="20" t="s">
        <v>4667</v>
      </c>
      <c r="D2972" s="19">
        <v>12413</v>
      </c>
      <c r="E2972" s="13" t="s">
        <v>10722</v>
      </c>
      <c r="F2972" s="14">
        <v>41153</v>
      </c>
      <c r="H2972" s="13" t="s">
        <v>651</v>
      </c>
      <c r="I2972" s="18">
        <v>64000</v>
      </c>
      <c r="J2972" s="18">
        <v>44000</v>
      </c>
      <c r="K2972" s="20" t="s">
        <v>4667</v>
      </c>
    </row>
    <row r="2973" spans="1:11" ht="25.5" x14ac:dyDescent="0.25">
      <c r="A2973" s="13" t="s">
        <v>10723</v>
      </c>
      <c r="B2973" s="13" t="s">
        <v>10195</v>
      </c>
      <c r="C2973" s="20" t="s">
        <v>4667</v>
      </c>
      <c r="D2973" s="19">
        <v>12418</v>
      </c>
      <c r="E2973" s="13" t="s">
        <v>10724</v>
      </c>
      <c r="F2973" s="14">
        <v>41415</v>
      </c>
      <c r="H2973" s="13" t="s">
        <v>651</v>
      </c>
      <c r="I2973" s="18">
        <v>16000</v>
      </c>
      <c r="J2973" s="18">
        <v>8000</v>
      </c>
      <c r="K2973" s="20" t="s">
        <v>4667</v>
      </c>
    </row>
    <row r="2974" spans="1:11" ht="25.5" x14ac:dyDescent="0.25">
      <c r="A2974" s="13" t="s">
        <v>10725</v>
      </c>
      <c r="B2974" s="13" t="s">
        <v>10195</v>
      </c>
      <c r="C2974" s="20" t="s">
        <v>4667</v>
      </c>
      <c r="D2974" s="19">
        <v>12420</v>
      </c>
      <c r="E2974" s="13" t="s">
        <v>10726</v>
      </c>
      <c r="F2974" s="14">
        <v>41518</v>
      </c>
      <c r="H2974" s="13" t="s">
        <v>651</v>
      </c>
      <c r="I2974" s="18">
        <v>3750</v>
      </c>
      <c r="J2974" s="18">
        <v>3750</v>
      </c>
      <c r="K2974" s="20" t="s">
        <v>4667</v>
      </c>
    </row>
    <row r="2975" spans="1:11" ht="25.5" x14ac:dyDescent="0.25">
      <c r="A2975" s="13" t="s">
        <v>10727</v>
      </c>
      <c r="B2975" s="13" t="s">
        <v>10192</v>
      </c>
      <c r="C2975" s="20" t="s">
        <v>4667</v>
      </c>
      <c r="D2975" s="19">
        <v>12422</v>
      </c>
      <c r="E2975" s="13" t="s">
        <v>10728</v>
      </c>
      <c r="F2975" s="14">
        <v>41334</v>
      </c>
      <c r="H2975" s="13" t="s">
        <v>651</v>
      </c>
      <c r="I2975" s="18">
        <v>1650</v>
      </c>
      <c r="J2975" s="18">
        <v>825</v>
      </c>
      <c r="K2975" s="20" t="s">
        <v>4667</v>
      </c>
    </row>
    <row r="2976" spans="1:11" x14ac:dyDescent="0.25">
      <c r="A2976" s="13" t="s">
        <v>10729</v>
      </c>
      <c r="B2976" s="13" t="s">
        <v>10192</v>
      </c>
      <c r="C2976" s="20" t="s">
        <v>4667</v>
      </c>
      <c r="D2976" s="19">
        <v>12425</v>
      </c>
      <c r="E2976" s="13" t="s">
        <v>10730</v>
      </c>
      <c r="F2976" s="14">
        <v>41426</v>
      </c>
      <c r="H2976" s="13" t="s">
        <v>651</v>
      </c>
      <c r="I2976" s="18">
        <v>5000</v>
      </c>
      <c r="J2976" s="18">
        <v>5000</v>
      </c>
      <c r="K2976" s="20" t="s">
        <v>4667</v>
      </c>
    </row>
    <row r="2977" spans="1:60" x14ac:dyDescent="0.25">
      <c r="A2977" s="13" t="s">
        <v>10733</v>
      </c>
      <c r="B2977" s="13" t="s">
        <v>10195</v>
      </c>
      <c r="C2977" s="20" t="s">
        <v>4667</v>
      </c>
      <c r="D2977" s="19">
        <v>12429</v>
      </c>
      <c r="E2977" s="13" t="s">
        <v>10734</v>
      </c>
      <c r="F2977" s="14">
        <v>41214</v>
      </c>
      <c r="H2977" s="13" t="s">
        <v>651</v>
      </c>
      <c r="I2977" s="18">
        <v>17000</v>
      </c>
      <c r="J2977" s="18">
        <v>8500</v>
      </c>
      <c r="K2977" s="20" t="s">
        <v>4667</v>
      </c>
    </row>
    <row r="2978" spans="1:60" ht="38.25" x14ac:dyDescent="0.25">
      <c r="A2978" s="13" t="s">
        <v>10737</v>
      </c>
      <c r="B2978" s="13" t="s">
        <v>38</v>
      </c>
      <c r="C2978" s="20" t="s">
        <v>4667</v>
      </c>
      <c r="D2978" s="19">
        <v>12604</v>
      </c>
      <c r="E2978" s="13" t="s">
        <v>10738</v>
      </c>
      <c r="F2978" s="14">
        <v>41275</v>
      </c>
      <c r="H2978" s="13" t="s">
        <v>651</v>
      </c>
      <c r="I2978" s="18">
        <v>900</v>
      </c>
      <c r="J2978" s="18">
        <v>900</v>
      </c>
      <c r="K2978" s="20" t="s">
        <v>4667</v>
      </c>
    </row>
    <row r="2979" spans="1:60" ht="38.25" x14ac:dyDescent="0.25">
      <c r="A2979" s="13" t="s">
        <v>10739</v>
      </c>
      <c r="B2979" s="13" t="s">
        <v>10195</v>
      </c>
      <c r="C2979" s="20" t="s">
        <v>4667</v>
      </c>
      <c r="D2979" s="19">
        <v>12606</v>
      </c>
      <c r="E2979" s="13" t="s">
        <v>10740</v>
      </c>
      <c r="F2979" s="14">
        <v>41115</v>
      </c>
      <c r="H2979" s="13" t="s">
        <v>651</v>
      </c>
      <c r="I2979" s="18">
        <v>5000</v>
      </c>
      <c r="J2979" s="18">
        <v>5000</v>
      </c>
      <c r="K2979" s="20" t="s">
        <v>4667</v>
      </c>
    </row>
    <row r="2980" spans="1:60" s="4" customFormat="1" ht="51" x14ac:dyDescent="0.25">
      <c r="A2980" s="9" t="s">
        <v>5012</v>
      </c>
      <c r="B2980" s="9" t="s">
        <v>13</v>
      </c>
      <c r="C2980" s="112" t="s">
        <v>4667</v>
      </c>
      <c r="D2980" s="90">
        <v>4327</v>
      </c>
      <c r="E2980" s="9" t="s">
        <v>3574</v>
      </c>
      <c r="F2980" s="11">
        <v>39083</v>
      </c>
      <c r="G2980" s="11">
        <v>42369</v>
      </c>
      <c r="H2980" s="9" t="s">
        <v>2593</v>
      </c>
      <c r="I2980" s="16">
        <v>230866.73</v>
      </c>
      <c r="J2980" s="16">
        <v>230866.73</v>
      </c>
      <c r="K2980" s="112" t="s">
        <v>4667</v>
      </c>
      <c r="L2980" s="121"/>
      <c r="M2980" s="12"/>
      <c r="N2980" s="9"/>
      <c r="O2980" s="9"/>
      <c r="P2980" s="9"/>
      <c r="Q2980" s="9"/>
      <c r="R2980" s="9"/>
      <c r="S2980" s="9"/>
      <c r="T2980" s="9"/>
      <c r="U2980" s="9"/>
      <c r="V2980" s="9"/>
      <c r="W2980" s="9"/>
      <c r="X2980" s="9"/>
      <c r="Y2980" s="9"/>
      <c r="Z2980" s="9"/>
      <c r="AA2980" s="9"/>
      <c r="AB2980" s="9"/>
      <c r="AC2980" s="9"/>
      <c r="AD2980" s="9"/>
      <c r="AE2980" s="9"/>
      <c r="AF2980" s="9"/>
      <c r="AG2980" s="9"/>
      <c r="AH2980" s="9"/>
      <c r="AI2980" s="9"/>
      <c r="AJ2980" s="9"/>
      <c r="AK2980" s="9"/>
      <c r="AL2980" s="9"/>
      <c r="AM2980" s="9"/>
      <c r="AN2980" s="9"/>
      <c r="AO2980" s="9"/>
      <c r="AP2980" s="9"/>
      <c r="AQ2980" s="9"/>
      <c r="AR2980" s="9"/>
      <c r="AS2980" s="9"/>
      <c r="AT2980" s="9"/>
      <c r="AU2980" s="9"/>
      <c r="AV2980" s="9"/>
      <c r="AW2980" s="9"/>
      <c r="AX2980" s="9"/>
      <c r="AY2980" s="9"/>
      <c r="AZ2980" s="9"/>
      <c r="BA2980" s="9"/>
      <c r="BB2980" s="9"/>
      <c r="BC2980" s="9"/>
      <c r="BD2980" s="9"/>
      <c r="BE2980" s="9"/>
      <c r="BF2980" s="9"/>
      <c r="BG2980" s="9"/>
      <c r="BH2980" s="9"/>
    </row>
    <row r="2981" spans="1:60" s="4" customFormat="1" ht="89.25" x14ac:dyDescent="0.25">
      <c r="A2981" s="9" t="s">
        <v>5013</v>
      </c>
      <c r="B2981" s="9" t="s">
        <v>13</v>
      </c>
      <c r="C2981" s="112" t="s">
        <v>4667</v>
      </c>
      <c r="D2981" s="90">
        <v>4328</v>
      </c>
      <c r="E2981" s="15" t="s">
        <v>5014</v>
      </c>
      <c r="F2981" s="11">
        <v>39083</v>
      </c>
      <c r="G2981" s="11">
        <v>42369</v>
      </c>
      <c r="H2981" s="9" t="s">
        <v>2593</v>
      </c>
      <c r="I2981" s="16">
        <v>230866.73</v>
      </c>
      <c r="J2981" s="16">
        <v>230866.73</v>
      </c>
      <c r="K2981" s="112" t="s">
        <v>4667</v>
      </c>
      <c r="L2981" s="121"/>
      <c r="M2981" s="12"/>
      <c r="N2981" s="9"/>
      <c r="O2981" s="9"/>
      <c r="P2981" s="9"/>
      <c r="Q2981" s="9"/>
      <c r="R2981" s="9"/>
      <c r="S2981" s="9"/>
      <c r="T2981" s="9"/>
      <c r="U2981" s="9"/>
      <c r="V2981" s="9"/>
      <c r="W2981" s="9"/>
      <c r="X2981" s="9"/>
      <c r="Y2981" s="9"/>
      <c r="Z2981" s="9"/>
      <c r="AA2981" s="9"/>
      <c r="AB2981" s="9"/>
      <c r="AC2981" s="9"/>
      <c r="AD2981" s="9"/>
      <c r="AE2981" s="9"/>
      <c r="AF2981" s="9"/>
      <c r="AG2981" s="9"/>
      <c r="AH2981" s="9"/>
      <c r="AI2981" s="9"/>
      <c r="AJ2981" s="9"/>
      <c r="AK2981" s="9"/>
      <c r="AL2981" s="9"/>
      <c r="AM2981" s="9"/>
      <c r="AN2981" s="9"/>
      <c r="AO2981" s="9"/>
      <c r="AP2981" s="9"/>
      <c r="AQ2981" s="9"/>
      <c r="AR2981" s="9"/>
      <c r="AS2981" s="9"/>
      <c r="AT2981" s="9"/>
      <c r="AU2981" s="9"/>
      <c r="AV2981" s="9"/>
      <c r="AW2981" s="9"/>
      <c r="AX2981" s="9"/>
      <c r="AY2981" s="9"/>
      <c r="AZ2981" s="9"/>
      <c r="BA2981" s="9"/>
      <c r="BB2981" s="9"/>
      <c r="BC2981" s="9"/>
      <c r="BD2981" s="9"/>
      <c r="BE2981" s="9"/>
      <c r="BF2981" s="9"/>
      <c r="BG2981" s="9"/>
      <c r="BH2981" s="9"/>
    </row>
    <row r="2982" spans="1:60" s="32" customFormat="1" ht="76.5" x14ac:dyDescent="0.25">
      <c r="A2982" s="13" t="s">
        <v>11589</v>
      </c>
      <c r="B2982" s="32" t="s">
        <v>13</v>
      </c>
      <c r="C2982" s="38" t="s">
        <v>4667</v>
      </c>
      <c r="D2982" s="33">
        <v>13032</v>
      </c>
      <c r="E2982" s="13" t="s">
        <v>11590</v>
      </c>
      <c r="F2982" s="34">
        <v>40544</v>
      </c>
      <c r="G2982" s="34">
        <v>43100</v>
      </c>
      <c r="H2982" s="9" t="s">
        <v>2593</v>
      </c>
      <c r="I2982" s="94">
        <v>2776456.61</v>
      </c>
      <c r="J2982" s="94">
        <v>2776456.61</v>
      </c>
      <c r="K2982" s="38" t="s">
        <v>4667</v>
      </c>
      <c r="L2982" s="122"/>
    </row>
    <row r="2983" spans="1:60" s="32" customFormat="1" ht="63.75" x14ac:dyDescent="0.25">
      <c r="A2983" s="13" t="s">
        <v>11591</v>
      </c>
      <c r="B2983" s="32" t="s">
        <v>13</v>
      </c>
      <c r="C2983" s="38" t="s">
        <v>4667</v>
      </c>
      <c r="D2983" s="33">
        <v>12993</v>
      </c>
      <c r="E2983" s="13" t="s">
        <v>11550</v>
      </c>
      <c r="F2983" s="34">
        <v>40544</v>
      </c>
      <c r="G2983" s="34">
        <v>42825</v>
      </c>
      <c r="H2983" s="9" t="s">
        <v>3587</v>
      </c>
      <c r="I2983" s="94">
        <f>653329.65+153416.35</f>
        <v>806746</v>
      </c>
      <c r="J2983" s="94">
        <f>653329.65+153416.35</f>
        <v>806746</v>
      </c>
      <c r="K2983" s="38" t="s">
        <v>4667</v>
      </c>
      <c r="L2983" s="122"/>
    </row>
    <row r="2984" spans="1:60" s="32" customFormat="1" ht="89.25" x14ac:dyDescent="0.25">
      <c r="A2984" s="13" t="s">
        <v>11592</v>
      </c>
      <c r="B2984" s="32" t="s">
        <v>13</v>
      </c>
      <c r="C2984" s="38" t="s">
        <v>4667</v>
      </c>
      <c r="D2984" s="33">
        <v>12994</v>
      </c>
      <c r="E2984" s="13" t="s">
        <v>11593</v>
      </c>
      <c r="F2984" s="34">
        <v>40544</v>
      </c>
      <c r="G2984" s="34">
        <v>42825</v>
      </c>
      <c r="H2984" s="9" t="s">
        <v>3587</v>
      </c>
      <c r="I2984" s="94">
        <f>195886.26+58199.88</f>
        <v>254086.14</v>
      </c>
      <c r="J2984" s="94">
        <f>195886.26+58199.88</f>
        <v>254086.14</v>
      </c>
      <c r="K2984" s="38" t="s">
        <v>4667</v>
      </c>
      <c r="L2984" s="122"/>
    </row>
    <row r="2985" spans="1:60" s="32" customFormat="1" ht="63.75" x14ac:dyDescent="0.25">
      <c r="A2985" s="13" t="s">
        <v>11594</v>
      </c>
      <c r="B2985" s="32" t="s">
        <v>13</v>
      </c>
      <c r="C2985" s="38" t="s">
        <v>4667</v>
      </c>
      <c r="D2985" s="33">
        <v>12995</v>
      </c>
      <c r="E2985" s="13" t="s">
        <v>11539</v>
      </c>
      <c r="F2985" s="34">
        <v>40544</v>
      </c>
      <c r="G2985" s="34">
        <v>42825</v>
      </c>
      <c r="H2985" s="9" t="s">
        <v>3587</v>
      </c>
      <c r="I2985" s="94">
        <f>239887.68+50217.91</f>
        <v>290105.58999999997</v>
      </c>
      <c r="J2985" s="94">
        <f>239887.68+50217.91</f>
        <v>290105.58999999997</v>
      </c>
      <c r="K2985" s="38" t="s">
        <v>4667</v>
      </c>
      <c r="L2985" s="122"/>
    </row>
    <row r="2986" spans="1:60" s="32" customFormat="1" ht="51" x14ac:dyDescent="0.25">
      <c r="A2986" s="13" t="s">
        <v>11595</v>
      </c>
      <c r="B2986" s="32" t="s">
        <v>13</v>
      </c>
      <c r="C2986" s="38" t="s">
        <v>4667</v>
      </c>
      <c r="D2986" s="33">
        <v>12996</v>
      </c>
      <c r="E2986" s="13" t="s">
        <v>11563</v>
      </c>
      <c r="F2986" s="34">
        <v>40544</v>
      </c>
      <c r="G2986" s="34">
        <v>42825</v>
      </c>
      <c r="H2986" s="9" t="s">
        <v>3587</v>
      </c>
      <c r="I2986" s="94">
        <f>624346.85+239752.35</f>
        <v>864099.2</v>
      </c>
      <c r="J2986" s="94">
        <f>624346.85+239752.35</f>
        <v>864099.2</v>
      </c>
      <c r="K2986" s="38" t="s">
        <v>4667</v>
      </c>
      <c r="L2986" s="122"/>
    </row>
    <row r="2987" spans="1:60" s="4" customFormat="1" x14ac:dyDescent="0.25">
      <c r="A2987" s="9"/>
      <c r="B2987" s="9"/>
      <c r="C2987" s="38" t="s">
        <v>4667</v>
      </c>
      <c r="D2987" s="90"/>
      <c r="E2987" s="29" t="s">
        <v>351</v>
      </c>
      <c r="F2987" s="30"/>
      <c r="G2987" s="30"/>
      <c r="H2987" s="26"/>
      <c r="I2987" s="27">
        <f>SUM(I2793:I2809)</f>
        <v>1528878.89</v>
      </c>
      <c r="J2987" s="27">
        <f>SUM(J2793:J2809)</f>
        <v>343493.47000000003</v>
      </c>
      <c r="K2987" s="38" t="s">
        <v>4667</v>
      </c>
      <c r="L2987" s="119"/>
      <c r="M2987" s="12"/>
      <c r="N2987" s="9"/>
      <c r="O2987" s="9"/>
      <c r="P2987" s="9"/>
      <c r="Q2987" s="9"/>
      <c r="R2987" s="9"/>
      <c r="S2987" s="9"/>
      <c r="T2987" s="9"/>
      <c r="U2987" s="9"/>
      <c r="V2987" s="9"/>
      <c r="W2987" s="9"/>
      <c r="X2987" s="9"/>
      <c r="Y2987" s="9"/>
      <c r="Z2987" s="9"/>
      <c r="AA2987" s="9"/>
      <c r="AB2987" s="9"/>
      <c r="AC2987" s="9"/>
      <c r="AD2987" s="9"/>
      <c r="AE2987" s="9"/>
      <c r="AF2987" s="9"/>
      <c r="AG2987" s="9"/>
      <c r="AH2987" s="9"/>
      <c r="AI2987" s="9"/>
      <c r="AJ2987" s="9"/>
      <c r="AK2987" s="9"/>
      <c r="AL2987" s="9"/>
      <c r="AM2987" s="9"/>
      <c r="AN2987" s="9"/>
      <c r="AO2987" s="9"/>
      <c r="AP2987" s="9"/>
      <c r="AQ2987" s="9"/>
      <c r="AR2987" s="9"/>
      <c r="AS2987" s="9"/>
      <c r="AT2987" s="9"/>
      <c r="AU2987" s="9"/>
      <c r="AV2987" s="9"/>
      <c r="AW2987" s="9"/>
      <c r="AX2987" s="9"/>
      <c r="AY2987" s="9"/>
      <c r="AZ2987" s="9"/>
      <c r="BA2987" s="9"/>
      <c r="BB2987" s="9"/>
      <c r="BC2987" s="9"/>
      <c r="BD2987" s="9"/>
      <c r="BE2987" s="9"/>
      <c r="BF2987" s="9"/>
      <c r="BG2987" s="9"/>
      <c r="BH2987" s="9"/>
    </row>
    <row r="2988" spans="1:60" s="4" customFormat="1" x14ac:dyDescent="0.25">
      <c r="A2988" s="9"/>
      <c r="B2988" s="9"/>
      <c r="C2988" s="38" t="s">
        <v>4667</v>
      </c>
      <c r="D2988" s="90"/>
      <c r="E2988" s="29" t="s">
        <v>2643</v>
      </c>
      <c r="F2988" s="30"/>
      <c r="G2988" s="30"/>
      <c r="H2988" s="26"/>
      <c r="I2988" s="27">
        <f>SUM(I2810:I2845)</f>
        <v>3128950.8099999996</v>
      </c>
      <c r="J2988" s="27">
        <f>SUM(J2810:J2845)</f>
        <v>3128950.81</v>
      </c>
      <c r="K2988" s="38" t="s">
        <v>4667</v>
      </c>
      <c r="L2988" s="119"/>
      <c r="M2988" s="12"/>
      <c r="N2988" s="9"/>
      <c r="O2988" s="9"/>
      <c r="P2988" s="9"/>
      <c r="Q2988" s="9"/>
      <c r="R2988" s="9"/>
      <c r="S2988" s="9"/>
      <c r="T2988" s="9"/>
      <c r="U2988" s="9"/>
      <c r="V2988" s="9"/>
      <c r="W2988" s="9"/>
      <c r="X2988" s="9"/>
      <c r="Y2988" s="9"/>
      <c r="Z2988" s="9"/>
      <c r="AA2988" s="9"/>
      <c r="AB2988" s="9"/>
      <c r="AC2988" s="9"/>
      <c r="AD2988" s="9"/>
      <c r="AE2988" s="9"/>
      <c r="AF2988" s="9"/>
      <c r="AG2988" s="9"/>
      <c r="AH2988" s="9"/>
      <c r="AI2988" s="9"/>
      <c r="AJ2988" s="9"/>
      <c r="AK2988" s="9"/>
      <c r="AL2988" s="9"/>
      <c r="AM2988" s="9"/>
      <c r="AN2988" s="9"/>
      <c r="AO2988" s="9"/>
      <c r="AP2988" s="9"/>
      <c r="AQ2988" s="9"/>
      <c r="AR2988" s="9"/>
      <c r="AS2988" s="9"/>
      <c r="AT2988" s="9"/>
      <c r="AU2988" s="9"/>
      <c r="AV2988" s="9"/>
      <c r="AW2988" s="9"/>
      <c r="AX2988" s="9"/>
      <c r="AY2988" s="9"/>
      <c r="AZ2988" s="9"/>
      <c r="BA2988" s="9"/>
      <c r="BB2988" s="9"/>
      <c r="BC2988" s="9"/>
      <c r="BD2988" s="9"/>
      <c r="BE2988" s="9"/>
      <c r="BF2988" s="9"/>
      <c r="BG2988" s="9"/>
      <c r="BH2988" s="9"/>
    </row>
    <row r="2989" spans="1:60" s="4" customFormat="1" x14ac:dyDescent="0.25">
      <c r="A2989" s="9"/>
      <c r="B2989" s="9"/>
      <c r="C2989" s="38" t="s">
        <v>4667</v>
      </c>
      <c r="D2989" s="90"/>
      <c r="E2989" s="29" t="s">
        <v>786</v>
      </c>
      <c r="F2989" s="30"/>
      <c r="G2989" s="30"/>
      <c r="H2989" s="26"/>
      <c r="I2989" s="27">
        <f>SUM(I2846:I2855)</f>
        <v>3978134.8</v>
      </c>
      <c r="J2989" s="27">
        <f>SUM(J2846:J2855)</f>
        <v>1106651.5499999998</v>
      </c>
      <c r="K2989" s="38" t="s">
        <v>4667</v>
      </c>
      <c r="L2989" s="119"/>
      <c r="M2989" s="12"/>
      <c r="N2989" s="9"/>
      <c r="O2989" s="9"/>
      <c r="P2989" s="9"/>
      <c r="Q2989" s="9"/>
      <c r="R2989" s="9"/>
      <c r="S2989" s="9"/>
      <c r="T2989" s="9"/>
      <c r="U2989" s="9"/>
      <c r="V2989" s="9"/>
      <c r="W2989" s="9"/>
      <c r="X2989" s="9"/>
      <c r="Y2989" s="9"/>
      <c r="Z2989" s="9"/>
      <c r="AA2989" s="9"/>
      <c r="AB2989" s="9"/>
      <c r="AC2989" s="9"/>
      <c r="AD2989" s="9"/>
      <c r="AE2989" s="9"/>
      <c r="AF2989" s="9"/>
      <c r="AG2989" s="9"/>
      <c r="AH2989" s="9"/>
      <c r="AI2989" s="9"/>
      <c r="AJ2989" s="9"/>
      <c r="AK2989" s="9"/>
      <c r="AL2989" s="9"/>
      <c r="AM2989" s="9"/>
      <c r="AN2989" s="9"/>
      <c r="AO2989" s="9"/>
      <c r="AP2989" s="9"/>
      <c r="AQ2989" s="9"/>
      <c r="AR2989" s="9"/>
      <c r="AS2989" s="9"/>
      <c r="AT2989" s="9"/>
      <c r="AU2989" s="9"/>
      <c r="AV2989" s="9"/>
      <c r="AW2989" s="9"/>
      <c r="AX2989" s="9"/>
      <c r="AY2989" s="9"/>
      <c r="AZ2989" s="9"/>
      <c r="BA2989" s="9"/>
      <c r="BB2989" s="9"/>
      <c r="BC2989" s="9"/>
      <c r="BD2989" s="9"/>
      <c r="BE2989" s="9"/>
      <c r="BF2989" s="9"/>
      <c r="BG2989" s="9"/>
      <c r="BH2989" s="9"/>
    </row>
    <row r="2990" spans="1:60" s="4" customFormat="1" x14ac:dyDescent="0.25">
      <c r="A2990" s="9"/>
      <c r="B2990" s="9"/>
      <c r="C2990" s="38" t="s">
        <v>4667</v>
      </c>
      <c r="D2990" s="90"/>
      <c r="E2990" s="29" t="s">
        <v>11660</v>
      </c>
      <c r="F2990" s="30"/>
      <c r="G2990" s="30"/>
      <c r="H2990" s="26"/>
      <c r="I2990" s="27">
        <f>SUM(I2856)</f>
        <v>2264596.94</v>
      </c>
      <c r="J2990" s="27">
        <f>SUM(J2856)</f>
        <v>905838.78</v>
      </c>
      <c r="K2990" s="38" t="s">
        <v>4667</v>
      </c>
      <c r="L2990" s="119"/>
      <c r="M2990" s="12"/>
      <c r="N2990" s="9"/>
      <c r="O2990" s="9"/>
      <c r="P2990" s="9"/>
      <c r="Q2990" s="9"/>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c r="AO2990" s="9"/>
      <c r="AP2990" s="9"/>
      <c r="AQ2990" s="9"/>
      <c r="AR2990" s="9"/>
      <c r="AS2990" s="9"/>
      <c r="AT2990" s="9"/>
      <c r="AU2990" s="9"/>
      <c r="AV2990" s="9"/>
      <c r="AW2990" s="9"/>
      <c r="AX2990" s="9"/>
      <c r="AY2990" s="9"/>
      <c r="AZ2990" s="9"/>
      <c r="BA2990" s="9"/>
      <c r="BB2990" s="9"/>
      <c r="BC2990" s="9"/>
      <c r="BD2990" s="9"/>
      <c r="BE2990" s="9"/>
      <c r="BF2990" s="9"/>
      <c r="BG2990" s="9"/>
      <c r="BH2990" s="9"/>
    </row>
    <row r="2991" spans="1:60" s="4" customFormat="1" x14ac:dyDescent="0.25">
      <c r="A2991" s="9"/>
      <c r="B2991" s="9"/>
      <c r="C2991" s="38" t="s">
        <v>4667</v>
      </c>
      <c r="D2991" s="90"/>
      <c r="E2991" s="29" t="s">
        <v>352</v>
      </c>
      <c r="F2991" s="30"/>
      <c r="G2991" s="30"/>
      <c r="H2991" s="26"/>
      <c r="I2991" s="27">
        <f>SUM(I2857:I2979)</f>
        <v>4175309.97</v>
      </c>
      <c r="J2991" s="27">
        <f>SUM(J2857:J2979)</f>
        <v>3356831.97</v>
      </c>
      <c r="K2991" s="38" t="s">
        <v>4667</v>
      </c>
      <c r="L2991" s="119"/>
      <c r="M2991" s="12"/>
      <c r="N2991" s="9"/>
      <c r="O2991" s="9"/>
      <c r="P2991" s="9"/>
      <c r="Q2991" s="9"/>
      <c r="R2991" s="9"/>
      <c r="S2991" s="9"/>
      <c r="T2991" s="9"/>
      <c r="U2991" s="9"/>
      <c r="V2991" s="9"/>
      <c r="W2991" s="9"/>
      <c r="X2991" s="9"/>
      <c r="Y2991" s="9"/>
      <c r="Z2991" s="9"/>
      <c r="AA2991" s="9"/>
      <c r="AB2991" s="9"/>
      <c r="AC2991" s="9"/>
      <c r="AD2991" s="9"/>
      <c r="AE2991" s="9"/>
      <c r="AF2991" s="9"/>
      <c r="AG2991" s="9"/>
      <c r="AH2991" s="9"/>
      <c r="AI2991" s="9"/>
      <c r="AJ2991" s="9"/>
      <c r="AK2991" s="9"/>
      <c r="AL2991" s="9"/>
      <c r="AM2991" s="9"/>
      <c r="AN2991" s="9"/>
      <c r="AO2991" s="9"/>
      <c r="AP2991" s="9"/>
      <c r="AQ2991" s="9"/>
      <c r="AR2991" s="9"/>
      <c r="AS2991" s="9"/>
      <c r="AT2991" s="9"/>
      <c r="AU2991" s="9"/>
      <c r="AV2991" s="9"/>
      <c r="AW2991" s="9"/>
      <c r="AX2991" s="9"/>
      <c r="AY2991" s="9"/>
      <c r="AZ2991" s="9"/>
      <c r="BA2991" s="9"/>
      <c r="BB2991" s="9"/>
      <c r="BC2991" s="9"/>
      <c r="BD2991" s="9"/>
      <c r="BE2991" s="9"/>
      <c r="BF2991" s="9"/>
      <c r="BG2991" s="9"/>
      <c r="BH2991" s="9"/>
    </row>
    <row r="2992" spans="1:60" s="4" customFormat="1" x14ac:dyDescent="0.25">
      <c r="A2992" s="9"/>
      <c r="B2992" s="9"/>
      <c r="C2992" s="38" t="s">
        <v>4667</v>
      </c>
      <c r="D2992" s="90"/>
      <c r="E2992" s="29" t="s">
        <v>4030</v>
      </c>
      <c r="F2992" s="30"/>
      <c r="G2992" s="30"/>
      <c r="H2992" s="26"/>
      <c r="I2992" s="31">
        <f>SUM(I2980:I2982)</f>
        <v>3238190.07</v>
      </c>
      <c r="J2992" s="31">
        <f>SUM(J2980:J2982)</f>
        <v>3238190.07</v>
      </c>
      <c r="K2992" s="38" t="s">
        <v>4667</v>
      </c>
      <c r="L2992" s="119"/>
      <c r="M2992" s="12"/>
      <c r="N2992" s="9"/>
      <c r="O2992" s="9"/>
      <c r="P2992" s="9"/>
      <c r="Q2992" s="9"/>
      <c r="R2992" s="9"/>
      <c r="S2992" s="9"/>
      <c r="T2992" s="9"/>
      <c r="U2992" s="9"/>
      <c r="V2992" s="9"/>
      <c r="W2992" s="9"/>
      <c r="X2992" s="9"/>
      <c r="Y2992" s="9"/>
      <c r="Z2992" s="9"/>
      <c r="AA2992" s="9"/>
      <c r="AB2992" s="9"/>
      <c r="AC2992" s="9"/>
      <c r="AD2992" s="9"/>
      <c r="AE2992" s="9"/>
      <c r="AF2992" s="9"/>
      <c r="AG2992" s="9"/>
      <c r="AH2992" s="9"/>
      <c r="AI2992" s="9"/>
      <c r="AJ2992" s="9"/>
      <c r="AK2992" s="9"/>
      <c r="AL2992" s="9"/>
      <c r="AM2992" s="9"/>
      <c r="AN2992" s="9"/>
      <c r="AO2992" s="9"/>
      <c r="AP2992" s="9"/>
      <c r="AQ2992" s="9"/>
      <c r="AR2992" s="9"/>
      <c r="AS2992" s="9"/>
      <c r="AT2992" s="9"/>
      <c r="AU2992" s="9"/>
      <c r="AV2992" s="9"/>
      <c r="AW2992" s="9"/>
      <c r="AX2992" s="9"/>
      <c r="AY2992" s="9"/>
      <c r="AZ2992" s="9"/>
      <c r="BA2992" s="9"/>
      <c r="BB2992" s="9"/>
      <c r="BC2992" s="9"/>
      <c r="BD2992" s="9"/>
      <c r="BE2992" s="9"/>
      <c r="BF2992" s="9"/>
      <c r="BG2992" s="9"/>
      <c r="BH2992" s="9"/>
    </row>
    <row r="2993" spans="1:60" s="4" customFormat="1" x14ac:dyDescent="0.25">
      <c r="A2993" s="9"/>
      <c r="B2993" s="9"/>
      <c r="C2993" s="38" t="s">
        <v>4667</v>
      </c>
      <c r="D2993" s="90"/>
      <c r="E2993" s="29" t="s">
        <v>4031</v>
      </c>
      <c r="F2993" s="30"/>
      <c r="G2993" s="30"/>
      <c r="H2993" s="26"/>
      <c r="I2993" s="31">
        <f>SUM(I2983:I2986)</f>
        <v>2215036.9299999997</v>
      </c>
      <c r="J2993" s="31">
        <f>SUM(J2983:J2986)</f>
        <v>2215036.9299999997</v>
      </c>
      <c r="K2993" s="38" t="s">
        <v>4667</v>
      </c>
      <c r="L2993" s="119"/>
      <c r="M2993" s="12"/>
      <c r="N2993" s="9"/>
      <c r="O2993" s="9"/>
      <c r="P2993" s="9"/>
      <c r="Q2993" s="9"/>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c r="AS2993" s="9"/>
      <c r="AT2993" s="9"/>
      <c r="AU2993" s="9"/>
      <c r="AV2993" s="9"/>
      <c r="AW2993" s="9"/>
      <c r="AX2993" s="9"/>
      <c r="AY2993" s="9"/>
      <c r="AZ2993" s="9"/>
      <c r="BA2993" s="9"/>
      <c r="BB2993" s="9"/>
      <c r="BC2993" s="9"/>
      <c r="BD2993" s="9"/>
      <c r="BE2993" s="9"/>
      <c r="BF2993" s="9"/>
      <c r="BG2993" s="9"/>
      <c r="BH2993" s="9"/>
    </row>
    <row r="2994" spans="1:60" s="4" customFormat="1" x14ac:dyDescent="0.25">
      <c r="A2994" s="9"/>
      <c r="B2994" s="9"/>
      <c r="C2994" s="38" t="s">
        <v>4667</v>
      </c>
      <c r="D2994" s="90"/>
      <c r="E2994" s="29" t="s">
        <v>5015</v>
      </c>
      <c r="F2994" s="30"/>
      <c r="G2994" s="30"/>
      <c r="H2994" s="26"/>
      <c r="I2994" s="31">
        <f>SUM(I2987:I2993)</f>
        <v>20529098.41</v>
      </c>
      <c r="J2994" s="31">
        <f>SUM(J2987:J2993)</f>
        <v>14294993.58</v>
      </c>
      <c r="K2994" s="38" t="s">
        <v>4667</v>
      </c>
      <c r="L2994" s="119">
        <f>J2994</f>
        <v>14294993.58</v>
      </c>
      <c r="M2994" s="3">
        <f>SUM(J2994*0.4)</f>
        <v>5717997.432</v>
      </c>
      <c r="N2994" s="9"/>
      <c r="O2994" s="9"/>
      <c r="P2994" s="9"/>
      <c r="Q2994" s="9"/>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c r="AS2994" s="9"/>
      <c r="AT2994" s="9"/>
      <c r="AU2994" s="9"/>
      <c r="AV2994" s="9"/>
      <c r="AW2994" s="9"/>
      <c r="AX2994" s="9"/>
      <c r="AY2994" s="9"/>
      <c r="AZ2994" s="9"/>
      <c r="BA2994" s="9"/>
      <c r="BB2994" s="9"/>
      <c r="BC2994" s="9"/>
      <c r="BD2994" s="9"/>
      <c r="BE2994" s="9"/>
      <c r="BF2994" s="9"/>
      <c r="BG2994" s="9"/>
      <c r="BH2994" s="9"/>
    </row>
    <row r="2995" spans="1:60" s="4" customFormat="1" x14ac:dyDescent="0.25">
      <c r="A2995" s="9"/>
      <c r="B2995" s="9"/>
      <c r="C2995" s="112"/>
      <c r="D2995" s="90"/>
      <c r="E2995" s="15"/>
      <c r="F2995" s="11"/>
      <c r="G2995" s="11"/>
      <c r="H2995" s="9"/>
      <c r="I2995" s="16"/>
      <c r="J2995" s="16"/>
      <c r="K2995" s="112"/>
      <c r="L2995" s="121"/>
      <c r="M2995" s="12"/>
      <c r="N2995" s="9"/>
      <c r="O2995" s="9"/>
      <c r="P2995" s="9"/>
      <c r="Q2995" s="9"/>
      <c r="R2995" s="9"/>
      <c r="S2995" s="9"/>
      <c r="T2995" s="9"/>
      <c r="U2995" s="9"/>
      <c r="V2995" s="9"/>
      <c r="W2995" s="9"/>
      <c r="X2995" s="9"/>
      <c r="Y2995" s="9"/>
      <c r="Z2995" s="9"/>
      <c r="AA2995" s="9"/>
      <c r="AB2995" s="9"/>
      <c r="AC2995" s="9"/>
      <c r="AD2995" s="9"/>
      <c r="AE2995" s="9"/>
      <c r="AF2995" s="9"/>
      <c r="AG2995" s="9"/>
      <c r="AH2995" s="9"/>
      <c r="AI2995" s="9"/>
      <c r="AJ2995" s="9"/>
      <c r="AK2995" s="9"/>
      <c r="AL2995" s="9"/>
      <c r="AM2995" s="9"/>
      <c r="AN2995" s="9"/>
      <c r="AO2995" s="9"/>
      <c r="AP2995" s="9"/>
      <c r="AQ2995" s="9"/>
      <c r="AR2995" s="9"/>
      <c r="AS2995" s="9"/>
      <c r="AT2995" s="9"/>
      <c r="AU2995" s="9"/>
      <c r="AV2995" s="9"/>
      <c r="AW2995" s="9"/>
      <c r="AX2995" s="9"/>
      <c r="AY2995" s="9"/>
      <c r="AZ2995" s="9"/>
      <c r="BA2995" s="9"/>
      <c r="BB2995" s="9"/>
      <c r="BC2995" s="9"/>
      <c r="BD2995" s="9"/>
      <c r="BE2995" s="9"/>
      <c r="BF2995" s="9"/>
      <c r="BG2995" s="9"/>
      <c r="BH2995" s="9"/>
    </row>
    <row r="2996" spans="1:60" s="4" customFormat="1" ht="76.5" x14ac:dyDescent="0.25">
      <c r="A2996" s="4" t="s">
        <v>5016</v>
      </c>
      <c r="B2996" s="4" t="s">
        <v>13</v>
      </c>
      <c r="C2996" s="37" t="s">
        <v>5018</v>
      </c>
      <c r="D2996" s="35">
        <v>4004</v>
      </c>
      <c r="E2996" s="4" t="s">
        <v>5017</v>
      </c>
      <c r="F2996" s="5">
        <v>39479</v>
      </c>
      <c r="G2996" s="5">
        <v>39537</v>
      </c>
      <c r="H2996" s="4" t="s">
        <v>16</v>
      </c>
      <c r="I2996" s="6">
        <v>13000</v>
      </c>
      <c r="J2996" s="6">
        <v>3900</v>
      </c>
      <c r="K2996" s="37" t="s">
        <v>5018</v>
      </c>
      <c r="L2996" s="119"/>
      <c r="M2996" s="3"/>
    </row>
    <row r="2997" spans="1:60" s="4" customFormat="1" ht="38.25" x14ac:dyDescent="0.25">
      <c r="A2997" s="4" t="s">
        <v>5019</v>
      </c>
      <c r="B2997" s="4" t="s">
        <v>13</v>
      </c>
      <c r="C2997" s="37" t="s">
        <v>5018</v>
      </c>
      <c r="D2997" s="35">
        <v>4005</v>
      </c>
      <c r="E2997" s="4" t="s">
        <v>5020</v>
      </c>
      <c r="F2997" s="5">
        <v>39406</v>
      </c>
      <c r="G2997" s="5">
        <v>39689</v>
      </c>
      <c r="H2997" s="4" t="s">
        <v>16</v>
      </c>
      <c r="I2997" s="6">
        <v>33378.92</v>
      </c>
      <c r="J2997" s="6">
        <v>9000</v>
      </c>
      <c r="K2997" s="37" t="s">
        <v>5018</v>
      </c>
      <c r="L2997" s="119"/>
      <c r="M2997" s="3"/>
    </row>
    <row r="2998" spans="1:60" s="4" customFormat="1" ht="25.5" x14ac:dyDescent="0.25">
      <c r="A2998" s="4" t="s">
        <v>5021</v>
      </c>
      <c r="B2998" s="4" t="s">
        <v>13</v>
      </c>
      <c r="C2998" s="37" t="s">
        <v>5018</v>
      </c>
      <c r="D2998" s="35">
        <v>4006</v>
      </c>
      <c r="E2998" s="4" t="s">
        <v>5022</v>
      </c>
      <c r="F2998" s="5">
        <v>39370</v>
      </c>
      <c r="G2998" s="5">
        <v>39689</v>
      </c>
      <c r="H2998" s="4" t="s">
        <v>16</v>
      </c>
      <c r="I2998" s="6">
        <v>70375</v>
      </c>
      <c r="J2998" s="6">
        <v>21112.5</v>
      </c>
      <c r="K2998" s="37" t="s">
        <v>5018</v>
      </c>
      <c r="L2998" s="119"/>
      <c r="M2998" s="3"/>
    </row>
    <row r="2999" spans="1:60" s="4" customFormat="1" x14ac:dyDescent="0.25">
      <c r="A2999" s="4" t="s">
        <v>5023</v>
      </c>
      <c r="B2999" s="4" t="s">
        <v>13</v>
      </c>
      <c r="C2999" s="37" t="s">
        <v>5018</v>
      </c>
      <c r="D2999" s="35">
        <v>4007</v>
      </c>
      <c r="E2999" s="4" t="s">
        <v>5024</v>
      </c>
      <c r="F2999" s="5">
        <v>39342</v>
      </c>
      <c r="G2999" s="5">
        <v>39476</v>
      </c>
      <c r="H2999" s="4" t="s">
        <v>16</v>
      </c>
      <c r="I2999" s="6">
        <v>24325</v>
      </c>
      <c r="J2999" s="6">
        <v>7297.5</v>
      </c>
      <c r="K2999" s="37" t="s">
        <v>5018</v>
      </c>
      <c r="L2999" s="119"/>
      <c r="M2999" s="3"/>
    </row>
    <row r="3000" spans="1:60" s="4" customFormat="1" x14ac:dyDescent="0.25">
      <c r="A3000" s="4" t="s">
        <v>5025</v>
      </c>
      <c r="B3000" s="4" t="s">
        <v>13</v>
      </c>
      <c r="C3000" s="37" t="s">
        <v>5018</v>
      </c>
      <c r="D3000" s="35">
        <v>4008</v>
      </c>
      <c r="E3000" s="4" t="s">
        <v>5024</v>
      </c>
      <c r="F3000" s="5">
        <v>39330</v>
      </c>
      <c r="G3000" s="5">
        <v>39507</v>
      </c>
      <c r="H3000" s="4" t="s">
        <v>16</v>
      </c>
      <c r="I3000" s="6">
        <v>23975</v>
      </c>
      <c r="J3000" s="6">
        <v>7192.5</v>
      </c>
      <c r="K3000" s="37" t="s">
        <v>5018</v>
      </c>
      <c r="L3000" s="119"/>
      <c r="M3000" s="3"/>
    </row>
    <row r="3001" spans="1:60" s="4" customFormat="1" x14ac:dyDescent="0.25">
      <c r="A3001" s="4" t="s">
        <v>5026</v>
      </c>
      <c r="B3001" s="4" t="s">
        <v>13</v>
      </c>
      <c r="C3001" s="37" t="s">
        <v>5018</v>
      </c>
      <c r="D3001" s="35">
        <v>4012</v>
      </c>
      <c r="E3001" s="4" t="s">
        <v>5027</v>
      </c>
      <c r="F3001" s="5">
        <v>39183</v>
      </c>
      <c r="G3001" s="5">
        <v>39290</v>
      </c>
      <c r="H3001" s="4" t="s">
        <v>16</v>
      </c>
      <c r="I3001" s="6">
        <v>74950</v>
      </c>
      <c r="J3001" s="6">
        <v>21423</v>
      </c>
      <c r="K3001" s="37" t="s">
        <v>5018</v>
      </c>
      <c r="L3001" s="119"/>
      <c r="M3001" s="3"/>
    </row>
    <row r="3002" spans="1:60" s="4" customFormat="1" ht="38.25" x14ac:dyDescent="0.25">
      <c r="A3002" s="4" t="s">
        <v>5023</v>
      </c>
      <c r="B3002" s="4" t="s">
        <v>13</v>
      </c>
      <c r="C3002" s="37" t="s">
        <v>5018</v>
      </c>
      <c r="D3002" s="35">
        <v>4013</v>
      </c>
      <c r="E3002" s="4" t="s">
        <v>5028</v>
      </c>
      <c r="F3002" s="5">
        <v>39342</v>
      </c>
      <c r="G3002" s="5">
        <v>39476</v>
      </c>
      <c r="H3002" s="4" t="s">
        <v>16</v>
      </c>
      <c r="I3002" s="6">
        <v>5890.65</v>
      </c>
      <c r="J3002" s="6">
        <v>960</v>
      </c>
      <c r="K3002" s="37" t="s">
        <v>5018</v>
      </c>
      <c r="L3002" s="119"/>
      <c r="M3002" s="3"/>
    </row>
    <row r="3003" spans="1:60" s="4" customFormat="1" ht="76.5" x14ac:dyDescent="0.25">
      <c r="A3003" s="4" t="s">
        <v>5029</v>
      </c>
      <c r="B3003" s="4" t="s">
        <v>13</v>
      </c>
      <c r="C3003" s="37" t="s">
        <v>5018</v>
      </c>
      <c r="D3003" s="35">
        <v>4014</v>
      </c>
      <c r="E3003" s="4" t="s">
        <v>5030</v>
      </c>
      <c r="F3003" s="5">
        <v>39507</v>
      </c>
      <c r="G3003" s="5">
        <v>39689</v>
      </c>
      <c r="H3003" s="4" t="s">
        <v>16</v>
      </c>
      <c r="I3003" s="6">
        <v>5300</v>
      </c>
      <c r="J3003" s="6">
        <v>1367</v>
      </c>
      <c r="K3003" s="37" t="s">
        <v>5018</v>
      </c>
      <c r="L3003" s="119"/>
      <c r="M3003" s="3"/>
    </row>
    <row r="3004" spans="1:60" s="4" customFormat="1" ht="25.5" x14ac:dyDescent="0.25">
      <c r="A3004" s="4" t="s">
        <v>5019</v>
      </c>
      <c r="B3004" s="4" t="s">
        <v>13</v>
      </c>
      <c r="C3004" s="37" t="s">
        <v>5018</v>
      </c>
      <c r="D3004" s="35">
        <v>4015</v>
      </c>
      <c r="E3004" s="4" t="s">
        <v>5031</v>
      </c>
      <c r="F3004" s="5">
        <v>39821</v>
      </c>
      <c r="G3004" s="5">
        <v>39903</v>
      </c>
      <c r="H3004" s="4" t="s">
        <v>16</v>
      </c>
      <c r="I3004" s="6">
        <v>8512.5</v>
      </c>
      <c r="J3004" s="6">
        <v>2250</v>
      </c>
      <c r="K3004" s="37" t="s">
        <v>5018</v>
      </c>
      <c r="L3004" s="119"/>
      <c r="M3004" s="3"/>
    </row>
    <row r="3005" spans="1:60" s="4" customFormat="1" x14ac:dyDescent="0.25">
      <c r="A3005" s="4" t="s">
        <v>5032</v>
      </c>
      <c r="B3005" s="4" t="s">
        <v>13</v>
      </c>
      <c r="C3005" s="37" t="s">
        <v>5018</v>
      </c>
      <c r="D3005" s="35">
        <v>4017</v>
      </c>
      <c r="E3005" s="4" t="s">
        <v>5024</v>
      </c>
      <c r="F3005" s="5">
        <v>39342</v>
      </c>
      <c r="G3005" s="5">
        <v>39791</v>
      </c>
      <c r="H3005" s="4" t="s">
        <v>16</v>
      </c>
      <c r="I3005" s="6">
        <v>36105</v>
      </c>
      <c r="J3005" s="6">
        <v>9750</v>
      </c>
      <c r="K3005" s="37" t="s">
        <v>5018</v>
      </c>
      <c r="L3005" s="119"/>
      <c r="M3005" s="3"/>
    </row>
    <row r="3006" spans="1:60" s="4" customFormat="1" x14ac:dyDescent="0.25">
      <c r="A3006" s="4" t="s">
        <v>5033</v>
      </c>
      <c r="B3006" s="4" t="s">
        <v>13</v>
      </c>
      <c r="C3006" s="37" t="s">
        <v>5018</v>
      </c>
      <c r="D3006" s="35">
        <v>4018</v>
      </c>
      <c r="E3006" s="4" t="s">
        <v>5034</v>
      </c>
      <c r="F3006" s="5">
        <v>39357</v>
      </c>
      <c r="G3006" s="5">
        <v>39721</v>
      </c>
      <c r="H3006" s="4" t="s">
        <v>16</v>
      </c>
      <c r="I3006" s="6">
        <v>106953.4</v>
      </c>
      <c r="J3006" s="6">
        <v>30000</v>
      </c>
      <c r="K3006" s="37" t="s">
        <v>5018</v>
      </c>
      <c r="L3006" s="119"/>
      <c r="M3006" s="3"/>
    </row>
    <row r="3007" spans="1:60" s="4" customFormat="1" ht="63.75" x14ac:dyDescent="0.25">
      <c r="A3007" s="4" t="s">
        <v>5035</v>
      </c>
      <c r="B3007" s="4" t="s">
        <v>13</v>
      </c>
      <c r="C3007" s="37" t="s">
        <v>5018</v>
      </c>
      <c r="D3007" s="35">
        <v>4019</v>
      </c>
      <c r="E3007" s="4" t="s">
        <v>5036</v>
      </c>
      <c r="F3007" s="5">
        <v>39415</v>
      </c>
      <c r="G3007" s="5">
        <v>39660</v>
      </c>
      <c r="H3007" s="4" t="s">
        <v>16</v>
      </c>
      <c r="I3007" s="6">
        <v>20828</v>
      </c>
      <c r="J3007" s="6">
        <v>6184</v>
      </c>
      <c r="K3007" s="37" t="s">
        <v>5018</v>
      </c>
      <c r="L3007" s="119"/>
      <c r="M3007" s="3"/>
    </row>
    <row r="3008" spans="1:60" s="4" customFormat="1" ht="51" x14ac:dyDescent="0.25">
      <c r="A3008" s="4" t="s">
        <v>5037</v>
      </c>
      <c r="B3008" s="4" t="s">
        <v>13</v>
      </c>
      <c r="C3008" s="37" t="s">
        <v>5018</v>
      </c>
      <c r="D3008" s="35">
        <v>4020</v>
      </c>
      <c r="E3008" s="4" t="s">
        <v>5038</v>
      </c>
      <c r="F3008" s="5">
        <v>39332</v>
      </c>
      <c r="G3008" s="5">
        <v>39569</v>
      </c>
      <c r="H3008" s="4" t="s">
        <v>16</v>
      </c>
      <c r="I3008" s="6">
        <v>906524.38</v>
      </c>
      <c r="J3008" s="6">
        <v>189528</v>
      </c>
      <c r="K3008" s="37" t="s">
        <v>5018</v>
      </c>
      <c r="L3008" s="119"/>
      <c r="M3008" s="3"/>
    </row>
    <row r="3009" spans="1:13" s="4" customFormat="1" x14ac:dyDescent="0.25">
      <c r="A3009" s="4" t="s">
        <v>5039</v>
      </c>
      <c r="B3009" s="4" t="s">
        <v>13</v>
      </c>
      <c r="C3009" s="37" t="s">
        <v>5018</v>
      </c>
      <c r="D3009" s="35">
        <v>4021</v>
      </c>
      <c r="E3009" s="4" t="s">
        <v>5040</v>
      </c>
      <c r="F3009" s="5">
        <v>39671</v>
      </c>
      <c r="G3009" s="5">
        <v>39752</v>
      </c>
      <c r="H3009" s="4" t="s">
        <v>16</v>
      </c>
      <c r="I3009" s="6">
        <v>89872.92</v>
      </c>
      <c r="J3009" s="6">
        <v>16500</v>
      </c>
      <c r="K3009" s="37" t="s">
        <v>5018</v>
      </c>
      <c r="L3009" s="119"/>
      <c r="M3009" s="3"/>
    </row>
    <row r="3010" spans="1:13" s="4" customFormat="1" ht="25.5" x14ac:dyDescent="0.25">
      <c r="A3010" s="4" t="s">
        <v>5041</v>
      </c>
      <c r="B3010" s="4" t="s">
        <v>13</v>
      </c>
      <c r="C3010" s="37" t="s">
        <v>5018</v>
      </c>
      <c r="D3010" s="35">
        <v>4022</v>
      </c>
      <c r="E3010" s="4" t="s">
        <v>5042</v>
      </c>
      <c r="F3010" s="5">
        <v>39825</v>
      </c>
      <c r="G3010" s="5">
        <v>40140</v>
      </c>
      <c r="H3010" s="4" t="s">
        <v>16</v>
      </c>
      <c r="I3010" s="6">
        <v>27022.03</v>
      </c>
      <c r="J3010" s="6">
        <v>8106.61</v>
      </c>
      <c r="K3010" s="37" t="s">
        <v>5018</v>
      </c>
      <c r="L3010" s="119"/>
      <c r="M3010" s="3"/>
    </row>
    <row r="3011" spans="1:13" s="4" customFormat="1" ht="25.5" x14ac:dyDescent="0.25">
      <c r="A3011" s="4" t="s">
        <v>5043</v>
      </c>
      <c r="B3011" s="4" t="s">
        <v>13</v>
      </c>
      <c r="C3011" s="37" t="s">
        <v>5018</v>
      </c>
      <c r="D3011" s="35">
        <v>4023</v>
      </c>
      <c r="E3011" s="4" t="s">
        <v>5044</v>
      </c>
      <c r="F3011" s="5">
        <v>40017</v>
      </c>
      <c r="G3011" s="5">
        <v>40170</v>
      </c>
      <c r="H3011" s="4" t="s">
        <v>16</v>
      </c>
      <c r="I3011" s="6">
        <v>4520</v>
      </c>
      <c r="J3011" s="6">
        <v>1340</v>
      </c>
      <c r="K3011" s="37" t="s">
        <v>5018</v>
      </c>
      <c r="L3011" s="119"/>
      <c r="M3011" s="3"/>
    </row>
    <row r="3012" spans="1:13" s="4" customFormat="1" ht="51" x14ac:dyDescent="0.25">
      <c r="A3012" s="4" t="s">
        <v>5045</v>
      </c>
      <c r="B3012" s="4" t="s">
        <v>13</v>
      </c>
      <c r="C3012" s="37" t="s">
        <v>5018</v>
      </c>
      <c r="D3012" s="35">
        <v>4025</v>
      </c>
      <c r="E3012" s="4" t="s">
        <v>5046</v>
      </c>
      <c r="F3012" s="5">
        <v>39770</v>
      </c>
      <c r="G3012" s="5">
        <v>39871</v>
      </c>
      <c r="H3012" s="4" t="s">
        <v>16</v>
      </c>
      <c r="I3012" s="6">
        <v>15000</v>
      </c>
      <c r="J3012" s="6">
        <v>4320</v>
      </c>
      <c r="K3012" s="37" t="s">
        <v>5018</v>
      </c>
      <c r="L3012" s="119"/>
      <c r="M3012" s="3"/>
    </row>
    <row r="3013" spans="1:13" s="4" customFormat="1" ht="63.75" x14ac:dyDescent="0.25">
      <c r="A3013" s="4" t="s">
        <v>5035</v>
      </c>
      <c r="B3013" s="4" t="s">
        <v>13</v>
      </c>
      <c r="C3013" s="37" t="s">
        <v>5018</v>
      </c>
      <c r="D3013" s="35">
        <v>4026</v>
      </c>
      <c r="E3013" s="4" t="s">
        <v>5047</v>
      </c>
      <c r="F3013" s="5">
        <v>39415</v>
      </c>
      <c r="G3013" s="5">
        <v>39660</v>
      </c>
      <c r="H3013" s="4" t="s">
        <v>16</v>
      </c>
      <c r="I3013" s="6">
        <v>8025</v>
      </c>
      <c r="J3013" s="6">
        <v>2408</v>
      </c>
      <c r="K3013" s="37" t="s">
        <v>5018</v>
      </c>
      <c r="L3013" s="119"/>
      <c r="M3013" s="3"/>
    </row>
    <row r="3014" spans="1:13" s="4" customFormat="1" ht="25.5" x14ac:dyDescent="0.25">
      <c r="A3014" s="4" t="s">
        <v>5032</v>
      </c>
      <c r="B3014" s="4" t="s">
        <v>13</v>
      </c>
      <c r="C3014" s="37" t="s">
        <v>5018</v>
      </c>
      <c r="D3014" s="35">
        <v>4028</v>
      </c>
      <c r="E3014" s="4" t="s">
        <v>5048</v>
      </c>
      <c r="F3014" s="5">
        <v>39352</v>
      </c>
      <c r="G3014" s="5">
        <v>39791</v>
      </c>
      <c r="H3014" s="4" t="s">
        <v>16</v>
      </c>
      <c r="I3014" s="6">
        <v>4800</v>
      </c>
      <c r="J3014" s="6">
        <v>1440</v>
      </c>
      <c r="K3014" s="37" t="s">
        <v>5018</v>
      </c>
      <c r="L3014" s="119"/>
      <c r="M3014" s="3"/>
    </row>
    <row r="3015" spans="1:13" s="4" customFormat="1" ht="51" x14ac:dyDescent="0.25">
      <c r="A3015" s="4" t="s">
        <v>5049</v>
      </c>
      <c r="B3015" s="4" t="s">
        <v>13</v>
      </c>
      <c r="C3015" s="37" t="s">
        <v>5018</v>
      </c>
      <c r="D3015" s="35">
        <v>4032</v>
      </c>
      <c r="E3015" s="4" t="s">
        <v>5050</v>
      </c>
      <c r="F3015" s="5">
        <v>39825</v>
      </c>
      <c r="G3015" s="5">
        <v>39903</v>
      </c>
      <c r="H3015" s="4" t="s">
        <v>16</v>
      </c>
      <c r="I3015" s="6">
        <v>5200</v>
      </c>
      <c r="J3015" s="6">
        <v>1560</v>
      </c>
      <c r="K3015" s="37" t="s">
        <v>5018</v>
      </c>
      <c r="L3015" s="119"/>
      <c r="M3015" s="3"/>
    </row>
    <row r="3016" spans="1:13" s="4" customFormat="1" ht="38.25" x14ac:dyDescent="0.25">
      <c r="A3016" s="4" t="s">
        <v>4685</v>
      </c>
      <c r="B3016" s="4" t="s">
        <v>13</v>
      </c>
      <c r="C3016" s="37" t="s">
        <v>5018</v>
      </c>
      <c r="D3016" s="35">
        <v>4034</v>
      </c>
      <c r="E3016" s="4" t="s">
        <v>5051</v>
      </c>
      <c r="F3016" s="5">
        <v>39972</v>
      </c>
      <c r="G3016" s="5">
        <v>40162</v>
      </c>
      <c r="H3016" s="4" t="s">
        <v>16</v>
      </c>
      <c r="I3016" s="6">
        <v>16422</v>
      </c>
      <c r="J3016" s="6">
        <v>4800</v>
      </c>
      <c r="K3016" s="37" t="s">
        <v>5018</v>
      </c>
      <c r="L3016" s="119"/>
      <c r="M3016" s="3"/>
    </row>
    <row r="3017" spans="1:13" s="4" customFormat="1" ht="25.5" x14ac:dyDescent="0.25">
      <c r="A3017" s="4" t="s">
        <v>5052</v>
      </c>
      <c r="B3017" s="4" t="s">
        <v>13</v>
      </c>
      <c r="C3017" s="37" t="s">
        <v>5018</v>
      </c>
      <c r="D3017" s="35">
        <v>9467</v>
      </c>
      <c r="E3017" s="4" t="s">
        <v>5053</v>
      </c>
      <c r="F3017" s="5">
        <v>39406</v>
      </c>
      <c r="G3017" s="5">
        <v>39660</v>
      </c>
      <c r="H3017" s="4" t="s">
        <v>16</v>
      </c>
      <c r="I3017" s="6">
        <v>40450</v>
      </c>
      <c r="J3017" s="6">
        <v>10613</v>
      </c>
      <c r="K3017" s="37" t="s">
        <v>5018</v>
      </c>
      <c r="L3017" s="119"/>
      <c r="M3017" s="3"/>
    </row>
    <row r="3018" spans="1:13" s="4" customFormat="1" ht="25.5" x14ac:dyDescent="0.25">
      <c r="A3018" s="4" t="s">
        <v>5054</v>
      </c>
      <c r="B3018" s="4" t="s">
        <v>13</v>
      </c>
      <c r="C3018" s="37" t="s">
        <v>5018</v>
      </c>
      <c r="D3018" s="35">
        <v>9884</v>
      </c>
      <c r="E3018" s="4" t="s">
        <v>5055</v>
      </c>
      <c r="F3018" s="5">
        <v>40289</v>
      </c>
      <c r="G3018" s="5">
        <v>40466</v>
      </c>
      <c r="H3018" s="4" t="s">
        <v>16</v>
      </c>
      <c r="I3018" s="6">
        <v>4845.8100000000004</v>
      </c>
      <c r="J3018" s="6">
        <v>1453.74</v>
      </c>
      <c r="K3018" s="37" t="s">
        <v>5018</v>
      </c>
      <c r="L3018" s="119"/>
      <c r="M3018" s="3"/>
    </row>
    <row r="3019" spans="1:13" s="4" customFormat="1" ht="38.25" x14ac:dyDescent="0.25">
      <c r="A3019" s="4" t="s">
        <v>5056</v>
      </c>
      <c r="B3019" s="4" t="s">
        <v>13</v>
      </c>
      <c r="C3019" s="37" t="s">
        <v>5018</v>
      </c>
      <c r="D3019" s="35">
        <v>9895</v>
      </c>
      <c r="E3019" s="4" t="s">
        <v>5057</v>
      </c>
      <c r="F3019" s="5">
        <v>40504</v>
      </c>
      <c r="G3019" s="5">
        <v>40598</v>
      </c>
      <c r="H3019" s="4" t="s">
        <v>16</v>
      </c>
      <c r="I3019" s="6">
        <v>33000</v>
      </c>
      <c r="J3019" s="6">
        <v>13200</v>
      </c>
      <c r="K3019" s="37" t="s">
        <v>5018</v>
      </c>
      <c r="L3019" s="119"/>
      <c r="M3019" s="3"/>
    </row>
    <row r="3020" spans="1:13" s="4" customFormat="1" x14ac:dyDescent="0.25">
      <c r="A3020" s="4" t="s">
        <v>5058</v>
      </c>
      <c r="B3020" s="4" t="s">
        <v>13</v>
      </c>
      <c r="C3020" s="37" t="s">
        <v>5018</v>
      </c>
      <c r="D3020" s="35">
        <v>9944</v>
      </c>
      <c r="E3020" s="4" t="s">
        <v>5059</v>
      </c>
      <c r="F3020" s="5">
        <v>40204</v>
      </c>
      <c r="G3020" s="5">
        <v>40364</v>
      </c>
      <c r="H3020" s="4" t="s">
        <v>16</v>
      </c>
      <c r="I3020" s="6">
        <v>67700</v>
      </c>
      <c r="J3020" s="6">
        <v>20190</v>
      </c>
      <c r="K3020" s="37" t="s">
        <v>5018</v>
      </c>
      <c r="L3020" s="119"/>
      <c r="M3020" s="3"/>
    </row>
    <row r="3021" spans="1:13" s="4" customFormat="1" ht="25.5" x14ac:dyDescent="0.25">
      <c r="A3021" s="4" t="s">
        <v>5060</v>
      </c>
      <c r="B3021" s="4" t="s">
        <v>13</v>
      </c>
      <c r="C3021" s="37" t="s">
        <v>5018</v>
      </c>
      <c r="D3021" s="35">
        <v>9953</v>
      </c>
      <c r="E3021" s="4" t="s">
        <v>5061</v>
      </c>
      <c r="F3021" s="5">
        <v>40486</v>
      </c>
      <c r="G3021" s="5">
        <v>40598</v>
      </c>
      <c r="H3021" s="4" t="s">
        <v>16</v>
      </c>
      <c r="I3021" s="6">
        <v>5500</v>
      </c>
      <c r="J3021" s="6">
        <v>1248</v>
      </c>
      <c r="K3021" s="37" t="s">
        <v>5018</v>
      </c>
      <c r="L3021" s="119"/>
      <c r="M3021" s="3"/>
    </row>
    <row r="3022" spans="1:13" s="4" customFormat="1" x14ac:dyDescent="0.25">
      <c r="A3022" s="4" t="s">
        <v>5062</v>
      </c>
      <c r="B3022" s="4" t="s">
        <v>13</v>
      </c>
      <c r="C3022" s="37" t="s">
        <v>5018</v>
      </c>
      <c r="D3022" s="35">
        <v>9957</v>
      </c>
      <c r="E3022" s="4" t="s">
        <v>5063</v>
      </c>
      <c r="F3022" s="5">
        <v>40526</v>
      </c>
      <c r="G3022" s="5">
        <v>40673</v>
      </c>
      <c r="H3022" s="4" t="s">
        <v>16</v>
      </c>
      <c r="I3022" s="6">
        <v>9226.43</v>
      </c>
      <c r="J3022" s="6">
        <v>2597.7600000000002</v>
      </c>
      <c r="K3022" s="37" t="s">
        <v>5018</v>
      </c>
      <c r="L3022" s="119"/>
      <c r="M3022" s="3"/>
    </row>
    <row r="3023" spans="1:13" s="4" customFormat="1" x14ac:dyDescent="0.25">
      <c r="A3023" s="4" t="s">
        <v>5064</v>
      </c>
      <c r="B3023" s="4" t="s">
        <v>13</v>
      </c>
      <c r="C3023" s="37" t="s">
        <v>5018</v>
      </c>
      <c r="D3023" s="35">
        <v>9993</v>
      </c>
      <c r="E3023" s="4" t="s">
        <v>5065</v>
      </c>
      <c r="F3023" s="5">
        <v>40424</v>
      </c>
      <c r="G3023" s="5">
        <v>40583</v>
      </c>
      <c r="H3023" s="4" t="s">
        <v>16</v>
      </c>
      <c r="I3023" s="6">
        <v>13204.41</v>
      </c>
      <c r="J3023" s="6">
        <v>3961.32</v>
      </c>
      <c r="K3023" s="37" t="s">
        <v>5018</v>
      </c>
      <c r="L3023" s="119"/>
      <c r="M3023" s="3"/>
    </row>
    <row r="3024" spans="1:13" s="4" customFormat="1" ht="114.75" x14ac:dyDescent="0.25">
      <c r="A3024" s="4" t="s">
        <v>5066</v>
      </c>
      <c r="B3024" s="4" t="s">
        <v>13</v>
      </c>
      <c r="C3024" s="37" t="s">
        <v>5018</v>
      </c>
      <c r="D3024" s="35">
        <v>10032</v>
      </c>
      <c r="E3024" s="7" t="s">
        <v>5067</v>
      </c>
      <c r="F3024" s="5">
        <v>40428</v>
      </c>
      <c r="G3024" s="5">
        <v>40535</v>
      </c>
      <c r="H3024" s="4" t="s">
        <v>392</v>
      </c>
      <c r="I3024" s="6">
        <v>264000</v>
      </c>
      <c r="J3024" s="6">
        <v>66000</v>
      </c>
      <c r="K3024" s="37" t="s">
        <v>5018</v>
      </c>
      <c r="L3024" s="119"/>
      <c r="M3024" s="3"/>
    </row>
    <row r="3025" spans="1:13" s="4" customFormat="1" x14ac:dyDescent="0.25">
      <c r="A3025" s="4" t="s">
        <v>5068</v>
      </c>
      <c r="B3025" s="4" t="s">
        <v>59</v>
      </c>
      <c r="C3025" s="37" t="s">
        <v>5018</v>
      </c>
      <c r="D3025" s="35">
        <v>1484</v>
      </c>
      <c r="E3025" s="4" t="s">
        <v>5069</v>
      </c>
      <c r="F3025" s="5">
        <v>39164</v>
      </c>
      <c r="G3025" s="5">
        <v>39530</v>
      </c>
      <c r="H3025" s="4" t="s">
        <v>40</v>
      </c>
      <c r="I3025" s="6">
        <v>5000</v>
      </c>
      <c r="J3025" s="6">
        <v>5000</v>
      </c>
      <c r="K3025" s="37" t="s">
        <v>5018</v>
      </c>
      <c r="L3025" s="119"/>
      <c r="M3025" s="3"/>
    </row>
    <row r="3026" spans="1:13" s="4" customFormat="1" ht="25.5" x14ac:dyDescent="0.25">
      <c r="A3026" s="4" t="s">
        <v>5070</v>
      </c>
      <c r="B3026" s="4" t="s">
        <v>59</v>
      </c>
      <c r="C3026" s="37" t="s">
        <v>5018</v>
      </c>
      <c r="D3026" s="35">
        <v>1518</v>
      </c>
      <c r="E3026" s="4" t="s">
        <v>5071</v>
      </c>
      <c r="F3026" s="5">
        <v>39202</v>
      </c>
      <c r="G3026" s="5">
        <v>39568</v>
      </c>
      <c r="H3026" s="4" t="s">
        <v>40</v>
      </c>
      <c r="I3026" s="6">
        <v>5000</v>
      </c>
      <c r="J3026" s="6">
        <v>5000</v>
      </c>
      <c r="K3026" s="37" t="s">
        <v>5018</v>
      </c>
      <c r="L3026" s="119"/>
      <c r="M3026" s="3"/>
    </row>
    <row r="3027" spans="1:13" s="4" customFormat="1" x14ac:dyDescent="0.25">
      <c r="A3027" s="4" t="s">
        <v>5072</v>
      </c>
      <c r="B3027" s="4" t="s">
        <v>59</v>
      </c>
      <c r="C3027" s="37" t="s">
        <v>5018</v>
      </c>
      <c r="D3027" s="35">
        <v>1526</v>
      </c>
      <c r="E3027" s="4" t="s">
        <v>5073</v>
      </c>
      <c r="F3027" s="5">
        <v>39202</v>
      </c>
      <c r="G3027" s="5">
        <v>39568</v>
      </c>
      <c r="H3027" s="4" t="s">
        <v>40</v>
      </c>
      <c r="I3027" s="6">
        <v>5000</v>
      </c>
      <c r="J3027" s="6">
        <v>5000</v>
      </c>
      <c r="K3027" s="37" t="s">
        <v>5018</v>
      </c>
      <c r="L3027" s="119"/>
      <c r="M3027" s="3"/>
    </row>
    <row r="3028" spans="1:13" s="4" customFormat="1" ht="25.5" x14ac:dyDescent="0.25">
      <c r="A3028" s="4" t="s">
        <v>5074</v>
      </c>
      <c r="B3028" s="4" t="s">
        <v>59</v>
      </c>
      <c r="C3028" s="37" t="s">
        <v>5018</v>
      </c>
      <c r="D3028" s="35">
        <v>1529</v>
      </c>
      <c r="E3028" s="4" t="s">
        <v>5075</v>
      </c>
      <c r="F3028" s="5">
        <v>39202</v>
      </c>
      <c r="G3028" s="5">
        <v>39568</v>
      </c>
      <c r="H3028" s="4" t="s">
        <v>40</v>
      </c>
      <c r="I3028" s="6">
        <v>5000</v>
      </c>
      <c r="J3028" s="6">
        <v>5000</v>
      </c>
      <c r="K3028" s="37" t="s">
        <v>5018</v>
      </c>
      <c r="L3028" s="119"/>
      <c r="M3028" s="3"/>
    </row>
    <row r="3029" spans="1:13" s="4" customFormat="1" ht="25.5" x14ac:dyDescent="0.25">
      <c r="A3029" s="4" t="s">
        <v>5076</v>
      </c>
      <c r="B3029" s="4" t="s">
        <v>90</v>
      </c>
      <c r="C3029" s="37" t="s">
        <v>5018</v>
      </c>
      <c r="D3029" s="35">
        <v>1535</v>
      </c>
      <c r="E3029" s="4" t="s">
        <v>5077</v>
      </c>
      <c r="F3029" s="5">
        <v>39164</v>
      </c>
      <c r="G3029" s="5">
        <v>39530</v>
      </c>
      <c r="H3029" s="4" t="s">
        <v>40</v>
      </c>
      <c r="I3029" s="6">
        <v>10000</v>
      </c>
      <c r="J3029" s="6">
        <v>5000</v>
      </c>
      <c r="K3029" s="37" t="s">
        <v>5018</v>
      </c>
      <c r="L3029" s="119"/>
      <c r="M3029" s="3"/>
    </row>
    <row r="3030" spans="1:13" s="4" customFormat="1" ht="25.5" x14ac:dyDescent="0.25">
      <c r="A3030" s="4" t="s">
        <v>5078</v>
      </c>
      <c r="B3030" s="4" t="s">
        <v>50</v>
      </c>
      <c r="C3030" s="37" t="s">
        <v>5018</v>
      </c>
      <c r="D3030" s="35">
        <v>1558</v>
      </c>
      <c r="E3030" s="4" t="s">
        <v>5079</v>
      </c>
      <c r="F3030" s="5">
        <v>39258</v>
      </c>
      <c r="G3030" s="5">
        <v>39624</v>
      </c>
      <c r="H3030" s="4" t="s">
        <v>40</v>
      </c>
      <c r="I3030" s="6">
        <v>23754</v>
      </c>
      <c r="J3030" s="6">
        <v>11877</v>
      </c>
      <c r="K3030" s="37" t="s">
        <v>5018</v>
      </c>
      <c r="L3030" s="119"/>
      <c r="M3030" s="3"/>
    </row>
    <row r="3031" spans="1:13" s="4" customFormat="1" x14ac:dyDescent="0.25">
      <c r="A3031" s="4" t="s">
        <v>5080</v>
      </c>
      <c r="B3031" s="4" t="s">
        <v>59</v>
      </c>
      <c r="C3031" s="37" t="s">
        <v>5018</v>
      </c>
      <c r="D3031" s="35">
        <v>1560</v>
      </c>
      <c r="E3031" s="4" t="s">
        <v>5081</v>
      </c>
      <c r="F3031" s="5">
        <v>39202</v>
      </c>
      <c r="G3031" s="5">
        <v>39568</v>
      </c>
      <c r="H3031" s="4" t="s">
        <v>40</v>
      </c>
      <c r="I3031" s="6">
        <v>3125</v>
      </c>
      <c r="J3031" s="6">
        <v>3125</v>
      </c>
      <c r="K3031" s="37" t="s">
        <v>5018</v>
      </c>
      <c r="L3031" s="119"/>
      <c r="M3031" s="3"/>
    </row>
    <row r="3032" spans="1:13" s="4" customFormat="1" ht="25.5" x14ac:dyDescent="0.25">
      <c r="A3032" s="4" t="s">
        <v>5082</v>
      </c>
      <c r="B3032" s="4" t="s">
        <v>50</v>
      </c>
      <c r="C3032" s="37" t="s">
        <v>5018</v>
      </c>
      <c r="D3032" s="35">
        <v>1565</v>
      </c>
      <c r="E3032" s="4" t="s">
        <v>5083</v>
      </c>
      <c r="F3032" s="5">
        <v>39202</v>
      </c>
      <c r="G3032" s="5">
        <v>39568</v>
      </c>
      <c r="H3032" s="4" t="s">
        <v>40</v>
      </c>
      <c r="I3032" s="6">
        <v>18477.84</v>
      </c>
      <c r="J3032" s="6">
        <v>9238.92</v>
      </c>
      <c r="K3032" s="37" t="s">
        <v>5018</v>
      </c>
      <c r="L3032" s="119"/>
      <c r="M3032" s="3"/>
    </row>
    <row r="3033" spans="1:13" s="4" customFormat="1" ht="25.5" x14ac:dyDescent="0.25">
      <c r="A3033" s="4" t="s">
        <v>5084</v>
      </c>
      <c r="B3033" s="4" t="s">
        <v>59</v>
      </c>
      <c r="C3033" s="37" t="s">
        <v>5018</v>
      </c>
      <c r="D3033" s="35">
        <v>1568</v>
      </c>
      <c r="E3033" s="4" t="s">
        <v>5085</v>
      </c>
      <c r="F3033" s="5">
        <v>39202</v>
      </c>
      <c r="G3033" s="5">
        <v>39568</v>
      </c>
      <c r="H3033" s="4" t="s">
        <v>40</v>
      </c>
      <c r="I3033" s="6">
        <v>2500</v>
      </c>
      <c r="J3033" s="6">
        <v>2500</v>
      </c>
      <c r="K3033" s="37" t="s">
        <v>5018</v>
      </c>
      <c r="L3033" s="119"/>
      <c r="M3033" s="3"/>
    </row>
    <row r="3034" spans="1:13" s="4" customFormat="1" x14ac:dyDescent="0.25">
      <c r="A3034" s="4" t="s">
        <v>5086</v>
      </c>
      <c r="B3034" s="4" t="s">
        <v>59</v>
      </c>
      <c r="C3034" s="37" t="s">
        <v>5018</v>
      </c>
      <c r="D3034" s="35">
        <v>1570</v>
      </c>
      <c r="E3034" s="4" t="s">
        <v>5087</v>
      </c>
      <c r="F3034" s="5">
        <v>39377</v>
      </c>
      <c r="G3034" s="5">
        <v>39743</v>
      </c>
      <c r="H3034" s="4" t="s">
        <v>40</v>
      </c>
      <c r="I3034" s="6">
        <v>5000</v>
      </c>
      <c r="J3034" s="6">
        <v>5000</v>
      </c>
      <c r="K3034" s="37" t="s">
        <v>5018</v>
      </c>
      <c r="L3034" s="119"/>
      <c r="M3034" s="3"/>
    </row>
    <row r="3035" spans="1:13" s="4" customFormat="1" x14ac:dyDescent="0.25">
      <c r="A3035" s="4" t="s">
        <v>5090</v>
      </c>
      <c r="B3035" s="4" t="s">
        <v>59</v>
      </c>
      <c r="C3035" s="37" t="s">
        <v>5018</v>
      </c>
      <c r="D3035" s="35">
        <v>1580</v>
      </c>
      <c r="E3035" s="4" t="s">
        <v>5091</v>
      </c>
      <c r="F3035" s="5">
        <v>39335</v>
      </c>
      <c r="G3035" s="5">
        <v>39701</v>
      </c>
      <c r="H3035" s="4" t="s">
        <v>40</v>
      </c>
      <c r="I3035" s="6">
        <v>5000</v>
      </c>
      <c r="J3035" s="6">
        <v>5000</v>
      </c>
      <c r="K3035" s="37" t="s">
        <v>5018</v>
      </c>
      <c r="L3035" s="119"/>
      <c r="M3035" s="3"/>
    </row>
    <row r="3036" spans="1:13" s="4" customFormat="1" x14ac:dyDescent="0.25">
      <c r="A3036" s="4" t="s">
        <v>5092</v>
      </c>
      <c r="B3036" s="4" t="s">
        <v>50</v>
      </c>
      <c r="C3036" s="37" t="s">
        <v>5018</v>
      </c>
      <c r="D3036" s="35">
        <v>1583</v>
      </c>
      <c r="E3036" s="4" t="s">
        <v>5093</v>
      </c>
      <c r="F3036" s="5">
        <v>39258</v>
      </c>
      <c r="G3036" s="5">
        <v>39624</v>
      </c>
      <c r="H3036" s="4" t="s">
        <v>40</v>
      </c>
      <c r="I3036" s="6">
        <v>38400</v>
      </c>
      <c r="J3036" s="6">
        <v>19200</v>
      </c>
      <c r="K3036" s="37" t="s">
        <v>5018</v>
      </c>
      <c r="L3036" s="119"/>
      <c r="M3036" s="3"/>
    </row>
    <row r="3037" spans="1:13" s="4" customFormat="1" ht="25.5" x14ac:dyDescent="0.25">
      <c r="A3037" s="4" t="s">
        <v>5094</v>
      </c>
      <c r="B3037" s="4" t="s">
        <v>90</v>
      </c>
      <c r="C3037" s="37" t="s">
        <v>5018</v>
      </c>
      <c r="D3037" s="35">
        <v>1587</v>
      </c>
      <c r="E3037" s="4" t="s">
        <v>5095</v>
      </c>
      <c r="F3037" s="5">
        <v>39335</v>
      </c>
      <c r="G3037" s="5">
        <v>39701</v>
      </c>
      <c r="H3037" s="4" t="s">
        <v>40</v>
      </c>
      <c r="I3037" s="6">
        <v>5896</v>
      </c>
      <c r="J3037" s="6">
        <v>2948</v>
      </c>
      <c r="K3037" s="37" t="s">
        <v>5018</v>
      </c>
      <c r="L3037" s="119"/>
      <c r="M3037" s="3"/>
    </row>
    <row r="3038" spans="1:13" s="4" customFormat="1" ht="25.5" x14ac:dyDescent="0.25">
      <c r="A3038" s="4" t="s">
        <v>5096</v>
      </c>
      <c r="B3038" s="4" t="s">
        <v>50</v>
      </c>
      <c r="C3038" s="37" t="s">
        <v>5018</v>
      </c>
      <c r="D3038" s="35">
        <v>1588</v>
      </c>
      <c r="E3038" s="4" t="s">
        <v>5097</v>
      </c>
      <c r="F3038" s="5">
        <v>39258</v>
      </c>
      <c r="G3038" s="5">
        <v>39624</v>
      </c>
      <c r="H3038" s="4" t="s">
        <v>40</v>
      </c>
      <c r="I3038" s="6">
        <v>10006</v>
      </c>
      <c r="J3038" s="6">
        <v>5003</v>
      </c>
      <c r="K3038" s="37" t="s">
        <v>5018</v>
      </c>
      <c r="L3038" s="119"/>
      <c r="M3038" s="3"/>
    </row>
    <row r="3039" spans="1:13" s="4" customFormat="1" x14ac:dyDescent="0.25">
      <c r="A3039" s="4" t="s">
        <v>5098</v>
      </c>
      <c r="B3039" s="4" t="s">
        <v>59</v>
      </c>
      <c r="C3039" s="37" t="s">
        <v>5018</v>
      </c>
      <c r="D3039" s="35">
        <v>1591</v>
      </c>
      <c r="E3039" s="4" t="s">
        <v>5099</v>
      </c>
      <c r="F3039" s="5">
        <v>39258</v>
      </c>
      <c r="G3039" s="5">
        <v>39716</v>
      </c>
      <c r="H3039" s="4" t="s">
        <v>40</v>
      </c>
      <c r="I3039" s="6">
        <v>7500</v>
      </c>
      <c r="J3039" s="6">
        <v>7500</v>
      </c>
      <c r="K3039" s="37" t="s">
        <v>5018</v>
      </c>
      <c r="L3039" s="119"/>
      <c r="M3039" s="3"/>
    </row>
    <row r="3040" spans="1:13" s="4" customFormat="1" x14ac:dyDescent="0.25">
      <c r="A3040" s="4" t="s">
        <v>5100</v>
      </c>
      <c r="B3040" s="4" t="s">
        <v>59</v>
      </c>
      <c r="C3040" s="37" t="s">
        <v>5018</v>
      </c>
      <c r="D3040" s="35">
        <v>1596</v>
      </c>
      <c r="E3040" s="4" t="s">
        <v>5101</v>
      </c>
      <c r="F3040" s="5">
        <v>39335</v>
      </c>
      <c r="G3040" s="5">
        <v>39701</v>
      </c>
      <c r="H3040" s="4" t="s">
        <v>40</v>
      </c>
      <c r="I3040" s="6">
        <v>5000</v>
      </c>
      <c r="J3040" s="6">
        <v>5000</v>
      </c>
      <c r="K3040" s="37" t="s">
        <v>5018</v>
      </c>
      <c r="L3040" s="119"/>
      <c r="M3040" s="3"/>
    </row>
    <row r="3041" spans="1:13" s="4" customFormat="1" x14ac:dyDescent="0.25">
      <c r="A3041" s="4" t="s">
        <v>5102</v>
      </c>
      <c r="B3041" s="4" t="s">
        <v>59</v>
      </c>
      <c r="C3041" s="37" t="s">
        <v>5018</v>
      </c>
      <c r="D3041" s="35">
        <v>1598</v>
      </c>
      <c r="E3041" s="4" t="s">
        <v>5103</v>
      </c>
      <c r="F3041" s="5">
        <v>39377</v>
      </c>
      <c r="G3041" s="5">
        <v>39743</v>
      </c>
      <c r="H3041" s="4" t="s">
        <v>40</v>
      </c>
      <c r="I3041" s="6">
        <v>5000</v>
      </c>
      <c r="J3041" s="6">
        <v>5000</v>
      </c>
      <c r="K3041" s="37" t="s">
        <v>5018</v>
      </c>
      <c r="L3041" s="119"/>
      <c r="M3041" s="3"/>
    </row>
    <row r="3042" spans="1:13" s="4" customFormat="1" ht="25.5" x14ac:dyDescent="0.25">
      <c r="A3042" s="4" t="s">
        <v>5104</v>
      </c>
      <c r="B3042" s="4" t="s">
        <v>50</v>
      </c>
      <c r="C3042" s="37" t="s">
        <v>5018</v>
      </c>
      <c r="D3042" s="35">
        <v>1602</v>
      </c>
      <c r="E3042" s="4" t="s">
        <v>5105</v>
      </c>
      <c r="F3042" s="5">
        <v>39335</v>
      </c>
      <c r="G3042" s="5">
        <v>39701</v>
      </c>
      <c r="H3042" s="4" t="s">
        <v>40</v>
      </c>
      <c r="I3042" s="6">
        <v>49200</v>
      </c>
      <c r="J3042" s="6">
        <v>24600</v>
      </c>
      <c r="K3042" s="37" t="s">
        <v>5018</v>
      </c>
      <c r="L3042" s="119"/>
      <c r="M3042" s="3"/>
    </row>
    <row r="3043" spans="1:13" s="4" customFormat="1" ht="25.5" x14ac:dyDescent="0.25">
      <c r="A3043" s="4" t="s">
        <v>5106</v>
      </c>
      <c r="B3043" s="4" t="s">
        <v>59</v>
      </c>
      <c r="C3043" s="37" t="s">
        <v>5018</v>
      </c>
      <c r="D3043" s="35">
        <v>1604</v>
      </c>
      <c r="E3043" s="4" t="s">
        <v>5107</v>
      </c>
      <c r="F3043" s="5">
        <v>39428</v>
      </c>
      <c r="G3043" s="5">
        <v>39794</v>
      </c>
      <c r="H3043" s="4" t="s">
        <v>40</v>
      </c>
      <c r="I3043" s="6">
        <v>2500</v>
      </c>
      <c r="J3043" s="6">
        <v>2500</v>
      </c>
      <c r="K3043" s="37" t="s">
        <v>5018</v>
      </c>
      <c r="L3043" s="119"/>
      <c r="M3043" s="3"/>
    </row>
    <row r="3044" spans="1:13" s="4" customFormat="1" ht="25.5" x14ac:dyDescent="0.25">
      <c r="A3044" s="4" t="s">
        <v>5108</v>
      </c>
      <c r="B3044" s="4" t="s">
        <v>59</v>
      </c>
      <c r="C3044" s="37" t="s">
        <v>5018</v>
      </c>
      <c r="D3044" s="35">
        <v>1607</v>
      </c>
      <c r="E3044" s="4" t="s">
        <v>5109</v>
      </c>
      <c r="F3044" s="5">
        <v>39428</v>
      </c>
      <c r="G3044" s="5">
        <v>39794</v>
      </c>
      <c r="H3044" s="4" t="s">
        <v>40</v>
      </c>
      <c r="I3044" s="6">
        <v>5000</v>
      </c>
      <c r="J3044" s="6">
        <v>5000</v>
      </c>
      <c r="K3044" s="37" t="s">
        <v>5018</v>
      </c>
      <c r="L3044" s="119"/>
      <c r="M3044" s="3"/>
    </row>
    <row r="3045" spans="1:13" s="4" customFormat="1" ht="25.5" x14ac:dyDescent="0.25">
      <c r="A3045" s="4" t="s">
        <v>5110</v>
      </c>
      <c r="B3045" s="4" t="s">
        <v>59</v>
      </c>
      <c r="C3045" s="37" t="s">
        <v>5018</v>
      </c>
      <c r="D3045" s="35">
        <v>1608</v>
      </c>
      <c r="E3045" s="4" t="s">
        <v>5111</v>
      </c>
      <c r="F3045" s="5">
        <v>39428</v>
      </c>
      <c r="G3045" s="5">
        <v>39794</v>
      </c>
      <c r="H3045" s="4" t="s">
        <v>40</v>
      </c>
      <c r="I3045" s="6">
        <v>10000</v>
      </c>
      <c r="J3045" s="6">
        <v>10000</v>
      </c>
      <c r="K3045" s="37" t="s">
        <v>5018</v>
      </c>
      <c r="L3045" s="119"/>
      <c r="M3045" s="3"/>
    </row>
    <row r="3046" spans="1:13" s="4" customFormat="1" ht="25.5" x14ac:dyDescent="0.25">
      <c r="A3046" s="4" t="s">
        <v>5112</v>
      </c>
      <c r="B3046" s="4" t="s">
        <v>59</v>
      </c>
      <c r="C3046" s="37" t="s">
        <v>5018</v>
      </c>
      <c r="D3046" s="35">
        <v>1610</v>
      </c>
      <c r="E3046" s="4" t="s">
        <v>5113</v>
      </c>
      <c r="F3046" s="5">
        <v>39552</v>
      </c>
      <c r="G3046" s="5">
        <v>39917</v>
      </c>
      <c r="H3046" s="4" t="s">
        <v>40</v>
      </c>
      <c r="I3046" s="6">
        <v>5000</v>
      </c>
      <c r="J3046" s="6">
        <v>5000</v>
      </c>
      <c r="K3046" s="37" t="s">
        <v>5018</v>
      </c>
      <c r="L3046" s="119"/>
      <c r="M3046" s="3"/>
    </row>
    <row r="3047" spans="1:13" s="4" customFormat="1" x14ac:dyDescent="0.25">
      <c r="A3047" s="4" t="s">
        <v>5114</v>
      </c>
      <c r="B3047" s="4" t="s">
        <v>59</v>
      </c>
      <c r="C3047" s="37" t="s">
        <v>5018</v>
      </c>
      <c r="D3047" s="35">
        <v>1611</v>
      </c>
      <c r="E3047" s="4" t="s">
        <v>5115</v>
      </c>
      <c r="F3047" s="5">
        <v>39503</v>
      </c>
      <c r="G3047" s="5">
        <v>39869</v>
      </c>
      <c r="H3047" s="4" t="s">
        <v>40</v>
      </c>
      <c r="I3047" s="6">
        <v>5000</v>
      </c>
      <c r="J3047" s="6">
        <v>5000</v>
      </c>
      <c r="K3047" s="37" t="s">
        <v>5018</v>
      </c>
      <c r="L3047" s="119"/>
      <c r="M3047" s="3"/>
    </row>
    <row r="3048" spans="1:13" s="4" customFormat="1" ht="25.5" x14ac:dyDescent="0.25">
      <c r="A3048" s="4" t="s">
        <v>5116</v>
      </c>
      <c r="B3048" s="4" t="s">
        <v>50</v>
      </c>
      <c r="C3048" s="37" t="s">
        <v>5018</v>
      </c>
      <c r="D3048" s="35">
        <v>1612</v>
      </c>
      <c r="E3048" s="4" t="s">
        <v>5117</v>
      </c>
      <c r="F3048" s="5">
        <v>39202</v>
      </c>
      <c r="G3048" s="5">
        <v>39598</v>
      </c>
      <c r="H3048" s="4" t="s">
        <v>40</v>
      </c>
      <c r="I3048" s="6">
        <v>24292</v>
      </c>
      <c r="J3048" s="6">
        <v>12146</v>
      </c>
      <c r="K3048" s="37" t="s">
        <v>5018</v>
      </c>
      <c r="L3048" s="119"/>
      <c r="M3048" s="3"/>
    </row>
    <row r="3049" spans="1:13" s="4" customFormat="1" ht="25.5" x14ac:dyDescent="0.25">
      <c r="A3049" s="4" t="s">
        <v>5118</v>
      </c>
      <c r="B3049" s="4" t="s">
        <v>59</v>
      </c>
      <c r="C3049" s="37" t="s">
        <v>5018</v>
      </c>
      <c r="D3049" s="35">
        <v>1613</v>
      </c>
      <c r="E3049" s="4" t="s">
        <v>5119</v>
      </c>
      <c r="F3049" s="5">
        <v>39428</v>
      </c>
      <c r="G3049" s="5">
        <v>39794</v>
      </c>
      <c r="H3049" s="4" t="s">
        <v>40</v>
      </c>
      <c r="I3049" s="6">
        <v>1250</v>
      </c>
      <c r="J3049" s="6">
        <v>1250</v>
      </c>
      <c r="K3049" s="37" t="s">
        <v>5018</v>
      </c>
      <c r="L3049" s="119"/>
      <c r="M3049" s="3"/>
    </row>
    <row r="3050" spans="1:13" s="4" customFormat="1" ht="25.5" x14ac:dyDescent="0.25">
      <c r="A3050" s="4" t="s">
        <v>5120</v>
      </c>
      <c r="B3050" s="4" t="s">
        <v>59</v>
      </c>
      <c r="C3050" s="37" t="s">
        <v>5018</v>
      </c>
      <c r="D3050" s="35">
        <v>1615</v>
      </c>
      <c r="E3050" s="4" t="s">
        <v>5121</v>
      </c>
      <c r="F3050" s="5">
        <v>39594</v>
      </c>
      <c r="G3050" s="5">
        <v>39959</v>
      </c>
      <c r="H3050" s="4" t="s">
        <v>40</v>
      </c>
      <c r="I3050" s="6">
        <v>5000</v>
      </c>
      <c r="J3050" s="6">
        <v>5000</v>
      </c>
      <c r="K3050" s="37" t="s">
        <v>5018</v>
      </c>
      <c r="L3050" s="119"/>
      <c r="M3050" s="3"/>
    </row>
    <row r="3051" spans="1:13" s="4" customFormat="1" ht="25.5" x14ac:dyDescent="0.25">
      <c r="A3051" s="4" t="s">
        <v>5122</v>
      </c>
      <c r="B3051" s="4" t="s">
        <v>59</v>
      </c>
      <c r="C3051" s="37" t="s">
        <v>5018</v>
      </c>
      <c r="D3051" s="35">
        <v>1616</v>
      </c>
      <c r="E3051" s="4" t="s">
        <v>5123</v>
      </c>
      <c r="F3051" s="5">
        <v>39503</v>
      </c>
      <c r="G3051" s="5">
        <v>39869</v>
      </c>
      <c r="H3051" s="4" t="s">
        <v>40</v>
      </c>
      <c r="I3051" s="6">
        <v>5000</v>
      </c>
      <c r="J3051" s="6">
        <v>5000</v>
      </c>
      <c r="K3051" s="37" t="s">
        <v>5018</v>
      </c>
      <c r="L3051" s="119"/>
      <c r="M3051" s="3"/>
    </row>
    <row r="3052" spans="1:13" s="4" customFormat="1" ht="38.25" x14ac:dyDescent="0.25">
      <c r="A3052" s="4" t="s">
        <v>5124</v>
      </c>
      <c r="B3052" s="4" t="s">
        <v>90</v>
      </c>
      <c r="C3052" s="37" t="s">
        <v>5018</v>
      </c>
      <c r="D3052" s="35">
        <v>1617</v>
      </c>
      <c r="E3052" s="4" t="s">
        <v>5125</v>
      </c>
      <c r="F3052" s="5">
        <v>39428</v>
      </c>
      <c r="G3052" s="5">
        <v>39794</v>
      </c>
      <c r="H3052" s="4" t="s">
        <v>40</v>
      </c>
      <c r="I3052" s="6">
        <v>10000</v>
      </c>
      <c r="J3052" s="6">
        <v>5000</v>
      </c>
      <c r="K3052" s="37" t="s">
        <v>5018</v>
      </c>
      <c r="L3052" s="119"/>
      <c r="M3052" s="3"/>
    </row>
    <row r="3053" spans="1:13" s="4" customFormat="1" x14ac:dyDescent="0.25">
      <c r="A3053" s="4" t="s">
        <v>5126</v>
      </c>
      <c r="B3053" s="4" t="s">
        <v>50</v>
      </c>
      <c r="C3053" s="37" t="s">
        <v>5018</v>
      </c>
      <c r="D3053" s="35">
        <v>1618</v>
      </c>
      <c r="E3053" s="4" t="s">
        <v>5127</v>
      </c>
      <c r="F3053" s="5">
        <v>39448</v>
      </c>
      <c r="G3053" s="5">
        <v>39814</v>
      </c>
      <c r="H3053" s="4" t="s">
        <v>40</v>
      </c>
      <c r="I3053" s="6">
        <v>150000</v>
      </c>
      <c r="J3053" s="6">
        <v>75000</v>
      </c>
      <c r="K3053" s="37" t="s">
        <v>5018</v>
      </c>
      <c r="L3053" s="119"/>
      <c r="M3053" s="3"/>
    </row>
    <row r="3054" spans="1:13" s="4" customFormat="1" ht="25.5" x14ac:dyDescent="0.25">
      <c r="A3054" s="4" t="s">
        <v>5128</v>
      </c>
      <c r="B3054" s="4" t="s">
        <v>50</v>
      </c>
      <c r="C3054" s="37" t="s">
        <v>5018</v>
      </c>
      <c r="D3054" s="35">
        <v>1621</v>
      </c>
      <c r="E3054" s="4" t="s">
        <v>5129</v>
      </c>
      <c r="F3054" s="5">
        <v>39503</v>
      </c>
      <c r="G3054" s="5">
        <v>39994</v>
      </c>
      <c r="H3054" s="4" t="s">
        <v>40</v>
      </c>
      <c r="I3054" s="6">
        <v>15000</v>
      </c>
      <c r="J3054" s="6">
        <v>7500</v>
      </c>
      <c r="K3054" s="37" t="s">
        <v>5018</v>
      </c>
      <c r="L3054" s="119"/>
      <c r="M3054" s="3"/>
    </row>
    <row r="3055" spans="1:13" s="4" customFormat="1" ht="38.25" x14ac:dyDescent="0.25">
      <c r="A3055" s="4" t="s">
        <v>5130</v>
      </c>
      <c r="B3055" s="4" t="s">
        <v>90</v>
      </c>
      <c r="C3055" s="37" t="s">
        <v>5018</v>
      </c>
      <c r="D3055" s="35">
        <v>1623</v>
      </c>
      <c r="E3055" s="4" t="s">
        <v>5131</v>
      </c>
      <c r="F3055" s="5">
        <v>39636</v>
      </c>
      <c r="G3055" s="5">
        <v>40001</v>
      </c>
      <c r="H3055" s="4" t="s">
        <v>40</v>
      </c>
      <c r="I3055" s="6">
        <v>10000</v>
      </c>
      <c r="J3055" s="6">
        <v>5000</v>
      </c>
      <c r="K3055" s="37" t="s">
        <v>5018</v>
      </c>
      <c r="L3055" s="119"/>
      <c r="M3055" s="3"/>
    </row>
    <row r="3056" spans="1:13" s="4" customFormat="1" ht="25.5" x14ac:dyDescent="0.25">
      <c r="A3056" s="4" t="s">
        <v>5132</v>
      </c>
      <c r="B3056" s="4" t="s">
        <v>90</v>
      </c>
      <c r="C3056" s="37" t="s">
        <v>5018</v>
      </c>
      <c r="D3056" s="35">
        <v>1625</v>
      </c>
      <c r="E3056" s="4" t="s">
        <v>5133</v>
      </c>
      <c r="F3056" s="5">
        <v>39503</v>
      </c>
      <c r="G3056" s="5">
        <v>39869</v>
      </c>
      <c r="H3056" s="4" t="s">
        <v>40</v>
      </c>
      <c r="I3056" s="6">
        <v>6190</v>
      </c>
      <c r="J3056" s="6">
        <v>3095</v>
      </c>
      <c r="K3056" s="37" t="s">
        <v>5018</v>
      </c>
      <c r="L3056" s="119"/>
      <c r="M3056" s="3"/>
    </row>
    <row r="3057" spans="1:13" s="4" customFormat="1" ht="25.5" x14ac:dyDescent="0.25">
      <c r="A3057" s="4" t="s">
        <v>5110</v>
      </c>
      <c r="B3057" s="4" t="s">
        <v>59</v>
      </c>
      <c r="C3057" s="37" t="s">
        <v>5018</v>
      </c>
      <c r="D3057" s="35">
        <v>1626</v>
      </c>
      <c r="E3057" s="4" t="s">
        <v>5134</v>
      </c>
      <c r="F3057" s="5">
        <v>39713</v>
      </c>
      <c r="G3057" s="5">
        <v>40078</v>
      </c>
      <c r="H3057" s="4" t="s">
        <v>40</v>
      </c>
      <c r="I3057" s="6">
        <v>5000</v>
      </c>
      <c r="J3057" s="6">
        <v>5000</v>
      </c>
      <c r="K3057" s="37" t="s">
        <v>5018</v>
      </c>
      <c r="L3057" s="119"/>
      <c r="M3057" s="3"/>
    </row>
    <row r="3058" spans="1:13" s="4" customFormat="1" x14ac:dyDescent="0.25">
      <c r="A3058" s="4" t="s">
        <v>5135</v>
      </c>
      <c r="B3058" s="4" t="s">
        <v>59</v>
      </c>
      <c r="C3058" s="37" t="s">
        <v>5018</v>
      </c>
      <c r="D3058" s="35">
        <v>1627</v>
      </c>
      <c r="E3058" s="4" t="s">
        <v>5136</v>
      </c>
      <c r="F3058" s="5">
        <v>39713</v>
      </c>
      <c r="G3058" s="5">
        <v>40078</v>
      </c>
      <c r="H3058" s="4" t="s">
        <v>40</v>
      </c>
      <c r="I3058" s="6">
        <v>5000</v>
      </c>
      <c r="J3058" s="6">
        <v>5000</v>
      </c>
      <c r="K3058" s="37" t="s">
        <v>5018</v>
      </c>
      <c r="L3058" s="119"/>
      <c r="M3058" s="3"/>
    </row>
    <row r="3059" spans="1:13" s="4" customFormat="1" x14ac:dyDescent="0.25">
      <c r="A3059" s="4" t="s">
        <v>5137</v>
      </c>
      <c r="B3059" s="4" t="s">
        <v>59</v>
      </c>
      <c r="C3059" s="37" t="s">
        <v>5018</v>
      </c>
      <c r="D3059" s="35">
        <v>1628</v>
      </c>
      <c r="E3059" s="4" t="s">
        <v>5138</v>
      </c>
      <c r="F3059" s="5">
        <v>39636</v>
      </c>
      <c r="G3059" s="5">
        <v>40001</v>
      </c>
      <c r="H3059" s="4" t="s">
        <v>40</v>
      </c>
      <c r="I3059" s="6">
        <v>10000</v>
      </c>
      <c r="J3059" s="6">
        <v>10000</v>
      </c>
      <c r="K3059" s="37" t="s">
        <v>5018</v>
      </c>
      <c r="L3059" s="119"/>
      <c r="M3059" s="3"/>
    </row>
    <row r="3060" spans="1:13" s="4" customFormat="1" ht="25.5" x14ac:dyDescent="0.25">
      <c r="A3060" s="4" t="s">
        <v>5139</v>
      </c>
      <c r="B3060" s="4" t="s">
        <v>59</v>
      </c>
      <c r="C3060" s="37" t="s">
        <v>5018</v>
      </c>
      <c r="D3060" s="35">
        <v>1629</v>
      </c>
      <c r="E3060" s="4" t="s">
        <v>5140</v>
      </c>
      <c r="F3060" s="5">
        <v>39552</v>
      </c>
      <c r="G3060" s="5">
        <v>39917</v>
      </c>
      <c r="H3060" s="4" t="s">
        <v>40</v>
      </c>
      <c r="I3060" s="6">
        <v>5000</v>
      </c>
      <c r="J3060" s="6">
        <v>5000</v>
      </c>
      <c r="K3060" s="37" t="s">
        <v>5018</v>
      </c>
      <c r="L3060" s="119"/>
      <c r="M3060" s="3"/>
    </row>
    <row r="3061" spans="1:13" s="4" customFormat="1" ht="25.5" x14ac:dyDescent="0.25">
      <c r="A3061" s="4" t="s">
        <v>5143</v>
      </c>
      <c r="B3061" s="4" t="s">
        <v>90</v>
      </c>
      <c r="C3061" s="37" t="s">
        <v>5018</v>
      </c>
      <c r="D3061" s="35">
        <v>1632</v>
      </c>
      <c r="E3061" s="4" t="s">
        <v>5144</v>
      </c>
      <c r="F3061" s="5">
        <v>39552</v>
      </c>
      <c r="G3061" s="5">
        <v>39917</v>
      </c>
      <c r="H3061" s="4" t="s">
        <v>40</v>
      </c>
      <c r="I3061" s="6">
        <v>10000</v>
      </c>
      <c r="J3061" s="6">
        <v>5000</v>
      </c>
      <c r="K3061" s="37" t="s">
        <v>5018</v>
      </c>
      <c r="L3061" s="119"/>
      <c r="M3061" s="3"/>
    </row>
    <row r="3062" spans="1:13" s="4" customFormat="1" ht="38.25" x14ac:dyDescent="0.25">
      <c r="A3062" s="4" t="s">
        <v>5147</v>
      </c>
      <c r="B3062" s="4" t="s">
        <v>90</v>
      </c>
      <c r="C3062" s="37" t="s">
        <v>5018</v>
      </c>
      <c r="D3062" s="35">
        <v>1634</v>
      </c>
      <c r="E3062" s="4" t="s">
        <v>5148</v>
      </c>
      <c r="F3062" s="5">
        <v>39428</v>
      </c>
      <c r="G3062" s="5">
        <v>39794</v>
      </c>
      <c r="H3062" s="4" t="s">
        <v>40</v>
      </c>
      <c r="I3062" s="6">
        <v>7500</v>
      </c>
      <c r="J3062" s="6">
        <v>3750</v>
      </c>
      <c r="K3062" s="37" t="s">
        <v>5018</v>
      </c>
      <c r="L3062" s="119"/>
      <c r="M3062" s="3"/>
    </row>
    <row r="3063" spans="1:13" s="4" customFormat="1" ht="25.5" x14ac:dyDescent="0.25">
      <c r="A3063" s="4" t="s">
        <v>5149</v>
      </c>
      <c r="B3063" s="4" t="s">
        <v>38</v>
      </c>
      <c r="C3063" s="37" t="s">
        <v>5018</v>
      </c>
      <c r="D3063" s="35">
        <v>1639</v>
      </c>
      <c r="E3063" s="4" t="s">
        <v>5150</v>
      </c>
      <c r="F3063" s="5">
        <v>39083</v>
      </c>
      <c r="G3063" s="5">
        <v>39447</v>
      </c>
      <c r="H3063" s="4" t="s">
        <v>40</v>
      </c>
      <c r="I3063" s="6">
        <v>41894.75</v>
      </c>
      <c r="J3063" s="6">
        <v>41894.75</v>
      </c>
      <c r="K3063" s="37" t="s">
        <v>5018</v>
      </c>
      <c r="L3063" s="119"/>
      <c r="M3063" s="3"/>
    </row>
    <row r="3064" spans="1:13" s="4" customFormat="1" ht="38.25" x14ac:dyDescent="0.25">
      <c r="A3064" s="4" t="s">
        <v>5151</v>
      </c>
      <c r="B3064" s="4" t="s">
        <v>38</v>
      </c>
      <c r="C3064" s="37" t="s">
        <v>5018</v>
      </c>
      <c r="D3064" s="35">
        <v>1640</v>
      </c>
      <c r="E3064" s="4" t="s">
        <v>5152</v>
      </c>
      <c r="F3064" s="5">
        <v>39083</v>
      </c>
      <c r="G3064" s="5">
        <v>39447</v>
      </c>
      <c r="H3064" s="4" t="s">
        <v>40</v>
      </c>
      <c r="I3064" s="6">
        <f>82458.72-0.4</f>
        <v>82458.320000000007</v>
      </c>
      <c r="J3064" s="6">
        <v>41229.360000000001</v>
      </c>
      <c r="K3064" s="37" t="s">
        <v>5018</v>
      </c>
      <c r="L3064" s="119"/>
      <c r="M3064" s="3"/>
    </row>
    <row r="3065" spans="1:13" s="4" customFormat="1" ht="51" x14ac:dyDescent="0.25">
      <c r="A3065" s="4" t="s">
        <v>5153</v>
      </c>
      <c r="B3065" s="4" t="s">
        <v>38</v>
      </c>
      <c r="C3065" s="37" t="s">
        <v>5018</v>
      </c>
      <c r="D3065" s="35">
        <v>1729</v>
      </c>
      <c r="E3065" s="4" t="s">
        <v>5154</v>
      </c>
      <c r="F3065" s="5">
        <v>39087</v>
      </c>
      <c r="G3065" s="5">
        <v>39447</v>
      </c>
      <c r="H3065" s="4" t="s">
        <v>40</v>
      </c>
      <c r="I3065" s="6">
        <v>83410.179999999993</v>
      </c>
      <c r="J3065" s="6">
        <v>83410.179999999993</v>
      </c>
      <c r="K3065" s="37" t="s">
        <v>5018</v>
      </c>
      <c r="L3065" s="119"/>
      <c r="M3065" s="3"/>
    </row>
    <row r="3066" spans="1:13" s="4" customFormat="1" ht="25.5" x14ac:dyDescent="0.25">
      <c r="A3066" s="4" t="s">
        <v>5155</v>
      </c>
      <c r="B3066" s="4" t="s">
        <v>38</v>
      </c>
      <c r="C3066" s="37" t="s">
        <v>5018</v>
      </c>
      <c r="D3066" s="35">
        <v>1730</v>
      </c>
      <c r="E3066" s="4" t="s">
        <v>5156</v>
      </c>
      <c r="F3066" s="5">
        <v>39083</v>
      </c>
      <c r="G3066" s="5">
        <v>39447</v>
      </c>
      <c r="H3066" s="4" t="s">
        <v>40</v>
      </c>
      <c r="I3066" s="6">
        <v>20971.61</v>
      </c>
      <c r="J3066" s="6">
        <v>20971.61</v>
      </c>
      <c r="K3066" s="37" t="s">
        <v>5018</v>
      </c>
      <c r="L3066" s="119"/>
      <c r="M3066" s="3"/>
    </row>
    <row r="3067" spans="1:13" s="4" customFormat="1" ht="25.5" x14ac:dyDescent="0.25">
      <c r="A3067" s="4" t="s">
        <v>5157</v>
      </c>
      <c r="B3067" s="4" t="s">
        <v>38</v>
      </c>
      <c r="C3067" s="37" t="s">
        <v>5018</v>
      </c>
      <c r="D3067" s="35">
        <v>1731</v>
      </c>
      <c r="E3067" s="4" t="s">
        <v>5158</v>
      </c>
      <c r="F3067" s="5">
        <v>39356</v>
      </c>
      <c r="G3067" s="5">
        <v>39360</v>
      </c>
      <c r="H3067" s="4" t="s">
        <v>40</v>
      </c>
      <c r="I3067" s="6">
        <v>20116.07</v>
      </c>
      <c r="J3067" s="6">
        <v>20116.07</v>
      </c>
      <c r="K3067" s="37" t="s">
        <v>5018</v>
      </c>
      <c r="L3067" s="119"/>
      <c r="M3067" s="3"/>
    </row>
    <row r="3068" spans="1:13" s="4" customFormat="1" ht="25.5" x14ac:dyDescent="0.25">
      <c r="A3068" s="4" t="s">
        <v>5159</v>
      </c>
      <c r="B3068" s="4" t="s">
        <v>38</v>
      </c>
      <c r="C3068" s="37" t="s">
        <v>5018</v>
      </c>
      <c r="D3068" s="35">
        <v>1732</v>
      </c>
      <c r="E3068" s="4" t="s">
        <v>5160</v>
      </c>
      <c r="F3068" s="5">
        <v>39326</v>
      </c>
      <c r="G3068" s="5">
        <v>39328</v>
      </c>
      <c r="H3068" s="4" t="s">
        <v>40</v>
      </c>
      <c r="I3068" s="6">
        <v>3400</v>
      </c>
      <c r="J3068" s="6">
        <v>3400</v>
      </c>
      <c r="K3068" s="37" t="s">
        <v>5018</v>
      </c>
      <c r="L3068" s="119"/>
      <c r="M3068" s="3"/>
    </row>
    <row r="3069" spans="1:13" s="4" customFormat="1" ht="25.5" x14ac:dyDescent="0.25">
      <c r="A3069" s="4" t="s">
        <v>5161</v>
      </c>
      <c r="B3069" s="4" t="s">
        <v>38</v>
      </c>
      <c r="C3069" s="37" t="s">
        <v>5018</v>
      </c>
      <c r="D3069" s="35">
        <v>1733</v>
      </c>
      <c r="E3069" s="4" t="s">
        <v>5162</v>
      </c>
      <c r="F3069" s="5">
        <v>39084</v>
      </c>
      <c r="G3069" s="5">
        <v>39447</v>
      </c>
      <c r="H3069" s="4" t="s">
        <v>40</v>
      </c>
      <c r="I3069" s="6">
        <v>9668.36</v>
      </c>
      <c r="J3069" s="6">
        <v>9668.36</v>
      </c>
      <c r="K3069" s="37" t="s">
        <v>5018</v>
      </c>
      <c r="L3069" s="119"/>
      <c r="M3069" s="3"/>
    </row>
    <row r="3070" spans="1:13" s="4" customFormat="1" ht="25.5" x14ac:dyDescent="0.25">
      <c r="A3070" s="4" t="s">
        <v>5163</v>
      </c>
      <c r="B3070" s="4" t="s">
        <v>38</v>
      </c>
      <c r="C3070" s="37" t="s">
        <v>5018</v>
      </c>
      <c r="D3070" s="35">
        <v>1734</v>
      </c>
      <c r="E3070" s="4" t="s">
        <v>5164</v>
      </c>
      <c r="F3070" s="5">
        <v>39083</v>
      </c>
      <c r="G3070" s="5">
        <v>39447</v>
      </c>
      <c r="H3070" s="4" t="s">
        <v>40</v>
      </c>
      <c r="I3070" s="6">
        <v>2155</v>
      </c>
      <c r="J3070" s="6">
        <v>2155</v>
      </c>
      <c r="K3070" s="37" t="s">
        <v>5018</v>
      </c>
      <c r="L3070" s="119"/>
      <c r="M3070" s="3"/>
    </row>
    <row r="3071" spans="1:13" s="4" customFormat="1" ht="38.25" x14ac:dyDescent="0.25">
      <c r="A3071" s="4" t="s">
        <v>5165</v>
      </c>
      <c r="B3071" s="4" t="s">
        <v>38</v>
      </c>
      <c r="C3071" s="37" t="s">
        <v>5018</v>
      </c>
      <c r="D3071" s="35">
        <v>1822</v>
      </c>
      <c r="E3071" s="4" t="s">
        <v>5166</v>
      </c>
      <c r="F3071" s="5">
        <v>39394</v>
      </c>
      <c r="G3071" s="5">
        <v>39394</v>
      </c>
      <c r="H3071" s="4" t="s">
        <v>40</v>
      </c>
      <c r="I3071" s="6">
        <v>325</v>
      </c>
      <c r="J3071" s="6">
        <v>325</v>
      </c>
      <c r="K3071" s="37" t="s">
        <v>5018</v>
      </c>
      <c r="L3071" s="119"/>
      <c r="M3071" s="3"/>
    </row>
    <row r="3072" spans="1:13" s="4" customFormat="1" ht="25.5" x14ac:dyDescent="0.25">
      <c r="A3072" s="4" t="s">
        <v>5167</v>
      </c>
      <c r="B3072" s="4" t="s">
        <v>38</v>
      </c>
      <c r="C3072" s="37" t="s">
        <v>5018</v>
      </c>
      <c r="D3072" s="35">
        <v>1824</v>
      </c>
      <c r="E3072" s="4" t="s">
        <v>5168</v>
      </c>
      <c r="F3072" s="5">
        <v>39405</v>
      </c>
      <c r="G3072" s="5">
        <v>39405</v>
      </c>
      <c r="H3072" s="4" t="s">
        <v>40</v>
      </c>
      <c r="I3072" s="6">
        <v>450</v>
      </c>
      <c r="J3072" s="6">
        <v>450</v>
      </c>
      <c r="K3072" s="37" t="s">
        <v>5018</v>
      </c>
      <c r="L3072" s="119"/>
      <c r="M3072" s="3"/>
    </row>
    <row r="3073" spans="1:60" s="4" customFormat="1" ht="25.5" x14ac:dyDescent="0.25">
      <c r="A3073" s="4" t="s">
        <v>5169</v>
      </c>
      <c r="B3073" s="4" t="s">
        <v>38</v>
      </c>
      <c r="C3073" s="37" t="s">
        <v>5018</v>
      </c>
      <c r="D3073" s="35">
        <v>1827</v>
      </c>
      <c r="E3073" s="4" t="s">
        <v>5170</v>
      </c>
      <c r="F3073" s="5">
        <v>39401</v>
      </c>
      <c r="G3073" s="5">
        <v>39401</v>
      </c>
      <c r="H3073" s="4" t="s">
        <v>40</v>
      </c>
      <c r="I3073" s="6">
        <v>550</v>
      </c>
      <c r="J3073" s="6">
        <v>550</v>
      </c>
      <c r="K3073" s="37" t="s">
        <v>5018</v>
      </c>
      <c r="L3073" s="119"/>
      <c r="M3073" s="3"/>
    </row>
    <row r="3074" spans="1:60" s="4" customFormat="1" ht="38.25" x14ac:dyDescent="0.25">
      <c r="A3074" s="4" t="s">
        <v>5171</v>
      </c>
      <c r="B3074" s="4" t="s">
        <v>38</v>
      </c>
      <c r="C3074" s="37" t="s">
        <v>5018</v>
      </c>
      <c r="D3074" s="35">
        <v>1832</v>
      </c>
      <c r="E3074" s="4" t="s">
        <v>5172</v>
      </c>
      <c r="F3074" s="5">
        <v>39366</v>
      </c>
      <c r="G3074" s="5">
        <v>39387</v>
      </c>
      <c r="H3074" s="4" t="s">
        <v>40</v>
      </c>
      <c r="I3074" s="6">
        <v>457</v>
      </c>
      <c r="J3074" s="6">
        <v>457</v>
      </c>
      <c r="K3074" s="37" t="s">
        <v>5018</v>
      </c>
      <c r="L3074" s="119"/>
      <c r="M3074" s="3"/>
    </row>
    <row r="3075" spans="1:60" s="4" customFormat="1" ht="25.5" x14ac:dyDescent="0.25">
      <c r="A3075" s="4" t="s">
        <v>5173</v>
      </c>
      <c r="B3075" s="4" t="s">
        <v>38</v>
      </c>
      <c r="C3075" s="37" t="s">
        <v>5018</v>
      </c>
      <c r="D3075" s="35">
        <v>1839</v>
      </c>
      <c r="E3075" s="4" t="s">
        <v>5174</v>
      </c>
      <c r="F3075" s="5">
        <v>39392</v>
      </c>
      <c r="G3075" s="5">
        <v>39392</v>
      </c>
      <c r="H3075" s="4" t="s">
        <v>40</v>
      </c>
      <c r="I3075" s="6">
        <v>130</v>
      </c>
      <c r="J3075" s="6">
        <v>130</v>
      </c>
      <c r="K3075" s="37" t="s">
        <v>5018</v>
      </c>
      <c r="L3075" s="119"/>
      <c r="M3075" s="3"/>
    </row>
    <row r="3076" spans="1:60" s="4" customFormat="1" ht="25.5" x14ac:dyDescent="0.25">
      <c r="A3076" s="9" t="s">
        <v>5175</v>
      </c>
      <c r="B3076" s="9" t="s">
        <v>38</v>
      </c>
      <c r="C3076" s="89" t="s">
        <v>5018</v>
      </c>
      <c r="D3076" s="90">
        <v>1842</v>
      </c>
      <c r="E3076" s="9" t="s">
        <v>5174</v>
      </c>
      <c r="F3076" s="11">
        <v>39148</v>
      </c>
      <c r="G3076" s="11">
        <v>39169</v>
      </c>
      <c r="H3076" s="9" t="s">
        <v>651</v>
      </c>
      <c r="I3076" s="8">
        <v>600</v>
      </c>
      <c r="J3076" s="8">
        <v>600</v>
      </c>
      <c r="K3076" s="89" t="s">
        <v>5018</v>
      </c>
      <c r="L3076" s="121"/>
      <c r="M3076" s="9"/>
      <c r="N3076" s="9"/>
      <c r="O3076" s="9"/>
      <c r="P3076" s="9"/>
      <c r="Q3076" s="9"/>
      <c r="R3076" s="9"/>
      <c r="S3076" s="9"/>
      <c r="T3076" s="9"/>
      <c r="U3076" s="9"/>
      <c r="V3076" s="9"/>
      <c r="W3076" s="9"/>
      <c r="X3076" s="9"/>
      <c r="Y3076" s="9"/>
      <c r="Z3076" s="9"/>
      <c r="AA3076" s="9"/>
      <c r="AB3076" s="9"/>
      <c r="AC3076" s="9"/>
      <c r="AD3076" s="9"/>
      <c r="AE3076" s="9"/>
      <c r="AF3076" s="9"/>
      <c r="AG3076" s="9"/>
      <c r="AH3076" s="9"/>
      <c r="AI3076" s="9"/>
      <c r="AJ3076" s="9"/>
      <c r="AK3076" s="9"/>
      <c r="AL3076" s="9"/>
      <c r="AM3076" s="9"/>
      <c r="AN3076" s="9"/>
      <c r="AO3076" s="9"/>
      <c r="AP3076" s="9"/>
      <c r="AQ3076" s="9"/>
      <c r="AR3076" s="9"/>
      <c r="AS3076" s="9"/>
      <c r="AT3076" s="9"/>
      <c r="AU3076" s="9"/>
      <c r="AV3076" s="9"/>
      <c r="AW3076" s="9"/>
      <c r="AX3076" s="9"/>
      <c r="AY3076" s="9"/>
      <c r="AZ3076" s="9"/>
      <c r="BA3076" s="9"/>
      <c r="BB3076" s="9"/>
      <c r="BC3076" s="9"/>
      <c r="BD3076" s="9"/>
      <c r="BE3076" s="9"/>
      <c r="BF3076" s="9"/>
      <c r="BG3076" s="9"/>
      <c r="BH3076" s="9"/>
    </row>
    <row r="3077" spans="1:60" s="4" customFormat="1" ht="25.5" x14ac:dyDescent="0.25">
      <c r="A3077" s="4" t="s">
        <v>5176</v>
      </c>
      <c r="B3077" s="4" t="s">
        <v>38</v>
      </c>
      <c r="C3077" s="37" t="s">
        <v>5018</v>
      </c>
      <c r="D3077" s="35">
        <v>1844</v>
      </c>
      <c r="E3077" s="4" t="s">
        <v>5176</v>
      </c>
      <c r="F3077" s="5">
        <v>39354</v>
      </c>
      <c r="G3077" s="5">
        <v>39396</v>
      </c>
      <c r="H3077" s="4" t="s">
        <v>40</v>
      </c>
      <c r="I3077" s="6">
        <v>2241.4899999999998</v>
      </c>
      <c r="J3077" s="6">
        <v>2241.4899999999998</v>
      </c>
      <c r="K3077" s="37" t="s">
        <v>5018</v>
      </c>
      <c r="L3077" s="119"/>
      <c r="M3077" s="3"/>
    </row>
    <row r="3078" spans="1:60" s="4" customFormat="1" ht="25.5" x14ac:dyDescent="0.25">
      <c r="A3078" s="4" t="s">
        <v>5177</v>
      </c>
      <c r="B3078" s="4" t="s">
        <v>38</v>
      </c>
      <c r="C3078" s="37" t="s">
        <v>5018</v>
      </c>
      <c r="D3078" s="35">
        <v>1848</v>
      </c>
      <c r="E3078" s="4" t="s">
        <v>5178</v>
      </c>
      <c r="F3078" s="5">
        <v>39252</v>
      </c>
      <c r="G3078" s="5">
        <v>39259</v>
      </c>
      <c r="H3078" s="4" t="s">
        <v>40</v>
      </c>
      <c r="I3078" s="6">
        <v>820</v>
      </c>
      <c r="J3078" s="6">
        <v>820</v>
      </c>
      <c r="K3078" s="37" t="s">
        <v>5018</v>
      </c>
      <c r="L3078" s="119"/>
      <c r="M3078" s="3"/>
    </row>
    <row r="3079" spans="1:60" s="4" customFormat="1" ht="25.5" x14ac:dyDescent="0.25">
      <c r="A3079" s="4" t="s">
        <v>5179</v>
      </c>
      <c r="B3079" s="4" t="s">
        <v>38</v>
      </c>
      <c r="C3079" s="37" t="s">
        <v>5018</v>
      </c>
      <c r="D3079" s="35">
        <v>1851</v>
      </c>
      <c r="E3079" s="4" t="s">
        <v>5180</v>
      </c>
      <c r="F3079" s="5">
        <v>39125</v>
      </c>
      <c r="G3079" s="5">
        <v>39139</v>
      </c>
      <c r="H3079" s="4" t="s">
        <v>40</v>
      </c>
      <c r="I3079" s="6">
        <v>1079.05</v>
      </c>
      <c r="J3079" s="6">
        <v>1079.05</v>
      </c>
      <c r="K3079" s="37" t="s">
        <v>5018</v>
      </c>
      <c r="L3079" s="119"/>
      <c r="M3079" s="3"/>
    </row>
    <row r="3080" spans="1:60" s="4" customFormat="1" ht="25.5" x14ac:dyDescent="0.25">
      <c r="A3080" s="4" t="s">
        <v>5181</v>
      </c>
      <c r="B3080" s="4" t="s">
        <v>38</v>
      </c>
      <c r="C3080" s="37" t="s">
        <v>5018</v>
      </c>
      <c r="D3080" s="35">
        <v>1853</v>
      </c>
      <c r="E3080" s="4" t="s">
        <v>5181</v>
      </c>
      <c r="F3080" s="5">
        <v>39394</v>
      </c>
      <c r="G3080" s="5">
        <v>39408</v>
      </c>
      <c r="H3080" s="4" t="s">
        <v>40</v>
      </c>
      <c r="I3080" s="6">
        <v>200</v>
      </c>
      <c r="J3080" s="6">
        <v>200</v>
      </c>
      <c r="K3080" s="37" t="s">
        <v>5018</v>
      </c>
      <c r="L3080" s="119"/>
      <c r="M3080" s="3"/>
    </row>
    <row r="3081" spans="1:60" s="4" customFormat="1" ht="25.5" x14ac:dyDescent="0.25">
      <c r="A3081" s="4" t="s">
        <v>5182</v>
      </c>
      <c r="B3081" s="4" t="s">
        <v>38</v>
      </c>
      <c r="C3081" s="37" t="s">
        <v>5018</v>
      </c>
      <c r="D3081" s="35">
        <v>1856</v>
      </c>
      <c r="E3081" s="4" t="s">
        <v>5182</v>
      </c>
      <c r="F3081" s="5">
        <v>39191</v>
      </c>
      <c r="G3081" s="5">
        <v>39212</v>
      </c>
      <c r="H3081" s="4" t="s">
        <v>40</v>
      </c>
      <c r="I3081" s="6">
        <v>940</v>
      </c>
      <c r="J3081" s="6">
        <v>940</v>
      </c>
      <c r="K3081" s="37" t="s">
        <v>5018</v>
      </c>
      <c r="L3081" s="119"/>
      <c r="M3081" s="3"/>
    </row>
    <row r="3082" spans="1:60" s="4" customFormat="1" ht="25.5" x14ac:dyDescent="0.25">
      <c r="A3082" s="4" t="s">
        <v>5183</v>
      </c>
      <c r="B3082" s="4" t="s">
        <v>38</v>
      </c>
      <c r="C3082" s="37" t="s">
        <v>5018</v>
      </c>
      <c r="D3082" s="35">
        <v>1859</v>
      </c>
      <c r="E3082" s="4" t="s">
        <v>5184</v>
      </c>
      <c r="F3082" s="5">
        <v>39219</v>
      </c>
      <c r="G3082" s="5">
        <v>39219</v>
      </c>
      <c r="H3082" s="4" t="s">
        <v>40</v>
      </c>
      <c r="I3082" s="6">
        <v>625</v>
      </c>
      <c r="J3082" s="6">
        <v>625</v>
      </c>
      <c r="K3082" s="37" t="s">
        <v>5018</v>
      </c>
      <c r="L3082" s="119"/>
      <c r="M3082" s="3"/>
    </row>
    <row r="3083" spans="1:60" s="4" customFormat="1" ht="25.5" x14ac:dyDescent="0.25">
      <c r="A3083" s="4" t="s">
        <v>5185</v>
      </c>
      <c r="B3083" s="4" t="s">
        <v>38</v>
      </c>
      <c r="C3083" s="37" t="s">
        <v>5018</v>
      </c>
      <c r="D3083" s="35">
        <v>1861</v>
      </c>
      <c r="E3083" s="4" t="s">
        <v>5186</v>
      </c>
      <c r="F3083" s="5">
        <v>39392</v>
      </c>
      <c r="G3083" s="5">
        <v>39420</v>
      </c>
      <c r="H3083" s="4" t="s">
        <v>40</v>
      </c>
      <c r="I3083" s="6">
        <v>120</v>
      </c>
      <c r="J3083" s="6">
        <v>120</v>
      </c>
      <c r="K3083" s="37" t="s">
        <v>5018</v>
      </c>
      <c r="L3083" s="119"/>
      <c r="M3083" s="3"/>
    </row>
    <row r="3084" spans="1:60" s="4" customFormat="1" ht="25.5" x14ac:dyDescent="0.25">
      <c r="A3084" s="4" t="s">
        <v>5187</v>
      </c>
      <c r="B3084" s="4" t="s">
        <v>38</v>
      </c>
      <c r="C3084" s="37" t="s">
        <v>5018</v>
      </c>
      <c r="D3084" s="35">
        <v>1863</v>
      </c>
      <c r="E3084" s="4" t="s">
        <v>5186</v>
      </c>
      <c r="F3084" s="5">
        <v>39212</v>
      </c>
      <c r="G3084" s="5">
        <v>39240</v>
      </c>
      <c r="H3084" s="4" t="s">
        <v>40</v>
      </c>
      <c r="I3084" s="6">
        <v>0</v>
      </c>
      <c r="J3084" s="6">
        <v>0</v>
      </c>
      <c r="K3084" s="37" t="s">
        <v>5018</v>
      </c>
      <c r="L3084" s="119"/>
      <c r="M3084" s="3"/>
    </row>
    <row r="3085" spans="1:60" s="4" customFormat="1" ht="25.5" x14ac:dyDescent="0.25">
      <c r="A3085" s="4" t="s">
        <v>5188</v>
      </c>
      <c r="B3085" s="4" t="s">
        <v>38</v>
      </c>
      <c r="C3085" s="37" t="s">
        <v>5018</v>
      </c>
      <c r="D3085" s="35">
        <v>1864</v>
      </c>
      <c r="E3085" s="4" t="s">
        <v>5188</v>
      </c>
      <c r="F3085" s="5">
        <v>39408</v>
      </c>
      <c r="G3085" s="5">
        <v>39415</v>
      </c>
      <c r="H3085" s="4" t="s">
        <v>40</v>
      </c>
      <c r="I3085" s="6">
        <v>420</v>
      </c>
      <c r="J3085" s="6">
        <v>420</v>
      </c>
      <c r="K3085" s="37" t="s">
        <v>5018</v>
      </c>
      <c r="L3085" s="119"/>
      <c r="M3085" s="3"/>
    </row>
    <row r="3086" spans="1:60" s="4" customFormat="1" ht="25.5" x14ac:dyDescent="0.25">
      <c r="A3086" s="4" t="s">
        <v>5189</v>
      </c>
      <c r="B3086" s="4" t="s">
        <v>38</v>
      </c>
      <c r="C3086" s="37" t="s">
        <v>5018</v>
      </c>
      <c r="D3086" s="35">
        <v>1866</v>
      </c>
      <c r="E3086" s="4" t="s">
        <v>5189</v>
      </c>
      <c r="F3086" s="5">
        <v>39148</v>
      </c>
      <c r="G3086" s="5">
        <v>39171</v>
      </c>
      <c r="H3086" s="4" t="s">
        <v>40</v>
      </c>
      <c r="I3086" s="6">
        <v>670</v>
      </c>
      <c r="J3086" s="6">
        <v>670</v>
      </c>
      <c r="K3086" s="37" t="s">
        <v>5018</v>
      </c>
      <c r="L3086" s="119"/>
      <c r="M3086" s="3"/>
    </row>
    <row r="3087" spans="1:60" s="4" customFormat="1" ht="140.25" x14ac:dyDescent="0.25">
      <c r="A3087" s="4" t="s">
        <v>5190</v>
      </c>
      <c r="B3087" s="4" t="s">
        <v>38</v>
      </c>
      <c r="C3087" s="37" t="s">
        <v>5018</v>
      </c>
      <c r="D3087" s="35">
        <v>1867</v>
      </c>
      <c r="E3087" s="7" t="s">
        <v>5191</v>
      </c>
      <c r="F3087" s="5">
        <v>39405</v>
      </c>
      <c r="G3087" s="5">
        <v>39412</v>
      </c>
      <c r="H3087" s="4" t="s">
        <v>40</v>
      </c>
      <c r="I3087" s="6">
        <v>1100</v>
      </c>
      <c r="J3087" s="6">
        <v>1100</v>
      </c>
      <c r="K3087" s="37" t="s">
        <v>5018</v>
      </c>
      <c r="L3087" s="119"/>
      <c r="M3087" s="3"/>
    </row>
    <row r="3088" spans="1:60" s="4" customFormat="1" ht="25.5" x14ac:dyDescent="0.25">
      <c r="A3088" s="4" t="s">
        <v>5192</v>
      </c>
      <c r="B3088" s="4" t="s">
        <v>38</v>
      </c>
      <c r="C3088" s="37" t="s">
        <v>5018</v>
      </c>
      <c r="D3088" s="35">
        <v>1869</v>
      </c>
      <c r="E3088" s="4" t="s">
        <v>5193</v>
      </c>
      <c r="F3088" s="5">
        <v>39342</v>
      </c>
      <c r="G3088" s="5">
        <v>39377</v>
      </c>
      <c r="H3088" s="4" t="s">
        <v>40</v>
      </c>
      <c r="I3088" s="6">
        <v>6581.29</v>
      </c>
      <c r="J3088" s="6">
        <v>6581.29</v>
      </c>
      <c r="K3088" s="37" t="s">
        <v>5018</v>
      </c>
      <c r="L3088" s="119"/>
      <c r="M3088" s="3"/>
    </row>
    <row r="3089" spans="1:60" s="4" customFormat="1" ht="25.5" x14ac:dyDescent="0.25">
      <c r="A3089" s="4" t="s">
        <v>5194</v>
      </c>
      <c r="B3089" s="4" t="s">
        <v>38</v>
      </c>
      <c r="C3089" s="37" t="s">
        <v>5018</v>
      </c>
      <c r="D3089" s="35">
        <v>1870</v>
      </c>
      <c r="E3089" s="4" t="s">
        <v>5195</v>
      </c>
      <c r="F3089" s="5">
        <v>39392</v>
      </c>
      <c r="G3089" s="5">
        <v>39406</v>
      </c>
      <c r="H3089" s="4" t="s">
        <v>40</v>
      </c>
      <c r="I3089" s="6">
        <v>1440</v>
      </c>
      <c r="J3089" s="6">
        <v>1440</v>
      </c>
      <c r="K3089" s="37" t="s">
        <v>5018</v>
      </c>
      <c r="L3089" s="119"/>
      <c r="M3089" s="3"/>
    </row>
    <row r="3090" spans="1:60" s="9" customFormat="1" ht="25.5" x14ac:dyDescent="0.25">
      <c r="A3090" s="4" t="s">
        <v>5196</v>
      </c>
      <c r="B3090" s="4" t="s">
        <v>38</v>
      </c>
      <c r="C3090" s="37" t="s">
        <v>5018</v>
      </c>
      <c r="D3090" s="35">
        <v>1871</v>
      </c>
      <c r="E3090" s="4" t="s">
        <v>5197</v>
      </c>
      <c r="F3090" s="5">
        <v>39370</v>
      </c>
      <c r="G3090" s="5">
        <v>39377</v>
      </c>
      <c r="H3090" s="4" t="s">
        <v>40</v>
      </c>
      <c r="I3090" s="6">
        <v>2602</v>
      </c>
      <c r="J3090" s="6">
        <v>2602</v>
      </c>
      <c r="K3090" s="37" t="s">
        <v>5018</v>
      </c>
      <c r="L3090" s="119"/>
      <c r="M3090" s="3"/>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4"/>
      <c r="AN3090" s="4"/>
      <c r="AO3090" s="4"/>
      <c r="AP3090" s="4"/>
      <c r="AQ3090" s="4"/>
      <c r="AR3090" s="4"/>
      <c r="AS3090" s="4"/>
      <c r="AT3090" s="4"/>
      <c r="AU3090" s="4"/>
      <c r="AV3090" s="4"/>
      <c r="AW3090" s="4"/>
      <c r="AX3090" s="4"/>
      <c r="AY3090" s="4"/>
      <c r="AZ3090" s="4"/>
      <c r="BA3090" s="4"/>
      <c r="BB3090" s="4"/>
      <c r="BC3090" s="4"/>
      <c r="BD3090" s="4"/>
      <c r="BE3090" s="4"/>
      <c r="BF3090" s="4"/>
      <c r="BG3090" s="4"/>
      <c r="BH3090" s="4"/>
    </row>
    <row r="3091" spans="1:60" s="4" customFormat="1" ht="25.5" x14ac:dyDescent="0.25">
      <c r="A3091" s="4" t="s">
        <v>5198</v>
      </c>
      <c r="B3091" s="4" t="s">
        <v>38</v>
      </c>
      <c r="C3091" s="37" t="s">
        <v>5018</v>
      </c>
      <c r="D3091" s="35">
        <v>1872</v>
      </c>
      <c r="E3091" s="4" t="s">
        <v>5198</v>
      </c>
      <c r="F3091" s="5">
        <v>39211</v>
      </c>
      <c r="G3091" s="5">
        <v>39218</v>
      </c>
      <c r="H3091" s="4" t="s">
        <v>40</v>
      </c>
      <c r="I3091" s="6">
        <v>1560.85</v>
      </c>
      <c r="J3091" s="6">
        <v>1560.85</v>
      </c>
      <c r="K3091" s="37" t="s">
        <v>5018</v>
      </c>
      <c r="L3091" s="119"/>
      <c r="M3091" s="3"/>
    </row>
    <row r="3092" spans="1:60" s="4" customFormat="1" ht="25.5" x14ac:dyDescent="0.25">
      <c r="A3092" s="4" t="s">
        <v>5199</v>
      </c>
      <c r="B3092" s="4" t="s">
        <v>38</v>
      </c>
      <c r="C3092" s="37" t="s">
        <v>5018</v>
      </c>
      <c r="D3092" s="35">
        <v>1875</v>
      </c>
      <c r="E3092" s="4" t="s">
        <v>5200</v>
      </c>
      <c r="F3092" s="5">
        <v>39083</v>
      </c>
      <c r="G3092" s="5">
        <v>39447</v>
      </c>
      <c r="H3092" s="4" t="s">
        <v>40</v>
      </c>
      <c r="I3092" s="6">
        <v>484</v>
      </c>
      <c r="J3092" s="6">
        <v>484</v>
      </c>
      <c r="K3092" s="37" t="s">
        <v>5018</v>
      </c>
      <c r="L3092" s="119"/>
      <c r="M3092" s="3"/>
    </row>
    <row r="3093" spans="1:60" s="4" customFormat="1" ht="25.5" x14ac:dyDescent="0.25">
      <c r="A3093" s="4" t="s">
        <v>5201</v>
      </c>
      <c r="B3093" s="4" t="s">
        <v>38</v>
      </c>
      <c r="C3093" s="37" t="s">
        <v>5018</v>
      </c>
      <c r="D3093" s="35">
        <v>1879</v>
      </c>
      <c r="E3093" s="4" t="s">
        <v>5202</v>
      </c>
      <c r="F3093" s="5">
        <v>39351</v>
      </c>
      <c r="G3093" s="5">
        <v>39447</v>
      </c>
      <c r="H3093" s="4" t="s">
        <v>40</v>
      </c>
      <c r="I3093" s="6">
        <v>13734</v>
      </c>
      <c r="J3093" s="6">
        <v>13734</v>
      </c>
      <c r="K3093" s="37" t="s">
        <v>5018</v>
      </c>
      <c r="L3093" s="119"/>
      <c r="M3093" s="3"/>
    </row>
    <row r="3094" spans="1:60" s="4" customFormat="1" ht="25.5" x14ac:dyDescent="0.25">
      <c r="A3094" s="4" t="s">
        <v>5203</v>
      </c>
      <c r="B3094" s="4" t="s">
        <v>38</v>
      </c>
      <c r="C3094" s="37" t="s">
        <v>5018</v>
      </c>
      <c r="D3094" s="35">
        <v>1880</v>
      </c>
      <c r="E3094" s="4" t="s">
        <v>5204</v>
      </c>
      <c r="F3094" s="5">
        <v>39223</v>
      </c>
      <c r="G3094" s="5">
        <v>39233</v>
      </c>
      <c r="H3094" s="4" t="s">
        <v>40</v>
      </c>
      <c r="I3094" s="6">
        <v>1525</v>
      </c>
      <c r="J3094" s="6">
        <v>1525</v>
      </c>
      <c r="K3094" s="37" t="s">
        <v>5018</v>
      </c>
      <c r="L3094" s="119"/>
      <c r="M3094" s="3"/>
    </row>
    <row r="3095" spans="1:60" s="4" customFormat="1" ht="25.5" x14ac:dyDescent="0.25">
      <c r="A3095" s="4" t="s">
        <v>5205</v>
      </c>
      <c r="B3095" s="4" t="s">
        <v>38</v>
      </c>
      <c r="C3095" s="37" t="s">
        <v>5018</v>
      </c>
      <c r="D3095" s="35">
        <v>1886</v>
      </c>
      <c r="E3095" s="4" t="s">
        <v>5206</v>
      </c>
      <c r="F3095" s="5">
        <v>39083</v>
      </c>
      <c r="G3095" s="5">
        <v>39447</v>
      </c>
      <c r="H3095" s="4" t="s">
        <v>40</v>
      </c>
      <c r="I3095" s="6">
        <v>395</v>
      </c>
      <c r="J3095" s="6">
        <v>395</v>
      </c>
      <c r="K3095" s="37" t="s">
        <v>5018</v>
      </c>
      <c r="L3095" s="119"/>
      <c r="M3095" s="3"/>
    </row>
    <row r="3096" spans="1:60" s="4" customFormat="1" ht="25.5" x14ac:dyDescent="0.25">
      <c r="A3096" s="4" t="s">
        <v>5207</v>
      </c>
      <c r="B3096" s="4" t="s">
        <v>38</v>
      </c>
      <c r="C3096" s="37" t="s">
        <v>5018</v>
      </c>
      <c r="D3096" s="35">
        <v>1894</v>
      </c>
      <c r="E3096" s="4" t="s">
        <v>5208</v>
      </c>
      <c r="F3096" s="5">
        <v>39405</v>
      </c>
      <c r="G3096" s="5">
        <v>39412</v>
      </c>
      <c r="H3096" s="4" t="s">
        <v>40</v>
      </c>
      <c r="I3096" s="6">
        <v>450</v>
      </c>
      <c r="J3096" s="6">
        <v>450</v>
      </c>
      <c r="K3096" s="37" t="s">
        <v>5018</v>
      </c>
      <c r="L3096" s="119"/>
      <c r="M3096" s="3"/>
    </row>
    <row r="3097" spans="1:60" s="4" customFormat="1" ht="25.5" x14ac:dyDescent="0.25">
      <c r="A3097" s="4" t="s">
        <v>5209</v>
      </c>
      <c r="B3097" s="4" t="s">
        <v>38</v>
      </c>
      <c r="C3097" s="37" t="s">
        <v>5018</v>
      </c>
      <c r="D3097" s="35">
        <v>1896</v>
      </c>
      <c r="E3097" s="4" t="s">
        <v>5210</v>
      </c>
      <c r="F3097" s="5">
        <v>39198</v>
      </c>
      <c r="G3097" s="5">
        <v>39198</v>
      </c>
      <c r="H3097" s="4" t="s">
        <v>40</v>
      </c>
      <c r="I3097" s="6">
        <v>536.4</v>
      </c>
      <c r="J3097" s="6">
        <v>536.4</v>
      </c>
      <c r="K3097" s="37" t="s">
        <v>5018</v>
      </c>
      <c r="L3097" s="119"/>
      <c r="M3097" s="3"/>
    </row>
    <row r="3098" spans="1:60" s="4" customFormat="1" ht="25.5" x14ac:dyDescent="0.25">
      <c r="A3098" s="4" t="s">
        <v>5211</v>
      </c>
      <c r="B3098" s="4" t="s">
        <v>38</v>
      </c>
      <c r="C3098" s="37" t="s">
        <v>5018</v>
      </c>
      <c r="D3098" s="35">
        <v>1900</v>
      </c>
      <c r="E3098" s="4" t="s">
        <v>5206</v>
      </c>
      <c r="F3098" s="5">
        <v>39377</v>
      </c>
      <c r="G3098" s="5">
        <v>39377</v>
      </c>
      <c r="H3098" s="4" t="s">
        <v>40</v>
      </c>
      <c r="I3098" s="6">
        <v>519.29999999999995</v>
      </c>
      <c r="J3098" s="6">
        <v>519.29999999999995</v>
      </c>
      <c r="K3098" s="37" t="s">
        <v>5018</v>
      </c>
      <c r="L3098" s="119"/>
      <c r="M3098" s="3"/>
    </row>
    <row r="3099" spans="1:60" s="4" customFormat="1" ht="25.5" x14ac:dyDescent="0.25">
      <c r="A3099" s="4" t="s">
        <v>5212</v>
      </c>
      <c r="B3099" s="4" t="s">
        <v>38</v>
      </c>
      <c r="C3099" s="37" t="s">
        <v>5018</v>
      </c>
      <c r="D3099" s="35">
        <v>1901</v>
      </c>
      <c r="E3099" s="4" t="s">
        <v>5213</v>
      </c>
      <c r="F3099" s="5">
        <v>39370</v>
      </c>
      <c r="G3099" s="5">
        <v>39386</v>
      </c>
      <c r="H3099" s="4" t="s">
        <v>40</v>
      </c>
      <c r="I3099" s="6">
        <v>1612</v>
      </c>
      <c r="J3099" s="6">
        <v>1612</v>
      </c>
      <c r="K3099" s="37" t="s">
        <v>5018</v>
      </c>
      <c r="L3099" s="119"/>
      <c r="M3099" s="3"/>
    </row>
    <row r="3100" spans="1:60" s="4" customFormat="1" ht="25.5" x14ac:dyDescent="0.25">
      <c r="A3100" s="4" t="s">
        <v>5214</v>
      </c>
      <c r="B3100" s="4" t="s">
        <v>38</v>
      </c>
      <c r="C3100" s="37" t="s">
        <v>5018</v>
      </c>
      <c r="D3100" s="35">
        <v>1903</v>
      </c>
      <c r="E3100" s="4" t="s">
        <v>5213</v>
      </c>
      <c r="F3100" s="5">
        <v>39157</v>
      </c>
      <c r="G3100" s="5">
        <v>39171</v>
      </c>
      <c r="H3100" s="4" t="s">
        <v>40</v>
      </c>
      <c r="I3100" s="6">
        <v>255</v>
      </c>
      <c r="J3100" s="6">
        <v>255</v>
      </c>
      <c r="K3100" s="37" t="s">
        <v>5018</v>
      </c>
      <c r="L3100" s="119"/>
      <c r="M3100" s="3"/>
    </row>
    <row r="3101" spans="1:60" s="4" customFormat="1" ht="25.5" x14ac:dyDescent="0.25">
      <c r="A3101" s="4" t="s">
        <v>5215</v>
      </c>
      <c r="B3101" s="4" t="s">
        <v>38</v>
      </c>
      <c r="C3101" s="37" t="s">
        <v>5018</v>
      </c>
      <c r="D3101" s="35">
        <v>1904</v>
      </c>
      <c r="E3101" s="4" t="s">
        <v>5216</v>
      </c>
      <c r="F3101" s="5">
        <v>39370</v>
      </c>
      <c r="G3101" s="5">
        <v>39370</v>
      </c>
      <c r="H3101" s="4" t="s">
        <v>40</v>
      </c>
      <c r="I3101" s="6">
        <v>2874</v>
      </c>
      <c r="J3101" s="6">
        <v>2874</v>
      </c>
      <c r="K3101" s="37" t="s">
        <v>5018</v>
      </c>
      <c r="L3101" s="119"/>
      <c r="M3101" s="3"/>
    </row>
    <row r="3102" spans="1:60" s="4" customFormat="1" ht="25.5" x14ac:dyDescent="0.25">
      <c r="A3102" s="4" t="s">
        <v>5217</v>
      </c>
      <c r="B3102" s="4" t="s">
        <v>38</v>
      </c>
      <c r="C3102" s="37" t="s">
        <v>5018</v>
      </c>
      <c r="D3102" s="35">
        <v>1907</v>
      </c>
      <c r="E3102" s="4" t="s">
        <v>5218</v>
      </c>
      <c r="F3102" s="5">
        <v>39399</v>
      </c>
      <c r="G3102" s="5">
        <v>39413</v>
      </c>
      <c r="H3102" s="4" t="s">
        <v>40</v>
      </c>
      <c r="I3102" s="6">
        <v>200</v>
      </c>
      <c r="J3102" s="6">
        <v>200</v>
      </c>
      <c r="K3102" s="37" t="s">
        <v>5018</v>
      </c>
      <c r="L3102" s="119"/>
      <c r="M3102" s="3"/>
    </row>
    <row r="3103" spans="1:60" s="4" customFormat="1" ht="25.5" x14ac:dyDescent="0.25">
      <c r="A3103" s="4" t="s">
        <v>5219</v>
      </c>
      <c r="B3103" s="4" t="s">
        <v>38</v>
      </c>
      <c r="C3103" s="37" t="s">
        <v>5018</v>
      </c>
      <c r="D3103" s="35">
        <v>1908</v>
      </c>
      <c r="E3103" s="4" t="s">
        <v>5220</v>
      </c>
      <c r="F3103" s="5">
        <v>39190</v>
      </c>
      <c r="G3103" s="5">
        <v>39204</v>
      </c>
      <c r="H3103" s="4" t="s">
        <v>40</v>
      </c>
      <c r="I3103" s="6">
        <v>450</v>
      </c>
      <c r="J3103" s="6">
        <v>450</v>
      </c>
      <c r="K3103" s="37" t="s">
        <v>5018</v>
      </c>
      <c r="L3103" s="119"/>
      <c r="M3103" s="3"/>
    </row>
    <row r="3104" spans="1:60" s="4" customFormat="1" ht="25.5" x14ac:dyDescent="0.25">
      <c r="A3104" s="4" t="s">
        <v>5221</v>
      </c>
      <c r="B3104" s="4" t="s">
        <v>38</v>
      </c>
      <c r="C3104" s="37" t="s">
        <v>5018</v>
      </c>
      <c r="D3104" s="35">
        <v>1909</v>
      </c>
      <c r="E3104" s="4" t="s">
        <v>5222</v>
      </c>
      <c r="F3104" s="5">
        <v>39147</v>
      </c>
      <c r="G3104" s="5">
        <v>39168</v>
      </c>
      <c r="H3104" s="4" t="s">
        <v>40</v>
      </c>
      <c r="I3104" s="6">
        <v>1190</v>
      </c>
      <c r="J3104" s="6">
        <v>1190</v>
      </c>
      <c r="K3104" s="37" t="s">
        <v>5018</v>
      </c>
      <c r="L3104" s="119"/>
      <c r="M3104" s="3"/>
    </row>
    <row r="3105" spans="1:13" s="4" customFormat="1" ht="25.5" x14ac:dyDescent="0.25">
      <c r="A3105" s="4" t="s">
        <v>5223</v>
      </c>
      <c r="B3105" s="4" t="s">
        <v>38</v>
      </c>
      <c r="C3105" s="37" t="s">
        <v>5018</v>
      </c>
      <c r="D3105" s="35">
        <v>1926</v>
      </c>
      <c r="E3105" s="4" t="s">
        <v>5222</v>
      </c>
      <c r="F3105" s="5">
        <v>39364</v>
      </c>
      <c r="G3105" s="5">
        <v>39392</v>
      </c>
      <c r="H3105" s="4" t="s">
        <v>40</v>
      </c>
      <c r="I3105" s="6">
        <v>1950</v>
      </c>
      <c r="J3105" s="6">
        <v>1950</v>
      </c>
      <c r="K3105" s="37" t="s">
        <v>5018</v>
      </c>
      <c r="L3105" s="119"/>
      <c r="M3105" s="3"/>
    </row>
    <row r="3106" spans="1:13" s="4" customFormat="1" ht="25.5" x14ac:dyDescent="0.25">
      <c r="A3106" s="4" t="s">
        <v>5224</v>
      </c>
      <c r="B3106" s="4" t="s">
        <v>38</v>
      </c>
      <c r="C3106" s="37" t="s">
        <v>5018</v>
      </c>
      <c r="D3106" s="35">
        <v>1927</v>
      </c>
      <c r="E3106" s="4" t="s">
        <v>5222</v>
      </c>
      <c r="F3106" s="5">
        <v>39363</v>
      </c>
      <c r="G3106" s="5">
        <v>39398</v>
      </c>
      <c r="H3106" s="4" t="s">
        <v>40</v>
      </c>
      <c r="I3106" s="6">
        <v>1500</v>
      </c>
      <c r="J3106" s="6">
        <v>1500</v>
      </c>
      <c r="K3106" s="37" t="s">
        <v>5018</v>
      </c>
      <c r="L3106" s="119"/>
      <c r="M3106" s="3"/>
    </row>
    <row r="3107" spans="1:13" s="4" customFormat="1" ht="25.5" x14ac:dyDescent="0.25">
      <c r="A3107" s="4" t="s">
        <v>5225</v>
      </c>
      <c r="B3107" s="4" t="s">
        <v>38</v>
      </c>
      <c r="C3107" s="37" t="s">
        <v>5018</v>
      </c>
      <c r="D3107" s="35">
        <v>1928</v>
      </c>
      <c r="E3107" s="4" t="s">
        <v>5222</v>
      </c>
      <c r="F3107" s="5">
        <v>39188</v>
      </c>
      <c r="G3107" s="5">
        <v>39216</v>
      </c>
      <c r="H3107" s="4" t="s">
        <v>40</v>
      </c>
      <c r="I3107" s="6">
        <v>1615</v>
      </c>
      <c r="J3107" s="6">
        <v>1615</v>
      </c>
      <c r="K3107" s="37" t="s">
        <v>5018</v>
      </c>
      <c r="L3107" s="119"/>
      <c r="M3107" s="3"/>
    </row>
    <row r="3108" spans="1:13" s="4" customFormat="1" ht="25.5" x14ac:dyDescent="0.25">
      <c r="A3108" s="4" t="s">
        <v>5226</v>
      </c>
      <c r="B3108" s="4" t="s">
        <v>38</v>
      </c>
      <c r="C3108" s="37" t="s">
        <v>5018</v>
      </c>
      <c r="D3108" s="35">
        <v>1929</v>
      </c>
      <c r="E3108" s="4" t="s">
        <v>5222</v>
      </c>
      <c r="F3108" s="5">
        <v>39198</v>
      </c>
      <c r="G3108" s="5">
        <v>39218</v>
      </c>
      <c r="H3108" s="4" t="s">
        <v>40</v>
      </c>
      <c r="I3108" s="6">
        <v>1615</v>
      </c>
      <c r="J3108" s="6">
        <v>1615</v>
      </c>
      <c r="K3108" s="37" t="s">
        <v>5018</v>
      </c>
      <c r="L3108" s="119"/>
      <c r="M3108" s="3"/>
    </row>
    <row r="3109" spans="1:13" s="4" customFormat="1" ht="25.5" x14ac:dyDescent="0.25">
      <c r="A3109" s="4" t="s">
        <v>5227</v>
      </c>
      <c r="B3109" s="4" t="s">
        <v>38</v>
      </c>
      <c r="C3109" s="37" t="s">
        <v>5018</v>
      </c>
      <c r="D3109" s="35">
        <v>1930</v>
      </c>
      <c r="E3109" s="4" t="s">
        <v>5228</v>
      </c>
      <c r="F3109" s="5">
        <v>39196</v>
      </c>
      <c r="G3109" s="5">
        <v>39217</v>
      </c>
      <c r="H3109" s="4" t="s">
        <v>40</v>
      </c>
      <c r="I3109" s="6">
        <v>1533</v>
      </c>
      <c r="J3109" s="6">
        <v>1533</v>
      </c>
      <c r="K3109" s="37" t="s">
        <v>5018</v>
      </c>
      <c r="L3109" s="119"/>
      <c r="M3109" s="3"/>
    </row>
    <row r="3110" spans="1:13" s="4" customFormat="1" ht="25.5" x14ac:dyDescent="0.25">
      <c r="A3110" s="4" t="s">
        <v>5229</v>
      </c>
      <c r="B3110" s="4" t="s">
        <v>38</v>
      </c>
      <c r="C3110" s="37" t="s">
        <v>5018</v>
      </c>
      <c r="D3110" s="35">
        <v>1931</v>
      </c>
      <c r="E3110" s="4" t="s">
        <v>5230</v>
      </c>
      <c r="F3110" s="5">
        <v>39393</v>
      </c>
      <c r="G3110" s="5">
        <v>39393</v>
      </c>
      <c r="H3110" s="4" t="s">
        <v>40</v>
      </c>
      <c r="I3110" s="6">
        <v>475</v>
      </c>
      <c r="J3110" s="6">
        <v>475</v>
      </c>
      <c r="K3110" s="37" t="s">
        <v>5018</v>
      </c>
      <c r="L3110" s="119"/>
      <c r="M3110" s="3"/>
    </row>
    <row r="3111" spans="1:13" s="4" customFormat="1" ht="25.5" x14ac:dyDescent="0.25">
      <c r="A3111" s="4" t="s">
        <v>5231</v>
      </c>
      <c r="B3111" s="4" t="s">
        <v>38</v>
      </c>
      <c r="C3111" s="37" t="s">
        <v>5018</v>
      </c>
      <c r="D3111" s="35">
        <v>1932</v>
      </c>
      <c r="E3111" s="4" t="s">
        <v>5232</v>
      </c>
      <c r="F3111" s="5">
        <v>39358</v>
      </c>
      <c r="G3111" s="5">
        <v>39398</v>
      </c>
      <c r="H3111" s="4" t="s">
        <v>40</v>
      </c>
      <c r="I3111" s="6">
        <v>1748.18</v>
      </c>
      <c r="J3111" s="6">
        <v>1748.18</v>
      </c>
      <c r="K3111" s="37" t="s">
        <v>5018</v>
      </c>
      <c r="L3111" s="119"/>
      <c r="M3111" s="3"/>
    </row>
    <row r="3112" spans="1:13" s="4" customFormat="1" ht="25.5" x14ac:dyDescent="0.25">
      <c r="A3112" s="4" t="s">
        <v>5233</v>
      </c>
      <c r="B3112" s="4" t="s">
        <v>38</v>
      </c>
      <c r="C3112" s="37" t="s">
        <v>5018</v>
      </c>
      <c r="D3112" s="35">
        <v>1933</v>
      </c>
      <c r="E3112" s="4" t="s">
        <v>5232</v>
      </c>
      <c r="F3112" s="5">
        <v>39125</v>
      </c>
      <c r="G3112" s="5">
        <v>39196</v>
      </c>
      <c r="H3112" s="4" t="s">
        <v>40</v>
      </c>
      <c r="I3112" s="6">
        <v>450</v>
      </c>
      <c r="J3112" s="6">
        <v>450</v>
      </c>
      <c r="K3112" s="37" t="s">
        <v>5018</v>
      </c>
      <c r="L3112" s="119"/>
      <c r="M3112" s="3"/>
    </row>
    <row r="3113" spans="1:13" s="4" customFormat="1" ht="25.5" x14ac:dyDescent="0.25">
      <c r="A3113" s="4" t="s">
        <v>5234</v>
      </c>
      <c r="B3113" s="4" t="s">
        <v>38</v>
      </c>
      <c r="C3113" s="37" t="s">
        <v>5018</v>
      </c>
      <c r="D3113" s="35">
        <v>1934</v>
      </c>
      <c r="E3113" s="4" t="s">
        <v>5232</v>
      </c>
      <c r="F3113" s="5">
        <v>39392</v>
      </c>
      <c r="G3113" s="5">
        <v>39422</v>
      </c>
      <c r="H3113" s="4" t="s">
        <v>40</v>
      </c>
      <c r="I3113" s="6">
        <v>2490.33</v>
      </c>
      <c r="J3113" s="6">
        <v>2490.33</v>
      </c>
      <c r="K3113" s="37" t="s">
        <v>5018</v>
      </c>
      <c r="L3113" s="119"/>
      <c r="M3113" s="3"/>
    </row>
    <row r="3114" spans="1:13" s="4" customFormat="1" ht="25.5" x14ac:dyDescent="0.25">
      <c r="A3114" s="4" t="s">
        <v>5235</v>
      </c>
      <c r="B3114" s="4" t="s">
        <v>38</v>
      </c>
      <c r="C3114" s="37" t="s">
        <v>5018</v>
      </c>
      <c r="D3114" s="35">
        <v>1935</v>
      </c>
      <c r="E3114" s="4" t="s">
        <v>5232</v>
      </c>
      <c r="F3114" s="5">
        <v>39162</v>
      </c>
      <c r="G3114" s="5">
        <v>39232</v>
      </c>
      <c r="H3114" s="4" t="s">
        <v>40</v>
      </c>
      <c r="I3114" s="6">
        <v>1150</v>
      </c>
      <c r="J3114" s="6">
        <v>1150</v>
      </c>
      <c r="K3114" s="37" t="s">
        <v>5018</v>
      </c>
      <c r="L3114" s="119"/>
      <c r="M3114" s="3"/>
    </row>
    <row r="3115" spans="1:13" s="4" customFormat="1" ht="25.5" x14ac:dyDescent="0.25">
      <c r="A3115" s="4" t="s">
        <v>5236</v>
      </c>
      <c r="B3115" s="4" t="s">
        <v>38</v>
      </c>
      <c r="C3115" s="37" t="s">
        <v>5018</v>
      </c>
      <c r="D3115" s="35">
        <v>1936</v>
      </c>
      <c r="E3115" s="4" t="s">
        <v>5232</v>
      </c>
      <c r="F3115" s="5">
        <v>39500</v>
      </c>
      <c r="G3115" s="5">
        <v>39813</v>
      </c>
      <c r="H3115" s="4" t="s">
        <v>40</v>
      </c>
      <c r="I3115" s="6">
        <v>95.65</v>
      </c>
      <c r="J3115" s="6">
        <v>95.65</v>
      </c>
      <c r="K3115" s="37" t="s">
        <v>5018</v>
      </c>
      <c r="L3115" s="119"/>
      <c r="M3115" s="3"/>
    </row>
    <row r="3116" spans="1:13" s="4" customFormat="1" ht="25.5" x14ac:dyDescent="0.25">
      <c r="A3116" s="4" t="s">
        <v>5237</v>
      </c>
      <c r="B3116" s="4" t="s">
        <v>38</v>
      </c>
      <c r="C3116" s="37" t="s">
        <v>5018</v>
      </c>
      <c r="D3116" s="35">
        <v>1937</v>
      </c>
      <c r="E3116" s="4" t="s">
        <v>5238</v>
      </c>
      <c r="F3116" s="5">
        <v>39083</v>
      </c>
      <c r="G3116" s="5">
        <v>39813</v>
      </c>
      <c r="H3116" s="4" t="s">
        <v>40</v>
      </c>
      <c r="I3116" s="6">
        <v>95.65</v>
      </c>
      <c r="J3116" s="6">
        <v>95.65</v>
      </c>
      <c r="K3116" s="37" t="s">
        <v>5018</v>
      </c>
      <c r="L3116" s="119"/>
      <c r="M3116" s="3"/>
    </row>
    <row r="3117" spans="1:13" s="4" customFormat="1" ht="25.5" x14ac:dyDescent="0.25">
      <c r="A3117" s="4" t="s">
        <v>5239</v>
      </c>
      <c r="B3117" s="4" t="s">
        <v>38</v>
      </c>
      <c r="C3117" s="37" t="s">
        <v>5018</v>
      </c>
      <c r="D3117" s="35">
        <v>1938</v>
      </c>
      <c r="E3117" s="4" t="s">
        <v>5240</v>
      </c>
      <c r="F3117" s="5">
        <v>39542</v>
      </c>
      <c r="G3117" s="5">
        <v>39813</v>
      </c>
      <c r="H3117" s="4" t="s">
        <v>40</v>
      </c>
      <c r="I3117" s="6">
        <v>325.66000000000003</v>
      </c>
      <c r="J3117" s="6">
        <v>325.66000000000003</v>
      </c>
      <c r="K3117" s="37" t="s">
        <v>5018</v>
      </c>
      <c r="L3117" s="119"/>
      <c r="M3117" s="3"/>
    </row>
    <row r="3118" spans="1:13" s="4" customFormat="1" ht="25.5" x14ac:dyDescent="0.25">
      <c r="A3118" s="4" t="s">
        <v>5241</v>
      </c>
      <c r="B3118" s="4" t="s">
        <v>38</v>
      </c>
      <c r="C3118" s="37" t="s">
        <v>5018</v>
      </c>
      <c r="D3118" s="35">
        <v>1939</v>
      </c>
      <c r="E3118" s="4" t="s">
        <v>5242</v>
      </c>
      <c r="F3118" s="5">
        <v>39392</v>
      </c>
      <c r="G3118" s="5">
        <v>39413</v>
      </c>
      <c r="H3118" s="4" t="s">
        <v>40</v>
      </c>
      <c r="I3118" s="6">
        <v>300</v>
      </c>
      <c r="J3118" s="6">
        <v>300</v>
      </c>
      <c r="K3118" s="37" t="s">
        <v>5018</v>
      </c>
      <c r="L3118" s="119"/>
      <c r="M3118" s="3"/>
    </row>
    <row r="3119" spans="1:13" s="4" customFormat="1" ht="25.5" x14ac:dyDescent="0.25">
      <c r="A3119" s="4" t="s">
        <v>5243</v>
      </c>
      <c r="B3119" s="4" t="s">
        <v>38</v>
      </c>
      <c r="C3119" s="37" t="s">
        <v>5018</v>
      </c>
      <c r="D3119" s="35">
        <v>1940</v>
      </c>
      <c r="E3119" s="4" t="s">
        <v>5243</v>
      </c>
      <c r="F3119" s="5">
        <v>39146</v>
      </c>
      <c r="G3119" s="5">
        <v>39174</v>
      </c>
      <c r="H3119" s="4" t="s">
        <v>40</v>
      </c>
      <c r="I3119" s="6">
        <v>350</v>
      </c>
      <c r="J3119" s="6">
        <v>350</v>
      </c>
      <c r="K3119" s="37" t="s">
        <v>5018</v>
      </c>
      <c r="L3119" s="119"/>
      <c r="M3119" s="3"/>
    </row>
    <row r="3120" spans="1:13" s="4" customFormat="1" ht="25.5" x14ac:dyDescent="0.25">
      <c r="A3120" s="4" t="s">
        <v>5244</v>
      </c>
      <c r="B3120" s="4" t="s">
        <v>38</v>
      </c>
      <c r="C3120" s="37" t="s">
        <v>5018</v>
      </c>
      <c r="D3120" s="35">
        <v>1941</v>
      </c>
      <c r="E3120" s="4" t="s">
        <v>5244</v>
      </c>
      <c r="F3120" s="5">
        <v>39149</v>
      </c>
      <c r="G3120" s="5">
        <v>39163</v>
      </c>
      <c r="H3120" s="4" t="s">
        <v>40</v>
      </c>
      <c r="I3120" s="6">
        <v>895</v>
      </c>
      <c r="J3120" s="6">
        <v>895</v>
      </c>
      <c r="K3120" s="37" t="s">
        <v>5018</v>
      </c>
      <c r="L3120" s="119"/>
      <c r="M3120" s="3"/>
    </row>
    <row r="3121" spans="1:13" s="4" customFormat="1" ht="25.5" x14ac:dyDescent="0.25">
      <c r="A3121" s="4" t="s">
        <v>5245</v>
      </c>
      <c r="B3121" s="4" t="s">
        <v>38</v>
      </c>
      <c r="C3121" s="37" t="s">
        <v>5018</v>
      </c>
      <c r="D3121" s="35">
        <v>1942</v>
      </c>
      <c r="E3121" s="4" t="s">
        <v>5246</v>
      </c>
      <c r="F3121" s="5">
        <v>39142</v>
      </c>
      <c r="G3121" s="5">
        <v>39202</v>
      </c>
      <c r="H3121" s="4" t="s">
        <v>40</v>
      </c>
      <c r="I3121" s="6">
        <v>2067</v>
      </c>
      <c r="J3121" s="6">
        <v>2067</v>
      </c>
      <c r="K3121" s="37" t="s">
        <v>5018</v>
      </c>
      <c r="L3121" s="119"/>
      <c r="M3121" s="3"/>
    </row>
    <row r="3122" spans="1:13" s="4" customFormat="1" ht="25.5" x14ac:dyDescent="0.25">
      <c r="A3122" s="4" t="s">
        <v>5247</v>
      </c>
      <c r="B3122" s="4" t="s">
        <v>38</v>
      </c>
      <c r="C3122" s="37" t="s">
        <v>5018</v>
      </c>
      <c r="D3122" s="35">
        <v>1943</v>
      </c>
      <c r="E3122" s="4" t="s">
        <v>5248</v>
      </c>
      <c r="F3122" s="5">
        <v>39387</v>
      </c>
      <c r="G3122" s="5">
        <v>39387</v>
      </c>
      <c r="H3122" s="4" t="s">
        <v>40</v>
      </c>
      <c r="I3122" s="6">
        <v>635</v>
      </c>
      <c r="J3122" s="6">
        <v>635</v>
      </c>
      <c r="K3122" s="37" t="s">
        <v>5018</v>
      </c>
      <c r="L3122" s="119"/>
      <c r="M3122" s="3"/>
    </row>
    <row r="3123" spans="1:13" s="4" customFormat="1" ht="25.5" x14ac:dyDescent="0.25">
      <c r="A3123" s="4" t="s">
        <v>5249</v>
      </c>
      <c r="B3123" s="4" t="s">
        <v>38</v>
      </c>
      <c r="C3123" s="37" t="s">
        <v>5018</v>
      </c>
      <c r="D3123" s="35">
        <v>1944</v>
      </c>
      <c r="E3123" s="4" t="s">
        <v>5250</v>
      </c>
      <c r="F3123" s="5">
        <v>39155</v>
      </c>
      <c r="G3123" s="5">
        <v>39155</v>
      </c>
      <c r="H3123" s="4" t="s">
        <v>40</v>
      </c>
      <c r="I3123" s="6">
        <v>500</v>
      </c>
      <c r="J3123" s="6">
        <v>500</v>
      </c>
      <c r="K3123" s="37" t="s">
        <v>5018</v>
      </c>
      <c r="L3123" s="119"/>
      <c r="M3123" s="3"/>
    </row>
    <row r="3124" spans="1:13" s="4" customFormat="1" ht="25.5" x14ac:dyDescent="0.25">
      <c r="A3124" s="4" t="s">
        <v>5251</v>
      </c>
      <c r="B3124" s="4" t="s">
        <v>38</v>
      </c>
      <c r="C3124" s="37" t="s">
        <v>5018</v>
      </c>
      <c r="D3124" s="35">
        <v>1945</v>
      </c>
      <c r="E3124" s="4" t="s">
        <v>5252</v>
      </c>
      <c r="F3124" s="5">
        <v>39368</v>
      </c>
      <c r="G3124" s="5">
        <v>39375</v>
      </c>
      <c r="H3124" s="4" t="s">
        <v>40</v>
      </c>
      <c r="I3124" s="6">
        <v>2352</v>
      </c>
      <c r="J3124" s="6">
        <v>2352</v>
      </c>
      <c r="K3124" s="37" t="s">
        <v>5018</v>
      </c>
      <c r="L3124" s="119"/>
      <c r="M3124" s="3"/>
    </row>
    <row r="3125" spans="1:13" s="4" customFormat="1" x14ac:dyDescent="0.25">
      <c r="A3125" s="4" t="s">
        <v>5253</v>
      </c>
      <c r="B3125" s="4" t="s">
        <v>183</v>
      </c>
      <c r="C3125" s="37" t="s">
        <v>5018</v>
      </c>
      <c r="D3125" s="35">
        <v>1946</v>
      </c>
      <c r="E3125" s="4" t="s">
        <v>5254</v>
      </c>
      <c r="F3125" s="5">
        <v>39083</v>
      </c>
      <c r="G3125" s="5">
        <v>39447</v>
      </c>
      <c r="H3125" s="4" t="s">
        <v>40</v>
      </c>
      <c r="I3125" s="6">
        <v>2579.3000000000002</v>
      </c>
      <c r="J3125" s="6">
        <v>2579.3000000000002</v>
      </c>
      <c r="K3125" s="37" t="s">
        <v>5018</v>
      </c>
      <c r="L3125" s="119"/>
      <c r="M3125" s="3"/>
    </row>
    <row r="3126" spans="1:13" s="4" customFormat="1" ht="25.5" x14ac:dyDescent="0.25">
      <c r="A3126" s="4" t="s">
        <v>5255</v>
      </c>
      <c r="B3126" s="4" t="s">
        <v>38</v>
      </c>
      <c r="C3126" s="37" t="s">
        <v>5018</v>
      </c>
      <c r="D3126" s="35">
        <v>1947</v>
      </c>
      <c r="E3126" s="4" t="s">
        <v>5256</v>
      </c>
      <c r="F3126" s="5">
        <v>39149</v>
      </c>
      <c r="G3126" s="5">
        <v>39156</v>
      </c>
      <c r="H3126" s="4" t="s">
        <v>40</v>
      </c>
      <c r="I3126" s="6">
        <v>2020</v>
      </c>
      <c r="J3126" s="6">
        <v>2020</v>
      </c>
      <c r="K3126" s="37" t="s">
        <v>5018</v>
      </c>
      <c r="L3126" s="119"/>
      <c r="M3126" s="3"/>
    </row>
    <row r="3127" spans="1:13" s="4" customFormat="1" ht="25.5" x14ac:dyDescent="0.25">
      <c r="A3127" s="4" t="s">
        <v>5257</v>
      </c>
      <c r="B3127" s="4" t="s">
        <v>38</v>
      </c>
      <c r="C3127" s="37" t="s">
        <v>5018</v>
      </c>
      <c r="D3127" s="35">
        <v>1948</v>
      </c>
      <c r="E3127" s="4" t="s">
        <v>5256</v>
      </c>
      <c r="F3127" s="5">
        <v>39204</v>
      </c>
      <c r="G3127" s="5">
        <v>39239</v>
      </c>
      <c r="H3127" s="4" t="s">
        <v>40</v>
      </c>
      <c r="I3127" s="6">
        <v>1900</v>
      </c>
      <c r="J3127" s="6">
        <v>1900</v>
      </c>
      <c r="K3127" s="37" t="s">
        <v>5018</v>
      </c>
      <c r="L3127" s="119"/>
      <c r="M3127" s="3"/>
    </row>
    <row r="3128" spans="1:13" s="4" customFormat="1" ht="25.5" x14ac:dyDescent="0.25">
      <c r="A3128" s="4" t="s">
        <v>5258</v>
      </c>
      <c r="B3128" s="4" t="s">
        <v>38</v>
      </c>
      <c r="C3128" s="37" t="s">
        <v>5018</v>
      </c>
      <c r="D3128" s="35">
        <v>1949</v>
      </c>
      <c r="E3128" s="4" t="s">
        <v>5259</v>
      </c>
      <c r="F3128" s="5">
        <v>39162</v>
      </c>
      <c r="G3128" s="5">
        <v>39176</v>
      </c>
      <c r="H3128" s="4" t="s">
        <v>40</v>
      </c>
      <c r="I3128" s="6">
        <v>1009.29</v>
      </c>
      <c r="J3128" s="6">
        <v>1009.29</v>
      </c>
      <c r="K3128" s="37" t="s">
        <v>5018</v>
      </c>
      <c r="L3128" s="119"/>
      <c r="M3128" s="3"/>
    </row>
    <row r="3129" spans="1:13" s="4" customFormat="1" ht="25.5" x14ac:dyDescent="0.25">
      <c r="A3129" s="4" t="s">
        <v>5260</v>
      </c>
      <c r="B3129" s="4" t="s">
        <v>38</v>
      </c>
      <c r="C3129" s="37" t="s">
        <v>5018</v>
      </c>
      <c r="D3129" s="35">
        <v>1950</v>
      </c>
      <c r="E3129" s="4" t="s">
        <v>5261</v>
      </c>
      <c r="F3129" s="5">
        <v>39189</v>
      </c>
      <c r="G3129" s="5">
        <v>39210</v>
      </c>
      <c r="H3129" s="4" t="s">
        <v>40</v>
      </c>
      <c r="I3129" s="6">
        <v>4595.3</v>
      </c>
      <c r="J3129" s="6">
        <v>4595</v>
      </c>
      <c r="K3129" s="37" t="s">
        <v>5018</v>
      </c>
      <c r="L3129" s="119"/>
      <c r="M3129" s="3"/>
    </row>
    <row r="3130" spans="1:13" s="4" customFormat="1" ht="25.5" x14ac:dyDescent="0.25">
      <c r="A3130" s="4" t="s">
        <v>5262</v>
      </c>
      <c r="B3130" s="4" t="s">
        <v>38</v>
      </c>
      <c r="C3130" s="37" t="s">
        <v>5018</v>
      </c>
      <c r="D3130" s="35">
        <v>1951</v>
      </c>
      <c r="E3130" s="4" t="s">
        <v>5263</v>
      </c>
      <c r="F3130" s="5">
        <v>39083</v>
      </c>
      <c r="G3130" s="5">
        <v>39447</v>
      </c>
      <c r="H3130" s="4" t="s">
        <v>40</v>
      </c>
      <c r="I3130" s="6">
        <v>523</v>
      </c>
      <c r="J3130" s="6">
        <v>523</v>
      </c>
      <c r="K3130" s="37" t="s">
        <v>5018</v>
      </c>
      <c r="L3130" s="119"/>
      <c r="M3130" s="3"/>
    </row>
    <row r="3131" spans="1:13" s="4" customFormat="1" ht="25.5" x14ac:dyDescent="0.25">
      <c r="A3131" s="4" t="s">
        <v>5264</v>
      </c>
      <c r="B3131" s="4" t="s">
        <v>38</v>
      </c>
      <c r="C3131" s="37" t="s">
        <v>5018</v>
      </c>
      <c r="D3131" s="35">
        <v>2227</v>
      </c>
      <c r="E3131" s="4" t="s">
        <v>5265</v>
      </c>
      <c r="F3131" s="5">
        <v>39088</v>
      </c>
      <c r="G3131" s="5">
        <v>39447</v>
      </c>
      <c r="H3131" s="4" t="s">
        <v>40</v>
      </c>
      <c r="I3131" s="6">
        <v>21604.97</v>
      </c>
      <c r="J3131" s="6">
        <v>21604.97</v>
      </c>
      <c r="K3131" s="37" t="s">
        <v>5018</v>
      </c>
      <c r="L3131" s="119"/>
      <c r="M3131" s="3"/>
    </row>
    <row r="3132" spans="1:13" s="4" customFormat="1" ht="140.25" x14ac:dyDescent="0.25">
      <c r="A3132" s="4" t="s">
        <v>5266</v>
      </c>
      <c r="B3132" s="4" t="s">
        <v>38</v>
      </c>
      <c r="C3132" s="37" t="s">
        <v>5018</v>
      </c>
      <c r="D3132" s="35">
        <v>2551</v>
      </c>
      <c r="E3132" s="7" t="s">
        <v>5267</v>
      </c>
      <c r="F3132" s="5">
        <v>39083</v>
      </c>
      <c r="G3132" s="5">
        <v>39447</v>
      </c>
      <c r="H3132" s="4" t="s">
        <v>40</v>
      </c>
      <c r="I3132" s="6">
        <v>1082.1099999999999</v>
      </c>
      <c r="J3132" s="6">
        <v>1082.21</v>
      </c>
      <c r="K3132" s="37" t="s">
        <v>5018</v>
      </c>
      <c r="L3132" s="119"/>
      <c r="M3132" s="3"/>
    </row>
    <row r="3133" spans="1:13" s="4" customFormat="1" ht="25.5" x14ac:dyDescent="0.25">
      <c r="A3133" s="4" t="s">
        <v>5268</v>
      </c>
      <c r="B3133" s="4" t="s">
        <v>38</v>
      </c>
      <c r="C3133" s="37" t="s">
        <v>5018</v>
      </c>
      <c r="D3133" s="35">
        <v>2561</v>
      </c>
      <c r="E3133" s="4" t="s">
        <v>5268</v>
      </c>
      <c r="F3133" s="5">
        <v>39449</v>
      </c>
      <c r="G3133" s="5">
        <v>39813</v>
      </c>
      <c r="H3133" s="4" t="s">
        <v>40</v>
      </c>
      <c r="I3133" s="6">
        <v>24341.119999999999</v>
      </c>
      <c r="J3133" s="6">
        <v>24341.119999999999</v>
      </c>
      <c r="K3133" s="37" t="s">
        <v>5018</v>
      </c>
      <c r="L3133" s="119"/>
      <c r="M3133" s="3"/>
    </row>
    <row r="3134" spans="1:13" s="4" customFormat="1" ht="25.5" x14ac:dyDescent="0.25">
      <c r="A3134" s="4" t="s">
        <v>5269</v>
      </c>
      <c r="B3134" s="4" t="s">
        <v>38</v>
      </c>
      <c r="C3134" s="37" t="s">
        <v>5018</v>
      </c>
      <c r="D3134" s="35">
        <v>2566</v>
      </c>
      <c r="E3134" s="4" t="s">
        <v>5269</v>
      </c>
      <c r="F3134" s="5">
        <v>39602</v>
      </c>
      <c r="G3134" s="5">
        <v>39731</v>
      </c>
      <c r="H3134" s="4" t="s">
        <v>40</v>
      </c>
      <c r="I3134" s="6">
        <v>5219.08</v>
      </c>
      <c r="J3134" s="6">
        <v>5219.08</v>
      </c>
      <c r="K3134" s="37" t="s">
        <v>5018</v>
      </c>
      <c r="L3134" s="119"/>
      <c r="M3134" s="3"/>
    </row>
    <row r="3135" spans="1:13" s="4" customFormat="1" ht="25.5" x14ac:dyDescent="0.25">
      <c r="A3135" s="4" t="s">
        <v>5270</v>
      </c>
      <c r="B3135" s="4" t="s">
        <v>38</v>
      </c>
      <c r="C3135" s="37" t="s">
        <v>5018</v>
      </c>
      <c r="D3135" s="35">
        <v>2576</v>
      </c>
      <c r="E3135" s="4" t="s">
        <v>5270</v>
      </c>
      <c r="F3135" s="5">
        <v>39448</v>
      </c>
      <c r="G3135" s="5">
        <v>39813</v>
      </c>
      <c r="H3135" s="4" t="s">
        <v>40</v>
      </c>
      <c r="I3135" s="6">
        <v>14500</v>
      </c>
      <c r="J3135" s="6">
        <v>14500</v>
      </c>
      <c r="K3135" s="37" t="s">
        <v>5018</v>
      </c>
      <c r="L3135" s="119"/>
      <c r="M3135" s="3"/>
    </row>
    <row r="3136" spans="1:13" s="4" customFormat="1" ht="25.5" x14ac:dyDescent="0.25">
      <c r="A3136" s="4" t="s">
        <v>5271</v>
      </c>
      <c r="B3136" s="4" t="s">
        <v>38</v>
      </c>
      <c r="C3136" s="37" t="s">
        <v>5018</v>
      </c>
      <c r="D3136" s="35">
        <v>2581</v>
      </c>
      <c r="E3136" s="4" t="s">
        <v>5271</v>
      </c>
      <c r="F3136" s="5">
        <v>39734</v>
      </c>
      <c r="G3136" s="5">
        <v>39738</v>
      </c>
      <c r="H3136" s="4" t="s">
        <v>40</v>
      </c>
      <c r="I3136" s="6">
        <v>2729.48</v>
      </c>
      <c r="J3136" s="6">
        <v>2729.48</v>
      </c>
      <c r="K3136" s="37" t="s">
        <v>5018</v>
      </c>
      <c r="L3136" s="119"/>
      <c r="M3136" s="3"/>
    </row>
    <row r="3137" spans="1:13" s="4" customFormat="1" ht="63.75" x14ac:dyDescent="0.25">
      <c r="A3137" s="4" t="s">
        <v>5272</v>
      </c>
      <c r="B3137" s="4" t="s">
        <v>38</v>
      </c>
      <c r="C3137" s="37" t="s">
        <v>5018</v>
      </c>
      <c r="D3137" s="35">
        <v>2582</v>
      </c>
      <c r="E3137" s="4" t="s">
        <v>5273</v>
      </c>
      <c r="F3137" s="5">
        <v>39448</v>
      </c>
      <c r="G3137" s="5">
        <v>39813</v>
      </c>
      <c r="H3137" s="4" t="s">
        <v>40</v>
      </c>
      <c r="I3137" s="6">
        <v>918.5</v>
      </c>
      <c r="J3137" s="6">
        <v>918.5</v>
      </c>
      <c r="K3137" s="37" t="s">
        <v>5018</v>
      </c>
      <c r="L3137" s="119"/>
      <c r="M3137" s="3"/>
    </row>
    <row r="3138" spans="1:13" s="4" customFormat="1" ht="89.25" x14ac:dyDescent="0.25">
      <c r="A3138" s="4" t="s">
        <v>5274</v>
      </c>
      <c r="B3138" s="4" t="s">
        <v>38</v>
      </c>
      <c r="C3138" s="37" t="s">
        <v>5018</v>
      </c>
      <c r="D3138" s="35">
        <v>2584</v>
      </c>
      <c r="E3138" s="7" t="s">
        <v>5275</v>
      </c>
      <c r="F3138" s="5">
        <v>39448</v>
      </c>
      <c r="G3138" s="5">
        <v>39813</v>
      </c>
      <c r="H3138" s="4" t="s">
        <v>40</v>
      </c>
      <c r="I3138" s="6">
        <v>5000</v>
      </c>
      <c r="J3138" s="6">
        <v>5000</v>
      </c>
      <c r="K3138" s="37" t="s">
        <v>5018</v>
      </c>
      <c r="L3138" s="119"/>
      <c r="M3138" s="3"/>
    </row>
    <row r="3139" spans="1:13" s="4" customFormat="1" ht="25.5" x14ac:dyDescent="0.25">
      <c r="A3139" s="4" t="s">
        <v>5276</v>
      </c>
      <c r="B3139" s="4" t="s">
        <v>38</v>
      </c>
      <c r="C3139" s="37" t="s">
        <v>5018</v>
      </c>
      <c r="D3139" s="35">
        <v>2585</v>
      </c>
      <c r="E3139" s="4" t="s">
        <v>5277</v>
      </c>
      <c r="F3139" s="5">
        <v>39448</v>
      </c>
      <c r="G3139" s="5">
        <v>39813</v>
      </c>
      <c r="H3139" s="4" t="s">
        <v>40</v>
      </c>
      <c r="I3139" s="6">
        <v>1837.68</v>
      </c>
      <c r="J3139" s="6">
        <v>1837.68</v>
      </c>
      <c r="K3139" s="37" t="s">
        <v>5018</v>
      </c>
      <c r="L3139" s="119"/>
      <c r="M3139" s="3"/>
    </row>
    <row r="3140" spans="1:13" s="4" customFormat="1" ht="25.5" x14ac:dyDescent="0.25">
      <c r="A3140" s="4" t="s">
        <v>5278</v>
      </c>
      <c r="B3140" s="4" t="s">
        <v>38</v>
      </c>
      <c r="C3140" s="37" t="s">
        <v>5018</v>
      </c>
      <c r="D3140" s="35">
        <v>2586</v>
      </c>
      <c r="E3140" s="4" t="s">
        <v>5278</v>
      </c>
      <c r="F3140" s="5">
        <v>39448</v>
      </c>
      <c r="G3140" s="5">
        <v>39813</v>
      </c>
      <c r="H3140" s="4" t="s">
        <v>40</v>
      </c>
      <c r="I3140" s="6">
        <v>83445.91</v>
      </c>
      <c r="J3140" s="6">
        <v>83445.91</v>
      </c>
      <c r="K3140" s="37" t="s">
        <v>5018</v>
      </c>
      <c r="L3140" s="119"/>
      <c r="M3140" s="3"/>
    </row>
    <row r="3141" spans="1:13" s="4" customFormat="1" ht="25.5" x14ac:dyDescent="0.25">
      <c r="A3141" s="4" t="s">
        <v>5279</v>
      </c>
      <c r="B3141" s="4" t="s">
        <v>38</v>
      </c>
      <c r="C3141" s="37" t="s">
        <v>5018</v>
      </c>
      <c r="D3141" s="35">
        <v>2587</v>
      </c>
      <c r="E3141" s="4" t="s">
        <v>5279</v>
      </c>
      <c r="F3141" s="5">
        <v>39448</v>
      </c>
      <c r="G3141" s="5">
        <v>39813</v>
      </c>
      <c r="H3141" s="4" t="s">
        <v>40</v>
      </c>
      <c r="I3141" s="6">
        <v>43646.07</v>
      </c>
      <c r="J3141" s="6">
        <v>43646.07</v>
      </c>
      <c r="K3141" s="37" t="s">
        <v>5018</v>
      </c>
      <c r="L3141" s="119"/>
      <c r="M3141" s="3"/>
    </row>
    <row r="3142" spans="1:13" s="4" customFormat="1" ht="25.5" x14ac:dyDescent="0.25">
      <c r="A3142" s="4" t="s">
        <v>5280</v>
      </c>
      <c r="B3142" s="4" t="s">
        <v>38</v>
      </c>
      <c r="C3142" s="37" t="s">
        <v>5018</v>
      </c>
      <c r="D3142" s="35">
        <v>2588</v>
      </c>
      <c r="E3142" s="4" t="s">
        <v>5280</v>
      </c>
      <c r="F3142" s="5">
        <v>39448</v>
      </c>
      <c r="G3142" s="5">
        <v>39813</v>
      </c>
      <c r="H3142" s="4" t="s">
        <v>40</v>
      </c>
      <c r="I3142" s="6">
        <v>1532.37</v>
      </c>
      <c r="J3142" s="6">
        <v>1532.37</v>
      </c>
      <c r="K3142" s="37" t="s">
        <v>5018</v>
      </c>
      <c r="L3142" s="119"/>
      <c r="M3142" s="3"/>
    </row>
    <row r="3143" spans="1:13" s="4" customFormat="1" ht="25.5" x14ac:dyDescent="0.25">
      <c r="A3143" s="4" t="s">
        <v>5281</v>
      </c>
      <c r="B3143" s="4" t="s">
        <v>38</v>
      </c>
      <c r="C3143" s="37" t="s">
        <v>5018</v>
      </c>
      <c r="D3143" s="35">
        <v>2589</v>
      </c>
      <c r="E3143" s="4" t="s">
        <v>5282</v>
      </c>
      <c r="F3143" s="5">
        <v>39448</v>
      </c>
      <c r="G3143" s="5">
        <v>39813</v>
      </c>
      <c r="H3143" s="4" t="s">
        <v>40</v>
      </c>
      <c r="I3143" s="6">
        <v>1954.4</v>
      </c>
      <c r="J3143" s="6">
        <v>1954.4</v>
      </c>
      <c r="K3143" s="37" t="s">
        <v>5018</v>
      </c>
      <c r="L3143" s="119"/>
      <c r="M3143" s="3"/>
    </row>
    <row r="3144" spans="1:13" s="4" customFormat="1" ht="25.5" x14ac:dyDescent="0.25">
      <c r="A3144" s="4" t="s">
        <v>5283</v>
      </c>
      <c r="B3144" s="4" t="s">
        <v>38</v>
      </c>
      <c r="C3144" s="37" t="s">
        <v>5018</v>
      </c>
      <c r="D3144" s="35">
        <v>2590</v>
      </c>
      <c r="E3144" s="4" t="s">
        <v>5283</v>
      </c>
      <c r="F3144" s="5">
        <v>39448</v>
      </c>
      <c r="G3144" s="5">
        <v>39813</v>
      </c>
      <c r="H3144" s="4" t="s">
        <v>40</v>
      </c>
      <c r="I3144" s="6">
        <v>1446.35</v>
      </c>
      <c r="J3144" s="6">
        <v>1446.35</v>
      </c>
      <c r="K3144" s="37" t="s">
        <v>5018</v>
      </c>
      <c r="L3144" s="119"/>
      <c r="M3144" s="3"/>
    </row>
    <row r="3145" spans="1:13" s="4" customFormat="1" ht="140.25" x14ac:dyDescent="0.25">
      <c r="A3145" s="4" t="s">
        <v>5284</v>
      </c>
      <c r="B3145" s="4" t="s">
        <v>38</v>
      </c>
      <c r="C3145" s="37" t="s">
        <v>5018</v>
      </c>
      <c r="D3145" s="35">
        <v>2591</v>
      </c>
      <c r="E3145" s="7" t="s">
        <v>5267</v>
      </c>
      <c r="F3145" s="5">
        <v>39448</v>
      </c>
      <c r="G3145" s="5">
        <v>39813</v>
      </c>
      <c r="H3145" s="4" t="s">
        <v>40</v>
      </c>
      <c r="I3145" s="6">
        <v>10188.34</v>
      </c>
      <c r="J3145" s="6">
        <v>10188.34</v>
      </c>
      <c r="K3145" s="37" t="s">
        <v>5018</v>
      </c>
      <c r="L3145" s="119"/>
      <c r="M3145" s="3"/>
    </row>
    <row r="3146" spans="1:13" s="4" customFormat="1" ht="25.5" x14ac:dyDescent="0.25">
      <c r="A3146" s="4" t="s">
        <v>5285</v>
      </c>
      <c r="B3146" s="4" t="s">
        <v>38</v>
      </c>
      <c r="C3146" s="37" t="s">
        <v>5018</v>
      </c>
      <c r="D3146" s="35">
        <v>2592</v>
      </c>
      <c r="E3146" s="4" t="s">
        <v>5286</v>
      </c>
      <c r="F3146" s="5">
        <v>39720</v>
      </c>
      <c r="G3146" s="5">
        <v>39720</v>
      </c>
      <c r="H3146" s="4" t="s">
        <v>40</v>
      </c>
      <c r="I3146" s="6">
        <v>3400</v>
      </c>
      <c r="J3146" s="6">
        <v>3400</v>
      </c>
      <c r="K3146" s="37" t="s">
        <v>5018</v>
      </c>
      <c r="L3146" s="119"/>
      <c r="M3146" s="3"/>
    </row>
    <row r="3147" spans="1:13" s="4" customFormat="1" ht="25.5" x14ac:dyDescent="0.25">
      <c r="A3147" s="4" t="s">
        <v>5287</v>
      </c>
      <c r="B3147" s="4" t="s">
        <v>38</v>
      </c>
      <c r="C3147" s="37" t="s">
        <v>5018</v>
      </c>
      <c r="D3147" s="35">
        <v>2594</v>
      </c>
      <c r="E3147" s="4" t="s">
        <v>5287</v>
      </c>
      <c r="F3147" s="5">
        <v>39448</v>
      </c>
      <c r="G3147" s="5">
        <v>39813</v>
      </c>
      <c r="H3147" s="4" t="s">
        <v>40</v>
      </c>
      <c r="I3147" s="6">
        <v>26555.919999999998</v>
      </c>
      <c r="J3147" s="6">
        <v>26555.919999999998</v>
      </c>
      <c r="K3147" s="37" t="s">
        <v>5018</v>
      </c>
      <c r="L3147" s="119"/>
      <c r="M3147" s="3"/>
    </row>
    <row r="3148" spans="1:13" s="4" customFormat="1" ht="25.5" x14ac:dyDescent="0.25">
      <c r="A3148" s="4" t="s">
        <v>5288</v>
      </c>
      <c r="B3148" s="4" t="s">
        <v>38</v>
      </c>
      <c r="C3148" s="37" t="s">
        <v>5018</v>
      </c>
      <c r="D3148" s="35">
        <v>2595</v>
      </c>
      <c r="E3148" s="4" t="s">
        <v>5289</v>
      </c>
      <c r="F3148" s="5">
        <v>39448</v>
      </c>
      <c r="G3148" s="5">
        <v>39813</v>
      </c>
      <c r="H3148" s="4" t="s">
        <v>40</v>
      </c>
      <c r="I3148" s="6">
        <v>75931.600000000006</v>
      </c>
      <c r="J3148" s="6">
        <v>37965.800000000003</v>
      </c>
      <c r="K3148" s="37" t="s">
        <v>5018</v>
      </c>
      <c r="L3148" s="119"/>
      <c r="M3148" s="3"/>
    </row>
    <row r="3149" spans="1:13" s="4" customFormat="1" ht="25.5" x14ac:dyDescent="0.25">
      <c r="A3149" s="4" t="s">
        <v>5290</v>
      </c>
      <c r="B3149" s="4" t="s">
        <v>38</v>
      </c>
      <c r="C3149" s="37" t="s">
        <v>5018</v>
      </c>
      <c r="D3149" s="35">
        <v>2596</v>
      </c>
      <c r="E3149" s="4" t="s">
        <v>5290</v>
      </c>
      <c r="F3149" s="5">
        <v>39499</v>
      </c>
      <c r="G3149" s="5">
        <v>39520</v>
      </c>
      <c r="H3149" s="4" t="s">
        <v>40</v>
      </c>
      <c r="I3149" s="6">
        <v>700</v>
      </c>
      <c r="J3149" s="6">
        <v>700</v>
      </c>
      <c r="K3149" s="37" t="s">
        <v>5018</v>
      </c>
      <c r="L3149" s="119"/>
      <c r="M3149" s="3"/>
    </row>
    <row r="3150" spans="1:13" s="4" customFormat="1" ht="25.5" x14ac:dyDescent="0.25">
      <c r="A3150" s="4" t="s">
        <v>5291</v>
      </c>
      <c r="B3150" s="4" t="s">
        <v>38</v>
      </c>
      <c r="C3150" s="37" t="s">
        <v>5018</v>
      </c>
      <c r="D3150" s="35">
        <v>2597</v>
      </c>
      <c r="E3150" s="4" t="s">
        <v>5291</v>
      </c>
      <c r="F3150" s="5">
        <v>39757</v>
      </c>
      <c r="G3150" s="5">
        <v>39778</v>
      </c>
      <c r="H3150" s="4" t="s">
        <v>40</v>
      </c>
      <c r="I3150" s="6">
        <v>700</v>
      </c>
      <c r="J3150" s="6">
        <v>700</v>
      </c>
      <c r="K3150" s="37" t="s">
        <v>5018</v>
      </c>
      <c r="L3150" s="119"/>
      <c r="M3150" s="3"/>
    </row>
    <row r="3151" spans="1:13" s="4" customFormat="1" ht="25.5" x14ac:dyDescent="0.25">
      <c r="A3151" s="4" t="s">
        <v>5292</v>
      </c>
      <c r="B3151" s="4" t="s">
        <v>38</v>
      </c>
      <c r="C3151" s="37" t="s">
        <v>5018</v>
      </c>
      <c r="D3151" s="35">
        <v>2598</v>
      </c>
      <c r="E3151" s="4" t="s">
        <v>5292</v>
      </c>
      <c r="F3151" s="5">
        <v>39548</v>
      </c>
      <c r="G3151" s="5">
        <v>39569</v>
      </c>
      <c r="H3151" s="4" t="s">
        <v>40</v>
      </c>
      <c r="I3151" s="6">
        <v>100</v>
      </c>
      <c r="J3151" s="6">
        <v>100</v>
      </c>
      <c r="K3151" s="37" t="s">
        <v>5018</v>
      </c>
      <c r="L3151" s="119"/>
      <c r="M3151" s="3"/>
    </row>
    <row r="3152" spans="1:13" s="4" customFormat="1" ht="25.5" x14ac:dyDescent="0.25">
      <c r="A3152" s="4" t="s">
        <v>5293</v>
      </c>
      <c r="B3152" s="4" t="s">
        <v>38</v>
      </c>
      <c r="C3152" s="37" t="s">
        <v>5018</v>
      </c>
      <c r="D3152" s="35">
        <v>2599</v>
      </c>
      <c r="E3152" s="4" t="s">
        <v>5293</v>
      </c>
      <c r="F3152" s="5">
        <v>39756</v>
      </c>
      <c r="G3152" s="5">
        <v>39766</v>
      </c>
      <c r="H3152" s="4" t="s">
        <v>40</v>
      </c>
      <c r="I3152" s="6">
        <v>300</v>
      </c>
      <c r="J3152" s="6">
        <v>300</v>
      </c>
      <c r="K3152" s="37" t="s">
        <v>5018</v>
      </c>
      <c r="L3152" s="119"/>
      <c r="M3152" s="3"/>
    </row>
    <row r="3153" spans="1:13" s="4" customFormat="1" ht="25.5" x14ac:dyDescent="0.25">
      <c r="A3153" s="4" t="s">
        <v>5294</v>
      </c>
      <c r="B3153" s="4" t="s">
        <v>38</v>
      </c>
      <c r="C3153" s="37" t="s">
        <v>5018</v>
      </c>
      <c r="D3153" s="35">
        <v>2600</v>
      </c>
      <c r="E3153" s="4" t="s">
        <v>5294</v>
      </c>
      <c r="F3153" s="5">
        <v>39448</v>
      </c>
      <c r="G3153" s="5">
        <v>39813</v>
      </c>
      <c r="H3153" s="4" t="s">
        <v>40</v>
      </c>
      <c r="I3153" s="6">
        <v>3153.5</v>
      </c>
      <c r="J3153" s="6">
        <v>3153.5</v>
      </c>
      <c r="K3153" s="37" t="s">
        <v>5018</v>
      </c>
      <c r="L3153" s="119"/>
      <c r="M3153" s="3"/>
    </row>
    <row r="3154" spans="1:13" s="4" customFormat="1" ht="25.5" x14ac:dyDescent="0.25">
      <c r="A3154" s="4" t="s">
        <v>5295</v>
      </c>
      <c r="B3154" s="4" t="s">
        <v>38</v>
      </c>
      <c r="C3154" s="37" t="s">
        <v>5018</v>
      </c>
      <c r="D3154" s="35">
        <v>2601</v>
      </c>
      <c r="E3154" s="4" t="s">
        <v>5295</v>
      </c>
      <c r="F3154" s="5">
        <v>39555</v>
      </c>
      <c r="G3154" s="5">
        <v>39555</v>
      </c>
      <c r="H3154" s="4" t="s">
        <v>40</v>
      </c>
      <c r="I3154" s="6">
        <v>580</v>
      </c>
      <c r="J3154" s="6">
        <v>580</v>
      </c>
      <c r="K3154" s="37" t="s">
        <v>5018</v>
      </c>
      <c r="L3154" s="119"/>
      <c r="M3154" s="3"/>
    </row>
    <row r="3155" spans="1:13" s="4" customFormat="1" ht="25.5" x14ac:dyDescent="0.25">
      <c r="A3155" s="4" t="s">
        <v>5296</v>
      </c>
      <c r="B3155" s="4" t="s">
        <v>38</v>
      </c>
      <c r="C3155" s="37" t="s">
        <v>5018</v>
      </c>
      <c r="D3155" s="35">
        <v>2603</v>
      </c>
      <c r="E3155" s="4" t="s">
        <v>5296</v>
      </c>
      <c r="F3155" s="5">
        <v>39476</v>
      </c>
      <c r="G3155" s="5">
        <v>39813</v>
      </c>
      <c r="H3155" s="4" t="s">
        <v>40</v>
      </c>
      <c r="I3155" s="6">
        <v>7140</v>
      </c>
      <c r="J3155" s="6">
        <v>7140</v>
      </c>
      <c r="K3155" s="37" t="s">
        <v>5018</v>
      </c>
      <c r="L3155" s="119"/>
      <c r="M3155" s="3"/>
    </row>
    <row r="3156" spans="1:13" s="4" customFormat="1" ht="25.5" x14ac:dyDescent="0.25">
      <c r="A3156" s="4" t="s">
        <v>5297</v>
      </c>
      <c r="B3156" s="4" t="s">
        <v>38</v>
      </c>
      <c r="C3156" s="37" t="s">
        <v>5018</v>
      </c>
      <c r="D3156" s="35">
        <v>2826</v>
      </c>
      <c r="E3156" s="4" t="s">
        <v>5297</v>
      </c>
      <c r="F3156" s="5">
        <v>39497</v>
      </c>
      <c r="G3156" s="5">
        <v>39511</v>
      </c>
      <c r="H3156" s="4" t="s">
        <v>40</v>
      </c>
      <c r="I3156" s="6">
        <v>1594</v>
      </c>
      <c r="J3156" s="6">
        <v>1594</v>
      </c>
      <c r="K3156" s="37" t="s">
        <v>5018</v>
      </c>
      <c r="L3156" s="119"/>
      <c r="M3156" s="3"/>
    </row>
    <row r="3157" spans="1:13" s="4" customFormat="1" ht="25.5" x14ac:dyDescent="0.25">
      <c r="A3157" s="4" t="s">
        <v>5298</v>
      </c>
      <c r="B3157" s="4" t="s">
        <v>38</v>
      </c>
      <c r="C3157" s="37" t="s">
        <v>5018</v>
      </c>
      <c r="D3157" s="35">
        <v>2830</v>
      </c>
      <c r="E3157" s="4" t="s">
        <v>5240</v>
      </c>
      <c r="F3157" s="5">
        <v>39480</v>
      </c>
      <c r="G3157" s="5">
        <v>39510</v>
      </c>
      <c r="H3157" s="4" t="s">
        <v>40</v>
      </c>
      <c r="I3157" s="6">
        <v>1865.49</v>
      </c>
      <c r="J3157" s="6">
        <v>1865.49</v>
      </c>
      <c r="K3157" s="37" t="s">
        <v>5018</v>
      </c>
      <c r="L3157" s="119"/>
      <c r="M3157" s="3"/>
    </row>
    <row r="3158" spans="1:13" s="4" customFormat="1" ht="25.5" x14ac:dyDescent="0.25">
      <c r="A3158" s="4" t="s">
        <v>5299</v>
      </c>
      <c r="B3158" s="4" t="s">
        <v>38</v>
      </c>
      <c r="C3158" s="37" t="s">
        <v>5018</v>
      </c>
      <c r="D3158" s="35">
        <v>2831</v>
      </c>
      <c r="E3158" s="4" t="s">
        <v>5240</v>
      </c>
      <c r="F3158" s="5">
        <v>39480</v>
      </c>
      <c r="G3158" s="5">
        <v>39568</v>
      </c>
      <c r="H3158" s="4" t="s">
        <v>40</v>
      </c>
      <c r="I3158" s="6">
        <v>680.13</v>
      </c>
      <c r="J3158" s="6">
        <v>680.13</v>
      </c>
      <c r="K3158" s="37" t="s">
        <v>5018</v>
      </c>
      <c r="L3158" s="119"/>
      <c r="M3158" s="3"/>
    </row>
    <row r="3159" spans="1:13" s="4" customFormat="1" ht="25.5" x14ac:dyDescent="0.25">
      <c r="A3159" s="4" t="s">
        <v>5300</v>
      </c>
      <c r="B3159" s="4" t="s">
        <v>38</v>
      </c>
      <c r="C3159" s="37" t="s">
        <v>5018</v>
      </c>
      <c r="D3159" s="35">
        <v>2836</v>
      </c>
      <c r="E3159" s="4" t="s">
        <v>5301</v>
      </c>
      <c r="F3159" s="5">
        <v>39692</v>
      </c>
      <c r="G3159" s="5">
        <v>40178</v>
      </c>
      <c r="H3159" s="4" t="s">
        <v>40</v>
      </c>
      <c r="I3159" s="6">
        <v>1395.64</v>
      </c>
      <c r="J3159" s="6">
        <v>1395.64</v>
      </c>
      <c r="K3159" s="37" t="s">
        <v>5018</v>
      </c>
      <c r="L3159" s="119"/>
      <c r="M3159" s="3"/>
    </row>
    <row r="3160" spans="1:13" s="4" customFormat="1" ht="25.5" x14ac:dyDescent="0.25">
      <c r="A3160" s="4" t="s">
        <v>5302</v>
      </c>
      <c r="B3160" s="4" t="s">
        <v>38</v>
      </c>
      <c r="C3160" s="37" t="s">
        <v>5018</v>
      </c>
      <c r="D3160" s="35">
        <v>2837</v>
      </c>
      <c r="E3160" s="4" t="s">
        <v>5303</v>
      </c>
      <c r="F3160" s="5">
        <v>39692</v>
      </c>
      <c r="G3160" s="5">
        <v>40178</v>
      </c>
      <c r="H3160" s="4" t="s">
        <v>40</v>
      </c>
      <c r="I3160" s="6">
        <v>1696.7</v>
      </c>
      <c r="J3160" s="6">
        <v>1696.7</v>
      </c>
      <c r="K3160" s="37" t="s">
        <v>5018</v>
      </c>
      <c r="L3160" s="119"/>
      <c r="M3160" s="3"/>
    </row>
    <row r="3161" spans="1:13" s="4" customFormat="1" ht="25.5" x14ac:dyDescent="0.25">
      <c r="A3161" s="4" t="s">
        <v>5304</v>
      </c>
      <c r="B3161" s="4" t="s">
        <v>38</v>
      </c>
      <c r="C3161" s="37" t="s">
        <v>5018</v>
      </c>
      <c r="D3161" s="35">
        <v>2838</v>
      </c>
      <c r="E3161" s="4" t="s">
        <v>5250</v>
      </c>
      <c r="F3161" s="5">
        <v>39692</v>
      </c>
      <c r="G3161" s="5">
        <v>39813</v>
      </c>
      <c r="H3161" s="4" t="s">
        <v>40</v>
      </c>
      <c r="I3161" s="6">
        <v>525</v>
      </c>
      <c r="J3161" s="6">
        <v>525</v>
      </c>
      <c r="K3161" s="37" t="s">
        <v>5018</v>
      </c>
      <c r="L3161" s="119"/>
      <c r="M3161" s="3"/>
    </row>
    <row r="3162" spans="1:13" s="4" customFormat="1" ht="25.5" x14ac:dyDescent="0.25">
      <c r="A3162" s="4" t="s">
        <v>5305</v>
      </c>
      <c r="B3162" s="4" t="s">
        <v>38</v>
      </c>
      <c r="C3162" s="37" t="s">
        <v>5018</v>
      </c>
      <c r="D3162" s="35">
        <v>2839</v>
      </c>
      <c r="E3162" s="4" t="s">
        <v>5305</v>
      </c>
      <c r="F3162" s="5">
        <v>39482</v>
      </c>
      <c r="G3162" s="5">
        <v>39510</v>
      </c>
      <c r="H3162" s="4" t="s">
        <v>40</v>
      </c>
      <c r="I3162" s="6">
        <v>3015</v>
      </c>
      <c r="J3162" s="6">
        <v>3015</v>
      </c>
      <c r="K3162" s="37" t="s">
        <v>5018</v>
      </c>
      <c r="L3162" s="119"/>
      <c r="M3162" s="3"/>
    </row>
    <row r="3163" spans="1:13" s="4" customFormat="1" ht="25.5" x14ac:dyDescent="0.25">
      <c r="A3163" s="4" t="s">
        <v>5306</v>
      </c>
      <c r="B3163" s="4" t="s">
        <v>38</v>
      </c>
      <c r="C3163" s="37" t="s">
        <v>5018</v>
      </c>
      <c r="D3163" s="35">
        <v>2841</v>
      </c>
      <c r="E3163" s="4" t="s">
        <v>5306</v>
      </c>
      <c r="F3163" s="5">
        <v>39692</v>
      </c>
      <c r="G3163" s="5">
        <v>39813</v>
      </c>
      <c r="H3163" s="4" t="s">
        <v>40</v>
      </c>
      <c r="I3163" s="6">
        <v>950</v>
      </c>
      <c r="J3163" s="6">
        <v>950</v>
      </c>
      <c r="K3163" s="37" t="s">
        <v>5018</v>
      </c>
      <c r="L3163" s="119"/>
      <c r="M3163" s="3"/>
    </row>
    <row r="3164" spans="1:13" s="4" customFormat="1" ht="25.5" x14ac:dyDescent="0.25">
      <c r="A3164" s="4" t="s">
        <v>5307</v>
      </c>
      <c r="B3164" s="4" t="s">
        <v>38</v>
      </c>
      <c r="C3164" s="37" t="s">
        <v>5018</v>
      </c>
      <c r="D3164" s="35">
        <v>2842</v>
      </c>
      <c r="E3164" s="4" t="s">
        <v>5307</v>
      </c>
      <c r="F3164" s="5">
        <v>39692</v>
      </c>
      <c r="G3164" s="5">
        <v>39813</v>
      </c>
      <c r="H3164" s="4" t="s">
        <v>40</v>
      </c>
      <c r="I3164" s="6">
        <v>500</v>
      </c>
      <c r="J3164" s="6">
        <v>500</v>
      </c>
      <c r="K3164" s="37" t="s">
        <v>5018</v>
      </c>
      <c r="L3164" s="119"/>
      <c r="M3164" s="3"/>
    </row>
    <row r="3165" spans="1:13" s="4" customFormat="1" ht="25.5" x14ac:dyDescent="0.25">
      <c r="A3165" s="4" t="s">
        <v>5308</v>
      </c>
      <c r="B3165" s="4" t="s">
        <v>38</v>
      </c>
      <c r="C3165" s="37" t="s">
        <v>5018</v>
      </c>
      <c r="D3165" s="35">
        <v>2844</v>
      </c>
      <c r="E3165" s="4" t="s">
        <v>5308</v>
      </c>
      <c r="F3165" s="5">
        <v>39779</v>
      </c>
      <c r="G3165" s="5">
        <v>39785</v>
      </c>
      <c r="H3165" s="4" t="s">
        <v>40</v>
      </c>
      <c r="I3165" s="6">
        <v>600</v>
      </c>
      <c r="J3165" s="6">
        <v>600</v>
      </c>
      <c r="K3165" s="37" t="s">
        <v>5018</v>
      </c>
      <c r="L3165" s="119"/>
      <c r="M3165" s="3"/>
    </row>
    <row r="3166" spans="1:13" s="4" customFormat="1" ht="25.5" x14ac:dyDescent="0.25">
      <c r="A3166" s="4" t="s">
        <v>5309</v>
      </c>
      <c r="B3166" s="4" t="s">
        <v>38</v>
      </c>
      <c r="C3166" s="37" t="s">
        <v>5018</v>
      </c>
      <c r="D3166" s="35">
        <v>2845</v>
      </c>
      <c r="E3166" s="4" t="s">
        <v>5309</v>
      </c>
      <c r="F3166" s="5">
        <v>39546</v>
      </c>
      <c r="G3166" s="5">
        <v>39553</v>
      </c>
      <c r="H3166" s="4" t="s">
        <v>40</v>
      </c>
      <c r="I3166" s="6">
        <v>1159</v>
      </c>
      <c r="J3166" s="6">
        <v>1159</v>
      </c>
      <c r="K3166" s="37" t="s">
        <v>5018</v>
      </c>
      <c r="L3166" s="119"/>
      <c r="M3166" s="3"/>
    </row>
    <row r="3167" spans="1:13" s="4" customFormat="1" ht="25.5" x14ac:dyDescent="0.25">
      <c r="A3167" s="4" t="s">
        <v>5310</v>
      </c>
      <c r="B3167" s="4" t="s">
        <v>38</v>
      </c>
      <c r="C3167" s="37" t="s">
        <v>5018</v>
      </c>
      <c r="D3167" s="35">
        <v>2846</v>
      </c>
      <c r="E3167" s="4" t="s">
        <v>5310</v>
      </c>
      <c r="F3167" s="5">
        <v>39755</v>
      </c>
      <c r="G3167" s="5">
        <v>39769</v>
      </c>
      <c r="H3167" s="4" t="s">
        <v>40</v>
      </c>
      <c r="I3167" s="6">
        <v>1955</v>
      </c>
      <c r="J3167" s="6">
        <v>1955</v>
      </c>
      <c r="K3167" s="37" t="s">
        <v>5018</v>
      </c>
      <c r="L3167" s="119"/>
      <c r="M3167" s="3"/>
    </row>
    <row r="3168" spans="1:13" s="4" customFormat="1" ht="25.5" x14ac:dyDescent="0.25">
      <c r="A3168" s="4" t="s">
        <v>5311</v>
      </c>
      <c r="B3168" s="4" t="s">
        <v>38</v>
      </c>
      <c r="C3168" s="37" t="s">
        <v>5018</v>
      </c>
      <c r="D3168" s="35">
        <v>2848</v>
      </c>
      <c r="E3168" s="4" t="s">
        <v>5311</v>
      </c>
      <c r="F3168" s="5">
        <v>39494</v>
      </c>
      <c r="G3168" s="5">
        <v>39508</v>
      </c>
      <c r="H3168" s="4" t="s">
        <v>40</v>
      </c>
      <c r="I3168" s="6">
        <v>3548</v>
      </c>
      <c r="J3168" s="6">
        <v>3548</v>
      </c>
      <c r="K3168" s="37" t="s">
        <v>5018</v>
      </c>
      <c r="L3168" s="119"/>
      <c r="M3168" s="3"/>
    </row>
    <row r="3169" spans="1:13" s="4" customFormat="1" ht="25.5" x14ac:dyDescent="0.25">
      <c r="A3169" s="4" t="s">
        <v>5312</v>
      </c>
      <c r="B3169" s="4" t="s">
        <v>38</v>
      </c>
      <c r="C3169" s="37" t="s">
        <v>5018</v>
      </c>
      <c r="D3169" s="35">
        <v>2849</v>
      </c>
      <c r="E3169" s="4" t="s">
        <v>5312</v>
      </c>
      <c r="F3169" s="5">
        <v>39692</v>
      </c>
      <c r="G3169" s="5">
        <v>39813</v>
      </c>
      <c r="H3169" s="4" t="s">
        <v>40</v>
      </c>
      <c r="I3169" s="6">
        <v>1200</v>
      </c>
      <c r="J3169" s="6">
        <v>1200</v>
      </c>
      <c r="K3169" s="37" t="s">
        <v>5018</v>
      </c>
      <c r="L3169" s="119"/>
      <c r="M3169" s="3"/>
    </row>
    <row r="3170" spans="1:13" s="4" customFormat="1" ht="25.5" x14ac:dyDescent="0.25">
      <c r="A3170" s="4" t="s">
        <v>5313</v>
      </c>
      <c r="B3170" s="4" t="s">
        <v>38</v>
      </c>
      <c r="C3170" s="37" t="s">
        <v>5018</v>
      </c>
      <c r="D3170" s="35">
        <v>2850</v>
      </c>
      <c r="E3170" s="4" t="s">
        <v>5313</v>
      </c>
      <c r="F3170" s="5">
        <v>39504</v>
      </c>
      <c r="G3170" s="5">
        <v>39518</v>
      </c>
      <c r="H3170" s="4" t="s">
        <v>40</v>
      </c>
      <c r="I3170" s="6">
        <v>350</v>
      </c>
      <c r="J3170" s="6">
        <v>350</v>
      </c>
      <c r="K3170" s="37" t="s">
        <v>5018</v>
      </c>
      <c r="L3170" s="119"/>
      <c r="M3170" s="3"/>
    </row>
    <row r="3171" spans="1:13" s="4" customFormat="1" ht="25.5" x14ac:dyDescent="0.25">
      <c r="A3171" s="4" t="s">
        <v>5314</v>
      </c>
      <c r="B3171" s="4" t="s">
        <v>38</v>
      </c>
      <c r="C3171" s="37" t="s">
        <v>5018</v>
      </c>
      <c r="D3171" s="35">
        <v>2851</v>
      </c>
      <c r="E3171" s="4" t="s">
        <v>5314</v>
      </c>
      <c r="F3171" s="5">
        <v>39728</v>
      </c>
      <c r="G3171" s="5">
        <v>39742</v>
      </c>
      <c r="H3171" s="4" t="s">
        <v>40</v>
      </c>
      <c r="I3171" s="6">
        <v>625</v>
      </c>
      <c r="J3171" s="6">
        <v>625</v>
      </c>
      <c r="K3171" s="37" t="s">
        <v>5018</v>
      </c>
      <c r="L3171" s="119"/>
      <c r="M3171" s="3"/>
    </row>
    <row r="3172" spans="1:13" s="4" customFormat="1" ht="25.5" x14ac:dyDescent="0.25">
      <c r="A3172" s="4" t="s">
        <v>5315</v>
      </c>
      <c r="B3172" s="4" t="s">
        <v>38</v>
      </c>
      <c r="C3172" s="37" t="s">
        <v>5018</v>
      </c>
      <c r="D3172" s="35">
        <v>2852</v>
      </c>
      <c r="E3172" s="4" t="s">
        <v>5315</v>
      </c>
      <c r="F3172" s="5">
        <v>39511</v>
      </c>
      <c r="G3172" s="5">
        <v>39518</v>
      </c>
      <c r="H3172" s="4" t="s">
        <v>40</v>
      </c>
      <c r="I3172" s="6">
        <v>100</v>
      </c>
      <c r="J3172" s="6">
        <v>100</v>
      </c>
      <c r="K3172" s="37" t="s">
        <v>5018</v>
      </c>
      <c r="L3172" s="119"/>
      <c r="M3172" s="3"/>
    </row>
    <row r="3173" spans="1:13" s="4" customFormat="1" ht="25.5" x14ac:dyDescent="0.25">
      <c r="A3173" s="4" t="s">
        <v>5316</v>
      </c>
      <c r="B3173" s="4" t="s">
        <v>38</v>
      </c>
      <c r="C3173" s="37" t="s">
        <v>5018</v>
      </c>
      <c r="D3173" s="35">
        <v>2853</v>
      </c>
      <c r="E3173" s="4" t="s">
        <v>5317</v>
      </c>
      <c r="F3173" s="5">
        <v>39541</v>
      </c>
      <c r="G3173" s="5">
        <v>39541</v>
      </c>
      <c r="H3173" s="4" t="s">
        <v>40</v>
      </c>
      <c r="I3173" s="6">
        <v>115</v>
      </c>
      <c r="J3173" s="6">
        <v>115</v>
      </c>
      <c r="K3173" s="37" t="s">
        <v>5018</v>
      </c>
      <c r="L3173" s="119"/>
      <c r="M3173" s="3"/>
    </row>
    <row r="3174" spans="1:13" s="4" customFormat="1" ht="25.5" x14ac:dyDescent="0.25">
      <c r="A3174" s="4" t="s">
        <v>5318</v>
      </c>
      <c r="B3174" s="4" t="s">
        <v>38</v>
      </c>
      <c r="C3174" s="37" t="s">
        <v>5018</v>
      </c>
      <c r="D3174" s="35">
        <v>2854</v>
      </c>
      <c r="E3174" s="4" t="s">
        <v>5318</v>
      </c>
      <c r="F3174" s="5">
        <v>39539</v>
      </c>
      <c r="G3174" s="5">
        <v>39721</v>
      </c>
      <c r="H3174" s="4" t="s">
        <v>40</v>
      </c>
      <c r="I3174" s="6">
        <v>2264.92</v>
      </c>
      <c r="J3174" s="6">
        <v>2264.92</v>
      </c>
      <c r="K3174" s="37" t="s">
        <v>5018</v>
      </c>
      <c r="L3174" s="119"/>
      <c r="M3174" s="3"/>
    </row>
    <row r="3175" spans="1:13" s="4" customFormat="1" ht="25.5" x14ac:dyDescent="0.25">
      <c r="A3175" s="4" t="s">
        <v>5319</v>
      </c>
      <c r="B3175" s="4" t="s">
        <v>38</v>
      </c>
      <c r="C3175" s="37" t="s">
        <v>5018</v>
      </c>
      <c r="D3175" s="35">
        <v>2855</v>
      </c>
      <c r="E3175" s="4" t="s">
        <v>5319</v>
      </c>
      <c r="F3175" s="5">
        <v>39708</v>
      </c>
      <c r="G3175" s="5">
        <v>39813</v>
      </c>
      <c r="H3175" s="4" t="s">
        <v>40</v>
      </c>
      <c r="I3175" s="6">
        <v>3575.5</v>
      </c>
      <c r="J3175" s="6">
        <v>3575.5</v>
      </c>
      <c r="K3175" s="37" t="s">
        <v>5018</v>
      </c>
      <c r="L3175" s="119"/>
      <c r="M3175" s="3"/>
    </row>
    <row r="3176" spans="1:13" s="4" customFormat="1" ht="25.5" x14ac:dyDescent="0.25">
      <c r="A3176" s="4" t="s">
        <v>5320</v>
      </c>
      <c r="B3176" s="4" t="s">
        <v>38</v>
      </c>
      <c r="C3176" s="37" t="s">
        <v>5018</v>
      </c>
      <c r="D3176" s="35">
        <v>2856</v>
      </c>
      <c r="E3176" s="4" t="s">
        <v>5320</v>
      </c>
      <c r="F3176" s="5">
        <v>39503</v>
      </c>
      <c r="G3176" s="5">
        <v>39517</v>
      </c>
      <c r="H3176" s="4" t="s">
        <v>40</v>
      </c>
      <c r="I3176" s="6">
        <v>225</v>
      </c>
      <c r="J3176" s="6">
        <v>225</v>
      </c>
      <c r="K3176" s="37" t="s">
        <v>5018</v>
      </c>
      <c r="L3176" s="119"/>
      <c r="M3176" s="3"/>
    </row>
    <row r="3177" spans="1:13" s="4" customFormat="1" ht="25.5" x14ac:dyDescent="0.25">
      <c r="A3177" s="4" t="s">
        <v>5321</v>
      </c>
      <c r="B3177" s="4" t="s">
        <v>38</v>
      </c>
      <c r="C3177" s="37" t="s">
        <v>5018</v>
      </c>
      <c r="D3177" s="35">
        <v>2857</v>
      </c>
      <c r="E3177" s="4" t="s">
        <v>5321</v>
      </c>
      <c r="F3177" s="5">
        <v>39727</v>
      </c>
      <c r="G3177" s="5">
        <v>39741</v>
      </c>
      <c r="H3177" s="4" t="s">
        <v>40</v>
      </c>
      <c r="I3177" s="6">
        <v>450</v>
      </c>
      <c r="J3177" s="6">
        <v>450</v>
      </c>
      <c r="K3177" s="37" t="s">
        <v>5018</v>
      </c>
      <c r="L3177" s="119"/>
      <c r="M3177" s="3"/>
    </row>
    <row r="3178" spans="1:13" s="4" customFormat="1" ht="25.5" x14ac:dyDescent="0.25">
      <c r="A3178" s="4" t="s">
        <v>5322</v>
      </c>
      <c r="B3178" s="4" t="s">
        <v>38</v>
      </c>
      <c r="C3178" s="37" t="s">
        <v>5018</v>
      </c>
      <c r="D3178" s="35">
        <v>2858</v>
      </c>
      <c r="E3178" s="4" t="s">
        <v>5322</v>
      </c>
      <c r="F3178" s="5">
        <v>39538</v>
      </c>
      <c r="G3178" s="5">
        <v>39539</v>
      </c>
      <c r="H3178" s="4" t="s">
        <v>40</v>
      </c>
      <c r="I3178" s="6">
        <v>1650</v>
      </c>
      <c r="J3178" s="6">
        <v>1650</v>
      </c>
      <c r="K3178" s="37" t="s">
        <v>5018</v>
      </c>
      <c r="L3178" s="119"/>
      <c r="M3178" s="3"/>
    </row>
    <row r="3179" spans="1:13" s="4" customFormat="1" ht="25.5" x14ac:dyDescent="0.25">
      <c r="A3179" s="4" t="s">
        <v>5323</v>
      </c>
      <c r="B3179" s="4" t="s">
        <v>38</v>
      </c>
      <c r="C3179" s="37" t="s">
        <v>5018</v>
      </c>
      <c r="D3179" s="35">
        <v>2859</v>
      </c>
      <c r="E3179" s="4" t="s">
        <v>5323</v>
      </c>
      <c r="F3179" s="5">
        <v>39784</v>
      </c>
      <c r="G3179" s="5">
        <v>39798</v>
      </c>
      <c r="H3179" s="4" t="s">
        <v>40</v>
      </c>
      <c r="I3179" s="6">
        <v>900</v>
      </c>
      <c r="J3179" s="6">
        <v>900</v>
      </c>
      <c r="K3179" s="37" t="s">
        <v>5018</v>
      </c>
      <c r="L3179" s="119"/>
      <c r="M3179" s="3"/>
    </row>
    <row r="3180" spans="1:13" s="4" customFormat="1" ht="25.5" x14ac:dyDescent="0.25">
      <c r="A3180" s="4" t="s">
        <v>5324</v>
      </c>
      <c r="B3180" s="4" t="s">
        <v>38</v>
      </c>
      <c r="C3180" s="37" t="s">
        <v>5018</v>
      </c>
      <c r="D3180" s="35">
        <v>2861</v>
      </c>
      <c r="E3180" s="4" t="s">
        <v>5324</v>
      </c>
      <c r="F3180" s="5">
        <v>39553</v>
      </c>
      <c r="G3180" s="5">
        <v>39567</v>
      </c>
      <c r="H3180" s="4" t="s">
        <v>40</v>
      </c>
      <c r="I3180" s="6">
        <v>150</v>
      </c>
      <c r="J3180" s="6">
        <v>150</v>
      </c>
      <c r="K3180" s="37" t="s">
        <v>5018</v>
      </c>
      <c r="L3180" s="119"/>
      <c r="M3180" s="3"/>
    </row>
    <row r="3181" spans="1:13" s="4" customFormat="1" ht="25.5" x14ac:dyDescent="0.25">
      <c r="A3181" s="4" t="s">
        <v>5325</v>
      </c>
      <c r="B3181" s="4" t="s">
        <v>38</v>
      </c>
      <c r="C3181" s="37" t="s">
        <v>5018</v>
      </c>
      <c r="D3181" s="35">
        <v>2862</v>
      </c>
      <c r="E3181" s="4" t="s">
        <v>5325</v>
      </c>
      <c r="F3181" s="5">
        <v>39538</v>
      </c>
      <c r="G3181" s="5">
        <v>39566</v>
      </c>
      <c r="H3181" s="4" t="s">
        <v>40</v>
      </c>
      <c r="I3181" s="6">
        <v>2615</v>
      </c>
      <c r="J3181" s="6">
        <v>2615</v>
      </c>
      <c r="K3181" s="37" t="s">
        <v>5018</v>
      </c>
      <c r="L3181" s="119"/>
      <c r="M3181" s="3"/>
    </row>
    <row r="3182" spans="1:13" s="4" customFormat="1" ht="25.5" x14ac:dyDescent="0.25">
      <c r="A3182" s="4" t="s">
        <v>5326</v>
      </c>
      <c r="B3182" s="4" t="s">
        <v>38</v>
      </c>
      <c r="C3182" s="37" t="s">
        <v>5018</v>
      </c>
      <c r="D3182" s="35">
        <v>2863</v>
      </c>
      <c r="E3182" s="4" t="s">
        <v>5326</v>
      </c>
      <c r="F3182" s="5">
        <v>39741</v>
      </c>
      <c r="G3182" s="5">
        <v>39769</v>
      </c>
      <c r="H3182" s="4" t="s">
        <v>40</v>
      </c>
      <c r="I3182" s="6">
        <v>1000</v>
      </c>
      <c r="J3182" s="6">
        <v>1000</v>
      </c>
      <c r="K3182" s="37" t="s">
        <v>5018</v>
      </c>
      <c r="L3182" s="119"/>
      <c r="M3182" s="3"/>
    </row>
    <row r="3183" spans="1:13" s="4" customFormat="1" ht="25.5" x14ac:dyDescent="0.25">
      <c r="A3183" s="4" t="s">
        <v>5327</v>
      </c>
      <c r="B3183" s="4" t="s">
        <v>38</v>
      </c>
      <c r="C3183" s="37" t="s">
        <v>5018</v>
      </c>
      <c r="D3183" s="35">
        <v>2864</v>
      </c>
      <c r="E3183" s="4" t="s">
        <v>5327</v>
      </c>
      <c r="F3183" s="5">
        <v>39540</v>
      </c>
      <c r="G3183" s="5">
        <v>40178</v>
      </c>
      <c r="H3183" s="4" t="s">
        <v>40</v>
      </c>
      <c r="I3183" s="6">
        <v>600</v>
      </c>
      <c r="J3183" s="6">
        <v>600</v>
      </c>
      <c r="K3183" s="37" t="s">
        <v>5018</v>
      </c>
      <c r="L3183" s="119"/>
      <c r="M3183" s="3"/>
    </row>
    <row r="3184" spans="1:13" s="4" customFormat="1" ht="25.5" x14ac:dyDescent="0.25">
      <c r="A3184" s="4" t="s">
        <v>5328</v>
      </c>
      <c r="B3184" s="4" t="s">
        <v>38</v>
      </c>
      <c r="C3184" s="37" t="s">
        <v>5018</v>
      </c>
      <c r="D3184" s="35">
        <v>2865</v>
      </c>
      <c r="E3184" s="4" t="s">
        <v>5328</v>
      </c>
      <c r="F3184" s="5">
        <v>39547</v>
      </c>
      <c r="G3184" s="5">
        <v>39561</v>
      </c>
      <c r="H3184" s="4" t="s">
        <v>40</v>
      </c>
      <c r="I3184" s="6">
        <v>1395</v>
      </c>
      <c r="J3184" s="6">
        <v>1395</v>
      </c>
      <c r="K3184" s="37" t="s">
        <v>5018</v>
      </c>
      <c r="L3184" s="119"/>
      <c r="M3184" s="3"/>
    </row>
    <row r="3185" spans="1:13" s="4" customFormat="1" ht="25.5" x14ac:dyDescent="0.25">
      <c r="A3185" s="4" t="s">
        <v>5329</v>
      </c>
      <c r="B3185" s="4" t="s">
        <v>38</v>
      </c>
      <c r="C3185" s="37" t="s">
        <v>5018</v>
      </c>
      <c r="D3185" s="35">
        <v>2866</v>
      </c>
      <c r="E3185" s="4" t="s">
        <v>5240</v>
      </c>
      <c r="F3185" s="5">
        <v>39553</v>
      </c>
      <c r="G3185" s="5">
        <v>40086</v>
      </c>
      <c r="H3185" s="4" t="s">
        <v>40</v>
      </c>
      <c r="I3185" s="6">
        <v>2502.79</v>
      </c>
      <c r="J3185" s="6">
        <v>2502.79</v>
      </c>
      <c r="K3185" s="37" t="s">
        <v>5018</v>
      </c>
      <c r="L3185" s="119"/>
      <c r="M3185" s="3"/>
    </row>
    <row r="3186" spans="1:13" s="4" customFormat="1" ht="25.5" x14ac:dyDescent="0.25">
      <c r="A3186" s="4" t="s">
        <v>5330</v>
      </c>
      <c r="B3186" s="4" t="s">
        <v>38</v>
      </c>
      <c r="C3186" s="37" t="s">
        <v>5018</v>
      </c>
      <c r="D3186" s="35">
        <v>2867</v>
      </c>
      <c r="E3186" s="4" t="s">
        <v>5330</v>
      </c>
      <c r="F3186" s="5">
        <v>39557</v>
      </c>
      <c r="G3186" s="5">
        <v>39564</v>
      </c>
      <c r="H3186" s="4" t="s">
        <v>40</v>
      </c>
      <c r="I3186" s="6">
        <v>800</v>
      </c>
      <c r="J3186" s="6">
        <v>800</v>
      </c>
      <c r="K3186" s="37" t="s">
        <v>5018</v>
      </c>
      <c r="L3186" s="119"/>
      <c r="M3186" s="3"/>
    </row>
    <row r="3187" spans="1:13" s="4" customFormat="1" ht="25.5" x14ac:dyDescent="0.25">
      <c r="A3187" s="4" t="s">
        <v>5331</v>
      </c>
      <c r="B3187" s="4" t="s">
        <v>38</v>
      </c>
      <c r="C3187" s="37" t="s">
        <v>5018</v>
      </c>
      <c r="D3187" s="35">
        <v>2868</v>
      </c>
      <c r="E3187" s="4" t="s">
        <v>5331</v>
      </c>
      <c r="F3187" s="5">
        <v>39729</v>
      </c>
      <c r="G3187" s="5">
        <v>39736</v>
      </c>
      <c r="H3187" s="4" t="s">
        <v>40</v>
      </c>
      <c r="I3187" s="6">
        <v>900</v>
      </c>
      <c r="J3187" s="6">
        <v>900</v>
      </c>
      <c r="K3187" s="37" t="s">
        <v>5018</v>
      </c>
      <c r="L3187" s="119"/>
      <c r="M3187" s="3"/>
    </row>
    <row r="3188" spans="1:13" s="4" customFormat="1" ht="25.5" x14ac:dyDescent="0.25">
      <c r="A3188" s="4" t="s">
        <v>5332</v>
      </c>
      <c r="B3188" s="4" t="s">
        <v>38</v>
      </c>
      <c r="C3188" s="37" t="s">
        <v>5018</v>
      </c>
      <c r="D3188" s="35">
        <v>2982</v>
      </c>
      <c r="E3188" s="4" t="s">
        <v>5332</v>
      </c>
      <c r="F3188" s="5">
        <v>39405</v>
      </c>
      <c r="G3188" s="5">
        <v>39813</v>
      </c>
      <c r="H3188" s="4" t="s">
        <v>40</v>
      </c>
      <c r="I3188" s="6">
        <v>875</v>
      </c>
      <c r="J3188" s="6">
        <v>875</v>
      </c>
      <c r="K3188" s="37" t="s">
        <v>5018</v>
      </c>
      <c r="L3188" s="119"/>
      <c r="M3188" s="3"/>
    </row>
    <row r="3189" spans="1:13" s="4" customFormat="1" ht="25.5" x14ac:dyDescent="0.25">
      <c r="A3189" s="4" t="s">
        <v>5333</v>
      </c>
      <c r="B3189" s="4" t="s">
        <v>38</v>
      </c>
      <c r="C3189" s="37" t="s">
        <v>5018</v>
      </c>
      <c r="D3189" s="35">
        <v>3036</v>
      </c>
      <c r="E3189" s="4" t="s">
        <v>5333</v>
      </c>
      <c r="F3189" s="5">
        <v>39083</v>
      </c>
      <c r="G3189" s="5">
        <v>41639</v>
      </c>
      <c r="H3189" s="4" t="s">
        <v>40</v>
      </c>
      <c r="I3189" s="6">
        <v>210122.97</v>
      </c>
      <c r="J3189" s="6">
        <v>210122.97</v>
      </c>
      <c r="K3189" s="37" t="s">
        <v>5018</v>
      </c>
      <c r="L3189" s="119"/>
      <c r="M3189" s="3"/>
    </row>
    <row r="3190" spans="1:13" s="4" customFormat="1" ht="63.75" x14ac:dyDescent="0.25">
      <c r="A3190" s="4" t="s">
        <v>5334</v>
      </c>
      <c r="B3190" s="4" t="s">
        <v>38</v>
      </c>
      <c r="C3190" s="37" t="s">
        <v>5018</v>
      </c>
      <c r="D3190" s="35">
        <v>3037</v>
      </c>
      <c r="E3190" s="4" t="s">
        <v>5335</v>
      </c>
      <c r="F3190" s="5">
        <v>39448</v>
      </c>
      <c r="G3190" s="5">
        <v>39813</v>
      </c>
      <c r="H3190" s="4" t="s">
        <v>40</v>
      </c>
      <c r="I3190" s="6">
        <v>7861</v>
      </c>
      <c r="J3190" s="6">
        <v>7861</v>
      </c>
      <c r="K3190" s="37" t="s">
        <v>5018</v>
      </c>
      <c r="L3190" s="119"/>
      <c r="M3190" s="3"/>
    </row>
    <row r="3191" spans="1:13" s="4" customFormat="1" ht="63.75" x14ac:dyDescent="0.25">
      <c r="A3191" s="4" t="s">
        <v>5336</v>
      </c>
      <c r="B3191" s="4" t="s">
        <v>38</v>
      </c>
      <c r="C3191" s="37" t="s">
        <v>5018</v>
      </c>
      <c r="D3191" s="35">
        <v>3038</v>
      </c>
      <c r="E3191" s="4" t="s">
        <v>5337</v>
      </c>
      <c r="F3191" s="5">
        <v>39083</v>
      </c>
      <c r="G3191" s="5">
        <v>39447</v>
      </c>
      <c r="H3191" s="4" t="s">
        <v>40</v>
      </c>
      <c r="I3191" s="6">
        <v>1500.4</v>
      </c>
      <c r="J3191" s="6">
        <v>1500.4</v>
      </c>
      <c r="K3191" s="37" t="s">
        <v>5018</v>
      </c>
      <c r="L3191" s="119"/>
      <c r="M3191" s="3"/>
    </row>
    <row r="3192" spans="1:13" s="4" customFormat="1" x14ac:dyDescent="0.25">
      <c r="A3192" s="4" t="s">
        <v>5338</v>
      </c>
      <c r="B3192" s="4" t="s">
        <v>59</v>
      </c>
      <c r="C3192" s="37" t="s">
        <v>5018</v>
      </c>
      <c r="D3192" s="35">
        <v>4549</v>
      </c>
      <c r="E3192" s="4" t="s">
        <v>5339</v>
      </c>
      <c r="F3192" s="5">
        <v>39814</v>
      </c>
      <c r="G3192" s="5">
        <v>40178</v>
      </c>
      <c r="H3192" s="4" t="s">
        <v>40</v>
      </c>
      <c r="I3192" s="6">
        <v>2500</v>
      </c>
      <c r="J3192" s="6">
        <v>2500</v>
      </c>
      <c r="K3192" s="37" t="s">
        <v>5018</v>
      </c>
      <c r="L3192" s="119"/>
      <c r="M3192" s="3"/>
    </row>
    <row r="3193" spans="1:13" s="4" customFormat="1" ht="25.5" x14ac:dyDescent="0.25">
      <c r="A3193" s="4" t="s">
        <v>5340</v>
      </c>
      <c r="B3193" s="4" t="s">
        <v>59</v>
      </c>
      <c r="C3193" s="37" t="s">
        <v>5018</v>
      </c>
      <c r="D3193" s="35">
        <v>4556</v>
      </c>
      <c r="E3193" s="4" t="s">
        <v>5341</v>
      </c>
      <c r="F3193" s="5">
        <v>39909</v>
      </c>
      <c r="G3193" s="5">
        <v>40274</v>
      </c>
      <c r="H3193" s="4" t="s">
        <v>40</v>
      </c>
      <c r="I3193" s="6">
        <v>5000</v>
      </c>
      <c r="J3193" s="6">
        <v>5000</v>
      </c>
      <c r="K3193" s="37" t="s">
        <v>5018</v>
      </c>
      <c r="L3193" s="119"/>
      <c r="M3193" s="3"/>
    </row>
    <row r="3194" spans="1:13" s="4" customFormat="1" x14ac:dyDescent="0.25">
      <c r="A3194" s="4" t="s">
        <v>5342</v>
      </c>
      <c r="B3194" s="4" t="s">
        <v>59</v>
      </c>
      <c r="C3194" s="37" t="s">
        <v>5018</v>
      </c>
      <c r="D3194" s="35">
        <v>4557</v>
      </c>
      <c r="E3194" s="4" t="s">
        <v>5343</v>
      </c>
      <c r="F3194" s="5">
        <v>39867</v>
      </c>
      <c r="G3194" s="5">
        <v>40232</v>
      </c>
      <c r="H3194" s="4" t="s">
        <v>40</v>
      </c>
      <c r="I3194" s="6">
        <v>2500</v>
      </c>
      <c r="J3194" s="6">
        <v>2500</v>
      </c>
      <c r="K3194" s="37" t="s">
        <v>5018</v>
      </c>
      <c r="L3194" s="119"/>
      <c r="M3194" s="3"/>
    </row>
    <row r="3195" spans="1:13" s="4" customFormat="1" x14ac:dyDescent="0.25">
      <c r="A3195" s="4" t="s">
        <v>5344</v>
      </c>
      <c r="B3195" s="4" t="s">
        <v>50</v>
      </c>
      <c r="C3195" s="37" t="s">
        <v>5018</v>
      </c>
      <c r="D3195" s="35">
        <v>4559</v>
      </c>
      <c r="E3195" s="4" t="s">
        <v>5345</v>
      </c>
      <c r="F3195" s="5">
        <v>39909</v>
      </c>
      <c r="G3195" s="5">
        <v>40274</v>
      </c>
      <c r="H3195" s="4" t="s">
        <v>40</v>
      </c>
      <c r="I3195" s="6">
        <v>16200</v>
      </c>
      <c r="J3195" s="6">
        <v>8100</v>
      </c>
      <c r="K3195" s="37" t="s">
        <v>5018</v>
      </c>
      <c r="L3195" s="119"/>
      <c r="M3195" s="3"/>
    </row>
    <row r="3196" spans="1:13" s="4" customFormat="1" ht="25.5" x14ac:dyDescent="0.25">
      <c r="A3196" s="4" t="s">
        <v>5346</v>
      </c>
      <c r="B3196" s="4" t="s">
        <v>50</v>
      </c>
      <c r="C3196" s="37" t="s">
        <v>5018</v>
      </c>
      <c r="D3196" s="35">
        <v>4562</v>
      </c>
      <c r="E3196" s="4" t="s">
        <v>5347</v>
      </c>
      <c r="F3196" s="5">
        <v>39755</v>
      </c>
      <c r="G3196" s="5">
        <v>40178</v>
      </c>
      <c r="H3196" s="4" t="s">
        <v>40</v>
      </c>
      <c r="I3196" s="6">
        <v>54800</v>
      </c>
      <c r="J3196" s="6">
        <v>27400</v>
      </c>
      <c r="K3196" s="37" t="s">
        <v>5018</v>
      </c>
      <c r="L3196" s="119"/>
      <c r="M3196" s="3"/>
    </row>
    <row r="3197" spans="1:13" s="4" customFormat="1" ht="38.25" x14ac:dyDescent="0.25">
      <c r="A3197" s="4" t="s">
        <v>5348</v>
      </c>
      <c r="B3197" s="4" t="s">
        <v>59</v>
      </c>
      <c r="C3197" s="37" t="s">
        <v>5018</v>
      </c>
      <c r="D3197" s="35">
        <v>4564</v>
      </c>
      <c r="E3197" s="4" t="s">
        <v>5349</v>
      </c>
      <c r="F3197" s="5">
        <v>40000</v>
      </c>
      <c r="G3197" s="5">
        <v>40543</v>
      </c>
      <c r="H3197" s="4" t="s">
        <v>40</v>
      </c>
      <c r="I3197" s="6">
        <v>5000</v>
      </c>
      <c r="J3197" s="6">
        <v>5000</v>
      </c>
      <c r="K3197" s="37" t="s">
        <v>5018</v>
      </c>
      <c r="L3197" s="119"/>
      <c r="M3197" s="3"/>
    </row>
    <row r="3198" spans="1:13" s="4" customFormat="1" ht="25.5" x14ac:dyDescent="0.25">
      <c r="A3198" s="4" t="s">
        <v>5350</v>
      </c>
      <c r="B3198" s="4" t="s">
        <v>59</v>
      </c>
      <c r="C3198" s="37" t="s">
        <v>5018</v>
      </c>
      <c r="D3198" s="35">
        <v>4566</v>
      </c>
      <c r="E3198" s="4" t="s">
        <v>5351</v>
      </c>
      <c r="F3198" s="5">
        <v>39958</v>
      </c>
      <c r="G3198" s="5">
        <v>40323</v>
      </c>
      <c r="H3198" s="4" t="s">
        <v>40</v>
      </c>
      <c r="I3198" s="6">
        <v>5000</v>
      </c>
      <c r="J3198" s="6">
        <v>5000</v>
      </c>
      <c r="K3198" s="37" t="s">
        <v>5018</v>
      </c>
      <c r="L3198" s="119"/>
      <c r="M3198" s="3"/>
    </row>
    <row r="3199" spans="1:13" s="4" customFormat="1" ht="38.25" x14ac:dyDescent="0.25">
      <c r="A3199" s="4" t="s">
        <v>5139</v>
      </c>
      <c r="B3199" s="4" t="s">
        <v>59</v>
      </c>
      <c r="C3199" s="37" t="s">
        <v>5018</v>
      </c>
      <c r="D3199" s="35">
        <v>4568</v>
      </c>
      <c r="E3199" s="4" t="s">
        <v>5352</v>
      </c>
      <c r="F3199" s="5">
        <v>40126</v>
      </c>
      <c r="G3199" s="5">
        <v>40491</v>
      </c>
      <c r="H3199" s="4" t="s">
        <v>40</v>
      </c>
      <c r="I3199" s="6">
        <v>5000</v>
      </c>
      <c r="J3199" s="6">
        <v>5000</v>
      </c>
      <c r="K3199" s="37" t="s">
        <v>5018</v>
      </c>
      <c r="L3199" s="119"/>
      <c r="M3199" s="3"/>
    </row>
    <row r="3200" spans="1:13" s="4" customFormat="1" x14ac:dyDescent="0.25">
      <c r="A3200" s="4" t="s">
        <v>5353</v>
      </c>
      <c r="B3200" s="4" t="s">
        <v>50</v>
      </c>
      <c r="C3200" s="37" t="s">
        <v>5018</v>
      </c>
      <c r="D3200" s="35">
        <v>4571</v>
      </c>
      <c r="E3200" s="4" t="s">
        <v>5354</v>
      </c>
      <c r="F3200" s="5">
        <v>39909</v>
      </c>
      <c r="G3200" s="5">
        <v>40274</v>
      </c>
      <c r="H3200" s="4" t="s">
        <v>40</v>
      </c>
      <c r="I3200" s="6">
        <v>150000</v>
      </c>
      <c r="J3200" s="6">
        <v>75000</v>
      </c>
      <c r="K3200" s="37" t="s">
        <v>5018</v>
      </c>
      <c r="L3200" s="119"/>
      <c r="M3200" s="3"/>
    </row>
    <row r="3201" spans="1:13" s="4" customFormat="1" ht="38.25" x14ac:dyDescent="0.25">
      <c r="A3201" s="4" t="s">
        <v>5355</v>
      </c>
      <c r="B3201" s="4" t="s">
        <v>90</v>
      </c>
      <c r="C3201" s="37" t="s">
        <v>5018</v>
      </c>
      <c r="D3201" s="35">
        <v>4572</v>
      </c>
      <c r="E3201" s="4" t="s">
        <v>5356</v>
      </c>
      <c r="F3201" s="5">
        <v>39909</v>
      </c>
      <c r="G3201" s="5">
        <v>40092</v>
      </c>
      <c r="H3201" s="4" t="s">
        <v>40</v>
      </c>
      <c r="I3201" s="6">
        <v>10000</v>
      </c>
      <c r="J3201" s="6">
        <v>5000</v>
      </c>
      <c r="K3201" s="37" t="s">
        <v>5018</v>
      </c>
      <c r="L3201" s="119"/>
      <c r="M3201" s="3"/>
    </row>
    <row r="3202" spans="1:13" s="4" customFormat="1" ht="38.25" x14ac:dyDescent="0.25">
      <c r="A3202" s="4" t="s">
        <v>5357</v>
      </c>
      <c r="B3202" s="4" t="s">
        <v>59</v>
      </c>
      <c r="C3202" s="37" t="s">
        <v>5018</v>
      </c>
      <c r="D3202" s="35">
        <v>4573</v>
      </c>
      <c r="E3202" s="4" t="s">
        <v>5358</v>
      </c>
      <c r="F3202" s="5">
        <v>40000</v>
      </c>
      <c r="G3202" s="5">
        <v>40365</v>
      </c>
      <c r="H3202" s="4" t="s">
        <v>40</v>
      </c>
      <c r="I3202" s="6">
        <v>2500</v>
      </c>
      <c r="J3202" s="6">
        <v>2500</v>
      </c>
      <c r="K3202" s="37" t="s">
        <v>5018</v>
      </c>
      <c r="L3202" s="119"/>
      <c r="M3202" s="3"/>
    </row>
    <row r="3203" spans="1:13" s="4" customFormat="1" ht="25.5" x14ac:dyDescent="0.25">
      <c r="A3203" s="4" t="s">
        <v>5359</v>
      </c>
      <c r="B3203" s="4" t="s">
        <v>90</v>
      </c>
      <c r="C3203" s="37" t="s">
        <v>5018</v>
      </c>
      <c r="D3203" s="35">
        <v>5233</v>
      </c>
      <c r="E3203" s="4" t="s">
        <v>5360</v>
      </c>
      <c r="F3203" s="5">
        <v>39867</v>
      </c>
      <c r="G3203" s="5">
        <v>40232</v>
      </c>
      <c r="H3203" s="4" t="s">
        <v>40</v>
      </c>
      <c r="I3203" s="6">
        <v>10000</v>
      </c>
      <c r="J3203" s="6">
        <v>5000</v>
      </c>
      <c r="K3203" s="37" t="s">
        <v>5018</v>
      </c>
      <c r="L3203" s="119"/>
      <c r="M3203" s="3"/>
    </row>
    <row r="3204" spans="1:13" s="4" customFormat="1" ht="38.25" x14ac:dyDescent="0.25">
      <c r="A3204" s="4" t="s">
        <v>5361</v>
      </c>
      <c r="B3204" s="4" t="s">
        <v>59</v>
      </c>
      <c r="C3204" s="37" t="s">
        <v>5018</v>
      </c>
      <c r="D3204" s="35">
        <v>5273</v>
      </c>
      <c r="E3204" s="4" t="s">
        <v>5362</v>
      </c>
      <c r="F3204" s="5">
        <v>40084</v>
      </c>
      <c r="G3204" s="5">
        <v>40449</v>
      </c>
      <c r="H3204" s="4" t="s">
        <v>40</v>
      </c>
      <c r="I3204" s="6">
        <v>5000</v>
      </c>
      <c r="J3204" s="6">
        <v>5000</v>
      </c>
      <c r="K3204" s="37" t="s">
        <v>5018</v>
      </c>
      <c r="L3204" s="119"/>
      <c r="M3204" s="3"/>
    </row>
    <row r="3205" spans="1:13" s="4" customFormat="1" ht="25.5" x14ac:dyDescent="0.25">
      <c r="A3205" s="4" t="s">
        <v>5365</v>
      </c>
      <c r="B3205" s="4" t="s">
        <v>90</v>
      </c>
      <c r="C3205" s="37" t="s">
        <v>5018</v>
      </c>
      <c r="D3205" s="35">
        <v>5282</v>
      </c>
      <c r="E3205" s="4" t="s">
        <v>5366</v>
      </c>
      <c r="F3205" s="5">
        <v>39909</v>
      </c>
      <c r="G3205" s="5">
        <v>40274</v>
      </c>
      <c r="H3205" s="4" t="s">
        <v>40</v>
      </c>
      <c r="I3205" s="6">
        <v>10000</v>
      </c>
      <c r="J3205" s="6">
        <v>5000</v>
      </c>
      <c r="K3205" s="37" t="s">
        <v>5018</v>
      </c>
      <c r="L3205" s="119"/>
      <c r="M3205" s="3"/>
    </row>
    <row r="3206" spans="1:13" s="4" customFormat="1" ht="25.5" x14ac:dyDescent="0.25">
      <c r="A3206" s="4" t="s">
        <v>5367</v>
      </c>
      <c r="B3206" s="4" t="s">
        <v>90</v>
      </c>
      <c r="C3206" s="37" t="s">
        <v>5018</v>
      </c>
      <c r="D3206" s="35">
        <v>5283</v>
      </c>
      <c r="E3206" s="4" t="s">
        <v>5368</v>
      </c>
      <c r="F3206" s="5">
        <v>39958</v>
      </c>
      <c r="G3206" s="5">
        <v>40323</v>
      </c>
      <c r="H3206" s="4" t="s">
        <v>40</v>
      </c>
      <c r="I3206" s="6">
        <v>10000</v>
      </c>
      <c r="J3206" s="6">
        <v>5000</v>
      </c>
      <c r="K3206" s="37" t="s">
        <v>5018</v>
      </c>
      <c r="L3206" s="119"/>
      <c r="M3206" s="3"/>
    </row>
    <row r="3207" spans="1:13" s="4" customFormat="1" ht="25.5" x14ac:dyDescent="0.25">
      <c r="A3207" s="4" t="s">
        <v>5369</v>
      </c>
      <c r="B3207" s="4" t="s">
        <v>50</v>
      </c>
      <c r="C3207" s="37" t="s">
        <v>5018</v>
      </c>
      <c r="D3207" s="35">
        <v>5314</v>
      </c>
      <c r="E3207" s="4" t="s">
        <v>5370</v>
      </c>
      <c r="F3207" s="5">
        <v>39713</v>
      </c>
      <c r="G3207" s="5">
        <v>40078</v>
      </c>
      <c r="H3207" s="4" t="s">
        <v>40</v>
      </c>
      <c r="I3207" s="6">
        <v>45065.5</v>
      </c>
      <c r="J3207" s="6">
        <v>22532.75</v>
      </c>
      <c r="K3207" s="37" t="s">
        <v>5018</v>
      </c>
      <c r="L3207" s="119"/>
      <c r="M3207" s="3"/>
    </row>
    <row r="3208" spans="1:13" s="4" customFormat="1" ht="63.75" x14ac:dyDescent="0.25">
      <c r="A3208" s="4" t="s">
        <v>5371</v>
      </c>
      <c r="B3208" s="4" t="s">
        <v>50</v>
      </c>
      <c r="C3208" s="37" t="s">
        <v>5018</v>
      </c>
      <c r="D3208" s="35">
        <v>5318</v>
      </c>
      <c r="E3208" s="4" t="s">
        <v>5372</v>
      </c>
      <c r="F3208" s="5">
        <v>39958</v>
      </c>
      <c r="G3208" s="5">
        <v>40323</v>
      </c>
      <c r="H3208" s="4" t="s">
        <v>40</v>
      </c>
      <c r="I3208" s="6">
        <v>35369.54</v>
      </c>
      <c r="J3208" s="6">
        <v>17684.77</v>
      </c>
      <c r="K3208" s="37" t="s">
        <v>5018</v>
      </c>
      <c r="L3208" s="119"/>
      <c r="M3208" s="3"/>
    </row>
    <row r="3209" spans="1:13" s="4" customFormat="1" ht="25.5" x14ac:dyDescent="0.25">
      <c r="A3209" s="4" t="s">
        <v>5375</v>
      </c>
      <c r="B3209" s="4" t="s">
        <v>59</v>
      </c>
      <c r="C3209" s="37" t="s">
        <v>5018</v>
      </c>
      <c r="D3209" s="35">
        <v>5321</v>
      </c>
      <c r="E3209" s="4" t="s">
        <v>5376</v>
      </c>
      <c r="F3209" s="5">
        <v>40084</v>
      </c>
      <c r="G3209" s="5">
        <v>40449</v>
      </c>
      <c r="H3209" s="4" t="s">
        <v>40</v>
      </c>
      <c r="I3209" s="6">
        <v>5000</v>
      </c>
      <c r="J3209" s="6">
        <v>5000</v>
      </c>
      <c r="K3209" s="37" t="s">
        <v>5018</v>
      </c>
      <c r="L3209" s="119"/>
      <c r="M3209" s="3"/>
    </row>
    <row r="3210" spans="1:13" s="4" customFormat="1" ht="38.25" x14ac:dyDescent="0.25">
      <c r="A3210" s="4" t="s">
        <v>5377</v>
      </c>
      <c r="B3210" s="4" t="s">
        <v>59</v>
      </c>
      <c r="C3210" s="37" t="s">
        <v>5018</v>
      </c>
      <c r="D3210" s="35">
        <v>5322</v>
      </c>
      <c r="E3210" s="4" t="s">
        <v>5378</v>
      </c>
      <c r="F3210" s="5">
        <v>40161</v>
      </c>
      <c r="G3210" s="5">
        <v>40526</v>
      </c>
      <c r="H3210" s="4" t="s">
        <v>40</v>
      </c>
      <c r="I3210" s="6">
        <v>10000</v>
      </c>
      <c r="J3210" s="6">
        <v>10000</v>
      </c>
      <c r="K3210" s="37" t="s">
        <v>5018</v>
      </c>
      <c r="L3210" s="119"/>
      <c r="M3210" s="3"/>
    </row>
    <row r="3211" spans="1:13" s="4" customFormat="1" ht="25.5" x14ac:dyDescent="0.25">
      <c r="A3211" s="4" t="s">
        <v>5379</v>
      </c>
      <c r="B3211" s="4" t="s">
        <v>50</v>
      </c>
      <c r="C3211" s="37" t="s">
        <v>5018</v>
      </c>
      <c r="D3211" s="35">
        <v>5323</v>
      </c>
      <c r="E3211" s="4" t="s">
        <v>5380</v>
      </c>
      <c r="F3211" s="5">
        <v>40161</v>
      </c>
      <c r="G3211" s="5">
        <v>40526</v>
      </c>
      <c r="H3211" s="4" t="s">
        <v>40</v>
      </c>
      <c r="I3211" s="6">
        <v>63361.88</v>
      </c>
      <c r="J3211" s="6">
        <v>31680.94</v>
      </c>
      <c r="K3211" s="37" t="s">
        <v>5018</v>
      </c>
      <c r="L3211" s="119"/>
      <c r="M3211" s="3"/>
    </row>
    <row r="3212" spans="1:13" s="4" customFormat="1" ht="25.5" x14ac:dyDescent="0.25">
      <c r="A3212" s="4" t="s">
        <v>5381</v>
      </c>
      <c r="B3212" s="4" t="s">
        <v>50</v>
      </c>
      <c r="C3212" s="37" t="s">
        <v>5018</v>
      </c>
      <c r="D3212" s="35">
        <v>5324</v>
      </c>
      <c r="E3212" s="4" t="s">
        <v>5382</v>
      </c>
      <c r="F3212" s="5">
        <v>39958</v>
      </c>
      <c r="G3212" s="5">
        <v>40323</v>
      </c>
      <c r="H3212" s="4" t="s">
        <v>40</v>
      </c>
      <c r="I3212" s="6">
        <v>150000</v>
      </c>
      <c r="J3212" s="6">
        <v>75000</v>
      </c>
      <c r="K3212" s="37" t="s">
        <v>5018</v>
      </c>
      <c r="L3212" s="119"/>
      <c r="M3212" s="3"/>
    </row>
    <row r="3213" spans="1:13" s="4" customFormat="1" ht="63.75" x14ac:dyDescent="0.25">
      <c r="A3213" s="4" t="s">
        <v>5383</v>
      </c>
      <c r="B3213" s="4" t="s">
        <v>38</v>
      </c>
      <c r="C3213" s="37" t="s">
        <v>5018</v>
      </c>
      <c r="D3213" s="35">
        <v>5348</v>
      </c>
      <c r="E3213" s="4" t="s">
        <v>5384</v>
      </c>
      <c r="F3213" s="5">
        <v>39814</v>
      </c>
      <c r="G3213" s="5">
        <v>40178</v>
      </c>
      <c r="H3213" s="4" t="s">
        <v>40</v>
      </c>
      <c r="I3213" s="6">
        <v>38234.1</v>
      </c>
      <c r="J3213" s="6">
        <v>38234.1</v>
      </c>
      <c r="K3213" s="37" t="s">
        <v>5018</v>
      </c>
      <c r="L3213" s="119"/>
      <c r="M3213" s="3"/>
    </row>
    <row r="3214" spans="1:13" s="4" customFormat="1" ht="25.5" x14ac:dyDescent="0.25">
      <c r="A3214" s="4" t="s">
        <v>5385</v>
      </c>
      <c r="B3214" s="4" t="s">
        <v>38</v>
      </c>
      <c r="C3214" s="37" t="s">
        <v>5018</v>
      </c>
      <c r="D3214" s="35">
        <v>5351</v>
      </c>
      <c r="E3214" s="4" t="s">
        <v>5385</v>
      </c>
      <c r="F3214" s="5">
        <v>39814</v>
      </c>
      <c r="G3214" s="5">
        <v>39994</v>
      </c>
      <c r="H3214" s="4" t="s">
        <v>40</v>
      </c>
      <c r="I3214" s="6">
        <v>10607.5</v>
      </c>
      <c r="J3214" s="6">
        <v>10607.5</v>
      </c>
      <c r="K3214" s="37" t="s">
        <v>5018</v>
      </c>
      <c r="L3214" s="119"/>
      <c r="M3214" s="3"/>
    </row>
    <row r="3215" spans="1:13" s="4" customFormat="1" ht="51" x14ac:dyDescent="0.25">
      <c r="A3215" s="4" t="s">
        <v>5386</v>
      </c>
      <c r="B3215" s="4" t="s">
        <v>38</v>
      </c>
      <c r="C3215" s="37" t="s">
        <v>5018</v>
      </c>
      <c r="D3215" s="35">
        <v>5393</v>
      </c>
      <c r="E3215" s="4" t="s">
        <v>5387</v>
      </c>
      <c r="F3215" s="5">
        <v>39814</v>
      </c>
      <c r="G3215" s="5">
        <v>40178</v>
      </c>
      <c r="H3215" s="4" t="s">
        <v>40</v>
      </c>
      <c r="I3215" s="6">
        <v>19555.240000000002</v>
      </c>
      <c r="J3215" s="6">
        <v>19555.240000000002</v>
      </c>
      <c r="K3215" s="37" t="s">
        <v>5018</v>
      </c>
      <c r="L3215" s="119"/>
      <c r="M3215" s="3"/>
    </row>
    <row r="3216" spans="1:13" s="4" customFormat="1" ht="51" x14ac:dyDescent="0.25">
      <c r="A3216" s="4" t="s">
        <v>5388</v>
      </c>
      <c r="B3216" s="4" t="s">
        <v>38</v>
      </c>
      <c r="C3216" s="37" t="s">
        <v>5018</v>
      </c>
      <c r="D3216" s="35">
        <v>5394</v>
      </c>
      <c r="E3216" s="4" t="s">
        <v>5389</v>
      </c>
      <c r="F3216" s="5">
        <v>39814</v>
      </c>
      <c r="G3216" s="5">
        <v>40178</v>
      </c>
      <c r="H3216" s="4" t="s">
        <v>40</v>
      </c>
      <c r="I3216" s="6">
        <v>624</v>
      </c>
      <c r="J3216" s="6">
        <v>624</v>
      </c>
      <c r="K3216" s="37" t="s">
        <v>5018</v>
      </c>
      <c r="L3216" s="119"/>
      <c r="M3216" s="3"/>
    </row>
    <row r="3217" spans="1:13" s="4" customFormat="1" ht="51" x14ac:dyDescent="0.25">
      <c r="A3217" s="4" t="s">
        <v>5390</v>
      </c>
      <c r="B3217" s="4" t="s">
        <v>38</v>
      </c>
      <c r="C3217" s="37" t="s">
        <v>5018</v>
      </c>
      <c r="D3217" s="35">
        <v>5396</v>
      </c>
      <c r="E3217" s="4" t="s">
        <v>5391</v>
      </c>
      <c r="F3217" s="5">
        <v>39814</v>
      </c>
      <c r="G3217" s="5">
        <v>40178</v>
      </c>
      <c r="H3217" s="4" t="s">
        <v>40</v>
      </c>
      <c r="I3217" s="6">
        <v>3106</v>
      </c>
      <c r="J3217" s="6">
        <v>3106</v>
      </c>
      <c r="K3217" s="37" t="s">
        <v>5018</v>
      </c>
      <c r="L3217" s="119"/>
      <c r="M3217" s="3"/>
    </row>
    <row r="3218" spans="1:13" s="4" customFormat="1" ht="51" x14ac:dyDescent="0.25">
      <c r="A3218" s="4" t="s">
        <v>5392</v>
      </c>
      <c r="B3218" s="4" t="s">
        <v>38</v>
      </c>
      <c r="C3218" s="37" t="s">
        <v>5018</v>
      </c>
      <c r="D3218" s="35">
        <v>5397</v>
      </c>
      <c r="E3218" s="4" t="s">
        <v>5393</v>
      </c>
      <c r="F3218" s="5">
        <v>39814</v>
      </c>
      <c r="G3218" s="5">
        <v>40178</v>
      </c>
      <c r="H3218" s="4" t="s">
        <v>40</v>
      </c>
      <c r="I3218" s="6">
        <v>2006.79</v>
      </c>
      <c r="J3218" s="6">
        <v>2006.79</v>
      </c>
      <c r="K3218" s="37" t="s">
        <v>5018</v>
      </c>
      <c r="L3218" s="119"/>
      <c r="M3218" s="3"/>
    </row>
    <row r="3219" spans="1:13" s="4" customFormat="1" ht="63.75" x14ac:dyDescent="0.25">
      <c r="A3219" s="4" t="s">
        <v>5394</v>
      </c>
      <c r="B3219" s="4" t="s">
        <v>38</v>
      </c>
      <c r="C3219" s="37" t="s">
        <v>5018</v>
      </c>
      <c r="D3219" s="35">
        <v>5398</v>
      </c>
      <c r="E3219" s="4" t="s">
        <v>5395</v>
      </c>
      <c r="F3219" s="5">
        <v>40087</v>
      </c>
      <c r="G3219" s="5">
        <v>40117</v>
      </c>
      <c r="H3219" s="4" t="s">
        <v>40</v>
      </c>
      <c r="I3219" s="6">
        <v>2335.23</v>
      </c>
      <c r="J3219" s="6">
        <v>2335.23</v>
      </c>
      <c r="K3219" s="37" t="s">
        <v>5018</v>
      </c>
      <c r="L3219" s="119"/>
      <c r="M3219" s="3"/>
    </row>
    <row r="3220" spans="1:13" s="4" customFormat="1" ht="51" x14ac:dyDescent="0.25">
      <c r="A3220" s="4" t="s">
        <v>5396</v>
      </c>
      <c r="B3220" s="4" t="s">
        <v>38</v>
      </c>
      <c r="C3220" s="37" t="s">
        <v>5018</v>
      </c>
      <c r="D3220" s="35">
        <v>5399</v>
      </c>
      <c r="E3220" s="4" t="s">
        <v>5397</v>
      </c>
      <c r="F3220" s="5">
        <v>39814</v>
      </c>
      <c r="G3220" s="5">
        <v>40178</v>
      </c>
      <c r="H3220" s="4" t="s">
        <v>40</v>
      </c>
      <c r="I3220" s="6">
        <v>57284.14</v>
      </c>
      <c r="J3220" s="6">
        <v>57284.14</v>
      </c>
      <c r="K3220" s="37" t="s">
        <v>5018</v>
      </c>
      <c r="L3220" s="119"/>
      <c r="M3220" s="3"/>
    </row>
    <row r="3221" spans="1:13" s="4" customFormat="1" ht="25.5" x14ac:dyDescent="0.25">
      <c r="A3221" s="4" t="s">
        <v>5398</v>
      </c>
      <c r="B3221" s="4" t="s">
        <v>38</v>
      </c>
      <c r="C3221" s="37" t="s">
        <v>5018</v>
      </c>
      <c r="D3221" s="35">
        <v>5400</v>
      </c>
      <c r="E3221" s="4" t="s">
        <v>5399</v>
      </c>
      <c r="F3221" s="5">
        <v>39873</v>
      </c>
      <c r="G3221" s="5">
        <v>40117</v>
      </c>
      <c r="H3221" s="4" t="s">
        <v>40</v>
      </c>
      <c r="I3221" s="6">
        <v>10000</v>
      </c>
      <c r="J3221" s="6">
        <v>10000</v>
      </c>
      <c r="K3221" s="37" t="s">
        <v>5018</v>
      </c>
      <c r="L3221" s="119"/>
      <c r="M3221" s="3"/>
    </row>
    <row r="3222" spans="1:13" s="4" customFormat="1" ht="25.5" x14ac:dyDescent="0.25">
      <c r="A3222" s="4" t="s">
        <v>5400</v>
      </c>
      <c r="B3222" s="4" t="s">
        <v>38</v>
      </c>
      <c r="C3222" s="37" t="s">
        <v>5018</v>
      </c>
      <c r="D3222" s="35">
        <v>5401</v>
      </c>
      <c r="E3222" s="4" t="s">
        <v>5401</v>
      </c>
      <c r="F3222" s="5">
        <v>39873</v>
      </c>
      <c r="G3222" s="5">
        <v>40482</v>
      </c>
      <c r="H3222" s="4" t="s">
        <v>40</v>
      </c>
      <c r="I3222" s="6">
        <v>15292.11</v>
      </c>
      <c r="J3222" s="6">
        <v>15292.11</v>
      </c>
      <c r="K3222" s="37" t="s">
        <v>5018</v>
      </c>
      <c r="L3222" s="119"/>
      <c r="M3222" s="3"/>
    </row>
    <row r="3223" spans="1:13" s="4" customFormat="1" ht="25.5" x14ac:dyDescent="0.25">
      <c r="A3223" s="4" t="s">
        <v>5402</v>
      </c>
      <c r="B3223" s="4" t="s">
        <v>38</v>
      </c>
      <c r="C3223" s="37" t="s">
        <v>5018</v>
      </c>
      <c r="D3223" s="35">
        <v>5402</v>
      </c>
      <c r="E3223" s="4" t="s">
        <v>5402</v>
      </c>
      <c r="F3223" s="5">
        <v>39814</v>
      </c>
      <c r="G3223" s="5">
        <v>40543</v>
      </c>
      <c r="H3223" s="4" t="s">
        <v>40</v>
      </c>
      <c r="I3223" s="6">
        <v>25077.91</v>
      </c>
      <c r="J3223" s="6">
        <v>25077.91</v>
      </c>
      <c r="K3223" s="37" t="s">
        <v>5018</v>
      </c>
      <c r="L3223" s="119"/>
      <c r="M3223" s="3"/>
    </row>
    <row r="3224" spans="1:13" s="4" customFormat="1" ht="51" x14ac:dyDescent="0.25">
      <c r="A3224" s="4" t="s">
        <v>5403</v>
      </c>
      <c r="B3224" s="4" t="s">
        <v>38</v>
      </c>
      <c r="C3224" s="37" t="s">
        <v>5018</v>
      </c>
      <c r="D3224" s="35">
        <v>5403</v>
      </c>
      <c r="E3224" s="4" t="s">
        <v>5404</v>
      </c>
      <c r="F3224" s="5">
        <v>39814</v>
      </c>
      <c r="G3224" s="5">
        <v>40543</v>
      </c>
      <c r="H3224" s="4" t="s">
        <v>40</v>
      </c>
      <c r="I3224" s="6">
        <v>1776.35</v>
      </c>
      <c r="J3224" s="6">
        <v>1776.35</v>
      </c>
      <c r="K3224" s="37" t="s">
        <v>5018</v>
      </c>
      <c r="L3224" s="119"/>
      <c r="M3224" s="3"/>
    </row>
    <row r="3225" spans="1:13" s="4" customFormat="1" ht="25.5" x14ac:dyDescent="0.25">
      <c r="A3225" s="4" t="s">
        <v>5405</v>
      </c>
      <c r="B3225" s="4" t="s">
        <v>38</v>
      </c>
      <c r="C3225" s="37" t="s">
        <v>5018</v>
      </c>
      <c r="D3225" s="35">
        <v>5404</v>
      </c>
      <c r="E3225" s="4" t="s">
        <v>5406</v>
      </c>
      <c r="F3225" s="5">
        <v>39814</v>
      </c>
      <c r="G3225" s="5">
        <v>40178</v>
      </c>
      <c r="H3225" s="4" t="s">
        <v>40</v>
      </c>
      <c r="I3225" s="6">
        <v>592.95000000000005</v>
      </c>
      <c r="J3225" s="6">
        <v>592.95000000000005</v>
      </c>
      <c r="K3225" s="37" t="s">
        <v>5018</v>
      </c>
      <c r="L3225" s="119"/>
      <c r="M3225" s="3"/>
    </row>
    <row r="3226" spans="1:13" s="4" customFormat="1" ht="89.25" x14ac:dyDescent="0.25">
      <c r="A3226" s="4" t="s">
        <v>5407</v>
      </c>
      <c r="B3226" s="4" t="s">
        <v>38</v>
      </c>
      <c r="C3226" s="37" t="s">
        <v>5018</v>
      </c>
      <c r="D3226" s="35">
        <v>5405</v>
      </c>
      <c r="E3226" s="7" t="s">
        <v>5408</v>
      </c>
      <c r="F3226" s="5">
        <v>39814</v>
      </c>
      <c r="G3226" s="5">
        <v>40178</v>
      </c>
      <c r="H3226" s="4" t="s">
        <v>40</v>
      </c>
      <c r="I3226" s="6">
        <v>5112</v>
      </c>
      <c r="J3226" s="6">
        <v>5112</v>
      </c>
      <c r="K3226" s="37" t="s">
        <v>5018</v>
      </c>
      <c r="L3226" s="119"/>
      <c r="M3226" s="3"/>
    </row>
    <row r="3227" spans="1:13" s="4" customFormat="1" ht="25.5" x14ac:dyDescent="0.25">
      <c r="A3227" s="4" t="s">
        <v>5409</v>
      </c>
      <c r="B3227" s="4" t="s">
        <v>38</v>
      </c>
      <c r="C3227" s="37" t="s">
        <v>5018</v>
      </c>
      <c r="D3227" s="35">
        <v>5408</v>
      </c>
      <c r="E3227" s="4" t="s">
        <v>5410</v>
      </c>
      <c r="F3227" s="5">
        <v>39995</v>
      </c>
      <c r="G3227" s="5">
        <v>40178</v>
      </c>
      <c r="H3227" s="4" t="s">
        <v>40</v>
      </c>
      <c r="I3227" s="6">
        <v>8491.9599999999991</v>
      </c>
      <c r="J3227" s="6">
        <v>8491.9599999999991</v>
      </c>
      <c r="K3227" s="37" t="s">
        <v>5018</v>
      </c>
      <c r="L3227" s="119"/>
      <c r="M3227" s="3"/>
    </row>
    <row r="3228" spans="1:13" s="4" customFormat="1" ht="25.5" x14ac:dyDescent="0.25">
      <c r="A3228" s="4" t="s">
        <v>5411</v>
      </c>
      <c r="B3228" s="4" t="s">
        <v>38</v>
      </c>
      <c r="C3228" s="37" t="s">
        <v>5018</v>
      </c>
      <c r="D3228" s="35">
        <v>5409</v>
      </c>
      <c r="E3228" s="4" t="s">
        <v>5412</v>
      </c>
      <c r="F3228" s="5">
        <v>39814</v>
      </c>
      <c r="G3228" s="5">
        <v>40178</v>
      </c>
      <c r="H3228" s="4" t="s">
        <v>40</v>
      </c>
      <c r="I3228" s="6">
        <v>62741.279999999999</v>
      </c>
      <c r="J3228" s="6">
        <v>31370.59</v>
      </c>
      <c r="K3228" s="37" t="s">
        <v>5018</v>
      </c>
      <c r="L3228" s="119"/>
      <c r="M3228" s="3"/>
    </row>
    <row r="3229" spans="1:13" s="4" customFormat="1" ht="25.5" x14ac:dyDescent="0.25">
      <c r="A3229" s="4" t="s">
        <v>5413</v>
      </c>
      <c r="B3229" s="4" t="s">
        <v>38</v>
      </c>
      <c r="C3229" s="37" t="s">
        <v>5018</v>
      </c>
      <c r="D3229" s="35">
        <v>5410</v>
      </c>
      <c r="E3229" s="4" t="s">
        <v>5413</v>
      </c>
      <c r="F3229" s="5">
        <v>39814</v>
      </c>
      <c r="G3229" s="5">
        <v>40178</v>
      </c>
      <c r="H3229" s="4" t="s">
        <v>40</v>
      </c>
      <c r="I3229" s="6">
        <v>800</v>
      </c>
      <c r="J3229" s="6">
        <v>800</v>
      </c>
      <c r="K3229" s="37" t="s">
        <v>5018</v>
      </c>
      <c r="L3229" s="119"/>
      <c r="M3229" s="3"/>
    </row>
    <row r="3230" spans="1:13" s="4" customFormat="1" ht="51" x14ac:dyDescent="0.25">
      <c r="A3230" s="4" t="s">
        <v>5414</v>
      </c>
      <c r="B3230" s="4" t="s">
        <v>38</v>
      </c>
      <c r="C3230" s="37" t="s">
        <v>5018</v>
      </c>
      <c r="D3230" s="35">
        <v>5411</v>
      </c>
      <c r="E3230" s="4" t="s">
        <v>5415</v>
      </c>
      <c r="F3230" s="5">
        <v>39814</v>
      </c>
      <c r="G3230" s="5">
        <v>40178</v>
      </c>
      <c r="H3230" s="4" t="s">
        <v>40</v>
      </c>
      <c r="I3230" s="6">
        <v>17328.91</v>
      </c>
      <c r="J3230" s="6">
        <v>17328.91</v>
      </c>
      <c r="K3230" s="37" t="s">
        <v>5018</v>
      </c>
      <c r="L3230" s="119"/>
      <c r="M3230" s="3"/>
    </row>
    <row r="3231" spans="1:13" s="4" customFormat="1" ht="89.25" x14ac:dyDescent="0.25">
      <c r="A3231" s="4" t="s">
        <v>5416</v>
      </c>
      <c r="B3231" s="4" t="s">
        <v>38</v>
      </c>
      <c r="C3231" s="37" t="s">
        <v>5018</v>
      </c>
      <c r="D3231" s="35">
        <v>5412</v>
      </c>
      <c r="E3231" s="7" t="s">
        <v>5417</v>
      </c>
      <c r="F3231" s="5">
        <v>39814</v>
      </c>
      <c r="G3231" s="5">
        <v>40178</v>
      </c>
      <c r="H3231" s="4" t="s">
        <v>40</v>
      </c>
      <c r="I3231" s="6">
        <v>2121.09</v>
      </c>
      <c r="J3231" s="6">
        <v>2121.09</v>
      </c>
      <c r="K3231" s="37" t="s">
        <v>5018</v>
      </c>
      <c r="L3231" s="119"/>
      <c r="M3231" s="3"/>
    </row>
    <row r="3232" spans="1:13" s="4" customFormat="1" ht="25.5" x14ac:dyDescent="0.25">
      <c r="A3232" s="4" t="s">
        <v>5418</v>
      </c>
      <c r="B3232" s="4" t="s">
        <v>38</v>
      </c>
      <c r="C3232" s="37" t="s">
        <v>5018</v>
      </c>
      <c r="D3232" s="35">
        <v>5424</v>
      </c>
      <c r="E3232" s="4" t="s">
        <v>5419</v>
      </c>
      <c r="F3232" s="5">
        <v>39814</v>
      </c>
      <c r="G3232" s="5">
        <v>40178</v>
      </c>
      <c r="H3232" s="4" t="s">
        <v>40</v>
      </c>
      <c r="I3232" s="6">
        <v>1547</v>
      </c>
      <c r="J3232" s="6">
        <v>1547</v>
      </c>
      <c r="K3232" s="37" t="s">
        <v>5018</v>
      </c>
      <c r="L3232" s="119"/>
      <c r="M3232" s="3"/>
    </row>
    <row r="3233" spans="1:13" s="4" customFormat="1" ht="25.5" x14ac:dyDescent="0.25">
      <c r="A3233" s="4" t="s">
        <v>5420</v>
      </c>
      <c r="B3233" s="4" t="s">
        <v>38</v>
      </c>
      <c r="C3233" s="37" t="s">
        <v>5018</v>
      </c>
      <c r="D3233" s="35">
        <v>5425</v>
      </c>
      <c r="E3233" s="4" t="s">
        <v>5420</v>
      </c>
      <c r="F3233" s="5">
        <v>39814</v>
      </c>
      <c r="G3233" s="5">
        <v>40178</v>
      </c>
      <c r="H3233" s="4" t="s">
        <v>40</v>
      </c>
      <c r="I3233" s="6">
        <v>272</v>
      </c>
      <c r="J3233" s="6">
        <v>272</v>
      </c>
      <c r="K3233" s="37" t="s">
        <v>5018</v>
      </c>
      <c r="L3233" s="119"/>
      <c r="M3233" s="3"/>
    </row>
    <row r="3234" spans="1:13" s="4" customFormat="1" ht="25.5" x14ac:dyDescent="0.25">
      <c r="A3234" s="4" t="s">
        <v>5421</v>
      </c>
      <c r="B3234" s="4" t="s">
        <v>38</v>
      </c>
      <c r="C3234" s="37" t="s">
        <v>5018</v>
      </c>
      <c r="D3234" s="35">
        <v>5426</v>
      </c>
      <c r="E3234" s="4" t="s">
        <v>5421</v>
      </c>
      <c r="F3234" s="5">
        <v>39814</v>
      </c>
      <c r="G3234" s="5">
        <v>40178</v>
      </c>
      <c r="H3234" s="4" t="s">
        <v>40</v>
      </c>
      <c r="I3234" s="6">
        <v>753</v>
      </c>
      <c r="J3234" s="6">
        <v>753</v>
      </c>
      <c r="K3234" s="37" t="s">
        <v>5018</v>
      </c>
      <c r="L3234" s="119"/>
      <c r="M3234" s="3"/>
    </row>
    <row r="3235" spans="1:13" s="4" customFormat="1" ht="25.5" x14ac:dyDescent="0.25">
      <c r="A3235" s="4" t="s">
        <v>5422</v>
      </c>
      <c r="B3235" s="4" t="s">
        <v>38</v>
      </c>
      <c r="C3235" s="37" t="s">
        <v>5018</v>
      </c>
      <c r="D3235" s="35">
        <v>5427</v>
      </c>
      <c r="E3235" s="4" t="s">
        <v>5422</v>
      </c>
      <c r="F3235" s="5">
        <v>39814</v>
      </c>
      <c r="G3235" s="5">
        <v>40178</v>
      </c>
      <c r="H3235" s="4" t="s">
        <v>40</v>
      </c>
      <c r="I3235" s="6">
        <v>428</v>
      </c>
      <c r="J3235" s="6">
        <v>428</v>
      </c>
      <c r="K3235" s="37" t="s">
        <v>5018</v>
      </c>
      <c r="L3235" s="119"/>
      <c r="M3235" s="3"/>
    </row>
    <row r="3236" spans="1:13" s="4" customFormat="1" ht="25.5" x14ac:dyDescent="0.25">
      <c r="A3236" s="4" t="s">
        <v>5423</v>
      </c>
      <c r="B3236" s="4" t="s">
        <v>38</v>
      </c>
      <c r="C3236" s="37" t="s">
        <v>5018</v>
      </c>
      <c r="D3236" s="35">
        <v>5428</v>
      </c>
      <c r="E3236" s="4" t="s">
        <v>5423</v>
      </c>
      <c r="F3236" s="5">
        <v>39814</v>
      </c>
      <c r="G3236" s="5">
        <v>40178</v>
      </c>
      <c r="H3236" s="4" t="s">
        <v>40</v>
      </c>
      <c r="I3236" s="6">
        <v>337.25</v>
      </c>
      <c r="J3236" s="6">
        <v>337.25</v>
      </c>
      <c r="K3236" s="37" t="s">
        <v>5018</v>
      </c>
      <c r="L3236" s="119"/>
      <c r="M3236" s="3"/>
    </row>
    <row r="3237" spans="1:13" s="4" customFormat="1" ht="25.5" x14ac:dyDescent="0.25">
      <c r="A3237" s="4" t="s">
        <v>5424</v>
      </c>
      <c r="B3237" s="4" t="s">
        <v>38</v>
      </c>
      <c r="C3237" s="37" t="s">
        <v>5018</v>
      </c>
      <c r="D3237" s="35">
        <v>5429</v>
      </c>
      <c r="E3237" s="4" t="s">
        <v>5424</v>
      </c>
      <c r="F3237" s="5">
        <v>39814</v>
      </c>
      <c r="G3237" s="5">
        <v>40178</v>
      </c>
      <c r="H3237" s="4" t="s">
        <v>40</v>
      </c>
      <c r="I3237" s="6">
        <v>400</v>
      </c>
      <c r="J3237" s="6">
        <v>400</v>
      </c>
      <c r="K3237" s="37" t="s">
        <v>5018</v>
      </c>
      <c r="L3237" s="119"/>
      <c r="M3237" s="3"/>
    </row>
    <row r="3238" spans="1:13" s="4" customFormat="1" ht="25.5" x14ac:dyDescent="0.25">
      <c r="A3238" s="4" t="s">
        <v>5425</v>
      </c>
      <c r="B3238" s="4" t="s">
        <v>38</v>
      </c>
      <c r="C3238" s="37" t="s">
        <v>5018</v>
      </c>
      <c r="D3238" s="35">
        <v>5431</v>
      </c>
      <c r="E3238" s="4" t="s">
        <v>5425</v>
      </c>
      <c r="F3238" s="5">
        <v>39814</v>
      </c>
      <c r="G3238" s="5">
        <v>40178</v>
      </c>
      <c r="H3238" s="4" t="s">
        <v>40</v>
      </c>
      <c r="I3238" s="6">
        <v>613</v>
      </c>
      <c r="J3238" s="6">
        <v>613</v>
      </c>
      <c r="K3238" s="37" t="s">
        <v>5018</v>
      </c>
      <c r="L3238" s="119"/>
      <c r="M3238" s="3"/>
    </row>
    <row r="3239" spans="1:13" s="4" customFormat="1" ht="25.5" x14ac:dyDescent="0.25">
      <c r="A3239" s="4" t="s">
        <v>5426</v>
      </c>
      <c r="B3239" s="4" t="s">
        <v>38</v>
      </c>
      <c r="C3239" s="37" t="s">
        <v>5018</v>
      </c>
      <c r="D3239" s="35">
        <v>5432</v>
      </c>
      <c r="E3239" s="4" t="s">
        <v>5426</v>
      </c>
      <c r="F3239" s="5">
        <v>39814</v>
      </c>
      <c r="G3239" s="5">
        <v>40178</v>
      </c>
      <c r="H3239" s="4" t="s">
        <v>40</v>
      </c>
      <c r="I3239" s="6">
        <v>1420</v>
      </c>
      <c r="J3239" s="6">
        <v>1420</v>
      </c>
      <c r="K3239" s="37" t="s">
        <v>5018</v>
      </c>
      <c r="L3239" s="119"/>
      <c r="M3239" s="3"/>
    </row>
    <row r="3240" spans="1:13" s="4" customFormat="1" ht="25.5" x14ac:dyDescent="0.25">
      <c r="A3240" s="4" t="s">
        <v>5427</v>
      </c>
      <c r="B3240" s="4" t="s">
        <v>38</v>
      </c>
      <c r="C3240" s="37" t="s">
        <v>5018</v>
      </c>
      <c r="D3240" s="35">
        <v>5433</v>
      </c>
      <c r="E3240" s="4" t="s">
        <v>5427</v>
      </c>
      <c r="F3240" s="5">
        <v>39814</v>
      </c>
      <c r="G3240" s="5">
        <v>40178</v>
      </c>
      <c r="H3240" s="4" t="s">
        <v>40</v>
      </c>
      <c r="I3240" s="6">
        <v>780</v>
      </c>
      <c r="J3240" s="6">
        <v>780</v>
      </c>
      <c r="K3240" s="37" t="s">
        <v>5018</v>
      </c>
      <c r="L3240" s="119"/>
      <c r="M3240" s="3"/>
    </row>
    <row r="3241" spans="1:13" s="4" customFormat="1" ht="25.5" x14ac:dyDescent="0.25">
      <c r="A3241" s="4" t="s">
        <v>5428</v>
      </c>
      <c r="B3241" s="4" t="s">
        <v>38</v>
      </c>
      <c r="C3241" s="37" t="s">
        <v>5018</v>
      </c>
      <c r="D3241" s="35">
        <v>5434</v>
      </c>
      <c r="E3241" s="4" t="s">
        <v>5428</v>
      </c>
      <c r="F3241" s="5">
        <v>39814</v>
      </c>
      <c r="G3241" s="5">
        <v>40178</v>
      </c>
      <c r="H3241" s="4" t="s">
        <v>40</v>
      </c>
      <c r="I3241" s="6">
        <v>405</v>
      </c>
      <c r="J3241" s="6">
        <v>405</v>
      </c>
      <c r="K3241" s="37" t="s">
        <v>5018</v>
      </c>
      <c r="L3241" s="119"/>
      <c r="M3241" s="3"/>
    </row>
    <row r="3242" spans="1:13" s="4" customFormat="1" ht="25.5" x14ac:dyDescent="0.25">
      <c r="A3242" s="4" t="s">
        <v>5429</v>
      </c>
      <c r="B3242" s="4" t="s">
        <v>38</v>
      </c>
      <c r="C3242" s="37" t="s">
        <v>5018</v>
      </c>
      <c r="D3242" s="35">
        <v>5435</v>
      </c>
      <c r="E3242" s="4" t="s">
        <v>5430</v>
      </c>
      <c r="F3242" s="5">
        <v>39814</v>
      </c>
      <c r="G3242" s="5">
        <v>40178</v>
      </c>
      <c r="H3242" s="4" t="s">
        <v>40</v>
      </c>
      <c r="I3242" s="6">
        <v>365</v>
      </c>
      <c r="J3242" s="6">
        <v>365</v>
      </c>
      <c r="K3242" s="37" t="s">
        <v>5018</v>
      </c>
      <c r="L3242" s="119"/>
      <c r="M3242" s="3"/>
    </row>
    <row r="3243" spans="1:13" s="4" customFormat="1" ht="25.5" x14ac:dyDescent="0.25">
      <c r="A3243" s="4" t="s">
        <v>5431</v>
      </c>
      <c r="B3243" s="4" t="s">
        <v>38</v>
      </c>
      <c r="C3243" s="37" t="s">
        <v>5018</v>
      </c>
      <c r="D3243" s="35">
        <v>5437</v>
      </c>
      <c r="E3243" s="4" t="s">
        <v>5431</v>
      </c>
      <c r="F3243" s="5">
        <v>39814</v>
      </c>
      <c r="G3243" s="5">
        <v>40178</v>
      </c>
      <c r="H3243" s="4" t="s">
        <v>40</v>
      </c>
      <c r="I3243" s="6">
        <v>467</v>
      </c>
      <c r="J3243" s="6">
        <v>467</v>
      </c>
      <c r="K3243" s="37" t="s">
        <v>5018</v>
      </c>
      <c r="L3243" s="119"/>
      <c r="M3243" s="3"/>
    </row>
    <row r="3244" spans="1:13" s="4" customFormat="1" ht="25.5" x14ac:dyDescent="0.25">
      <c r="A3244" s="4" t="s">
        <v>5432</v>
      </c>
      <c r="B3244" s="4" t="s">
        <v>38</v>
      </c>
      <c r="C3244" s="37" t="s">
        <v>5018</v>
      </c>
      <c r="D3244" s="35">
        <v>5438</v>
      </c>
      <c r="E3244" s="4" t="s">
        <v>5432</v>
      </c>
      <c r="F3244" s="5">
        <v>39814</v>
      </c>
      <c r="G3244" s="5">
        <v>40178</v>
      </c>
      <c r="H3244" s="4" t="s">
        <v>40</v>
      </c>
      <c r="I3244" s="6">
        <v>359.5</v>
      </c>
      <c r="J3244" s="6">
        <v>359.5</v>
      </c>
      <c r="K3244" s="37" t="s">
        <v>5018</v>
      </c>
      <c r="L3244" s="119"/>
      <c r="M3244" s="3"/>
    </row>
    <row r="3245" spans="1:13" s="4" customFormat="1" ht="25.5" x14ac:dyDescent="0.25">
      <c r="A3245" s="4" t="s">
        <v>5433</v>
      </c>
      <c r="B3245" s="4" t="s">
        <v>38</v>
      </c>
      <c r="C3245" s="37" t="s">
        <v>5018</v>
      </c>
      <c r="D3245" s="35">
        <v>5439</v>
      </c>
      <c r="E3245" s="4" t="s">
        <v>5433</v>
      </c>
      <c r="F3245" s="5">
        <v>39814</v>
      </c>
      <c r="G3245" s="5">
        <v>40178</v>
      </c>
      <c r="H3245" s="4" t="s">
        <v>40</v>
      </c>
      <c r="I3245" s="6">
        <v>800</v>
      </c>
      <c r="J3245" s="6">
        <v>800</v>
      </c>
      <c r="K3245" s="37" t="s">
        <v>5018</v>
      </c>
      <c r="L3245" s="119"/>
      <c r="M3245" s="3"/>
    </row>
    <row r="3246" spans="1:13" s="4" customFormat="1" ht="25.5" x14ac:dyDescent="0.25">
      <c r="A3246" s="4" t="s">
        <v>5434</v>
      </c>
      <c r="B3246" s="4" t="s">
        <v>38</v>
      </c>
      <c r="C3246" s="37" t="s">
        <v>5018</v>
      </c>
      <c r="D3246" s="35">
        <v>5440</v>
      </c>
      <c r="E3246" s="4" t="s">
        <v>5434</v>
      </c>
      <c r="F3246" s="5">
        <v>39814</v>
      </c>
      <c r="G3246" s="5">
        <v>40178</v>
      </c>
      <c r="H3246" s="4" t="s">
        <v>40</v>
      </c>
      <c r="I3246" s="6">
        <v>1004.08</v>
      </c>
      <c r="J3246" s="6">
        <v>1004.08</v>
      </c>
      <c r="K3246" s="37" t="s">
        <v>5018</v>
      </c>
      <c r="L3246" s="119"/>
      <c r="M3246" s="3"/>
    </row>
    <row r="3247" spans="1:13" s="4" customFormat="1" ht="25.5" x14ac:dyDescent="0.25">
      <c r="A3247" s="4" t="s">
        <v>5435</v>
      </c>
      <c r="B3247" s="4" t="s">
        <v>38</v>
      </c>
      <c r="C3247" s="37" t="s">
        <v>5018</v>
      </c>
      <c r="D3247" s="35">
        <v>5441</v>
      </c>
      <c r="E3247" s="4" t="s">
        <v>5436</v>
      </c>
      <c r="F3247" s="5">
        <v>39814</v>
      </c>
      <c r="G3247" s="5">
        <v>40178</v>
      </c>
      <c r="H3247" s="4" t="s">
        <v>40</v>
      </c>
      <c r="I3247" s="6">
        <v>487</v>
      </c>
      <c r="J3247" s="6">
        <v>487</v>
      </c>
      <c r="K3247" s="37" t="s">
        <v>5018</v>
      </c>
      <c r="L3247" s="119"/>
      <c r="M3247" s="3"/>
    </row>
    <row r="3248" spans="1:13" s="4" customFormat="1" ht="25.5" x14ac:dyDescent="0.25">
      <c r="A3248" s="4" t="s">
        <v>5437</v>
      </c>
      <c r="B3248" s="4" t="s">
        <v>38</v>
      </c>
      <c r="C3248" s="37" t="s">
        <v>5018</v>
      </c>
      <c r="D3248" s="35">
        <v>5442</v>
      </c>
      <c r="E3248" s="4" t="s">
        <v>5437</v>
      </c>
      <c r="F3248" s="5">
        <v>39814</v>
      </c>
      <c r="G3248" s="5">
        <v>40178</v>
      </c>
      <c r="H3248" s="4" t="s">
        <v>40</v>
      </c>
      <c r="I3248" s="6">
        <v>1065.1500000000001</v>
      </c>
      <c r="J3248" s="6">
        <v>1065.1500000000001</v>
      </c>
      <c r="K3248" s="37" t="s">
        <v>5018</v>
      </c>
      <c r="L3248" s="119"/>
      <c r="M3248" s="3"/>
    </row>
    <row r="3249" spans="1:13" s="4" customFormat="1" ht="25.5" x14ac:dyDescent="0.25">
      <c r="A3249" s="4" t="s">
        <v>5438</v>
      </c>
      <c r="B3249" s="4" t="s">
        <v>38</v>
      </c>
      <c r="C3249" s="37" t="s">
        <v>5018</v>
      </c>
      <c r="D3249" s="35">
        <v>5443</v>
      </c>
      <c r="E3249" s="4" t="s">
        <v>5438</v>
      </c>
      <c r="F3249" s="5">
        <v>39814</v>
      </c>
      <c r="G3249" s="5">
        <v>40178</v>
      </c>
      <c r="H3249" s="4" t="s">
        <v>40</v>
      </c>
      <c r="I3249" s="6">
        <v>1140.1500000000001</v>
      </c>
      <c r="J3249" s="6">
        <v>1140.1500000000001</v>
      </c>
      <c r="K3249" s="37" t="s">
        <v>5018</v>
      </c>
      <c r="L3249" s="119"/>
      <c r="M3249" s="3"/>
    </row>
    <row r="3250" spans="1:13" s="4" customFormat="1" ht="25.5" x14ac:dyDescent="0.25">
      <c r="A3250" s="4" t="s">
        <v>5439</v>
      </c>
      <c r="B3250" s="4" t="s">
        <v>38</v>
      </c>
      <c r="C3250" s="37" t="s">
        <v>5018</v>
      </c>
      <c r="D3250" s="35">
        <v>5444</v>
      </c>
      <c r="E3250" s="4" t="s">
        <v>5440</v>
      </c>
      <c r="F3250" s="5">
        <v>39814</v>
      </c>
      <c r="G3250" s="5">
        <v>40178</v>
      </c>
      <c r="H3250" s="4" t="s">
        <v>40</v>
      </c>
      <c r="I3250" s="6">
        <v>200</v>
      </c>
      <c r="J3250" s="6">
        <v>200</v>
      </c>
      <c r="K3250" s="37" t="s">
        <v>5018</v>
      </c>
      <c r="L3250" s="119"/>
      <c r="M3250" s="3"/>
    </row>
    <row r="3251" spans="1:13" s="4" customFormat="1" ht="25.5" x14ac:dyDescent="0.25">
      <c r="A3251" s="4" t="s">
        <v>5441</v>
      </c>
      <c r="B3251" s="4" t="s">
        <v>38</v>
      </c>
      <c r="C3251" s="37" t="s">
        <v>5018</v>
      </c>
      <c r="D3251" s="35">
        <v>5445</v>
      </c>
      <c r="E3251" s="4" t="s">
        <v>5441</v>
      </c>
      <c r="F3251" s="5">
        <v>39814</v>
      </c>
      <c r="G3251" s="5">
        <v>40178</v>
      </c>
      <c r="H3251" s="4" t="s">
        <v>40</v>
      </c>
      <c r="I3251" s="6">
        <v>664</v>
      </c>
      <c r="J3251" s="6">
        <v>664</v>
      </c>
      <c r="K3251" s="37" t="s">
        <v>5018</v>
      </c>
      <c r="L3251" s="119"/>
      <c r="M3251" s="3"/>
    </row>
    <row r="3252" spans="1:13" s="4" customFormat="1" ht="25.5" x14ac:dyDescent="0.25">
      <c r="A3252" s="4" t="s">
        <v>5442</v>
      </c>
      <c r="B3252" s="4" t="s">
        <v>38</v>
      </c>
      <c r="C3252" s="37" t="s">
        <v>5018</v>
      </c>
      <c r="D3252" s="35">
        <v>5446</v>
      </c>
      <c r="E3252" s="4" t="s">
        <v>5443</v>
      </c>
      <c r="F3252" s="5">
        <v>39814</v>
      </c>
      <c r="G3252" s="5">
        <v>40178</v>
      </c>
      <c r="H3252" s="4" t="s">
        <v>40</v>
      </c>
      <c r="I3252" s="6">
        <v>2874.23</v>
      </c>
      <c r="J3252" s="6">
        <v>2874.23</v>
      </c>
      <c r="K3252" s="37" t="s">
        <v>5018</v>
      </c>
      <c r="L3252" s="119"/>
      <c r="M3252" s="3"/>
    </row>
    <row r="3253" spans="1:13" s="4" customFormat="1" ht="25.5" x14ac:dyDescent="0.25">
      <c r="A3253" s="4" t="s">
        <v>5444</v>
      </c>
      <c r="B3253" s="4" t="s">
        <v>38</v>
      </c>
      <c r="C3253" s="37" t="s">
        <v>5018</v>
      </c>
      <c r="D3253" s="35">
        <v>5447</v>
      </c>
      <c r="E3253" s="4" t="s">
        <v>5445</v>
      </c>
      <c r="F3253" s="5">
        <v>39814</v>
      </c>
      <c r="G3253" s="5">
        <v>40178</v>
      </c>
      <c r="H3253" s="4" t="s">
        <v>40</v>
      </c>
      <c r="I3253" s="6">
        <v>1057.6600000000001</v>
      </c>
      <c r="J3253" s="6">
        <v>1057.6600000000001</v>
      </c>
      <c r="K3253" s="37" t="s">
        <v>5018</v>
      </c>
      <c r="L3253" s="119"/>
      <c r="M3253" s="3"/>
    </row>
    <row r="3254" spans="1:13" s="4" customFormat="1" ht="25.5" x14ac:dyDescent="0.25">
      <c r="A3254" s="4" t="s">
        <v>5446</v>
      </c>
      <c r="B3254" s="4" t="s">
        <v>38</v>
      </c>
      <c r="C3254" s="37" t="s">
        <v>5018</v>
      </c>
      <c r="D3254" s="35">
        <v>5448</v>
      </c>
      <c r="E3254" s="4" t="s">
        <v>5447</v>
      </c>
      <c r="F3254" s="5">
        <v>39814</v>
      </c>
      <c r="G3254" s="5">
        <v>40178</v>
      </c>
      <c r="H3254" s="4" t="s">
        <v>40</v>
      </c>
      <c r="I3254" s="6">
        <v>1359.16</v>
      </c>
      <c r="J3254" s="6">
        <v>1359.16</v>
      </c>
      <c r="K3254" s="37" t="s">
        <v>5018</v>
      </c>
      <c r="L3254" s="119"/>
      <c r="M3254" s="3"/>
    </row>
    <row r="3255" spans="1:13" s="4" customFormat="1" ht="25.5" x14ac:dyDescent="0.25">
      <c r="A3255" s="4" t="s">
        <v>5448</v>
      </c>
      <c r="B3255" s="4" t="s">
        <v>38</v>
      </c>
      <c r="C3255" s="37" t="s">
        <v>5018</v>
      </c>
      <c r="D3255" s="35">
        <v>5449</v>
      </c>
      <c r="E3255" s="4" t="s">
        <v>5449</v>
      </c>
      <c r="F3255" s="5">
        <v>39814</v>
      </c>
      <c r="G3255" s="5">
        <v>40178</v>
      </c>
      <c r="H3255" s="4" t="s">
        <v>40</v>
      </c>
      <c r="I3255" s="6">
        <v>1112.3800000000001</v>
      </c>
      <c r="J3255" s="6">
        <v>1112.3800000000001</v>
      </c>
      <c r="K3255" s="37" t="s">
        <v>5018</v>
      </c>
      <c r="L3255" s="119"/>
      <c r="M3255" s="3"/>
    </row>
    <row r="3256" spans="1:13" s="4" customFormat="1" ht="25.5" x14ac:dyDescent="0.25">
      <c r="A3256" s="4" t="s">
        <v>5448</v>
      </c>
      <c r="B3256" s="4" t="s">
        <v>38</v>
      </c>
      <c r="C3256" s="37" t="s">
        <v>5018</v>
      </c>
      <c r="D3256" s="35">
        <v>5450</v>
      </c>
      <c r="E3256" s="4" t="s">
        <v>5450</v>
      </c>
      <c r="F3256" s="5">
        <v>39814</v>
      </c>
      <c r="G3256" s="5">
        <v>40178</v>
      </c>
      <c r="H3256" s="4" t="s">
        <v>40</v>
      </c>
      <c r="I3256" s="6">
        <v>1709.77</v>
      </c>
      <c r="J3256" s="6">
        <v>1709.77</v>
      </c>
      <c r="K3256" s="37" t="s">
        <v>5018</v>
      </c>
      <c r="L3256" s="119"/>
      <c r="M3256" s="3"/>
    </row>
    <row r="3257" spans="1:13" s="4" customFormat="1" ht="25.5" x14ac:dyDescent="0.25">
      <c r="A3257" s="4" t="s">
        <v>5451</v>
      </c>
      <c r="B3257" s="4" t="s">
        <v>38</v>
      </c>
      <c r="C3257" s="37" t="s">
        <v>5018</v>
      </c>
      <c r="D3257" s="35">
        <v>5451</v>
      </c>
      <c r="E3257" s="4" t="s">
        <v>5451</v>
      </c>
      <c r="F3257" s="5">
        <v>39814</v>
      </c>
      <c r="G3257" s="5">
        <v>40178</v>
      </c>
      <c r="H3257" s="4" t="s">
        <v>40</v>
      </c>
      <c r="I3257" s="6">
        <v>344</v>
      </c>
      <c r="J3257" s="6">
        <v>344</v>
      </c>
      <c r="K3257" s="37" t="s">
        <v>5018</v>
      </c>
      <c r="L3257" s="119"/>
      <c r="M3257" s="3"/>
    </row>
    <row r="3258" spans="1:13" s="4" customFormat="1" ht="25.5" x14ac:dyDescent="0.25">
      <c r="A3258" s="4" t="s">
        <v>5452</v>
      </c>
      <c r="B3258" s="4" t="s">
        <v>38</v>
      </c>
      <c r="C3258" s="37" t="s">
        <v>5018</v>
      </c>
      <c r="D3258" s="35">
        <v>5452</v>
      </c>
      <c r="E3258" s="4" t="s">
        <v>5452</v>
      </c>
      <c r="F3258" s="5">
        <v>39814</v>
      </c>
      <c r="G3258" s="5">
        <v>40178</v>
      </c>
      <c r="H3258" s="4" t="s">
        <v>40</v>
      </c>
      <c r="I3258" s="6">
        <v>757.9</v>
      </c>
      <c r="J3258" s="6">
        <v>757.9</v>
      </c>
      <c r="K3258" s="37" t="s">
        <v>5018</v>
      </c>
      <c r="L3258" s="119"/>
      <c r="M3258" s="3"/>
    </row>
    <row r="3259" spans="1:13" s="4" customFormat="1" ht="25.5" x14ac:dyDescent="0.25">
      <c r="A3259" s="4" t="s">
        <v>5453</v>
      </c>
      <c r="B3259" s="4" t="s">
        <v>38</v>
      </c>
      <c r="C3259" s="37" t="s">
        <v>5018</v>
      </c>
      <c r="D3259" s="35">
        <v>5453</v>
      </c>
      <c r="E3259" s="4" t="s">
        <v>5454</v>
      </c>
      <c r="F3259" s="5">
        <v>39814</v>
      </c>
      <c r="G3259" s="5">
        <v>40178</v>
      </c>
      <c r="H3259" s="4" t="s">
        <v>40</v>
      </c>
      <c r="I3259" s="6">
        <v>1244</v>
      </c>
      <c r="J3259" s="6">
        <v>1244</v>
      </c>
      <c r="K3259" s="37" t="s">
        <v>5018</v>
      </c>
      <c r="L3259" s="119"/>
      <c r="M3259" s="3"/>
    </row>
    <row r="3260" spans="1:13" s="4" customFormat="1" ht="25.5" x14ac:dyDescent="0.25">
      <c r="A3260" s="4" t="s">
        <v>5455</v>
      </c>
      <c r="B3260" s="4" t="s">
        <v>38</v>
      </c>
      <c r="C3260" s="37" t="s">
        <v>5018</v>
      </c>
      <c r="D3260" s="35">
        <v>5454</v>
      </c>
      <c r="E3260" s="4" t="s">
        <v>5455</v>
      </c>
      <c r="F3260" s="5">
        <v>39814</v>
      </c>
      <c r="G3260" s="5">
        <v>40178</v>
      </c>
      <c r="H3260" s="4" t="s">
        <v>40</v>
      </c>
      <c r="I3260" s="6">
        <v>976.15</v>
      </c>
      <c r="J3260" s="6">
        <v>976.15</v>
      </c>
      <c r="K3260" s="37" t="s">
        <v>5018</v>
      </c>
      <c r="L3260" s="119"/>
      <c r="M3260" s="3"/>
    </row>
    <row r="3261" spans="1:13" s="4" customFormat="1" ht="25.5" x14ac:dyDescent="0.25">
      <c r="A3261" s="4" t="s">
        <v>5456</v>
      </c>
      <c r="B3261" s="4" t="s">
        <v>38</v>
      </c>
      <c r="C3261" s="37" t="s">
        <v>5018</v>
      </c>
      <c r="D3261" s="35">
        <v>5455</v>
      </c>
      <c r="E3261" s="4" t="s">
        <v>5456</v>
      </c>
      <c r="F3261" s="5">
        <v>39814</v>
      </c>
      <c r="G3261" s="5">
        <v>40178</v>
      </c>
      <c r="H3261" s="4" t="s">
        <v>40</v>
      </c>
      <c r="I3261" s="6">
        <v>295.8</v>
      </c>
      <c r="J3261" s="6">
        <v>295.8</v>
      </c>
      <c r="K3261" s="37" t="s">
        <v>5018</v>
      </c>
      <c r="L3261" s="119"/>
      <c r="M3261" s="3"/>
    </row>
    <row r="3262" spans="1:13" s="4" customFormat="1" ht="25.5" x14ac:dyDescent="0.25">
      <c r="A3262" s="4" t="s">
        <v>5457</v>
      </c>
      <c r="B3262" s="4" t="s">
        <v>38</v>
      </c>
      <c r="C3262" s="37" t="s">
        <v>5018</v>
      </c>
      <c r="D3262" s="35">
        <v>5635</v>
      </c>
      <c r="E3262" s="4" t="s">
        <v>5457</v>
      </c>
      <c r="F3262" s="5">
        <v>39814</v>
      </c>
      <c r="G3262" s="5">
        <v>40178</v>
      </c>
      <c r="H3262" s="4" t="s">
        <v>40</v>
      </c>
      <c r="I3262" s="6">
        <v>818</v>
      </c>
      <c r="J3262" s="6">
        <v>818</v>
      </c>
      <c r="K3262" s="37" t="s">
        <v>5018</v>
      </c>
      <c r="L3262" s="119"/>
      <c r="M3262" s="3"/>
    </row>
    <row r="3263" spans="1:13" s="4" customFormat="1" ht="25.5" x14ac:dyDescent="0.25">
      <c r="A3263" s="4" t="s">
        <v>5458</v>
      </c>
      <c r="B3263" s="4" t="s">
        <v>38</v>
      </c>
      <c r="C3263" s="37" t="s">
        <v>5018</v>
      </c>
      <c r="D3263" s="35">
        <v>5644</v>
      </c>
      <c r="E3263" s="4" t="s">
        <v>5458</v>
      </c>
      <c r="F3263" s="5">
        <v>39814</v>
      </c>
      <c r="G3263" s="5">
        <v>40117</v>
      </c>
      <c r="H3263" s="4" t="s">
        <v>40</v>
      </c>
      <c r="I3263" s="6">
        <v>322</v>
      </c>
      <c r="J3263" s="6">
        <v>322</v>
      </c>
      <c r="K3263" s="37" t="s">
        <v>5018</v>
      </c>
      <c r="L3263" s="119"/>
      <c r="M3263" s="3"/>
    </row>
    <row r="3264" spans="1:13" s="4" customFormat="1" ht="51" x14ac:dyDescent="0.25">
      <c r="A3264" s="4" t="s">
        <v>5459</v>
      </c>
      <c r="B3264" s="4" t="s">
        <v>38</v>
      </c>
      <c r="C3264" s="37" t="s">
        <v>5018</v>
      </c>
      <c r="D3264" s="35">
        <v>5719</v>
      </c>
      <c r="E3264" s="4" t="s">
        <v>5460</v>
      </c>
      <c r="F3264" s="5">
        <v>39814</v>
      </c>
      <c r="G3264" s="5">
        <v>40178</v>
      </c>
      <c r="H3264" s="4" t="s">
        <v>40</v>
      </c>
      <c r="I3264" s="6">
        <v>3093.2</v>
      </c>
      <c r="J3264" s="6">
        <v>3093.2</v>
      </c>
      <c r="K3264" s="37" t="s">
        <v>5018</v>
      </c>
      <c r="L3264" s="119"/>
      <c r="M3264" s="3"/>
    </row>
    <row r="3265" spans="1:13" s="4" customFormat="1" ht="102" x14ac:dyDescent="0.25">
      <c r="A3265" s="4" t="s">
        <v>5461</v>
      </c>
      <c r="B3265" s="4" t="s">
        <v>90</v>
      </c>
      <c r="C3265" s="37" t="s">
        <v>5018</v>
      </c>
      <c r="D3265" s="35">
        <v>7361</v>
      </c>
      <c r="E3265" s="7" t="s">
        <v>5462</v>
      </c>
      <c r="F3265" s="5">
        <v>40322</v>
      </c>
      <c r="G3265" s="5">
        <v>40543</v>
      </c>
      <c r="H3265" s="4" t="s">
        <v>40</v>
      </c>
      <c r="I3265" s="6">
        <v>10000</v>
      </c>
      <c r="J3265" s="6">
        <v>5000</v>
      </c>
      <c r="K3265" s="37" t="s">
        <v>5018</v>
      </c>
      <c r="L3265" s="119"/>
      <c r="M3265" s="3"/>
    </row>
    <row r="3266" spans="1:13" s="4" customFormat="1" ht="38.25" x14ac:dyDescent="0.25">
      <c r="A3266" s="4" t="s">
        <v>5463</v>
      </c>
      <c r="B3266" s="4" t="s">
        <v>59</v>
      </c>
      <c r="C3266" s="37" t="s">
        <v>5018</v>
      </c>
      <c r="D3266" s="35">
        <v>7363</v>
      </c>
      <c r="E3266" s="4" t="s">
        <v>5464</v>
      </c>
      <c r="F3266" s="5">
        <v>40100</v>
      </c>
      <c r="G3266" s="5">
        <v>40452</v>
      </c>
      <c r="H3266" s="4" t="s">
        <v>40</v>
      </c>
      <c r="I3266" s="6">
        <v>2500</v>
      </c>
      <c r="J3266" s="6">
        <v>2500</v>
      </c>
      <c r="K3266" s="37" t="s">
        <v>5018</v>
      </c>
      <c r="L3266" s="119"/>
      <c r="M3266" s="3"/>
    </row>
    <row r="3267" spans="1:13" s="4" customFormat="1" ht="38.25" x14ac:dyDescent="0.25">
      <c r="A3267" s="4" t="s">
        <v>5465</v>
      </c>
      <c r="B3267" s="4" t="s">
        <v>50</v>
      </c>
      <c r="C3267" s="37" t="s">
        <v>5018</v>
      </c>
      <c r="D3267" s="35">
        <v>7364</v>
      </c>
      <c r="E3267" s="4" t="s">
        <v>5466</v>
      </c>
      <c r="F3267" s="5">
        <v>39909</v>
      </c>
      <c r="G3267" s="5">
        <v>40345</v>
      </c>
      <c r="H3267" s="4" t="s">
        <v>40</v>
      </c>
      <c r="I3267" s="6">
        <v>110000</v>
      </c>
      <c r="J3267" s="6">
        <v>55000</v>
      </c>
      <c r="K3267" s="37" t="s">
        <v>5018</v>
      </c>
      <c r="L3267" s="119"/>
      <c r="M3267" s="3"/>
    </row>
    <row r="3268" spans="1:13" s="4" customFormat="1" ht="51" x14ac:dyDescent="0.25">
      <c r="A3268" s="4" t="s">
        <v>5469</v>
      </c>
      <c r="B3268" s="4" t="s">
        <v>190</v>
      </c>
      <c r="C3268" s="37" t="s">
        <v>5018</v>
      </c>
      <c r="D3268" s="35">
        <v>7372</v>
      </c>
      <c r="E3268" s="4" t="s">
        <v>5470</v>
      </c>
      <c r="F3268" s="5">
        <v>40449</v>
      </c>
      <c r="G3268" s="5">
        <v>40908</v>
      </c>
      <c r="H3268" s="4" t="s">
        <v>40</v>
      </c>
      <c r="I3268" s="6">
        <v>27750</v>
      </c>
      <c r="J3268" s="6">
        <v>27750</v>
      </c>
      <c r="K3268" s="37" t="s">
        <v>5018</v>
      </c>
      <c r="L3268" s="119"/>
      <c r="M3268" s="3"/>
    </row>
    <row r="3269" spans="1:13" s="4" customFormat="1" ht="63.75" x14ac:dyDescent="0.25">
      <c r="A3269" s="4" t="s">
        <v>5471</v>
      </c>
      <c r="B3269" s="4" t="s">
        <v>183</v>
      </c>
      <c r="C3269" s="37" t="s">
        <v>5018</v>
      </c>
      <c r="D3269" s="35">
        <v>7373</v>
      </c>
      <c r="E3269" s="4" t="s">
        <v>5472</v>
      </c>
      <c r="F3269" s="5">
        <v>40448</v>
      </c>
      <c r="G3269" s="5">
        <v>40908</v>
      </c>
      <c r="H3269" s="4" t="s">
        <v>40</v>
      </c>
      <c r="I3269" s="6">
        <v>6500</v>
      </c>
      <c r="J3269" s="6">
        <v>6500</v>
      </c>
      <c r="K3269" s="37" t="s">
        <v>5018</v>
      </c>
      <c r="L3269" s="119"/>
      <c r="M3269" s="3"/>
    </row>
    <row r="3270" spans="1:13" s="4" customFormat="1" ht="51" x14ac:dyDescent="0.25">
      <c r="A3270" s="4" t="s">
        <v>5473</v>
      </c>
      <c r="B3270" s="4" t="s">
        <v>190</v>
      </c>
      <c r="C3270" s="37" t="s">
        <v>5018</v>
      </c>
      <c r="D3270" s="35">
        <v>7374</v>
      </c>
      <c r="E3270" s="4" t="s">
        <v>5474</v>
      </c>
      <c r="F3270" s="5">
        <v>40364</v>
      </c>
      <c r="G3270" s="5">
        <v>40493</v>
      </c>
      <c r="H3270" s="4" t="s">
        <v>40</v>
      </c>
      <c r="I3270" s="6">
        <v>8800</v>
      </c>
      <c r="J3270" s="6">
        <v>6900</v>
      </c>
      <c r="K3270" s="37" t="s">
        <v>5018</v>
      </c>
      <c r="L3270" s="119"/>
      <c r="M3270" s="3"/>
    </row>
    <row r="3271" spans="1:13" s="4" customFormat="1" ht="51" x14ac:dyDescent="0.25">
      <c r="A3271" s="4" t="s">
        <v>5475</v>
      </c>
      <c r="B3271" s="4" t="s">
        <v>190</v>
      </c>
      <c r="C3271" s="37" t="s">
        <v>5018</v>
      </c>
      <c r="D3271" s="35">
        <v>7375</v>
      </c>
      <c r="E3271" s="4" t="s">
        <v>5476</v>
      </c>
      <c r="F3271" s="5">
        <v>40281</v>
      </c>
      <c r="G3271" s="5">
        <v>40497</v>
      </c>
      <c r="H3271" s="4" t="s">
        <v>40</v>
      </c>
      <c r="I3271" s="6">
        <v>37026</v>
      </c>
      <c r="J3271" s="6">
        <v>18513</v>
      </c>
      <c r="K3271" s="37" t="s">
        <v>5018</v>
      </c>
      <c r="L3271" s="119"/>
      <c r="M3271" s="3"/>
    </row>
    <row r="3272" spans="1:13" s="4" customFormat="1" ht="51" x14ac:dyDescent="0.25">
      <c r="A3272" s="4" t="s">
        <v>5477</v>
      </c>
      <c r="B3272" s="4" t="s">
        <v>90</v>
      </c>
      <c r="C3272" s="37" t="s">
        <v>5018</v>
      </c>
      <c r="D3272" s="35">
        <v>7376</v>
      </c>
      <c r="E3272" s="4" t="s">
        <v>5478</v>
      </c>
      <c r="F3272" s="5">
        <v>40365</v>
      </c>
      <c r="G3272" s="5">
        <v>40534</v>
      </c>
      <c r="H3272" s="4" t="s">
        <v>40</v>
      </c>
      <c r="I3272" s="6">
        <v>40000</v>
      </c>
      <c r="J3272" s="6">
        <v>20000</v>
      </c>
      <c r="K3272" s="37" t="s">
        <v>5018</v>
      </c>
      <c r="L3272" s="119"/>
      <c r="M3272" s="3"/>
    </row>
    <row r="3273" spans="1:13" s="4" customFormat="1" ht="25.5" x14ac:dyDescent="0.25">
      <c r="A3273" s="4" t="s">
        <v>5481</v>
      </c>
      <c r="B3273" s="4" t="s">
        <v>90</v>
      </c>
      <c r="C3273" s="37" t="s">
        <v>5018</v>
      </c>
      <c r="D3273" s="35">
        <v>7430</v>
      </c>
      <c r="E3273" s="4" t="s">
        <v>5482</v>
      </c>
      <c r="F3273" s="5">
        <v>40308</v>
      </c>
      <c r="G3273" s="5">
        <v>40317</v>
      </c>
      <c r="H3273" s="4" t="s">
        <v>40</v>
      </c>
      <c r="I3273" s="6">
        <v>10000</v>
      </c>
      <c r="J3273" s="6">
        <v>5000</v>
      </c>
      <c r="K3273" s="37" t="s">
        <v>5018</v>
      </c>
      <c r="L3273" s="119"/>
      <c r="M3273" s="3"/>
    </row>
    <row r="3274" spans="1:13" s="4" customFormat="1" ht="25.5" x14ac:dyDescent="0.25">
      <c r="A3274" s="4" t="s">
        <v>5483</v>
      </c>
      <c r="B3274" s="4" t="s">
        <v>38</v>
      </c>
      <c r="C3274" s="37" t="s">
        <v>5018</v>
      </c>
      <c r="D3274" s="35">
        <v>7557</v>
      </c>
      <c r="E3274" s="4" t="s">
        <v>5240</v>
      </c>
      <c r="F3274" s="5">
        <v>40179</v>
      </c>
      <c r="G3274" s="5">
        <v>40543</v>
      </c>
      <c r="H3274" s="4" t="s">
        <v>40</v>
      </c>
      <c r="I3274" s="6">
        <v>1352.34</v>
      </c>
      <c r="J3274" s="6">
        <v>1352.34</v>
      </c>
      <c r="K3274" s="37" t="s">
        <v>5018</v>
      </c>
      <c r="L3274" s="119"/>
      <c r="M3274" s="3"/>
    </row>
    <row r="3275" spans="1:13" s="4" customFormat="1" ht="25.5" x14ac:dyDescent="0.25">
      <c r="A3275" s="4" t="s">
        <v>5484</v>
      </c>
      <c r="B3275" s="4" t="s">
        <v>38</v>
      </c>
      <c r="C3275" s="37" t="s">
        <v>5018</v>
      </c>
      <c r="D3275" s="35">
        <v>7558</v>
      </c>
      <c r="E3275" s="4" t="s">
        <v>5240</v>
      </c>
      <c r="F3275" s="5">
        <v>40179</v>
      </c>
      <c r="G3275" s="5">
        <v>40543</v>
      </c>
      <c r="H3275" s="4" t="s">
        <v>40</v>
      </c>
      <c r="I3275" s="6">
        <v>1931.34</v>
      </c>
      <c r="J3275" s="6">
        <v>1931.34</v>
      </c>
      <c r="K3275" s="37" t="s">
        <v>5018</v>
      </c>
      <c r="L3275" s="119"/>
      <c r="M3275" s="3"/>
    </row>
    <row r="3276" spans="1:13" s="4" customFormat="1" ht="25.5" x14ac:dyDescent="0.25">
      <c r="A3276" s="4" t="s">
        <v>5485</v>
      </c>
      <c r="B3276" s="4" t="s">
        <v>38</v>
      </c>
      <c r="C3276" s="37" t="s">
        <v>5018</v>
      </c>
      <c r="D3276" s="35">
        <v>7559</v>
      </c>
      <c r="E3276" s="4" t="s">
        <v>5240</v>
      </c>
      <c r="F3276" s="5">
        <v>40179</v>
      </c>
      <c r="G3276" s="5">
        <v>40543</v>
      </c>
      <c r="H3276" s="4" t="s">
        <v>40</v>
      </c>
      <c r="I3276" s="6">
        <v>618.32000000000005</v>
      </c>
      <c r="J3276" s="6">
        <v>618.32000000000005</v>
      </c>
      <c r="K3276" s="37" t="s">
        <v>5018</v>
      </c>
      <c r="L3276" s="119"/>
      <c r="M3276" s="3"/>
    </row>
    <row r="3277" spans="1:13" s="4" customFormat="1" ht="25.5" x14ac:dyDescent="0.25">
      <c r="A3277" s="4" t="s">
        <v>5486</v>
      </c>
      <c r="B3277" s="4" t="s">
        <v>38</v>
      </c>
      <c r="C3277" s="37" t="s">
        <v>5018</v>
      </c>
      <c r="D3277" s="35">
        <v>7560</v>
      </c>
      <c r="E3277" s="4" t="s">
        <v>5240</v>
      </c>
      <c r="F3277" s="5">
        <v>40179</v>
      </c>
      <c r="G3277" s="5">
        <v>40543</v>
      </c>
      <c r="H3277" s="4" t="s">
        <v>40</v>
      </c>
      <c r="I3277" s="6">
        <v>2606.36</v>
      </c>
      <c r="J3277" s="6">
        <v>2606.36</v>
      </c>
      <c r="K3277" s="37" t="s">
        <v>5018</v>
      </c>
      <c r="L3277" s="119"/>
      <c r="M3277" s="3"/>
    </row>
    <row r="3278" spans="1:13" s="4" customFormat="1" ht="25.5" x14ac:dyDescent="0.25">
      <c r="A3278" s="4" t="s">
        <v>5487</v>
      </c>
      <c r="B3278" s="4" t="s">
        <v>38</v>
      </c>
      <c r="C3278" s="37" t="s">
        <v>5018</v>
      </c>
      <c r="D3278" s="35">
        <v>7561</v>
      </c>
      <c r="E3278" s="4" t="s">
        <v>5240</v>
      </c>
      <c r="F3278" s="5">
        <v>40179</v>
      </c>
      <c r="G3278" s="5">
        <v>40543</v>
      </c>
      <c r="H3278" s="4" t="s">
        <v>40</v>
      </c>
      <c r="I3278" s="6">
        <v>2095.31</v>
      </c>
      <c r="J3278" s="6">
        <v>2095.31</v>
      </c>
      <c r="K3278" s="37" t="s">
        <v>5018</v>
      </c>
      <c r="L3278" s="119"/>
      <c r="M3278" s="3"/>
    </row>
    <row r="3279" spans="1:13" s="4" customFormat="1" ht="25.5" x14ac:dyDescent="0.25">
      <c r="A3279" s="4" t="s">
        <v>5488</v>
      </c>
      <c r="B3279" s="4" t="s">
        <v>38</v>
      </c>
      <c r="C3279" s="37" t="s">
        <v>5018</v>
      </c>
      <c r="D3279" s="35">
        <v>7563</v>
      </c>
      <c r="E3279" s="4" t="s">
        <v>5489</v>
      </c>
      <c r="F3279" s="5">
        <v>40179</v>
      </c>
      <c r="G3279" s="5">
        <v>40543</v>
      </c>
      <c r="H3279" s="4" t="s">
        <v>40</v>
      </c>
      <c r="I3279" s="6">
        <v>275</v>
      </c>
      <c r="J3279" s="6">
        <v>275</v>
      </c>
      <c r="K3279" s="37" t="s">
        <v>5018</v>
      </c>
      <c r="L3279" s="119"/>
      <c r="M3279" s="3"/>
    </row>
    <row r="3280" spans="1:13" s="4" customFormat="1" ht="25.5" x14ac:dyDescent="0.25">
      <c r="A3280" s="4" t="s">
        <v>5490</v>
      </c>
      <c r="B3280" s="4" t="s">
        <v>38</v>
      </c>
      <c r="C3280" s="37" t="s">
        <v>5018</v>
      </c>
      <c r="D3280" s="35">
        <v>7564</v>
      </c>
      <c r="E3280" s="4" t="s">
        <v>5491</v>
      </c>
      <c r="F3280" s="5">
        <v>40179</v>
      </c>
      <c r="G3280" s="5">
        <v>40543</v>
      </c>
      <c r="H3280" s="4" t="s">
        <v>40</v>
      </c>
      <c r="I3280" s="6">
        <v>1500</v>
      </c>
      <c r="J3280" s="6">
        <v>1500</v>
      </c>
      <c r="K3280" s="37" t="s">
        <v>5018</v>
      </c>
      <c r="L3280" s="119"/>
      <c r="M3280" s="3"/>
    </row>
    <row r="3281" spans="1:13" s="4" customFormat="1" ht="25.5" x14ac:dyDescent="0.25">
      <c r="A3281" s="4" t="s">
        <v>5492</v>
      </c>
      <c r="B3281" s="4" t="s">
        <v>38</v>
      </c>
      <c r="C3281" s="37" t="s">
        <v>5018</v>
      </c>
      <c r="D3281" s="35">
        <v>7565</v>
      </c>
      <c r="E3281" s="4" t="s">
        <v>5493</v>
      </c>
      <c r="F3281" s="5">
        <v>40179</v>
      </c>
      <c r="G3281" s="5">
        <v>40543</v>
      </c>
      <c r="H3281" s="4" t="s">
        <v>40</v>
      </c>
      <c r="I3281" s="6">
        <v>535.04999999999995</v>
      </c>
      <c r="J3281" s="6">
        <v>535.04999999999995</v>
      </c>
      <c r="K3281" s="37" t="s">
        <v>5018</v>
      </c>
      <c r="L3281" s="119"/>
      <c r="M3281" s="3"/>
    </row>
    <row r="3282" spans="1:13" s="4" customFormat="1" ht="25.5" x14ac:dyDescent="0.25">
      <c r="A3282" s="4" t="s">
        <v>5494</v>
      </c>
      <c r="B3282" s="4" t="s">
        <v>38</v>
      </c>
      <c r="C3282" s="37" t="s">
        <v>5018</v>
      </c>
      <c r="D3282" s="35">
        <v>7566</v>
      </c>
      <c r="E3282" s="4" t="s">
        <v>5495</v>
      </c>
      <c r="F3282" s="5">
        <v>40181</v>
      </c>
      <c r="G3282" s="5">
        <v>40501</v>
      </c>
      <c r="H3282" s="4" t="s">
        <v>40</v>
      </c>
      <c r="I3282" s="6">
        <v>866.85</v>
      </c>
      <c r="J3282" s="6">
        <v>866.85</v>
      </c>
      <c r="K3282" s="37" t="s">
        <v>5018</v>
      </c>
      <c r="L3282" s="119"/>
      <c r="M3282" s="3"/>
    </row>
    <row r="3283" spans="1:13" s="4" customFormat="1" ht="25.5" x14ac:dyDescent="0.25">
      <c r="A3283" s="4" t="s">
        <v>5496</v>
      </c>
      <c r="B3283" s="4" t="s">
        <v>38</v>
      </c>
      <c r="C3283" s="37" t="s">
        <v>5018</v>
      </c>
      <c r="D3283" s="35">
        <v>7567</v>
      </c>
      <c r="E3283" s="4" t="s">
        <v>5250</v>
      </c>
      <c r="F3283" s="5">
        <v>40179</v>
      </c>
      <c r="G3283" s="5">
        <v>40543</v>
      </c>
      <c r="H3283" s="4" t="s">
        <v>40</v>
      </c>
      <c r="I3283" s="6">
        <v>809.7</v>
      </c>
      <c r="J3283" s="6">
        <v>809.7</v>
      </c>
      <c r="K3283" s="37" t="s">
        <v>5018</v>
      </c>
      <c r="L3283" s="119"/>
      <c r="M3283" s="3"/>
    </row>
    <row r="3284" spans="1:13" s="4" customFormat="1" ht="25.5" x14ac:dyDescent="0.25">
      <c r="A3284" s="4" t="s">
        <v>5497</v>
      </c>
      <c r="B3284" s="4" t="s">
        <v>38</v>
      </c>
      <c r="C3284" s="37" t="s">
        <v>5018</v>
      </c>
      <c r="D3284" s="35">
        <v>7568</v>
      </c>
      <c r="E3284" s="4" t="s">
        <v>5495</v>
      </c>
      <c r="F3284" s="5">
        <v>40179</v>
      </c>
      <c r="G3284" s="5">
        <v>40543</v>
      </c>
      <c r="H3284" s="4" t="s">
        <v>40</v>
      </c>
      <c r="I3284" s="6">
        <v>590</v>
      </c>
      <c r="J3284" s="6">
        <v>590</v>
      </c>
      <c r="K3284" s="37" t="s">
        <v>5018</v>
      </c>
      <c r="L3284" s="119"/>
      <c r="M3284" s="3"/>
    </row>
    <row r="3285" spans="1:13" s="4" customFormat="1" ht="25.5" x14ac:dyDescent="0.25">
      <c r="A3285" s="4" t="s">
        <v>5498</v>
      </c>
      <c r="B3285" s="4" t="s">
        <v>38</v>
      </c>
      <c r="C3285" s="37" t="s">
        <v>5018</v>
      </c>
      <c r="D3285" s="35">
        <v>7570</v>
      </c>
      <c r="E3285" s="4" t="s">
        <v>5499</v>
      </c>
      <c r="F3285" s="5">
        <v>40179</v>
      </c>
      <c r="G3285" s="5">
        <v>40543</v>
      </c>
      <c r="H3285" s="4" t="s">
        <v>40</v>
      </c>
      <c r="I3285" s="6">
        <v>1087</v>
      </c>
      <c r="J3285" s="6">
        <v>1087</v>
      </c>
      <c r="K3285" s="37" t="s">
        <v>5018</v>
      </c>
      <c r="L3285" s="119"/>
      <c r="M3285" s="3"/>
    </row>
    <row r="3286" spans="1:13" s="4" customFormat="1" ht="25.5" x14ac:dyDescent="0.25">
      <c r="A3286" s="4" t="s">
        <v>5500</v>
      </c>
      <c r="B3286" s="4" t="s">
        <v>38</v>
      </c>
      <c r="C3286" s="37" t="s">
        <v>5018</v>
      </c>
      <c r="D3286" s="35">
        <v>7571</v>
      </c>
      <c r="E3286" s="4" t="s">
        <v>5501</v>
      </c>
      <c r="F3286" s="5">
        <v>40179</v>
      </c>
      <c r="G3286" s="5">
        <v>40543</v>
      </c>
      <c r="H3286" s="4" t="s">
        <v>40</v>
      </c>
      <c r="I3286" s="6">
        <v>867.5</v>
      </c>
      <c r="J3286" s="6">
        <v>867.5</v>
      </c>
      <c r="K3286" s="37" t="s">
        <v>5018</v>
      </c>
      <c r="L3286" s="119"/>
      <c r="M3286" s="3"/>
    </row>
    <row r="3287" spans="1:13" s="4" customFormat="1" ht="25.5" x14ac:dyDescent="0.25">
      <c r="A3287" s="4" t="s">
        <v>5502</v>
      </c>
      <c r="B3287" s="4" t="s">
        <v>38</v>
      </c>
      <c r="C3287" s="37" t="s">
        <v>5018</v>
      </c>
      <c r="D3287" s="35">
        <v>7572</v>
      </c>
      <c r="E3287" s="4" t="s">
        <v>5503</v>
      </c>
      <c r="F3287" s="5">
        <v>40179</v>
      </c>
      <c r="G3287" s="5">
        <v>40543</v>
      </c>
      <c r="H3287" s="4" t="s">
        <v>40</v>
      </c>
      <c r="I3287" s="6">
        <v>1726.4</v>
      </c>
      <c r="J3287" s="6">
        <v>1726.4</v>
      </c>
      <c r="K3287" s="37" t="s">
        <v>5018</v>
      </c>
      <c r="L3287" s="119"/>
      <c r="M3287" s="3"/>
    </row>
    <row r="3288" spans="1:13" s="4" customFormat="1" ht="25.5" x14ac:dyDescent="0.25">
      <c r="A3288" s="4" t="s">
        <v>5504</v>
      </c>
      <c r="B3288" s="4" t="s">
        <v>38</v>
      </c>
      <c r="C3288" s="37" t="s">
        <v>5018</v>
      </c>
      <c r="D3288" s="35">
        <v>7573</v>
      </c>
      <c r="E3288" s="4" t="s">
        <v>5505</v>
      </c>
      <c r="F3288" s="5">
        <v>40179</v>
      </c>
      <c r="G3288" s="5">
        <v>40543</v>
      </c>
      <c r="H3288" s="4" t="s">
        <v>40</v>
      </c>
      <c r="I3288" s="6">
        <v>1202.5999999999999</v>
      </c>
      <c r="J3288" s="6">
        <v>1202.5999999999999</v>
      </c>
      <c r="K3288" s="37" t="s">
        <v>5018</v>
      </c>
      <c r="L3288" s="119"/>
      <c r="M3288" s="3"/>
    </row>
    <row r="3289" spans="1:13" s="4" customFormat="1" ht="25.5" x14ac:dyDescent="0.25">
      <c r="A3289" s="4" t="s">
        <v>5506</v>
      </c>
      <c r="B3289" s="4" t="s">
        <v>38</v>
      </c>
      <c r="C3289" s="37" t="s">
        <v>5018</v>
      </c>
      <c r="D3289" s="35">
        <v>7574</v>
      </c>
      <c r="E3289" s="4" t="s">
        <v>5507</v>
      </c>
      <c r="F3289" s="5">
        <v>40179</v>
      </c>
      <c r="G3289" s="5">
        <v>40543</v>
      </c>
      <c r="H3289" s="4" t="s">
        <v>40</v>
      </c>
      <c r="I3289" s="6">
        <v>977.6</v>
      </c>
      <c r="J3289" s="6">
        <v>977.6</v>
      </c>
      <c r="K3289" s="37" t="s">
        <v>5018</v>
      </c>
      <c r="L3289" s="119"/>
      <c r="M3289" s="3"/>
    </row>
    <row r="3290" spans="1:13" s="4" customFormat="1" ht="25.5" x14ac:dyDescent="0.25">
      <c r="A3290" s="4" t="s">
        <v>5508</v>
      </c>
      <c r="B3290" s="4" t="s">
        <v>38</v>
      </c>
      <c r="C3290" s="37" t="s">
        <v>5018</v>
      </c>
      <c r="D3290" s="35">
        <v>7575</v>
      </c>
      <c r="E3290" s="4" t="s">
        <v>5509</v>
      </c>
      <c r="F3290" s="5">
        <v>40179</v>
      </c>
      <c r="G3290" s="5">
        <v>40543</v>
      </c>
      <c r="H3290" s="4" t="s">
        <v>40</v>
      </c>
      <c r="I3290" s="6">
        <v>595</v>
      </c>
      <c r="J3290" s="6">
        <v>595</v>
      </c>
      <c r="K3290" s="37" t="s">
        <v>5018</v>
      </c>
      <c r="L3290" s="119"/>
      <c r="M3290" s="3"/>
    </row>
    <row r="3291" spans="1:13" s="4" customFormat="1" ht="25.5" x14ac:dyDescent="0.25">
      <c r="A3291" s="4" t="s">
        <v>5510</v>
      </c>
      <c r="B3291" s="4" t="s">
        <v>38</v>
      </c>
      <c r="C3291" s="37" t="s">
        <v>5018</v>
      </c>
      <c r="D3291" s="35">
        <v>7577</v>
      </c>
      <c r="E3291" s="4" t="s">
        <v>5511</v>
      </c>
      <c r="F3291" s="5">
        <v>40179</v>
      </c>
      <c r="G3291" s="5">
        <v>40543</v>
      </c>
      <c r="H3291" s="4" t="s">
        <v>40</v>
      </c>
      <c r="I3291" s="6">
        <v>1617.5</v>
      </c>
      <c r="J3291" s="6">
        <v>1617.5</v>
      </c>
      <c r="K3291" s="37" t="s">
        <v>5018</v>
      </c>
      <c r="L3291" s="119"/>
      <c r="M3291" s="3"/>
    </row>
    <row r="3292" spans="1:13" s="4" customFormat="1" ht="25.5" x14ac:dyDescent="0.25">
      <c r="A3292" s="4" t="s">
        <v>5512</v>
      </c>
      <c r="B3292" s="4" t="s">
        <v>38</v>
      </c>
      <c r="C3292" s="37" t="s">
        <v>5018</v>
      </c>
      <c r="D3292" s="35">
        <v>7578</v>
      </c>
      <c r="E3292" s="4" t="s">
        <v>5513</v>
      </c>
      <c r="F3292" s="5">
        <v>40179</v>
      </c>
      <c r="G3292" s="5">
        <v>40543</v>
      </c>
      <c r="H3292" s="4" t="s">
        <v>40</v>
      </c>
      <c r="I3292" s="6">
        <v>1476.4</v>
      </c>
      <c r="J3292" s="6">
        <v>1476.4</v>
      </c>
      <c r="K3292" s="37" t="s">
        <v>5018</v>
      </c>
      <c r="L3292" s="119"/>
      <c r="M3292" s="3"/>
    </row>
    <row r="3293" spans="1:13" s="4" customFormat="1" ht="25.5" x14ac:dyDescent="0.25">
      <c r="A3293" s="4" t="s">
        <v>5514</v>
      </c>
      <c r="B3293" s="4" t="s">
        <v>38</v>
      </c>
      <c r="C3293" s="37" t="s">
        <v>5018</v>
      </c>
      <c r="D3293" s="35">
        <v>7579</v>
      </c>
      <c r="E3293" s="4" t="s">
        <v>5515</v>
      </c>
      <c r="F3293" s="5">
        <v>40179</v>
      </c>
      <c r="G3293" s="5">
        <v>40543</v>
      </c>
      <c r="H3293" s="4" t="s">
        <v>40</v>
      </c>
      <c r="I3293" s="6">
        <v>1030.95</v>
      </c>
      <c r="J3293" s="6">
        <v>1030.95</v>
      </c>
      <c r="K3293" s="37" t="s">
        <v>5018</v>
      </c>
      <c r="L3293" s="119"/>
      <c r="M3293" s="3"/>
    </row>
    <row r="3294" spans="1:13" s="4" customFormat="1" ht="25.5" x14ac:dyDescent="0.25">
      <c r="A3294" s="4" t="s">
        <v>5516</v>
      </c>
      <c r="B3294" s="4" t="s">
        <v>38</v>
      </c>
      <c r="C3294" s="37" t="s">
        <v>5018</v>
      </c>
      <c r="D3294" s="35">
        <v>7580</v>
      </c>
      <c r="E3294" s="4" t="s">
        <v>5517</v>
      </c>
      <c r="F3294" s="5">
        <v>40179</v>
      </c>
      <c r="G3294" s="5">
        <v>40543</v>
      </c>
      <c r="H3294" s="4" t="s">
        <v>40</v>
      </c>
      <c r="I3294" s="6">
        <v>717.6</v>
      </c>
      <c r="J3294" s="6">
        <v>717.6</v>
      </c>
      <c r="K3294" s="37" t="s">
        <v>5018</v>
      </c>
      <c r="L3294" s="119"/>
      <c r="M3294" s="3"/>
    </row>
    <row r="3295" spans="1:13" s="4" customFormat="1" ht="25.5" x14ac:dyDescent="0.25">
      <c r="A3295" s="4" t="s">
        <v>5518</v>
      </c>
      <c r="B3295" s="4" t="s">
        <v>38</v>
      </c>
      <c r="C3295" s="37" t="s">
        <v>5018</v>
      </c>
      <c r="D3295" s="35">
        <v>7583</v>
      </c>
      <c r="E3295" s="4" t="s">
        <v>5519</v>
      </c>
      <c r="F3295" s="5">
        <v>40179</v>
      </c>
      <c r="G3295" s="5">
        <v>40543</v>
      </c>
      <c r="H3295" s="4" t="s">
        <v>40</v>
      </c>
      <c r="I3295" s="6">
        <v>2266</v>
      </c>
      <c r="J3295" s="6">
        <v>2266</v>
      </c>
      <c r="K3295" s="37" t="s">
        <v>5018</v>
      </c>
      <c r="L3295" s="119"/>
      <c r="M3295" s="3"/>
    </row>
    <row r="3296" spans="1:13" s="4" customFormat="1" ht="25.5" x14ac:dyDescent="0.25">
      <c r="A3296" s="4" t="s">
        <v>5520</v>
      </c>
      <c r="B3296" s="4" t="s">
        <v>38</v>
      </c>
      <c r="C3296" s="37" t="s">
        <v>5018</v>
      </c>
      <c r="D3296" s="35">
        <v>7585</v>
      </c>
      <c r="E3296" s="4" t="s">
        <v>5520</v>
      </c>
      <c r="F3296" s="5">
        <v>40179</v>
      </c>
      <c r="G3296" s="5">
        <v>40908</v>
      </c>
      <c r="H3296" s="4" t="s">
        <v>40</v>
      </c>
      <c r="I3296" s="6">
        <v>13591</v>
      </c>
      <c r="J3296" s="6">
        <v>13591</v>
      </c>
      <c r="K3296" s="37" t="s">
        <v>5018</v>
      </c>
      <c r="L3296" s="119"/>
      <c r="M3296" s="3"/>
    </row>
    <row r="3297" spans="1:13" s="4" customFormat="1" ht="25.5" x14ac:dyDescent="0.25">
      <c r="A3297" s="4" t="s">
        <v>5521</v>
      </c>
      <c r="B3297" s="4" t="s">
        <v>38</v>
      </c>
      <c r="C3297" s="37" t="s">
        <v>5018</v>
      </c>
      <c r="D3297" s="35">
        <v>7586</v>
      </c>
      <c r="E3297" s="4" t="s">
        <v>5522</v>
      </c>
      <c r="F3297" s="5">
        <v>40179</v>
      </c>
      <c r="G3297" s="5">
        <v>40543</v>
      </c>
      <c r="H3297" s="4" t="s">
        <v>40</v>
      </c>
      <c r="I3297" s="6">
        <v>4400.3</v>
      </c>
      <c r="J3297" s="6">
        <v>4400.3</v>
      </c>
      <c r="K3297" s="37" t="s">
        <v>5018</v>
      </c>
      <c r="L3297" s="119"/>
      <c r="M3297" s="3"/>
    </row>
    <row r="3298" spans="1:13" s="4" customFormat="1" ht="25.5" x14ac:dyDescent="0.25">
      <c r="A3298" s="4" t="s">
        <v>5523</v>
      </c>
      <c r="B3298" s="4" t="s">
        <v>38</v>
      </c>
      <c r="C3298" s="37" t="s">
        <v>5018</v>
      </c>
      <c r="D3298" s="35">
        <v>7587</v>
      </c>
      <c r="E3298" s="4" t="s">
        <v>5213</v>
      </c>
      <c r="F3298" s="5">
        <v>40179</v>
      </c>
      <c r="G3298" s="5">
        <v>40543</v>
      </c>
      <c r="H3298" s="4" t="s">
        <v>40</v>
      </c>
      <c r="I3298" s="6">
        <v>647.5</v>
      </c>
      <c r="J3298" s="6">
        <v>647.5</v>
      </c>
      <c r="K3298" s="37" t="s">
        <v>5018</v>
      </c>
      <c r="L3298" s="119"/>
      <c r="M3298" s="3"/>
    </row>
    <row r="3299" spans="1:13" s="4" customFormat="1" ht="25.5" x14ac:dyDescent="0.25">
      <c r="A3299" s="4" t="s">
        <v>5524</v>
      </c>
      <c r="B3299" s="4" t="s">
        <v>38</v>
      </c>
      <c r="C3299" s="37" t="s">
        <v>5018</v>
      </c>
      <c r="D3299" s="35">
        <v>7588</v>
      </c>
      <c r="E3299" s="4" t="s">
        <v>5525</v>
      </c>
      <c r="F3299" s="5">
        <v>40179</v>
      </c>
      <c r="G3299" s="5">
        <v>40543</v>
      </c>
      <c r="H3299" s="4" t="s">
        <v>40</v>
      </c>
      <c r="I3299" s="6">
        <v>1950.1</v>
      </c>
      <c r="J3299" s="6">
        <v>1950.1</v>
      </c>
      <c r="K3299" s="37" t="s">
        <v>5018</v>
      </c>
      <c r="L3299" s="119"/>
      <c r="M3299" s="3"/>
    </row>
    <row r="3300" spans="1:13" s="4" customFormat="1" ht="25.5" x14ac:dyDescent="0.25">
      <c r="A3300" s="4" t="s">
        <v>5526</v>
      </c>
      <c r="B3300" s="4" t="s">
        <v>38</v>
      </c>
      <c r="C3300" s="37" t="s">
        <v>5018</v>
      </c>
      <c r="D3300" s="35">
        <v>7591</v>
      </c>
      <c r="E3300" s="4" t="s">
        <v>5527</v>
      </c>
      <c r="F3300" s="5">
        <v>40179</v>
      </c>
      <c r="G3300" s="5">
        <v>40543</v>
      </c>
      <c r="H3300" s="4" t="s">
        <v>40</v>
      </c>
      <c r="I3300" s="6">
        <v>721</v>
      </c>
      <c r="J3300" s="6">
        <v>721</v>
      </c>
      <c r="K3300" s="37" t="s">
        <v>5018</v>
      </c>
      <c r="L3300" s="119"/>
      <c r="M3300" s="3"/>
    </row>
    <row r="3301" spans="1:13" s="4" customFormat="1" ht="25.5" x14ac:dyDescent="0.25">
      <c r="A3301" s="4" t="s">
        <v>5528</v>
      </c>
      <c r="B3301" s="4" t="s">
        <v>38</v>
      </c>
      <c r="C3301" s="37" t="s">
        <v>5018</v>
      </c>
      <c r="D3301" s="35">
        <v>7592</v>
      </c>
      <c r="E3301" s="4" t="s">
        <v>5529</v>
      </c>
      <c r="F3301" s="5">
        <v>40179</v>
      </c>
      <c r="G3301" s="5">
        <v>40543</v>
      </c>
      <c r="H3301" s="4" t="s">
        <v>40</v>
      </c>
      <c r="I3301" s="6">
        <v>636.75</v>
      </c>
      <c r="J3301" s="6">
        <v>636.75</v>
      </c>
      <c r="K3301" s="37" t="s">
        <v>5018</v>
      </c>
      <c r="L3301" s="119"/>
      <c r="M3301" s="3"/>
    </row>
    <row r="3302" spans="1:13" s="4" customFormat="1" ht="25.5" x14ac:dyDescent="0.25">
      <c r="A3302" s="4" t="s">
        <v>5530</v>
      </c>
      <c r="B3302" s="4" t="s">
        <v>38</v>
      </c>
      <c r="C3302" s="37" t="s">
        <v>5018</v>
      </c>
      <c r="D3302" s="35">
        <v>7593</v>
      </c>
      <c r="E3302" s="4" t="s">
        <v>5531</v>
      </c>
      <c r="F3302" s="5">
        <v>40179</v>
      </c>
      <c r="G3302" s="5">
        <v>40543</v>
      </c>
      <c r="H3302" s="4" t="s">
        <v>40</v>
      </c>
      <c r="I3302" s="6">
        <v>91</v>
      </c>
      <c r="J3302" s="6">
        <v>91</v>
      </c>
      <c r="K3302" s="37" t="s">
        <v>5018</v>
      </c>
      <c r="L3302" s="119"/>
      <c r="M3302" s="3"/>
    </row>
    <row r="3303" spans="1:13" s="4" customFormat="1" ht="25.5" x14ac:dyDescent="0.25">
      <c r="A3303" s="4" t="s">
        <v>5532</v>
      </c>
      <c r="B3303" s="4" t="s">
        <v>38</v>
      </c>
      <c r="C3303" s="37" t="s">
        <v>5018</v>
      </c>
      <c r="D3303" s="35">
        <v>7594</v>
      </c>
      <c r="E3303" s="4" t="s">
        <v>5533</v>
      </c>
      <c r="F3303" s="5">
        <v>40179</v>
      </c>
      <c r="G3303" s="5">
        <v>40543</v>
      </c>
      <c r="H3303" s="4" t="s">
        <v>40</v>
      </c>
      <c r="I3303" s="6">
        <v>471.25</v>
      </c>
      <c r="J3303" s="6">
        <v>471.25</v>
      </c>
      <c r="K3303" s="37" t="s">
        <v>5018</v>
      </c>
      <c r="L3303" s="119"/>
      <c r="M3303" s="3"/>
    </row>
    <row r="3304" spans="1:13" s="4" customFormat="1" ht="25.5" x14ac:dyDescent="0.25">
      <c r="A3304" s="4" t="s">
        <v>5534</v>
      </c>
      <c r="B3304" s="4" t="s">
        <v>38</v>
      </c>
      <c r="C3304" s="37" t="s">
        <v>5018</v>
      </c>
      <c r="D3304" s="35">
        <v>7595</v>
      </c>
      <c r="E3304" s="4" t="s">
        <v>5535</v>
      </c>
      <c r="F3304" s="5">
        <v>40179</v>
      </c>
      <c r="G3304" s="5">
        <v>40543</v>
      </c>
      <c r="H3304" s="4" t="s">
        <v>40</v>
      </c>
      <c r="I3304" s="6">
        <v>542.5</v>
      </c>
      <c r="J3304" s="6">
        <v>542.5</v>
      </c>
      <c r="K3304" s="37" t="s">
        <v>5018</v>
      </c>
      <c r="L3304" s="119"/>
      <c r="M3304" s="3"/>
    </row>
    <row r="3305" spans="1:13" s="4" customFormat="1" ht="25.5" x14ac:dyDescent="0.25">
      <c r="A3305" s="4" t="s">
        <v>5536</v>
      </c>
      <c r="B3305" s="4" t="s">
        <v>38</v>
      </c>
      <c r="C3305" s="37" t="s">
        <v>5018</v>
      </c>
      <c r="D3305" s="35">
        <v>7596</v>
      </c>
      <c r="E3305" s="4" t="s">
        <v>5529</v>
      </c>
      <c r="F3305" s="5">
        <v>40179</v>
      </c>
      <c r="G3305" s="5">
        <v>40543</v>
      </c>
      <c r="H3305" s="4" t="s">
        <v>40</v>
      </c>
      <c r="I3305" s="6">
        <v>808.6</v>
      </c>
      <c r="J3305" s="6">
        <v>808.6</v>
      </c>
      <c r="K3305" s="37" t="s">
        <v>5018</v>
      </c>
      <c r="L3305" s="119"/>
      <c r="M3305" s="3"/>
    </row>
    <row r="3306" spans="1:13" s="4" customFormat="1" ht="25.5" x14ac:dyDescent="0.25">
      <c r="A3306" s="4" t="s">
        <v>5537</v>
      </c>
      <c r="B3306" s="4" t="s">
        <v>38</v>
      </c>
      <c r="C3306" s="37" t="s">
        <v>5018</v>
      </c>
      <c r="D3306" s="35">
        <v>7597</v>
      </c>
      <c r="E3306" s="4" t="s">
        <v>5529</v>
      </c>
      <c r="F3306" s="5">
        <v>40179</v>
      </c>
      <c r="G3306" s="5">
        <v>40543</v>
      </c>
      <c r="H3306" s="4" t="s">
        <v>40</v>
      </c>
      <c r="I3306" s="6">
        <v>1037.2</v>
      </c>
      <c r="J3306" s="6">
        <v>1037.2</v>
      </c>
      <c r="K3306" s="37" t="s">
        <v>5018</v>
      </c>
      <c r="L3306" s="119"/>
      <c r="M3306" s="3"/>
    </row>
    <row r="3307" spans="1:13" s="4" customFormat="1" ht="25.5" x14ac:dyDescent="0.25">
      <c r="A3307" s="4" t="s">
        <v>5538</v>
      </c>
      <c r="B3307" s="4" t="s">
        <v>38</v>
      </c>
      <c r="C3307" s="37" t="s">
        <v>5018</v>
      </c>
      <c r="D3307" s="35">
        <v>7598</v>
      </c>
      <c r="E3307" s="4" t="s">
        <v>5531</v>
      </c>
      <c r="F3307" s="5">
        <v>40179</v>
      </c>
      <c r="G3307" s="5">
        <v>40543</v>
      </c>
      <c r="H3307" s="4" t="s">
        <v>40</v>
      </c>
      <c r="I3307" s="6">
        <v>418.6</v>
      </c>
      <c r="J3307" s="6">
        <v>418.6</v>
      </c>
      <c r="K3307" s="37" t="s">
        <v>5018</v>
      </c>
      <c r="L3307" s="119"/>
      <c r="M3307" s="3"/>
    </row>
    <row r="3308" spans="1:13" s="4" customFormat="1" ht="25.5" x14ac:dyDescent="0.25">
      <c r="A3308" s="4" t="s">
        <v>5539</v>
      </c>
      <c r="B3308" s="4" t="s">
        <v>38</v>
      </c>
      <c r="C3308" s="37" t="s">
        <v>5018</v>
      </c>
      <c r="D3308" s="35">
        <v>7599</v>
      </c>
      <c r="E3308" s="4" t="s">
        <v>5540</v>
      </c>
      <c r="F3308" s="5">
        <v>40179</v>
      </c>
      <c r="G3308" s="5">
        <v>40543</v>
      </c>
      <c r="H3308" s="4" t="s">
        <v>40</v>
      </c>
      <c r="I3308" s="6">
        <v>518.6</v>
      </c>
      <c r="J3308" s="6">
        <v>518.6</v>
      </c>
      <c r="K3308" s="37" t="s">
        <v>5018</v>
      </c>
      <c r="L3308" s="119"/>
      <c r="M3308" s="3"/>
    </row>
    <row r="3309" spans="1:13" s="4" customFormat="1" ht="25.5" x14ac:dyDescent="0.25">
      <c r="A3309" s="4" t="s">
        <v>5541</v>
      </c>
      <c r="B3309" s="4" t="s">
        <v>38</v>
      </c>
      <c r="C3309" s="37" t="s">
        <v>5018</v>
      </c>
      <c r="D3309" s="35">
        <v>7600</v>
      </c>
      <c r="E3309" s="4" t="s">
        <v>5542</v>
      </c>
      <c r="F3309" s="5">
        <v>40179</v>
      </c>
      <c r="G3309" s="5">
        <v>40543</v>
      </c>
      <c r="H3309" s="4" t="s">
        <v>40</v>
      </c>
      <c r="I3309" s="6">
        <v>2480.12</v>
      </c>
      <c r="J3309" s="6">
        <v>2480.12</v>
      </c>
      <c r="K3309" s="37" t="s">
        <v>5018</v>
      </c>
      <c r="L3309" s="119"/>
      <c r="M3309" s="3"/>
    </row>
    <row r="3310" spans="1:13" s="4" customFormat="1" ht="38.25" x14ac:dyDescent="0.25">
      <c r="A3310" s="4" t="s">
        <v>5543</v>
      </c>
      <c r="B3310" s="4" t="s">
        <v>38</v>
      </c>
      <c r="C3310" s="37" t="s">
        <v>5018</v>
      </c>
      <c r="D3310" s="35">
        <v>7601</v>
      </c>
      <c r="E3310" s="4" t="s">
        <v>5544</v>
      </c>
      <c r="F3310" s="5">
        <v>40179</v>
      </c>
      <c r="G3310" s="5">
        <v>40543</v>
      </c>
      <c r="H3310" s="4" t="s">
        <v>40</v>
      </c>
      <c r="I3310" s="6">
        <v>8137.93</v>
      </c>
      <c r="J3310" s="6">
        <v>8137.93</v>
      </c>
      <c r="K3310" s="37" t="s">
        <v>5018</v>
      </c>
      <c r="L3310" s="119"/>
      <c r="M3310" s="3"/>
    </row>
    <row r="3311" spans="1:13" s="4" customFormat="1" ht="51" x14ac:dyDescent="0.25">
      <c r="A3311" s="4" t="s">
        <v>5545</v>
      </c>
      <c r="B3311" s="4" t="s">
        <v>38</v>
      </c>
      <c r="C3311" s="37" t="s">
        <v>5018</v>
      </c>
      <c r="D3311" s="35">
        <v>7602</v>
      </c>
      <c r="E3311" s="4" t="s">
        <v>5546</v>
      </c>
      <c r="F3311" s="5">
        <v>40179</v>
      </c>
      <c r="G3311" s="5">
        <v>40543</v>
      </c>
      <c r="H3311" s="4" t="s">
        <v>40</v>
      </c>
      <c r="I3311" s="6">
        <v>15675.38</v>
      </c>
      <c r="J3311" s="6">
        <v>15675.38</v>
      </c>
      <c r="K3311" s="37" t="s">
        <v>5018</v>
      </c>
      <c r="L3311" s="119"/>
      <c r="M3311" s="3"/>
    </row>
    <row r="3312" spans="1:13" s="4" customFormat="1" ht="25.5" x14ac:dyDescent="0.25">
      <c r="A3312" s="4" t="s">
        <v>5547</v>
      </c>
      <c r="B3312" s="4" t="s">
        <v>38</v>
      </c>
      <c r="C3312" s="37" t="s">
        <v>5018</v>
      </c>
      <c r="D3312" s="35">
        <v>7624</v>
      </c>
      <c r="E3312" s="4" t="s">
        <v>5548</v>
      </c>
      <c r="F3312" s="5">
        <v>40179</v>
      </c>
      <c r="G3312" s="5">
        <v>40543</v>
      </c>
      <c r="H3312" s="4" t="s">
        <v>40</v>
      </c>
      <c r="I3312" s="6">
        <v>108.9</v>
      </c>
      <c r="J3312" s="6">
        <v>108.9</v>
      </c>
      <c r="K3312" s="37" t="s">
        <v>5018</v>
      </c>
      <c r="L3312" s="119"/>
      <c r="M3312" s="3"/>
    </row>
    <row r="3313" spans="1:13" s="4" customFormat="1" ht="51" x14ac:dyDescent="0.25">
      <c r="A3313" s="4" t="s">
        <v>5549</v>
      </c>
      <c r="B3313" s="4" t="s">
        <v>38</v>
      </c>
      <c r="C3313" s="37" t="s">
        <v>5018</v>
      </c>
      <c r="D3313" s="35">
        <v>7625</v>
      </c>
      <c r="E3313" s="4" t="s">
        <v>5550</v>
      </c>
      <c r="F3313" s="5">
        <v>40179</v>
      </c>
      <c r="G3313" s="5">
        <v>40543</v>
      </c>
      <c r="H3313" s="4" t="s">
        <v>40</v>
      </c>
      <c r="I3313" s="6">
        <v>3333.25</v>
      </c>
      <c r="J3313" s="6">
        <v>3333.25</v>
      </c>
      <c r="K3313" s="37" t="s">
        <v>5018</v>
      </c>
      <c r="L3313" s="119"/>
      <c r="M3313" s="3"/>
    </row>
    <row r="3314" spans="1:13" s="4" customFormat="1" ht="25.5" x14ac:dyDescent="0.25">
      <c r="A3314" s="4" t="s">
        <v>5551</v>
      </c>
      <c r="B3314" s="4" t="s">
        <v>38</v>
      </c>
      <c r="C3314" s="37" t="s">
        <v>5018</v>
      </c>
      <c r="D3314" s="35">
        <v>7626</v>
      </c>
      <c r="E3314" s="4" t="s">
        <v>5552</v>
      </c>
      <c r="F3314" s="5">
        <v>40179</v>
      </c>
      <c r="G3314" s="5">
        <v>40543</v>
      </c>
      <c r="H3314" s="4" t="s">
        <v>40</v>
      </c>
      <c r="I3314" s="6">
        <v>565</v>
      </c>
      <c r="J3314" s="6">
        <v>565</v>
      </c>
      <c r="K3314" s="37" t="s">
        <v>5018</v>
      </c>
      <c r="L3314" s="119"/>
      <c r="M3314" s="3"/>
    </row>
    <row r="3315" spans="1:13" s="4" customFormat="1" ht="25.5" x14ac:dyDescent="0.25">
      <c r="A3315" s="4" t="s">
        <v>5553</v>
      </c>
      <c r="B3315" s="4" t="s">
        <v>38</v>
      </c>
      <c r="C3315" s="37" t="s">
        <v>5018</v>
      </c>
      <c r="D3315" s="35">
        <v>7627</v>
      </c>
      <c r="E3315" s="4" t="s">
        <v>5554</v>
      </c>
      <c r="F3315" s="5">
        <v>40179</v>
      </c>
      <c r="G3315" s="5">
        <v>40543</v>
      </c>
      <c r="H3315" s="4" t="s">
        <v>40</v>
      </c>
      <c r="I3315" s="6">
        <v>2308</v>
      </c>
      <c r="J3315" s="6">
        <v>2308</v>
      </c>
      <c r="K3315" s="37" t="s">
        <v>5018</v>
      </c>
      <c r="L3315" s="119"/>
      <c r="M3315" s="3"/>
    </row>
    <row r="3316" spans="1:13" s="4" customFormat="1" ht="89.25" x14ac:dyDescent="0.25">
      <c r="A3316" s="4" t="s">
        <v>5555</v>
      </c>
      <c r="B3316" s="4" t="s">
        <v>38</v>
      </c>
      <c r="C3316" s="37" t="s">
        <v>5018</v>
      </c>
      <c r="D3316" s="35">
        <v>7628</v>
      </c>
      <c r="E3316" s="7" t="s">
        <v>5556</v>
      </c>
      <c r="F3316" s="5">
        <v>40179</v>
      </c>
      <c r="G3316" s="5">
        <v>40543</v>
      </c>
      <c r="H3316" s="4" t="s">
        <v>40</v>
      </c>
      <c r="I3316" s="6">
        <v>28346.13</v>
      </c>
      <c r="J3316" s="6">
        <v>28346.13</v>
      </c>
      <c r="K3316" s="37" t="s">
        <v>5018</v>
      </c>
      <c r="L3316" s="119"/>
      <c r="M3316" s="3"/>
    </row>
    <row r="3317" spans="1:13" s="4" customFormat="1" ht="51" x14ac:dyDescent="0.25">
      <c r="A3317" s="4" t="s">
        <v>5557</v>
      </c>
      <c r="B3317" s="4" t="s">
        <v>38</v>
      </c>
      <c r="C3317" s="37" t="s">
        <v>5018</v>
      </c>
      <c r="D3317" s="35">
        <v>7629</v>
      </c>
      <c r="E3317" s="4" t="s">
        <v>5397</v>
      </c>
      <c r="F3317" s="5">
        <v>40179</v>
      </c>
      <c r="G3317" s="5">
        <v>40543</v>
      </c>
      <c r="H3317" s="4" t="s">
        <v>40</v>
      </c>
      <c r="I3317" s="6">
        <v>52981.62</v>
      </c>
      <c r="J3317" s="6">
        <v>52981.62</v>
      </c>
      <c r="K3317" s="37" t="s">
        <v>5018</v>
      </c>
      <c r="L3317" s="119"/>
      <c r="M3317" s="3"/>
    </row>
    <row r="3318" spans="1:13" s="4" customFormat="1" ht="25.5" x14ac:dyDescent="0.25">
      <c r="A3318" s="4" t="s">
        <v>5558</v>
      </c>
      <c r="B3318" s="4" t="s">
        <v>38</v>
      </c>
      <c r="C3318" s="37" t="s">
        <v>5018</v>
      </c>
      <c r="D3318" s="35">
        <v>7631</v>
      </c>
      <c r="E3318" s="4" t="s">
        <v>5559</v>
      </c>
      <c r="F3318" s="5">
        <v>40179</v>
      </c>
      <c r="G3318" s="5">
        <v>40543</v>
      </c>
      <c r="H3318" s="4" t="s">
        <v>40</v>
      </c>
      <c r="I3318" s="6">
        <v>2611</v>
      </c>
      <c r="J3318" s="6">
        <v>2611</v>
      </c>
      <c r="K3318" s="37" t="s">
        <v>5018</v>
      </c>
      <c r="L3318" s="119"/>
      <c r="M3318" s="3"/>
    </row>
    <row r="3319" spans="1:13" s="4" customFormat="1" ht="38.25" x14ac:dyDescent="0.25">
      <c r="A3319" s="4" t="s">
        <v>5560</v>
      </c>
      <c r="B3319" s="4" t="s">
        <v>38</v>
      </c>
      <c r="C3319" s="37" t="s">
        <v>5018</v>
      </c>
      <c r="D3319" s="35">
        <v>7635</v>
      </c>
      <c r="E3319" s="4" t="s">
        <v>5561</v>
      </c>
      <c r="F3319" s="5">
        <v>40179</v>
      </c>
      <c r="G3319" s="5">
        <v>40543</v>
      </c>
      <c r="H3319" s="4" t="s">
        <v>40</v>
      </c>
      <c r="I3319" s="6">
        <v>40792.07</v>
      </c>
      <c r="J3319" s="6">
        <v>21969.26</v>
      </c>
      <c r="K3319" s="37" t="s">
        <v>5018</v>
      </c>
      <c r="L3319" s="119"/>
      <c r="M3319" s="3"/>
    </row>
    <row r="3320" spans="1:13" s="4" customFormat="1" ht="25.5" x14ac:dyDescent="0.25">
      <c r="A3320" s="4" t="s">
        <v>5562</v>
      </c>
      <c r="B3320" s="4" t="s">
        <v>183</v>
      </c>
      <c r="C3320" s="37" t="s">
        <v>5018</v>
      </c>
      <c r="D3320" s="35">
        <v>9211</v>
      </c>
      <c r="E3320" s="4" t="s">
        <v>5563</v>
      </c>
      <c r="F3320" s="5">
        <v>40758</v>
      </c>
      <c r="G3320" s="5">
        <v>41274</v>
      </c>
      <c r="H3320" s="4" t="s">
        <v>40</v>
      </c>
      <c r="I3320" s="6">
        <v>14531.5</v>
      </c>
      <c r="J3320" s="6">
        <v>14531.5</v>
      </c>
      <c r="K3320" s="37" t="s">
        <v>5018</v>
      </c>
      <c r="L3320" s="119"/>
      <c r="M3320" s="3"/>
    </row>
    <row r="3321" spans="1:13" s="4" customFormat="1" ht="38.25" x14ac:dyDescent="0.25">
      <c r="A3321" s="4" t="s">
        <v>5564</v>
      </c>
      <c r="B3321" s="4" t="s">
        <v>183</v>
      </c>
      <c r="C3321" s="37" t="s">
        <v>5018</v>
      </c>
      <c r="D3321" s="35">
        <v>9212</v>
      </c>
      <c r="E3321" s="4" t="s">
        <v>5565</v>
      </c>
      <c r="F3321" s="5">
        <v>40861</v>
      </c>
      <c r="G3321" s="5">
        <v>41274</v>
      </c>
      <c r="H3321" s="4" t="s">
        <v>40</v>
      </c>
      <c r="I3321" s="6">
        <v>36375</v>
      </c>
      <c r="J3321" s="6">
        <v>36375</v>
      </c>
      <c r="K3321" s="37" t="s">
        <v>5018</v>
      </c>
      <c r="L3321" s="119"/>
      <c r="M3321" s="3"/>
    </row>
    <row r="3322" spans="1:13" s="4" customFormat="1" ht="25.5" x14ac:dyDescent="0.25">
      <c r="A3322" s="4" t="s">
        <v>5566</v>
      </c>
      <c r="B3322" s="4" t="s">
        <v>183</v>
      </c>
      <c r="C3322" s="37" t="s">
        <v>5018</v>
      </c>
      <c r="D3322" s="35">
        <v>9215</v>
      </c>
      <c r="E3322" s="4" t="s">
        <v>5567</v>
      </c>
      <c r="F3322" s="5">
        <v>40448</v>
      </c>
      <c r="G3322" s="5">
        <v>40813</v>
      </c>
      <c r="H3322" s="4" t="s">
        <v>40</v>
      </c>
      <c r="I3322" s="6">
        <v>133485.34</v>
      </c>
      <c r="J3322" s="6">
        <v>66742.67</v>
      </c>
      <c r="K3322" s="37" t="s">
        <v>5018</v>
      </c>
      <c r="L3322" s="119"/>
      <c r="M3322" s="3"/>
    </row>
    <row r="3323" spans="1:13" s="4" customFormat="1" ht="25.5" x14ac:dyDescent="0.25">
      <c r="A3323" s="4" t="s">
        <v>5568</v>
      </c>
      <c r="B3323" s="4" t="s">
        <v>90</v>
      </c>
      <c r="C3323" s="37" t="s">
        <v>5018</v>
      </c>
      <c r="D3323" s="35">
        <v>9216</v>
      </c>
      <c r="E3323" s="4" t="s">
        <v>5569</v>
      </c>
      <c r="F3323" s="5">
        <v>40644</v>
      </c>
      <c r="G3323" s="5">
        <v>40841</v>
      </c>
      <c r="H3323" s="4" t="s">
        <v>40</v>
      </c>
      <c r="I3323" s="6">
        <v>20000</v>
      </c>
      <c r="J3323" s="6">
        <v>10000</v>
      </c>
      <c r="K3323" s="37" t="s">
        <v>5018</v>
      </c>
      <c r="L3323" s="119"/>
      <c r="M3323" s="3"/>
    </row>
    <row r="3324" spans="1:13" s="4" customFormat="1" x14ac:dyDescent="0.25">
      <c r="A3324" s="4" t="s">
        <v>5572</v>
      </c>
      <c r="B3324" s="4" t="s">
        <v>183</v>
      </c>
      <c r="C3324" s="37" t="s">
        <v>5018</v>
      </c>
      <c r="D3324" s="35">
        <v>9218</v>
      </c>
      <c r="E3324" s="4" t="s">
        <v>5573</v>
      </c>
      <c r="F3324" s="5">
        <v>40812</v>
      </c>
      <c r="G3324" s="5">
        <v>41237</v>
      </c>
      <c r="H3324" s="4" t="s">
        <v>40</v>
      </c>
      <c r="I3324" s="6">
        <v>9256</v>
      </c>
      <c r="J3324" s="6">
        <v>9256</v>
      </c>
      <c r="K3324" s="37" t="s">
        <v>5018</v>
      </c>
      <c r="L3324" s="119"/>
      <c r="M3324" s="3"/>
    </row>
    <row r="3325" spans="1:13" s="4" customFormat="1" ht="38.25" x14ac:dyDescent="0.25">
      <c r="A3325" s="4" t="s">
        <v>5574</v>
      </c>
      <c r="B3325" s="4" t="s">
        <v>190</v>
      </c>
      <c r="C3325" s="37" t="s">
        <v>5018</v>
      </c>
      <c r="D3325" s="35">
        <v>9248</v>
      </c>
      <c r="E3325" s="4" t="s">
        <v>5575</v>
      </c>
      <c r="F3325" s="5">
        <v>40602</v>
      </c>
      <c r="G3325" s="5">
        <v>40883</v>
      </c>
      <c r="H3325" s="4" t="s">
        <v>40</v>
      </c>
      <c r="I3325" s="6">
        <v>24375</v>
      </c>
      <c r="J3325" s="6">
        <v>16875</v>
      </c>
      <c r="K3325" s="37" t="s">
        <v>5018</v>
      </c>
      <c r="L3325" s="119"/>
      <c r="M3325" s="3"/>
    </row>
    <row r="3326" spans="1:13" s="4" customFormat="1" ht="38.25" x14ac:dyDescent="0.25">
      <c r="A3326" s="4" t="s">
        <v>5576</v>
      </c>
      <c r="B3326" s="4" t="s">
        <v>90</v>
      </c>
      <c r="C3326" s="37" t="s">
        <v>5018</v>
      </c>
      <c r="D3326" s="35">
        <v>9249</v>
      </c>
      <c r="E3326" s="4" t="s">
        <v>5577</v>
      </c>
      <c r="F3326" s="5">
        <v>40686</v>
      </c>
      <c r="G3326" s="5">
        <v>40892</v>
      </c>
      <c r="H3326" s="4" t="s">
        <v>40</v>
      </c>
      <c r="I3326" s="6">
        <v>12000</v>
      </c>
      <c r="J3326" s="6">
        <v>6000</v>
      </c>
      <c r="K3326" s="37" t="s">
        <v>5018</v>
      </c>
      <c r="L3326" s="119"/>
      <c r="M3326" s="3"/>
    </row>
    <row r="3327" spans="1:13" s="4" customFormat="1" ht="51" x14ac:dyDescent="0.25">
      <c r="A3327" s="4" t="s">
        <v>5578</v>
      </c>
      <c r="B3327" s="4" t="s">
        <v>183</v>
      </c>
      <c r="C3327" s="37" t="s">
        <v>5018</v>
      </c>
      <c r="D3327" s="35">
        <v>9250</v>
      </c>
      <c r="E3327" s="4" t="s">
        <v>5579</v>
      </c>
      <c r="F3327" s="5">
        <v>40813</v>
      </c>
      <c r="G3327" s="5">
        <v>40835</v>
      </c>
      <c r="H3327" s="4" t="s">
        <v>40</v>
      </c>
      <c r="I3327" s="6">
        <v>15700.2</v>
      </c>
      <c r="J3327" s="6">
        <v>7850.1</v>
      </c>
      <c r="K3327" s="37" t="s">
        <v>5018</v>
      </c>
      <c r="L3327" s="119"/>
      <c r="M3327" s="3"/>
    </row>
    <row r="3328" spans="1:13" s="4" customFormat="1" ht="38.25" x14ac:dyDescent="0.25">
      <c r="A3328" s="4" t="s">
        <v>5582</v>
      </c>
      <c r="B3328" s="4" t="s">
        <v>90</v>
      </c>
      <c r="C3328" s="37" t="s">
        <v>5018</v>
      </c>
      <c r="D3328" s="35">
        <v>9252</v>
      </c>
      <c r="E3328" s="4" t="s">
        <v>5583</v>
      </c>
      <c r="F3328" s="5">
        <v>40686</v>
      </c>
      <c r="G3328" s="5">
        <v>40869</v>
      </c>
      <c r="H3328" s="4" t="s">
        <v>40</v>
      </c>
      <c r="I3328" s="6">
        <v>7559.02</v>
      </c>
      <c r="J3328" s="6">
        <v>3779.51</v>
      </c>
      <c r="K3328" s="37" t="s">
        <v>5018</v>
      </c>
      <c r="L3328" s="119"/>
      <c r="M3328" s="3"/>
    </row>
    <row r="3329" spans="1:13" s="4" customFormat="1" ht="38.25" x14ac:dyDescent="0.25">
      <c r="A3329" s="4" t="s">
        <v>5584</v>
      </c>
      <c r="B3329" s="4" t="s">
        <v>190</v>
      </c>
      <c r="C3329" s="37" t="s">
        <v>5018</v>
      </c>
      <c r="D3329" s="35">
        <v>9253</v>
      </c>
      <c r="E3329" s="4" t="s">
        <v>5585</v>
      </c>
      <c r="F3329" s="5">
        <v>40686</v>
      </c>
      <c r="G3329" s="5">
        <v>41264</v>
      </c>
      <c r="H3329" s="4" t="s">
        <v>40</v>
      </c>
      <c r="I3329" s="6">
        <v>10727.32</v>
      </c>
      <c r="J3329" s="6">
        <v>9488.66</v>
      </c>
      <c r="K3329" s="37" t="s">
        <v>5018</v>
      </c>
      <c r="L3329" s="119"/>
      <c r="M3329" s="3"/>
    </row>
    <row r="3330" spans="1:13" s="4" customFormat="1" ht="25.5" x14ac:dyDescent="0.25">
      <c r="A3330" s="4" t="s">
        <v>5588</v>
      </c>
      <c r="B3330" s="4" t="s">
        <v>90</v>
      </c>
      <c r="C3330" s="37" t="s">
        <v>5018</v>
      </c>
      <c r="D3330" s="35">
        <v>9255</v>
      </c>
      <c r="E3330" s="4" t="s">
        <v>5589</v>
      </c>
      <c r="F3330" s="5">
        <v>40644</v>
      </c>
      <c r="G3330" s="5">
        <v>40898</v>
      </c>
      <c r="H3330" s="4" t="s">
        <v>40</v>
      </c>
      <c r="I3330" s="6">
        <v>19900</v>
      </c>
      <c r="J3330" s="6">
        <v>9950</v>
      </c>
      <c r="K3330" s="37" t="s">
        <v>5018</v>
      </c>
      <c r="L3330" s="119"/>
      <c r="M3330" s="3"/>
    </row>
    <row r="3331" spans="1:13" s="4" customFormat="1" ht="25.5" x14ac:dyDescent="0.25">
      <c r="A3331" s="4" t="s">
        <v>5590</v>
      </c>
      <c r="B3331" s="4" t="s">
        <v>38</v>
      </c>
      <c r="C3331" s="37" t="s">
        <v>5018</v>
      </c>
      <c r="D3331" s="35">
        <v>9302</v>
      </c>
      <c r="E3331" s="4" t="s">
        <v>5591</v>
      </c>
      <c r="F3331" s="5">
        <v>40790</v>
      </c>
      <c r="G3331" s="5">
        <v>40908</v>
      </c>
      <c r="H3331" s="4" t="s">
        <v>40</v>
      </c>
      <c r="I3331" s="6">
        <v>15835.74</v>
      </c>
      <c r="J3331" s="6">
        <v>15835.74</v>
      </c>
      <c r="K3331" s="37" t="s">
        <v>5018</v>
      </c>
      <c r="L3331" s="119"/>
      <c r="M3331" s="3"/>
    </row>
    <row r="3332" spans="1:13" s="4" customFormat="1" ht="25.5" x14ac:dyDescent="0.25">
      <c r="A3332" s="4" t="s">
        <v>5592</v>
      </c>
      <c r="B3332" s="4" t="s">
        <v>38</v>
      </c>
      <c r="C3332" s="37" t="s">
        <v>5018</v>
      </c>
      <c r="D3332" s="35">
        <v>9303</v>
      </c>
      <c r="E3332" s="4" t="s">
        <v>5593</v>
      </c>
      <c r="F3332" s="5">
        <v>40544</v>
      </c>
      <c r="G3332" s="5">
        <v>40908</v>
      </c>
      <c r="H3332" s="4" t="s">
        <v>40</v>
      </c>
      <c r="I3332" s="6">
        <v>43527.01</v>
      </c>
      <c r="J3332" s="6">
        <v>43527.01</v>
      </c>
      <c r="K3332" s="37" t="s">
        <v>5018</v>
      </c>
      <c r="L3332" s="119"/>
      <c r="M3332" s="3"/>
    </row>
    <row r="3333" spans="1:13" s="4" customFormat="1" ht="25.5" x14ac:dyDescent="0.25">
      <c r="A3333" s="4" t="s">
        <v>5594</v>
      </c>
      <c r="B3333" s="4" t="s">
        <v>38</v>
      </c>
      <c r="C3333" s="37" t="s">
        <v>5018</v>
      </c>
      <c r="D3333" s="35">
        <v>9304</v>
      </c>
      <c r="E3333" s="4" t="s">
        <v>5594</v>
      </c>
      <c r="F3333" s="5">
        <v>40544</v>
      </c>
      <c r="G3333" s="5">
        <v>40908</v>
      </c>
      <c r="H3333" s="4" t="s">
        <v>40</v>
      </c>
      <c r="I3333" s="6">
        <v>60326.23</v>
      </c>
      <c r="J3333" s="6">
        <v>60326.23</v>
      </c>
      <c r="K3333" s="37" t="s">
        <v>5018</v>
      </c>
      <c r="L3333" s="119"/>
      <c r="M3333" s="3"/>
    </row>
    <row r="3334" spans="1:13" s="4" customFormat="1" ht="25.5" x14ac:dyDescent="0.25">
      <c r="A3334" s="4" t="s">
        <v>5595</v>
      </c>
      <c r="B3334" s="4" t="s">
        <v>38</v>
      </c>
      <c r="C3334" s="37" t="s">
        <v>5018</v>
      </c>
      <c r="D3334" s="35">
        <v>9306</v>
      </c>
      <c r="E3334" s="4" t="s">
        <v>5596</v>
      </c>
      <c r="F3334" s="5">
        <v>40787</v>
      </c>
      <c r="G3334" s="5">
        <v>41061</v>
      </c>
      <c r="H3334" s="4" t="s">
        <v>40</v>
      </c>
      <c r="I3334" s="6">
        <v>7496</v>
      </c>
      <c r="J3334" s="6">
        <v>7496</v>
      </c>
      <c r="K3334" s="37" t="s">
        <v>5018</v>
      </c>
      <c r="L3334" s="119"/>
      <c r="M3334" s="3"/>
    </row>
    <row r="3335" spans="1:13" s="4" customFormat="1" ht="25.5" x14ac:dyDescent="0.25">
      <c r="A3335" s="4" t="s">
        <v>5597</v>
      </c>
      <c r="B3335" s="4" t="s">
        <v>38</v>
      </c>
      <c r="C3335" s="37" t="s">
        <v>5018</v>
      </c>
      <c r="D3335" s="35">
        <v>9307</v>
      </c>
      <c r="E3335" s="4" t="s">
        <v>5598</v>
      </c>
      <c r="F3335" s="5">
        <v>40787</v>
      </c>
      <c r="G3335" s="5">
        <v>40908</v>
      </c>
      <c r="H3335" s="4" t="s">
        <v>40</v>
      </c>
      <c r="I3335" s="6">
        <v>4605</v>
      </c>
      <c r="J3335" s="6">
        <v>4605</v>
      </c>
      <c r="K3335" s="37" t="s">
        <v>5018</v>
      </c>
      <c r="L3335" s="119"/>
      <c r="M3335" s="3"/>
    </row>
    <row r="3336" spans="1:13" s="4" customFormat="1" ht="25.5" x14ac:dyDescent="0.25">
      <c r="A3336" s="4" t="s">
        <v>5599</v>
      </c>
      <c r="B3336" s="4" t="s">
        <v>38</v>
      </c>
      <c r="C3336" s="37" t="s">
        <v>5018</v>
      </c>
      <c r="D3336" s="35">
        <v>9308</v>
      </c>
      <c r="E3336" s="4" t="s">
        <v>5600</v>
      </c>
      <c r="F3336" s="5">
        <v>40544</v>
      </c>
      <c r="G3336" s="5">
        <v>40908</v>
      </c>
      <c r="H3336" s="4" t="s">
        <v>40</v>
      </c>
      <c r="I3336" s="6">
        <v>23369.77</v>
      </c>
      <c r="J3336" s="6">
        <v>23369.77</v>
      </c>
      <c r="K3336" s="37" t="s">
        <v>5018</v>
      </c>
      <c r="L3336" s="119"/>
      <c r="M3336" s="3"/>
    </row>
    <row r="3337" spans="1:13" s="4" customFormat="1" ht="25.5" x14ac:dyDescent="0.25">
      <c r="A3337" s="4" t="s">
        <v>5601</v>
      </c>
      <c r="B3337" s="4" t="s">
        <v>38</v>
      </c>
      <c r="C3337" s="37" t="s">
        <v>5018</v>
      </c>
      <c r="D3337" s="35">
        <v>9309</v>
      </c>
      <c r="E3337" s="4" t="s">
        <v>5602</v>
      </c>
      <c r="F3337" s="5">
        <v>40814</v>
      </c>
      <c r="G3337" s="5">
        <v>40908</v>
      </c>
      <c r="H3337" s="4" t="s">
        <v>40</v>
      </c>
      <c r="I3337" s="6">
        <v>8947.5499999999993</v>
      </c>
      <c r="J3337" s="6">
        <v>8947.5499999999993</v>
      </c>
      <c r="K3337" s="37" t="s">
        <v>5018</v>
      </c>
      <c r="L3337" s="119"/>
      <c r="M3337" s="3"/>
    </row>
    <row r="3338" spans="1:13" s="4" customFormat="1" ht="25.5" x14ac:dyDescent="0.25">
      <c r="A3338" s="4" t="s">
        <v>5603</v>
      </c>
      <c r="B3338" s="4" t="s">
        <v>38</v>
      </c>
      <c r="C3338" s="37" t="s">
        <v>5018</v>
      </c>
      <c r="D3338" s="35">
        <v>9310</v>
      </c>
      <c r="E3338" s="4" t="s">
        <v>5604</v>
      </c>
      <c r="F3338" s="5">
        <v>40841</v>
      </c>
      <c r="G3338" s="5">
        <v>40841</v>
      </c>
      <c r="H3338" s="4" t="s">
        <v>40</v>
      </c>
      <c r="I3338" s="6">
        <v>400</v>
      </c>
      <c r="J3338" s="6">
        <v>400</v>
      </c>
      <c r="K3338" s="37" t="s">
        <v>5018</v>
      </c>
      <c r="L3338" s="119"/>
      <c r="M3338" s="3"/>
    </row>
    <row r="3339" spans="1:13" s="4" customFormat="1" ht="25.5" x14ac:dyDescent="0.25">
      <c r="A3339" s="4" t="s">
        <v>5605</v>
      </c>
      <c r="B3339" s="4" t="s">
        <v>38</v>
      </c>
      <c r="C3339" s="37" t="s">
        <v>5018</v>
      </c>
      <c r="D3339" s="35">
        <v>9311</v>
      </c>
      <c r="E3339" s="4" t="s">
        <v>5606</v>
      </c>
      <c r="F3339" s="5">
        <v>40821</v>
      </c>
      <c r="G3339" s="5">
        <v>40821</v>
      </c>
      <c r="H3339" s="4" t="s">
        <v>40</v>
      </c>
      <c r="I3339" s="6">
        <v>250</v>
      </c>
      <c r="J3339" s="6">
        <v>250</v>
      </c>
      <c r="K3339" s="37" t="s">
        <v>5018</v>
      </c>
      <c r="L3339" s="119"/>
      <c r="M3339" s="3"/>
    </row>
    <row r="3340" spans="1:13" s="4" customFormat="1" ht="25.5" x14ac:dyDescent="0.25">
      <c r="A3340" s="4" t="s">
        <v>5607</v>
      </c>
      <c r="B3340" s="4" t="s">
        <v>38</v>
      </c>
      <c r="C3340" s="37" t="s">
        <v>5018</v>
      </c>
      <c r="D3340" s="35">
        <v>9313</v>
      </c>
      <c r="E3340" s="4" t="s">
        <v>5608</v>
      </c>
      <c r="F3340" s="5">
        <v>40544</v>
      </c>
      <c r="G3340" s="5">
        <v>40908</v>
      </c>
      <c r="H3340" s="4" t="s">
        <v>40</v>
      </c>
      <c r="I3340" s="6">
        <v>1032.45</v>
      </c>
      <c r="J3340" s="6">
        <v>1032.45</v>
      </c>
      <c r="K3340" s="37" t="s">
        <v>5018</v>
      </c>
      <c r="L3340" s="119"/>
      <c r="M3340" s="3"/>
    </row>
    <row r="3341" spans="1:13" s="4" customFormat="1" ht="25.5" x14ac:dyDescent="0.25">
      <c r="A3341" s="4" t="s">
        <v>5609</v>
      </c>
      <c r="B3341" s="4" t="s">
        <v>38</v>
      </c>
      <c r="C3341" s="37" t="s">
        <v>5018</v>
      </c>
      <c r="D3341" s="35">
        <v>9314</v>
      </c>
      <c r="E3341" s="4" t="s">
        <v>5610</v>
      </c>
      <c r="F3341" s="5">
        <v>40544</v>
      </c>
      <c r="G3341" s="5">
        <v>40908</v>
      </c>
      <c r="H3341" s="4" t="s">
        <v>40</v>
      </c>
      <c r="I3341" s="6">
        <v>1023.45</v>
      </c>
      <c r="J3341" s="6">
        <v>1023.45</v>
      </c>
      <c r="K3341" s="37" t="s">
        <v>5018</v>
      </c>
      <c r="L3341" s="119"/>
      <c r="M3341" s="3"/>
    </row>
    <row r="3342" spans="1:13" s="4" customFormat="1" ht="25.5" x14ac:dyDescent="0.25">
      <c r="A3342" s="4" t="s">
        <v>5611</v>
      </c>
      <c r="B3342" s="4" t="s">
        <v>38</v>
      </c>
      <c r="C3342" s="37" t="s">
        <v>5018</v>
      </c>
      <c r="D3342" s="35">
        <v>9315</v>
      </c>
      <c r="E3342" s="4" t="s">
        <v>5612</v>
      </c>
      <c r="F3342" s="5">
        <v>40544</v>
      </c>
      <c r="G3342" s="5">
        <v>40908</v>
      </c>
      <c r="H3342" s="4" t="s">
        <v>40</v>
      </c>
      <c r="I3342" s="6">
        <v>1057.95</v>
      </c>
      <c r="J3342" s="6">
        <v>1057.95</v>
      </c>
      <c r="K3342" s="37" t="s">
        <v>5018</v>
      </c>
      <c r="L3342" s="119"/>
      <c r="M3342" s="3"/>
    </row>
    <row r="3343" spans="1:13" s="4" customFormat="1" ht="38.25" x14ac:dyDescent="0.25">
      <c r="A3343" s="4" t="s">
        <v>5613</v>
      </c>
      <c r="B3343" s="4" t="s">
        <v>38</v>
      </c>
      <c r="C3343" s="37" t="s">
        <v>5018</v>
      </c>
      <c r="D3343" s="35">
        <v>9316</v>
      </c>
      <c r="E3343" s="4" t="s">
        <v>5614</v>
      </c>
      <c r="F3343" s="5">
        <v>40544</v>
      </c>
      <c r="G3343" s="5">
        <v>40908</v>
      </c>
      <c r="H3343" s="4" t="s">
        <v>40</v>
      </c>
      <c r="I3343" s="6">
        <v>1063.45</v>
      </c>
      <c r="J3343" s="6">
        <v>1063.45</v>
      </c>
      <c r="K3343" s="37" t="s">
        <v>5018</v>
      </c>
      <c r="L3343" s="119"/>
      <c r="M3343" s="3"/>
    </row>
    <row r="3344" spans="1:13" s="4" customFormat="1" ht="25.5" x14ac:dyDescent="0.25">
      <c r="A3344" s="4" t="s">
        <v>5615</v>
      </c>
      <c r="B3344" s="4" t="s">
        <v>38</v>
      </c>
      <c r="C3344" s="37" t="s">
        <v>5018</v>
      </c>
      <c r="D3344" s="35">
        <v>9317</v>
      </c>
      <c r="E3344" s="4" t="s">
        <v>5616</v>
      </c>
      <c r="F3344" s="5">
        <v>40544</v>
      </c>
      <c r="G3344" s="5">
        <v>40908</v>
      </c>
      <c r="H3344" s="4" t="s">
        <v>40</v>
      </c>
      <c r="I3344" s="6">
        <v>1135.45</v>
      </c>
      <c r="J3344" s="6">
        <v>1135.45</v>
      </c>
      <c r="K3344" s="37" t="s">
        <v>5018</v>
      </c>
      <c r="L3344" s="119"/>
      <c r="M3344" s="3"/>
    </row>
    <row r="3345" spans="1:13" s="4" customFormat="1" ht="25.5" x14ac:dyDescent="0.25">
      <c r="A3345" s="4" t="s">
        <v>5617</v>
      </c>
      <c r="B3345" s="4" t="s">
        <v>38</v>
      </c>
      <c r="C3345" s="37" t="s">
        <v>5018</v>
      </c>
      <c r="D3345" s="35">
        <v>9318</v>
      </c>
      <c r="E3345" s="4" t="s">
        <v>5618</v>
      </c>
      <c r="F3345" s="5">
        <v>40544</v>
      </c>
      <c r="G3345" s="5">
        <v>40908</v>
      </c>
      <c r="H3345" s="4" t="s">
        <v>40</v>
      </c>
      <c r="I3345" s="6">
        <v>905.95</v>
      </c>
      <c r="J3345" s="6">
        <v>905.95</v>
      </c>
      <c r="K3345" s="37" t="s">
        <v>5018</v>
      </c>
      <c r="L3345" s="119"/>
      <c r="M3345" s="3"/>
    </row>
    <row r="3346" spans="1:13" s="4" customFormat="1" ht="25.5" x14ac:dyDescent="0.25">
      <c r="A3346" s="4" t="s">
        <v>5619</v>
      </c>
      <c r="B3346" s="4" t="s">
        <v>38</v>
      </c>
      <c r="C3346" s="37" t="s">
        <v>5018</v>
      </c>
      <c r="D3346" s="35">
        <v>9319</v>
      </c>
      <c r="E3346" s="4" t="s">
        <v>5619</v>
      </c>
      <c r="F3346" s="5">
        <v>40866</v>
      </c>
      <c r="G3346" s="5">
        <v>40866</v>
      </c>
      <c r="H3346" s="4" t="s">
        <v>40</v>
      </c>
      <c r="I3346" s="6">
        <v>300.5</v>
      </c>
      <c r="J3346" s="6">
        <v>300.5</v>
      </c>
      <c r="K3346" s="37" t="s">
        <v>5018</v>
      </c>
      <c r="L3346" s="119"/>
      <c r="M3346" s="3"/>
    </row>
    <row r="3347" spans="1:13" s="4" customFormat="1" ht="25.5" x14ac:dyDescent="0.25">
      <c r="A3347" s="4" t="s">
        <v>5620</v>
      </c>
      <c r="B3347" s="4" t="s">
        <v>38</v>
      </c>
      <c r="C3347" s="37" t="s">
        <v>5018</v>
      </c>
      <c r="D3347" s="35">
        <v>9320</v>
      </c>
      <c r="E3347" s="4" t="s">
        <v>5240</v>
      </c>
      <c r="F3347" s="5">
        <v>40575</v>
      </c>
      <c r="G3347" s="5">
        <v>40634</v>
      </c>
      <c r="H3347" s="4" t="s">
        <v>40</v>
      </c>
      <c r="I3347" s="6">
        <v>2171</v>
      </c>
      <c r="J3347" s="6">
        <v>2171</v>
      </c>
      <c r="K3347" s="37" t="s">
        <v>5018</v>
      </c>
      <c r="L3347" s="119"/>
      <c r="M3347" s="3"/>
    </row>
    <row r="3348" spans="1:13" s="4" customFormat="1" ht="25.5" x14ac:dyDescent="0.25">
      <c r="A3348" s="4" t="s">
        <v>5621</v>
      </c>
      <c r="B3348" s="4" t="s">
        <v>38</v>
      </c>
      <c r="C3348" s="37" t="s">
        <v>5018</v>
      </c>
      <c r="D3348" s="35">
        <v>9321</v>
      </c>
      <c r="E3348" s="4" t="s">
        <v>5240</v>
      </c>
      <c r="F3348" s="5">
        <v>40616</v>
      </c>
      <c r="G3348" s="5">
        <v>40677</v>
      </c>
      <c r="H3348" s="4" t="s">
        <v>40</v>
      </c>
      <c r="I3348" s="6">
        <v>1810</v>
      </c>
      <c r="J3348" s="6">
        <v>1810</v>
      </c>
      <c r="K3348" s="37" t="s">
        <v>5018</v>
      </c>
      <c r="L3348" s="119"/>
      <c r="M3348" s="3"/>
    </row>
    <row r="3349" spans="1:13" s="4" customFormat="1" ht="25.5" x14ac:dyDescent="0.25">
      <c r="A3349" s="4" t="s">
        <v>5622</v>
      </c>
      <c r="B3349" s="4" t="s">
        <v>38</v>
      </c>
      <c r="C3349" s="37" t="s">
        <v>5018</v>
      </c>
      <c r="D3349" s="35">
        <v>9322</v>
      </c>
      <c r="E3349" s="4" t="s">
        <v>5240</v>
      </c>
      <c r="F3349" s="5">
        <v>40667</v>
      </c>
      <c r="G3349" s="5">
        <v>40704</v>
      </c>
      <c r="H3349" s="4" t="s">
        <v>40</v>
      </c>
      <c r="I3349" s="6">
        <v>2194.0500000000002</v>
      </c>
      <c r="J3349" s="6">
        <v>2194.0500000000002</v>
      </c>
      <c r="K3349" s="37" t="s">
        <v>5018</v>
      </c>
      <c r="L3349" s="119"/>
      <c r="M3349" s="3"/>
    </row>
    <row r="3350" spans="1:13" s="4" customFormat="1" ht="25.5" x14ac:dyDescent="0.25">
      <c r="A3350" s="4" t="s">
        <v>5623</v>
      </c>
      <c r="B3350" s="4" t="s">
        <v>38</v>
      </c>
      <c r="C3350" s="37" t="s">
        <v>5018</v>
      </c>
      <c r="D3350" s="35">
        <v>9323</v>
      </c>
      <c r="E3350" s="4" t="s">
        <v>5240</v>
      </c>
      <c r="F3350" s="5">
        <v>40772</v>
      </c>
      <c r="G3350" s="5">
        <v>40803</v>
      </c>
      <c r="H3350" s="4" t="s">
        <v>40</v>
      </c>
      <c r="I3350" s="6">
        <v>2249.8000000000002</v>
      </c>
      <c r="J3350" s="6">
        <v>2249.8000000000002</v>
      </c>
      <c r="K3350" s="37" t="s">
        <v>5018</v>
      </c>
      <c r="L3350" s="119"/>
      <c r="M3350" s="3"/>
    </row>
    <row r="3351" spans="1:13" s="4" customFormat="1" ht="25.5" x14ac:dyDescent="0.25">
      <c r="A3351" s="4" t="s">
        <v>5624</v>
      </c>
      <c r="B3351" s="4" t="s">
        <v>38</v>
      </c>
      <c r="C3351" s="37" t="s">
        <v>5018</v>
      </c>
      <c r="D3351" s="35">
        <v>9324</v>
      </c>
      <c r="E3351" s="4" t="s">
        <v>5240</v>
      </c>
      <c r="F3351" s="5">
        <v>40854</v>
      </c>
      <c r="G3351" s="5">
        <v>40891</v>
      </c>
      <c r="H3351" s="4" t="s">
        <v>40</v>
      </c>
      <c r="I3351" s="6">
        <v>736</v>
      </c>
      <c r="J3351" s="6">
        <v>736</v>
      </c>
      <c r="K3351" s="37" t="s">
        <v>5018</v>
      </c>
      <c r="L3351" s="119"/>
      <c r="M3351" s="3"/>
    </row>
    <row r="3352" spans="1:13" s="4" customFormat="1" ht="25.5" x14ac:dyDescent="0.25">
      <c r="A3352" s="4" t="s">
        <v>5625</v>
      </c>
      <c r="B3352" s="4" t="s">
        <v>38</v>
      </c>
      <c r="C3352" s="37" t="s">
        <v>5018</v>
      </c>
      <c r="D3352" s="35">
        <v>9325</v>
      </c>
      <c r="E3352" s="4" t="s">
        <v>5626</v>
      </c>
      <c r="F3352" s="5">
        <v>40695</v>
      </c>
      <c r="G3352" s="5">
        <v>40908</v>
      </c>
      <c r="H3352" s="4" t="s">
        <v>40</v>
      </c>
      <c r="I3352" s="6">
        <v>6420.31</v>
      </c>
      <c r="J3352" s="6">
        <v>6420.31</v>
      </c>
      <c r="K3352" s="37" t="s">
        <v>5018</v>
      </c>
      <c r="L3352" s="119"/>
      <c r="M3352" s="3"/>
    </row>
    <row r="3353" spans="1:13" s="4" customFormat="1" ht="25.5" x14ac:dyDescent="0.25">
      <c r="A3353" s="4" t="s">
        <v>5627</v>
      </c>
      <c r="B3353" s="4" t="s">
        <v>38</v>
      </c>
      <c r="C3353" s="37" t="s">
        <v>5018</v>
      </c>
      <c r="D3353" s="35">
        <v>9326</v>
      </c>
      <c r="E3353" s="4" t="s">
        <v>5628</v>
      </c>
      <c r="F3353" s="5">
        <v>40886</v>
      </c>
      <c r="G3353" s="5">
        <v>40886</v>
      </c>
      <c r="H3353" s="4" t="s">
        <v>40</v>
      </c>
      <c r="I3353" s="6">
        <v>750</v>
      </c>
      <c r="J3353" s="6">
        <v>750</v>
      </c>
      <c r="K3353" s="37" t="s">
        <v>5018</v>
      </c>
      <c r="L3353" s="119"/>
      <c r="M3353" s="3"/>
    </row>
    <row r="3354" spans="1:13" s="4" customFormat="1" ht="25.5" x14ac:dyDescent="0.25">
      <c r="A3354" s="4" t="s">
        <v>5629</v>
      </c>
      <c r="B3354" s="4" t="s">
        <v>38</v>
      </c>
      <c r="C3354" s="37" t="s">
        <v>5018</v>
      </c>
      <c r="D3354" s="35">
        <v>9328</v>
      </c>
      <c r="E3354" s="4" t="s">
        <v>5630</v>
      </c>
      <c r="F3354" s="5">
        <v>40617</v>
      </c>
      <c r="G3354" s="5">
        <v>40617</v>
      </c>
      <c r="H3354" s="4" t="s">
        <v>40</v>
      </c>
      <c r="I3354" s="6">
        <v>200</v>
      </c>
      <c r="J3354" s="6">
        <v>200</v>
      </c>
      <c r="K3354" s="37" t="s">
        <v>5018</v>
      </c>
      <c r="L3354" s="119"/>
      <c r="M3354" s="3"/>
    </row>
    <row r="3355" spans="1:13" s="4" customFormat="1" ht="25.5" x14ac:dyDescent="0.25">
      <c r="A3355" s="4" t="s">
        <v>5631</v>
      </c>
      <c r="B3355" s="4" t="s">
        <v>38</v>
      </c>
      <c r="C3355" s="37" t="s">
        <v>5018</v>
      </c>
      <c r="D3355" s="35">
        <v>9329</v>
      </c>
      <c r="E3355" s="4" t="s">
        <v>5632</v>
      </c>
      <c r="F3355" s="5">
        <v>40617</v>
      </c>
      <c r="G3355" s="5">
        <v>40617</v>
      </c>
      <c r="H3355" s="4" t="s">
        <v>40</v>
      </c>
      <c r="I3355" s="6">
        <v>445</v>
      </c>
      <c r="J3355" s="6">
        <v>445</v>
      </c>
      <c r="K3355" s="37" t="s">
        <v>5018</v>
      </c>
      <c r="L3355" s="119"/>
      <c r="M3355" s="3"/>
    </row>
    <row r="3356" spans="1:13" s="4" customFormat="1" ht="25.5" x14ac:dyDescent="0.25">
      <c r="A3356" s="4" t="s">
        <v>5633</v>
      </c>
      <c r="B3356" s="4" t="s">
        <v>38</v>
      </c>
      <c r="C3356" s="37" t="s">
        <v>5018</v>
      </c>
      <c r="D3356" s="35">
        <v>9330</v>
      </c>
      <c r="E3356" s="4" t="s">
        <v>5634</v>
      </c>
      <c r="F3356" s="5">
        <v>40610</v>
      </c>
      <c r="G3356" s="5">
        <v>40648</v>
      </c>
      <c r="H3356" s="4" t="s">
        <v>40</v>
      </c>
      <c r="I3356" s="6">
        <v>1621.6</v>
      </c>
      <c r="J3356" s="6">
        <v>1621.6</v>
      </c>
      <c r="K3356" s="37" t="s">
        <v>5018</v>
      </c>
      <c r="L3356" s="119"/>
      <c r="M3356" s="3"/>
    </row>
    <row r="3357" spans="1:13" s="4" customFormat="1" ht="25.5" x14ac:dyDescent="0.25">
      <c r="A3357" s="4" t="s">
        <v>5635</v>
      </c>
      <c r="B3357" s="4" t="s">
        <v>38</v>
      </c>
      <c r="C3357" s="37" t="s">
        <v>5018</v>
      </c>
      <c r="D3357" s="35">
        <v>9331</v>
      </c>
      <c r="E3357" s="4" t="s">
        <v>5636</v>
      </c>
      <c r="F3357" s="5">
        <v>40626</v>
      </c>
      <c r="G3357" s="5">
        <v>40657</v>
      </c>
      <c r="H3357" s="4" t="s">
        <v>40</v>
      </c>
      <c r="I3357" s="6">
        <v>1297.5999999999999</v>
      </c>
      <c r="J3357" s="6">
        <v>1297.5999999999999</v>
      </c>
      <c r="K3357" s="37" t="s">
        <v>5018</v>
      </c>
      <c r="L3357" s="119"/>
      <c r="M3357" s="3"/>
    </row>
    <row r="3358" spans="1:13" s="4" customFormat="1" ht="25.5" x14ac:dyDescent="0.25">
      <c r="A3358" s="4" t="s">
        <v>5637</v>
      </c>
      <c r="B3358" s="4" t="s">
        <v>38</v>
      </c>
      <c r="C3358" s="37" t="s">
        <v>5018</v>
      </c>
      <c r="D3358" s="35">
        <v>9332</v>
      </c>
      <c r="E3358" s="4" t="s">
        <v>5180</v>
      </c>
      <c r="F3358" s="5">
        <v>40577</v>
      </c>
      <c r="G3358" s="5">
        <v>40626</v>
      </c>
      <c r="H3358" s="4" t="s">
        <v>40</v>
      </c>
      <c r="I3358" s="6">
        <v>1274.4000000000001</v>
      </c>
      <c r="J3358" s="6">
        <v>1274.4000000000001</v>
      </c>
      <c r="K3358" s="37" t="s">
        <v>5018</v>
      </c>
      <c r="L3358" s="119"/>
      <c r="M3358" s="3"/>
    </row>
    <row r="3359" spans="1:13" s="4" customFormat="1" ht="25.5" x14ac:dyDescent="0.25">
      <c r="A3359" s="4" t="s">
        <v>5638</v>
      </c>
      <c r="B3359" s="4" t="s">
        <v>38</v>
      </c>
      <c r="C3359" s="37" t="s">
        <v>5018</v>
      </c>
      <c r="D3359" s="35">
        <v>9333</v>
      </c>
      <c r="E3359" s="4" t="s">
        <v>5639</v>
      </c>
      <c r="F3359" s="5">
        <v>40612</v>
      </c>
      <c r="G3359" s="5">
        <v>40612</v>
      </c>
      <c r="H3359" s="4" t="s">
        <v>40</v>
      </c>
      <c r="I3359" s="6">
        <v>260</v>
      </c>
      <c r="J3359" s="6">
        <v>260</v>
      </c>
      <c r="K3359" s="37" t="s">
        <v>5018</v>
      </c>
      <c r="L3359" s="119"/>
      <c r="M3359" s="3"/>
    </row>
    <row r="3360" spans="1:13" s="4" customFormat="1" ht="25.5" x14ac:dyDescent="0.25">
      <c r="A3360" s="4" t="s">
        <v>5640</v>
      </c>
      <c r="B3360" s="4" t="s">
        <v>38</v>
      </c>
      <c r="C3360" s="37" t="s">
        <v>5018</v>
      </c>
      <c r="D3360" s="35">
        <v>9334</v>
      </c>
      <c r="E3360" s="4" t="s">
        <v>5641</v>
      </c>
      <c r="F3360" s="5">
        <v>40618</v>
      </c>
      <c r="G3360" s="5">
        <v>40618</v>
      </c>
      <c r="H3360" s="4" t="s">
        <v>40</v>
      </c>
      <c r="I3360" s="6">
        <v>300</v>
      </c>
      <c r="J3360" s="6">
        <v>300</v>
      </c>
      <c r="K3360" s="37" t="s">
        <v>5018</v>
      </c>
      <c r="L3360" s="119"/>
      <c r="M3360" s="3"/>
    </row>
    <row r="3361" spans="1:13" s="4" customFormat="1" ht="25.5" x14ac:dyDescent="0.25">
      <c r="A3361" s="4" t="s">
        <v>5642</v>
      </c>
      <c r="B3361" s="4" t="s">
        <v>38</v>
      </c>
      <c r="C3361" s="37" t="s">
        <v>5018</v>
      </c>
      <c r="D3361" s="35">
        <v>9335</v>
      </c>
      <c r="E3361" s="4" t="s">
        <v>5643</v>
      </c>
      <c r="F3361" s="5">
        <v>40617</v>
      </c>
      <c r="G3361" s="5">
        <v>40617</v>
      </c>
      <c r="H3361" s="4" t="s">
        <v>40</v>
      </c>
      <c r="I3361" s="6">
        <v>240</v>
      </c>
      <c r="J3361" s="6">
        <v>240</v>
      </c>
      <c r="K3361" s="37" t="s">
        <v>5018</v>
      </c>
      <c r="L3361" s="119"/>
      <c r="M3361" s="3"/>
    </row>
    <row r="3362" spans="1:13" s="4" customFormat="1" ht="25.5" x14ac:dyDescent="0.25">
      <c r="A3362" s="4" t="s">
        <v>5644</v>
      </c>
      <c r="B3362" s="4" t="s">
        <v>38</v>
      </c>
      <c r="C3362" s="37" t="s">
        <v>5018</v>
      </c>
      <c r="D3362" s="35">
        <v>9336</v>
      </c>
      <c r="E3362" s="4" t="s">
        <v>5645</v>
      </c>
      <c r="F3362" s="5">
        <v>40613</v>
      </c>
      <c r="G3362" s="5">
        <v>40613</v>
      </c>
      <c r="H3362" s="4" t="s">
        <v>40</v>
      </c>
      <c r="I3362" s="6">
        <v>285</v>
      </c>
      <c r="J3362" s="6">
        <v>285</v>
      </c>
      <c r="K3362" s="37" t="s">
        <v>5018</v>
      </c>
      <c r="L3362" s="119"/>
      <c r="M3362" s="3"/>
    </row>
    <row r="3363" spans="1:13" s="4" customFormat="1" ht="25.5" x14ac:dyDescent="0.25">
      <c r="A3363" s="4" t="s">
        <v>5646</v>
      </c>
      <c r="B3363" s="4" t="s">
        <v>38</v>
      </c>
      <c r="C3363" s="37" t="s">
        <v>5018</v>
      </c>
      <c r="D3363" s="35">
        <v>9337</v>
      </c>
      <c r="E3363" s="4" t="s">
        <v>5634</v>
      </c>
      <c r="F3363" s="5">
        <v>40813</v>
      </c>
      <c r="G3363" s="5">
        <v>40843</v>
      </c>
      <c r="H3363" s="4" t="s">
        <v>40</v>
      </c>
      <c r="I3363" s="6">
        <v>2126.4</v>
      </c>
      <c r="J3363" s="6">
        <v>2126.4</v>
      </c>
      <c r="K3363" s="37" t="s">
        <v>5018</v>
      </c>
      <c r="L3363" s="119"/>
      <c r="M3363" s="3"/>
    </row>
    <row r="3364" spans="1:13" s="4" customFormat="1" ht="25.5" x14ac:dyDescent="0.25">
      <c r="A3364" s="4" t="s">
        <v>5647</v>
      </c>
      <c r="B3364" s="4" t="s">
        <v>38</v>
      </c>
      <c r="C3364" s="37" t="s">
        <v>5018</v>
      </c>
      <c r="D3364" s="35">
        <v>9338</v>
      </c>
      <c r="E3364" s="4" t="s">
        <v>5648</v>
      </c>
      <c r="F3364" s="5">
        <v>40842</v>
      </c>
      <c r="G3364" s="5">
        <v>40842</v>
      </c>
      <c r="H3364" s="4" t="s">
        <v>40</v>
      </c>
      <c r="I3364" s="6">
        <v>230</v>
      </c>
      <c r="J3364" s="6">
        <v>230</v>
      </c>
      <c r="K3364" s="37" t="s">
        <v>5018</v>
      </c>
      <c r="L3364" s="119"/>
      <c r="M3364" s="3"/>
    </row>
    <row r="3365" spans="1:13" s="4" customFormat="1" ht="25.5" x14ac:dyDescent="0.25">
      <c r="A3365" s="4" t="s">
        <v>5649</v>
      </c>
      <c r="B3365" s="4" t="s">
        <v>38</v>
      </c>
      <c r="C3365" s="37" t="s">
        <v>5018</v>
      </c>
      <c r="D3365" s="35">
        <v>9339</v>
      </c>
      <c r="E3365" s="4" t="s">
        <v>5636</v>
      </c>
      <c r="F3365" s="5">
        <v>40856</v>
      </c>
      <c r="G3365" s="5">
        <v>40873</v>
      </c>
      <c r="H3365" s="4" t="s">
        <v>40</v>
      </c>
      <c r="I3365" s="6">
        <v>894.4</v>
      </c>
      <c r="J3365" s="6">
        <v>894.4</v>
      </c>
      <c r="K3365" s="37" t="s">
        <v>5018</v>
      </c>
      <c r="L3365" s="119"/>
      <c r="M3365" s="3"/>
    </row>
    <row r="3366" spans="1:13" s="4" customFormat="1" ht="25.5" x14ac:dyDescent="0.25">
      <c r="A3366" s="4" t="s">
        <v>5650</v>
      </c>
      <c r="B3366" s="4" t="s">
        <v>38</v>
      </c>
      <c r="C3366" s="37" t="s">
        <v>5018</v>
      </c>
      <c r="D3366" s="35">
        <v>9340</v>
      </c>
      <c r="E3366" s="4" t="s">
        <v>5651</v>
      </c>
      <c r="F3366" s="5">
        <v>40823</v>
      </c>
      <c r="G3366" s="5">
        <v>40823</v>
      </c>
      <c r="H3366" s="4" t="s">
        <v>40</v>
      </c>
      <c r="I3366" s="6">
        <v>455</v>
      </c>
      <c r="J3366" s="6">
        <v>455</v>
      </c>
      <c r="K3366" s="37" t="s">
        <v>5018</v>
      </c>
      <c r="L3366" s="119"/>
      <c r="M3366" s="3"/>
    </row>
    <row r="3367" spans="1:13" s="4" customFormat="1" ht="25.5" x14ac:dyDescent="0.25">
      <c r="A3367" s="4" t="s">
        <v>5652</v>
      </c>
      <c r="B3367" s="4" t="s">
        <v>38</v>
      </c>
      <c r="C3367" s="37" t="s">
        <v>5018</v>
      </c>
      <c r="D3367" s="35">
        <v>9341</v>
      </c>
      <c r="E3367" s="4" t="s">
        <v>5653</v>
      </c>
      <c r="F3367" s="5">
        <v>40833</v>
      </c>
      <c r="G3367" s="5">
        <v>40840</v>
      </c>
      <c r="H3367" s="4" t="s">
        <v>40</v>
      </c>
      <c r="I3367" s="6">
        <v>777</v>
      </c>
      <c r="J3367" s="6">
        <v>777</v>
      </c>
      <c r="K3367" s="37" t="s">
        <v>5018</v>
      </c>
      <c r="L3367" s="119"/>
      <c r="M3367" s="3"/>
    </row>
    <row r="3368" spans="1:13" s="4" customFormat="1" ht="25.5" x14ac:dyDescent="0.25">
      <c r="A3368" s="4" t="s">
        <v>5654</v>
      </c>
      <c r="B3368" s="4" t="s">
        <v>38</v>
      </c>
      <c r="C3368" s="37" t="s">
        <v>5018</v>
      </c>
      <c r="D3368" s="35">
        <v>9342</v>
      </c>
      <c r="E3368" s="4" t="s">
        <v>5655</v>
      </c>
      <c r="F3368" s="5">
        <v>40632</v>
      </c>
      <c r="G3368" s="5">
        <v>40663</v>
      </c>
      <c r="H3368" s="4" t="s">
        <v>40</v>
      </c>
      <c r="I3368" s="6">
        <v>457.5</v>
      </c>
      <c r="J3368" s="6">
        <v>457.5</v>
      </c>
      <c r="K3368" s="37" t="s">
        <v>5018</v>
      </c>
      <c r="L3368" s="119"/>
      <c r="M3368" s="3"/>
    </row>
    <row r="3369" spans="1:13" s="4" customFormat="1" ht="25.5" x14ac:dyDescent="0.25">
      <c r="A3369" s="4" t="s">
        <v>5656</v>
      </c>
      <c r="B3369" s="4" t="s">
        <v>38</v>
      </c>
      <c r="C3369" s="37" t="s">
        <v>5018</v>
      </c>
      <c r="D3369" s="35">
        <v>9343</v>
      </c>
      <c r="E3369" s="4" t="s">
        <v>5657</v>
      </c>
      <c r="F3369" s="5">
        <v>40672</v>
      </c>
      <c r="G3369" s="5">
        <v>40703</v>
      </c>
      <c r="H3369" s="4" t="s">
        <v>40</v>
      </c>
      <c r="I3369" s="6">
        <v>1894.6</v>
      </c>
      <c r="J3369" s="6">
        <v>1894.6</v>
      </c>
      <c r="K3369" s="37" t="s">
        <v>5018</v>
      </c>
      <c r="L3369" s="119"/>
      <c r="M3369" s="3"/>
    </row>
    <row r="3370" spans="1:13" s="4" customFormat="1" ht="25.5" x14ac:dyDescent="0.25">
      <c r="A3370" s="4" t="s">
        <v>5658</v>
      </c>
      <c r="B3370" s="4" t="s">
        <v>38</v>
      </c>
      <c r="C3370" s="37" t="s">
        <v>5018</v>
      </c>
      <c r="D3370" s="35">
        <v>9344</v>
      </c>
      <c r="E3370" s="4" t="s">
        <v>5659</v>
      </c>
      <c r="F3370" s="5">
        <v>40660</v>
      </c>
      <c r="G3370" s="5">
        <v>40660</v>
      </c>
      <c r="H3370" s="4" t="s">
        <v>40</v>
      </c>
      <c r="I3370" s="6">
        <v>337.5</v>
      </c>
      <c r="J3370" s="6">
        <v>337.5</v>
      </c>
      <c r="K3370" s="37" t="s">
        <v>5018</v>
      </c>
      <c r="L3370" s="119"/>
      <c r="M3370" s="3"/>
    </row>
    <row r="3371" spans="1:13" s="4" customFormat="1" ht="25.5" x14ac:dyDescent="0.25">
      <c r="A3371" s="4" t="s">
        <v>5660</v>
      </c>
      <c r="B3371" s="4" t="s">
        <v>38</v>
      </c>
      <c r="C3371" s="37" t="s">
        <v>5018</v>
      </c>
      <c r="D3371" s="35">
        <v>9345</v>
      </c>
      <c r="E3371" s="4" t="s">
        <v>5661</v>
      </c>
      <c r="F3371" s="5">
        <v>40854</v>
      </c>
      <c r="G3371" s="5">
        <v>40884</v>
      </c>
      <c r="H3371" s="4" t="s">
        <v>40</v>
      </c>
      <c r="I3371" s="6">
        <v>885</v>
      </c>
      <c r="J3371" s="6">
        <v>885</v>
      </c>
      <c r="K3371" s="37" t="s">
        <v>5018</v>
      </c>
      <c r="L3371" s="119"/>
      <c r="M3371" s="3"/>
    </row>
    <row r="3372" spans="1:13" s="4" customFormat="1" ht="25.5" x14ac:dyDescent="0.25">
      <c r="A3372" s="4" t="s">
        <v>5662</v>
      </c>
      <c r="B3372" s="4" t="s">
        <v>38</v>
      </c>
      <c r="C3372" s="37" t="s">
        <v>5018</v>
      </c>
      <c r="D3372" s="35">
        <v>9347</v>
      </c>
      <c r="E3372" s="4" t="s">
        <v>5663</v>
      </c>
      <c r="F3372" s="5">
        <v>40875</v>
      </c>
      <c r="G3372" s="5">
        <v>40875</v>
      </c>
      <c r="H3372" s="4" t="s">
        <v>40</v>
      </c>
      <c r="I3372" s="6">
        <v>297.5</v>
      </c>
      <c r="J3372" s="6">
        <v>297.5</v>
      </c>
      <c r="K3372" s="37" t="s">
        <v>5018</v>
      </c>
      <c r="L3372" s="119"/>
      <c r="M3372" s="3"/>
    </row>
    <row r="3373" spans="1:13" s="4" customFormat="1" ht="25.5" x14ac:dyDescent="0.25">
      <c r="A3373" s="4" t="s">
        <v>5664</v>
      </c>
      <c r="B3373" s="4" t="s">
        <v>38</v>
      </c>
      <c r="C3373" s="37" t="s">
        <v>5018</v>
      </c>
      <c r="D3373" s="35">
        <v>9349</v>
      </c>
      <c r="E3373" s="4" t="s">
        <v>5665</v>
      </c>
      <c r="F3373" s="5">
        <v>40695</v>
      </c>
      <c r="G3373" s="5">
        <v>40908</v>
      </c>
      <c r="H3373" s="4" t="s">
        <v>40</v>
      </c>
      <c r="I3373" s="6">
        <v>1208.5999999999999</v>
      </c>
      <c r="J3373" s="6">
        <v>1208.5999999999999</v>
      </c>
      <c r="K3373" s="37" t="s">
        <v>5018</v>
      </c>
      <c r="L3373" s="119"/>
      <c r="M3373" s="3"/>
    </row>
    <row r="3374" spans="1:13" s="4" customFormat="1" ht="25.5" x14ac:dyDescent="0.25">
      <c r="A3374" s="4" t="s">
        <v>5666</v>
      </c>
      <c r="B3374" s="4" t="s">
        <v>38</v>
      </c>
      <c r="C3374" s="37" t="s">
        <v>5018</v>
      </c>
      <c r="D3374" s="35">
        <v>9356</v>
      </c>
      <c r="E3374" s="4" t="s">
        <v>5256</v>
      </c>
      <c r="F3374" s="5">
        <v>40683</v>
      </c>
      <c r="G3374" s="5">
        <v>40690</v>
      </c>
      <c r="H3374" s="4" t="s">
        <v>40</v>
      </c>
      <c r="I3374" s="6">
        <v>281</v>
      </c>
      <c r="J3374" s="6">
        <v>281</v>
      </c>
      <c r="K3374" s="37" t="s">
        <v>5018</v>
      </c>
      <c r="L3374" s="119"/>
      <c r="M3374" s="3"/>
    </row>
    <row r="3375" spans="1:13" s="4" customFormat="1" ht="25.5" x14ac:dyDescent="0.25">
      <c r="A3375" s="4" t="s">
        <v>5667</v>
      </c>
      <c r="B3375" s="4" t="s">
        <v>38</v>
      </c>
      <c r="C3375" s="37" t="s">
        <v>5018</v>
      </c>
      <c r="D3375" s="35">
        <v>9357</v>
      </c>
      <c r="E3375" s="4" t="s">
        <v>5540</v>
      </c>
      <c r="F3375" s="5">
        <v>40679</v>
      </c>
      <c r="G3375" s="5">
        <v>40679</v>
      </c>
      <c r="H3375" s="4" t="s">
        <v>40</v>
      </c>
      <c r="I3375" s="6">
        <v>877</v>
      </c>
      <c r="J3375" s="6">
        <v>877</v>
      </c>
      <c r="K3375" s="37" t="s">
        <v>5018</v>
      </c>
      <c r="L3375" s="119"/>
      <c r="M3375" s="3"/>
    </row>
    <row r="3376" spans="1:13" s="4" customFormat="1" ht="25.5" x14ac:dyDescent="0.25">
      <c r="A3376" s="4" t="s">
        <v>5668</v>
      </c>
      <c r="B3376" s="4" t="s">
        <v>38</v>
      </c>
      <c r="C3376" s="37" t="s">
        <v>5018</v>
      </c>
      <c r="D3376" s="35">
        <v>9358</v>
      </c>
      <c r="E3376" s="4" t="s">
        <v>5669</v>
      </c>
      <c r="F3376" s="5">
        <v>40837</v>
      </c>
      <c r="G3376" s="5">
        <v>40837</v>
      </c>
      <c r="H3376" s="4" t="s">
        <v>40</v>
      </c>
      <c r="I3376" s="6">
        <v>399</v>
      </c>
      <c r="J3376" s="6">
        <v>399</v>
      </c>
      <c r="K3376" s="37" t="s">
        <v>5018</v>
      </c>
      <c r="L3376" s="119"/>
      <c r="M3376" s="3"/>
    </row>
    <row r="3377" spans="1:13" s="4" customFormat="1" ht="25.5" x14ac:dyDescent="0.25">
      <c r="A3377" s="4" t="s">
        <v>5670</v>
      </c>
      <c r="B3377" s="4" t="s">
        <v>38</v>
      </c>
      <c r="C3377" s="37" t="s">
        <v>5018</v>
      </c>
      <c r="D3377" s="35">
        <v>9359</v>
      </c>
      <c r="E3377" s="4" t="s">
        <v>5540</v>
      </c>
      <c r="F3377" s="5">
        <v>40868</v>
      </c>
      <c r="G3377" s="5">
        <v>40868</v>
      </c>
      <c r="H3377" s="4" t="s">
        <v>40</v>
      </c>
      <c r="I3377" s="6">
        <v>250</v>
      </c>
      <c r="J3377" s="6">
        <v>250</v>
      </c>
      <c r="K3377" s="37" t="s">
        <v>5018</v>
      </c>
      <c r="L3377" s="119"/>
      <c r="M3377" s="3"/>
    </row>
    <row r="3378" spans="1:13" s="4" customFormat="1" ht="25.5" x14ac:dyDescent="0.25">
      <c r="A3378" s="4" t="s">
        <v>5671</v>
      </c>
      <c r="B3378" s="4" t="s">
        <v>38</v>
      </c>
      <c r="C3378" s="37" t="s">
        <v>5018</v>
      </c>
      <c r="D3378" s="35">
        <v>9361</v>
      </c>
      <c r="E3378" s="4" t="s">
        <v>5672</v>
      </c>
      <c r="F3378" s="5">
        <v>40544</v>
      </c>
      <c r="G3378" s="5">
        <v>40908</v>
      </c>
      <c r="H3378" s="4" t="s">
        <v>40</v>
      </c>
      <c r="I3378" s="6">
        <v>45930.98</v>
      </c>
      <c r="J3378" s="6">
        <v>45930.98</v>
      </c>
      <c r="K3378" s="37" t="s">
        <v>5018</v>
      </c>
      <c r="L3378" s="119"/>
      <c r="M3378" s="3"/>
    </row>
    <row r="3379" spans="1:13" s="4" customFormat="1" ht="25.5" x14ac:dyDescent="0.25">
      <c r="A3379" s="4" t="s">
        <v>5673</v>
      </c>
      <c r="B3379" s="4" t="s">
        <v>183</v>
      </c>
      <c r="C3379" s="37" t="s">
        <v>5018</v>
      </c>
      <c r="D3379" s="35">
        <v>10657</v>
      </c>
      <c r="E3379" s="4" t="s">
        <v>5674</v>
      </c>
      <c r="F3379" s="5">
        <v>41022</v>
      </c>
      <c r="G3379" s="5">
        <v>41274</v>
      </c>
      <c r="H3379" s="4" t="s">
        <v>40</v>
      </c>
      <c r="I3379" s="6">
        <v>4687.5</v>
      </c>
      <c r="J3379" s="6">
        <v>4687.5</v>
      </c>
      <c r="K3379" s="37" t="s">
        <v>5018</v>
      </c>
      <c r="L3379" s="119"/>
      <c r="M3379" s="3"/>
    </row>
    <row r="3380" spans="1:13" s="4" customFormat="1" ht="25.5" x14ac:dyDescent="0.25">
      <c r="A3380" s="4" t="s">
        <v>5675</v>
      </c>
      <c r="B3380" s="4" t="s">
        <v>190</v>
      </c>
      <c r="C3380" s="37" t="s">
        <v>5018</v>
      </c>
      <c r="D3380" s="35">
        <v>10658</v>
      </c>
      <c r="E3380" s="4" t="s">
        <v>5676</v>
      </c>
      <c r="F3380" s="5">
        <v>41023</v>
      </c>
      <c r="G3380" s="5">
        <v>41274</v>
      </c>
      <c r="H3380" s="4" t="s">
        <v>40</v>
      </c>
      <c r="I3380" s="6">
        <v>57879.68</v>
      </c>
      <c r="J3380" s="6">
        <v>28939.84</v>
      </c>
      <c r="K3380" s="37" t="s">
        <v>5018</v>
      </c>
      <c r="L3380" s="119"/>
      <c r="M3380" s="3"/>
    </row>
    <row r="3381" spans="1:13" s="4" customFormat="1" ht="25.5" x14ac:dyDescent="0.25">
      <c r="A3381" s="4" t="s">
        <v>5677</v>
      </c>
      <c r="B3381" s="4" t="s">
        <v>183</v>
      </c>
      <c r="C3381" s="37" t="s">
        <v>5018</v>
      </c>
      <c r="D3381" s="35">
        <v>10659</v>
      </c>
      <c r="E3381" s="4" t="s">
        <v>5678</v>
      </c>
      <c r="F3381" s="5">
        <v>41022</v>
      </c>
      <c r="G3381" s="5">
        <v>41274</v>
      </c>
      <c r="H3381" s="4" t="s">
        <v>40</v>
      </c>
      <c r="I3381" s="6">
        <v>5625</v>
      </c>
      <c r="J3381" s="6">
        <v>5625</v>
      </c>
      <c r="K3381" s="37" t="s">
        <v>5018</v>
      </c>
      <c r="L3381" s="119"/>
      <c r="M3381" s="3"/>
    </row>
    <row r="3382" spans="1:13" s="4" customFormat="1" ht="25.5" x14ac:dyDescent="0.25">
      <c r="A3382" s="4" t="s">
        <v>5679</v>
      </c>
      <c r="B3382" s="4" t="s">
        <v>13</v>
      </c>
      <c r="C3382" s="37" t="s">
        <v>5018</v>
      </c>
      <c r="D3382" s="35">
        <v>10660</v>
      </c>
      <c r="E3382" s="4" t="s">
        <v>5680</v>
      </c>
      <c r="F3382" s="5">
        <v>40995</v>
      </c>
      <c r="G3382" s="5">
        <v>41274</v>
      </c>
      <c r="H3382" s="4" t="s">
        <v>40</v>
      </c>
      <c r="I3382" s="6">
        <v>40000</v>
      </c>
      <c r="J3382" s="6">
        <v>20000</v>
      </c>
      <c r="K3382" s="37" t="s">
        <v>5018</v>
      </c>
      <c r="L3382" s="119"/>
      <c r="M3382" s="3"/>
    </row>
    <row r="3383" spans="1:13" s="4" customFormat="1" ht="38.25" x14ac:dyDescent="0.25">
      <c r="A3383" s="4" t="s">
        <v>5681</v>
      </c>
      <c r="B3383" s="4" t="s">
        <v>190</v>
      </c>
      <c r="C3383" s="37" t="s">
        <v>5018</v>
      </c>
      <c r="D3383" s="35">
        <v>10661</v>
      </c>
      <c r="E3383" s="4" t="s">
        <v>5682</v>
      </c>
      <c r="F3383" s="5">
        <v>41275</v>
      </c>
      <c r="G3383" s="5">
        <v>41639</v>
      </c>
      <c r="H3383" s="4" t="s">
        <v>40</v>
      </c>
      <c r="I3383" s="6">
        <v>74281.740000000005</v>
      </c>
      <c r="J3383" s="6">
        <f>51769.12+7196.75</f>
        <v>58965.87</v>
      </c>
      <c r="K3383" s="37" t="s">
        <v>5018</v>
      </c>
      <c r="L3383" s="119"/>
      <c r="M3383" s="3"/>
    </row>
    <row r="3384" spans="1:13" s="4" customFormat="1" ht="25.5" x14ac:dyDescent="0.25">
      <c r="A3384" s="4" t="s">
        <v>5685</v>
      </c>
      <c r="B3384" s="4" t="s">
        <v>183</v>
      </c>
      <c r="C3384" s="37" t="s">
        <v>5018</v>
      </c>
      <c r="D3384" s="35">
        <v>10663</v>
      </c>
      <c r="E3384" s="4" t="s">
        <v>5686</v>
      </c>
      <c r="F3384" s="5">
        <v>41176</v>
      </c>
      <c r="G3384" s="5">
        <v>41274</v>
      </c>
      <c r="H3384" s="4" t="s">
        <v>40</v>
      </c>
      <c r="I3384" s="6">
        <v>45000</v>
      </c>
      <c r="J3384" s="6">
        <v>45000</v>
      </c>
      <c r="K3384" s="37" t="s">
        <v>5018</v>
      </c>
      <c r="L3384" s="119"/>
      <c r="M3384" s="3"/>
    </row>
    <row r="3385" spans="1:13" s="4" customFormat="1" ht="25.5" x14ac:dyDescent="0.25">
      <c r="A3385" s="4" t="s">
        <v>5687</v>
      </c>
      <c r="B3385" s="4" t="s">
        <v>190</v>
      </c>
      <c r="C3385" s="37" t="s">
        <v>5018</v>
      </c>
      <c r="D3385" s="35">
        <v>10664</v>
      </c>
      <c r="E3385" s="4" t="s">
        <v>5134</v>
      </c>
      <c r="F3385" s="5">
        <v>41022</v>
      </c>
      <c r="G3385" s="5">
        <v>41274</v>
      </c>
      <c r="H3385" s="4" t="s">
        <v>40</v>
      </c>
      <c r="I3385" s="6">
        <v>15000</v>
      </c>
      <c r="J3385" s="6">
        <v>15000</v>
      </c>
      <c r="K3385" s="37" t="s">
        <v>5018</v>
      </c>
      <c r="L3385" s="119"/>
      <c r="M3385" s="3"/>
    </row>
    <row r="3386" spans="1:13" s="4" customFormat="1" ht="25.5" x14ac:dyDescent="0.25">
      <c r="A3386" s="4" t="s">
        <v>5688</v>
      </c>
      <c r="B3386" s="4" t="s">
        <v>183</v>
      </c>
      <c r="C3386" s="37" t="s">
        <v>5018</v>
      </c>
      <c r="D3386" s="35">
        <v>10665</v>
      </c>
      <c r="E3386" s="4" t="s">
        <v>5689</v>
      </c>
      <c r="F3386" s="5">
        <v>41253</v>
      </c>
      <c r="G3386" s="5">
        <v>41639</v>
      </c>
      <c r="H3386" s="4" t="s">
        <v>40</v>
      </c>
      <c r="I3386" s="6">
        <f>3750+3750</f>
        <v>7500</v>
      </c>
      <c r="J3386" s="6">
        <f>3750+3750</f>
        <v>7500</v>
      </c>
      <c r="K3386" s="37" t="s">
        <v>5018</v>
      </c>
      <c r="L3386" s="119"/>
      <c r="M3386" s="3"/>
    </row>
    <row r="3387" spans="1:13" s="4" customFormat="1" ht="25.5" x14ac:dyDescent="0.25">
      <c r="A3387" s="4" t="s">
        <v>5690</v>
      </c>
      <c r="B3387" s="4" t="s">
        <v>183</v>
      </c>
      <c r="C3387" s="37" t="s">
        <v>5018</v>
      </c>
      <c r="D3387" s="35">
        <v>10667</v>
      </c>
      <c r="E3387" s="4" t="s">
        <v>5691</v>
      </c>
      <c r="F3387" s="5">
        <v>41022</v>
      </c>
      <c r="G3387" s="5">
        <v>41274</v>
      </c>
      <c r="H3387" s="4" t="s">
        <v>40</v>
      </c>
      <c r="I3387" s="6">
        <v>13125</v>
      </c>
      <c r="J3387" s="6">
        <v>13125</v>
      </c>
      <c r="K3387" s="37" t="s">
        <v>5018</v>
      </c>
      <c r="L3387" s="119"/>
      <c r="M3387" s="3"/>
    </row>
    <row r="3388" spans="1:13" s="4" customFormat="1" ht="38.25" x14ac:dyDescent="0.25">
      <c r="A3388" s="4" t="s">
        <v>5692</v>
      </c>
      <c r="B3388" s="4" t="s">
        <v>190</v>
      </c>
      <c r="C3388" s="37" t="s">
        <v>5018</v>
      </c>
      <c r="D3388" s="35">
        <v>10668</v>
      </c>
      <c r="E3388" s="4" t="s">
        <v>5693</v>
      </c>
      <c r="F3388" s="5">
        <v>41176</v>
      </c>
      <c r="G3388" s="5">
        <v>41639</v>
      </c>
      <c r="H3388" s="4" t="s">
        <v>40</v>
      </c>
      <c r="I3388" s="6">
        <v>17125</v>
      </c>
      <c r="J3388" s="6">
        <f>5625+5750</f>
        <v>11375</v>
      </c>
      <c r="K3388" s="37" t="s">
        <v>5018</v>
      </c>
      <c r="L3388" s="119"/>
      <c r="M3388" s="3"/>
    </row>
    <row r="3389" spans="1:13" s="4" customFormat="1" ht="25.5" x14ac:dyDescent="0.25">
      <c r="A3389" s="4" t="s">
        <v>5694</v>
      </c>
      <c r="B3389" s="4" t="s">
        <v>190</v>
      </c>
      <c r="C3389" s="37" t="s">
        <v>5018</v>
      </c>
      <c r="D3389" s="35">
        <v>10669</v>
      </c>
      <c r="E3389" s="4" t="s">
        <v>5695</v>
      </c>
      <c r="F3389" s="5">
        <v>41057</v>
      </c>
      <c r="G3389" s="5">
        <v>41639</v>
      </c>
      <c r="H3389" s="4" t="s">
        <v>40</v>
      </c>
      <c r="I3389" s="6">
        <v>7800</v>
      </c>
      <c r="J3389" s="6">
        <f>3900+3900</f>
        <v>7800</v>
      </c>
      <c r="K3389" s="37" t="s">
        <v>5018</v>
      </c>
      <c r="L3389" s="119"/>
      <c r="M3389" s="3"/>
    </row>
    <row r="3390" spans="1:13" s="4" customFormat="1" ht="38.25" x14ac:dyDescent="0.25">
      <c r="A3390" s="4" t="s">
        <v>5696</v>
      </c>
      <c r="B3390" s="4" t="s">
        <v>183</v>
      </c>
      <c r="C3390" s="37" t="s">
        <v>5018</v>
      </c>
      <c r="D3390" s="35">
        <v>10676</v>
      </c>
      <c r="E3390" s="4" t="s">
        <v>5697</v>
      </c>
      <c r="F3390" s="5">
        <v>41255</v>
      </c>
      <c r="G3390" s="5">
        <v>41274</v>
      </c>
      <c r="H3390" s="4" t="s">
        <v>40</v>
      </c>
      <c r="I3390" s="6">
        <v>3623</v>
      </c>
      <c r="J3390" s="6">
        <v>1811.5</v>
      </c>
      <c r="K3390" s="37" t="s">
        <v>5018</v>
      </c>
      <c r="L3390" s="119"/>
      <c r="M3390" s="3"/>
    </row>
    <row r="3391" spans="1:13" s="4" customFormat="1" ht="25.5" x14ac:dyDescent="0.25">
      <c r="A3391" s="4" t="s">
        <v>5698</v>
      </c>
      <c r="B3391" s="4" t="s">
        <v>38</v>
      </c>
      <c r="C3391" s="37" t="s">
        <v>5018</v>
      </c>
      <c r="D3391" s="35">
        <v>10695</v>
      </c>
      <c r="E3391" s="4" t="s">
        <v>5698</v>
      </c>
      <c r="F3391" s="5">
        <v>40909</v>
      </c>
      <c r="G3391" s="5">
        <v>41274</v>
      </c>
      <c r="H3391" s="4" t="s">
        <v>40</v>
      </c>
      <c r="I3391" s="6">
        <v>60420.4</v>
      </c>
      <c r="J3391" s="6">
        <v>60420.4</v>
      </c>
      <c r="K3391" s="37" t="s">
        <v>5018</v>
      </c>
      <c r="L3391" s="119"/>
      <c r="M3391" s="3"/>
    </row>
    <row r="3392" spans="1:13" s="4" customFormat="1" ht="25.5" x14ac:dyDescent="0.25">
      <c r="A3392" s="4" t="s">
        <v>5699</v>
      </c>
      <c r="B3392" s="4" t="s">
        <v>38</v>
      </c>
      <c r="C3392" s="37" t="s">
        <v>5018</v>
      </c>
      <c r="D3392" s="35">
        <v>10696</v>
      </c>
      <c r="E3392" s="4" t="s">
        <v>5700</v>
      </c>
      <c r="F3392" s="5">
        <v>40909</v>
      </c>
      <c r="G3392" s="5">
        <v>41274</v>
      </c>
      <c r="H3392" s="4" t="s">
        <v>40</v>
      </c>
      <c r="I3392" s="6">
        <v>5000</v>
      </c>
      <c r="J3392" s="6">
        <v>5000</v>
      </c>
      <c r="K3392" s="37" t="s">
        <v>5018</v>
      </c>
      <c r="L3392" s="119"/>
      <c r="M3392" s="3"/>
    </row>
    <row r="3393" spans="1:13" s="4" customFormat="1" ht="25.5" x14ac:dyDescent="0.25">
      <c r="A3393" s="4" t="s">
        <v>5701</v>
      </c>
      <c r="B3393" s="4" t="s">
        <v>38</v>
      </c>
      <c r="C3393" s="37" t="s">
        <v>5018</v>
      </c>
      <c r="D3393" s="35">
        <v>10697</v>
      </c>
      <c r="E3393" s="4" t="s">
        <v>5701</v>
      </c>
      <c r="F3393" s="5">
        <v>40909</v>
      </c>
      <c r="G3393" s="5">
        <v>41274</v>
      </c>
      <c r="H3393" s="4" t="s">
        <v>40</v>
      </c>
      <c r="I3393" s="6">
        <v>283.19</v>
      </c>
      <c r="J3393" s="6">
        <v>283.19</v>
      </c>
      <c r="K3393" s="37" t="s">
        <v>5018</v>
      </c>
      <c r="L3393" s="119"/>
      <c r="M3393" s="3"/>
    </row>
    <row r="3394" spans="1:13" s="4" customFormat="1" ht="25.5" x14ac:dyDescent="0.25">
      <c r="A3394" s="4" t="s">
        <v>5702</v>
      </c>
      <c r="B3394" s="4" t="s">
        <v>38</v>
      </c>
      <c r="C3394" s="37" t="s">
        <v>5018</v>
      </c>
      <c r="D3394" s="35">
        <v>10699</v>
      </c>
      <c r="E3394" s="4" t="s">
        <v>5703</v>
      </c>
      <c r="F3394" s="5">
        <v>40909</v>
      </c>
      <c r="G3394" s="5">
        <v>41274</v>
      </c>
      <c r="H3394" s="4" t="s">
        <v>40</v>
      </c>
      <c r="I3394" s="6">
        <v>5000</v>
      </c>
      <c r="J3394" s="6">
        <v>5000</v>
      </c>
      <c r="K3394" s="37" t="s">
        <v>5018</v>
      </c>
      <c r="L3394" s="119"/>
      <c r="M3394" s="3"/>
    </row>
    <row r="3395" spans="1:13" s="4" customFormat="1" ht="25.5" x14ac:dyDescent="0.25">
      <c r="A3395" s="4" t="s">
        <v>5704</v>
      </c>
      <c r="B3395" s="4" t="s">
        <v>38</v>
      </c>
      <c r="C3395" s="37" t="s">
        <v>5018</v>
      </c>
      <c r="D3395" s="35">
        <v>10705</v>
      </c>
      <c r="E3395" s="4" t="s">
        <v>5705</v>
      </c>
      <c r="F3395" s="5">
        <v>40909</v>
      </c>
      <c r="G3395" s="5">
        <v>41273</v>
      </c>
      <c r="H3395" s="4" t="s">
        <v>40</v>
      </c>
      <c r="I3395" s="6">
        <v>600</v>
      </c>
      <c r="J3395" s="6">
        <v>600</v>
      </c>
      <c r="K3395" s="37" t="s">
        <v>5018</v>
      </c>
      <c r="L3395" s="119"/>
      <c r="M3395" s="3"/>
    </row>
    <row r="3396" spans="1:13" s="4" customFormat="1" ht="25.5" x14ac:dyDescent="0.25">
      <c r="A3396" s="4" t="s">
        <v>5706</v>
      </c>
      <c r="B3396" s="4" t="s">
        <v>38</v>
      </c>
      <c r="C3396" s="37" t="s">
        <v>5018</v>
      </c>
      <c r="D3396" s="35">
        <v>10706</v>
      </c>
      <c r="E3396" s="4" t="s">
        <v>5707</v>
      </c>
      <c r="F3396" s="5">
        <v>40909</v>
      </c>
      <c r="G3396" s="5">
        <v>41274</v>
      </c>
      <c r="H3396" s="4" t="s">
        <v>40</v>
      </c>
      <c r="I3396" s="6">
        <v>300</v>
      </c>
      <c r="J3396" s="6">
        <v>300</v>
      </c>
      <c r="K3396" s="37" t="s">
        <v>5018</v>
      </c>
      <c r="L3396" s="119"/>
      <c r="M3396" s="3"/>
    </row>
    <row r="3397" spans="1:13" s="4" customFormat="1" ht="25.5" x14ac:dyDescent="0.25">
      <c r="A3397" s="4" t="s">
        <v>5708</v>
      </c>
      <c r="B3397" s="4" t="s">
        <v>38</v>
      </c>
      <c r="C3397" s="37" t="s">
        <v>5018</v>
      </c>
      <c r="D3397" s="35">
        <v>10710</v>
      </c>
      <c r="E3397" s="4" t="s">
        <v>5240</v>
      </c>
      <c r="F3397" s="5">
        <v>40909</v>
      </c>
      <c r="G3397" s="5">
        <v>41274</v>
      </c>
      <c r="H3397" s="4" t="s">
        <v>40</v>
      </c>
      <c r="I3397" s="6">
        <v>1644.75</v>
      </c>
      <c r="J3397" s="6">
        <v>1644.75</v>
      </c>
      <c r="K3397" s="37" t="s">
        <v>5018</v>
      </c>
      <c r="L3397" s="119"/>
      <c r="M3397" s="3"/>
    </row>
    <row r="3398" spans="1:13" s="4" customFormat="1" ht="25.5" x14ac:dyDescent="0.25">
      <c r="A3398" s="4" t="s">
        <v>5709</v>
      </c>
      <c r="B3398" s="4" t="s">
        <v>38</v>
      </c>
      <c r="C3398" s="37" t="s">
        <v>5018</v>
      </c>
      <c r="D3398" s="35">
        <v>10711</v>
      </c>
      <c r="E3398" s="4" t="s">
        <v>5240</v>
      </c>
      <c r="F3398" s="5">
        <v>40909</v>
      </c>
      <c r="G3398" s="5">
        <v>41274</v>
      </c>
      <c r="H3398" s="4" t="s">
        <v>40</v>
      </c>
      <c r="I3398" s="6">
        <v>2412</v>
      </c>
      <c r="J3398" s="6">
        <v>2412</v>
      </c>
      <c r="K3398" s="37" t="s">
        <v>5018</v>
      </c>
      <c r="L3398" s="119"/>
      <c r="M3398" s="3"/>
    </row>
    <row r="3399" spans="1:13" s="4" customFormat="1" ht="25.5" x14ac:dyDescent="0.25">
      <c r="A3399" s="4" t="s">
        <v>5710</v>
      </c>
      <c r="B3399" s="4" t="s">
        <v>38</v>
      </c>
      <c r="C3399" s="37" t="s">
        <v>5018</v>
      </c>
      <c r="D3399" s="35">
        <v>10714</v>
      </c>
      <c r="E3399" s="4" t="s">
        <v>5240</v>
      </c>
      <c r="F3399" s="5">
        <v>40909</v>
      </c>
      <c r="G3399" s="5">
        <v>41274</v>
      </c>
      <c r="H3399" s="4" t="s">
        <v>40</v>
      </c>
      <c r="I3399" s="6">
        <v>421.25</v>
      </c>
      <c r="J3399" s="6">
        <v>421.25</v>
      </c>
      <c r="K3399" s="37" t="s">
        <v>5018</v>
      </c>
      <c r="L3399" s="119"/>
      <c r="M3399" s="3"/>
    </row>
    <row r="3400" spans="1:13" s="4" customFormat="1" ht="25.5" x14ac:dyDescent="0.25">
      <c r="A3400" s="4" t="s">
        <v>5711</v>
      </c>
      <c r="B3400" s="4" t="s">
        <v>38</v>
      </c>
      <c r="C3400" s="37" t="s">
        <v>5018</v>
      </c>
      <c r="D3400" s="35">
        <v>10781</v>
      </c>
      <c r="E3400" s="4" t="s">
        <v>5712</v>
      </c>
      <c r="F3400" s="5">
        <v>40909</v>
      </c>
      <c r="G3400" s="5">
        <v>41274</v>
      </c>
      <c r="H3400" s="4" t="s">
        <v>40</v>
      </c>
      <c r="I3400" s="6">
        <v>255</v>
      </c>
      <c r="J3400" s="6">
        <v>255</v>
      </c>
      <c r="K3400" s="37" t="s">
        <v>5018</v>
      </c>
      <c r="L3400" s="119"/>
      <c r="M3400" s="3"/>
    </row>
    <row r="3401" spans="1:13" s="4" customFormat="1" ht="25.5" x14ac:dyDescent="0.25">
      <c r="A3401" s="4" t="s">
        <v>5713</v>
      </c>
      <c r="B3401" s="4" t="s">
        <v>38</v>
      </c>
      <c r="C3401" s="37" t="s">
        <v>5018</v>
      </c>
      <c r="D3401" s="35">
        <v>10782</v>
      </c>
      <c r="E3401" s="4" t="s">
        <v>5240</v>
      </c>
      <c r="F3401" s="5">
        <v>40909</v>
      </c>
      <c r="G3401" s="5">
        <v>41274</v>
      </c>
      <c r="H3401" s="4" t="s">
        <v>40</v>
      </c>
      <c r="I3401" s="6">
        <v>2091.5</v>
      </c>
      <c r="J3401" s="6">
        <v>2091.5</v>
      </c>
      <c r="K3401" s="37" t="s">
        <v>5018</v>
      </c>
      <c r="L3401" s="119"/>
      <c r="M3401" s="3"/>
    </row>
    <row r="3402" spans="1:13" s="4" customFormat="1" ht="25.5" x14ac:dyDescent="0.25">
      <c r="A3402" s="4" t="s">
        <v>5714</v>
      </c>
      <c r="B3402" s="4" t="s">
        <v>38</v>
      </c>
      <c r="C3402" s="37" t="s">
        <v>5018</v>
      </c>
      <c r="D3402" s="35">
        <v>10784</v>
      </c>
      <c r="E3402" s="4" t="s">
        <v>5712</v>
      </c>
      <c r="F3402" s="5">
        <v>40909</v>
      </c>
      <c r="G3402" s="5">
        <v>41274</v>
      </c>
      <c r="H3402" s="4" t="s">
        <v>40</v>
      </c>
      <c r="I3402" s="6">
        <v>255</v>
      </c>
      <c r="J3402" s="6">
        <v>255</v>
      </c>
      <c r="K3402" s="37" t="s">
        <v>5018</v>
      </c>
      <c r="L3402" s="119"/>
      <c r="M3402" s="3"/>
    </row>
    <row r="3403" spans="1:13" s="4" customFormat="1" ht="25.5" x14ac:dyDescent="0.25">
      <c r="A3403" s="4" t="s">
        <v>5715</v>
      </c>
      <c r="B3403" s="4" t="s">
        <v>38</v>
      </c>
      <c r="C3403" s="37" t="s">
        <v>5018</v>
      </c>
      <c r="D3403" s="35">
        <v>10786</v>
      </c>
      <c r="E3403" s="4" t="s">
        <v>5240</v>
      </c>
      <c r="F3403" s="5">
        <v>40909</v>
      </c>
      <c r="G3403" s="5">
        <v>41274</v>
      </c>
      <c r="H3403" s="4" t="s">
        <v>40</v>
      </c>
      <c r="I3403" s="6">
        <v>1337.5</v>
      </c>
      <c r="J3403" s="6">
        <v>1337.5</v>
      </c>
      <c r="K3403" s="37" t="s">
        <v>5018</v>
      </c>
      <c r="L3403" s="119"/>
      <c r="M3403" s="3"/>
    </row>
    <row r="3404" spans="1:13" s="4" customFormat="1" ht="25.5" x14ac:dyDescent="0.25">
      <c r="A3404" s="4" t="s">
        <v>5716</v>
      </c>
      <c r="B3404" s="4" t="s">
        <v>38</v>
      </c>
      <c r="C3404" s="37" t="s">
        <v>5018</v>
      </c>
      <c r="D3404" s="35">
        <v>10787</v>
      </c>
      <c r="E3404" s="4" t="s">
        <v>5717</v>
      </c>
      <c r="F3404" s="5">
        <v>40909</v>
      </c>
      <c r="G3404" s="5">
        <v>41274</v>
      </c>
      <c r="H3404" s="4" t="s">
        <v>40</v>
      </c>
      <c r="I3404" s="6">
        <v>241.71</v>
      </c>
      <c r="J3404" s="6">
        <v>241.71</v>
      </c>
      <c r="K3404" s="37" t="s">
        <v>5018</v>
      </c>
      <c r="L3404" s="119"/>
      <c r="M3404" s="3"/>
    </row>
    <row r="3405" spans="1:13" s="4" customFormat="1" ht="25.5" x14ac:dyDescent="0.25">
      <c r="A3405" s="4" t="s">
        <v>5718</v>
      </c>
      <c r="B3405" s="4" t="s">
        <v>38</v>
      </c>
      <c r="C3405" s="37" t="s">
        <v>5018</v>
      </c>
      <c r="D3405" s="35">
        <v>10788</v>
      </c>
      <c r="E3405" s="4" t="s">
        <v>5719</v>
      </c>
      <c r="F3405" s="5">
        <v>40909</v>
      </c>
      <c r="G3405" s="5">
        <v>41274</v>
      </c>
      <c r="H3405" s="4" t="s">
        <v>40</v>
      </c>
      <c r="I3405" s="6">
        <v>275</v>
      </c>
      <c r="J3405" s="6">
        <v>275</v>
      </c>
      <c r="K3405" s="37" t="s">
        <v>5018</v>
      </c>
      <c r="L3405" s="119"/>
      <c r="M3405" s="3"/>
    </row>
    <row r="3406" spans="1:13" s="4" customFormat="1" ht="25.5" x14ac:dyDescent="0.25">
      <c r="A3406" s="4" t="s">
        <v>5720</v>
      </c>
      <c r="B3406" s="4" t="s">
        <v>38</v>
      </c>
      <c r="C3406" s="37" t="s">
        <v>5018</v>
      </c>
      <c r="D3406" s="35">
        <v>10789</v>
      </c>
      <c r="E3406" s="4" t="s">
        <v>5721</v>
      </c>
      <c r="F3406" s="5">
        <v>40909</v>
      </c>
      <c r="G3406" s="5">
        <v>41274</v>
      </c>
      <c r="H3406" s="4" t="s">
        <v>40</v>
      </c>
      <c r="I3406" s="6">
        <v>125</v>
      </c>
      <c r="J3406" s="6">
        <v>125</v>
      </c>
      <c r="K3406" s="37" t="s">
        <v>5018</v>
      </c>
      <c r="L3406" s="119"/>
      <c r="M3406" s="3"/>
    </row>
    <row r="3407" spans="1:13" s="4" customFormat="1" ht="25.5" x14ac:dyDescent="0.25">
      <c r="A3407" s="4" t="s">
        <v>5722</v>
      </c>
      <c r="B3407" s="4" t="s">
        <v>38</v>
      </c>
      <c r="C3407" s="37" t="s">
        <v>5018</v>
      </c>
      <c r="D3407" s="35">
        <v>10790</v>
      </c>
      <c r="E3407" s="4" t="s">
        <v>5723</v>
      </c>
      <c r="F3407" s="5">
        <v>40909</v>
      </c>
      <c r="G3407" s="5">
        <v>41274</v>
      </c>
      <c r="H3407" s="4" t="s">
        <v>40</v>
      </c>
      <c r="I3407" s="6">
        <v>459.6</v>
      </c>
      <c r="J3407" s="6">
        <v>459.6</v>
      </c>
      <c r="K3407" s="37" t="s">
        <v>5018</v>
      </c>
      <c r="L3407" s="119"/>
      <c r="M3407" s="3"/>
    </row>
    <row r="3408" spans="1:13" s="4" customFormat="1" ht="25.5" x14ac:dyDescent="0.25">
      <c r="A3408" s="4" t="s">
        <v>5724</v>
      </c>
      <c r="B3408" s="4" t="s">
        <v>38</v>
      </c>
      <c r="C3408" s="37" t="s">
        <v>5018</v>
      </c>
      <c r="D3408" s="35">
        <v>10792</v>
      </c>
      <c r="E3408" s="4" t="s">
        <v>5725</v>
      </c>
      <c r="F3408" s="5">
        <v>40909</v>
      </c>
      <c r="G3408" s="5">
        <v>41274</v>
      </c>
      <c r="H3408" s="4" t="s">
        <v>40</v>
      </c>
      <c r="I3408" s="6">
        <v>532.20000000000005</v>
      </c>
      <c r="J3408" s="6">
        <v>532.20000000000005</v>
      </c>
      <c r="K3408" s="37" t="s">
        <v>5018</v>
      </c>
      <c r="L3408" s="119"/>
      <c r="M3408" s="3"/>
    </row>
    <row r="3409" spans="1:13" s="4" customFormat="1" ht="25.5" x14ac:dyDescent="0.25">
      <c r="A3409" s="4" t="s">
        <v>5726</v>
      </c>
      <c r="B3409" s="4" t="s">
        <v>38</v>
      </c>
      <c r="C3409" s="37" t="s">
        <v>5018</v>
      </c>
      <c r="D3409" s="35">
        <v>10793</v>
      </c>
      <c r="E3409" s="4" t="s">
        <v>5727</v>
      </c>
      <c r="F3409" s="5">
        <v>40909</v>
      </c>
      <c r="G3409" s="5">
        <v>41274</v>
      </c>
      <c r="H3409" s="4" t="s">
        <v>40</v>
      </c>
      <c r="I3409" s="6">
        <v>262.25</v>
      </c>
      <c r="J3409" s="6">
        <v>262.25</v>
      </c>
      <c r="K3409" s="37" t="s">
        <v>5018</v>
      </c>
      <c r="L3409" s="119"/>
      <c r="M3409" s="3"/>
    </row>
    <row r="3410" spans="1:13" s="4" customFormat="1" ht="25.5" x14ac:dyDescent="0.25">
      <c r="A3410" s="4" t="s">
        <v>5728</v>
      </c>
      <c r="B3410" s="4" t="s">
        <v>38</v>
      </c>
      <c r="C3410" s="37" t="s">
        <v>5018</v>
      </c>
      <c r="D3410" s="35">
        <v>10794</v>
      </c>
      <c r="E3410" s="4" t="s">
        <v>5729</v>
      </c>
      <c r="F3410" s="5">
        <v>40909</v>
      </c>
      <c r="G3410" s="5">
        <v>41274</v>
      </c>
      <c r="H3410" s="4" t="s">
        <v>40</v>
      </c>
      <c r="I3410" s="6">
        <v>474.7</v>
      </c>
      <c r="J3410" s="6">
        <v>474.7</v>
      </c>
      <c r="K3410" s="37" t="s">
        <v>5018</v>
      </c>
      <c r="L3410" s="119"/>
      <c r="M3410" s="3"/>
    </row>
    <row r="3411" spans="1:13" s="4" customFormat="1" ht="25.5" x14ac:dyDescent="0.25">
      <c r="A3411" s="4" t="s">
        <v>5730</v>
      </c>
      <c r="B3411" s="4" t="s">
        <v>38</v>
      </c>
      <c r="C3411" s="37" t="s">
        <v>5018</v>
      </c>
      <c r="D3411" s="35">
        <v>10796</v>
      </c>
      <c r="E3411" s="4" t="s">
        <v>5731</v>
      </c>
      <c r="F3411" s="5">
        <v>40909</v>
      </c>
      <c r="G3411" s="5">
        <v>41274</v>
      </c>
      <c r="H3411" s="4" t="s">
        <v>40</v>
      </c>
      <c r="I3411" s="6">
        <v>315</v>
      </c>
      <c r="J3411" s="6">
        <v>315</v>
      </c>
      <c r="K3411" s="37" t="s">
        <v>5018</v>
      </c>
      <c r="L3411" s="119"/>
      <c r="M3411" s="3"/>
    </row>
    <row r="3412" spans="1:13" s="4" customFormat="1" ht="25.5" x14ac:dyDescent="0.25">
      <c r="A3412" s="4" t="s">
        <v>5732</v>
      </c>
      <c r="B3412" s="4" t="s">
        <v>38</v>
      </c>
      <c r="C3412" s="37" t="s">
        <v>5018</v>
      </c>
      <c r="D3412" s="35">
        <v>10797</v>
      </c>
      <c r="E3412" s="4" t="s">
        <v>5733</v>
      </c>
      <c r="F3412" s="5">
        <v>40909</v>
      </c>
      <c r="G3412" s="5">
        <v>41274</v>
      </c>
      <c r="H3412" s="4" t="s">
        <v>40</v>
      </c>
      <c r="I3412" s="6">
        <v>562.25</v>
      </c>
      <c r="J3412" s="6">
        <v>562.25</v>
      </c>
      <c r="K3412" s="37" t="s">
        <v>5018</v>
      </c>
      <c r="L3412" s="119"/>
      <c r="M3412" s="3"/>
    </row>
    <row r="3413" spans="1:13" s="4" customFormat="1" ht="25.5" x14ac:dyDescent="0.25">
      <c r="A3413" s="4" t="s">
        <v>5734</v>
      </c>
      <c r="B3413" s="4" t="s">
        <v>38</v>
      </c>
      <c r="C3413" s="37" t="s">
        <v>5018</v>
      </c>
      <c r="D3413" s="35">
        <v>10799</v>
      </c>
      <c r="E3413" s="4" t="s">
        <v>5735</v>
      </c>
      <c r="F3413" s="5">
        <v>40909</v>
      </c>
      <c r="G3413" s="5">
        <v>41274</v>
      </c>
      <c r="H3413" s="4" t="s">
        <v>40</v>
      </c>
      <c r="I3413" s="6">
        <v>649.70000000000005</v>
      </c>
      <c r="J3413" s="6">
        <v>649.70000000000005</v>
      </c>
      <c r="K3413" s="37" t="s">
        <v>5018</v>
      </c>
      <c r="L3413" s="119"/>
      <c r="M3413" s="3"/>
    </row>
    <row r="3414" spans="1:13" s="4" customFormat="1" ht="25.5" x14ac:dyDescent="0.25">
      <c r="A3414" s="4" t="s">
        <v>5736</v>
      </c>
      <c r="B3414" s="4" t="s">
        <v>38</v>
      </c>
      <c r="C3414" s="37" t="s">
        <v>5018</v>
      </c>
      <c r="D3414" s="35">
        <v>10808</v>
      </c>
      <c r="E3414" s="4" t="s">
        <v>5737</v>
      </c>
      <c r="F3414" s="5">
        <v>40909</v>
      </c>
      <c r="G3414" s="5">
        <v>41274</v>
      </c>
      <c r="H3414" s="4" t="s">
        <v>40</v>
      </c>
      <c r="I3414" s="6">
        <v>411.85</v>
      </c>
      <c r="J3414" s="6">
        <v>411.85</v>
      </c>
      <c r="K3414" s="37" t="s">
        <v>5018</v>
      </c>
      <c r="L3414" s="119"/>
      <c r="M3414" s="3"/>
    </row>
    <row r="3415" spans="1:13" s="4" customFormat="1" ht="25.5" x14ac:dyDescent="0.25">
      <c r="A3415" s="4" t="s">
        <v>5738</v>
      </c>
      <c r="B3415" s="4" t="s">
        <v>38</v>
      </c>
      <c r="C3415" s="37" t="s">
        <v>5018</v>
      </c>
      <c r="D3415" s="35">
        <v>10809</v>
      </c>
      <c r="E3415" s="4" t="s">
        <v>5739</v>
      </c>
      <c r="F3415" s="5">
        <v>40909</v>
      </c>
      <c r="G3415" s="5">
        <v>41274</v>
      </c>
      <c r="H3415" s="4" t="s">
        <v>40</v>
      </c>
      <c r="I3415" s="6">
        <v>375</v>
      </c>
      <c r="J3415" s="6">
        <v>375</v>
      </c>
      <c r="K3415" s="37" t="s">
        <v>5018</v>
      </c>
      <c r="L3415" s="119"/>
      <c r="M3415" s="3"/>
    </row>
    <row r="3416" spans="1:13" s="4" customFormat="1" ht="25.5" x14ac:dyDescent="0.25">
      <c r="A3416" s="4" t="s">
        <v>5740</v>
      </c>
      <c r="B3416" s="4" t="s">
        <v>38</v>
      </c>
      <c r="C3416" s="37" t="s">
        <v>5018</v>
      </c>
      <c r="D3416" s="35">
        <v>10810</v>
      </c>
      <c r="E3416" s="4" t="s">
        <v>5741</v>
      </c>
      <c r="F3416" s="5">
        <v>40909</v>
      </c>
      <c r="G3416" s="5">
        <v>41274</v>
      </c>
      <c r="H3416" s="4" t="s">
        <v>40</v>
      </c>
      <c r="I3416" s="6">
        <v>337.5</v>
      </c>
      <c r="J3416" s="6">
        <v>337.5</v>
      </c>
      <c r="K3416" s="37" t="s">
        <v>5018</v>
      </c>
      <c r="L3416" s="119"/>
      <c r="M3416" s="3"/>
    </row>
    <row r="3417" spans="1:13" s="4" customFormat="1" ht="25.5" x14ac:dyDescent="0.25">
      <c r="A3417" s="4" t="s">
        <v>5742</v>
      </c>
      <c r="B3417" s="4" t="s">
        <v>38</v>
      </c>
      <c r="C3417" s="37" t="s">
        <v>5018</v>
      </c>
      <c r="D3417" s="35">
        <v>10811</v>
      </c>
      <c r="E3417" s="4" t="s">
        <v>5743</v>
      </c>
      <c r="F3417" s="5">
        <v>40909</v>
      </c>
      <c r="G3417" s="5">
        <v>41274</v>
      </c>
      <c r="H3417" s="4" t="s">
        <v>40</v>
      </c>
      <c r="I3417" s="6">
        <v>300</v>
      </c>
      <c r="J3417" s="6">
        <v>300</v>
      </c>
      <c r="K3417" s="37" t="s">
        <v>5018</v>
      </c>
      <c r="L3417" s="119"/>
      <c r="M3417" s="3"/>
    </row>
    <row r="3418" spans="1:13" s="4" customFormat="1" ht="25.5" x14ac:dyDescent="0.25">
      <c r="A3418" s="4" t="s">
        <v>5744</v>
      </c>
      <c r="B3418" s="4" t="s">
        <v>38</v>
      </c>
      <c r="C3418" s="37" t="s">
        <v>5018</v>
      </c>
      <c r="D3418" s="35">
        <v>10812</v>
      </c>
      <c r="E3418" s="4" t="s">
        <v>5745</v>
      </c>
      <c r="F3418" s="5">
        <v>40909</v>
      </c>
      <c r="G3418" s="5">
        <v>41274</v>
      </c>
      <c r="H3418" s="4" t="s">
        <v>40</v>
      </c>
      <c r="I3418" s="6">
        <v>374.5</v>
      </c>
      <c r="J3418" s="6">
        <v>374.5</v>
      </c>
      <c r="K3418" s="37" t="s">
        <v>5018</v>
      </c>
      <c r="L3418" s="119"/>
      <c r="M3418" s="3"/>
    </row>
    <row r="3419" spans="1:13" s="4" customFormat="1" ht="25.5" x14ac:dyDescent="0.25">
      <c r="A3419" s="4" t="s">
        <v>5746</v>
      </c>
      <c r="B3419" s="4" t="s">
        <v>38</v>
      </c>
      <c r="C3419" s="37" t="s">
        <v>5018</v>
      </c>
      <c r="D3419" s="35">
        <v>10813</v>
      </c>
      <c r="E3419" s="4" t="s">
        <v>5747</v>
      </c>
      <c r="F3419" s="5">
        <v>40909</v>
      </c>
      <c r="G3419" s="5">
        <v>41274</v>
      </c>
      <c r="H3419" s="4" t="s">
        <v>40</v>
      </c>
      <c r="I3419" s="6">
        <v>197.5</v>
      </c>
      <c r="J3419" s="6">
        <v>197.5</v>
      </c>
      <c r="K3419" s="37" t="s">
        <v>5018</v>
      </c>
      <c r="L3419" s="119"/>
      <c r="M3419" s="3"/>
    </row>
    <row r="3420" spans="1:13" s="4" customFormat="1" ht="25.5" x14ac:dyDescent="0.25">
      <c r="A3420" s="4" t="s">
        <v>5748</v>
      </c>
      <c r="B3420" s="4" t="s">
        <v>38</v>
      </c>
      <c r="C3420" s="37" t="s">
        <v>5018</v>
      </c>
      <c r="D3420" s="35">
        <v>10814</v>
      </c>
      <c r="E3420" s="4" t="s">
        <v>5749</v>
      </c>
      <c r="F3420" s="5">
        <v>40909</v>
      </c>
      <c r="G3420" s="5">
        <v>41274</v>
      </c>
      <c r="H3420" s="4" t="s">
        <v>40</v>
      </c>
      <c r="I3420" s="6">
        <v>188.5</v>
      </c>
      <c r="J3420" s="6">
        <v>188.5</v>
      </c>
      <c r="K3420" s="37" t="s">
        <v>5018</v>
      </c>
      <c r="L3420" s="119"/>
      <c r="M3420" s="3"/>
    </row>
    <row r="3421" spans="1:13" s="4" customFormat="1" ht="25.5" x14ac:dyDescent="0.25">
      <c r="A3421" s="4" t="s">
        <v>5750</v>
      </c>
      <c r="B3421" s="4" t="s">
        <v>38</v>
      </c>
      <c r="C3421" s="37" t="s">
        <v>5018</v>
      </c>
      <c r="D3421" s="35">
        <v>10815</v>
      </c>
      <c r="E3421" s="4" t="s">
        <v>5751</v>
      </c>
      <c r="F3421" s="5">
        <v>40909</v>
      </c>
      <c r="G3421" s="5">
        <v>41274</v>
      </c>
      <c r="H3421" s="4" t="s">
        <v>40</v>
      </c>
      <c r="I3421" s="6">
        <v>387.5</v>
      </c>
      <c r="J3421" s="6">
        <v>387.5</v>
      </c>
      <c r="K3421" s="37" t="s">
        <v>5018</v>
      </c>
      <c r="L3421" s="119"/>
      <c r="M3421" s="3"/>
    </row>
    <row r="3422" spans="1:13" s="4" customFormat="1" ht="25.5" x14ac:dyDescent="0.25">
      <c r="A3422" s="4" t="s">
        <v>5752</v>
      </c>
      <c r="B3422" s="4" t="s">
        <v>38</v>
      </c>
      <c r="C3422" s="37" t="s">
        <v>5018</v>
      </c>
      <c r="D3422" s="35">
        <v>10816</v>
      </c>
      <c r="E3422" s="4" t="s">
        <v>5753</v>
      </c>
      <c r="F3422" s="5">
        <v>40909</v>
      </c>
      <c r="G3422" s="5">
        <v>41274</v>
      </c>
      <c r="H3422" s="4" t="s">
        <v>40</v>
      </c>
      <c r="I3422" s="6">
        <v>2080.8000000000002</v>
      </c>
      <c r="J3422" s="6">
        <v>2080.8000000000002</v>
      </c>
      <c r="K3422" s="37" t="s">
        <v>5018</v>
      </c>
      <c r="L3422" s="119"/>
      <c r="M3422" s="3"/>
    </row>
    <row r="3423" spans="1:13" s="4" customFormat="1" ht="25.5" x14ac:dyDescent="0.25">
      <c r="A3423" s="4" t="s">
        <v>5754</v>
      </c>
      <c r="B3423" s="4" t="s">
        <v>38</v>
      </c>
      <c r="C3423" s="37" t="s">
        <v>5018</v>
      </c>
      <c r="D3423" s="35">
        <v>10817</v>
      </c>
      <c r="E3423" s="4" t="s">
        <v>5180</v>
      </c>
      <c r="F3423" s="5">
        <v>40909</v>
      </c>
      <c r="G3423" s="5">
        <v>41274</v>
      </c>
      <c r="H3423" s="4" t="s">
        <v>40</v>
      </c>
      <c r="I3423" s="6">
        <v>1290.4000000000001</v>
      </c>
      <c r="J3423" s="6">
        <v>1290.4000000000001</v>
      </c>
      <c r="K3423" s="37" t="s">
        <v>5018</v>
      </c>
      <c r="L3423" s="119"/>
      <c r="M3423" s="3"/>
    </row>
    <row r="3424" spans="1:13" s="4" customFormat="1" ht="25.5" x14ac:dyDescent="0.25">
      <c r="A3424" s="4" t="s">
        <v>5755</v>
      </c>
      <c r="B3424" s="4" t="s">
        <v>38</v>
      </c>
      <c r="C3424" s="37" t="s">
        <v>5018</v>
      </c>
      <c r="D3424" s="35">
        <v>10819</v>
      </c>
      <c r="E3424" s="4" t="s">
        <v>5756</v>
      </c>
      <c r="F3424" s="5">
        <v>40909</v>
      </c>
      <c r="G3424" s="5">
        <v>41274</v>
      </c>
      <c r="H3424" s="4" t="s">
        <v>40</v>
      </c>
      <c r="I3424" s="6">
        <v>2280</v>
      </c>
      <c r="J3424" s="6">
        <v>2280</v>
      </c>
      <c r="K3424" s="37" t="s">
        <v>5018</v>
      </c>
      <c r="L3424" s="119"/>
      <c r="M3424" s="3"/>
    </row>
    <row r="3425" spans="1:13" s="4" customFormat="1" ht="25.5" x14ac:dyDescent="0.25">
      <c r="A3425" s="4" t="s">
        <v>5757</v>
      </c>
      <c r="B3425" s="4" t="s">
        <v>38</v>
      </c>
      <c r="C3425" s="37" t="s">
        <v>5018</v>
      </c>
      <c r="D3425" s="35">
        <v>10828</v>
      </c>
      <c r="E3425" s="4" t="s">
        <v>5753</v>
      </c>
      <c r="F3425" s="5">
        <v>40909</v>
      </c>
      <c r="G3425" s="5">
        <v>41274</v>
      </c>
      <c r="H3425" s="4" t="s">
        <v>40</v>
      </c>
      <c r="I3425" s="6">
        <v>1633.2</v>
      </c>
      <c r="J3425" s="6">
        <v>1633.2</v>
      </c>
      <c r="K3425" s="37" t="s">
        <v>5018</v>
      </c>
      <c r="L3425" s="119"/>
      <c r="M3425" s="3"/>
    </row>
    <row r="3426" spans="1:13" s="4" customFormat="1" ht="25.5" x14ac:dyDescent="0.25">
      <c r="A3426" s="4" t="s">
        <v>5758</v>
      </c>
      <c r="B3426" s="4" t="s">
        <v>38</v>
      </c>
      <c r="C3426" s="37" t="s">
        <v>5018</v>
      </c>
      <c r="D3426" s="35">
        <v>10830</v>
      </c>
      <c r="E3426" s="4" t="s">
        <v>5759</v>
      </c>
      <c r="F3426" s="5">
        <v>40909</v>
      </c>
      <c r="G3426" s="5">
        <v>41274</v>
      </c>
      <c r="H3426" s="4" t="s">
        <v>40</v>
      </c>
      <c r="I3426" s="6">
        <v>199</v>
      </c>
      <c r="J3426" s="6">
        <v>199</v>
      </c>
      <c r="K3426" s="37" t="s">
        <v>5018</v>
      </c>
      <c r="L3426" s="119"/>
      <c r="M3426" s="3"/>
    </row>
    <row r="3427" spans="1:13" s="4" customFormat="1" ht="25.5" x14ac:dyDescent="0.25">
      <c r="A3427" s="4" t="s">
        <v>5760</v>
      </c>
      <c r="B3427" s="4" t="s">
        <v>38</v>
      </c>
      <c r="C3427" s="37" t="s">
        <v>5018</v>
      </c>
      <c r="D3427" s="35">
        <v>10831</v>
      </c>
      <c r="E3427" s="4" t="s">
        <v>5761</v>
      </c>
      <c r="F3427" s="5">
        <v>40909</v>
      </c>
      <c r="G3427" s="5">
        <v>41274</v>
      </c>
      <c r="H3427" s="4" t="s">
        <v>40</v>
      </c>
      <c r="I3427" s="6">
        <v>1183.8</v>
      </c>
      <c r="J3427" s="6">
        <v>1183.8</v>
      </c>
      <c r="K3427" s="37" t="s">
        <v>5018</v>
      </c>
      <c r="L3427" s="119"/>
      <c r="M3427" s="3"/>
    </row>
    <row r="3428" spans="1:13" s="4" customFormat="1" ht="25.5" x14ac:dyDescent="0.25">
      <c r="A3428" s="4" t="s">
        <v>5762</v>
      </c>
      <c r="B3428" s="4" t="s">
        <v>38</v>
      </c>
      <c r="C3428" s="37" t="s">
        <v>5018</v>
      </c>
      <c r="D3428" s="35">
        <v>10832</v>
      </c>
      <c r="E3428" s="4" t="s">
        <v>5745</v>
      </c>
      <c r="F3428" s="5">
        <v>40909</v>
      </c>
      <c r="G3428" s="5">
        <v>41274</v>
      </c>
      <c r="H3428" s="4" t="s">
        <v>40</v>
      </c>
      <c r="I3428" s="6">
        <v>309.75</v>
      </c>
      <c r="J3428" s="6">
        <v>309.75</v>
      </c>
      <c r="K3428" s="37" t="s">
        <v>5018</v>
      </c>
      <c r="L3428" s="119"/>
      <c r="M3428" s="3"/>
    </row>
    <row r="3429" spans="1:13" s="4" customFormat="1" ht="25.5" x14ac:dyDescent="0.25">
      <c r="A3429" s="4" t="s">
        <v>5763</v>
      </c>
      <c r="B3429" s="4" t="s">
        <v>38</v>
      </c>
      <c r="C3429" s="37" t="s">
        <v>5018</v>
      </c>
      <c r="D3429" s="35">
        <v>10833</v>
      </c>
      <c r="E3429" s="4" t="s">
        <v>5751</v>
      </c>
      <c r="F3429" s="5">
        <v>40909</v>
      </c>
      <c r="G3429" s="5">
        <v>41274</v>
      </c>
      <c r="H3429" s="4" t="s">
        <v>40</v>
      </c>
      <c r="I3429" s="6">
        <v>260</v>
      </c>
      <c r="J3429" s="6">
        <v>260</v>
      </c>
      <c r="K3429" s="37" t="s">
        <v>5018</v>
      </c>
      <c r="L3429" s="119"/>
      <c r="M3429" s="3"/>
    </row>
    <row r="3430" spans="1:13" s="4" customFormat="1" ht="25.5" x14ac:dyDescent="0.25">
      <c r="A3430" s="4" t="s">
        <v>5764</v>
      </c>
      <c r="B3430" s="4" t="s">
        <v>38</v>
      </c>
      <c r="C3430" s="37" t="s">
        <v>5018</v>
      </c>
      <c r="D3430" s="35">
        <v>10839</v>
      </c>
      <c r="E3430" s="4" t="s">
        <v>5765</v>
      </c>
      <c r="F3430" s="5">
        <v>40909</v>
      </c>
      <c r="G3430" s="5">
        <v>41274</v>
      </c>
      <c r="H3430" s="4" t="s">
        <v>40</v>
      </c>
      <c r="I3430" s="6">
        <v>1692.8</v>
      </c>
      <c r="J3430" s="6">
        <v>1692.8</v>
      </c>
      <c r="K3430" s="37" t="s">
        <v>5018</v>
      </c>
      <c r="L3430" s="119"/>
      <c r="M3430" s="3"/>
    </row>
    <row r="3431" spans="1:13" s="4" customFormat="1" ht="25.5" x14ac:dyDescent="0.25">
      <c r="A3431" s="4" t="s">
        <v>5766</v>
      </c>
      <c r="B3431" s="4" t="s">
        <v>38</v>
      </c>
      <c r="C3431" s="37" t="s">
        <v>5018</v>
      </c>
      <c r="D3431" s="35">
        <v>10840</v>
      </c>
      <c r="E3431" s="4" t="s">
        <v>5767</v>
      </c>
      <c r="F3431" s="5">
        <v>40909</v>
      </c>
      <c r="G3431" s="5">
        <v>41274</v>
      </c>
      <c r="H3431" s="4" t="s">
        <v>40</v>
      </c>
      <c r="I3431" s="6">
        <v>265</v>
      </c>
      <c r="J3431" s="6">
        <v>265</v>
      </c>
      <c r="K3431" s="37" t="s">
        <v>5018</v>
      </c>
      <c r="L3431" s="119"/>
      <c r="M3431" s="3"/>
    </row>
    <row r="3432" spans="1:13" s="4" customFormat="1" ht="25.5" x14ac:dyDescent="0.25">
      <c r="A3432" s="4" t="s">
        <v>5768</v>
      </c>
      <c r="B3432" s="4" t="s">
        <v>38</v>
      </c>
      <c r="C3432" s="37" t="s">
        <v>5018</v>
      </c>
      <c r="D3432" s="35">
        <v>10841</v>
      </c>
      <c r="E3432" s="4" t="s">
        <v>5769</v>
      </c>
      <c r="F3432" s="5">
        <v>40909</v>
      </c>
      <c r="G3432" s="5">
        <v>41274</v>
      </c>
      <c r="H3432" s="4" t="s">
        <v>40</v>
      </c>
      <c r="I3432" s="6">
        <v>864</v>
      </c>
      <c r="J3432" s="6">
        <v>864</v>
      </c>
      <c r="K3432" s="37" t="s">
        <v>5018</v>
      </c>
      <c r="L3432" s="119"/>
      <c r="M3432" s="3"/>
    </row>
    <row r="3433" spans="1:13" s="4" customFormat="1" ht="25.5" x14ac:dyDescent="0.25">
      <c r="A3433" s="4" t="s">
        <v>5770</v>
      </c>
      <c r="B3433" s="4" t="s">
        <v>38</v>
      </c>
      <c r="C3433" s="37" t="s">
        <v>5018</v>
      </c>
      <c r="D3433" s="35">
        <v>10842</v>
      </c>
      <c r="E3433" s="4" t="s">
        <v>5771</v>
      </c>
      <c r="F3433" s="5">
        <v>40909</v>
      </c>
      <c r="G3433" s="5">
        <v>41274</v>
      </c>
      <c r="H3433" s="4" t="s">
        <v>40</v>
      </c>
      <c r="I3433" s="6">
        <v>2064</v>
      </c>
      <c r="J3433" s="6">
        <v>2064</v>
      </c>
      <c r="K3433" s="37" t="s">
        <v>5018</v>
      </c>
      <c r="L3433" s="119"/>
      <c r="M3433" s="3"/>
    </row>
    <row r="3434" spans="1:13" s="4" customFormat="1" ht="25.5" x14ac:dyDescent="0.25">
      <c r="A3434" s="4" t="s">
        <v>5772</v>
      </c>
      <c r="B3434" s="4" t="s">
        <v>38</v>
      </c>
      <c r="C3434" s="37" t="s">
        <v>5018</v>
      </c>
      <c r="D3434" s="35">
        <v>10843</v>
      </c>
      <c r="E3434" s="4" t="s">
        <v>5773</v>
      </c>
      <c r="F3434" s="5">
        <v>40909</v>
      </c>
      <c r="G3434" s="5">
        <v>41274</v>
      </c>
      <c r="H3434" s="4" t="s">
        <v>40</v>
      </c>
      <c r="I3434" s="6">
        <v>904</v>
      </c>
      <c r="J3434" s="6">
        <v>904</v>
      </c>
      <c r="K3434" s="37" t="s">
        <v>5018</v>
      </c>
      <c r="L3434" s="119"/>
      <c r="M3434" s="3"/>
    </row>
    <row r="3435" spans="1:13" s="4" customFormat="1" ht="25.5" x14ac:dyDescent="0.25">
      <c r="A3435" s="4" t="s">
        <v>5774</v>
      </c>
      <c r="B3435" s="4" t="s">
        <v>38</v>
      </c>
      <c r="C3435" s="37" t="s">
        <v>5018</v>
      </c>
      <c r="D3435" s="35">
        <v>10844</v>
      </c>
      <c r="E3435" s="4" t="s">
        <v>5775</v>
      </c>
      <c r="F3435" s="5">
        <v>40909</v>
      </c>
      <c r="G3435" s="5">
        <v>41274</v>
      </c>
      <c r="H3435" s="4" t="s">
        <v>40</v>
      </c>
      <c r="I3435" s="6">
        <v>171</v>
      </c>
      <c r="J3435" s="6">
        <v>171</v>
      </c>
      <c r="K3435" s="37" t="s">
        <v>5018</v>
      </c>
      <c r="L3435" s="119"/>
      <c r="M3435" s="3"/>
    </row>
    <row r="3436" spans="1:13" s="4" customFormat="1" ht="25.5" x14ac:dyDescent="0.25">
      <c r="A3436" s="4" t="s">
        <v>5776</v>
      </c>
      <c r="B3436" s="4" t="s">
        <v>38</v>
      </c>
      <c r="C3436" s="37" t="s">
        <v>5018</v>
      </c>
      <c r="D3436" s="35">
        <v>10845</v>
      </c>
      <c r="E3436" s="4" t="s">
        <v>5777</v>
      </c>
      <c r="F3436" s="5">
        <v>40909</v>
      </c>
      <c r="G3436" s="5">
        <v>41274</v>
      </c>
      <c r="H3436" s="4" t="s">
        <v>40</v>
      </c>
      <c r="I3436" s="6">
        <v>1500</v>
      </c>
      <c r="J3436" s="6">
        <v>1500</v>
      </c>
      <c r="K3436" s="37" t="s">
        <v>5018</v>
      </c>
      <c r="L3436" s="119"/>
      <c r="M3436" s="3"/>
    </row>
    <row r="3437" spans="1:13" s="4" customFormat="1" ht="25.5" x14ac:dyDescent="0.25">
      <c r="A3437" s="4" t="s">
        <v>5778</v>
      </c>
      <c r="B3437" s="4" t="s">
        <v>38</v>
      </c>
      <c r="C3437" s="37" t="s">
        <v>5018</v>
      </c>
      <c r="D3437" s="35">
        <v>10856</v>
      </c>
      <c r="E3437" s="4" t="s">
        <v>5779</v>
      </c>
      <c r="F3437" s="5">
        <v>40909</v>
      </c>
      <c r="G3437" s="5">
        <v>41274</v>
      </c>
      <c r="H3437" s="4" t="s">
        <v>40</v>
      </c>
      <c r="I3437" s="6">
        <v>140</v>
      </c>
      <c r="J3437" s="6">
        <v>140</v>
      </c>
      <c r="K3437" s="37" t="s">
        <v>5018</v>
      </c>
      <c r="L3437" s="119"/>
      <c r="M3437" s="3"/>
    </row>
    <row r="3438" spans="1:13" s="4" customFormat="1" ht="25.5" x14ac:dyDescent="0.25">
      <c r="A3438" s="4" t="s">
        <v>5780</v>
      </c>
      <c r="B3438" s="4" t="s">
        <v>38</v>
      </c>
      <c r="C3438" s="37" t="s">
        <v>5018</v>
      </c>
      <c r="D3438" s="35">
        <v>10857</v>
      </c>
      <c r="E3438" s="4" t="s">
        <v>5781</v>
      </c>
      <c r="F3438" s="5">
        <v>40909</v>
      </c>
      <c r="G3438" s="5">
        <v>41274</v>
      </c>
      <c r="H3438" s="4" t="s">
        <v>40</v>
      </c>
      <c r="I3438" s="6">
        <v>265</v>
      </c>
      <c r="J3438" s="6">
        <v>265</v>
      </c>
      <c r="K3438" s="37" t="s">
        <v>5018</v>
      </c>
      <c r="L3438" s="119"/>
      <c r="M3438" s="3"/>
    </row>
    <row r="3439" spans="1:13" s="4" customFormat="1" ht="25.5" x14ac:dyDescent="0.25">
      <c r="A3439" s="4" t="s">
        <v>5782</v>
      </c>
      <c r="B3439" s="4" t="s">
        <v>38</v>
      </c>
      <c r="C3439" s="37" t="s">
        <v>5018</v>
      </c>
      <c r="D3439" s="35">
        <v>10859</v>
      </c>
      <c r="E3439" s="4" t="s">
        <v>5783</v>
      </c>
      <c r="F3439" s="5">
        <v>40909</v>
      </c>
      <c r="G3439" s="5">
        <v>41274</v>
      </c>
      <c r="H3439" s="4" t="s">
        <v>40</v>
      </c>
      <c r="I3439" s="6">
        <v>630</v>
      </c>
      <c r="J3439" s="6">
        <v>630</v>
      </c>
      <c r="K3439" s="37" t="s">
        <v>5018</v>
      </c>
      <c r="L3439" s="119"/>
      <c r="M3439" s="3"/>
    </row>
    <row r="3440" spans="1:13" s="4" customFormat="1" ht="25.5" x14ac:dyDescent="0.25">
      <c r="A3440" s="4" t="s">
        <v>5784</v>
      </c>
      <c r="B3440" s="4" t="s">
        <v>38</v>
      </c>
      <c r="C3440" s="37" t="s">
        <v>5018</v>
      </c>
      <c r="D3440" s="35">
        <v>10861</v>
      </c>
      <c r="E3440" s="4" t="s">
        <v>5785</v>
      </c>
      <c r="F3440" s="5">
        <v>40909</v>
      </c>
      <c r="G3440" s="5">
        <v>41274</v>
      </c>
      <c r="H3440" s="4" t="s">
        <v>40</v>
      </c>
      <c r="I3440" s="6">
        <v>399</v>
      </c>
      <c r="J3440" s="6">
        <v>399</v>
      </c>
      <c r="K3440" s="37" t="s">
        <v>5018</v>
      </c>
      <c r="L3440" s="119"/>
      <c r="M3440" s="3"/>
    </row>
    <row r="3441" spans="1:13" s="4" customFormat="1" ht="25.5" x14ac:dyDescent="0.25">
      <c r="A3441" s="4" t="s">
        <v>5786</v>
      </c>
      <c r="B3441" s="4" t="s">
        <v>38</v>
      </c>
      <c r="C3441" s="37" t="s">
        <v>5018</v>
      </c>
      <c r="D3441" s="35">
        <v>10862</v>
      </c>
      <c r="E3441" s="4" t="s">
        <v>5783</v>
      </c>
      <c r="F3441" s="5">
        <v>40909</v>
      </c>
      <c r="G3441" s="5">
        <v>41274</v>
      </c>
      <c r="H3441" s="4" t="s">
        <v>40</v>
      </c>
      <c r="I3441" s="6">
        <v>971</v>
      </c>
      <c r="J3441" s="6">
        <v>971</v>
      </c>
      <c r="K3441" s="37" t="s">
        <v>5018</v>
      </c>
      <c r="L3441" s="119"/>
      <c r="M3441" s="3"/>
    </row>
    <row r="3442" spans="1:13" s="4" customFormat="1" ht="25.5" x14ac:dyDescent="0.25">
      <c r="A3442" s="4" t="s">
        <v>5787</v>
      </c>
      <c r="B3442" s="4" t="s">
        <v>38</v>
      </c>
      <c r="C3442" s="37" t="s">
        <v>5018</v>
      </c>
      <c r="D3442" s="35">
        <v>10863</v>
      </c>
      <c r="E3442" s="4" t="s">
        <v>5788</v>
      </c>
      <c r="F3442" s="5">
        <v>40909</v>
      </c>
      <c r="G3442" s="5">
        <v>41274</v>
      </c>
      <c r="H3442" s="4" t="s">
        <v>40</v>
      </c>
      <c r="I3442" s="6">
        <v>458</v>
      </c>
      <c r="J3442" s="6">
        <v>458</v>
      </c>
      <c r="K3442" s="37" t="s">
        <v>5018</v>
      </c>
      <c r="L3442" s="119"/>
      <c r="M3442" s="3"/>
    </row>
    <row r="3443" spans="1:13" s="4" customFormat="1" ht="25.5" x14ac:dyDescent="0.25">
      <c r="A3443" s="4" t="s">
        <v>5789</v>
      </c>
      <c r="B3443" s="4" t="s">
        <v>38</v>
      </c>
      <c r="C3443" s="37" t="s">
        <v>5018</v>
      </c>
      <c r="D3443" s="35">
        <v>10864</v>
      </c>
      <c r="E3443" s="4" t="s">
        <v>5783</v>
      </c>
      <c r="F3443" s="5">
        <v>40909</v>
      </c>
      <c r="G3443" s="5">
        <v>41274</v>
      </c>
      <c r="H3443" s="4" t="s">
        <v>40</v>
      </c>
      <c r="I3443" s="6">
        <v>971</v>
      </c>
      <c r="J3443" s="6">
        <v>971</v>
      </c>
      <c r="K3443" s="37" t="s">
        <v>5018</v>
      </c>
      <c r="L3443" s="119"/>
      <c r="M3443" s="3"/>
    </row>
    <row r="3444" spans="1:13" s="4" customFormat="1" ht="25.5" x14ac:dyDescent="0.25">
      <c r="A3444" s="4" t="s">
        <v>5790</v>
      </c>
      <c r="B3444" s="4" t="s">
        <v>38</v>
      </c>
      <c r="C3444" s="37" t="s">
        <v>5018</v>
      </c>
      <c r="D3444" s="35">
        <v>10865</v>
      </c>
      <c r="E3444" s="4" t="s">
        <v>5791</v>
      </c>
      <c r="F3444" s="5">
        <v>40909</v>
      </c>
      <c r="G3444" s="5">
        <v>41274</v>
      </c>
      <c r="H3444" s="4" t="s">
        <v>40</v>
      </c>
      <c r="I3444" s="6">
        <v>299</v>
      </c>
      <c r="J3444" s="6">
        <v>299</v>
      </c>
      <c r="K3444" s="37" t="s">
        <v>5018</v>
      </c>
      <c r="L3444" s="119"/>
      <c r="M3444" s="3"/>
    </row>
    <row r="3445" spans="1:13" s="4" customFormat="1" ht="38.25" x14ac:dyDescent="0.25">
      <c r="A3445" s="4" t="s">
        <v>5792</v>
      </c>
      <c r="B3445" s="4" t="s">
        <v>38</v>
      </c>
      <c r="C3445" s="37" t="s">
        <v>5018</v>
      </c>
      <c r="D3445" s="35">
        <v>10866</v>
      </c>
      <c r="E3445" s="4" t="s">
        <v>5793</v>
      </c>
      <c r="F3445" s="5">
        <v>40909</v>
      </c>
      <c r="G3445" s="5">
        <v>41274</v>
      </c>
      <c r="H3445" s="4" t="s">
        <v>40</v>
      </c>
      <c r="I3445" s="6">
        <v>15117.84</v>
      </c>
      <c r="J3445" s="6">
        <v>15117.84</v>
      </c>
      <c r="K3445" s="37" t="s">
        <v>5018</v>
      </c>
      <c r="L3445" s="119"/>
      <c r="M3445" s="3"/>
    </row>
    <row r="3446" spans="1:13" s="4" customFormat="1" ht="25.5" x14ac:dyDescent="0.25">
      <c r="A3446" s="4" t="s">
        <v>5794</v>
      </c>
      <c r="B3446" s="4" t="s">
        <v>38</v>
      </c>
      <c r="C3446" s="37" t="s">
        <v>5018</v>
      </c>
      <c r="D3446" s="35">
        <v>10867</v>
      </c>
      <c r="E3446" s="4" t="s">
        <v>5795</v>
      </c>
      <c r="F3446" s="5">
        <v>40909</v>
      </c>
      <c r="G3446" s="5">
        <v>41274</v>
      </c>
      <c r="H3446" s="4" t="s">
        <v>40</v>
      </c>
      <c r="I3446" s="6">
        <v>1232.5</v>
      </c>
      <c r="J3446" s="6">
        <v>1232.5</v>
      </c>
      <c r="K3446" s="37" t="s">
        <v>5018</v>
      </c>
      <c r="L3446" s="119"/>
      <c r="M3446" s="3"/>
    </row>
    <row r="3447" spans="1:13" s="4" customFormat="1" ht="25.5" x14ac:dyDescent="0.25">
      <c r="A3447" s="4" t="s">
        <v>5796</v>
      </c>
      <c r="B3447" s="4" t="s">
        <v>38</v>
      </c>
      <c r="C3447" s="37" t="s">
        <v>5018</v>
      </c>
      <c r="D3447" s="35">
        <v>10868</v>
      </c>
      <c r="E3447" s="4" t="s">
        <v>5797</v>
      </c>
      <c r="F3447" s="5">
        <v>40909</v>
      </c>
      <c r="G3447" s="5">
        <v>41274</v>
      </c>
      <c r="H3447" s="4" t="s">
        <v>40</v>
      </c>
      <c r="I3447" s="6">
        <v>1074</v>
      </c>
      <c r="J3447" s="6">
        <v>1074</v>
      </c>
      <c r="K3447" s="37" t="s">
        <v>5018</v>
      </c>
      <c r="L3447" s="119"/>
      <c r="M3447" s="3"/>
    </row>
    <row r="3448" spans="1:13" s="4" customFormat="1" ht="25.5" x14ac:dyDescent="0.25">
      <c r="A3448" s="4" t="s">
        <v>5798</v>
      </c>
      <c r="B3448" s="4" t="s">
        <v>38</v>
      </c>
      <c r="C3448" s="37" t="s">
        <v>5018</v>
      </c>
      <c r="D3448" s="35">
        <v>10873</v>
      </c>
      <c r="E3448" s="4" t="s">
        <v>5799</v>
      </c>
      <c r="F3448" s="5">
        <v>40909</v>
      </c>
      <c r="G3448" s="5">
        <v>41274</v>
      </c>
      <c r="H3448" s="4" t="s">
        <v>40</v>
      </c>
      <c r="I3448" s="6">
        <v>57074.21</v>
      </c>
      <c r="J3448" s="6">
        <v>57074.21</v>
      </c>
      <c r="K3448" s="37" t="s">
        <v>5018</v>
      </c>
      <c r="L3448" s="119"/>
      <c r="M3448" s="3"/>
    </row>
    <row r="3449" spans="1:13" s="4" customFormat="1" ht="25.5" x14ac:dyDescent="0.25">
      <c r="A3449" s="4" t="s">
        <v>5800</v>
      </c>
      <c r="B3449" s="4" t="s">
        <v>38</v>
      </c>
      <c r="C3449" s="37" t="s">
        <v>5018</v>
      </c>
      <c r="D3449" s="35">
        <v>10874</v>
      </c>
      <c r="E3449" s="4" t="s">
        <v>5801</v>
      </c>
      <c r="F3449" s="5">
        <v>40909</v>
      </c>
      <c r="G3449" s="5">
        <v>41274</v>
      </c>
      <c r="H3449" s="4" t="s">
        <v>40</v>
      </c>
      <c r="I3449" s="6">
        <v>21847.85</v>
      </c>
      <c r="J3449" s="6">
        <v>21847.85</v>
      </c>
      <c r="K3449" s="37" t="s">
        <v>5018</v>
      </c>
      <c r="L3449" s="119"/>
      <c r="M3449" s="3"/>
    </row>
    <row r="3450" spans="1:13" s="4" customFormat="1" ht="25.5" x14ac:dyDescent="0.25">
      <c r="A3450" s="4" t="s">
        <v>5802</v>
      </c>
      <c r="B3450" s="4" t="s">
        <v>38</v>
      </c>
      <c r="C3450" s="37" t="s">
        <v>5018</v>
      </c>
      <c r="D3450" s="35">
        <v>10876</v>
      </c>
      <c r="E3450" s="4" t="s">
        <v>5803</v>
      </c>
      <c r="F3450" s="5">
        <v>40909</v>
      </c>
      <c r="G3450" s="5">
        <v>41274</v>
      </c>
      <c r="H3450" s="4" t="s">
        <v>40</v>
      </c>
      <c r="I3450" s="6">
        <v>300</v>
      </c>
      <c r="J3450" s="6">
        <v>300</v>
      </c>
      <c r="K3450" s="37" t="s">
        <v>5018</v>
      </c>
      <c r="L3450" s="119"/>
      <c r="M3450" s="3"/>
    </row>
    <row r="3451" spans="1:13" s="4" customFormat="1" ht="25.5" x14ac:dyDescent="0.25">
      <c r="A3451" s="4" t="s">
        <v>5804</v>
      </c>
      <c r="B3451" s="4" t="s">
        <v>38</v>
      </c>
      <c r="C3451" s="37" t="s">
        <v>5018</v>
      </c>
      <c r="D3451" s="35">
        <v>10877</v>
      </c>
      <c r="E3451" s="4" t="s">
        <v>5805</v>
      </c>
      <c r="F3451" s="5">
        <v>40909</v>
      </c>
      <c r="G3451" s="5">
        <v>41274</v>
      </c>
      <c r="H3451" s="4" t="s">
        <v>40</v>
      </c>
      <c r="I3451" s="6">
        <v>729</v>
      </c>
      <c r="J3451" s="6">
        <v>729</v>
      </c>
      <c r="K3451" s="37" t="s">
        <v>5018</v>
      </c>
      <c r="L3451" s="119"/>
      <c r="M3451" s="3"/>
    </row>
    <row r="3452" spans="1:13" s="4" customFormat="1" ht="25.5" x14ac:dyDescent="0.25">
      <c r="A3452" s="4" t="s">
        <v>5806</v>
      </c>
      <c r="B3452" s="4" t="s">
        <v>38</v>
      </c>
      <c r="C3452" s="37" t="s">
        <v>5018</v>
      </c>
      <c r="D3452" s="35">
        <v>10878</v>
      </c>
      <c r="E3452" s="4" t="s">
        <v>5807</v>
      </c>
      <c r="F3452" s="5">
        <v>40909</v>
      </c>
      <c r="G3452" s="5">
        <v>41274</v>
      </c>
      <c r="H3452" s="4" t="s">
        <v>40</v>
      </c>
      <c r="I3452" s="6">
        <v>750</v>
      </c>
      <c r="J3452" s="6">
        <v>750</v>
      </c>
      <c r="K3452" s="37" t="s">
        <v>5018</v>
      </c>
      <c r="L3452" s="119"/>
      <c r="M3452" s="3"/>
    </row>
    <row r="3453" spans="1:13" s="4" customFormat="1" ht="25.5" x14ac:dyDescent="0.25">
      <c r="A3453" s="4" t="s">
        <v>5808</v>
      </c>
      <c r="B3453" s="4" t="s">
        <v>38</v>
      </c>
      <c r="C3453" s="37" t="s">
        <v>5018</v>
      </c>
      <c r="D3453" s="35">
        <v>10879</v>
      </c>
      <c r="E3453" s="4" t="s">
        <v>5809</v>
      </c>
      <c r="F3453" s="5">
        <v>40909</v>
      </c>
      <c r="G3453" s="5">
        <v>41274</v>
      </c>
      <c r="H3453" s="4" t="s">
        <v>40</v>
      </c>
      <c r="I3453" s="6">
        <v>772.97</v>
      </c>
      <c r="J3453" s="6">
        <v>772.97</v>
      </c>
      <c r="K3453" s="37" t="s">
        <v>5018</v>
      </c>
      <c r="L3453" s="119"/>
      <c r="M3453" s="3"/>
    </row>
    <row r="3454" spans="1:13" s="4" customFormat="1" ht="25.5" x14ac:dyDescent="0.25">
      <c r="A3454" s="4" t="s">
        <v>5810</v>
      </c>
      <c r="B3454" s="4" t="s">
        <v>38</v>
      </c>
      <c r="C3454" s="37" t="s">
        <v>5018</v>
      </c>
      <c r="D3454" s="35">
        <v>10880</v>
      </c>
      <c r="E3454" s="4" t="s">
        <v>5811</v>
      </c>
      <c r="F3454" s="5">
        <v>40909</v>
      </c>
      <c r="G3454" s="5">
        <v>41274</v>
      </c>
      <c r="H3454" s="4" t="s">
        <v>40</v>
      </c>
      <c r="I3454" s="6">
        <v>1231.5</v>
      </c>
      <c r="J3454" s="6">
        <v>1231.5</v>
      </c>
      <c r="K3454" s="37" t="s">
        <v>5018</v>
      </c>
      <c r="L3454" s="119"/>
      <c r="M3454" s="3"/>
    </row>
    <row r="3455" spans="1:13" ht="25.5" x14ac:dyDescent="0.25">
      <c r="A3455" s="13" t="s">
        <v>10741</v>
      </c>
      <c r="B3455" s="13" t="s">
        <v>10192</v>
      </c>
      <c r="C3455" s="20" t="s">
        <v>5018</v>
      </c>
      <c r="D3455" s="19">
        <v>12184</v>
      </c>
      <c r="E3455" s="13" t="s">
        <v>10742</v>
      </c>
      <c r="F3455" s="14">
        <v>41330</v>
      </c>
      <c r="G3455" s="14">
        <v>41639</v>
      </c>
      <c r="H3455" s="13" t="s">
        <v>651</v>
      </c>
      <c r="I3455" s="18">
        <v>15000</v>
      </c>
      <c r="J3455" s="18">
        <v>15000</v>
      </c>
      <c r="K3455" s="20" t="s">
        <v>5018</v>
      </c>
    </row>
    <row r="3456" spans="1:13" ht="25.5" x14ac:dyDescent="0.25">
      <c r="A3456" s="13" t="s">
        <v>10743</v>
      </c>
      <c r="B3456" s="13" t="s">
        <v>10195</v>
      </c>
      <c r="C3456" s="20" t="s">
        <v>5018</v>
      </c>
      <c r="D3456" s="19">
        <v>12185</v>
      </c>
      <c r="E3456" s="13" t="s">
        <v>10744</v>
      </c>
      <c r="F3456" s="14">
        <v>41057</v>
      </c>
      <c r="G3456" s="14">
        <v>41639</v>
      </c>
      <c r="H3456" s="13" t="s">
        <v>651</v>
      </c>
      <c r="I3456" s="18">
        <v>2865</v>
      </c>
      <c r="J3456" s="18">
        <v>1432.5</v>
      </c>
      <c r="K3456" s="20" t="s">
        <v>5018</v>
      </c>
    </row>
    <row r="3457" spans="1:11" ht="25.5" x14ac:dyDescent="0.25">
      <c r="A3457" s="13" t="s">
        <v>10745</v>
      </c>
      <c r="B3457" s="13" t="s">
        <v>10195</v>
      </c>
      <c r="C3457" s="20" t="s">
        <v>5018</v>
      </c>
      <c r="D3457" s="19">
        <v>12187</v>
      </c>
      <c r="E3457" s="13" t="s">
        <v>10746</v>
      </c>
      <c r="F3457" s="14">
        <v>41372</v>
      </c>
      <c r="G3457" s="14">
        <v>41639</v>
      </c>
      <c r="H3457" s="13" t="s">
        <v>651</v>
      </c>
      <c r="I3457" s="18">
        <v>4604</v>
      </c>
      <c r="J3457" s="18">
        <v>2302</v>
      </c>
      <c r="K3457" s="20" t="s">
        <v>5018</v>
      </c>
    </row>
    <row r="3458" spans="1:11" ht="25.5" x14ac:dyDescent="0.25">
      <c r="A3458" s="13" t="s">
        <v>10747</v>
      </c>
      <c r="B3458" s="13" t="s">
        <v>13</v>
      </c>
      <c r="C3458" s="20" t="s">
        <v>5018</v>
      </c>
      <c r="D3458" s="19">
        <v>12188</v>
      </c>
      <c r="E3458" s="13" t="s">
        <v>10748</v>
      </c>
      <c r="F3458" s="14">
        <v>41176</v>
      </c>
      <c r="G3458" s="14">
        <v>41639</v>
      </c>
      <c r="H3458" s="13" t="s">
        <v>651</v>
      </c>
      <c r="I3458" s="18">
        <v>7870.12</v>
      </c>
      <c r="J3458" s="18">
        <v>3935.06</v>
      </c>
      <c r="K3458" s="20" t="s">
        <v>5018</v>
      </c>
    </row>
    <row r="3459" spans="1:11" ht="25.5" x14ac:dyDescent="0.25">
      <c r="A3459" s="13" t="s">
        <v>10749</v>
      </c>
      <c r="B3459" s="13" t="s">
        <v>10220</v>
      </c>
      <c r="C3459" s="20" t="s">
        <v>5018</v>
      </c>
      <c r="D3459" s="19">
        <v>12189</v>
      </c>
      <c r="E3459" s="13" t="s">
        <v>10750</v>
      </c>
      <c r="F3459" s="14">
        <v>41330</v>
      </c>
      <c r="G3459" s="14">
        <v>41639</v>
      </c>
      <c r="H3459" s="13" t="s">
        <v>651</v>
      </c>
      <c r="I3459" s="18">
        <v>10000</v>
      </c>
      <c r="J3459" s="18">
        <v>5000</v>
      </c>
      <c r="K3459" s="20" t="s">
        <v>5018</v>
      </c>
    </row>
    <row r="3460" spans="1:11" ht="25.5" x14ac:dyDescent="0.25">
      <c r="A3460" s="13" t="s">
        <v>10751</v>
      </c>
      <c r="B3460" s="13" t="s">
        <v>10192</v>
      </c>
      <c r="C3460" s="20" t="s">
        <v>5018</v>
      </c>
      <c r="D3460" s="19">
        <v>12190</v>
      </c>
      <c r="E3460" s="13" t="s">
        <v>10752</v>
      </c>
      <c r="F3460" s="14">
        <v>41463</v>
      </c>
      <c r="G3460" s="14">
        <v>41639</v>
      </c>
      <c r="H3460" s="13" t="s">
        <v>651</v>
      </c>
      <c r="I3460" s="18">
        <v>7500</v>
      </c>
      <c r="J3460" s="18">
        <v>7500</v>
      </c>
      <c r="K3460" s="20" t="s">
        <v>5018</v>
      </c>
    </row>
    <row r="3461" spans="1:11" ht="25.5" x14ac:dyDescent="0.25">
      <c r="A3461" s="13" t="s">
        <v>10753</v>
      </c>
      <c r="B3461" s="13" t="s">
        <v>10192</v>
      </c>
      <c r="C3461" s="20" t="s">
        <v>5018</v>
      </c>
      <c r="D3461" s="19">
        <v>12261</v>
      </c>
      <c r="E3461" s="13" t="s">
        <v>10754</v>
      </c>
      <c r="F3461" s="14">
        <v>41540</v>
      </c>
      <c r="G3461" s="14">
        <v>41639</v>
      </c>
      <c r="H3461" s="13" t="s">
        <v>651</v>
      </c>
      <c r="I3461" s="18">
        <v>7500</v>
      </c>
      <c r="J3461" s="18">
        <v>7500</v>
      </c>
      <c r="K3461" s="20" t="s">
        <v>5018</v>
      </c>
    </row>
    <row r="3462" spans="1:11" x14ac:dyDescent="0.25">
      <c r="A3462" s="13" t="s">
        <v>10755</v>
      </c>
      <c r="B3462" s="13" t="s">
        <v>10192</v>
      </c>
      <c r="C3462" s="20" t="s">
        <v>5018</v>
      </c>
      <c r="D3462" s="19">
        <v>12262</v>
      </c>
      <c r="E3462" s="13" t="s">
        <v>10756</v>
      </c>
      <c r="F3462" s="14">
        <v>41463</v>
      </c>
      <c r="G3462" s="14">
        <v>41639</v>
      </c>
      <c r="H3462" s="13" t="s">
        <v>651</v>
      </c>
      <c r="I3462" s="18">
        <v>3195.5</v>
      </c>
      <c r="J3462" s="18">
        <v>3195.5</v>
      </c>
      <c r="K3462" s="20" t="s">
        <v>5018</v>
      </c>
    </row>
    <row r="3463" spans="1:11" x14ac:dyDescent="0.25">
      <c r="A3463" s="13" t="s">
        <v>10757</v>
      </c>
      <c r="B3463" s="13" t="s">
        <v>13</v>
      </c>
      <c r="C3463" s="20" t="s">
        <v>5018</v>
      </c>
      <c r="D3463" s="19">
        <v>12263</v>
      </c>
      <c r="E3463" s="13" t="s">
        <v>10758</v>
      </c>
      <c r="F3463" s="14">
        <v>41372</v>
      </c>
      <c r="G3463" s="14">
        <v>41639</v>
      </c>
      <c r="H3463" s="13" t="s">
        <v>651</v>
      </c>
      <c r="I3463" s="18">
        <v>49965.96</v>
      </c>
      <c r="J3463" s="18">
        <v>42795.48</v>
      </c>
      <c r="K3463" s="20" t="s">
        <v>5018</v>
      </c>
    </row>
    <row r="3464" spans="1:11" x14ac:dyDescent="0.25">
      <c r="A3464" s="13" t="s">
        <v>10759</v>
      </c>
      <c r="B3464" s="13" t="s">
        <v>10220</v>
      </c>
      <c r="C3464" s="20" t="s">
        <v>5018</v>
      </c>
      <c r="D3464" s="19">
        <v>12264</v>
      </c>
      <c r="E3464" s="13" t="s">
        <v>10760</v>
      </c>
      <c r="F3464" s="14">
        <v>41372</v>
      </c>
      <c r="G3464" s="14">
        <v>41639</v>
      </c>
      <c r="H3464" s="13" t="s">
        <v>651</v>
      </c>
      <c r="I3464" s="18">
        <v>7554.48</v>
      </c>
      <c r="J3464" s="18">
        <v>3777.24</v>
      </c>
      <c r="K3464" s="20" t="s">
        <v>5018</v>
      </c>
    </row>
    <row r="3465" spans="1:11" x14ac:dyDescent="0.25">
      <c r="A3465" s="13" t="s">
        <v>10761</v>
      </c>
      <c r="B3465" s="13" t="s">
        <v>10195</v>
      </c>
      <c r="C3465" s="20" t="s">
        <v>5018</v>
      </c>
      <c r="D3465" s="19">
        <v>12265</v>
      </c>
      <c r="E3465" s="13" t="s">
        <v>10762</v>
      </c>
      <c r="F3465" s="14">
        <v>41540</v>
      </c>
      <c r="G3465" s="14">
        <v>41639</v>
      </c>
      <c r="H3465" s="13" t="s">
        <v>651</v>
      </c>
      <c r="I3465" s="18">
        <v>5625</v>
      </c>
      <c r="J3465" s="18">
        <v>5625</v>
      </c>
      <c r="K3465" s="20" t="s">
        <v>5018</v>
      </c>
    </row>
    <row r="3466" spans="1:11" ht="25.5" x14ac:dyDescent="0.25">
      <c r="A3466" s="13" t="s">
        <v>10763</v>
      </c>
      <c r="B3466" s="13" t="s">
        <v>10195</v>
      </c>
      <c r="C3466" s="20" t="s">
        <v>5018</v>
      </c>
      <c r="D3466" s="19">
        <v>12266</v>
      </c>
      <c r="E3466" s="13" t="s">
        <v>10764</v>
      </c>
      <c r="F3466" s="14">
        <v>41463</v>
      </c>
      <c r="G3466" s="14">
        <v>41639</v>
      </c>
      <c r="H3466" s="13" t="s">
        <v>651</v>
      </c>
      <c r="I3466" s="18">
        <v>6924.38</v>
      </c>
      <c r="J3466" s="18">
        <v>6924.38</v>
      </c>
      <c r="K3466" s="20" t="s">
        <v>5018</v>
      </c>
    </row>
    <row r="3467" spans="1:11" ht="25.5" x14ac:dyDescent="0.25">
      <c r="A3467" s="13" t="s">
        <v>10765</v>
      </c>
      <c r="B3467" s="13" t="s">
        <v>10195</v>
      </c>
      <c r="C3467" s="20" t="s">
        <v>5018</v>
      </c>
      <c r="D3467" s="19">
        <v>12267</v>
      </c>
      <c r="E3467" s="13" t="s">
        <v>10766</v>
      </c>
      <c r="F3467" s="14">
        <v>41582</v>
      </c>
      <c r="G3467" s="14">
        <v>41639</v>
      </c>
      <c r="H3467" s="13" t="s">
        <v>651</v>
      </c>
      <c r="I3467" s="18">
        <v>30939.13</v>
      </c>
      <c r="J3467" s="18">
        <v>20189.13</v>
      </c>
      <c r="K3467" s="20" t="s">
        <v>5018</v>
      </c>
    </row>
    <row r="3468" spans="1:11" x14ac:dyDescent="0.25">
      <c r="A3468" s="13" t="s">
        <v>11148</v>
      </c>
      <c r="B3468" s="13" t="s">
        <v>10195</v>
      </c>
      <c r="C3468" s="20" t="s">
        <v>5018</v>
      </c>
      <c r="D3468" s="19">
        <v>12268</v>
      </c>
      <c r="E3468" s="13" t="s">
        <v>11149</v>
      </c>
      <c r="F3468" s="14">
        <v>41463</v>
      </c>
      <c r="G3468" s="14">
        <v>41639</v>
      </c>
      <c r="H3468" s="13" t="s">
        <v>651</v>
      </c>
      <c r="I3468" s="18">
        <v>14472.8</v>
      </c>
      <c r="J3468" s="18">
        <v>7236.4</v>
      </c>
      <c r="K3468" s="20" t="s">
        <v>5018</v>
      </c>
    </row>
    <row r="3469" spans="1:11" ht="25.5" x14ac:dyDescent="0.25">
      <c r="A3469" s="13" t="s">
        <v>10767</v>
      </c>
      <c r="B3469" s="13" t="s">
        <v>10220</v>
      </c>
      <c r="C3469" s="20" t="s">
        <v>5018</v>
      </c>
      <c r="D3469" s="19">
        <v>12269</v>
      </c>
      <c r="E3469" s="13" t="s">
        <v>10768</v>
      </c>
      <c r="F3469" s="14">
        <v>41463</v>
      </c>
      <c r="G3469" s="14">
        <v>41639</v>
      </c>
      <c r="H3469" s="13" t="s">
        <v>651</v>
      </c>
      <c r="I3469" s="18">
        <v>18400</v>
      </c>
      <c r="J3469" s="18">
        <v>9200</v>
      </c>
      <c r="K3469" s="20" t="s">
        <v>5018</v>
      </c>
    </row>
    <row r="3470" spans="1:11" ht="25.5" x14ac:dyDescent="0.25">
      <c r="A3470" s="13" t="s">
        <v>10769</v>
      </c>
      <c r="B3470" s="13" t="s">
        <v>38</v>
      </c>
      <c r="C3470" s="20" t="s">
        <v>5018</v>
      </c>
      <c r="D3470" s="19">
        <v>12270</v>
      </c>
      <c r="E3470" s="13" t="s">
        <v>10769</v>
      </c>
      <c r="F3470" s="14">
        <v>41275</v>
      </c>
      <c r="G3470" s="14">
        <v>41639</v>
      </c>
      <c r="H3470" s="13" t="s">
        <v>651</v>
      </c>
      <c r="I3470" s="18">
        <v>17716.75</v>
      </c>
      <c r="J3470" s="18">
        <v>17716.75</v>
      </c>
      <c r="K3470" s="20" t="s">
        <v>5018</v>
      </c>
    </row>
    <row r="3471" spans="1:11" ht="25.5" x14ac:dyDescent="0.25">
      <c r="A3471" s="13" t="s">
        <v>10770</v>
      </c>
      <c r="B3471" s="13" t="s">
        <v>38</v>
      </c>
      <c r="C3471" s="20" t="s">
        <v>5018</v>
      </c>
      <c r="D3471" s="19">
        <v>12271</v>
      </c>
      <c r="E3471" s="13" t="s">
        <v>10771</v>
      </c>
      <c r="F3471" s="14">
        <v>41275</v>
      </c>
      <c r="G3471" s="14">
        <v>41639</v>
      </c>
      <c r="H3471" s="13" t="s">
        <v>651</v>
      </c>
      <c r="I3471" s="18">
        <v>60119.27</v>
      </c>
      <c r="J3471" s="18">
        <v>60119.27</v>
      </c>
      <c r="K3471" s="20" t="s">
        <v>5018</v>
      </c>
    </row>
    <row r="3472" spans="1:11" ht="25.5" x14ac:dyDescent="0.25">
      <c r="A3472" s="13" t="s">
        <v>10772</v>
      </c>
      <c r="B3472" s="13" t="s">
        <v>38</v>
      </c>
      <c r="C3472" s="20" t="s">
        <v>5018</v>
      </c>
      <c r="D3472" s="19">
        <v>12272</v>
      </c>
      <c r="E3472" s="13" t="s">
        <v>10773</v>
      </c>
      <c r="F3472" s="14">
        <v>41275</v>
      </c>
      <c r="G3472" s="14">
        <v>41305</v>
      </c>
      <c r="H3472" s="13" t="s">
        <v>651</v>
      </c>
      <c r="I3472" s="18">
        <v>517.5</v>
      </c>
      <c r="J3472" s="18">
        <v>517.5</v>
      </c>
      <c r="K3472" s="20" t="s">
        <v>5018</v>
      </c>
    </row>
    <row r="3473" spans="1:11" ht="25.5" x14ac:dyDescent="0.25">
      <c r="A3473" s="13" t="s">
        <v>10774</v>
      </c>
      <c r="B3473" s="13" t="s">
        <v>38</v>
      </c>
      <c r="C3473" s="20" t="s">
        <v>5018</v>
      </c>
      <c r="D3473" s="19">
        <v>12273</v>
      </c>
      <c r="E3473" s="13" t="s">
        <v>10775</v>
      </c>
      <c r="F3473" s="14">
        <v>41275</v>
      </c>
      <c r="G3473" s="14">
        <v>41639</v>
      </c>
      <c r="H3473" s="13" t="s">
        <v>651</v>
      </c>
      <c r="I3473" s="18">
        <v>6570</v>
      </c>
      <c r="J3473" s="18">
        <v>6570</v>
      </c>
      <c r="K3473" s="20" t="s">
        <v>5018</v>
      </c>
    </row>
    <row r="3474" spans="1:11" ht="38.25" x14ac:dyDescent="0.25">
      <c r="A3474" s="13" t="s">
        <v>10776</v>
      </c>
      <c r="B3474" s="13" t="s">
        <v>38</v>
      </c>
      <c r="C3474" s="20" t="s">
        <v>5018</v>
      </c>
      <c r="D3474" s="19">
        <v>12276</v>
      </c>
      <c r="E3474" s="13" t="s">
        <v>10777</v>
      </c>
      <c r="F3474" s="14">
        <v>41275</v>
      </c>
      <c r="G3474" s="14">
        <v>41639</v>
      </c>
      <c r="H3474" s="13" t="s">
        <v>651</v>
      </c>
      <c r="I3474" s="18">
        <v>1119.31</v>
      </c>
      <c r="J3474" s="18">
        <v>1119.31</v>
      </c>
      <c r="K3474" s="20" t="s">
        <v>5018</v>
      </c>
    </row>
    <row r="3475" spans="1:11" ht="25.5" x14ac:dyDescent="0.25">
      <c r="A3475" s="13" t="s">
        <v>10778</v>
      </c>
      <c r="B3475" s="13" t="s">
        <v>38</v>
      </c>
      <c r="C3475" s="20" t="s">
        <v>5018</v>
      </c>
      <c r="D3475" s="19">
        <v>12277</v>
      </c>
      <c r="E3475" s="13" t="s">
        <v>10779</v>
      </c>
      <c r="F3475" s="14">
        <v>41275</v>
      </c>
      <c r="G3475" s="14">
        <v>41639</v>
      </c>
      <c r="H3475" s="13" t="s">
        <v>651</v>
      </c>
      <c r="I3475" s="18">
        <v>240</v>
      </c>
      <c r="J3475" s="18">
        <v>240</v>
      </c>
      <c r="K3475" s="20" t="s">
        <v>5018</v>
      </c>
    </row>
    <row r="3476" spans="1:11" ht="25.5" x14ac:dyDescent="0.25">
      <c r="A3476" s="13" t="s">
        <v>10780</v>
      </c>
      <c r="B3476" s="13" t="s">
        <v>38</v>
      </c>
      <c r="C3476" s="20" t="s">
        <v>5018</v>
      </c>
      <c r="D3476" s="19">
        <v>12278</v>
      </c>
      <c r="E3476" s="13" t="s">
        <v>10781</v>
      </c>
      <c r="F3476" s="14">
        <v>41275</v>
      </c>
      <c r="G3476" s="14">
        <v>41639</v>
      </c>
      <c r="H3476" s="13" t="s">
        <v>651</v>
      </c>
      <c r="I3476" s="18">
        <v>1955.55</v>
      </c>
      <c r="J3476" s="18">
        <v>1955.55</v>
      </c>
      <c r="K3476" s="20" t="s">
        <v>5018</v>
      </c>
    </row>
    <row r="3477" spans="1:11" ht="25.5" x14ac:dyDescent="0.25">
      <c r="A3477" s="13" t="s">
        <v>10782</v>
      </c>
      <c r="B3477" s="13" t="s">
        <v>38</v>
      </c>
      <c r="C3477" s="20" t="s">
        <v>5018</v>
      </c>
      <c r="D3477" s="19">
        <v>12280</v>
      </c>
      <c r="E3477" s="13" t="s">
        <v>10783</v>
      </c>
      <c r="F3477" s="14">
        <v>41275</v>
      </c>
      <c r="G3477" s="14">
        <v>41639</v>
      </c>
      <c r="H3477" s="13" t="s">
        <v>651</v>
      </c>
      <c r="I3477" s="18">
        <v>1714.05</v>
      </c>
      <c r="J3477" s="18">
        <v>1714.05</v>
      </c>
      <c r="K3477" s="20" t="s">
        <v>5018</v>
      </c>
    </row>
    <row r="3478" spans="1:11" ht="25.5" x14ac:dyDescent="0.25">
      <c r="A3478" s="13" t="s">
        <v>10784</v>
      </c>
      <c r="B3478" s="13" t="s">
        <v>38</v>
      </c>
      <c r="C3478" s="20" t="s">
        <v>5018</v>
      </c>
      <c r="D3478" s="19">
        <v>12282</v>
      </c>
      <c r="E3478" s="13" t="s">
        <v>10785</v>
      </c>
      <c r="F3478" s="14">
        <v>41275</v>
      </c>
      <c r="G3478" s="14">
        <v>41639</v>
      </c>
      <c r="H3478" s="13" t="s">
        <v>651</v>
      </c>
      <c r="I3478" s="18">
        <v>1542</v>
      </c>
      <c r="J3478" s="18">
        <v>1542</v>
      </c>
      <c r="K3478" s="20" t="s">
        <v>5018</v>
      </c>
    </row>
    <row r="3479" spans="1:11" ht="25.5" x14ac:dyDescent="0.25">
      <c r="A3479" s="13" t="s">
        <v>10786</v>
      </c>
      <c r="B3479" s="13" t="s">
        <v>38</v>
      </c>
      <c r="C3479" s="20" t="s">
        <v>5018</v>
      </c>
      <c r="D3479" s="19">
        <v>12283</v>
      </c>
      <c r="E3479" s="13" t="s">
        <v>10785</v>
      </c>
      <c r="F3479" s="14">
        <v>41275</v>
      </c>
      <c r="G3479" s="14">
        <v>41639</v>
      </c>
      <c r="H3479" s="13" t="s">
        <v>651</v>
      </c>
      <c r="I3479" s="18">
        <v>1412.5</v>
      </c>
      <c r="J3479" s="18">
        <v>1412.5</v>
      </c>
      <c r="K3479" s="20" t="s">
        <v>5018</v>
      </c>
    </row>
    <row r="3480" spans="1:11" ht="25.5" x14ac:dyDescent="0.25">
      <c r="A3480" s="13" t="s">
        <v>10787</v>
      </c>
      <c r="B3480" s="13" t="s">
        <v>38</v>
      </c>
      <c r="C3480" s="20" t="s">
        <v>5018</v>
      </c>
      <c r="D3480" s="19">
        <v>12285</v>
      </c>
      <c r="E3480" s="13" t="s">
        <v>10788</v>
      </c>
      <c r="F3480" s="14">
        <v>41275</v>
      </c>
      <c r="G3480" s="14">
        <v>41639</v>
      </c>
      <c r="H3480" s="13" t="s">
        <v>651</v>
      </c>
      <c r="I3480" s="18">
        <v>550</v>
      </c>
      <c r="J3480" s="18">
        <v>550</v>
      </c>
      <c r="K3480" s="20" t="s">
        <v>5018</v>
      </c>
    </row>
    <row r="3481" spans="1:11" ht="25.5" x14ac:dyDescent="0.25">
      <c r="A3481" s="13" t="s">
        <v>10789</v>
      </c>
      <c r="B3481" s="13" t="s">
        <v>38</v>
      </c>
      <c r="C3481" s="20" t="s">
        <v>5018</v>
      </c>
      <c r="D3481" s="19">
        <v>12286</v>
      </c>
      <c r="E3481" s="13" t="s">
        <v>10785</v>
      </c>
      <c r="F3481" s="14">
        <v>41275</v>
      </c>
      <c r="G3481" s="14">
        <v>41639</v>
      </c>
      <c r="H3481" s="13" t="s">
        <v>651</v>
      </c>
      <c r="I3481" s="18">
        <v>1812.58</v>
      </c>
      <c r="J3481" s="18">
        <v>1812.58</v>
      </c>
      <c r="K3481" s="20" t="s">
        <v>5018</v>
      </c>
    </row>
    <row r="3482" spans="1:11" ht="25.5" x14ac:dyDescent="0.25">
      <c r="A3482" s="13" t="s">
        <v>10790</v>
      </c>
      <c r="B3482" s="13" t="s">
        <v>38</v>
      </c>
      <c r="C3482" s="20" t="s">
        <v>5018</v>
      </c>
      <c r="D3482" s="19">
        <v>12287</v>
      </c>
      <c r="E3482" s="13" t="s">
        <v>10785</v>
      </c>
      <c r="F3482" s="14">
        <v>41275</v>
      </c>
      <c r="G3482" s="14">
        <v>41639</v>
      </c>
      <c r="H3482" s="13" t="s">
        <v>651</v>
      </c>
      <c r="I3482" s="18">
        <v>1976.4</v>
      </c>
      <c r="J3482" s="18">
        <v>1976.4</v>
      </c>
      <c r="K3482" s="20" t="s">
        <v>5018</v>
      </c>
    </row>
    <row r="3483" spans="1:11" ht="25.5" x14ac:dyDescent="0.25">
      <c r="A3483" s="13" t="s">
        <v>10791</v>
      </c>
      <c r="B3483" s="13" t="s">
        <v>38</v>
      </c>
      <c r="C3483" s="20" t="s">
        <v>5018</v>
      </c>
      <c r="D3483" s="19">
        <v>12288</v>
      </c>
      <c r="E3483" s="13" t="s">
        <v>10792</v>
      </c>
      <c r="F3483" s="14">
        <v>41275</v>
      </c>
      <c r="G3483" s="14">
        <v>41639</v>
      </c>
      <c r="H3483" s="13" t="s">
        <v>651</v>
      </c>
      <c r="I3483" s="18">
        <v>308.5</v>
      </c>
      <c r="J3483" s="18">
        <v>308.5</v>
      </c>
      <c r="K3483" s="20" t="s">
        <v>5018</v>
      </c>
    </row>
    <row r="3484" spans="1:11" ht="25.5" x14ac:dyDescent="0.25">
      <c r="A3484" s="13" t="s">
        <v>10793</v>
      </c>
      <c r="B3484" s="13" t="s">
        <v>38</v>
      </c>
      <c r="C3484" s="20" t="s">
        <v>5018</v>
      </c>
      <c r="D3484" s="19">
        <v>12289</v>
      </c>
      <c r="E3484" s="13" t="s">
        <v>10794</v>
      </c>
      <c r="F3484" s="14">
        <v>41275</v>
      </c>
      <c r="G3484" s="14">
        <v>41639</v>
      </c>
      <c r="H3484" s="13" t="s">
        <v>651</v>
      </c>
      <c r="I3484" s="18">
        <v>436.6</v>
      </c>
      <c r="J3484" s="18">
        <v>436.6</v>
      </c>
      <c r="K3484" s="20" t="s">
        <v>5018</v>
      </c>
    </row>
    <row r="3485" spans="1:11" ht="25.5" x14ac:dyDescent="0.25">
      <c r="A3485" s="13" t="s">
        <v>10795</v>
      </c>
      <c r="B3485" s="13" t="s">
        <v>38</v>
      </c>
      <c r="C3485" s="20" t="s">
        <v>5018</v>
      </c>
      <c r="D3485" s="19">
        <v>12290</v>
      </c>
      <c r="E3485" s="13" t="s">
        <v>10796</v>
      </c>
      <c r="F3485" s="14">
        <v>41275</v>
      </c>
      <c r="G3485" s="14">
        <v>41639</v>
      </c>
      <c r="H3485" s="13" t="s">
        <v>651</v>
      </c>
      <c r="I3485" s="18">
        <v>565.65</v>
      </c>
      <c r="J3485" s="18">
        <v>565.65</v>
      </c>
      <c r="K3485" s="20" t="s">
        <v>5018</v>
      </c>
    </row>
    <row r="3486" spans="1:11" ht="25.5" x14ac:dyDescent="0.25">
      <c r="A3486" s="13" t="s">
        <v>10797</v>
      </c>
      <c r="B3486" s="13" t="s">
        <v>38</v>
      </c>
      <c r="C3486" s="20" t="s">
        <v>5018</v>
      </c>
      <c r="D3486" s="19">
        <v>12291</v>
      </c>
      <c r="E3486" s="13" t="s">
        <v>10792</v>
      </c>
      <c r="F3486" s="14">
        <v>41275</v>
      </c>
      <c r="G3486" s="14">
        <v>41639</v>
      </c>
      <c r="H3486" s="13" t="s">
        <v>651</v>
      </c>
      <c r="I3486" s="18">
        <v>259.42</v>
      </c>
      <c r="J3486" s="18">
        <v>259.42</v>
      </c>
      <c r="K3486" s="20" t="s">
        <v>5018</v>
      </c>
    </row>
    <row r="3487" spans="1:11" ht="25.5" x14ac:dyDescent="0.25">
      <c r="A3487" s="13" t="s">
        <v>10798</v>
      </c>
      <c r="B3487" s="13" t="s">
        <v>38</v>
      </c>
      <c r="C3487" s="20" t="s">
        <v>5018</v>
      </c>
      <c r="D3487" s="19">
        <v>12292</v>
      </c>
      <c r="E3487" s="13" t="s">
        <v>10799</v>
      </c>
      <c r="F3487" s="14">
        <v>41275</v>
      </c>
      <c r="G3487" s="14">
        <v>41639</v>
      </c>
      <c r="H3487" s="13" t="s">
        <v>651</v>
      </c>
      <c r="I3487" s="18">
        <v>676.8</v>
      </c>
      <c r="J3487" s="18">
        <v>676.8</v>
      </c>
      <c r="K3487" s="20" t="s">
        <v>5018</v>
      </c>
    </row>
    <row r="3488" spans="1:11" ht="25.5" x14ac:dyDescent="0.25">
      <c r="A3488" s="13" t="s">
        <v>10800</v>
      </c>
      <c r="B3488" s="13" t="s">
        <v>38</v>
      </c>
      <c r="C3488" s="20" t="s">
        <v>5018</v>
      </c>
      <c r="D3488" s="19">
        <v>12293</v>
      </c>
      <c r="E3488" s="13" t="s">
        <v>10801</v>
      </c>
      <c r="F3488" s="14">
        <v>41275</v>
      </c>
      <c r="G3488" s="14">
        <v>41639</v>
      </c>
      <c r="H3488" s="13" t="s">
        <v>651</v>
      </c>
      <c r="I3488" s="18">
        <v>456.55</v>
      </c>
      <c r="J3488" s="18">
        <v>456.55</v>
      </c>
      <c r="K3488" s="20" t="s">
        <v>5018</v>
      </c>
    </row>
    <row r="3489" spans="1:11" ht="25.5" x14ac:dyDescent="0.25">
      <c r="A3489" s="13" t="s">
        <v>10802</v>
      </c>
      <c r="B3489" s="13" t="s">
        <v>38</v>
      </c>
      <c r="C3489" s="20" t="s">
        <v>5018</v>
      </c>
      <c r="D3489" s="19">
        <v>12294</v>
      </c>
      <c r="E3489" s="13" t="s">
        <v>10803</v>
      </c>
      <c r="F3489" s="14">
        <v>41275</v>
      </c>
      <c r="G3489" s="14">
        <v>41639</v>
      </c>
      <c r="H3489" s="13" t="s">
        <v>651</v>
      </c>
      <c r="I3489" s="18">
        <v>370</v>
      </c>
      <c r="J3489" s="18">
        <v>370</v>
      </c>
      <c r="K3489" s="20" t="s">
        <v>5018</v>
      </c>
    </row>
    <row r="3490" spans="1:11" ht="25.5" x14ac:dyDescent="0.25">
      <c r="A3490" s="13" t="s">
        <v>10804</v>
      </c>
      <c r="B3490" s="13" t="s">
        <v>38</v>
      </c>
      <c r="C3490" s="20" t="s">
        <v>5018</v>
      </c>
      <c r="D3490" s="19">
        <v>12295</v>
      </c>
      <c r="E3490" s="13" t="s">
        <v>10805</v>
      </c>
      <c r="F3490" s="14">
        <v>41275</v>
      </c>
      <c r="G3490" s="14">
        <v>41639</v>
      </c>
      <c r="H3490" s="13" t="s">
        <v>651</v>
      </c>
      <c r="I3490" s="18">
        <v>200</v>
      </c>
      <c r="J3490" s="18">
        <v>200</v>
      </c>
      <c r="K3490" s="20" t="s">
        <v>5018</v>
      </c>
    </row>
    <row r="3491" spans="1:11" ht="25.5" x14ac:dyDescent="0.25">
      <c r="A3491" s="13" t="s">
        <v>10806</v>
      </c>
      <c r="B3491" s="13" t="s">
        <v>38</v>
      </c>
      <c r="C3491" s="20" t="s">
        <v>5018</v>
      </c>
      <c r="D3491" s="19">
        <v>12296</v>
      </c>
      <c r="E3491" s="13" t="s">
        <v>10807</v>
      </c>
      <c r="F3491" s="14">
        <v>41275</v>
      </c>
      <c r="G3491" s="14">
        <v>41639</v>
      </c>
      <c r="H3491" s="13" t="s">
        <v>651</v>
      </c>
      <c r="I3491" s="18">
        <v>1362.2</v>
      </c>
      <c r="J3491" s="18">
        <v>1362.2</v>
      </c>
      <c r="K3491" s="20" t="s">
        <v>5018</v>
      </c>
    </row>
    <row r="3492" spans="1:11" ht="25.5" x14ac:dyDescent="0.25">
      <c r="A3492" s="13" t="s">
        <v>10808</v>
      </c>
      <c r="B3492" s="13" t="s">
        <v>38</v>
      </c>
      <c r="C3492" s="20" t="s">
        <v>5018</v>
      </c>
      <c r="D3492" s="19">
        <v>12297</v>
      </c>
      <c r="E3492" s="13" t="s">
        <v>10809</v>
      </c>
      <c r="F3492" s="14">
        <v>41275</v>
      </c>
      <c r="G3492" s="14">
        <v>41639</v>
      </c>
      <c r="H3492" s="13" t="s">
        <v>651</v>
      </c>
      <c r="I3492" s="18">
        <v>265</v>
      </c>
      <c r="J3492" s="18">
        <v>265</v>
      </c>
      <c r="K3492" s="20" t="s">
        <v>5018</v>
      </c>
    </row>
    <row r="3493" spans="1:11" ht="25.5" x14ac:dyDescent="0.25">
      <c r="A3493" s="13" t="s">
        <v>10810</v>
      </c>
      <c r="B3493" s="13" t="s">
        <v>38</v>
      </c>
      <c r="C3493" s="20" t="s">
        <v>5018</v>
      </c>
      <c r="D3493" s="19">
        <v>12298</v>
      </c>
      <c r="E3493" s="13" t="s">
        <v>10811</v>
      </c>
      <c r="F3493" s="14">
        <v>41275</v>
      </c>
      <c r="G3493" s="14">
        <v>41639</v>
      </c>
      <c r="H3493" s="13" t="s">
        <v>651</v>
      </c>
      <c r="I3493" s="18">
        <v>1233.8</v>
      </c>
      <c r="J3493" s="18">
        <v>1233.8</v>
      </c>
      <c r="K3493" s="20" t="s">
        <v>5018</v>
      </c>
    </row>
    <row r="3494" spans="1:11" ht="25.5" x14ac:dyDescent="0.25">
      <c r="A3494" s="13" t="s">
        <v>10812</v>
      </c>
      <c r="B3494" s="13" t="s">
        <v>38</v>
      </c>
      <c r="C3494" s="20" t="s">
        <v>5018</v>
      </c>
      <c r="D3494" s="19">
        <v>12300</v>
      </c>
      <c r="E3494" s="13" t="s">
        <v>10813</v>
      </c>
      <c r="F3494" s="14">
        <v>41275</v>
      </c>
      <c r="G3494" s="14">
        <v>41639</v>
      </c>
      <c r="H3494" s="13" t="s">
        <v>651</v>
      </c>
      <c r="I3494" s="18">
        <v>280</v>
      </c>
      <c r="J3494" s="18">
        <v>280</v>
      </c>
      <c r="K3494" s="20" t="s">
        <v>5018</v>
      </c>
    </row>
    <row r="3495" spans="1:11" ht="25.5" x14ac:dyDescent="0.25">
      <c r="A3495" s="13" t="s">
        <v>10814</v>
      </c>
      <c r="B3495" s="13" t="s">
        <v>38</v>
      </c>
      <c r="C3495" s="20" t="s">
        <v>5018</v>
      </c>
      <c r="D3495" s="19">
        <v>12301</v>
      </c>
      <c r="E3495" s="13" t="s">
        <v>10815</v>
      </c>
      <c r="F3495" s="14">
        <v>41275</v>
      </c>
      <c r="G3495" s="14">
        <v>41639</v>
      </c>
      <c r="H3495" s="13" t="s">
        <v>651</v>
      </c>
      <c r="I3495" s="18">
        <v>1938.9</v>
      </c>
      <c r="J3495" s="18">
        <v>1938.9</v>
      </c>
      <c r="K3495" s="20" t="s">
        <v>5018</v>
      </c>
    </row>
    <row r="3496" spans="1:11" ht="25.5" x14ac:dyDescent="0.25">
      <c r="A3496" s="13" t="s">
        <v>10816</v>
      </c>
      <c r="B3496" s="13" t="s">
        <v>38</v>
      </c>
      <c r="C3496" s="20" t="s">
        <v>5018</v>
      </c>
      <c r="D3496" s="19">
        <v>12302</v>
      </c>
      <c r="E3496" s="13" t="s">
        <v>10817</v>
      </c>
      <c r="F3496" s="14">
        <v>41275</v>
      </c>
      <c r="G3496" s="14">
        <v>41639</v>
      </c>
      <c r="H3496" s="13" t="s">
        <v>651</v>
      </c>
      <c r="I3496" s="18">
        <v>203.5</v>
      </c>
      <c r="J3496" s="18">
        <v>203.5</v>
      </c>
      <c r="K3496" s="20" t="s">
        <v>5018</v>
      </c>
    </row>
    <row r="3497" spans="1:11" ht="25.5" x14ac:dyDescent="0.25">
      <c r="A3497" s="13" t="s">
        <v>10818</v>
      </c>
      <c r="B3497" s="13" t="s">
        <v>38</v>
      </c>
      <c r="C3497" s="20" t="s">
        <v>5018</v>
      </c>
      <c r="D3497" s="19">
        <v>12303</v>
      </c>
      <c r="E3497" s="13" t="s">
        <v>10819</v>
      </c>
      <c r="F3497" s="14">
        <v>41275</v>
      </c>
      <c r="G3497" s="14">
        <v>41639</v>
      </c>
      <c r="H3497" s="13" t="s">
        <v>651</v>
      </c>
      <c r="I3497" s="18">
        <v>1780.8</v>
      </c>
      <c r="J3497" s="18">
        <v>1780.8</v>
      </c>
      <c r="K3497" s="20" t="s">
        <v>5018</v>
      </c>
    </row>
    <row r="3498" spans="1:11" ht="25.5" x14ac:dyDescent="0.25">
      <c r="A3498" s="13" t="s">
        <v>10820</v>
      </c>
      <c r="B3498" s="13" t="s">
        <v>38</v>
      </c>
      <c r="C3498" s="20" t="s">
        <v>5018</v>
      </c>
      <c r="D3498" s="19">
        <v>12304</v>
      </c>
      <c r="E3498" s="13" t="s">
        <v>10821</v>
      </c>
      <c r="F3498" s="14">
        <v>41275</v>
      </c>
      <c r="G3498" s="14">
        <v>41639</v>
      </c>
      <c r="H3498" s="13" t="s">
        <v>651</v>
      </c>
      <c r="I3498" s="18">
        <v>1077.2</v>
      </c>
      <c r="J3498" s="18">
        <v>1077.2</v>
      </c>
      <c r="K3498" s="20" t="s">
        <v>5018</v>
      </c>
    </row>
    <row r="3499" spans="1:11" ht="25.5" x14ac:dyDescent="0.25">
      <c r="A3499" s="13" t="s">
        <v>10822</v>
      </c>
      <c r="B3499" s="13" t="s">
        <v>38</v>
      </c>
      <c r="C3499" s="20" t="s">
        <v>5018</v>
      </c>
      <c r="D3499" s="19">
        <v>12305</v>
      </c>
      <c r="E3499" s="13" t="s">
        <v>10823</v>
      </c>
      <c r="F3499" s="14">
        <v>41275</v>
      </c>
      <c r="G3499" s="14">
        <v>41639</v>
      </c>
      <c r="H3499" s="13" t="s">
        <v>651</v>
      </c>
      <c r="I3499" s="18">
        <v>1182.6500000000001</v>
      </c>
      <c r="J3499" s="18">
        <v>1182.6500000000001</v>
      </c>
      <c r="K3499" s="20" t="s">
        <v>5018</v>
      </c>
    </row>
    <row r="3500" spans="1:11" ht="25.5" x14ac:dyDescent="0.25">
      <c r="A3500" s="13" t="s">
        <v>10824</v>
      </c>
      <c r="B3500" s="13" t="s">
        <v>38</v>
      </c>
      <c r="C3500" s="20" t="s">
        <v>5018</v>
      </c>
      <c r="D3500" s="19">
        <v>12306</v>
      </c>
      <c r="E3500" s="13" t="s">
        <v>10825</v>
      </c>
      <c r="F3500" s="14">
        <v>41275</v>
      </c>
      <c r="G3500" s="14">
        <v>41639</v>
      </c>
      <c r="H3500" s="13" t="s">
        <v>651</v>
      </c>
      <c r="I3500" s="18">
        <v>520</v>
      </c>
      <c r="J3500" s="18">
        <v>520</v>
      </c>
      <c r="K3500" s="20" t="s">
        <v>5018</v>
      </c>
    </row>
    <row r="3501" spans="1:11" ht="25.5" x14ac:dyDescent="0.25">
      <c r="A3501" s="13" t="s">
        <v>10826</v>
      </c>
      <c r="B3501" s="13" t="s">
        <v>38</v>
      </c>
      <c r="C3501" s="20" t="s">
        <v>5018</v>
      </c>
      <c r="D3501" s="19">
        <v>12307</v>
      </c>
      <c r="E3501" s="13" t="s">
        <v>10827</v>
      </c>
      <c r="F3501" s="14">
        <v>41275</v>
      </c>
      <c r="G3501" s="14">
        <v>41639</v>
      </c>
      <c r="H3501" s="13" t="s">
        <v>651</v>
      </c>
      <c r="I3501" s="18">
        <v>1780.8</v>
      </c>
      <c r="J3501" s="18">
        <v>1780.8</v>
      </c>
      <c r="K3501" s="20" t="s">
        <v>5018</v>
      </c>
    </row>
    <row r="3502" spans="1:11" ht="25.5" x14ac:dyDescent="0.25">
      <c r="A3502" s="13" t="s">
        <v>10828</v>
      </c>
      <c r="B3502" s="13" t="s">
        <v>38</v>
      </c>
      <c r="C3502" s="20" t="s">
        <v>5018</v>
      </c>
      <c r="D3502" s="19">
        <v>12308</v>
      </c>
      <c r="E3502" s="13" t="s">
        <v>10829</v>
      </c>
      <c r="F3502" s="14">
        <v>41275</v>
      </c>
      <c r="G3502" s="14">
        <v>41639</v>
      </c>
      <c r="H3502" s="13" t="s">
        <v>651</v>
      </c>
      <c r="I3502" s="18">
        <v>749</v>
      </c>
      <c r="J3502" s="18">
        <v>749</v>
      </c>
      <c r="K3502" s="20" t="s">
        <v>5018</v>
      </c>
    </row>
    <row r="3503" spans="1:11" ht="25.5" x14ac:dyDescent="0.25">
      <c r="A3503" s="13" t="s">
        <v>10830</v>
      </c>
      <c r="B3503" s="13" t="s">
        <v>38</v>
      </c>
      <c r="C3503" s="20" t="s">
        <v>5018</v>
      </c>
      <c r="D3503" s="19">
        <v>12309</v>
      </c>
      <c r="E3503" s="13" t="s">
        <v>10831</v>
      </c>
      <c r="F3503" s="14">
        <v>41275</v>
      </c>
      <c r="G3503" s="14">
        <v>41639</v>
      </c>
      <c r="H3503" s="13" t="s">
        <v>651</v>
      </c>
      <c r="I3503" s="18">
        <v>337.5</v>
      </c>
      <c r="J3503" s="18">
        <v>337.5</v>
      </c>
      <c r="K3503" s="20" t="s">
        <v>5018</v>
      </c>
    </row>
    <row r="3504" spans="1:11" ht="25.5" x14ac:dyDescent="0.25">
      <c r="A3504" s="13" t="s">
        <v>10832</v>
      </c>
      <c r="B3504" s="13" t="s">
        <v>38</v>
      </c>
      <c r="C3504" s="20" t="s">
        <v>5018</v>
      </c>
      <c r="D3504" s="19">
        <v>12310</v>
      </c>
      <c r="E3504" s="13" t="s">
        <v>10833</v>
      </c>
      <c r="F3504" s="14">
        <v>41275</v>
      </c>
      <c r="G3504" s="14">
        <v>41639</v>
      </c>
      <c r="H3504" s="13" t="s">
        <v>651</v>
      </c>
      <c r="I3504" s="18">
        <v>319.45</v>
      </c>
      <c r="J3504" s="18">
        <v>319.45</v>
      </c>
      <c r="K3504" s="20" t="s">
        <v>5018</v>
      </c>
    </row>
    <row r="3505" spans="1:11" ht="25.5" x14ac:dyDescent="0.25">
      <c r="A3505" s="13" t="s">
        <v>10834</v>
      </c>
      <c r="B3505" s="13" t="s">
        <v>38</v>
      </c>
      <c r="C3505" s="20" t="s">
        <v>5018</v>
      </c>
      <c r="D3505" s="19">
        <v>12311</v>
      </c>
      <c r="E3505" s="13" t="s">
        <v>10835</v>
      </c>
      <c r="F3505" s="14">
        <v>41275</v>
      </c>
      <c r="G3505" s="14">
        <v>41639</v>
      </c>
      <c r="H3505" s="13" t="s">
        <v>651</v>
      </c>
      <c r="I3505" s="18">
        <v>924.2</v>
      </c>
      <c r="J3505" s="18">
        <v>924.2</v>
      </c>
      <c r="K3505" s="20" t="s">
        <v>5018</v>
      </c>
    </row>
    <row r="3506" spans="1:11" ht="25.5" x14ac:dyDescent="0.25">
      <c r="A3506" s="13" t="s">
        <v>10836</v>
      </c>
      <c r="B3506" s="13" t="s">
        <v>38</v>
      </c>
      <c r="C3506" s="20" t="s">
        <v>5018</v>
      </c>
      <c r="D3506" s="19">
        <v>12312</v>
      </c>
      <c r="E3506" s="13" t="s">
        <v>10837</v>
      </c>
      <c r="F3506" s="14">
        <v>41275</v>
      </c>
      <c r="G3506" s="14">
        <v>41639</v>
      </c>
      <c r="H3506" s="13" t="s">
        <v>651</v>
      </c>
      <c r="I3506" s="18">
        <v>1094.6500000000001</v>
      </c>
      <c r="J3506" s="18">
        <v>1094.6500000000001</v>
      </c>
      <c r="K3506" s="20" t="s">
        <v>5018</v>
      </c>
    </row>
    <row r="3507" spans="1:11" ht="25.5" x14ac:dyDescent="0.25">
      <c r="A3507" s="13" t="s">
        <v>10838</v>
      </c>
      <c r="B3507" s="13" t="s">
        <v>38</v>
      </c>
      <c r="C3507" s="20" t="s">
        <v>5018</v>
      </c>
      <c r="D3507" s="19">
        <v>12313</v>
      </c>
      <c r="E3507" s="13" t="s">
        <v>10839</v>
      </c>
      <c r="F3507" s="14">
        <v>41275</v>
      </c>
      <c r="G3507" s="14">
        <v>41639</v>
      </c>
      <c r="H3507" s="13" t="s">
        <v>651</v>
      </c>
      <c r="I3507" s="18">
        <v>1572.9</v>
      </c>
      <c r="J3507" s="18">
        <v>1572.9</v>
      </c>
      <c r="K3507" s="20" t="s">
        <v>5018</v>
      </c>
    </row>
    <row r="3508" spans="1:11" ht="25.5" x14ac:dyDescent="0.25">
      <c r="A3508" s="13" t="s">
        <v>10840</v>
      </c>
      <c r="B3508" s="13" t="s">
        <v>38</v>
      </c>
      <c r="C3508" s="20" t="s">
        <v>5018</v>
      </c>
      <c r="D3508" s="19">
        <v>12314</v>
      </c>
      <c r="E3508" s="13" t="s">
        <v>10841</v>
      </c>
      <c r="F3508" s="14">
        <v>41275</v>
      </c>
      <c r="G3508" s="14">
        <v>41639</v>
      </c>
      <c r="H3508" s="13" t="s">
        <v>651</v>
      </c>
      <c r="I3508" s="18">
        <v>630</v>
      </c>
      <c r="J3508" s="18">
        <v>630</v>
      </c>
      <c r="K3508" s="20" t="s">
        <v>5018</v>
      </c>
    </row>
    <row r="3509" spans="1:11" ht="25.5" x14ac:dyDescent="0.25">
      <c r="A3509" s="13" t="s">
        <v>10842</v>
      </c>
      <c r="B3509" s="13" t="s">
        <v>38</v>
      </c>
      <c r="C3509" s="20" t="s">
        <v>5018</v>
      </c>
      <c r="D3509" s="19">
        <v>12315</v>
      </c>
      <c r="E3509" s="13" t="s">
        <v>10843</v>
      </c>
      <c r="F3509" s="14">
        <v>41275</v>
      </c>
      <c r="G3509" s="14">
        <v>41639</v>
      </c>
      <c r="H3509" s="13" t="s">
        <v>651</v>
      </c>
      <c r="I3509" s="18">
        <v>524</v>
      </c>
      <c r="J3509" s="18">
        <v>524</v>
      </c>
      <c r="K3509" s="20" t="s">
        <v>5018</v>
      </c>
    </row>
    <row r="3510" spans="1:11" ht="25.5" x14ac:dyDescent="0.25">
      <c r="A3510" s="13" t="s">
        <v>10844</v>
      </c>
      <c r="B3510" s="13" t="s">
        <v>38</v>
      </c>
      <c r="C3510" s="20" t="s">
        <v>5018</v>
      </c>
      <c r="D3510" s="19">
        <v>12316</v>
      </c>
      <c r="E3510" s="13" t="s">
        <v>10843</v>
      </c>
      <c r="F3510" s="14">
        <v>41275</v>
      </c>
      <c r="G3510" s="14">
        <v>41639</v>
      </c>
      <c r="H3510" s="13" t="s">
        <v>651</v>
      </c>
      <c r="I3510" s="18">
        <v>727</v>
      </c>
      <c r="J3510" s="18">
        <v>727</v>
      </c>
      <c r="K3510" s="20" t="s">
        <v>5018</v>
      </c>
    </row>
    <row r="3511" spans="1:11" ht="25.5" x14ac:dyDescent="0.25">
      <c r="A3511" s="13" t="s">
        <v>10845</v>
      </c>
      <c r="B3511" s="13" t="s">
        <v>38</v>
      </c>
      <c r="C3511" s="20" t="s">
        <v>5018</v>
      </c>
      <c r="D3511" s="19">
        <v>12317</v>
      </c>
      <c r="E3511" s="13" t="s">
        <v>10846</v>
      </c>
      <c r="F3511" s="14">
        <v>41275</v>
      </c>
      <c r="G3511" s="14">
        <v>41639</v>
      </c>
      <c r="H3511" s="13" t="s">
        <v>651</v>
      </c>
      <c r="I3511" s="18">
        <v>212</v>
      </c>
      <c r="J3511" s="18">
        <v>212</v>
      </c>
      <c r="K3511" s="20" t="s">
        <v>5018</v>
      </c>
    </row>
    <row r="3512" spans="1:11" ht="25.5" x14ac:dyDescent="0.25">
      <c r="A3512" s="13" t="s">
        <v>10847</v>
      </c>
      <c r="B3512" s="13" t="s">
        <v>38</v>
      </c>
      <c r="C3512" s="20" t="s">
        <v>5018</v>
      </c>
      <c r="D3512" s="19">
        <v>12318</v>
      </c>
      <c r="E3512" s="13" t="s">
        <v>10848</v>
      </c>
      <c r="F3512" s="14">
        <v>41275</v>
      </c>
      <c r="G3512" s="14">
        <v>41639</v>
      </c>
      <c r="H3512" s="13" t="s">
        <v>651</v>
      </c>
      <c r="I3512" s="18">
        <v>287</v>
      </c>
      <c r="J3512" s="18">
        <v>287</v>
      </c>
      <c r="K3512" s="20" t="s">
        <v>5018</v>
      </c>
    </row>
    <row r="3513" spans="1:11" ht="25.5" x14ac:dyDescent="0.25">
      <c r="A3513" s="13" t="s">
        <v>10849</v>
      </c>
      <c r="B3513" s="13" t="s">
        <v>38</v>
      </c>
      <c r="C3513" s="20" t="s">
        <v>5018</v>
      </c>
      <c r="D3513" s="19">
        <v>12319</v>
      </c>
      <c r="E3513" s="13" t="s">
        <v>10850</v>
      </c>
      <c r="F3513" s="14">
        <v>41275</v>
      </c>
      <c r="G3513" s="14">
        <v>41639</v>
      </c>
      <c r="H3513" s="13" t="s">
        <v>651</v>
      </c>
      <c r="I3513" s="18">
        <v>220</v>
      </c>
      <c r="J3513" s="18">
        <v>220</v>
      </c>
      <c r="K3513" s="20" t="s">
        <v>5018</v>
      </c>
    </row>
    <row r="3514" spans="1:11" ht="25.5" x14ac:dyDescent="0.25">
      <c r="A3514" s="13" t="s">
        <v>10851</v>
      </c>
      <c r="B3514" s="13" t="s">
        <v>38</v>
      </c>
      <c r="C3514" s="20" t="s">
        <v>5018</v>
      </c>
      <c r="D3514" s="19">
        <v>12320</v>
      </c>
      <c r="E3514" s="13" t="s">
        <v>10852</v>
      </c>
      <c r="F3514" s="14">
        <v>41275</v>
      </c>
      <c r="G3514" s="14">
        <v>41639</v>
      </c>
      <c r="H3514" s="13" t="s">
        <v>651</v>
      </c>
      <c r="I3514" s="18">
        <v>420</v>
      </c>
      <c r="J3514" s="18">
        <v>420</v>
      </c>
      <c r="K3514" s="20" t="s">
        <v>5018</v>
      </c>
    </row>
    <row r="3515" spans="1:11" ht="25.5" x14ac:dyDescent="0.25">
      <c r="A3515" s="13" t="s">
        <v>10853</v>
      </c>
      <c r="B3515" s="13" t="s">
        <v>38</v>
      </c>
      <c r="C3515" s="20" t="s">
        <v>5018</v>
      </c>
      <c r="D3515" s="19">
        <v>12321</v>
      </c>
      <c r="E3515" s="13" t="s">
        <v>10338</v>
      </c>
      <c r="F3515" s="14">
        <v>41275</v>
      </c>
      <c r="G3515" s="14">
        <v>41639</v>
      </c>
      <c r="H3515" s="13" t="s">
        <v>651</v>
      </c>
      <c r="I3515" s="18">
        <v>570</v>
      </c>
      <c r="J3515" s="18">
        <v>570</v>
      </c>
      <c r="K3515" s="20" t="s">
        <v>5018</v>
      </c>
    </row>
    <row r="3516" spans="1:11" ht="25.5" x14ac:dyDescent="0.25">
      <c r="A3516" s="13" t="s">
        <v>10854</v>
      </c>
      <c r="B3516" s="13" t="s">
        <v>38</v>
      </c>
      <c r="C3516" s="20" t="s">
        <v>5018</v>
      </c>
      <c r="D3516" s="19">
        <v>12322</v>
      </c>
      <c r="E3516" s="13" t="s">
        <v>10855</v>
      </c>
      <c r="F3516" s="14">
        <v>41275</v>
      </c>
      <c r="G3516" s="14">
        <v>41639</v>
      </c>
      <c r="H3516" s="13" t="s">
        <v>651</v>
      </c>
      <c r="I3516" s="18">
        <v>245</v>
      </c>
      <c r="J3516" s="18">
        <v>245</v>
      </c>
      <c r="K3516" s="20" t="s">
        <v>5018</v>
      </c>
    </row>
    <row r="3517" spans="1:11" ht="25.5" x14ac:dyDescent="0.25">
      <c r="A3517" s="13" t="s">
        <v>10856</v>
      </c>
      <c r="B3517" s="13" t="s">
        <v>38</v>
      </c>
      <c r="C3517" s="20" t="s">
        <v>5018</v>
      </c>
      <c r="D3517" s="19">
        <v>12324</v>
      </c>
      <c r="E3517" s="13" t="s">
        <v>10857</v>
      </c>
      <c r="F3517" s="14">
        <v>41275</v>
      </c>
      <c r="G3517" s="14">
        <v>41639</v>
      </c>
      <c r="H3517" s="13" t="s">
        <v>651</v>
      </c>
      <c r="I3517" s="18">
        <v>220</v>
      </c>
      <c r="J3517" s="18">
        <v>220</v>
      </c>
      <c r="K3517" s="20" t="s">
        <v>5018</v>
      </c>
    </row>
    <row r="3518" spans="1:11" ht="25.5" x14ac:dyDescent="0.25">
      <c r="A3518" s="13" t="s">
        <v>10858</v>
      </c>
      <c r="B3518" s="13" t="s">
        <v>38</v>
      </c>
      <c r="C3518" s="20" t="s">
        <v>5018</v>
      </c>
      <c r="D3518" s="19">
        <v>12325</v>
      </c>
      <c r="E3518" s="13" t="s">
        <v>10850</v>
      </c>
      <c r="F3518" s="14">
        <v>41275</v>
      </c>
      <c r="G3518" s="14">
        <v>41639</v>
      </c>
      <c r="H3518" s="13" t="s">
        <v>651</v>
      </c>
      <c r="I3518" s="18">
        <v>334</v>
      </c>
      <c r="J3518" s="18">
        <v>334</v>
      </c>
      <c r="K3518" s="20" t="s">
        <v>5018</v>
      </c>
    </row>
    <row r="3519" spans="1:11" ht="25.5" x14ac:dyDescent="0.25">
      <c r="A3519" s="13" t="s">
        <v>10859</v>
      </c>
      <c r="B3519" s="13" t="s">
        <v>38</v>
      </c>
      <c r="C3519" s="20" t="s">
        <v>5018</v>
      </c>
      <c r="D3519" s="19">
        <v>12326</v>
      </c>
      <c r="E3519" s="13" t="s">
        <v>10843</v>
      </c>
      <c r="F3519" s="14">
        <v>41275</v>
      </c>
      <c r="G3519" s="14">
        <v>41639</v>
      </c>
      <c r="H3519" s="13" t="s">
        <v>651</v>
      </c>
      <c r="I3519" s="18">
        <v>762</v>
      </c>
      <c r="J3519" s="18">
        <v>762</v>
      </c>
      <c r="K3519" s="20" t="s">
        <v>5018</v>
      </c>
    </row>
    <row r="3520" spans="1:11" ht="25.5" x14ac:dyDescent="0.25">
      <c r="A3520" s="13" t="s">
        <v>10860</v>
      </c>
      <c r="B3520" s="13" t="s">
        <v>38</v>
      </c>
      <c r="C3520" s="20" t="s">
        <v>5018</v>
      </c>
      <c r="D3520" s="19">
        <v>12327</v>
      </c>
      <c r="E3520" s="13" t="s">
        <v>10852</v>
      </c>
      <c r="F3520" s="14">
        <v>41275</v>
      </c>
      <c r="G3520" s="14">
        <v>41639</v>
      </c>
      <c r="H3520" s="13" t="s">
        <v>651</v>
      </c>
      <c r="I3520" s="18">
        <v>300</v>
      </c>
      <c r="J3520" s="18">
        <v>300</v>
      </c>
      <c r="K3520" s="20" t="s">
        <v>5018</v>
      </c>
    </row>
    <row r="3521" spans="1:13" ht="25.5" x14ac:dyDescent="0.25">
      <c r="A3521" s="13" t="s">
        <v>10861</v>
      </c>
      <c r="B3521" s="13" t="s">
        <v>38</v>
      </c>
      <c r="C3521" s="20" t="s">
        <v>5018</v>
      </c>
      <c r="D3521" s="19">
        <v>12328</v>
      </c>
      <c r="E3521" s="13" t="s">
        <v>10862</v>
      </c>
      <c r="F3521" s="14">
        <v>41275</v>
      </c>
      <c r="G3521" s="14">
        <v>41639</v>
      </c>
      <c r="H3521" s="13" t="s">
        <v>651</v>
      </c>
      <c r="I3521" s="18">
        <v>926</v>
      </c>
      <c r="J3521" s="18">
        <v>926</v>
      </c>
      <c r="K3521" s="20" t="s">
        <v>5018</v>
      </c>
    </row>
    <row r="3522" spans="1:13" ht="25.5" x14ac:dyDescent="0.25">
      <c r="A3522" s="13" t="s">
        <v>10863</v>
      </c>
      <c r="B3522" s="13" t="s">
        <v>38</v>
      </c>
      <c r="C3522" s="20" t="s">
        <v>5018</v>
      </c>
      <c r="D3522" s="19">
        <v>12329</v>
      </c>
      <c r="E3522" s="13" t="s">
        <v>10864</v>
      </c>
      <c r="F3522" s="14">
        <v>41275</v>
      </c>
      <c r="G3522" s="14">
        <v>41639</v>
      </c>
      <c r="H3522" s="13" t="s">
        <v>651</v>
      </c>
      <c r="I3522" s="18">
        <v>585</v>
      </c>
      <c r="J3522" s="18">
        <v>585</v>
      </c>
      <c r="K3522" s="20" t="s">
        <v>5018</v>
      </c>
    </row>
    <row r="3523" spans="1:13" ht="25.5" x14ac:dyDescent="0.25">
      <c r="A3523" s="13" t="s">
        <v>10865</v>
      </c>
      <c r="B3523" s="13" t="s">
        <v>38</v>
      </c>
      <c r="C3523" s="20" t="s">
        <v>5018</v>
      </c>
      <c r="D3523" s="19">
        <v>12330</v>
      </c>
      <c r="E3523" s="13" t="s">
        <v>10848</v>
      </c>
      <c r="F3523" s="14">
        <v>41275</v>
      </c>
      <c r="G3523" s="14">
        <v>41639</v>
      </c>
      <c r="H3523" s="13" t="s">
        <v>651</v>
      </c>
      <c r="I3523" s="18">
        <v>271.5</v>
      </c>
      <c r="J3523" s="18">
        <v>271.5</v>
      </c>
      <c r="K3523" s="20" t="s">
        <v>5018</v>
      </c>
    </row>
    <row r="3524" spans="1:13" ht="25.5" x14ac:dyDescent="0.25">
      <c r="A3524" s="13" t="s">
        <v>10866</v>
      </c>
      <c r="B3524" s="13" t="s">
        <v>38</v>
      </c>
      <c r="C3524" s="20" t="s">
        <v>5018</v>
      </c>
      <c r="D3524" s="19">
        <v>12331</v>
      </c>
      <c r="E3524" s="13" t="s">
        <v>10338</v>
      </c>
      <c r="F3524" s="14">
        <v>41275</v>
      </c>
      <c r="G3524" s="14">
        <v>41639</v>
      </c>
      <c r="H3524" s="13" t="s">
        <v>651</v>
      </c>
      <c r="I3524" s="18">
        <v>399</v>
      </c>
      <c r="J3524" s="18">
        <v>399</v>
      </c>
      <c r="K3524" s="20" t="s">
        <v>5018</v>
      </c>
    </row>
    <row r="3525" spans="1:13" ht="25.5" x14ac:dyDescent="0.25">
      <c r="A3525" s="13" t="s">
        <v>10867</v>
      </c>
      <c r="B3525" s="13" t="s">
        <v>38</v>
      </c>
      <c r="C3525" s="20" t="s">
        <v>5018</v>
      </c>
      <c r="D3525" s="19">
        <v>12332</v>
      </c>
      <c r="E3525" s="13" t="s">
        <v>10868</v>
      </c>
      <c r="F3525" s="14">
        <v>41275</v>
      </c>
      <c r="G3525" s="14">
        <v>41639</v>
      </c>
      <c r="H3525" s="13" t="s">
        <v>651</v>
      </c>
      <c r="I3525" s="18">
        <v>947</v>
      </c>
      <c r="J3525" s="18">
        <v>947</v>
      </c>
      <c r="K3525" s="20" t="s">
        <v>5018</v>
      </c>
    </row>
    <row r="3526" spans="1:13" ht="25.5" x14ac:dyDescent="0.25">
      <c r="A3526" s="13" t="s">
        <v>10869</v>
      </c>
      <c r="B3526" s="13" t="s">
        <v>38</v>
      </c>
      <c r="C3526" s="20" t="s">
        <v>5018</v>
      </c>
      <c r="D3526" s="19">
        <v>12333</v>
      </c>
      <c r="E3526" s="13" t="s">
        <v>10870</v>
      </c>
      <c r="F3526" s="14">
        <v>41275</v>
      </c>
      <c r="G3526" s="14">
        <v>41639</v>
      </c>
      <c r="H3526" s="13" t="s">
        <v>651</v>
      </c>
      <c r="I3526" s="18">
        <v>6011.8</v>
      </c>
      <c r="J3526" s="18">
        <v>6011.8</v>
      </c>
      <c r="K3526" s="20" t="s">
        <v>5018</v>
      </c>
    </row>
    <row r="3527" spans="1:13" ht="25.5" x14ac:dyDescent="0.25">
      <c r="A3527" s="13" t="s">
        <v>10871</v>
      </c>
      <c r="B3527" s="13" t="s">
        <v>38</v>
      </c>
      <c r="C3527" s="20" t="s">
        <v>5018</v>
      </c>
      <c r="D3527" s="19">
        <v>12334</v>
      </c>
      <c r="E3527" s="13" t="s">
        <v>10872</v>
      </c>
      <c r="F3527" s="14">
        <v>41275</v>
      </c>
      <c r="G3527" s="14">
        <v>41639</v>
      </c>
      <c r="H3527" s="13" t="s">
        <v>651</v>
      </c>
      <c r="I3527" s="18">
        <v>1169.9000000000001</v>
      </c>
      <c r="J3527" s="18">
        <v>1169.9000000000001</v>
      </c>
      <c r="K3527" s="20" t="s">
        <v>5018</v>
      </c>
    </row>
    <row r="3528" spans="1:13" ht="25.5" x14ac:dyDescent="0.25">
      <c r="A3528" s="13" t="s">
        <v>5796</v>
      </c>
      <c r="B3528" s="13" t="s">
        <v>38</v>
      </c>
      <c r="C3528" s="20" t="s">
        <v>5018</v>
      </c>
      <c r="D3528" s="19">
        <v>12335</v>
      </c>
      <c r="E3528" s="13" t="s">
        <v>10873</v>
      </c>
      <c r="F3528" s="14">
        <v>41275</v>
      </c>
      <c r="G3528" s="14">
        <v>41639</v>
      </c>
      <c r="H3528" s="13" t="s">
        <v>651</v>
      </c>
      <c r="I3528" s="18">
        <v>3256.59</v>
      </c>
      <c r="J3528" s="18">
        <v>3256.59</v>
      </c>
      <c r="K3528" s="20" t="s">
        <v>5018</v>
      </c>
    </row>
    <row r="3529" spans="1:13" ht="25.5" x14ac:dyDescent="0.25">
      <c r="A3529" s="13" t="s">
        <v>10874</v>
      </c>
      <c r="B3529" s="13" t="s">
        <v>38</v>
      </c>
      <c r="C3529" s="20" t="s">
        <v>5018</v>
      </c>
      <c r="D3529" s="19">
        <v>12337</v>
      </c>
      <c r="E3529" s="13" t="s">
        <v>10875</v>
      </c>
      <c r="F3529" s="14">
        <v>41275</v>
      </c>
      <c r="G3529" s="14">
        <v>41639</v>
      </c>
      <c r="H3529" s="13" t="s">
        <v>651</v>
      </c>
      <c r="I3529" s="18">
        <v>745</v>
      </c>
      <c r="J3529" s="18">
        <v>745</v>
      </c>
      <c r="K3529" s="20" t="s">
        <v>5018</v>
      </c>
    </row>
    <row r="3530" spans="1:13" ht="25.5" x14ac:dyDescent="0.25">
      <c r="A3530" s="13" t="s">
        <v>10876</v>
      </c>
      <c r="B3530" s="13" t="s">
        <v>38</v>
      </c>
      <c r="C3530" s="20" t="s">
        <v>5018</v>
      </c>
      <c r="D3530" s="19">
        <v>12338</v>
      </c>
      <c r="E3530" s="13" t="s">
        <v>10877</v>
      </c>
      <c r="F3530" s="14">
        <v>41275</v>
      </c>
      <c r="G3530" s="14">
        <v>41639</v>
      </c>
      <c r="H3530" s="13" t="s">
        <v>651</v>
      </c>
      <c r="I3530" s="18">
        <v>550</v>
      </c>
      <c r="J3530" s="18">
        <v>550</v>
      </c>
      <c r="K3530" s="20" t="s">
        <v>5018</v>
      </c>
    </row>
    <row r="3531" spans="1:13" ht="25.5" x14ac:dyDescent="0.25">
      <c r="A3531" s="13" t="s">
        <v>10878</v>
      </c>
      <c r="B3531" s="13" t="s">
        <v>38</v>
      </c>
      <c r="C3531" s="20" t="s">
        <v>5018</v>
      </c>
      <c r="D3531" s="19">
        <v>12339</v>
      </c>
      <c r="E3531" s="13" t="s">
        <v>10879</v>
      </c>
      <c r="F3531" s="14">
        <v>41275</v>
      </c>
      <c r="G3531" s="14">
        <v>41639</v>
      </c>
      <c r="H3531" s="13" t="s">
        <v>651</v>
      </c>
      <c r="I3531" s="18">
        <v>810</v>
      </c>
      <c r="J3531" s="18">
        <v>810</v>
      </c>
      <c r="K3531" s="20" t="s">
        <v>5018</v>
      </c>
    </row>
    <row r="3532" spans="1:13" ht="25.5" x14ac:dyDescent="0.25">
      <c r="A3532" s="13" t="s">
        <v>10880</v>
      </c>
      <c r="B3532" s="13" t="s">
        <v>38</v>
      </c>
      <c r="C3532" s="20" t="s">
        <v>5018</v>
      </c>
      <c r="D3532" s="19">
        <v>12340</v>
      </c>
      <c r="E3532" s="13" t="s">
        <v>10881</v>
      </c>
      <c r="F3532" s="14">
        <v>41275</v>
      </c>
      <c r="G3532" s="14">
        <v>41639</v>
      </c>
      <c r="H3532" s="13" t="s">
        <v>651</v>
      </c>
      <c r="I3532" s="18">
        <v>530</v>
      </c>
      <c r="J3532" s="18">
        <v>530</v>
      </c>
      <c r="K3532" s="20" t="s">
        <v>5018</v>
      </c>
    </row>
    <row r="3533" spans="1:13" ht="25.5" x14ac:dyDescent="0.25">
      <c r="A3533" s="13" t="s">
        <v>10882</v>
      </c>
      <c r="B3533" s="13" t="s">
        <v>38</v>
      </c>
      <c r="C3533" s="20" t="s">
        <v>5018</v>
      </c>
      <c r="D3533" s="19">
        <v>12341</v>
      </c>
      <c r="E3533" s="13" t="s">
        <v>10883</v>
      </c>
      <c r="F3533" s="14">
        <v>41275</v>
      </c>
      <c r="G3533" s="14">
        <v>41639</v>
      </c>
      <c r="H3533" s="13" t="s">
        <v>651</v>
      </c>
      <c r="I3533" s="18">
        <v>745</v>
      </c>
      <c r="J3533" s="18">
        <v>745</v>
      </c>
      <c r="K3533" s="20" t="s">
        <v>5018</v>
      </c>
    </row>
    <row r="3534" spans="1:13" ht="25.5" x14ac:dyDescent="0.25">
      <c r="A3534" s="13" t="s">
        <v>10884</v>
      </c>
      <c r="B3534" s="13" t="s">
        <v>38</v>
      </c>
      <c r="C3534" s="20" t="s">
        <v>5018</v>
      </c>
      <c r="D3534" s="19">
        <v>12342</v>
      </c>
      <c r="E3534" s="13" t="s">
        <v>10885</v>
      </c>
      <c r="F3534" s="14">
        <v>41275</v>
      </c>
      <c r="G3534" s="14">
        <v>41639</v>
      </c>
      <c r="H3534" s="13" t="s">
        <v>651</v>
      </c>
      <c r="I3534" s="18">
        <v>635</v>
      </c>
      <c r="J3534" s="18">
        <v>635</v>
      </c>
      <c r="K3534" s="20" t="s">
        <v>5018</v>
      </c>
    </row>
    <row r="3535" spans="1:13" ht="25.5" x14ac:dyDescent="0.25">
      <c r="A3535" s="13" t="s">
        <v>10886</v>
      </c>
      <c r="B3535" s="13" t="s">
        <v>38</v>
      </c>
      <c r="C3535" s="20" t="s">
        <v>5018</v>
      </c>
      <c r="D3535" s="19">
        <v>12365</v>
      </c>
      <c r="E3535" s="13" t="s">
        <v>104</v>
      </c>
      <c r="F3535" s="14">
        <v>41275</v>
      </c>
      <c r="G3535" s="14">
        <v>41639</v>
      </c>
      <c r="H3535" s="13" t="s">
        <v>651</v>
      </c>
      <c r="I3535" s="18">
        <v>53744.7</v>
      </c>
      <c r="J3535" s="18">
        <v>53744.7</v>
      </c>
      <c r="K3535" s="20" t="s">
        <v>5018</v>
      </c>
    </row>
    <row r="3536" spans="1:13" s="4" customFormat="1" x14ac:dyDescent="0.25">
      <c r="C3536" s="20" t="s">
        <v>5018</v>
      </c>
      <c r="D3536" s="35"/>
      <c r="E3536" s="26" t="s">
        <v>351</v>
      </c>
      <c r="F3536" s="28"/>
      <c r="G3536" s="28"/>
      <c r="H3536" s="26"/>
      <c r="I3536" s="27">
        <f>SUM(I2996:I3023)</f>
        <v>1674906.45</v>
      </c>
      <c r="J3536" s="27">
        <f>SUM(J2996:J3023)</f>
        <v>403702.93</v>
      </c>
      <c r="K3536" s="20" t="s">
        <v>5018</v>
      </c>
      <c r="L3536" s="119"/>
      <c r="M3536" s="3"/>
    </row>
    <row r="3537" spans="1:13" s="4" customFormat="1" x14ac:dyDescent="0.25">
      <c r="C3537" s="20" t="s">
        <v>5018</v>
      </c>
      <c r="D3537" s="35"/>
      <c r="E3537" s="26" t="s">
        <v>786</v>
      </c>
      <c r="F3537" s="28"/>
      <c r="G3537" s="28"/>
      <c r="H3537" s="26"/>
      <c r="I3537" s="27">
        <f>SUM(I3024)</f>
        <v>264000</v>
      </c>
      <c r="J3537" s="27">
        <f>SUM(J3024)</f>
        <v>66000</v>
      </c>
      <c r="K3537" s="20" t="s">
        <v>5018</v>
      </c>
      <c r="L3537" s="119"/>
      <c r="M3537" s="3"/>
    </row>
    <row r="3538" spans="1:13" s="4" customFormat="1" x14ac:dyDescent="0.25">
      <c r="C3538" s="20" t="s">
        <v>5018</v>
      </c>
      <c r="D3538" s="35"/>
      <c r="E3538" s="26" t="s">
        <v>352</v>
      </c>
      <c r="F3538" s="28"/>
      <c r="G3538" s="28"/>
      <c r="H3538" s="26"/>
      <c r="I3538" s="27">
        <f>SUM(I3025:I3535)</f>
        <v>4268366.1400000006</v>
      </c>
      <c r="J3538" s="27">
        <f>SUM(J3025:J3535)</f>
        <v>3326126.4699999997</v>
      </c>
      <c r="K3538" s="20" t="s">
        <v>5018</v>
      </c>
      <c r="L3538" s="119"/>
      <c r="M3538" s="3"/>
    </row>
    <row r="3539" spans="1:13" s="4" customFormat="1" x14ac:dyDescent="0.25">
      <c r="C3539" s="20" t="s">
        <v>5018</v>
      </c>
      <c r="D3539" s="35"/>
      <c r="E3539" s="26" t="s">
        <v>5812</v>
      </c>
      <c r="F3539" s="28"/>
      <c r="G3539" s="28"/>
      <c r="H3539" s="26"/>
      <c r="I3539" s="27">
        <f>SUM(I3536:I3538)</f>
        <v>6207272.5900000008</v>
      </c>
      <c r="J3539" s="27">
        <f>SUM(J3536:J3538)</f>
        <v>3795829.4</v>
      </c>
      <c r="K3539" s="20" t="s">
        <v>5018</v>
      </c>
      <c r="L3539" s="119">
        <f>J3539</f>
        <v>3795829.4</v>
      </c>
      <c r="M3539" s="3">
        <f>SUM(J3539*0.4)</f>
        <v>1518331.76</v>
      </c>
    </row>
    <row r="3540" spans="1:13" s="4" customFormat="1" x14ac:dyDescent="0.25">
      <c r="C3540" s="37"/>
      <c r="D3540" s="35"/>
      <c r="F3540" s="5"/>
      <c r="G3540" s="5"/>
      <c r="I3540" s="6"/>
      <c r="J3540" s="6"/>
      <c r="K3540" s="37"/>
      <c r="L3540" s="119"/>
      <c r="M3540" s="3"/>
    </row>
    <row r="3541" spans="1:13" ht="114.75" x14ac:dyDescent="0.2">
      <c r="A3541" s="95" t="s">
        <v>11473</v>
      </c>
      <c r="B3541" s="4" t="s">
        <v>13</v>
      </c>
      <c r="C3541" s="37" t="s">
        <v>5815</v>
      </c>
      <c r="D3541" s="105">
        <v>12941</v>
      </c>
      <c r="E3541" s="101" t="s">
        <v>11616</v>
      </c>
      <c r="F3541" s="96">
        <v>40544</v>
      </c>
      <c r="G3541" s="96">
        <v>41274</v>
      </c>
      <c r="H3541" s="4" t="s">
        <v>2032</v>
      </c>
      <c r="I3541" s="102">
        <v>100051.26</v>
      </c>
      <c r="J3541" s="102">
        <v>100051.26</v>
      </c>
      <c r="K3541" s="37" t="s">
        <v>5815</v>
      </c>
    </row>
    <row r="3542" spans="1:13" s="4" customFormat="1" ht="63.75" x14ac:dyDescent="0.25">
      <c r="A3542" s="4" t="s">
        <v>5813</v>
      </c>
      <c r="B3542" s="4" t="s">
        <v>13</v>
      </c>
      <c r="C3542" s="37" t="s">
        <v>5815</v>
      </c>
      <c r="D3542" s="35">
        <v>4432</v>
      </c>
      <c r="E3542" s="4" t="s">
        <v>5814</v>
      </c>
      <c r="F3542" s="5">
        <v>39234</v>
      </c>
      <c r="G3542" s="5">
        <v>40544</v>
      </c>
      <c r="H3542" s="4" t="s">
        <v>2032</v>
      </c>
      <c r="I3542" s="6">
        <v>805197.84</v>
      </c>
      <c r="J3542" s="6">
        <v>805197.84</v>
      </c>
      <c r="K3542" s="37" t="s">
        <v>5815</v>
      </c>
      <c r="L3542" s="119"/>
      <c r="M3542" s="3"/>
    </row>
    <row r="3543" spans="1:13" s="4" customFormat="1" ht="63.75" x14ac:dyDescent="0.25">
      <c r="A3543" s="4" t="s">
        <v>5816</v>
      </c>
      <c r="B3543" s="4" t="s">
        <v>13</v>
      </c>
      <c r="C3543" s="37" t="s">
        <v>5815</v>
      </c>
      <c r="D3543" s="35">
        <v>5080</v>
      </c>
      <c r="E3543" s="4" t="s">
        <v>5817</v>
      </c>
      <c r="F3543" s="5">
        <v>39203</v>
      </c>
      <c r="G3543" s="5">
        <v>39660</v>
      </c>
      <c r="H3543" s="4" t="s">
        <v>2039</v>
      </c>
      <c r="I3543" s="6">
        <v>44252.46</v>
      </c>
      <c r="J3543" s="6">
        <v>44252.46</v>
      </c>
      <c r="K3543" s="37" t="s">
        <v>5815</v>
      </c>
      <c r="L3543" s="119"/>
      <c r="M3543" s="3"/>
    </row>
    <row r="3544" spans="1:13" s="4" customFormat="1" ht="76.5" x14ac:dyDescent="0.25">
      <c r="A3544" s="4" t="s">
        <v>5818</v>
      </c>
      <c r="B3544" s="4" t="s">
        <v>13</v>
      </c>
      <c r="C3544" s="37" t="s">
        <v>5815</v>
      </c>
      <c r="D3544" s="35">
        <v>5082</v>
      </c>
      <c r="E3544" s="4" t="s">
        <v>5819</v>
      </c>
      <c r="F3544" s="5">
        <v>39265</v>
      </c>
      <c r="G3544" s="5">
        <v>39933</v>
      </c>
      <c r="H3544" s="4" t="s">
        <v>2039</v>
      </c>
      <c r="I3544" s="6">
        <v>69172</v>
      </c>
      <c r="J3544" s="6">
        <v>69172</v>
      </c>
      <c r="K3544" s="37" t="s">
        <v>5815</v>
      </c>
      <c r="L3544" s="119"/>
      <c r="M3544" s="3"/>
    </row>
    <row r="3545" spans="1:13" s="4" customFormat="1" ht="76.5" x14ac:dyDescent="0.25">
      <c r="A3545" s="4" t="s">
        <v>5820</v>
      </c>
      <c r="B3545" s="4" t="s">
        <v>13</v>
      </c>
      <c r="C3545" s="37" t="s">
        <v>5815</v>
      </c>
      <c r="D3545" s="35">
        <v>5083</v>
      </c>
      <c r="E3545" s="4" t="s">
        <v>5821</v>
      </c>
      <c r="F3545" s="5">
        <v>39448</v>
      </c>
      <c r="G3545" s="5">
        <v>39903</v>
      </c>
      <c r="H3545" s="4" t="s">
        <v>2039</v>
      </c>
      <c r="I3545" s="6">
        <v>78606.820000000007</v>
      </c>
      <c r="J3545" s="6">
        <v>78606.820000000007</v>
      </c>
      <c r="K3545" s="37" t="s">
        <v>5815</v>
      </c>
      <c r="L3545" s="119"/>
      <c r="M3545" s="3"/>
    </row>
    <row r="3546" spans="1:13" s="4" customFormat="1" ht="51" x14ac:dyDescent="0.25">
      <c r="A3546" s="4" t="s">
        <v>5822</v>
      </c>
      <c r="B3546" s="4" t="s">
        <v>13</v>
      </c>
      <c r="C3546" s="37" t="s">
        <v>5815</v>
      </c>
      <c r="D3546" s="35">
        <v>5085</v>
      </c>
      <c r="E3546" s="4" t="s">
        <v>5823</v>
      </c>
      <c r="F3546" s="5">
        <v>39661</v>
      </c>
      <c r="G3546" s="5">
        <v>40512</v>
      </c>
      <c r="H3546" s="4" t="s">
        <v>2039</v>
      </c>
      <c r="I3546" s="6">
        <v>68643.81</v>
      </c>
      <c r="J3546" s="6">
        <v>68643.81</v>
      </c>
      <c r="K3546" s="37" t="s">
        <v>5815</v>
      </c>
      <c r="L3546" s="119"/>
      <c r="M3546" s="3"/>
    </row>
    <row r="3547" spans="1:13" s="4" customFormat="1" ht="114.75" x14ac:dyDescent="0.25">
      <c r="A3547" s="4" t="s">
        <v>5824</v>
      </c>
      <c r="B3547" s="4" t="s">
        <v>13</v>
      </c>
      <c r="C3547" s="37" t="s">
        <v>5815</v>
      </c>
      <c r="D3547" s="35">
        <v>5087</v>
      </c>
      <c r="E3547" s="7" t="s">
        <v>5825</v>
      </c>
      <c r="F3547" s="5">
        <v>39448</v>
      </c>
      <c r="G3547" s="5">
        <v>39933</v>
      </c>
      <c r="H3547" s="4" t="s">
        <v>2039</v>
      </c>
      <c r="I3547" s="6">
        <v>70380.95</v>
      </c>
      <c r="J3547" s="6">
        <v>70380.95</v>
      </c>
      <c r="K3547" s="37" t="s">
        <v>5815</v>
      </c>
      <c r="L3547" s="119"/>
      <c r="M3547" s="3"/>
    </row>
    <row r="3548" spans="1:13" s="4" customFormat="1" ht="38.25" x14ac:dyDescent="0.25">
      <c r="A3548" s="4" t="s">
        <v>5826</v>
      </c>
      <c r="B3548" s="4" t="s">
        <v>13</v>
      </c>
      <c r="C3548" s="37" t="s">
        <v>5815</v>
      </c>
      <c r="D3548" s="35">
        <v>5092</v>
      </c>
      <c r="E3548" s="4" t="s">
        <v>5827</v>
      </c>
      <c r="F3548" s="5">
        <v>39356</v>
      </c>
      <c r="G3548" s="5">
        <v>39722</v>
      </c>
      <c r="H3548" s="4" t="s">
        <v>2039</v>
      </c>
      <c r="I3548" s="6">
        <v>68129.69</v>
      </c>
      <c r="J3548" s="6">
        <v>68129.69</v>
      </c>
      <c r="K3548" s="37" t="s">
        <v>5815</v>
      </c>
      <c r="L3548" s="119"/>
      <c r="M3548" s="3"/>
    </row>
    <row r="3549" spans="1:13" s="4" customFormat="1" ht="51" x14ac:dyDescent="0.25">
      <c r="A3549" s="4" t="s">
        <v>5828</v>
      </c>
      <c r="B3549" s="4" t="s">
        <v>13</v>
      </c>
      <c r="C3549" s="37" t="s">
        <v>5815</v>
      </c>
      <c r="D3549" s="35">
        <v>5094</v>
      </c>
      <c r="E3549" s="4" t="s">
        <v>5829</v>
      </c>
      <c r="F3549" s="5">
        <v>39356</v>
      </c>
      <c r="G3549" s="5">
        <v>39721</v>
      </c>
      <c r="H3549" s="4" t="s">
        <v>2039</v>
      </c>
      <c r="I3549" s="6">
        <v>75325.58</v>
      </c>
      <c r="J3549" s="6">
        <v>75325.58</v>
      </c>
      <c r="K3549" s="37" t="s">
        <v>5815</v>
      </c>
      <c r="L3549" s="119"/>
      <c r="M3549" s="3"/>
    </row>
    <row r="3550" spans="1:13" s="4" customFormat="1" ht="140.25" x14ac:dyDescent="0.25">
      <c r="A3550" s="4" t="s">
        <v>5830</v>
      </c>
      <c r="B3550" s="4" t="s">
        <v>13</v>
      </c>
      <c r="C3550" s="37" t="s">
        <v>5815</v>
      </c>
      <c r="D3550" s="35">
        <v>5095</v>
      </c>
      <c r="E3550" s="7" t="s">
        <v>5831</v>
      </c>
      <c r="F3550" s="5">
        <v>39448</v>
      </c>
      <c r="G3550" s="5">
        <v>39994</v>
      </c>
      <c r="H3550" s="4" t="s">
        <v>2039</v>
      </c>
      <c r="I3550" s="6">
        <v>68001.710000000006</v>
      </c>
      <c r="J3550" s="6">
        <v>68001.710000000006</v>
      </c>
      <c r="K3550" s="37" t="s">
        <v>5815</v>
      </c>
      <c r="L3550" s="119"/>
      <c r="M3550" s="3"/>
    </row>
    <row r="3551" spans="1:13" s="4" customFormat="1" ht="63.75" x14ac:dyDescent="0.25">
      <c r="A3551" s="4" t="s">
        <v>5832</v>
      </c>
      <c r="B3551" s="4" t="s">
        <v>13</v>
      </c>
      <c r="C3551" s="37" t="s">
        <v>5815</v>
      </c>
      <c r="D3551" s="35">
        <v>5096</v>
      </c>
      <c r="E3551" s="4" t="s">
        <v>5833</v>
      </c>
      <c r="F3551" s="5">
        <v>39417</v>
      </c>
      <c r="G3551" s="5">
        <v>39782</v>
      </c>
      <c r="H3551" s="4" t="s">
        <v>2039</v>
      </c>
      <c r="I3551" s="6">
        <v>88268.23</v>
      </c>
      <c r="J3551" s="6">
        <v>88268.23</v>
      </c>
      <c r="K3551" s="37" t="s">
        <v>5815</v>
      </c>
      <c r="L3551" s="119"/>
      <c r="M3551" s="3"/>
    </row>
    <row r="3552" spans="1:13" s="4" customFormat="1" ht="102" x14ac:dyDescent="0.25">
      <c r="A3552" s="4" t="s">
        <v>5834</v>
      </c>
      <c r="B3552" s="4" t="s">
        <v>13</v>
      </c>
      <c r="C3552" s="37" t="s">
        <v>5815</v>
      </c>
      <c r="D3552" s="35">
        <v>5099</v>
      </c>
      <c r="E3552" s="7" t="s">
        <v>5835</v>
      </c>
      <c r="F3552" s="5">
        <v>39814</v>
      </c>
      <c r="G3552" s="5">
        <v>40862</v>
      </c>
      <c r="H3552" s="4" t="s">
        <v>2039</v>
      </c>
      <c r="I3552" s="6">
        <v>74204.86</v>
      </c>
      <c r="J3552" s="6">
        <v>74204.86</v>
      </c>
      <c r="K3552" s="37" t="s">
        <v>5815</v>
      </c>
      <c r="L3552" s="119"/>
      <c r="M3552" s="3"/>
    </row>
    <row r="3553" spans="1:13" s="4" customFormat="1" ht="25.5" x14ac:dyDescent="0.25">
      <c r="A3553" s="4" t="s">
        <v>5836</v>
      </c>
      <c r="B3553" s="4" t="s">
        <v>13</v>
      </c>
      <c r="C3553" s="37" t="s">
        <v>5815</v>
      </c>
      <c r="D3553" s="35">
        <v>5101</v>
      </c>
      <c r="E3553" s="4" t="s">
        <v>5837</v>
      </c>
      <c r="F3553" s="5">
        <v>39814</v>
      </c>
      <c r="G3553" s="5">
        <v>40178</v>
      </c>
      <c r="H3553" s="4" t="s">
        <v>2039</v>
      </c>
      <c r="I3553" s="6">
        <v>83308.98</v>
      </c>
      <c r="J3553" s="6">
        <v>83308.98</v>
      </c>
      <c r="K3553" s="37" t="s">
        <v>5815</v>
      </c>
      <c r="L3553" s="119"/>
      <c r="M3553" s="3"/>
    </row>
    <row r="3554" spans="1:13" s="4" customFormat="1" ht="25.5" x14ac:dyDescent="0.25">
      <c r="A3554" s="4" t="s">
        <v>5838</v>
      </c>
      <c r="B3554" s="4" t="s">
        <v>13</v>
      </c>
      <c r="C3554" s="37" t="s">
        <v>5815</v>
      </c>
      <c r="D3554" s="35">
        <v>5104</v>
      </c>
      <c r="E3554" s="4" t="s">
        <v>5839</v>
      </c>
      <c r="F3554" s="5">
        <v>39265</v>
      </c>
      <c r="G3554" s="5">
        <v>39777</v>
      </c>
      <c r="H3554" s="4" t="s">
        <v>2039</v>
      </c>
      <c r="I3554" s="6">
        <v>51861.37</v>
      </c>
      <c r="J3554" s="6">
        <v>51861.37</v>
      </c>
      <c r="K3554" s="37" t="s">
        <v>5815</v>
      </c>
      <c r="L3554" s="119"/>
      <c r="M3554" s="3"/>
    </row>
    <row r="3555" spans="1:13" s="4" customFormat="1" ht="38.25" x14ac:dyDescent="0.25">
      <c r="A3555" s="4" t="s">
        <v>5840</v>
      </c>
      <c r="B3555" s="4" t="s">
        <v>13</v>
      </c>
      <c r="C3555" s="37" t="s">
        <v>5815</v>
      </c>
      <c r="D3555" s="35">
        <v>5106</v>
      </c>
      <c r="E3555" s="4" t="s">
        <v>5841</v>
      </c>
      <c r="F3555" s="5">
        <v>39326</v>
      </c>
      <c r="G3555" s="5">
        <v>40574</v>
      </c>
      <c r="H3555" s="4" t="s">
        <v>2039</v>
      </c>
      <c r="I3555" s="6">
        <v>127395.6</v>
      </c>
      <c r="J3555" s="6">
        <v>127395.6</v>
      </c>
      <c r="K3555" s="37" t="s">
        <v>5815</v>
      </c>
      <c r="L3555" s="119"/>
      <c r="M3555" s="3"/>
    </row>
    <row r="3556" spans="1:13" s="4" customFormat="1" ht="25.5" x14ac:dyDescent="0.25">
      <c r="A3556" s="4" t="s">
        <v>5842</v>
      </c>
      <c r="B3556" s="4" t="s">
        <v>13</v>
      </c>
      <c r="C3556" s="37" t="s">
        <v>5815</v>
      </c>
      <c r="D3556" s="35">
        <v>5109</v>
      </c>
      <c r="E3556" s="4" t="s">
        <v>5843</v>
      </c>
      <c r="F3556" s="5">
        <v>39479</v>
      </c>
      <c r="G3556" s="5">
        <v>39964</v>
      </c>
      <c r="H3556" s="4" t="s">
        <v>2039</v>
      </c>
      <c r="I3556" s="6">
        <v>91549.42</v>
      </c>
      <c r="J3556" s="6">
        <v>91549.42</v>
      </c>
      <c r="K3556" s="37" t="s">
        <v>5815</v>
      </c>
      <c r="L3556" s="119"/>
      <c r="M3556" s="3"/>
    </row>
    <row r="3557" spans="1:13" s="4" customFormat="1" ht="51" x14ac:dyDescent="0.25">
      <c r="A3557" s="4" t="s">
        <v>5844</v>
      </c>
      <c r="B3557" s="4" t="s">
        <v>13</v>
      </c>
      <c r="C3557" s="37" t="s">
        <v>5815</v>
      </c>
      <c r="D3557" s="35">
        <v>5111</v>
      </c>
      <c r="E3557" s="4" t="s">
        <v>5845</v>
      </c>
      <c r="F3557" s="5">
        <v>39783</v>
      </c>
      <c r="G3557" s="5">
        <v>39994</v>
      </c>
      <c r="H3557" s="4" t="s">
        <v>2039</v>
      </c>
      <c r="I3557" s="6">
        <v>94355.199999999997</v>
      </c>
      <c r="J3557" s="6">
        <v>94355.199999999997</v>
      </c>
      <c r="K3557" s="37" t="s">
        <v>5815</v>
      </c>
      <c r="L3557" s="119"/>
      <c r="M3557" s="3"/>
    </row>
    <row r="3558" spans="1:13" s="4" customFormat="1" ht="38.25" x14ac:dyDescent="0.25">
      <c r="A3558" s="4" t="s">
        <v>5846</v>
      </c>
      <c r="B3558" s="4" t="s">
        <v>13</v>
      </c>
      <c r="C3558" s="37" t="s">
        <v>5815</v>
      </c>
      <c r="D3558" s="35">
        <v>5115</v>
      </c>
      <c r="E3558" s="4" t="s">
        <v>5847</v>
      </c>
      <c r="F3558" s="5">
        <v>39706</v>
      </c>
      <c r="G3558" s="5">
        <v>40070</v>
      </c>
      <c r="H3558" s="4" t="s">
        <v>2039</v>
      </c>
      <c r="I3558" s="6">
        <v>3520.02</v>
      </c>
      <c r="J3558" s="6">
        <v>3520.02</v>
      </c>
      <c r="K3558" s="37" t="s">
        <v>5815</v>
      </c>
      <c r="L3558" s="119"/>
      <c r="M3558" s="3"/>
    </row>
    <row r="3559" spans="1:13" s="4" customFormat="1" ht="63.75" x14ac:dyDescent="0.25">
      <c r="A3559" s="4" t="s">
        <v>5848</v>
      </c>
      <c r="B3559" s="4" t="s">
        <v>13</v>
      </c>
      <c r="C3559" s="37" t="s">
        <v>5815</v>
      </c>
      <c r="D3559" s="35">
        <v>5216</v>
      </c>
      <c r="E3559" s="4" t="s">
        <v>5849</v>
      </c>
      <c r="F3559" s="5">
        <v>39722</v>
      </c>
      <c r="G3559" s="5">
        <v>40086</v>
      </c>
      <c r="H3559" s="4" t="s">
        <v>2039</v>
      </c>
      <c r="I3559" s="6">
        <v>55894.18</v>
      </c>
      <c r="J3559" s="6">
        <v>55894.18</v>
      </c>
      <c r="K3559" s="37" t="s">
        <v>5815</v>
      </c>
      <c r="L3559" s="119"/>
      <c r="M3559" s="3"/>
    </row>
    <row r="3560" spans="1:13" s="4" customFormat="1" ht="51" x14ac:dyDescent="0.25">
      <c r="A3560" s="4" t="s">
        <v>5850</v>
      </c>
      <c r="B3560" s="4" t="s">
        <v>13</v>
      </c>
      <c r="C3560" s="37" t="s">
        <v>5815</v>
      </c>
      <c r="D3560" s="35">
        <v>6146</v>
      </c>
      <c r="E3560" s="4" t="s">
        <v>5851</v>
      </c>
      <c r="F3560" s="5">
        <v>39419</v>
      </c>
      <c r="G3560" s="5">
        <v>39782</v>
      </c>
      <c r="H3560" s="4" t="s">
        <v>2039</v>
      </c>
      <c r="I3560" s="6">
        <v>66094.3</v>
      </c>
      <c r="J3560" s="6">
        <v>66094.3</v>
      </c>
      <c r="K3560" s="37" t="s">
        <v>5815</v>
      </c>
      <c r="L3560" s="119"/>
      <c r="M3560" s="3"/>
    </row>
    <row r="3561" spans="1:13" s="4" customFormat="1" ht="38.25" x14ac:dyDescent="0.25">
      <c r="A3561" s="4" t="s">
        <v>5852</v>
      </c>
      <c r="B3561" s="4" t="s">
        <v>13</v>
      </c>
      <c r="C3561" s="37" t="s">
        <v>5815</v>
      </c>
      <c r="D3561" s="35">
        <v>6148</v>
      </c>
      <c r="E3561" s="4" t="s">
        <v>5853</v>
      </c>
      <c r="F3561" s="5">
        <v>39814</v>
      </c>
      <c r="G3561" s="5">
        <v>40786</v>
      </c>
      <c r="H3561" s="4" t="s">
        <v>2039</v>
      </c>
      <c r="I3561" s="6">
        <v>269796.36</v>
      </c>
      <c r="J3561" s="6">
        <f>252603.92+17192.44</f>
        <v>269796.36</v>
      </c>
      <c r="K3561" s="37" t="s">
        <v>5815</v>
      </c>
      <c r="L3561" s="119"/>
      <c r="M3561" s="3"/>
    </row>
    <row r="3562" spans="1:13" s="4" customFormat="1" ht="38.25" x14ac:dyDescent="0.25">
      <c r="A3562" s="4" t="s">
        <v>5854</v>
      </c>
      <c r="B3562" s="4" t="s">
        <v>13</v>
      </c>
      <c r="C3562" s="37" t="s">
        <v>5815</v>
      </c>
      <c r="D3562" s="35">
        <v>6179</v>
      </c>
      <c r="E3562" s="4" t="s">
        <v>5855</v>
      </c>
      <c r="F3562" s="5">
        <v>39660</v>
      </c>
      <c r="G3562" s="5">
        <v>40497</v>
      </c>
      <c r="H3562" s="4" t="s">
        <v>2039</v>
      </c>
      <c r="I3562" s="6">
        <f>177084.45+84.96</f>
        <v>177169.41</v>
      </c>
      <c r="J3562" s="6">
        <f>177084.45+84.96</f>
        <v>177169.41</v>
      </c>
      <c r="K3562" s="37" t="s">
        <v>5815</v>
      </c>
      <c r="L3562" s="119"/>
      <c r="M3562" s="3"/>
    </row>
    <row r="3563" spans="1:13" s="4" customFormat="1" ht="38.25" x14ac:dyDescent="0.25">
      <c r="A3563" s="4" t="s">
        <v>5856</v>
      </c>
      <c r="B3563" s="4" t="s">
        <v>13</v>
      </c>
      <c r="C3563" s="37" t="s">
        <v>5815</v>
      </c>
      <c r="D3563" s="35">
        <v>6541</v>
      </c>
      <c r="E3563" s="4" t="s">
        <v>5857</v>
      </c>
      <c r="F3563" s="5">
        <v>40357</v>
      </c>
      <c r="G3563" s="5">
        <v>40862</v>
      </c>
      <c r="H3563" s="4" t="s">
        <v>2039</v>
      </c>
      <c r="I3563" s="6">
        <v>64083.55</v>
      </c>
      <c r="J3563" s="6">
        <f>559.39+63524.16</f>
        <v>64083.55</v>
      </c>
      <c r="K3563" s="37" t="s">
        <v>5815</v>
      </c>
      <c r="L3563" s="119"/>
      <c r="M3563" s="3"/>
    </row>
    <row r="3564" spans="1:13" s="4" customFormat="1" ht="25.5" x14ac:dyDescent="0.25">
      <c r="A3564" s="4" t="s">
        <v>5858</v>
      </c>
      <c r="B3564" s="4" t="s">
        <v>13</v>
      </c>
      <c r="C3564" s="37" t="s">
        <v>5815</v>
      </c>
      <c r="D3564" s="35">
        <v>8454</v>
      </c>
      <c r="E3564" s="4" t="s">
        <v>5858</v>
      </c>
      <c r="F3564" s="5">
        <v>40035</v>
      </c>
      <c r="G3564" s="5">
        <v>40497</v>
      </c>
      <c r="H3564" s="4" t="s">
        <v>2039</v>
      </c>
      <c r="I3564" s="6">
        <v>70340.63</v>
      </c>
      <c r="J3564" s="6">
        <v>70340.63</v>
      </c>
      <c r="K3564" s="37" t="s">
        <v>5815</v>
      </c>
      <c r="L3564" s="119"/>
      <c r="M3564" s="3"/>
    </row>
    <row r="3565" spans="1:13" s="4" customFormat="1" ht="38.25" x14ac:dyDescent="0.25">
      <c r="A3565" s="4" t="s">
        <v>5859</v>
      </c>
      <c r="B3565" s="4" t="s">
        <v>13</v>
      </c>
      <c r="C3565" s="37" t="s">
        <v>5815</v>
      </c>
      <c r="D3565" s="35">
        <v>8455</v>
      </c>
      <c r="E3565" s="4" t="s">
        <v>5860</v>
      </c>
      <c r="F3565" s="5">
        <v>39934</v>
      </c>
      <c r="G3565" s="5">
        <v>40299</v>
      </c>
      <c r="H3565" s="4" t="s">
        <v>2039</v>
      </c>
      <c r="I3565" s="6">
        <v>80717.83</v>
      </c>
      <c r="J3565" s="6">
        <v>80717.83</v>
      </c>
      <c r="K3565" s="37" t="s">
        <v>5815</v>
      </c>
      <c r="L3565" s="119"/>
      <c r="M3565" s="3"/>
    </row>
    <row r="3566" spans="1:13" s="4" customFormat="1" ht="76.5" x14ac:dyDescent="0.25">
      <c r="A3566" s="4" t="s">
        <v>5861</v>
      </c>
      <c r="B3566" s="4" t="s">
        <v>13</v>
      </c>
      <c r="C3566" s="37" t="s">
        <v>5815</v>
      </c>
      <c r="D3566" s="35">
        <v>8456</v>
      </c>
      <c r="E3566" s="4" t="s">
        <v>5862</v>
      </c>
      <c r="F3566" s="5">
        <v>39845</v>
      </c>
      <c r="G3566" s="5">
        <v>40940</v>
      </c>
      <c r="H3566" s="4" t="s">
        <v>2039</v>
      </c>
      <c r="I3566" s="6">
        <v>1357.26</v>
      </c>
      <c r="J3566" s="6">
        <v>1357.26</v>
      </c>
      <c r="K3566" s="37" t="s">
        <v>5815</v>
      </c>
      <c r="L3566" s="119"/>
      <c r="M3566" s="3"/>
    </row>
    <row r="3567" spans="1:13" s="4" customFormat="1" ht="63.75" x14ac:dyDescent="0.25">
      <c r="A3567" s="4" t="s">
        <v>5863</v>
      </c>
      <c r="B3567" s="4" t="s">
        <v>13</v>
      </c>
      <c r="C3567" s="37" t="s">
        <v>5815</v>
      </c>
      <c r="D3567" s="35">
        <v>8457</v>
      </c>
      <c r="E3567" s="4" t="s">
        <v>5864</v>
      </c>
      <c r="F3567" s="5">
        <v>39539</v>
      </c>
      <c r="G3567" s="5">
        <v>40512</v>
      </c>
      <c r="H3567" s="4" t="s">
        <v>2039</v>
      </c>
      <c r="I3567" s="6">
        <v>126865.51</v>
      </c>
      <c r="J3567" s="6">
        <v>126865.51</v>
      </c>
      <c r="K3567" s="37" t="s">
        <v>5815</v>
      </c>
      <c r="L3567" s="119"/>
      <c r="M3567" s="3"/>
    </row>
    <row r="3568" spans="1:13" s="4" customFormat="1" ht="25.5" x14ac:dyDescent="0.25">
      <c r="A3568" s="4" t="s">
        <v>5865</v>
      </c>
      <c r="B3568" s="4" t="s">
        <v>13</v>
      </c>
      <c r="C3568" s="37" t="s">
        <v>5815</v>
      </c>
      <c r="D3568" s="35">
        <v>8458</v>
      </c>
      <c r="E3568" s="4" t="s">
        <v>5866</v>
      </c>
      <c r="F3568" s="5">
        <v>39539</v>
      </c>
      <c r="G3568" s="5">
        <v>40501</v>
      </c>
      <c r="H3568" s="4" t="s">
        <v>2039</v>
      </c>
      <c r="I3568" s="6">
        <v>266528.65000000002</v>
      </c>
      <c r="J3568" s="6">
        <v>266528.65000000002</v>
      </c>
      <c r="K3568" s="37" t="s">
        <v>5815</v>
      </c>
      <c r="L3568" s="119"/>
      <c r="M3568" s="3"/>
    </row>
    <row r="3569" spans="1:13" s="4" customFormat="1" ht="114.75" x14ac:dyDescent="0.25">
      <c r="A3569" s="4" t="s">
        <v>5867</v>
      </c>
      <c r="B3569" s="4" t="s">
        <v>13</v>
      </c>
      <c r="C3569" s="37" t="s">
        <v>5815</v>
      </c>
      <c r="D3569" s="35">
        <v>8459</v>
      </c>
      <c r="E3569" s="7" t="s">
        <v>5868</v>
      </c>
      <c r="F3569" s="5">
        <v>39295</v>
      </c>
      <c r="G3569" s="5">
        <v>40329</v>
      </c>
      <c r="H3569" s="4" t="s">
        <v>2039</v>
      </c>
      <c r="I3569" s="6">
        <v>272772.27</v>
      </c>
      <c r="J3569" s="6">
        <v>272772.27</v>
      </c>
      <c r="K3569" s="37" t="s">
        <v>5815</v>
      </c>
      <c r="L3569" s="119"/>
      <c r="M3569" s="3"/>
    </row>
    <row r="3570" spans="1:13" s="4" customFormat="1" ht="51" x14ac:dyDescent="0.25">
      <c r="A3570" s="4" t="s">
        <v>5869</v>
      </c>
      <c r="B3570" s="4" t="s">
        <v>13</v>
      </c>
      <c r="C3570" s="37" t="s">
        <v>5815</v>
      </c>
      <c r="D3570" s="35">
        <v>8460</v>
      </c>
      <c r="E3570" s="4" t="s">
        <v>5870</v>
      </c>
      <c r="F3570" s="5">
        <v>39356</v>
      </c>
      <c r="G3570" s="5">
        <v>40359</v>
      </c>
      <c r="H3570" s="4" t="s">
        <v>2039</v>
      </c>
      <c r="I3570" s="6">
        <v>315153.74</v>
      </c>
      <c r="J3570" s="6">
        <v>315153.74</v>
      </c>
      <c r="K3570" s="37" t="s">
        <v>5815</v>
      </c>
      <c r="L3570" s="119"/>
      <c r="M3570" s="3"/>
    </row>
    <row r="3571" spans="1:13" s="4" customFormat="1" ht="51" x14ac:dyDescent="0.25">
      <c r="A3571" s="4" t="s">
        <v>5871</v>
      </c>
      <c r="B3571" s="4" t="s">
        <v>13</v>
      </c>
      <c r="C3571" s="37" t="s">
        <v>5815</v>
      </c>
      <c r="D3571" s="35">
        <v>8461</v>
      </c>
      <c r="E3571" s="4" t="s">
        <v>5872</v>
      </c>
      <c r="F3571" s="5">
        <v>39995</v>
      </c>
      <c r="G3571" s="5">
        <v>41060</v>
      </c>
      <c r="H3571" s="4" t="s">
        <v>2039</v>
      </c>
      <c r="I3571" s="6">
        <f>156930.79+771.57</f>
        <v>157702.36000000002</v>
      </c>
      <c r="J3571" s="6">
        <f>156930.79+771.57</f>
        <v>157702.36000000002</v>
      </c>
      <c r="K3571" s="37" t="s">
        <v>5815</v>
      </c>
      <c r="L3571" s="119"/>
      <c r="M3571" s="3"/>
    </row>
    <row r="3572" spans="1:13" s="4" customFormat="1" ht="102" x14ac:dyDescent="0.25">
      <c r="A3572" s="4" t="s">
        <v>5873</v>
      </c>
      <c r="B3572" s="4" t="s">
        <v>13</v>
      </c>
      <c r="C3572" s="37" t="s">
        <v>5815</v>
      </c>
      <c r="D3572" s="35">
        <v>11521</v>
      </c>
      <c r="E3572" s="7" t="s">
        <v>5874</v>
      </c>
      <c r="F3572" s="5">
        <v>39814</v>
      </c>
      <c r="G3572" s="5">
        <v>40847</v>
      </c>
      <c r="H3572" s="4" t="s">
        <v>2039</v>
      </c>
      <c r="I3572" s="6">
        <v>119982.48</v>
      </c>
      <c r="J3572" s="6">
        <v>119982.48</v>
      </c>
      <c r="K3572" s="37" t="s">
        <v>5815</v>
      </c>
      <c r="L3572" s="119"/>
      <c r="M3572" s="3"/>
    </row>
    <row r="3573" spans="1:13" s="4" customFormat="1" ht="76.5" x14ac:dyDescent="0.25">
      <c r="A3573" s="4" t="s">
        <v>5875</v>
      </c>
      <c r="B3573" s="4" t="s">
        <v>13</v>
      </c>
      <c r="C3573" s="37" t="s">
        <v>5815</v>
      </c>
      <c r="D3573" s="35">
        <v>11522</v>
      </c>
      <c r="E3573" s="4" t="s">
        <v>5876</v>
      </c>
      <c r="F3573" s="5">
        <v>40553</v>
      </c>
      <c r="G3573" s="5">
        <v>40968</v>
      </c>
      <c r="H3573" s="4" t="s">
        <v>2039</v>
      </c>
      <c r="I3573" s="6">
        <v>60468.79</v>
      </c>
      <c r="J3573" s="6">
        <v>60468.79</v>
      </c>
      <c r="K3573" s="37" t="s">
        <v>5815</v>
      </c>
      <c r="L3573" s="119"/>
      <c r="M3573" s="3"/>
    </row>
    <row r="3574" spans="1:13" s="4" customFormat="1" ht="51" x14ac:dyDescent="0.25">
      <c r="A3574" s="4" t="s">
        <v>5877</v>
      </c>
      <c r="B3574" s="4" t="s">
        <v>13</v>
      </c>
      <c r="C3574" s="37" t="s">
        <v>5815</v>
      </c>
      <c r="D3574" s="35">
        <v>11523</v>
      </c>
      <c r="E3574" s="4" t="s">
        <v>5878</v>
      </c>
      <c r="F3574" s="5">
        <v>39995</v>
      </c>
      <c r="G3574" s="5">
        <v>41228</v>
      </c>
      <c r="H3574" s="4" t="s">
        <v>2039</v>
      </c>
      <c r="I3574" s="6">
        <v>102624.44</v>
      </c>
      <c r="J3574" s="6">
        <v>102624.44</v>
      </c>
      <c r="K3574" s="37" t="s">
        <v>5815</v>
      </c>
      <c r="L3574" s="119"/>
      <c r="M3574" s="3"/>
    </row>
    <row r="3575" spans="1:13" s="4" customFormat="1" ht="76.5" x14ac:dyDescent="0.25">
      <c r="A3575" s="4" t="s">
        <v>5861</v>
      </c>
      <c r="B3575" s="4" t="s">
        <v>13</v>
      </c>
      <c r="C3575" s="37" t="s">
        <v>5815</v>
      </c>
      <c r="D3575" s="35">
        <v>11524</v>
      </c>
      <c r="E3575" s="4" t="s">
        <v>5879</v>
      </c>
      <c r="F3575" s="5">
        <v>39845</v>
      </c>
      <c r="G3575" s="5">
        <v>40939</v>
      </c>
      <c r="H3575" s="4" t="s">
        <v>2039</v>
      </c>
      <c r="I3575" s="6">
        <v>59551.17</v>
      </c>
      <c r="J3575" s="6">
        <v>59551.17</v>
      </c>
      <c r="K3575" s="37" t="s">
        <v>5815</v>
      </c>
      <c r="L3575" s="119"/>
      <c r="M3575" s="3"/>
    </row>
    <row r="3576" spans="1:13" s="32" customFormat="1" ht="51" x14ac:dyDescent="0.25">
      <c r="A3576" s="13" t="s">
        <v>11471</v>
      </c>
      <c r="B3576" s="32" t="s">
        <v>13</v>
      </c>
      <c r="C3576" s="38" t="s">
        <v>5815</v>
      </c>
      <c r="D3576" s="33">
        <v>12940</v>
      </c>
      <c r="E3576" s="13" t="s">
        <v>11472</v>
      </c>
      <c r="F3576" s="34">
        <v>40940</v>
      </c>
      <c r="G3576" s="34">
        <v>41456</v>
      </c>
      <c r="H3576" s="4" t="s">
        <v>2039</v>
      </c>
      <c r="I3576" s="94">
        <v>46371.25</v>
      </c>
      <c r="J3576" s="94">
        <v>46371.25</v>
      </c>
      <c r="K3576" s="38" t="s">
        <v>5815</v>
      </c>
      <c r="L3576" s="119"/>
    </row>
    <row r="3577" spans="1:13" ht="38.25" x14ac:dyDescent="0.25">
      <c r="A3577" s="13" t="s">
        <v>10923</v>
      </c>
      <c r="B3577" s="32" t="s">
        <v>13</v>
      </c>
      <c r="C3577" s="20" t="s">
        <v>5815</v>
      </c>
      <c r="D3577" s="19">
        <v>13040</v>
      </c>
      <c r="E3577" s="13" t="s">
        <v>10924</v>
      </c>
      <c r="F3577" s="14">
        <v>41155</v>
      </c>
      <c r="G3577" s="14">
        <v>41246</v>
      </c>
      <c r="H3577" s="4" t="s">
        <v>2039</v>
      </c>
      <c r="I3577" s="18">
        <v>12000</v>
      </c>
      <c r="J3577" s="18">
        <v>12000</v>
      </c>
      <c r="K3577" s="20" t="s">
        <v>5815</v>
      </c>
      <c r="L3577" s="119"/>
    </row>
    <row r="3578" spans="1:13" s="32" customFormat="1" ht="76.5" x14ac:dyDescent="0.25">
      <c r="A3578" s="13" t="s">
        <v>11474</v>
      </c>
      <c r="B3578" s="32" t="s">
        <v>13</v>
      </c>
      <c r="C3578" s="38" t="s">
        <v>5815</v>
      </c>
      <c r="D3578" s="33">
        <v>13041</v>
      </c>
      <c r="E3578" s="13" t="s">
        <v>11475</v>
      </c>
      <c r="F3578" s="34">
        <v>40909</v>
      </c>
      <c r="G3578" s="34">
        <v>41090</v>
      </c>
      <c r="H3578" s="4" t="s">
        <v>2039</v>
      </c>
      <c r="I3578" s="94">
        <v>14791.1</v>
      </c>
      <c r="J3578" s="94">
        <v>14791.1</v>
      </c>
      <c r="K3578" s="38" t="s">
        <v>5815</v>
      </c>
      <c r="L3578" s="119"/>
    </row>
    <row r="3579" spans="1:13" s="32" customFormat="1" ht="25.5" x14ac:dyDescent="0.25">
      <c r="A3579" s="13" t="s">
        <v>11476</v>
      </c>
      <c r="B3579" s="32" t="s">
        <v>13</v>
      </c>
      <c r="C3579" s="38" t="s">
        <v>5815</v>
      </c>
      <c r="D3579" s="33">
        <v>13042</v>
      </c>
      <c r="E3579" s="13" t="s">
        <v>11477</v>
      </c>
      <c r="F3579" s="34">
        <v>41030</v>
      </c>
      <c r="G3579" s="34">
        <v>41159</v>
      </c>
      <c r="H3579" s="4" t="s">
        <v>2039</v>
      </c>
      <c r="I3579" s="94">
        <v>3799.43</v>
      </c>
      <c r="J3579" s="94">
        <v>3799.43</v>
      </c>
      <c r="K3579" s="38" t="s">
        <v>5815</v>
      </c>
      <c r="L3579" s="119"/>
    </row>
    <row r="3580" spans="1:13" s="32" customFormat="1" ht="25.5" x14ac:dyDescent="0.25">
      <c r="A3580" s="13" t="s">
        <v>11478</v>
      </c>
      <c r="B3580" s="32" t="s">
        <v>13</v>
      </c>
      <c r="C3580" s="38" t="s">
        <v>5815</v>
      </c>
      <c r="D3580" s="33">
        <v>13043</v>
      </c>
      <c r="E3580" s="13" t="s">
        <v>11479</v>
      </c>
      <c r="F3580" s="34">
        <v>40969</v>
      </c>
      <c r="G3580" s="34">
        <v>41882</v>
      </c>
      <c r="H3580" s="4" t="s">
        <v>2039</v>
      </c>
      <c r="I3580" s="94">
        <v>47900.13</v>
      </c>
      <c r="J3580" s="94">
        <v>47900.13</v>
      </c>
      <c r="K3580" s="38" t="s">
        <v>5815</v>
      </c>
      <c r="L3580" s="119"/>
    </row>
    <row r="3581" spans="1:13" s="32" customFormat="1" ht="25.5" x14ac:dyDescent="0.25">
      <c r="A3581" s="13" t="s">
        <v>11480</v>
      </c>
      <c r="B3581" s="32" t="s">
        <v>13</v>
      </c>
      <c r="C3581" s="38" t="s">
        <v>5815</v>
      </c>
      <c r="D3581" s="33">
        <v>13044</v>
      </c>
      <c r="E3581" s="13" t="s">
        <v>11481</v>
      </c>
      <c r="F3581" s="34">
        <v>41141</v>
      </c>
      <c r="G3581" s="34">
        <v>41333</v>
      </c>
      <c r="H3581" s="4" t="s">
        <v>2039</v>
      </c>
      <c r="I3581" s="94">
        <v>697.8</v>
      </c>
      <c r="J3581" s="94">
        <v>697.8</v>
      </c>
      <c r="K3581" s="38" t="s">
        <v>5815</v>
      </c>
      <c r="L3581" s="119"/>
    </row>
    <row r="3582" spans="1:13" s="32" customFormat="1" ht="63.75" x14ac:dyDescent="0.25">
      <c r="A3582" s="13" t="s">
        <v>11484</v>
      </c>
      <c r="B3582" s="32" t="s">
        <v>13</v>
      </c>
      <c r="C3582" s="38" t="s">
        <v>5815</v>
      </c>
      <c r="D3582" s="33">
        <v>13046</v>
      </c>
      <c r="E3582" s="13" t="s">
        <v>11485</v>
      </c>
      <c r="F3582" s="34">
        <v>41091</v>
      </c>
      <c r="G3582" s="34">
        <v>42124</v>
      </c>
      <c r="H3582" s="4" t="s">
        <v>2039</v>
      </c>
      <c r="I3582" s="94">
        <v>9252.56</v>
      </c>
      <c r="J3582" s="94">
        <v>9252.56</v>
      </c>
      <c r="K3582" s="38" t="s">
        <v>5815</v>
      </c>
      <c r="L3582" s="119"/>
    </row>
    <row r="3583" spans="1:13" s="32" customFormat="1" ht="51" x14ac:dyDescent="0.25">
      <c r="A3583" s="13" t="s">
        <v>11486</v>
      </c>
      <c r="B3583" s="32" t="s">
        <v>13</v>
      </c>
      <c r="C3583" s="38" t="s">
        <v>5815</v>
      </c>
      <c r="D3583" s="33">
        <v>13047</v>
      </c>
      <c r="E3583" s="13" t="s">
        <v>11487</v>
      </c>
      <c r="F3583" s="34">
        <v>40909</v>
      </c>
      <c r="G3583" s="34">
        <v>41517</v>
      </c>
      <c r="H3583" s="4" t="s">
        <v>2039</v>
      </c>
      <c r="I3583" s="94">
        <v>62059.45</v>
      </c>
      <c r="J3583" s="94">
        <v>62059.45</v>
      </c>
      <c r="K3583" s="38" t="s">
        <v>5815</v>
      </c>
      <c r="L3583" s="119"/>
    </row>
    <row r="3584" spans="1:13" s="32" customFormat="1" ht="25.5" x14ac:dyDescent="0.25">
      <c r="A3584" s="13" t="s">
        <v>11488</v>
      </c>
      <c r="B3584" s="32" t="s">
        <v>13</v>
      </c>
      <c r="C3584" s="38" t="s">
        <v>5815</v>
      </c>
      <c r="D3584" s="33">
        <v>13048</v>
      </c>
      <c r="E3584" s="13" t="s">
        <v>11489</v>
      </c>
      <c r="F3584" s="34">
        <v>41155</v>
      </c>
      <c r="G3584" s="34">
        <v>41243</v>
      </c>
      <c r="H3584" s="4" t="s">
        <v>2039</v>
      </c>
      <c r="I3584" s="94">
        <v>2549.42</v>
      </c>
      <c r="J3584" s="94">
        <v>2549.42</v>
      </c>
      <c r="K3584" s="38" t="s">
        <v>5815</v>
      </c>
      <c r="L3584" s="119"/>
    </row>
    <row r="3585" spans="1:13" s="32" customFormat="1" ht="25.5" x14ac:dyDescent="0.25">
      <c r="A3585" s="13" t="s">
        <v>11490</v>
      </c>
      <c r="B3585" s="32" t="s">
        <v>13</v>
      </c>
      <c r="C3585" s="38" t="s">
        <v>5815</v>
      </c>
      <c r="D3585" s="33">
        <v>13049</v>
      </c>
      <c r="E3585" s="13" t="s">
        <v>11490</v>
      </c>
      <c r="F3585" s="34">
        <v>41061</v>
      </c>
      <c r="G3585" s="34">
        <v>41152</v>
      </c>
      <c r="H3585" s="4" t="s">
        <v>2039</v>
      </c>
      <c r="I3585" s="94">
        <v>11980.21</v>
      </c>
      <c r="J3585" s="94">
        <v>11980.21</v>
      </c>
      <c r="K3585" s="38" t="s">
        <v>5815</v>
      </c>
      <c r="L3585" s="119"/>
    </row>
    <row r="3586" spans="1:13" s="32" customFormat="1" ht="25.5" x14ac:dyDescent="0.25">
      <c r="A3586" s="13" t="s">
        <v>11491</v>
      </c>
      <c r="B3586" s="32" t="s">
        <v>13</v>
      </c>
      <c r="C3586" s="38" t="s">
        <v>5815</v>
      </c>
      <c r="D3586" s="33">
        <v>13050</v>
      </c>
      <c r="E3586" s="13" t="s">
        <v>11491</v>
      </c>
      <c r="F3586" s="34">
        <v>40911</v>
      </c>
      <c r="G3586" s="34">
        <v>41060</v>
      </c>
      <c r="H3586" s="4" t="s">
        <v>2039</v>
      </c>
      <c r="I3586" s="94">
        <v>14500</v>
      </c>
      <c r="J3586" s="94">
        <v>14500</v>
      </c>
      <c r="K3586" s="38" t="s">
        <v>5815</v>
      </c>
      <c r="L3586" s="119"/>
    </row>
    <row r="3587" spans="1:13" s="4" customFormat="1" ht="89.25" x14ac:dyDescent="0.25">
      <c r="A3587" s="4" t="s">
        <v>5880</v>
      </c>
      <c r="B3587" s="4" t="s">
        <v>13</v>
      </c>
      <c r="C3587" s="37" t="s">
        <v>5815</v>
      </c>
      <c r="D3587" s="35">
        <v>10204</v>
      </c>
      <c r="E3587" s="7" t="s">
        <v>5881</v>
      </c>
      <c r="F3587" s="5">
        <v>41106</v>
      </c>
      <c r="G3587" s="5">
        <v>41548</v>
      </c>
      <c r="H3587" s="4" t="s">
        <v>392</v>
      </c>
      <c r="I3587" s="6">
        <v>1166484.56</v>
      </c>
      <c r="J3587" s="6">
        <v>348991.35</v>
      </c>
      <c r="K3587" s="37" t="s">
        <v>5815</v>
      </c>
      <c r="L3587" s="119"/>
      <c r="M3587" s="3"/>
    </row>
    <row r="3588" spans="1:13" s="4" customFormat="1" ht="114.75" x14ac:dyDescent="0.25">
      <c r="A3588" s="4" t="s">
        <v>5882</v>
      </c>
      <c r="B3588" s="4" t="s">
        <v>13</v>
      </c>
      <c r="C3588" s="37" t="s">
        <v>5815</v>
      </c>
      <c r="D3588" s="35">
        <v>8032</v>
      </c>
      <c r="E3588" s="7" t="s">
        <v>5883</v>
      </c>
      <c r="F3588" s="5">
        <v>39782</v>
      </c>
      <c r="G3588" s="5">
        <v>41274</v>
      </c>
      <c r="H3588" s="4" t="s">
        <v>2195</v>
      </c>
      <c r="I3588" s="6">
        <v>6000000</v>
      </c>
      <c r="J3588" s="6">
        <v>6000000.0099999998</v>
      </c>
      <c r="K3588" s="37" t="s">
        <v>5815</v>
      </c>
      <c r="L3588" s="119"/>
      <c r="M3588" s="3"/>
    </row>
    <row r="3589" spans="1:13" s="4" customFormat="1" ht="25.5" x14ac:dyDescent="0.25">
      <c r="A3589" s="4" t="s">
        <v>5884</v>
      </c>
      <c r="B3589" s="4" t="s">
        <v>190</v>
      </c>
      <c r="C3589" s="37" t="s">
        <v>5815</v>
      </c>
      <c r="D3589" s="35">
        <v>11706</v>
      </c>
      <c r="E3589" s="4" t="s">
        <v>5885</v>
      </c>
      <c r="F3589" s="5">
        <v>40151</v>
      </c>
      <c r="G3589" s="5">
        <v>40724</v>
      </c>
      <c r="H3589" s="4" t="s">
        <v>5886</v>
      </c>
      <c r="I3589" s="6">
        <v>2669371</v>
      </c>
      <c r="J3589" s="6">
        <v>1067747</v>
      </c>
      <c r="K3589" s="37" t="s">
        <v>5815</v>
      </c>
      <c r="L3589" s="119"/>
      <c r="M3589" s="3"/>
    </row>
    <row r="3590" spans="1:13" s="4" customFormat="1" x14ac:dyDescent="0.25">
      <c r="A3590" s="4" t="s">
        <v>5887</v>
      </c>
      <c r="B3590" s="4" t="s">
        <v>59</v>
      </c>
      <c r="C3590" s="37" t="s">
        <v>5815</v>
      </c>
      <c r="D3590" s="35">
        <v>622</v>
      </c>
      <c r="E3590" s="4" t="s">
        <v>5888</v>
      </c>
      <c r="F3590" s="5">
        <v>39196</v>
      </c>
      <c r="G3590" s="5">
        <v>39401</v>
      </c>
      <c r="H3590" s="4" t="s">
        <v>40</v>
      </c>
      <c r="I3590" s="6">
        <v>7500</v>
      </c>
      <c r="J3590" s="6">
        <v>7500</v>
      </c>
      <c r="K3590" s="37" t="s">
        <v>5815</v>
      </c>
      <c r="L3590" s="119"/>
      <c r="M3590" s="3"/>
    </row>
    <row r="3591" spans="1:13" s="4" customFormat="1" ht="25.5" x14ac:dyDescent="0.25">
      <c r="A3591" s="4" t="s">
        <v>5889</v>
      </c>
      <c r="B3591" s="4" t="s">
        <v>50</v>
      </c>
      <c r="C3591" s="37" t="s">
        <v>5815</v>
      </c>
      <c r="D3591" s="35">
        <v>624</v>
      </c>
      <c r="E3591" s="4" t="s">
        <v>5890</v>
      </c>
      <c r="F3591" s="5">
        <v>39140</v>
      </c>
      <c r="G3591" s="5">
        <v>39958</v>
      </c>
      <c r="H3591" s="4" t="s">
        <v>40</v>
      </c>
      <c r="I3591" s="6">
        <v>28655.5</v>
      </c>
      <c r="J3591" s="6">
        <v>14327.75</v>
      </c>
      <c r="K3591" s="37" t="s">
        <v>5815</v>
      </c>
      <c r="L3591" s="119"/>
      <c r="M3591" s="3"/>
    </row>
    <row r="3592" spans="1:13" s="4" customFormat="1" ht="38.25" x14ac:dyDescent="0.25">
      <c r="A3592" s="4" t="s">
        <v>5891</v>
      </c>
      <c r="B3592" s="4" t="s">
        <v>50</v>
      </c>
      <c r="C3592" s="37" t="s">
        <v>5815</v>
      </c>
      <c r="D3592" s="35">
        <v>627</v>
      </c>
      <c r="E3592" s="4" t="s">
        <v>5892</v>
      </c>
      <c r="F3592" s="5">
        <v>39335</v>
      </c>
      <c r="G3592" s="5">
        <v>39813</v>
      </c>
      <c r="H3592" s="4" t="s">
        <v>40</v>
      </c>
      <c r="I3592" s="6">
        <v>17811.68</v>
      </c>
      <c r="J3592" s="6">
        <v>8905.84</v>
      </c>
      <c r="K3592" s="37" t="s">
        <v>5815</v>
      </c>
      <c r="L3592" s="119"/>
      <c r="M3592" s="3"/>
    </row>
    <row r="3593" spans="1:13" s="4" customFormat="1" ht="25.5" x14ac:dyDescent="0.25">
      <c r="A3593" s="4" t="s">
        <v>5893</v>
      </c>
      <c r="B3593" s="4" t="s">
        <v>50</v>
      </c>
      <c r="C3593" s="37" t="s">
        <v>5815</v>
      </c>
      <c r="D3593" s="35">
        <v>629</v>
      </c>
      <c r="E3593" s="4" t="s">
        <v>5894</v>
      </c>
      <c r="F3593" s="5">
        <v>39367</v>
      </c>
      <c r="G3593" s="5">
        <v>39813</v>
      </c>
      <c r="H3593" s="4" t="s">
        <v>40</v>
      </c>
      <c r="I3593" s="6">
        <v>5000</v>
      </c>
      <c r="J3593" s="6">
        <v>2500</v>
      </c>
      <c r="K3593" s="37" t="s">
        <v>5815</v>
      </c>
      <c r="L3593" s="119"/>
      <c r="M3593" s="3"/>
    </row>
    <row r="3594" spans="1:13" s="4" customFormat="1" ht="25.5" x14ac:dyDescent="0.25">
      <c r="A3594" s="4" t="s">
        <v>5895</v>
      </c>
      <c r="B3594" s="4" t="s">
        <v>50</v>
      </c>
      <c r="C3594" s="37" t="s">
        <v>5815</v>
      </c>
      <c r="D3594" s="35">
        <v>630</v>
      </c>
      <c r="E3594" s="4" t="s">
        <v>5896</v>
      </c>
      <c r="F3594" s="5">
        <v>39407</v>
      </c>
      <c r="G3594" s="5">
        <v>39813</v>
      </c>
      <c r="H3594" s="4" t="s">
        <v>40</v>
      </c>
      <c r="I3594" s="6">
        <v>30000</v>
      </c>
      <c r="J3594" s="6">
        <v>15000</v>
      </c>
      <c r="K3594" s="37" t="s">
        <v>5815</v>
      </c>
      <c r="L3594" s="119"/>
      <c r="M3594" s="3"/>
    </row>
    <row r="3595" spans="1:13" s="4" customFormat="1" ht="38.25" x14ac:dyDescent="0.25">
      <c r="A3595" s="4" t="s">
        <v>5899</v>
      </c>
      <c r="B3595" s="4" t="s">
        <v>50</v>
      </c>
      <c r="C3595" s="37" t="s">
        <v>5815</v>
      </c>
      <c r="D3595" s="35">
        <v>634</v>
      </c>
      <c r="E3595" s="4" t="s">
        <v>5900</v>
      </c>
      <c r="F3595" s="5">
        <v>39435</v>
      </c>
      <c r="G3595" s="5">
        <v>39813</v>
      </c>
      <c r="H3595" s="4" t="s">
        <v>40</v>
      </c>
      <c r="I3595" s="6">
        <v>10000</v>
      </c>
      <c r="J3595" s="6">
        <v>5000</v>
      </c>
      <c r="K3595" s="37" t="s">
        <v>5815</v>
      </c>
      <c r="L3595" s="119"/>
      <c r="M3595" s="3"/>
    </row>
    <row r="3596" spans="1:13" s="4" customFormat="1" ht="25.5" x14ac:dyDescent="0.25">
      <c r="A3596" s="4" t="s">
        <v>5907</v>
      </c>
      <c r="B3596" s="4" t="s">
        <v>50</v>
      </c>
      <c r="C3596" s="37" t="s">
        <v>5815</v>
      </c>
      <c r="D3596" s="35">
        <v>642</v>
      </c>
      <c r="E3596" s="4" t="s">
        <v>5908</v>
      </c>
      <c r="F3596" s="5">
        <v>39519</v>
      </c>
      <c r="G3596" s="5">
        <v>39813</v>
      </c>
      <c r="H3596" s="4" t="s">
        <v>40</v>
      </c>
      <c r="I3596" s="6">
        <v>33970</v>
      </c>
      <c r="J3596" s="6">
        <v>16985</v>
      </c>
      <c r="K3596" s="37" t="s">
        <v>5815</v>
      </c>
      <c r="L3596" s="119"/>
      <c r="M3596" s="3"/>
    </row>
    <row r="3597" spans="1:13" s="4" customFormat="1" ht="38.25" x14ac:dyDescent="0.25">
      <c r="A3597" s="4" t="s">
        <v>5909</v>
      </c>
      <c r="B3597" s="4" t="s">
        <v>50</v>
      </c>
      <c r="C3597" s="37" t="s">
        <v>5815</v>
      </c>
      <c r="D3597" s="35">
        <v>643</v>
      </c>
      <c r="E3597" s="4" t="s">
        <v>5910</v>
      </c>
      <c r="F3597" s="5">
        <v>39519</v>
      </c>
      <c r="G3597" s="5">
        <v>39813</v>
      </c>
      <c r="H3597" s="4" t="s">
        <v>40</v>
      </c>
      <c r="I3597" s="6">
        <v>18000</v>
      </c>
      <c r="J3597" s="6">
        <v>9000</v>
      </c>
      <c r="K3597" s="37" t="s">
        <v>5815</v>
      </c>
      <c r="L3597" s="119"/>
      <c r="M3597" s="3"/>
    </row>
    <row r="3598" spans="1:13" s="4" customFormat="1" ht="25.5" x14ac:dyDescent="0.25">
      <c r="A3598" s="4" t="s">
        <v>5915</v>
      </c>
      <c r="B3598" s="4" t="s">
        <v>50</v>
      </c>
      <c r="C3598" s="37" t="s">
        <v>5815</v>
      </c>
      <c r="D3598" s="35">
        <v>646</v>
      </c>
      <c r="E3598" s="4" t="s">
        <v>5916</v>
      </c>
      <c r="F3598" s="5">
        <v>39654</v>
      </c>
      <c r="G3598" s="5">
        <v>39813</v>
      </c>
      <c r="H3598" s="4" t="s">
        <v>40</v>
      </c>
      <c r="I3598" s="6">
        <v>20000</v>
      </c>
      <c r="J3598" s="6">
        <v>10000</v>
      </c>
      <c r="K3598" s="37" t="s">
        <v>5815</v>
      </c>
      <c r="L3598" s="119"/>
      <c r="M3598" s="3"/>
    </row>
    <row r="3599" spans="1:13" s="4" customFormat="1" ht="51" x14ac:dyDescent="0.25">
      <c r="A3599" s="4" t="s">
        <v>5917</v>
      </c>
      <c r="B3599" s="4" t="s">
        <v>50</v>
      </c>
      <c r="C3599" s="37" t="s">
        <v>5815</v>
      </c>
      <c r="D3599" s="35">
        <v>647</v>
      </c>
      <c r="E3599" s="4" t="s">
        <v>5918</v>
      </c>
      <c r="F3599" s="5">
        <v>39797</v>
      </c>
      <c r="H3599" s="4" t="s">
        <v>40</v>
      </c>
      <c r="I3599" s="6">
        <v>30843</v>
      </c>
      <c r="J3599" s="6">
        <v>15421.5</v>
      </c>
      <c r="K3599" s="37" t="s">
        <v>5815</v>
      </c>
      <c r="L3599" s="119"/>
      <c r="M3599" s="3"/>
    </row>
    <row r="3600" spans="1:13" s="4" customFormat="1" ht="38.25" x14ac:dyDescent="0.25">
      <c r="A3600" s="4" t="s">
        <v>5919</v>
      </c>
      <c r="B3600" s="4" t="s">
        <v>50</v>
      </c>
      <c r="C3600" s="37" t="s">
        <v>5815</v>
      </c>
      <c r="D3600" s="35">
        <v>648</v>
      </c>
      <c r="E3600" s="4" t="s">
        <v>5920</v>
      </c>
      <c r="F3600" s="5">
        <v>39629</v>
      </c>
      <c r="G3600" s="5">
        <v>39813</v>
      </c>
      <c r="H3600" s="4" t="s">
        <v>40</v>
      </c>
      <c r="I3600" s="6">
        <v>25000</v>
      </c>
      <c r="J3600" s="6">
        <v>12500</v>
      </c>
      <c r="K3600" s="37" t="s">
        <v>5815</v>
      </c>
      <c r="L3600" s="119"/>
      <c r="M3600" s="3"/>
    </row>
    <row r="3601" spans="1:13" s="4" customFormat="1" ht="38.25" x14ac:dyDescent="0.25">
      <c r="A3601" s="4" t="s">
        <v>5927</v>
      </c>
      <c r="B3601" s="4" t="s">
        <v>59</v>
      </c>
      <c r="C3601" s="37" t="s">
        <v>5815</v>
      </c>
      <c r="D3601" s="35">
        <v>652</v>
      </c>
      <c r="E3601" s="4" t="s">
        <v>5928</v>
      </c>
      <c r="F3601" s="5">
        <v>39647</v>
      </c>
      <c r="G3601" s="5">
        <v>39892</v>
      </c>
      <c r="H3601" s="4" t="s">
        <v>40</v>
      </c>
      <c r="I3601" s="6">
        <v>7500</v>
      </c>
      <c r="J3601" s="6">
        <v>7500</v>
      </c>
      <c r="K3601" s="37" t="s">
        <v>5815</v>
      </c>
      <c r="L3601" s="119"/>
      <c r="M3601" s="3"/>
    </row>
    <row r="3602" spans="1:13" s="4" customFormat="1" ht="38.25" x14ac:dyDescent="0.25">
      <c r="A3602" s="4" t="s">
        <v>5929</v>
      </c>
      <c r="B3602" s="4" t="s">
        <v>90</v>
      </c>
      <c r="C3602" s="37" t="s">
        <v>5815</v>
      </c>
      <c r="D3602" s="35">
        <v>653</v>
      </c>
      <c r="E3602" s="4" t="s">
        <v>5930</v>
      </c>
      <c r="F3602" s="5">
        <v>39706</v>
      </c>
      <c r="G3602" s="5">
        <v>39813</v>
      </c>
      <c r="H3602" s="4" t="s">
        <v>40</v>
      </c>
      <c r="I3602" s="6">
        <v>10000</v>
      </c>
      <c r="J3602" s="6">
        <v>5000</v>
      </c>
      <c r="K3602" s="37" t="s">
        <v>5815</v>
      </c>
      <c r="L3602" s="119"/>
      <c r="M3602" s="3"/>
    </row>
    <row r="3603" spans="1:13" s="4" customFormat="1" ht="38.25" x14ac:dyDescent="0.25">
      <c r="A3603" s="4" t="s">
        <v>5931</v>
      </c>
      <c r="B3603" s="4" t="s">
        <v>90</v>
      </c>
      <c r="C3603" s="37" t="s">
        <v>5815</v>
      </c>
      <c r="D3603" s="35">
        <v>654</v>
      </c>
      <c r="E3603" s="4" t="s">
        <v>5932</v>
      </c>
      <c r="F3603" s="5">
        <v>39716</v>
      </c>
      <c r="G3603" s="5">
        <v>39813</v>
      </c>
      <c r="H3603" s="4" t="s">
        <v>40</v>
      </c>
      <c r="I3603" s="6">
        <v>2987.5</v>
      </c>
      <c r="J3603" s="6">
        <v>1493.75</v>
      </c>
      <c r="K3603" s="37" t="s">
        <v>5815</v>
      </c>
      <c r="L3603" s="119"/>
      <c r="M3603" s="3"/>
    </row>
    <row r="3604" spans="1:13" s="4" customFormat="1" ht="38.25" x14ac:dyDescent="0.25">
      <c r="A3604" s="4" t="s">
        <v>5933</v>
      </c>
      <c r="B3604" s="4" t="s">
        <v>90</v>
      </c>
      <c r="C3604" s="37" t="s">
        <v>5815</v>
      </c>
      <c r="D3604" s="35">
        <v>655</v>
      </c>
      <c r="E3604" s="4" t="s">
        <v>5934</v>
      </c>
      <c r="F3604" s="5">
        <v>39744</v>
      </c>
      <c r="G3604" s="5">
        <v>39813</v>
      </c>
      <c r="H3604" s="4" t="s">
        <v>40</v>
      </c>
      <c r="I3604" s="6">
        <v>10200</v>
      </c>
      <c r="J3604" s="6">
        <v>5100</v>
      </c>
      <c r="K3604" s="37" t="s">
        <v>5815</v>
      </c>
      <c r="L3604" s="119"/>
      <c r="M3604" s="3"/>
    </row>
    <row r="3605" spans="1:13" s="4" customFormat="1" ht="38.25" x14ac:dyDescent="0.25">
      <c r="A3605" s="4" t="s">
        <v>5935</v>
      </c>
      <c r="B3605" s="4" t="s">
        <v>90</v>
      </c>
      <c r="C3605" s="37" t="s">
        <v>5815</v>
      </c>
      <c r="D3605" s="35">
        <v>656</v>
      </c>
      <c r="E3605" s="4" t="s">
        <v>5936</v>
      </c>
      <c r="F3605" s="5">
        <v>39790</v>
      </c>
      <c r="G3605" s="5">
        <v>39813</v>
      </c>
      <c r="H3605" s="4" t="s">
        <v>40</v>
      </c>
      <c r="I3605" s="6">
        <v>10200</v>
      </c>
      <c r="J3605" s="6">
        <v>5100</v>
      </c>
      <c r="K3605" s="37" t="s">
        <v>5815</v>
      </c>
      <c r="L3605" s="119"/>
      <c r="M3605" s="3"/>
    </row>
    <row r="3606" spans="1:13" s="4" customFormat="1" ht="38.25" x14ac:dyDescent="0.25">
      <c r="A3606" s="4" t="s">
        <v>5937</v>
      </c>
      <c r="B3606" s="4" t="s">
        <v>90</v>
      </c>
      <c r="C3606" s="37" t="s">
        <v>5815</v>
      </c>
      <c r="D3606" s="35">
        <v>657</v>
      </c>
      <c r="E3606" s="4" t="s">
        <v>5938</v>
      </c>
      <c r="F3606" s="5">
        <v>39804</v>
      </c>
      <c r="G3606" s="5">
        <v>39813</v>
      </c>
      <c r="H3606" s="4" t="s">
        <v>40</v>
      </c>
      <c r="I3606" s="6">
        <v>10200</v>
      </c>
      <c r="J3606" s="6">
        <v>5100</v>
      </c>
      <c r="K3606" s="37" t="s">
        <v>5815</v>
      </c>
      <c r="L3606" s="119"/>
      <c r="M3606" s="3"/>
    </row>
    <row r="3607" spans="1:13" s="4" customFormat="1" ht="38.25" x14ac:dyDescent="0.25">
      <c r="A3607" s="4" t="s">
        <v>5939</v>
      </c>
      <c r="B3607" s="4" t="s">
        <v>38</v>
      </c>
      <c r="C3607" s="37" t="s">
        <v>5815</v>
      </c>
      <c r="D3607" s="35">
        <v>659</v>
      </c>
      <c r="E3607" s="4" t="s">
        <v>5940</v>
      </c>
      <c r="F3607" s="5">
        <v>39083</v>
      </c>
      <c r="H3607" s="4" t="s">
        <v>40</v>
      </c>
      <c r="I3607" s="6">
        <v>129550.64</v>
      </c>
      <c r="J3607" s="6">
        <f>105915.68+23634.96</f>
        <v>129550.63999999998</v>
      </c>
      <c r="K3607" s="37" t="s">
        <v>5815</v>
      </c>
      <c r="L3607" s="119"/>
      <c r="M3607" s="3"/>
    </row>
    <row r="3608" spans="1:13" s="4" customFormat="1" ht="63.75" x14ac:dyDescent="0.25">
      <c r="A3608" s="4" t="s">
        <v>5941</v>
      </c>
      <c r="B3608" s="4" t="s">
        <v>38</v>
      </c>
      <c r="C3608" s="37" t="s">
        <v>5815</v>
      </c>
      <c r="D3608" s="35">
        <v>660</v>
      </c>
      <c r="E3608" s="4" t="s">
        <v>5942</v>
      </c>
      <c r="F3608" s="5">
        <v>39083</v>
      </c>
      <c r="H3608" s="4" t="s">
        <v>40</v>
      </c>
      <c r="I3608" s="6">
        <f>68232.95+6699.34</f>
        <v>74932.289999999994</v>
      </c>
      <c r="J3608" s="6">
        <f>68232.95+6699.34</f>
        <v>74932.289999999994</v>
      </c>
      <c r="K3608" s="37" t="s">
        <v>5815</v>
      </c>
      <c r="L3608" s="119"/>
      <c r="M3608" s="3"/>
    </row>
    <row r="3609" spans="1:13" s="4" customFormat="1" ht="51" x14ac:dyDescent="0.25">
      <c r="A3609" s="4" t="s">
        <v>5943</v>
      </c>
      <c r="B3609" s="4" t="s">
        <v>38</v>
      </c>
      <c r="C3609" s="37" t="s">
        <v>5815</v>
      </c>
      <c r="D3609" s="35">
        <v>661</v>
      </c>
      <c r="E3609" s="4" t="s">
        <v>5944</v>
      </c>
      <c r="F3609" s="5">
        <v>39083</v>
      </c>
      <c r="H3609" s="4" t="s">
        <v>40</v>
      </c>
      <c r="I3609" s="6">
        <v>916.8</v>
      </c>
      <c r="J3609" s="6">
        <v>916.8</v>
      </c>
      <c r="K3609" s="37" t="s">
        <v>5815</v>
      </c>
      <c r="L3609" s="119"/>
      <c r="M3609" s="3"/>
    </row>
    <row r="3610" spans="1:13" s="4" customFormat="1" ht="25.5" x14ac:dyDescent="0.25">
      <c r="A3610" s="4" t="s">
        <v>5945</v>
      </c>
      <c r="B3610" s="4" t="s">
        <v>38</v>
      </c>
      <c r="C3610" s="37" t="s">
        <v>5815</v>
      </c>
      <c r="D3610" s="35">
        <v>662</v>
      </c>
      <c r="E3610" s="4" t="s">
        <v>5946</v>
      </c>
      <c r="F3610" s="5">
        <v>39083</v>
      </c>
      <c r="H3610" s="4" t="s">
        <v>40</v>
      </c>
      <c r="I3610" s="6">
        <f>20474.9+1020</f>
        <v>21494.9</v>
      </c>
      <c r="J3610" s="6">
        <f>20474.9+1020</f>
        <v>21494.9</v>
      </c>
      <c r="K3610" s="37" t="s">
        <v>5815</v>
      </c>
      <c r="L3610" s="119"/>
      <c r="M3610" s="3"/>
    </row>
    <row r="3611" spans="1:13" s="4" customFormat="1" ht="25.5" x14ac:dyDescent="0.25">
      <c r="A3611" s="4" t="s">
        <v>5947</v>
      </c>
      <c r="B3611" s="4" t="s">
        <v>38</v>
      </c>
      <c r="C3611" s="37" t="s">
        <v>5815</v>
      </c>
      <c r="D3611" s="35">
        <v>663</v>
      </c>
      <c r="E3611" s="4" t="s">
        <v>5948</v>
      </c>
      <c r="F3611" s="5">
        <v>39083</v>
      </c>
      <c r="G3611" s="5">
        <v>39813</v>
      </c>
      <c r="H3611" s="4" t="s">
        <v>40</v>
      </c>
      <c r="I3611" s="6">
        <v>2000</v>
      </c>
      <c r="J3611" s="6">
        <v>2000</v>
      </c>
      <c r="K3611" s="37" t="s">
        <v>5815</v>
      </c>
      <c r="L3611" s="119"/>
      <c r="M3611" s="3"/>
    </row>
    <row r="3612" spans="1:13" s="4" customFormat="1" ht="25.5" x14ac:dyDescent="0.25">
      <c r="A3612" s="4" t="s">
        <v>5949</v>
      </c>
      <c r="B3612" s="4" t="s">
        <v>38</v>
      </c>
      <c r="C3612" s="37" t="s">
        <v>5815</v>
      </c>
      <c r="D3612" s="35">
        <v>664</v>
      </c>
      <c r="E3612" s="4" t="s">
        <v>5950</v>
      </c>
      <c r="F3612" s="5">
        <v>39083</v>
      </c>
      <c r="H3612" s="4" t="s">
        <v>40</v>
      </c>
      <c r="I3612" s="6">
        <v>5500</v>
      </c>
      <c r="J3612" s="6">
        <v>5500</v>
      </c>
      <c r="K3612" s="37" t="s">
        <v>5815</v>
      </c>
      <c r="L3612" s="119"/>
      <c r="M3612" s="3"/>
    </row>
    <row r="3613" spans="1:13" s="4" customFormat="1" ht="25.5" x14ac:dyDescent="0.25">
      <c r="A3613" s="4" t="s">
        <v>5951</v>
      </c>
      <c r="B3613" s="4" t="s">
        <v>38</v>
      </c>
      <c r="C3613" s="37" t="s">
        <v>5815</v>
      </c>
      <c r="D3613" s="35">
        <v>665</v>
      </c>
      <c r="E3613" s="4" t="s">
        <v>5952</v>
      </c>
      <c r="F3613" s="5">
        <v>39083</v>
      </c>
      <c r="H3613" s="4" t="s">
        <v>40</v>
      </c>
      <c r="I3613" s="6">
        <v>54644.49</v>
      </c>
      <c r="J3613" s="6">
        <v>54644.49</v>
      </c>
      <c r="K3613" s="37" t="s">
        <v>5815</v>
      </c>
      <c r="L3613" s="119"/>
      <c r="M3613" s="3"/>
    </row>
    <row r="3614" spans="1:13" s="4" customFormat="1" ht="63.75" x14ac:dyDescent="0.25">
      <c r="A3614" s="4" t="s">
        <v>5953</v>
      </c>
      <c r="B3614" s="4" t="s">
        <v>38</v>
      </c>
      <c r="C3614" s="37" t="s">
        <v>5815</v>
      </c>
      <c r="D3614" s="35">
        <v>666</v>
      </c>
      <c r="E3614" s="4" t="s">
        <v>5954</v>
      </c>
      <c r="F3614" s="5">
        <v>39083</v>
      </c>
      <c r="H3614" s="4" t="s">
        <v>40</v>
      </c>
      <c r="I3614" s="6">
        <v>21466.17</v>
      </c>
      <c r="J3614" s="6">
        <v>21466.17</v>
      </c>
      <c r="K3614" s="37" t="s">
        <v>5815</v>
      </c>
      <c r="L3614" s="119"/>
      <c r="M3614" s="3"/>
    </row>
    <row r="3615" spans="1:13" s="4" customFormat="1" ht="38.25" x14ac:dyDescent="0.25">
      <c r="A3615" s="4" t="s">
        <v>5955</v>
      </c>
      <c r="B3615" s="4" t="s">
        <v>38</v>
      </c>
      <c r="C3615" s="37" t="s">
        <v>5815</v>
      </c>
      <c r="D3615" s="35">
        <v>667</v>
      </c>
      <c r="E3615" s="4" t="s">
        <v>5956</v>
      </c>
      <c r="F3615" s="5">
        <v>39083</v>
      </c>
      <c r="H3615" s="4" t="s">
        <v>40</v>
      </c>
      <c r="I3615" s="6">
        <v>52840.99</v>
      </c>
      <c r="J3615" s="6">
        <f>45969.59+6871.4</f>
        <v>52840.99</v>
      </c>
      <c r="K3615" s="37" t="s">
        <v>5815</v>
      </c>
      <c r="L3615" s="119"/>
      <c r="M3615" s="3"/>
    </row>
    <row r="3616" spans="1:13" s="4" customFormat="1" ht="38.25" x14ac:dyDescent="0.25">
      <c r="A3616" s="4" t="s">
        <v>5957</v>
      </c>
      <c r="B3616" s="4" t="s">
        <v>38</v>
      </c>
      <c r="C3616" s="37" t="s">
        <v>5815</v>
      </c>
      <c r="D3616" s="35">
        <v>668</v>
      </c>
      <c r="E3616" s="4" t="s">
        <v>5958</v>
      </c>
      <c r="F3616" s="5">
        <v>39083</v>
      </c>
      <c r="H3616" s="4" t="s">
        <v>40</v>
      </c>
      <c r="I3616" s="6">
        <v>3933.33</v>
      </c>
      <c r="J3616" s="6">
        <v>3933.33</v>
      </c>
      <c r="K3616" s="37" t="s">
        <v>5815</v>
      </c>
      <c r="L3616" s="119"/>
      <c r="M3616" s="3"/>
    </row>
    <row r="3617" spans="1:13" s="4" customFormat="1" ht="76.5" x14ac:dyDescent="0.25">
      <c r="A3617" s="4" t="s">
        <v>5959</v>
      </c>
      <c r="B3617" s="4" t="s">
        <v>38</v>
      </c>
      <c r="C3617" s="37" t="s">
        <v>5815</v>
      </c>
      <c r="D3617" s="35">
        <v>669</v>
      </c>
      <c r="E3617" s="4" t="s">
        <v>5960</v>
      </c>
      <c r="F3617" s="5">
        <v>39083</v>
      </c>
      <c r="H3617" s="4" t="s">
        <v>40</v>
      </c>
      <c r="I3617" s="6">
        <f>78567.69+3000</f>
        <v>81567.69</v>
      </c>
      <c r="J3617" s="6">
        <f>78567.69+3000</f>
        <v>81567.69</v>
      </c>
      <c r="K3617" s="37" t="s">
        <v>5815</v>
      </c>
      <c r="L3617" s="119"/>
      <c r="M3617" s="3"/>
    </row>
    <row r="3618" spans="1:13" s="4" customFormat="1" ht="25.5" x14ac:dyDescent="0.25">
      <c r="A3618" s="4" t="s">
        <v>5961</v>
      </c>
      <c r="B3618" s="4" t="s">
        <v>38</v>
      </c>
      <c r="C3618" s="37" t="s">
        <v>5815</v>
      </c>
      <c r="D3618" s="35">
        <v>670</v>
      </c>
      <c r="E3618" s="4" t="s">
        <v>5962</v>
      </c>
      <c r="F3618" s="5">
        <v>39083</v>
      </c>
      <c r="H3618" s="4" t="s">
        <v>40</v>
      </c>
      <c r="I3618" s="6">
        <v>34561.410000000003</v>
      </c>
      <c r="J3618" s="6">
        <f>30485.35+4076.06</f>
        <v>34561.409999999996</v>
      </c>
      <c r="K3618" s="37" t="s">
        <v>5815</v>
      </c>
      <c r="L3618" s="119"/>
      <c r="M3618" s="3"/>
    </row>
    <row r="3619" spans="1:13" s="4" customFormat="1" ht="38.25" x14ac:dyDescent="0.25">
      <c r="A3619" s="4" t="s">
        <v>5963</v>
      </c>
      <c r="B3619" s="4" t="s">
        <v>38</v>
      </c>
      <c r="C3619" s="37" t="s">
        <v>5815</v>
      </c>
      <c r="D3619" s="35">
        <v>671</v>
      </c>
      <c r="E3619" s="4" t="s">
        <v>5964</v>
      </c>
      <c r="F3619" s="5">
        <v>39083</v>
      </c>
      <c r="H3619" s="4" t="s">
        <v>40</v>
      </c>
      <c r="I3619" s="6">
        <f>85210.45+229.55</f>
        <v>85440</v>
      </c>
      <c r="J3619" s="6">
        <v>85440</v>
      </c>
      <c r="K3619" s="37" t="s">
        <v>5815</v>
      </c>
      <c r="L3619" s="119"/>
      <c r="M3619" s="3"/>
    </row>
    <row r="3620" spans="1:13" s="4" customFormat="1" ht="63.75" x14ac:dyDescent="0.25">
      <c r="A3620" s="4" t="s">
        <v>5965</v>
      </c>
      <c r="B3620" s="4" t="s">
        <v>38</v>
      </c>
      <c r="C3620" s="37" t="s">
        <v>5815</v>
      </c>
      <c r="D3620" s="35">
        <v>672</v>
      </c>
      <c r="E3620" s="4" t="s">
        <v>5966</v>
      </c>
      <c r="F3620" s="5">
        <v>39083</v>
      </c>
      <c r="H3620" s="4" t="s">
        <v>40</v>
      </c>
      <c r="I3620" s="6">
        <v>25716.95</v>
      </c>
      <c r="J3620" s="6">
        <v>25716.95</v>
      </c>
      <c r="K3620" s="37" t="s">
        <v>5815</v>
      </c>
      <c r="L3620" s="119"/>
      <c r="M3620" s="3"/>
    </row>
    <row r="3621" spans="1:13" s="4" customFormat="1" ht="51" x14ac:dyDescent="0.25">
      <c r="A3621" s="4" t="s">
        <v>5967</v>
      </c>
      <c r="B3621" s="4" t="s">
        <v>38</v>
      </c>
      <c r="C3621" s="37" t="s">
        <v>5815</v>
      </c>
      <c r="D3621" s="35">
        <v>673</v>
      </c>
      <c r="E3621" s="4" t="s">
        <v>5968</v>
      </c>
      <c r="F3621" s="5">
        <v>39083</v>
      </c>
      <c r="H3621" s="4" t="s">
        <v>40</v>
      </c>
      <c r="I3621" s="6">
        <v>5000</v>
      </c>
      <c r="J3621" s="6">
        <v>5000</v>
      </c>
      <c r="K3621" s="37" t="s">
        <v>5815</v>
      </c>
      <c r="L3621" s="119"/>
      <c r="M3621" s="3"/>
    </row>
    <row r="3622" spans="1:13" s="4" customFormat="1" ht="25.5" x14ac:dyDescent="0.25">
      <c r="A3622" s="4" t="s">
        <v>5969</v>
      </c>
      <c r="B3622" s="4" t="s">
        <v>59</v>
      </c>
      <c r="C3622" s="37" t="s">
        <v>5815</v>
      </c>
      <c r="D3622" s="35">
        <v>674</v>
      </c>
      <c r="E3622" s="4" t="s">
        <v>5970</v>
      </c>
      <c r="F3622" s="5">
        <v>39083</v>
      </c>
      <c r="G3622" s="5">
        <v>39813</v>
      </c>
      <c r="H3622" s="4" t="s">
        <v>40</v>
      </c>
      <c r="I3622" s="6">
        <v>7015</v>
      </c>
      <c r="J3622" s="6">
        <v>7015</v>
      </c>
      <c r="K3622" s="37" t="s">
        <v>5815</v>
      </c>
      <c r="L3622" s="119"/>
      <c r="M3622" s="3"/>
    </row>
    <row r="3623" spans="1:13" s="4" customFormat="1" ht="38.25" x14ac:dyDescent="0.25">
      <c r="A3623" s="4" t="s">
        <v>5971</v>
      </c>
      <c r="B3623" s="4" t="s">
        <v>38</v>
      </c>
      <c r="C3623" s="37" t="s">
        <v>5815</v>
      </c>
      <c r="D3623" s="35">
        <v>675</v>
      </c>
      <c r="E3623" s="4" t="s">
        <v>5972</v>
      </c>
      <c r="F3623" s="5">
        <v>39083</v>
      </c>
      <c r="H3623" s="4" t="s">
        <v>40</v>
      </c>
      <c r="I3623" s="6">
        <f>91425.53+17625.25</f>
        <v>109050.78</v>
      </c>
      <c r="J3623" s="6">
        <f>91425.53+17625.25</f>
        <v>109050.78</v>
      </c>
      <c r="K3623" s="37" t="s">
        <v>5815</v>
      </c>
      <c r="L3623" s="119"/>
      <c r="M3623" s="3"/>
    </row>
    <row r="3624" spans="1:13" s="4" customFormat="1" ht="63.75" x14ac:dyDescent="0.25">
      <c r="A3624" s="4" t="s">
        <v>5973</v>
      </c>
      <c r="B3624" s="4" t="s">
        <v>38</v>
      </c>
      <c r="C3624" s="37" t="s">
        <v>5815</v>
      </c>
      <c r="D3624" s="35">
        <v>676</v>
      </c>
      <c r="E3624" s="4" t="s">
        <v>5974</v>
      </c>
      <c r="F3624" s="5">
        <v>39083</v>
      </c>
      <c r="H3624" s="4" t="s">
        <v>40</v>
      </c>
      <c r="I3624" s="6">
        <v>84295.29</v>
      </c>
      <c r="J3624" s="6">
        <f>68776.85+15518.44</f>
        <v>84295.290000000008</v>
      </c>
      <c r="K3624" s="37" t="s">
        <v>5815</v>
      </c>
      <c r="L3624" s="119"/>
      <c r="M3624" s="3"/>
    </row>
    <row r="3625" spans="1:13" s="4" customFormat="1" ht="25.5" x14ac:dyDescent="0.25">
      <c r="A3625" s="4" t="s">
        <v>5975</v>
      </c>
      <c r="B3625" s="4" t="s">
        <v>38</v>
      </c>
      <c r="C3625" s="37" t="s">
        <v>5815</v>
      </c>
      <c r="D3625" s="35">
        <v>677</v>
      </c>
      <c r="E3625" s="4" t="s">
        <v>5976</v>
      </c>
      <c r="F3625" s="5">
        <v>39083</v>
      </c>
      <c r="H3625" s="4" t="s">
        <v>40</v>
      </c>
      <c r="I3625" s="6">
        <v>106367.71</v>
      </c>
      <c r="J3625" s="6">
        <f>99690.21+6677.5</f>
        <v>106367.71</v>
      </c>
      <c r="K3625" s="37" t="s">
        <v>5815</v>
      </c>
      <c r="L3625" s="119"/>
      <c r="M3625" s="3"/>
    </row>
    <row r="3626" spans="1:13" s="4" customFormat="1" ht="76.5" x14ac:dyDescent="0.25">
      <c r="A3626" s="4" t="s">
        <v>5977</v>
      </c>
      <c r="B3626" s="4" t="s">
        <v>38</v>
      </c>
      <c r="C3626" s="37" t="s">
        <v>5815</v>
      </c>
      <c r="D3626" s="35">
        <v>678</v>
      </c>
      <c r="E3626" s="7" t="s">
        <v>5978</v>
      </c>
      <c r="F3626" s="5">
        <v>39083</v>
      </c>
      <c r="H3626" s="4" t="s">
        <v>40</v>
      </c>
      <c r="I3626" s="6">
        <v>16531</v>
      </c>
      <c r="J3626" s="6">
        <v>16531</v>
      </c>
      <c r="K3626" s="37" t="s">
        <v>5815</v>
      </c>
      <c r="L3626" s="119"/>
      <c r="M3626" s="3"/>
    </row>
    <row r="3627" spans="1:13" s="4" customFormat="1" ht="38.25" x14ac:dyDescent="0.25">
      <c r="A3627" s="4" t="s">
        <v>5979</v>
      </c>
      <c r="B3627" s="4" t="s">
        <v>38</v>
      </c>
      <c r="C3627" s="37" t="s">
        <v>5815</v>
      </c>
      <c r="D3627" s="35">
        <v>679</v>
      </c>
      <c r="E3627" s="4" t="s">
        <v>5980</v>
      </c>
      <c r="F3627" s="5">
        <v>39083</v>
      </c>
      <c r="G3627" s="5">
        <v>39813</v>
      </c>
      <c r="H3627" s="4" t="s">
        <v>40</v>
      </c>
      <c r="I3627" s="6">
        <v>4000</v>
      </c>
      <c r="J3627" s="6">
        <v>4000</v>
      </c>
      <c r="K3627" s="37" t="s">
        <v>5815</v>
      </c>
      <c r="L3627" s="119"/>
      <c r="M3627" s="3"/>
    </row>
    <row r="3628" spans="1:13" s="4" customFormat="1" ht="51" x14ac:dyDescent="0.25">
      <c r="A3628" s="4" t="s">
        <v>5981</v>
      </c>
      <c r="B3628" s="4" t="s">
        <v>38</v>
      </c>
      <c r="C3628" s="37" t="s">
        <v>5815</v>
      </c>
      <c r="D3628" s="35">
        <v>680</v>
      </c>
      <c r="E3628" s="4" t="s">
        <v>5982</v>
      </c>
      <c r="F3628" s="5">
        <v>39083</v>
      </c>
      <c r="H3628" s="4" t="s">
        <v>40</v>
      </c>
      <c r="I3628" s="6">
        <v>10858.2</v>
      </c>
      <c r="J3628" s="6">
        <v>10858.2</v>
      </c>
      <c r="K3628" s="37" t="s">
        <v>5815</v>
      </c>
      <c r="L3628" s="119"/>
      <c r="M3628" s="3"/>
    </row>
    <row r="3629" spans="1:13" s="4" customFormat="1" ht="25.5" x14ac:dyDescent="0.25">
      <c r="A3629" s="4" t="s">
        <v>5983</v>
      </c>
      <c r="B3629" s="4" t="s">
        <v>38</v>
      </c>
      <c r="C3629" s="37" t="s">
        <v>5815</v>
      </c>
      <c r="D3629" s="35">
        <v>681</v>
      </c>
      <c r="E3629" s="4" t="s">
        <v>5984</v>
      </c>
      <c r="F3629" s="5">
        <v>39083</v>
      </c>
      <c r="H3629" s="4" t="s">
        <v>40</v>
      </c>
      <c r="I3629" s="6">
        <v>79984.820000000007</v>
      </c>
      <c r="J3629" s="6">
        <f>67662.53+12322.29</f>
        <v>79984.820000000007</v>
      </c>
      <c r="K3629" s="37" t="s">
        <v>5815</v>
      </c>
      <c r="L3629" s="119"/>
      <c r="M3629" s="3"/>
    </row>
    <row r="3630" spans="1:13" s="4" customFormat="1" ht="63.75" x14ac:dyDescent="0.25">
      <c r="A3630" s="4" t="s">
        <v>5985</v>
      </c>
      <c r="B3630" s="4" t="s">
        <v>38</v>
      </c>
      <c r="C3630" s="37" t="s">
        <v>5815</v>
      </c>
      <c r="D3630" s="35">
        <v>682</v>
      </c>
      <c r="E3630" s="4" t="s">
        <v>5986</v>
      </c>
      <c r="F3630" s="5">
        <v>39083</v>
      </c>
      <c r="H3630" s="4" t="s">
        <v>40</v>
      </c>
      <c r="I3630" s="6">
        <v>237611.05</v>
      </c>
      <c r="J3630" s="6">
        <f>190272.8+47338.25</f>
        <v>237611.05</v>
      </c>
      <c r="K3630" s="37" t="s">
        <v>5815</v>
      </c>
      <c r="L3630" s="119"/>
      <c r="M3630" s="3"/>
    </row>
    <row r="3631" spans="1:13" s="4" customFormat="1" ht="38.25" x14ac:dyDescent="0.25">
      <c r="A3631" s="4" t="s">
        <v>5987</v>
      </c>
      <c r="B3631" s="4" t="s">
        <v>38</v>
      </c>
      <c r="C3631" s="37" t="s">
        <v>5815</v>
      </c>
      <c r="D3631" s="35">
        <v>683</v>
      </c>
      <c r="E3631" s="4" t="s">
        <v>5988</v>
      </c>
      <c r="F3631" s="5">
        <v>39083</v>
      </c>
      <c r="G3631" s="5">
        <v>39813</v>
      </c>
      <c r="H3631" s="4" t="s">
        <v>40</v>
      </c>
      <c r="I3631" s="6">
        <v>5233.9399999999996</v>
      </c>
      <c r="J3631" s="6">
        <v>5233.9399999999996</v>
      </c>
      <c r="K3631" s="37" t="s">
        <v>5815</v>
      </c>
      <c r="L3631" s="119"/>
      <c r="M3631" s="3"/>
    </row>
    <row r="3632" spans="1:13" s="4" customFormat="1" ht="38.25" x14ac:dyDescent="0.25">
      <c r="A3632" s="4" t="s">
        <v>5989</v>
      </c>
      <c r="B3632" s="4" t="s">
        <v>38</v>
      </c>
      <c r="C3632" s="37" t="s">
        <v>5815</v>
      </c>
      <c r="D3632" s="35">
        <v>684</v>
      </c>
      <c r="E3632" s="4" t="s">
        <v>5990</v>
      </c>
      <c r="F3632" s="5">
        <v>39083</v>
      </c>
      <c r="H3632" s="4" t="s">
        <v>40</v>
      </c>
      <c r="I3632" s="6">
        <v>6997.43</v>
      </c>
      <c r="J3632" s="6">
        <v>6997.43</v>
      </c>
      <c r="K3632" s="37" t="s">
        <v>5815</v>
      </c>
      <c r="L3632" s="119"/>
      <c r="M3632" s="3"/>
    </row>
    <row r="3633" spans="1:13" s="4" customFormat="1" ht="38.25" x14ac:dyDescent="0.25">
      <c r="A3633" s="4" t="s">
        <v>5991</v>
      </c>
      <c r="B3633" s="4" t="s">
        <v>50</v>
      </c>
      <c r="C3633" s="37" t="s">
        <v>5815</v>
      </c>
      <c r="D3633" s="35">
        <v>685</v>
      </c>
      <c r="E3633" s="4" t="s">
        <v>5992</v>
      </c>
      <c r="F3633" s="5">
        <v>39083</v>
      </c>
      <c r="G3633" s="5">
        <v>39813</v>
      </c>
      <c r="H3633" s="4" t="s">
        <v>40</v>
      </c>
      <c r="I3633" s="6">
        <v>2700</v>
      </c>
      <c r="J3633" s="6">
        <v>2700</v>
      </c>
      <c r="K3633" s="37" t="s">
        <v>5815</v>
      </c>
      <c r="L3633" s="119"/>
      <c r="M3633" s="3"/>
    </row>
    <row r="3634" spans="1:13" s="4" customFormat="1" ht="51" x14ac:dyDescent="0.25">
      <c r="A3634" s="4" t="s">
        <v>5993</v>
      </c>
      <c r="B3634" s="4" t="s">
        <v>38</v>
      </c>
      <c r="C3634" s="37" t="s">
        <v>5815</v>
      </c>
      <c r="D3634" s="35">
        <v>687</v>
      </c>
      <c r="E3634" s="4" t="s">
        <v>5994</v>
      </c>
      <c r="F3634" s="5">
        <v>39083</v>
      </c>
      <c r="G3634" s="5">
        <v>39813</v>
      </c>
      <c r="H3634" s="4" t="s">
        <v>40</v>
      </c>
      <c r="I3634" s="6">
        <v>3207.65</v>
      </c>
      <c r="J3634" s="6">
        <v>3207.65</v>
      </c>
      <c r="K3634" s="37" t="s">
        <v>5815</v>
      </c>
      <c r="L3634" s="119"/>
      <c r="M3634" s="3"/>
    </row>
    <row r="3635" spans="1:13" s="4" customFormat="1" ht="38.25" x14ac:dyDescent="0.25">
      <c r="A3635" s="4" t="s">
        <v>5995</v>
      </c>
      <c r="B3635" s="4" t="s">
        <v>38</v>
      </c>
      <c r="C3635" s="37" t="s">
        <v>5815</v>
      </c>
      <c r="D3635" s="35">
        <v>688</v>
      </c>
      <c r="E3635" s="4" t="s">
        <v>5996</v>
      </c>
      <c r="F3635" s="5">
        <v>39083</v>
      </c>
      <c r="H3635" s="4" t="s">
        <v>40</v>
      </c>
      <c r="I3635" s="6">
        <v>1070</v>
      </c>
      <c r="J3635" s="6">
        <v>1070</v>
      </c>
      <c r="K3635" s="37" t="s">
        <v>5815</v>
      </c>
      <c r="L3635" s="119"/>
      <c r="M3635" s="3"/>
    </row>
    <row r="3636" spans="1:13" s="4" customFormat="1" ht="114.75" x14ac:dyDescent="0.25">
      <c r="A3636" s="4" t="s">
        <v>5997</v>
      </c>
      <c r="B3636" s="4" t="s">
        <v>38</v>
      </c>
      <c r="C3636" s="37" t="s">
        <v>5815</v>
      </c>
      <c r="D3636" s="35">
        <v>690</v>
      </c>
      <c r="E3636" s="7" t="s">
        <v>5998</v>
      </c>
      <c r="F3636" s="5">
        <v>39083</v>
      </c>
      <c r="H3636" s="4" t="s">
        <v>40</v>
      </c>
      <c r="I3636" s="6">
        <v>84065</v>
      </c>
      <c r="J3636" s="6">
        <v>84065</v>
      </c>
      <c r="K3636" s="37" t="s">
        <v>5815</v>
      </c>
      <c r="L3636" s="119"/>
      <c r="M3636" s="3"/>
    </row>
    <row r="3637" spans="1:13" s="4" customFormat="1" ht="38.25" x14ac:dyDescent="0.25">
      <c r="A3637" s="4" t="s">
        <v>5999</v>
      </c>
      <c r="B3637" s="4" t="s">
        <v>38</v>
      </c>
      <c r="C3637" s="37" t="s">
        <v>5815</v>
      </c>
      <c r="D3637" s="35">
        <v>691</v>
      </c>
      <c r="E3637" s="4" t="s">
        <v>6000</v>
      </c>
      <c r="F3637" s="5">
        <v>39083</v>
      </c>
      <c r="H3637" s="4" t="s">
        <v>40</v>
      </c>
      <c r="I3637" s="6">
        <v>97165.31</v>
      </c>
      <c r="J3637" s="6">
        <f>90889.53+6275.78</f>
        <v>97165.31</v>
      </c>
      <c r="K3637" s="37" t="s">
        <v>5815</v>
      </c>
      <c r="L3637" s="119"/>
      <c r="M3637" s="3"/>
    </row>
    <row r="3638" spans="1:13" s="4" customFormat="1" ht="25.5" x14ac:dyDescent="0.25">
      <c r="A3638" s="4" t="s">
        <v>6001</v>
      </c>
      <c r="B3638" s="4" t="s">
        <v>38</v>
      </c>
      <c r="C3638" s="37" t="s">
        <v>5815</v>
      </c>
      <c r="D3638" s="35">
        <v>693</v>
      </c>
      <c r="E3638" s="4" t="s">
        <v>6002</v>
      </c>
      <c r="F3638" s="5">
        <v>39083</v>
      </c>
      <c r="G3638" s="5">
        <v>39813</v>
      </c>
      <c r="H3638" s="4" t="s">
        <v>40</v>
      </c>
      <c r="I3638" s="6">
        <v>6194.38</v>
      </c>
      <c r="J3638" s="6">
        <v>6194.38</v>
      </c>
      <c r="K3638" s="37" t="s">
        <v>5815</v>
      </c>
      <c r="L3638" s="119"/>
      <c r="M3638" s="3"/>
    </row>
    <row r="3639" spans="1:13" s="4" customFormat="1" ht="38.25" x14ac:dyDescent="0.25">
      <c r="A3639" s="4" t="s">
        <v>6003</v>
      </c>
      <c r="B3639" s="4" t="s">
        <v>38</v>
      </c>
      <c r="C3639" s="37" t="s">
        <v>5815</v>
      </c>
      <c r="D3639" s="35">
        <v>694</v>
      </c>
      <c r="E3639" s="4" t="s">
        <v>6004</v>
      </c>
      <c r="F3639" s="5">
        <v>39083</v>
      </c>
      <c r="G3639" s="5">
        <v>39813</v>
      </c>
      <c r="H3639" s="4" t="s">
        <v>40</v>
      </c>
      <c r="I3639" s="6">
        <v>11794.05</v>
      </c>
      <c r="J3639" s="6">
        <v>11794.05</v>
      </c>
      <c r="K3639" s="37" t="s">
        <v>5815</v>
      </c>
      <c r="L3639" s="119"/>
      <c r="M3639" s="3"/>
    </row>
    <row r="3640" spans="1:13" s="4" customFormat="1" ht="38.25" x14ac:dyDescent="0.25">
      <c r="A3640" s="4" t="s">
        <v>6005</v>
      </c>
      <c r="B3640" s="4" t="s">
        <v>38</v>
      </c>
      <c r="C3640" s="37" t="s">
        <v>5815</v>
      </c>
      <c r="D3640" s="35">
        <v>695</v>
      </c>
      <c r="E3640" s="4" t="s">
        <v>6006</v>
      </c>
      <c r="F3640" s="5">
        <v>39083</v>
      </c>
      <c r="G3640" s="5">
        <v>39813</v>
      </c>
      <c r="H3640" s="4" t="s">
        <v>40</v>
      </c>
      <c r="I3640" s="6">
        <v>2517.2399999999998</v>
      </c>
      <c r="J3640" s="6">
        <v>2517.2399999999998</v>
      </c>
      <c r="K3640" s="37" t="s">
        <v>5815</v>
      </c>
      <c r="L3640" s="119"/>
      <c r="M3640" s="3"/>
    </row>
    <row r="3641" spans="1:13" s="4" customFormat="1" ht="25.5" x14ac:dyDescent="0.25">
      <c r="A3641" s="4" t="s">
        <v>6007</v>
      </c>
      <c r="B3641" s="4" t="s">
        <v>38</v>
      </c>
      <c r="C3641" s="37" t="s">
        <v>5815</v>
      </c>
      <c r="D3641" s="35">
        <v>697</v>
      </c>
      <c r="E3641" s="4" t="s">
        <v>6008</v>
      </c>
      <c r="F3641" s="5">
        <v>39083</v>
      </c>
      <c r="G3641" s="5">
        <v>39813</v>
      </c>
      <c r="H3641" s="4" t="s">
        <v>40</v>
      </c>
      <c r="I3641" s="6">
        <v>851.87</v>
      </c>
      <c r="J3641" s="6">
        <v>851.87</v>
      </c>
      <c r="K3641" s="37" t="s">
        <v>5815</v>
      </c>
      <c r="L3641" s="119"/>
      <c r="M3641" s="3"/>
    </row>
    <row r="3642" spans="1:13" s="4" customFormat="1" ht="25.5" x14ac:dyDescent="0.25">
      <c r="A3642" s="4" t="s">
        <v>3739</v>
      </c>
      <c r="B3642" s="4" t="s">
        <v>38</v>
      </c>
      <c r="C3642" s="37" t="s">
        <v>5815</v>
      </c>
      <c r="D3642" s="35">
        <v>801</v>
      </c>
      <c r="E3642" s="4" t="s">
        <v>6009</v>
      </c>
      <c r="F3642" s="5">
        <v>39083</v>
      </c>
      <c r="G3642" s="5">
        <v>40908</v>
      </c>
      <c r="H3642" s="4" t="s">
        <v>40</v>
      </c>
      <c r="I3642" s="6">
        <v>245184.16</v>
      </c>
      <c r="J3642" s="6">
        <v>245184.16</v>
      </c>
      <c r="K3642" s="37" t="s">
        <v>5815</v>
      </c>
      <c r="L3642" s="119"/>
      <c r="M3642" s="3"/>
    </row>
    <row r="3643" spans="1:13" s="4" customFormat="1" ht="51" x14ac:dyDescent="0.25">
      <c r="A3643" s="4" t="s">
        <v>6010</v>
      </c>
      <c r="B3643" s="4" t="s">
        <v>50</v>
      </c>
      <c r="C3643" s="37" t="s">
        <v>5815</v>
      </c>
      <c r="D3643" s="35">
        <v>5188</v>
      </c>
      <c r="E3643" s="4" t="s">
        <v>6011</v>
      </c>
      <c r="F3643" s="5">
        <v>39954</v>
      </c>
      <c r="G3643" s="5">
        <v>39954</v>
      </c>
      <c r="H3643" s="4" t="s">
        <v>40</v>
      </c>
      <c r="I3643" s="6">
        <v>5000</v>
      </c>
      <c r="J3643" s="6">
        <v>2500</v>
      </c>
      <c r="K3643" s="37" t="s">
        <v>5815</v>
      </c>
      <c r="L3643" s="119"/>
      <c r="M3643" s="3"/>
    </row>
    <row r="3644" spans="1:13" s="4" customFormat="1" ht="38.25" x14ac:dyDescent="0.25">
      <c r="A3644" s="4" t="s">
        <v>6016</v>
      </c>
      <c r="B3644" s="4" t="s">
        <v>59</v>
      </c>
      <c r="C3644" s="37" t="s">
        <v>5815</v>
      </c>
      <c r="D3644" s="35">
        <v>5210</v>
      </c>
      <c r="E3644" s="4" t="s">
        <v>6017</v>
      </c>
      <c r="F3644" s="5">
        <v>39853</v>
      </c>
      <c r="G3644" s="5">
        <v>39994</v>
      </c>
      <c r="H3644" s="4" t="s">
        <v>40</v>
      </c>
      <c r="I3644" s="6">
        <v>7500</v>
      </c>
      <c r="J3644" s="6">
        <v>7500</v>
      </c>
      <c r="K3644" s="37" t="s">
        <v>5815</v>
      </c>
      <c r="L3644" s="119"/>
      <c r="M3644" s="3"/>
    </row>
    <row r="3645" spans="1:13" s="4" customFormat="1" ht="25.5" x14ac:dyDescent="0.25">
      <c r="A3645" s="4" t="s">
        <v>6018</v>
      </c>
      <c r="B3645" s="4" t="s">
        <v>59</v>
      </c>
      <c r="C3645" s="37" t="s">
        <v>5815</v>
      </c>
      <c r="D3645" s="35">
        <v>5214</v>
      </c>
      <c r="E3645" s="4" t="s">
        <v>6019</v>
      </c>
      <c r="F3645" s="5">
        <v>39945</v>
      </c>
      <c r="G3645" s="5">
        <v>40163</v>
      </c>
      <c r="H3645" s="4" t="s">
        <v>40</v>
      </c>
      <c r="I3645" s="6">
        <v>7500</v>
      </c>
      <c r="J3645" s="6">
        <v>7500</v>
      </c>
      <c r="K3645" s="37" t="s">
        <v>5815</v>
      </c>
      <c r="L3645" s="119"/>
      <c r="M3645" s="3"/>
    </row>
    <row r="3646" spans="1:13" s="4" customFormat="1" ht="38.25" x14ac:dyDescent="0.25">
      <c r="A3646" s="4" t="s">
        <v>6020</v>
      </c>
      <c r="B3646" s="4" t="s">
        <v>59</v>
      </c>
      <c r="C3646" s="37" t="s">
        <v>5815</v>
      </c>
      <c r="D3646" s="35">
        <v>5218</v>
      </c>
      <c r="E3646" s="4" t="s">
        <v>6021</v>
      </c>
      <c r="F3646" s="5">
        <v>39940</v>
      </c>
      <c r="H3646" s="4" t="s">
        <v>40</v>
      </c>
      <c r="I3646" s="6">
        <v>7500</v>
      </c>
      <c r="J3646" s="6">
        <v>7500</v>
      </c>
      <c r="K3646" s="37" t="s">
        <v>5815</v>
      </c>
      <c r="L3646" s="119"/>
      <c r="M3646" s="3"/>
    </row>
    <row r="3647" spans="1:13" s="4" customFormat="1" ht="25.5" x14ac:dyDescent="0.25">
      <c r="A3647" s="4" t="s">
        <v>6022</v>
      </c>
      <c r="B3647" s="4" t="s">
        <v>59</v>
      </c>
      <c r="C3647" s="37" t="s">
        <v>5815</v>
      </c>
      <c r="D3647" s="35">
        <v>5219</v>
      </c>
      <c r="E3647" s="4" t="s">
        <v>6023</v>
      </c>
      <c r="F3647" s="5">
        <v>39955</v>
      </c>
      <c r="H3647" s="4" t="s">
        <v>40</v>
      </c>
      <c r="I3647" s="6">
        <v>7500</v>
      </c>
      <c r="J3647" s="6">
        <v>7500</v>
      </c>
      <c r="K3647" s="37" t="s">
        <v>5815</v>
      </c>
      <c r="L3647" s="119"/>
      <c r="M3647" s="3"/>
    </row>
    <row r="3648" spans="1:13" s="4" customFormat="1" ht="25.5" x14ac:dyDescent="0.25">
      <c r="A3648" s="4" t="s">
        <v>6024</v>
      </c>
      <c r="B3648" s="4" t="s">
        <v>59</v>
      </c>
      <c r="C3648" s="37" t="s">
        <v>5815</v>
      </c>
      <c r="D3648" s="35">
        <v>5221</v>
      </c>
      <c r="E3648" s="4" t="s">
        <v>6025</v>
      </c>
      <c r="F3648" s="5">
        <v>39954</v>
      </c>
      <c r="G3648" s="5">
        <v>40134</v>
      </c>
      <c r="H3648" s="4" t="s">
        <v>40</v>
      </c>
      <c r="I3648" s="6">
        <v>7500</v>
      </c>
      <c r="J3648" s="6">
        <v>7500</v>
      </c>
      <c r="K3648" s="37" t="s">
        <v>5815</v>
      </c>
      <c r="L3648" s="119"/>
      <c r="M3648" s="3"/>
    </row>
    <row r="3649" spans="1:13" s="4" customFormat="1" ht="38.25" x14ac:dyDescent="0.25">
      <c r="A3649" s="4" t="s">
        <v>6028</v>
      </c>
      <c r="B3649" s="4" t="s">
        <v>59</v>
      </c>
      <c r="C3649" s="37" t="s">
        <v>5815</v>
      </c>
      <c r="D3649" s="35">
        <v>5227</v>
      </c>
      <c r="E3649" s="4" t="s">
        <v>6029</v>
      </c>
      <c r="F3649" s="5">
        <v>39976</v>
      </c>
      <c r="H3649" s="4" t="s">
        <v>40</v>
      </c>
      <c r="I3649" s="6">
        <v>37500</v>
      </c>
      <c r="J3649" s="6">
        <v>37500</v>
      </c>
      <c r="K3649" s="37" t="s">
        <v>5815</v>
      </c>
      <c r="L3649" s="119"/>
      <c r="M3649" s="3"/>
    </row>
    <row r="3650" spans="1:13" s="4" customFormat="1" ht="25.5" x14ac:dyDescent="0.25">
      <c r="A3650" s="4" t="s">
        <v>6030</v>
      </c>
      <c r="B3650" s="4" t="s">
        <v>90</v>
      </c>
      <c r="C3650" s="37" t="s">
        <v>5815</v>
      </c>
      <c r="D3650" s="35">
        <v>5228</v>
      </c>
      <c r="E3650" s="4" t="s">
        <v>6031</v>
      </c>
      <c r="F3650" s="5">
        <v>39845</v>
      </c>
      <c r="G3650" s="5">
        <v>39853</v>
      </c>
      <c r="H3650" s="4" t="s">
        <v>40</v>
      </c>
      <c r="I3650" s="6">
        <v>6000</v>
      </c>
      <c r="J3650" s="6">
        <v>3000</v>
      </c>
      <c r="K3650" s="37" t="s">
        <v>5815</v>
      </c>
      <c r="L3650" s="119"/>
      <c r="M3650" s="3"/>
    </row>
    <row r="3651" spans="1:13" s="4" customFormat="1" ht="38.25" x14ac:dyDescent="0.25">
      <c r="A3651" s="4" t="s">
        <v>6034</v>
      </c>
      <c r="B3651" s="4" t="s">
        <v>59</v>
      </c>
      <c r="C3651" s="37" t="s">
        <v>5815</v>
      </c>
      <c r="D3651" s="35">
        <v>5301</v>
      </c>
      <c r="E3651" s="4" t="s">
        <v>6035</v>
      </c>
      <c r="F3651" s="5">
        <v>39994</v>
      </c>
      <c r="G3651" s="5">
        <v>40357</v>
      </c>
      <c r="H3651" s="4" t="s">
        <v>40</v>
      </c>
      <c r="I3651" s="6">
        <v>15000</v>
      </c>
      <c r="J3651" s="6">
        <v>15000</v>
      </c>
      <c r="K3651" s="37" t="s">
        <v>5815</v>
      </c>
      <c r="L3651" s="119"/>
      <c r="M3651" s="3"/>
    </row>
    <row r="3652" spans="1:13" s="4" customFormat="1" ht="25.5" x14ac:dyDescent="0.25">
      <c r="A3652" s="4" t="s">
        <v>6036</v>
      </c>
      <c r="B3652" s="4" t="s">
        <v>59</v>
      </c>
      <c r="C3652" s="37" t="s">
        <v>5815</v>
      </c>
      <c r="D3652" s="35">
        <v>5304</v>
      </c>
      <c r="E3652" s="4" t="s">
        <v>6037</v>
      </c>
      <c r="F3652" s="5">
        <v>40009</v>
      </c>
      <c r="G3652" s="5">
        <v>40135</v>
      </c>
      <c r="H3652" s="4" t="s">
        <v>40</v>
      </c>
      <c r="I3652" s="6">
        <v>7500</v>
      </c>
      <c r="J3652" s="6">
        <v>7500</v>
      </c>
      <c r="K3652" s="37" t="s">
        <v>5815</v>
      </c>
      <c r="L3652" s="119"/>
      <c r="M3652" s="3"/>
    </row>
    <row r="3653" spans="1:13" s="4" customFormat="1" ht="25.5" x14ac:dyDescent="0.25">
      <c r="A3653" s="4" t="s">
        <v>6038</v>
      </c>
      <c r="B3653" s="4" t="s">
        <v>59</v>
      </c>
      <c r="C3653" s="37" t="s">
        <v>5815</v>
      </c>
      <c r="D3653" s="35">
        <v>5305</v>
      </c>
      <c r="E3653" s="4" t="s">
        <v>6039</v>
      </c>
      <c r="F3653" s="5">
        <v>40017</v>
      </c>
      <c r="G3653" s="5">
        <v>40178</v>
      </c>
      <c r="H3653" s="4" t="s">
        <v>40</v>
      </c>
      <c r="I3653" s="6">
        <v>7500</v>
      </c>
      <c r="J3653" s="6">
        <v>7500</v>
      </c>
      <c r="K3653" s="37" t="s">
        <v>5815</v>
      </c>
      <c r="L3653" s="119"/>
      <c r="M3653" s="3"/>
    </row>
    <row r="3654" spans="1:13" s="4" customFormat="1" ht="25.5" x14ac:dyDescent="0.25">
      <c r="A3654" s="4" t="s">
        <v>6046</v>
      </c>
      <c r="B3654" s="4" t="s">
        <v>59</v>
      </c>
      <c r="C3654" s="37" t="s">
        <v>5815</v>
      </c>
      <c r="D3654" s="35">
        <v>5347</v>
      </c>
      <c r="E3654" s="4" t="s">
        <v>6047</v>
      </c>
      <c r="F3654" s="5">
        <v>40163</v>
      </c>
      <c r="G3654" s="5">
        <v>40529</v>
      </c>
      <c r="H3654" s="4" t="s">
        <v>40</v>
      </c>
      <c r="I3654" s="6">
        <v>30000</v>
      </c>
      <c r="J3654" s="6">
        <v>30000</v>
      </c>
      <c r="K3654" s="37" t="s">
        <v>5815</v>
      </c>
      <c r="L3654" s="119"/>
      <c r="M3654" s="3"/>
    </row>
    <row r="3655" spans="1:13" s="4" customFormat="1" ht="38.25" x14ac:dyDescent="0.25">
      <c r="A3655" s="4" t="s">
        <v>6050</v>
      </c>
      <c r="B3655" s="4" t="s">
        <v>90</v>
      </c>
      <c r="C3655" s="37" t="s">
        <v>5815</v>
      </c>
      <c r="D3655" s="35">
        <v>5350</v>
      </c>
      <c r="E3655" s="4" t="s">
        <v>6051</v>
      </c>
      <c r="F3655" s="5">
        <v>39823</v>
      </c>
      <c r="G3655" s="5">
        <v>40009</v>
      </c>
      <c r="H3655" s="4" t="s">
        <v>40</v>
      </c>
      <c r="I3655" s="6">
        <v>10000</v>
      </c>
      <c r="J3655" s="6">
        <v>5000</v>
      </c>
      <c r="K3655" s="37" t="s">
        <v>5815</v>
      </c>
      <c r="L3655" s="119"/>
      <c r="M3655" s="3"/>
    </row>
    <row r="3656" spans="1:13" s="4" customFormat="1" ht="25.5" x14ac:dyDescent="0.25">
      <c r="A3656" s="4" t="s">
        <v>6052</v>
      </c>
      <c r="B3656" s="4" t="s">
        <v>90</v>
      </c>
      <c r="C3656" s="37" t="s">
        <v>5815</v>
      </c>
      <c r="D3656" s="35">
        <v>5353</v>
      </c>
      <c r="E3656" s="4" t="s">
        <v>6053</v>
      </c>
      <c r="F3656" s="5">
        <v>40135</v>
      </c>
      <c r="G3656" s="5">
        <v>40248</v>
      </c>
      <c r="H3656" s="4" t="s">
        <v>40</v>
      </c>
      <c r="I3656" s="6">
        <v>10200</v>
      </c>
      <c r="J3656" s="6">
        <v>5100</v>
      </c>
      <c r="K3656" s="37" t="s">
        <v>5815</v>
      </c>
      <c r="L3656" s="119"/>
      <c r="M3656" s="3"/>
    </row>
    <row r="3657" spans="1:13" s="4" customFormat="1" ht="25.5" x14ac:dyDescent="0.25">
      <c r="A3657" s="4" t="s">
        <v>6054</v>
      </c>
      <c r="B3657" s="4" t="s">
        <v>90</v>
      </c>
      <c r="C3657" s="37" t="s">
        <v>5815</v>
      </c>
      <c r="D3657" s="35">
        <v>5388</v>
      </c>
      <c r="E3657" s="4" t="s">
        <v>6055</v>
      </c>
      <c r="F3657" s="5">
        <v>39823</v>
      </c>
      <c r="G3657" s="5">
        <v>39892</v>
      </c>
      <c r="H3657" s="4" t="s">
        <v>40</v>
      </c>
      <c r="I3657" s="6">
        <v>8800</v>
      </c>
      <c r="J3657" s="6">
        <v>4400</v>
      </c>
      <c r="K3657" s="37" t="s">
        <v>5815</v>
      </c>
      <c r="L3657" s="119"/>
      <c r="M3657" s="3"/>
    </row>
    <row r="3658" spans="1:13" s="4" customFormat="1" ht="25.5" x14ac:dyDescent="0.25">
      <c r="A3658" s="4" t="s">
        <v>6056</v>
      </c>
      <c r="B3658" s="4" t="s">
        <v>90</v>
      </c>
      <c r="C3658" s="37" t="s">
        <v>5815</v>
      </c>
      <c r="D3658" s="35">
        <v>5390</v>
      </c>
      <c r="E3658" s="4" t="s">
        <v>6057</v>
      </c>
      <c r="F3658" s="5">
        <v>39967</v>
      </c>
      <c r="G3658" s="5">
        <v>40178</v>
      </c>
      <c r="H3658" s="4" t="s">
        <v>40</v>
      </c>
      <c r="I3658" s="6">
        <v>10200</v>
      </c>
      <c r="J3658" s="6">
        <v>5100</v>
      </c>
      <c r="K3658" s="37" t="s">
        <v>5815</v>
      </c>
      <c r="L3658" s="119"/>
      <c r="M3658" s="3"/>
    </row>
    <row r="3659" spans="1:13" s="4" customFormat="1" ht="25.5" x14ac:dyDescent="0.25">
      <c r="A3659" s="4" t="s">
        <v>6060</v>
      </c>
      <c r="B3659" s="4" t="s">
        <v>59</v>
      </c>
      <c r="C3659" s="37" t="s">
        <v>5815</v>
      </c>
      <c r="D3659" s="35">
        <v>5392</v>
      </c>
      <c r="E3659" s="4" t="s">
        <v>6061</v>
      </c>
      <c r="F3659" s="5">
        <v>40163</v>
      </c>
      <c r="G3659" s="5">
        <v>40518</v>
      </c>
      <c r="H3659" s="4" t="s">
        <v>40</v>
      </c>
      <c r="I3659" s="6">
        <v>11250</v>
      </c>
      <c r="J3659" s="6">
        <v>11250</v>
      </c>
      <c r="K3659" s="37" t="s">
        <v>5815</v>
      </c>
      <c r="L3659" s="119"/>
      <c r="M3659" s="3"/>
    </row>
    <row r="3660" spans="1:13" s="4" customFormat="1" ht="25.5" x14ac:dyDescent="0.25">
      <c r="A3660" s="4" t="s">
        <v>6062</v>
      </c>
      <c r="B3660" s="4" t="s">
        <v>59</v>
      </c>
      <c r="C3660" s="37" t="s">
        <v>5815</v>
      </c>
      <c r="D3660" s="35">
        <v>5395</v>
      </c>
      <c r="E3660" s="4" t="s">
        <v>6063</v>
      </c>
      <c r="F3660" s="5">
        <v>40057</v>
      </c>
      <c r="H3660" s="4" t="s">
        <v>40</v>
      </c>
      <c r="I3660" s="6">
        <v>13125</v>
      </c>
      <c r="J3660" s="6">
        <v>13125</v>
      </c>
      <c r="K3660" s="37" t="s">
        <v>5815</v>
      </c>
      <c r="L3660" s="119"/>
      <c r="M3660" s="3"/>
    </row>
    <row r="3661" spans="1:13" s="4" customFormat="1" ht="25.5" x14ac:dyDescent="0.25">
      <c r="A3661" s="4" t="s">
        <v>6064</v>
      </c>
      <c r="B3661" s="4" t="s">
        <v>38</v>
      </c>
      <c r="C3661" s="37" t="s">
        <v>5815</v>
      </c>
      <c r="D3661" s="35">
        <v>5689</v>
      </c>
      <c r="E3661" s="4" t="s">
        <v>6065</v>
      </c>
      <c r="F3661" s="5">
        <v>39814</v>
      </c>
      <c r="G3661" s="5">
        <v>40178</v>
      </c>
      <c r="H3661" s="4" t="s">
        <v>40</v>
      </c>
      <c r="I3661" s="6">
        <v>34264.5</v>
      </c>
      <c r="J3661" s="6">
        <v>34264.5</v>
      </c>
      <c r="K3661" s="37" t="s">
        <v>5815</v>
      </c>
      <c r="L3661" s="119"/>
      <c r="M3661" s="3"/>
    </row>
    <row r="3662" spans="1:13" s="4" customFormat="1" ht="76.5" x14ac:dyDescent="0.25">
      <c r="A3662" s="4" t="s">
        <v>6066</v>
      </c>
      <c r="B3662" s="4" t="s">
        <v>190</v>
      </c>
      <c r="C3662" s="37" t="s">
        <v>5815</v>
      </c>
      <c r="D3662" s="35">
        <v>7754</v>
      </c>
      <c r="E3662" s="4" t="s">
        <v>6067</v>
      </c>
      <c r="F3662" s="5">
        <v>40259</v>
      </c>
      <c r="H3662" s="4" t="s">
        <v>40</v>
      </c>
      <c r="I3662" s="6">
        <v>24004</v>
      </c>
      <c r="J3662" s="6">
        <v>15752</v>
      </c>
      <c r="K3662" s="37" t="s">
        <v>5815</v>
      </c>
      <c r="L3662" s="119"/>
      <c r="M3662" s="3"/>
    </row>
    <row r="3663" spans="1:13" s="4" customFormat="1" ht="38.25" x14ac:dyDescent="0.25">
      <c r="A3663" s="4" t="s">
        <v>6068</v>
      </c>
      <c r="B3663" s="4" t="s">
        <v>90</v>
      </c>
      <c r="C3663" s="37" t="s">
        <v>5815</v>
      </c>
      <c r="D3663" s="35">
        <v>7767</v>
      </c>
      <c r="E3663" s="4" t="s">
        <v>6069</v>
      </c>
      <c r="F3663" s="5">
        <v>39867</v>
      </c>
      <c r="G3663" s="5">
        <v>40248</v>
      </c>
      <c r="H3663" s="4" t="s">
        <v>40</v>
      </c>
      <c r="I3663" s="6">
        <v>6000</v>
      </c>
      <c r="J3663" s="6">
        <v>3000</v>
      </c>
      <c r="K3663" s="37" t="s">
        <v>5815</v>
      </c>
      <c r="L3663" s="119"/>
      <c r="M3663" s="3"/>
    </row>
    <row r="3664" spans="1:13" s="4" customFormat="1" ht="51" x14ac:dyDescent="0.25">
      <c r="A3664" s="4" t="s">
        <v>6070</v>
      </c>
      <c r="B3664" s="4" t="s">
        <v>90</v>
      </c>
      <c r="C3664" s="37" t="s">
        <v>5815</v>
      </c>
      <c r="D3664" s="35">
        <v>7768</v>
      </c>
      <c r="E3664" s="4" t="s">
        <v>6071</v>
      </c>
      <c r="F3664" s="5">
        <v>39993</v>
      </c>
      <c r="G3664" s="5">
        <v>40283</v>
      </c>
      <c r="H3664" s="4" t="s">
        <v>40</v>
      </c>
      <c r="I3664" s="6">
        <v>10000</v>
      </c>
      <c r="J3664" s="6">
        <v>5000</v>
      </c>
      <c r="K3664" s="37" t="s">
        <v>5815</v>
      </c>
      <c r="L3664" s="119"/>
      <c r="M3664" s="3"/>
    </row>
    <row r="3665" spans="1:13" s="4" customFormat="1" ht="51" x14ac:dyDescent="0.25">
      <c r="A3665" s="4" t="s">
        <v>6072</v>
      </c>
      <c r="B3665" s="4" t="s">
        <v>90</v>
      </c>
      <c r="C3665" s="37" t="s">
        <v>5815</v>
      </c>
      <c r="D3665" s="35">
        <v>7782</v>
      </c>
      <c r="E3665" s="4" t="s">
        <v>6073</v>
      </c>
      <c r="F3665" s="5">
        <v>40134</v>
      </c>
      <c r="G3665" s="5">
        <v>40387</v>
      </c>
      <c r="H3665" s="4" t="s">
        <v>40</v>
      </c>
      <c r="I3665" s="6">
        <v>14999.67</v>
      </c>
      <c r="J3665" s="6">
        <v>3838</v>
      </c>
      <c r="K3665" s="37" t="s">
        <v>5815</v>
      </c>
      <c r="L3665" s="119"/>
      <c r="M3665" s="3"/>
    </row>
    <row r="3666" spans="1:13" s="4" customFormat="1" ht="25.5" x14ac:dyDescent="0.25">
      <c r="A3666" s="4" t="s">
        <v>6074</v>
      </c>
      <c r="B3666" s="4" t="s">
        <v>90</v>
      </c>
      <c r="C3666" s="37" t="s">
        <v>5815</v>
      </c>
      <c r="D3666" s="35">
        <v>7784</v>
      </c>
      <c r="E3666" s="4" t="s">
        <v>6075</v>
      </c>
      <c r="F3666" s="5">
        <v>40134</v>
      </c>
      <c r="G3666" s="5">
        <v>40521</v>
      </c>
      <c r="H3666" s="4" t="s">
        <v>40</v>
      </c>
      <c r="I3666" s="6">
        <v>9301.9599999999991</v>
      </c>
      <c r="J3666" s="6">
        <v>4650.9799999999996</v>
      </c>
      <c r="K3666" s="37" t="s">
        <v>5815</v>
      </c>
      <c r="L3666" s="119"/>
      <c r="M3666" s="3"/>
    </row>
    <row r="3667" spans="1:13" s="4" customFormat="1" ht="89.25" x14ac:dyDescent="0.25">
      <c r="A3667" s="4" t="s">
        <v>6076</v>
      </c>
      <c r="B3667" s="4" t="s">
        <v>183</v>
      </c>
      <c r="C3667" s="37" t="s">
        <v>5815</v>
      </c>
      <c r="D3667" s="35">
        <v>7796</v>
      </c>
      <c r="E3667" s="7" t="s">
        <v>6077</v>
      </c>
      <c r="F3667" s="5">
        <v>40217</v>
      </c>
      <c r="G3667" s="5">
        <v>40854</v>
      </c>
      <c r="H3667" s="4" t="s">
        <v>40</v>
      </c>
      <c r="I3667" s="6">
        <v>28489.63</v>
      </c>
      <c r="J3667" s="6">
        <v>22994.63</v>
      </c>
      <c r="K3667" s="37" t="s">
        <v>5815</v>
      </c>
      <c r="L3667" s="119"/>
      <c r="M3667" s="3"/>
    </row>
    <row r="3668" spans="1:13" s="4" customFormat="1" ht="51" x14ac:dyDescent="0.25">
      <c r="A3668" s="4" t="s">
        <v>6078</v>
      </c>
      <c r="B3668" s="4" t="s">
        <v>183</v>
      </c>
      <c r="C3668" s="37" t="s">
        <v>5815</v>
      </c>
      <c r="D3668" s="35">
        <v>7803</v>
      </c>
      <c r="E3668" s="4" t="s">
        <v>6079</v>
      </c>
      <c r="F3668" s="5">
        <v>40217</v>
      </c>
      <c r="G3668" s="5">
        <v>40563</v>
      </c>
      <c r="H3668" s="4" t="s">
        <v>40</v>
      </c>
      <c r="I3668" s="6">
        <v>21500</v>
      </c>
      <c r="J3668" s="6">
        <v>19500</v>
      </c>
      <c r="K3668" s="37" t="s">
        <v>5815</v>
      </c>
      <c r="L3668" s="119"/>
      <c r="M3668" s="3"/>
    </row>
    <row r="3669" spans="1:13" s="4" customFormat="1" ht="51" x14ac:dyDescent="0.25">
      <c r="A3669" s="4" t="s">
        <v>6080</v>
      </c>
      <c r="B3669" s="4" t="s">
        <v>183</v>
      </c>
      <c r="C3669" s="37" t="s">
        <v>5815</v>
      </c>
      <c r="D3669" s="35">
        <v>7804</v>
      </c>
      <c r="E3669" s="4" t="s">
        <v>6081</v>
      </c>
      <c r="F3669" s="5">
        <v>40217</v>
      </c>
      <c r="G3669" s="5">
        <v>40506</v>
      </c>
      <c r="H3669" s="4" t="s">
        <v>40</v>
      </c>
      <c r="I3669" s="6">
        <v>10624.36</v>
      </c>
      <c r="J3669" s="6">
        <v>10321.18</v>
      </c>
      <c r="K3669" s="37" t="s">
        <v>5815</v>
      </c>
      <c r="L3669" s="119"/>
      <c r="M3669" s="3"/>
    </row>
    <row r="3670" spans="1:13" s="4" customFormat="1" ht="76.5" x14ac:dyDescent="0.25">
      <c r="A3670" s="4" t="s">
        <v>6082</v>
      </c>
      <c r="B3670" s="4" t="s">
        <v>190</v>
      </c>
      <c r="C3670" s="37" t="s">
        <v>5815</v>
      </c>
      <c r="D3670" s="35">
        <v>7805</v>
      </c>
      <c r="E3670" s="4" t="s">
        <v>6083</v>
      </c>
      <c r="F3670" s="5">
        <v>40217</v>
      </c>
      <c r="H3670" s="4" t="s">
        <v>40</v>
      </c>
      <c r="I3670" s="6">
        <v>46254.07</v>
      </c>
      <c r="J3670" s="6">
        <v>30633.94</v>
      </c>
      <c r="K3670" s="37" t="s">
        <v>5815</v>
      </c>
      <c r="L3670" s="119"/>
      <c r="M3670" s="3"/>
    </row>
    <row r="3671" spans="1:13" s="4" customFormat="1" ht="51" x14ac:dyDescent="0.25">
      <c r="A3671" s="4" t="s">
        <v>6084</v>
      </c>
      <c r="B3671" s="4" t="s">
        <v>183</v>
      </c>
      <c r="C3671" s="37" t="s">
        <v>5815</v>
      </c>
      <c r="D3671" s="35">
        <v>7807</v>
      </c>
      <c r="E3671" s="4" t="s">
        <v>6085</v>
      </c>
      <c r="F3671" s="5">
        <v>40217</v>
      </c>
      <c r="G3671" s="5">
        <v>40660</v>
      </c>
      <c r="H3671" s="4" t="s">
        <v>40</v>
      </c>
      <c r="I3671" s="6">
        <v>22500</v>
      </c>
      <c r="J3671" s="6">
        <v>15000</v>
      </c>
      <c r="K3671" s="37" t="s">
        <v>5815</v>
      </c>
      <c r="L3671" s="119"/>
      <c r="M3671" s="3"/>
    </row>
    <row r="3672" spans="1:13" s="4" customFormat="1" ht="51" x14ac:dyDescent="0.25">
      <c r="A3672" s="4" t="s">
        <v>6086</v>
      </c>
      <c r="B3672" s="4" t="s">
        <v>183</v>
      </c>
      <c r="C3672" s="37" t="s">
        <v>5815</v>
      </c>
      <c r="D3672" s="35">
        <v>7809</v>
      </c>
      <c r="E3672" s="4" t="s">
        <v>6087</v>
      </c>
      <c r="F3672" s="5">
        <v>40259</v>
      </c>
      <c r="G3672" s="5">
        <v>40563</v>
      </c>
      <c r="H3672" s="4" t="s">
        <v>40</v>
      </c>
      <c r="I3672" s="6">
        <v>14000</v>
      </c>
      <c r="J3672" s="6">
        <v>14000</v>
      </c>
      <c r="K3672" s="37" t="s">
        <v>5815</v>
      </c>
      <c r="L3672" s="119"/>
      <c r="M3672" s="3"/>
    </row>
    <row r="3673" spans="1:13" s="4" customFormat="1" ht="51" x14ac:dyDescent="0.25">
      <c r="A3673" s="4" t="s">
        <v>6090</v>
      </c>
      <c r="B3673" s="4" t="s">
        <v>183</v>
      </c>
      <c r="C3673" s="37" t="s">
        <v>5815</v>
      </c>
      <c r="D3673" s="35">
        <v>7814</v>
      </c>
      <c r="E3673" s="4" t="s">
        <v>6091</v>
      </c>
      <c r="F3673" s="5">
        <v>40473</v>
      </c>
      <c r="G3673" s="5">
        <v>40821</v>
      </c>
      <c r="H3673" s="4" t="s">
        <v>40</v>
      </c>
      <c r="I3673" s="6">
        <v>23060.71</v>
      </c>
      <c r="J3673" s="6">
        <v>12230.15</v>
      </c>
      <c r="K3673" s="37" t="s">
        <v>5815</v>
      </c>
      <c r="L3673" s="119"/>
      <c r="M3673" s="3"/>
    </row>
    <row r="3674" spans="1:13" s="4" customFormat="1" ht="76.5" x14ac:dyDescent="0.25">
      <c r="A3674" s="4" t="s">
        <v>6092</v>
      </c>
      <c r="B3674" s="4" t="s">
        <v>190</v>
      </c>
      <c r="C3674" s="37" t="s">
        <v>5815</v>
      </c>
      <c r="D3674" s="35">
        <v>7815</v>
      </c>
      <c r="E3674" s="4" t="s">
        <v>6093</v>
      </c>
      <c r="F3674" s="5">
        <v>40217</v>
      </c>
      <c r="G3674" s="5">
        <v>40807</v>
      </c>
      <c r="H3674" s="4" t="s">
        <v>40</v>
      </c>
      <c r="I3674" s="6">
        <v>24255.24</v>
      </c>
      <c r="J3674" s="6">
        <v>14002.63</v>
      </c>
      <c r="K3674" s="37" t="s">
        <v>5815</v>
      </c>
      <c r="L3674" s="119"/>
      <c r="M3674" s="3"/>
    </row>
    <row r="3675" spans="1:13" s="4" customFormat="1" ht="63.75" x14ac:dyDescent="0.25">
      <c r="A3675" s="4" t="s">
        <v>6094</v>
      </c>
      <c r="B3675" s="4" t="s">
        <v>190</v>
      </c>
      <c r="C3675" s="37" t="s">
        <v>5815</v>
      </c>
      <c r="D3675" s="35">
        <v>7817</v>
      </c>
      <c r="E3675" s="4" t="s">
        <v>6095</v>
      </c>
      <c r="F3675" s="5">
        <v>40449</v>
      </c>
      <c r="H3675" s="4" t="s">
        <v>40</v>
      </c>
      <c r="I3675" s="6">
        <v>36133.72</v>
      </c>
      <c r="J3675" s="6">
        <v>29316</v>
      </c>
      <c r="K3675" s="37" t="s">
        <v>5815</v>
      </c>
      <c r="L3675" s="119"/>
      <c r="M3675" s="3"/>
    </row>
    <row r="3676" spans="1:13" s="4" customFormat="1" ht="51" x14ac:dyDescent="0.25">
      <c r="A3676" s="4" t="s">
        <v>6096</v>
      </c>
      <c r="B3676" s="4" t="s">
        <v>38</v>
      </c>
      <c r="C3676" s="37" t="s">
        <v>5815</v>
      </c>
      <c r="D3676" s="35">
        <v>7819</v>
      </c>
      <c r="E3676" s="4" t="s">
        <v>6097</v>
      </c>
      <c r="F3676" s="5">
        <v>40188</v>
      </c>
      <c r="G3676" s="5">
        <v>40267</v>
      </c>
      <c r="H3676" s="4" t="s">
        <v>40</v>
      </c>
      <c r="I3676" s="6">
        <v>5179</v>
      </c>
      <c r="J3676" s="6">
        <v>5179</v>
      </c>
      <c r="K3676" s="37" t="s">
        <v>5815</v>
      </c>
      <c r="L3676" s="119"/>
      <c r="M3676" s="3"/>
    </row>
    <row r="3677" spans="1:13" s="4" customFormat="1" ht="25.5" x14ac:dyDescent="0.25">
      <c r="A3677" s="4" t="s">
        <v>6098</v>
      </c>
      <c r="B3677" s="4" t="s">
        <v>90</v>
      </c>
      <c r="C3677" s="37" t="s">
        <v>5815</v>
      </c>
      <c r="D3677" s="35">
        <v>8670</v>
      </c>
      <c r="E3677" s="4" t="s">
        <v>6099</v>
      </c>
      <c r="F3677" s="5">
        <v>40294</v>
      </c>
      <c r="G3677" s="5">
        <v>40603</v>
      </c>
      <c r="H3677" s="4" t="s">
        <v>40</v>
      </c>
      <c r="I3677" s="6">
        <v>6656.68</v>
      </c>
      <c r="J3677" s="6">
        <v>1664.17</v>
      </c>
      <c r="K3677" s="37" t="s">
        <v>5815</v>
      </c>
      <c r="L3677" s="119"/>
      <c r="M3677" s="3"/>
    </row>
    <row r="3678" spans="1:13" s="4" customFormat="1" ht="63.75" x14ac:dyDescent="0.25">
      <c r="A3678" s="4" t="s">
        <v>6100</v>
      </c>
      <c r="B3678" s="4" t="s">
        <v>183</v>
      </c>
      <c r="C3678" s="37" t="s">
        <v>5815</v>
      </c>
      <c r="D3678" s="35">
        <v>8681</v>
      </c>
      <c r="E3678" s="4" t="s">
        <v>6101</v>
      </c>
      <c r="F3678" s="5">
        <v>40596</v>
      </c>
      <c r="G3678" s="5">
        <v>40808</v>
      </c>
      <c r="H3678" s="4" t="s">
        <v>40</v>
      </c>
      <c r="I3678" s="6">
        <v>15000</v>
      </c>
      <c r="J3678" s="6">
        <v>15000</v>
      </c>
      <c r="K3678" s="37" t="s">
        <v>5815</v>
      </c>
      <c r="L3678" s="119"/>
      <c r="M3678" s="3"/>
    </row>
    <row r="3679" spans="1:13" s="4" customFormat="1" ht="51" x14ac:dyDescent="0.25">
      <c r="A3679" s="4" t="s">
        <v>6104</v>
      </c>
      <c r="B3679" s="4" t="s">
        <v>183</v>
      </c>
      <c r="C3679" s="37" t="s">
        <v>5815</v>
      </c>
      <c r="D3679" s="35">
        <v>8686</v>
      </c>
      <c r="E3679" s="4" t="s">
        <v>6105</v>
      </c>
      <c r="F3679" s="5">
        <v>40623</v>
      </c>
      <c r="G3679" s="5">
        <v>40877</v>
      </c>
      <c r="H3679" s="4" t="s">
        <v>40</v>
      </c>
      <c r="I3679" s="6">
        <v>17500</v>
      </c>
      <c r="J3679" s="6">
        <v>12500</v>
      </c>
      <c r="K3679" s="37" t="s">
        <v>5815</v>
      </c>
      <c r="L3679" s="119"/>
      <c r="M3679" s="3"/>
    </row>
    <row r="3680" spans="1:13" s="4" customFormat="1" ht="76.5" x14ac:dyDescent="0.25">
      <c r="A3680" s="4" t="s">
        <v>6106</v>
      </c>
      <c r="B3680" s="4" t="s">
        <v>190</v>
      </c>
      <c r="C3680" s="37" t="s">
        <v>5815</v>
      </c>
      <c r="D3680" s="35">
        <v>8691</v>
      </c>
      <c r="E3680" s="4" t="s">
        <v>6107</v>
      </c>
      <c r="F3680" s="5">
        <v>40716</v>
      </c>
      <c r="G3680" s="5">
        <v>41088</v>
      </c>
      <c r="H3680" s="4" t="s">
        <v>40</v>
      </c>
      <c r="I3680" s="6">
        <v>19050</v>
      </c>
      <c r="J3680" s="6">
        <v>15150</v>
      </c>
      <c r="K3680" s="37" t="s">
        <v>5815</v>
      </c>
      <c r="L3680" s="119"/>
      <c r="M3680" s="3"/>
    </row>
    <row r="3681" spans="1:13" s="4" customFormat="1" ht="63.75" x14ac:dyDescent="0.25">
      <c r="A3681" s="4" t="s">
        <v>6108</v>
      </c>
      <c r="B3681" s="4" t="s">
        <v>90</v>
      </c>
      <c r="C3681" s="37" t="s">
        <v>5815</v>
      </c>
      <c r="D3681" s="35">
        <v>8714</v>
      </c>
      <c r="E3681" s="4" t="s">
        <v>6109</v>
      </c>
      <c r="F3681" s="5">
        <v>40808</v>
      </c>
      <c r="G3681" s="5">
        <v>40808</v>
      </c>
      <c r="H3681" s="4" t="s">
        <v>40</v>
      </c>
      <c r="I3681" s="6">
        <v>8289</v>
      </c>
      <c r="J3681" s="6">
        <v>4145</v>
      </c>
      <c r="K3681" s="37" t="s">
        <v>5815</v>
      </c>
      <c r="L3681" s="119"/>
      <c r="M3681" s="3"/>
    </row>
    <row r="3682" spans="1:13" s="4" customFormat="1" ht="63.75" x14ac:dyDescent="0.25">
      <c r="A3682" s="4" t="s">
        <v>6110</v>
      </c>
      <c r="B3682" s="4" t="s">
        <v>183</v>
      </c>
      <c r="C3682" s="37" t="s">
        <v>5815</v>
      </c>
      <c r="D3682" s="35">
        <v>8717</v>
      </c>
      <c r="E3682" s="4" t="s">
        <v>6111</v>
      </c>
      <c r="F3682" s="5">
        <v>40749</v>
      </c>
      <c r="G3682" s="5">
        <v>40954</v>
      </c>
      <c r="H3682" s="4" t="s">
        <v>40</v>
      </c>
      <c r="I3682" s="6">
        <v>7500</v>
      </c>
      <c r="J3682" s="6">
        <v>7500</v>
      </c>
      <c r="K3682" s="37" t="s">
        <v>5815</v>
      </c>
      <c r="L3682" s="119"/>
      <c r="M3682" s="3"/>
    </row>
    <row r="3683" spans="1:13" s="4" customFormat="1" ht="63.75" x14ac:dyDescent="0.25">
      <c r="A3683" s="4" t="s">
        <v>6112</v>
      </c>
      <c r="B3683" s="4" t="s">
        <v>183</v>
      </c>
      <c r="C3683" s="37" t="s">
        <v>5815</v>
      </c>
      <c r="D3683" s="35">
        <v>8734</v>
      </c>
      <c r="E3683" s="4" t="s">
        <v>6113</v>
      </c>
      <c r="F3683" s="5">
        <v>40749</v>
      </c>
      <c r="G3683" s="5">
        <v>41017</v>
      </c>
      <c r="H3683" s="4" t="s">
        <v>40</v>
      </c>
      <c r="I3683" s="6">
        <v>8000</v>
      </c>
      <c r="J3683" s="6">
        <v>8000</v>
      </c>
      <c r="K3683" s="37" t="s">
        <v>5815</v>
      </c>
      <c r="L3683" s="119"/>
      <c r="M3683" s="3"/>
    </row>
    <row r="3684" spans="1:13" s="4" customFormat="1" ht="114.75" x14ac:dyDescent="0.25">
      <c r="A3684" s="4" t="s">
        <v>6114</v>
      </c>
      <c r="B3684" s="4" t="s">
        <v>183</v>
      </c>
      <c r="C3684" s="37" t="s">
        <v>5815</v>
      </c>
      <c r="D3684" s="35">
        <v>8742</v>
      </c>
      <c r="E3684" s="7" t="s">
        <v>6115</v>
      </c>
      <c r="F3684" s="5">
        <v>40821</v>
      </c>
      <c r="H3684" s="4" t="s">
        <v>40</v>
      </c>
      <c r="I3684" s="6">
        <v>27071.08</v>
      </c>
      <c r="J3684" s="6">
        <v>23535.54</v>
      </c>
      <c r="K3684" s="37" t="s">
        <v>5815</v>
      </c>
      <c r="L3684" s="119"/>
      <c r="M3684" s="3"/>
    </row>
    <row r="3685" spans="1:13" s="4" customFormat="1" ht="89.25" x14ac:dyDescent="0.25">
      <c r="A3685" s="4" t="s">
        <v>6116</v>
      </c>
      <c r="B3685" s="4" t="s">
        <v>183</v>
      </c>
      <c r="C3685" s="37" t="s">
        <v>5815</v>
      </c>
      <c r="D3685" s="35">
        <v>8744</v>
      </c>
      <c r="E3685" s="7" t="s">
        <v>6117</v>
      </c>
      <c r="F3685" s="5">
        <v>40644</v>
      </c>
      <c r="G3685" s="5">
        <v>41088</v>
      </c>
      <c r="H3685" s="4" t="s">
        <v>40</v>
      </c>
      <c r="I3685" s="6">
        <v>20810.32</v>
      </c>
      <c r="J3685" s="6">
        <v>17905.16</v>
      </c>
      <c r="K3685" s="37" t="s">
        <v>5815</v>
      </c>
      <c r="L3685" s="119"/>
      <c r="M3685" s="3"/>
    </row>
    <row r="3686" spans="1:13" s="4" customFormat="1" ht="38.25" x14ac:dyDescent="0.25">
      <c r="A3686" s="4" t="s">
        <v>6118</v>
      </c>
      <c r="B3686" s="4" t="s">
        <v>183</v>
      </c>
      <c r="C3686" s="37" t="s">
        <v>5815</v>
      </c>
      <c r="D3686" s="35">
        <v>8751</v>
      </c>
      <c r="E3686" s="4" t="s">
        <v>6119</v>
      </c>
      <c r="F3686" s="5">
        <v>40854</v>
      </c>
      <c r="G3686" s="5">
        <v>41089</v>
      </c>
      <c r="H3686" s="4" t="s">
        <v>40</v>
      </c>
      <c r="I3686" s="6">
        <v>9625</v>
      </c>
      <c r="J3686" s="6">
        <v>7625</v>
      </c>
      <c r="K3686" s="37" t="s">
        <v>5815</v>
      </c>
      <c r="L3686" s="119"/>
      <c r="M3686" s="3"/>
    </row>
    <row r="3687" spans="1:13" s="4" customFormat="1" ht="76.5" x14ac:dyDescent="0.25">
      <c r="A3687" s="4" t="s">
        <v>6122</v>
      </c>
      <c r="B3687" s="4" t="s">
        <v>183</v>
      </c>
      <c r="C3687" s="37" t="s">
        <v>5815</v>
      </c>
      <c r="D3687" s="35">
        <v>8753</v>
      </c>
      <c r="E3687" s="4" t="s">
        <v>6123</v>
      </c>
      <c r="F3687" s="5">
        <v>40877</v>
      </c>
      <c r="G3687" s="5">
        <v>40889</v>
      </c>
      <c r="H3687" s="4" t="s">
        <v>40</v>
      </c>
      <c r="I3687" s="6">
        <v>530</v>
      </c>
      <c r="J3687" s="6">
        <v>265</v>
      </c>
      <c r="K3687" s="37" t="s">
        <v>5815</v>
      </c>
      <c r="L3687" s="119"/>
      <c r="M3687" s="3"/>
    </row>
    <row r="3688" spans="1:13" s="4" customFormat="1" ht="63.75" x14ac:dyDescent="0.25">
      <c r="A3688" s="4" t="s">
        <v>6126</v>
      </c>
      <c r="B3688" s="4" t="s">
        <v>190</v>
      </c>
      <c r="C3688" s="37" t="s">
        <v>5815</v>
      </c>
      <c r="D3688" s="35">
        <v>8758</v>
      </c>
      <c r="E3688" s="4" t="s">
        <v>6127</v>
      </c>
      <c r="F3688" s="5">
        <v>40738</v>
      </c>
      <c r="G3688" s="5">
        <v>40991</v>
      </c>
      <c r="H3688" s="4" t="s">
        <v>40</v>
      </c>
      <c r="I3688" s="6">
        <v>17646</v>
      </c>
      <c r="J3688" s="6">
        <v>14448</v>
      </c>
      <c r="K3688" s="37" t="s">
        <v>5815</v>
      </c>
      <c r="L3688" s="119"/>
      <c r="M3688" s="3"/>
    </row>
    <row r="3689" spans="1:13" s="4" customFormat="1" ht="76.5" x14ac:dyDescent="0.25">
      <c r="A3689" s="4" t="s">
        <v>6128</v>
      </c>
      <c r="B3689" s="4" t="s">
        <v>190</v>
      </c>
      <c r="C3689" s="37" t="s">
        <v>5815</v>
      </c>
      <c r="D3689" s="35">
        <v>8807</v>
      </c>
      <c r="E3689" s="4" t="s">
        <v>6129</v>
      </c>
      <c r="F3689" s="5">
        <v>40854</v>
      </c>
      <c r="G3689" s="5">
        <v>41088</v>
      </c>
      <c r="H3689" s="4" t="s">
        <v>40</v>
      </c>
      <c r="I3689" s="6">
        <v>82018</v>
      </c>
      <c r="J3689" s="6">
        <v>22111</v>
      </c>
      <c r="K3689" s="37" t="s">
        <v>5815</v>
      </c>
      <c r="L3689" s="119"/>
      <c r="M3689" s="3"/>
    </row>
    <row r="3690" spans="1:13" s="4" customFormat="1" ht="38.25" x14ac:dyDescent="0.25">
      <c r="A3690" s="4" t="s">
        <v>6130</v>
      </c>
      <c r="B3690" s="4" t="s">
        <v>38</v>
      </c>
      <c r="C3690" s="37" t="s">
        <v>5815</v>
      </c>
      <c r="D3690" s="35">
        <v>8859</v>
      </c>
      <c r="E3690" s="4" t="s">
        <v>6131</v>
      </c>
      <c r="F3690" s="5">
        <v>40575</v>
      </c>
      <c r="H3690" s="4" t="s">
        <v>40</v>
      </c>
      <c r="I3690" s="6">
        <v>3655.15</v>
      </c>
      <c r="J3690" s="6">
        <v>3655.15</v>
      </c>
      <c r="K3690" s="37" t="s">
        <v>5815</v>
      </c>
      <c r="L3690" s="119"/>
      <c r="M3690" s="3"/>
    </row>
    <row r="3691" spans="1:13" s="4" customFormat="1" ht="63.75" x14ac:dyDescent="0.25">
      <c r="A3691" s="4" t="s">
        <v>6132</v>
      </c>
      <c r="B3691" s="4" t="s">
        <v>38</v>
      </c>
      <c r="C3691" s="37" t="s">
        <v>5815</v>
      </c>
      <c r="D3691" s="35">
        <v>8860</v>
      </c>
      <c r="E3691" s="4" t="s">
        <v>6133</v>
      </c>
      <c r="F3691" s="5">
        <v>40787</v>
      </c>
      <c r="H3691" s="4" t="s">
        <v>40</v>
      </c>
      <c r="I3691" s="6">
        <v>12072.12</v>
      </c>
      <c r="J3691" s="6">
        <v>12072.12</v>
      </c>
      <c r="K3691" s="37" t="s">
        <v>5815</v>
      </c>
      <c r="L3691" s="119"/>
      <c r="M3691" s="3"/>
    </row>
    <row r="3692" spans="1:13" s="4" customFormat="1" ht="153" x14ac:dyDescent="0.25">
      <c r="A3692" s="4" t="s">
        <v>6134</v>
      </c>
      <c r="B3692" s="4" t="s">
        <v>38</v>
      </c>
      <c r="C3692" s="37" t="s">
        <v>5815</v>
      </c>
      <c r="D3692" s="35">
        <v>8895</v>
      </c>
      <c r="E3692" s="7" t="s">
        <v>6135</v>
      </c>
      <c r="F3692" s="5">
        <v>40877</v>
      </c>
      <c r="H3692" s="4" t="s">
        <v>40</v>
      </c>
      <c r="I3692" s="6">
        <v>10000</v>
      </c>
      <c r="J3692" s="6">
        <v>10000</v>
      </c>
      <c r="K3692" s="37" t="s">
        <v>5815</v>
      </c>
      <c r="L3692" s="119"/>
      <c r="M3692" s="3"/>
    </row>
    <row r="3693" spans="1:13" s="4" customFormat="1" ht="25.5" x14ac:dyDescent="0.25">
      <c r="A3693" s="4" t="s">
        <v>6136</v>
      </c>
      <c r="B3693" s="4" t="s">
        <v>38</v>
      </c>
      <c r="C3693" s="37" t="s">
        <v>5815</v>
      </c>
      <c r="D3693" s="35">
        <v>9206</v>
      </c>
      <c r="E3693" s="4" t="s">
        <v>6137</v>
      </c>
      <c r="F3693" s="5">
        <v>40544</v>
      </c>
      <c r="H3693" s="4" t="s">
        <v>40</v>
      </c>
      <c r="I3693" s="6">
        <v>12826</v>
      </c>
      <c r="J3693" s="6">
        <v>6413</v>
      </c>
      <c r="K3693" s="37" t="s">
        <v>5815</v>
      </c>
      <c r="L3693" s="119"/>
      <c r="M3693" s="3"/>
    </row>
    <row r="3694" spans="1:13" s="4" customFormat="1" ht="76.5" x14ac:dyDescent="0.25">
      <c r="A3694" s="4" t="s">
        <v>5977</v>
      </c>
      <c r="B3694" s="4" t="s">
        <v>38</v>
      </c>
      <c r="C3694" s="37" t="s">
        <v>5815</v>
      </c>
      <c r="D3694" s="35">
        <v>9207</v>
      </c>
      <c r="E3694" s="7" t="s">
        <v>5978</v>
      </c>
      <c r="F3694" s="5">
        <v>40544</v>
      </c>
      <c r="G3694" s="5">
        <v>40908</v>
      </c>
      <c r="H3694" s="4" t="s">
        <v>40</v>
      </c>
      <c r="I3694" s="6">
        <v>9525.76</v>
      </c>
      <c r="J3694" s="6">
        <v>4762.88</v>
      </c>
      <c r="K3694" s="37" t="s">
        <v>5815</v>
      </c>
      <c r="L3694" s="119"/>
      <c r="M3694" s="3"/>
    </row>
    <row r="3695" spans="1:13" s="4" customFormat="1" ht="51" x14ac:dyDescent="0.25">
      <c r="A3695" s="4" t="s">
        <v>5981</v>
      </c>
      <c r="B3695" s="4" t="s">
        <v>38</v>
      </c>
      <c r="C3695" s="37" t="s">
        <v>5815</v>
      </c>
      <c r="D3695" s="35">
        <v>9208</v>
      </c>
      <c r="E3695" s="4" t="s">
        <v>5982</v>
      </c>
      <c r="F3695" s="5">
        <v>40544</v>
      </c>
      <c r="G3695" s="5">
        <v>40908</v>
      </c>
      <c r="H3695" s="4" t="s">
        <v>40</v>
      </c>
      <c r="I3695" s="6">
        <f>2723.14+6060.4</f>
        <v>8783.5399999999991</v>
      </c>
      <c r="J3695" s="6">
        <f>1578.51+3030.2</f>
        <v>4608.71</v>
      </c>
      <c r="K3695" s="37" t="s">
        <v>5815</v>
      </c>
      <c r="L3695" s="119"/>
      <c r="M3695" s="3"/>
    </row>
    <row r="3696" spans="1:13" s="4" customFormat="1" ht="51" x14ac:dyDescent="0.25">
      <c r="A3696" s="4" t="s">
        <v>6138</v>
      </c>
      <c r="B3696" s="4" t="s">
        <v>90</v>
      </c>
      <c r="C3696" s="37" t="s">
        <v>5815</v>
      </c>
      <c r="D3696" s="35">
        <v>10584</v>
      </c>
      <c r="E3696" s="4" t="s">
        <v>6139</v>
      </c>
      <c r="F3696" s="5">
        <v>40812</v>
      </c>
      <c r="G3696" s="5">
        <v>41088</v>
      </c>
      <c r="H3696" s="4" t="s">
        <v>40</v>
      </c>
      <c r="I3696" s="6">
        <v>8111.9</v>
      </c>
      <c r="J3696" s="6">
        <v>4055.9</v>
      </c>
      <c r="K3696" s="37" t="s">
        <v>5815</v>
      </c>
      <c r="L3696" s="119"/>
      <c r="M3696" s="3"/>
    </row>
    <row r="3697" spans="1:13" s="4" customFormat="1" ht="38.25" x14ac:dyDescent="0.25">
      <c r="A3697" s="4" t="s">
        <v>6140</v>
      </c>
      <c r="B3697" s="4" t="s">
        <v>90</v>
      </c>
      <c r="C3697" s="37" t="s">
        <v>5815</v>
      </c>
      <c r="D3697" s="35">
        <v>10585</v>
      </c>
      <c r="E3697" s="4" t="s">
        <v>6141</v>
      </c>
      <c r="F3697" s="5">
        <v>40651</v>
      </c>
      <c r="G3697" s="5">
        <v>41088</v>
      </c>
      <c r="H3697" s="4" t="s">
        <v>40</v>
      </c>
      <c r="I3697" s="6">
        <v>7423.06</v>
      </c>
      <c r="J3697" s="6">
        <v>3711.53</v>
      </c>
      <c r="K3697" s="37" t="s">
        <v>5815</v>
      </c>
      <c r="L3697" s="119"/>
      <c r="M3697" s="3"/>
    </row>
    <row r="3698" spans="1:13" s="4" customFormat="1" ht="38.25" x14ac:dyDescent="0.25">
      <c r="A3698" s="4" t="s">
        <v>6142</v>
      </c>
      <c r="B3698" s="4" t="s">
        <v>90</v>
      </c>
      <c r="C3698" s="37" t="s">
        <v>5815</v>
      </c>
      <c r="D3698" s="35">
        <v>10586</v>
      </c>
      <c r="E3698" s="4" t="s">
        <v>6143</v>
      </c>
      <c r="F3698" s="5">
        <v>40984</v>
      </c>
      <c r="G3698" s="5">
        <v>41241</v>
      </c>
      <c r="H3698" s="4" t="s">
        <v>40</v>
      </c>
      <c r="I3698" s="6">
        <v>39843.980000000003</v>
      </c>
      <c r="J3698" s="6">
        <v>19922</v>
      </c>
      <c r="K3698" s="37" t="s">
        <v>5815</v>
      </c>
      <c r="L3698" s="119"/>
      <c r="M3698" s="3"/>
    </row>
    <row r="3699" spans="1:13" s="4" customFormat="1" ht="25.5" x14ac:dyDescent="0.25">
      <c r="A3699" s="4" t="s">
        <v>6144</v>
      </c>
      <c r="B3699" s="4" t="s">
        <v>90</v>
      </c>
      <c r="C3699" s="37" t="s">
        <v>5815</v>
      </c>
      <c r="D3699" s="35">
        <v>10587</v>
      </c>
      <c r="E3699" s="4" t="s">
        <v>6145</v>
      </c>
      <c r="F3699" s="5">
        <v>41060</v>
      </c>
      <c r="G3699" s="5">
        <v>41213</v>
      </c>
      <c r="H3699" s="4" t="s">
        <v>40</v>
      </c>
      <c r="I3699" s="6">
        <v>20000</v>
      </c>
      <c r="J3699" s="6">
        <v>10000</v>
      </c>
      <c r="K3699" s="37" t="s">
        <v>5815</v>
      </c>
      <c r="L3699" s="119"/>
      <c r="M3699" s="3"/>
    </row>
    <row r="3700" spans="1:13" s="4" customFormat="1" ht="38.25" x14ac:dyDescent="0.25">
      <c r="A3700" s="4" t="s">
        <v>6146</v>
      </c>
      <c r="B3700" s="4" t="s">
        <v>183</v>
      </c>
      <c r="C3700" s="37" t="s">
        <v>5815</v>
      </c>
      <c r="D3700" s="35">
        <v>10588</v>
      </c>
      <c r="E3700" s="4" t="s">
        <v>6147</v>
      </c>
      <c r="F3700" s="5">
        <v>41099</v>
      </c>
      <c r="H3700" s="4" t="s">
        <v>40</v>
      </c>
      <c r="I3700" s="6">
        <f>3750+15495.86+9.03</f>
        <v>19254.89</v>
      </c>
      <c r="J3700" s="6">
        <v>13372.93</v>
      </c>
      <c r="K3700" s="37" t="s">
        <v>5815</v>
      </c>
      <c r="L3700" s="119"/>
      <c r="M3700" s="3"/>
    </row>
    <row r="3701" spans="1:13" s="4" customFormat="1" ht="25.5" x14ac:dyDescent="0.25">
      <c r="A3701" s="4" t="s">
        <v>6150</v>
      </c>
      <c r="B3701" s="4" t="s">
        <v>183</v>
      </c>
      <c r="C3701" s="37" t="s">
        <v>5815</v>
      </c>
      <c r="D3701" s="35">
        <v>10591</v>
      </c>
      <c r="E3701" s="4" t="s">
        <v>6151</v>
      </c>
      <c r="F3701" s="5">
        <v>41202</v>
      </c>
      <c r="H3701" s="4" t="s">
        <v>40</v>
      </c>
      <c r="I3701" s="6">
        <f>3750+2439.02</f>
        <v>6189.02</v>
      </c>
      <c r="J3701" s="6">
        <f>3750+1219.51</f>
        <v>4969.51</v>
      </c>
      <c r="K3701" s="37" t="s">
        <v>5815</v>
      </c>
      <c r="L3701" s="119"/>
      <c r="M3701" s="3"/>
    </row>
    <row r="3702" spans="1:13" s="4" customFormat="1" ht="76.5" x14ac:dyDescent="0.25">
      <c r="A3702" s="4" t="s">
        <v>6152</v>
      </c>
      <c r="B3702" s="4" t="s">
        <v>183</v>
      </c>
      <c r="C3702" s="37" t="s">
        <v>5815</v>
      </c>
      <c r="D3702" s="35">
        <v>10594</v>
      </c>
      <c r="E3702" s="7" t="s">
        <v>6153</v>
      </c>
      <c r="F3702" s="5">
        <v>40984</v>
      </c>
      <c r="H3702" s="4" t="s">
        <v>40</v>
      </c>
      <c r="I3702" s="6">
        <v>3750</v>
      </c>
      <c r="J3702" s="6">
        <v>3750</v>
      </c>
      <c r="K3702" s="37" t="s">
        <v>5815</v>
      </c>
      <c r="L3702" s="119"/>
      <c r="M3702" s="3"/>
    </row>
    <row r="3703" spans="1:13" s="4" customFormat="1" ht="51" x14ac:dyDescent="0.25">
      <c r="A3703" s="4" t="s">
        <v>6156</v>
      </c>
      <c r="B3703" s="4" t="s">
        <v>190</v>
      </c>
      <c r="C3703" s="37" t="s">
        <v>5815</v>
      </c>
      <c r="D3703" s="35">
        <v>10605</v>
      </c>
      <c r="E3703" s="4" t="s">
        <v>6157</v>
      </c>
      <c r="F3703" s="5">
        <v>41099</v>
      </c>
      <c r="G3703" s="5">
        <v>41254</v>
      </c>
      <c r="H3703" s="4" t="s">
        <v>40</v>
      </c>
      <c r="I3703" s="6">
        <v>13215.1</v>
      </c>
      <c r="J3703" s="6">
        <v>8482.5499999999993</v>
      </c>
      <c r="K3703" s="37" t="s">
        <v>5815</v>
      </c>
      <c r="L3703" s="119"/>
      <c r="M3703" s="3"/>
    </row>
    <row r="3704" spans="1:13" s="4" customFormat="1" ht="38.25" x14ac:dyDescent="0.25">
      <c r="A3704" s="4" t="s">
        <v>6158</v>
      </c>
      <c r="B3704" s="4" t="s">
        <v>190</v>
      </c>
      <c r="C3704" s="37" t="s">
        <v>5815</v>
      </c>
      <c r="D3704" s="35">
        <v>10606</v>
      </c>
      <c r="E3704" s="4" t="s">
        <v>6159</v>
      </c>
      <c r="F3704" s="5">
        <v>41022</v>
      </c>
      <c r="H3704" s="4" t="s">
        <v>40</v>
      </c>
      <c r="I3704" s="6">
        <f>32150+3750</f>
        <v>35900</v>
      </c>
      <c r="J3704" s="6">
        <f>17950+3750</f>
        <v>21700</v>
      </c>
      <c r="K3704" s="37" t="s">
        <v>5815</v>
      </c>
      <c r="L3704" s="119"/>
      <c r="M3704" s="3"/>
    </row>
    <row r="3705" spans="1:13" s="4" customFormat="1" ht="38.25" x14ac:dyDescent="0.25">
      <c r="A3705" s="4" t="s">
        <v>6160</v>
      </c>
      <c r="B3705" s="4" t="s">
        <v>190</v>
      </c>
      <c r="C3705" s="37" t="s">
        <v>5815</v>
      </c>
      <c r="D3705" s="35">
        <v>10607</v>
      </c>
      <c r="E3705" s="4" t="s">
        <v>6161</v>
      </c>
      <c r="F3705" s="5">
        <v>41099</v>
      </c>
      <c r="G3705" s="5">
        <v>41254</v>
      </c>
      <c r="H3705" s="4" t="s">
        <v>40</v>
      </c>
      <c r="I3705" s="6">
        <v>3750</v>
      </c>
      <c r="J3705" s="6">
        <v>3750</v>
      </c>
      <c r="K3705" s="37" t="s">
        <v>5815</v>
      </c>
      <c r="L3705" s="119"/>
      <c r="M3705" s="3"/>
    </row>
    <row r="3706" spans="1:13" s="4" customFormat="1" ht="63.75" x14ac:dyDescent="0.25">
      <c r="A3706" s="4" t="s">
        <v>6162</v>
      </c>
      <c r="B3706" s="4" t="s">
        <v>190</v>
      </c>
      <c r="C3706" s="37" t="s">
        <v>5815</v>
      </c>
      <c r="D3706" s="35">
        <v>10608</v>
      </c>
      <c r="E3706" s="4" t="s">
        <v>6163</v>
      </c>
      <c r="F3706" s="5">
        <v>40938</v>
      </c>
      <c r="G3706" s="5">
        <v>41254</v>
      </c>
      <c r="H3706" s="4" t="s">
        <v>40</v>
      </c>
      <c r="I3706" s="6">
        <f>42907.66+7036.88</f>
        <v>49944.54</v>
      </c>
      <c r="J3706" s="6">
        <f>24783.6+3518.44</f>
        <v>28302.039999999997</v>
      </c>
      <c r="K3706" s="37" t="s">
        <v>5815</v>
      </c>
      <c r="L3706" s="119"/>
      <c r="M3706" s="3"/>
    </row>
    <row r="3707" spans="1:13" s="4" customFormat="1" ht="25.5" x14ac:dyDescent="0.25">
      <c r="A3707" s="4" t="s">
        <v>6164</v>
      </c>
      <c r="B3707" s="4" t="s">
        <v>38</v>
      </c>
      <c r="C3707" s="37" t="s">
        <v>5815</v>
      </c>
      <c r="D3707" s="35">
        <v>10613</v>
      </c>
      <c r="E3707" s="4" t="s">
        <v>6165</v>
      </c>
      <c r="F3707" s="5">
        <v>40910</v>
      </c>
      <c r="H3707" s="4" t="s">
        <v>40</v>
      </c>
      <c r="I3707" s="6">
        <f>2500+2000</f>
        <v>4500</v>
      </c>
      <c r="J3707" s="6">
        <f>2500+2000</f>
        <v>4500</v>
      </c>
      <c r="K3707" s="37" t="s">
        <v>5815</v>
      </c>
      <c r="L3707" s="119"/>
      <c r="M3707" s="3"/>
    </row>
    <row r="3708" spans="1:13" ht="63.75" x14ac:dyDescent="0.25">
      <c r="A3708" s="13" t="s">
        <v>10891</v>
      </c>
      <c r="B3708" s="13" t="s">
        <v>10192</v>
      </c>
      <c r="C3708" s="20" t="s">
        <v>5815</v>
      </c>
      <c r="D3708" s="19">
        <v>12751</v>
      </c>
      <c r="E3708" s="13" t="s">
        <v>10892</v>
      </c>
      <c r="F3708" s="14">
        <v>41502</v>
      </c>
      <c r="G3708" s="14">
        <v>41624</v>
      </c>
      <c r="H3708" s="13" t="s">
        <v>651</v>
      </c>
      <c r="I3708" s="18">
        <v>28486</v>
      </c>
      <c r="J3708" s="18">
        <v>16743</v>
      </c>
      <c r="K3708" s="20" t="s">
        <v>5815</v>
      </c>
    </row>
    <row r="3709" spans="1:13" ht="51" x14ac:dyDescent="0.25">
      <c r="A3709" s="13" t="s">
        <v>10893</v>
      </c>
      <c r="B3709" s="13" t="s">
        <v>10195</v>
      </c>
      <c r="C3709" s="20" t="s">
        <v>5815</v>
      </c>
      <c r="D3709" s="19">
        <v>12752</v>
      </c>
      <c r="E3709" s="13" t="s">
        <v>10894</v>
      </c>
      <c r="F3709" s="14">
        <v>41456</v>
      </c>
      <c r="H3709" s="13" t="s">
        <v>651</v>
      </c>
      <c r="I3709" s="18">
        <v>12256</v>
      </c>
      <c r="J3709" s="18">
        <v>6128</v>
      </c>
      <c r="K3709" s="20" t="s">
        <v>5815</v>
      </c>
    </row>
    <row r="3710" spans="1:13" ht="51" x14ac:dyDescent="0.25">
      <c r="A3710" s="13" t="s">
        <v>10895</v>
      </c>
      <c r="B3710" s="13" t="s">
        <v>10195</v>
      </c>
      <c r="C3710" s="20" t="s">
        <v>5815</v>
      </c>
      <c r="D3710" s="19">
        <v>12753</v>
      </c>
      <c r="E3710" s="13" t="s">
        <v>10896</v>
      </c>
      <c r="F3710" s="14">
        <v>41456</v>
      </c>
      <c r="H3710" s="13" t="s">
        <v>651</v>
      </c>
      <c r="I3710" s="18">
        <v>31220</v>
      </c>
      <c r="J3710" s="18">
        <v>18422.5</v>
      </c>
      <c r="K3710" s="20" t="s">
        <v>5815</v>
      </c>
    </row>
    <row r="3711" spans="1:13" ht="76.5" x14ac:dyDescent="0.25">
      <c r="A3711" s="13" t="s">
        <v>10897</v>
      </c>
      <c r="B3711" s="13" t="s">
        <v>10195</v>
      </c>
      <c r="C3711" s="20" t="s">
        <v>5815</v>
      </c>
      <c r="D3711" s="19">
        <v>12754</v>
      </c>
      <c r="E3711" s="13" t="s">
        <v>10898</v>
      </c>
      <c r="F3711" s="14">
        <v>41570</v>
      </c>
      <c r="H3711" s="13" t="s">
        <v>651</v>
      </c>
      <c r="I3711" s="18">
        <v>7548.6</v>
      </c>
      <c r="J3711" s="18">
        <v>5649.3</v>
      </c>
      <c r="K3711" s="20" t="s">
        <v>5815</v>
      </c>
    </row>
    <row r="3712" spans="1:13" ht="63.75" x14ac:dyDescent="0.25">
      <c r="A3712" s="13" t="s">
        <v>10899</v>
      </c>
      <c r="B3712" s="13" t="s">
        <v>10192</v>
      </c>
      <c r="C3712" s="20" t="s">
        <v>5815</v>
      </c>
      <c r="D3712" s="19">
        <v>12758</v>
      </c>
      <c r="E3712" s="13" t="s">
        <v>10900</v>
      </c>
      <c r="F3712" s="14">
        <v>41570</v>
      </c>
      <c r="H3712" s="13" t="s">
        <v>651</v>
      </c>
      <c r="I3712" s="18">
        <v>13750</v>
      </c>
      <c r="J3712" s="18">
        <v>8750</v>
      </c>
      <c r="K3712" s="20" t="s">
        <v>5815</v>
      </c>
    </row>
    <row r="3713" spans="1:60" ht="51" x14ac:dyDescent="0.25">
      <c r="A3713" s="13" t="s">
        <v>10901</v>
      </c>
      <c r="B3713" s="13" t="s">
        <v>10192</v>
      </c>
      <c r="C3713" s="20" t="s">
        <v>5815</v>
      </c>
      <c r="D3713" s="19">
        <v>12761</v>
      </c>
      <c r="E3713" s="13" t="s">
        <v>10902</v>
      </c>
      <c r="F3713" s="14">
        <v>41354</v>
      </c>
      <c r="G3713" s="14">
        <v>41639</v>
      </c>
      <c r="H3713" s="13" t="s">
        <v>651</v>
      </c>
      <c r="I3713" s="18">
        <v>6348.02</v>
      </c>
      <c r="J3713" s="18">
        <v>3174.01</v>
      </c>
      <c r="K3713" s="20" t="s">
        <v>5815</v>
      </c>
    </row>
    <row r="3714" spans="1:60" ht="51" x14ac:dyDescent="0.25">
      <c r="A3714" s="13" t="s">
        <v>10903</v>
      </c>
      <c r="B3714" s="13" t="s">
        <v>10195</v>
      </c>
      <c r="C3714" s="20" t="s">
        <v>5815</v>
      </c>
      <c r="D3714" s="19">
        <v>12764</v>
      </c>
      <c r="E3714" s="13" t="s">
        <v>10904</v>
      </c>
      <c r="F3714" s="14">
        <v>41543</v>
      </c>
      <c r="G3714" s="14">
        <v>41639</v>
      </c>
      <c r="H3714" s="13" t="s">
        <v>651</v>
      </c>
      <c r="I3714" s="18">
        <v>7248</v>
      </c>
      <c r="J3714" s="18">
        <v>3624</v>
      </c>
      <c r="K3714" s="20" t="s">
        <v>5815</v>
      </c>
    </row>
    <row r="3715" spans="1:60" ht="102" x14ac:dyDescent="0.25">
      <c r="A3715" s="13" t="s">
        <v>10905</v>
      </c>
      <c r="B3715" s="13" t="s">
        <v>10192</v>
      </c>
      <c r="C3715" s="20" t="s">
        <v>5815</v>
      </c>
      <c r="D3715" s="19">
        <v>12768</v>
      </c>
      <c r="E3715" s="13" t="s">
        <v>10906</v>
      </c>
      <c r="F3715" s="14">
        <v>41375</v>
      </c>
      <c r="H3715" s="13" t="s">
        <v>651</v>
      </c>
      <c r="I3715" s="18">
        <v>5349.36</v>
      </c>
      <c r="J3715" s="18">
        <v>4549.68</v>
      </c>
      <c r="K3715" s="20" t="s">
        <v>5815</v>
      </c>
    </row>
    <row r="3716" spans="1:60" ht="51" x14ac:dyDescent="0.25">
      <c r="A3716" s="13" t="s">
        <v>10907</v>
      </c>
      <c r="B3716" s="13" t="s">
        <v>10192</v>
      </c>
      <c r="C3716" s="20" t="s">
        <v>5815</v>
      </c>
      <c r="D3716" s="19">
        <v>12772</v>
      </c>
      <c r="E3716" s="13" t="s">
        <v>10908</v>
      </c>
      <c r="F3716" s="14">
        <v>41360</v>
      </c>
      <c r="H3716" s="13" t="s">
        <v>651</v>
      </c>
      <c r="I3716" s="18">
        <v>10266.42</v>
      </c>
      <c r="J3716" s="18">
        <v>5133.21</v>
      </c>
      <c r="K3716" s="20" t="s">
        <v>5815</v>
      </c>
    </row>
    <row r="3717" spans="1:60" ht="102" x14ac:dyDescent="0.25">
      <c r="A3717" s="13" t="s">
        <v>10909</v>
      </c>
      <c r="B3717" s="13" t="s">
        <v>10195</v>
      </c>
      <c r="C3717" s="20" t="s">
        <v>5815</v>
      </c>
      <c r="D3717" s="19">
        <v>12782</v>
      </c>
      <c r="E3717" s="13" t="s">
        <v>10910</v>
      </c>
      <c r="F3717" s="14">
        <v>41394</v>
      </c>
      <c r="G3717" s="14">
        <v>41639</v>
      </c>
      <c r="H3717" s="13" t="s">
        <v>651</v>
      </c>
      <c r="I3717" s="18">
        <v>14226.33</v>
      </c>
      <c r="J3717" s="18">
        <v>7111.47</v>
      </c>
      <c r="K3717" s="20" t="s">
        <v>5815</v>
      </c>
    </row>
    <row r="3718" spans="1:60" ht="89.25" x14ac:dyDescent="0.25">
      <c r="A3718" s="13" t="s">
        <v>10911</v>
      </c>
      <c r="B3718" s="13" t="s">
        <v>10195</v>
      </c>
      <c r="C3718" s="20" t="s">
        <v>5815</v>
      </c>
      <c r="D3718" s="19">
        <v>12783</v>
      </c>
      <c r="E3718" s="13" t="s">
        <v>10912</v>
      </c>
      <c r="F3718" s="14">
        <v>41600</v>
      </c>
      <c r="G3718" s="14">
        <v>41639</v>
      </c>
      <c r="H3718" s="13" t="s">
        <v>651</v>
      </c>
      <c r="I3718" s="18">
        <v>30000</v>
      </c>
      <c r="J3718" s="18">
        <v>15000</v>
      </c>
      <c r="K3718" s="20" t="s">
        <v>5815</v>
      </c>
    </row>
    <row r="3719" spans="1:60" ht="102" x14ac:dyDescent="0.25">
      <c r="A3719" s="13" t="s">
        <v>10913</v>
      </c>
      <c r="B3719" s="13" t="s">
        <v>10192</v>
      </c>
      <c r="C3719" s="20" t="s">
        <v>5815</v>
      </c>
      <c r="D3719" s="19">
        <v>12784</v>
      </c>
      <c r="E3719" s="13" t="s">
        <v>10914</v>
      </c>
      <c r="F3719" s="14">
        <v>41495</v>
      </c>
      <c r="H3719" s="13" t="s">
        <v>651</v>
      </c>
      <c r="I3719" s="18">
        <v>9264</v>
      </c>
      <c r="J3719" s="18">
        <v>8382</v>
      </c>
      <c r="K3719" s="20" t="s">
        <v>5815</v>
      </c>
    </row>
    <row r="3720" spans="1:60" ht="76.5" x14ac:dyDescent="0.25">
      <c r="A3720" s="13" t="s">
        <v>10915</v>
      </c>
      <c r="B3720" s="13" t="s">
        <v>10195</v>
      </c>
      <c r="C3720" s="20" t="s">
        <v>5815</v>
      </c>
      <c r="D3720" s="19">
        <v>12787</v>
      </c>
      <c r="E3720" s="13" t="s">
        <v>10916</v>
      </c>
      <c r="F3720" s="14">
        <v>41611</v>
      </c>
      <c r="H3720" s="13" t="s">
        <v>651</v>
      </c>
      <c r="I3720" s="18">
        <v>3750</v>
      </c>
      <c r="J3720" s="18">
        <v>3750</v>
      </c>
      <c r="K3720" s="20" t="s">
        <v>5815</v>
      </c>
    </row>
    <row r="3721" spans="1:60" ht="51" x14ac:dyDescent="0.25">
      <c r="A3721" s="13" t="s">
        <v>10917</v>
      </c>
      <c r="B3721" s="13" t="s">
        <v>10192</v>
      </c>
      <c r="C3721" s="20" t="s">
        <v>5815</v>
      </c>
      <c r="D3721" s="19">
        <v>12789</v>
      </c>
      <c r="E3721" s="13" t="s">
        <v>10918</v>
      </c>
      <c r="F3721" s="14">
        <v>41535</v>
      </c>
      <c r="G3721" s="14">
        <v>41639</v>
      </c>
      <c r="H3721" s="13" t="s">
        <v>651</v>
      </c>
      <c r="I3721" s="18">
        <v>15432</v>
      </c>
      <c r="J3721" s="18">
        <v>11466</v>
      </c>
      <c r="K3721" s="20" t="s">
        <v>5815</v>
      </c>
    </row>
    <row r="3722" spans="1:60" ht="89.25" x14ac:dyDescent="0.25">
      <c r="A3722" s="13" t="s">
        <v>10919</v>
      </c>
      <c r="B3722" s="13" t="s">
        <v>10195</v>
      </c>
      <c r="C3722" s="20" t="s">
        <v>5815</v>
      </c>
      <c r="D3722" s="19">
        <v>12791</v>
      </c>
      <c r="E3722" s="13" t="s">
        <v>10920</v>
      </c>
      <c r="F3722" s="14">
        <v>41589</v>
      </c>
      <c r="H3722" s="13" t="s">
        <v>651</v>
      </c>
      <c r="I3722" s="18">
        <v>20182</v>
      </c>
      <c r="J3722" s="18">
        <v>13841.76</v>
      </c>
      <c r="K3722" s="20" t="s">
        <v>5815</v>
      </c>
    </row>
    <row r="3723" spans="1:60" ht="51" x14ac:dyDescent="0.25">
      <c r="A3723" s="13" t="s">
        <v>10921</v>
      </c>
      <c r="B3723" s="13" t="s">
        <v>10192</v>
      </c>
      <c r="C3723" s="20" t="s">
        <v>5815</v>
      </c>
      <c r="D3723" s="19">
        <v>12792</v>
      </c>
      <c r="E3723" s="13" t="s">
        <v>10922</v>
      </c>
      <c r="F3723" s="14">
        <v>41354</v>
      </c>
      <c r="G3723" s="14">
        <v>41639</v>
      </c>
      <c r="H3723" s="13" t="s">
        <v>651</v>
      </c>
      <c r="I3723" s="18">
        <v>5773.36</v>
      </c>
      <c r="J3723" s="18">
        <v>4758.5200000000004</v>
      </c>
      <c r="K3723" s="20" t="s">
        <v>5815</v>
      </c>
    </row>
    <row r="3724" spans="1:60" s="4" customFormat="1" ht="89.25" x14ac:dyDescent="0.25">
      <c r="A3724" s="9" t="s">
        <v>6166</v>
      </c>
      <c r="B3724" s="9" t="s">
        <v>13</v>
      </c>
      <c r="C3724" s="112" t="s">
        <v>5815</v>
      </c>
      <c r="D3724" s="90">
        <v>4340</v>
      </c>
      <c r="E3724" s="15" t="s">
        <v>2597</v>
      </c>
      <c r="F3724" s="11">
        <v>39083</v>
      </c>
      <c r="G3724" s="11">
        <v>42369</v>
      </c>
      <c r="H3724" s="9" t="s">
        <v>2593</v>
      </c>
      <c r="I3724" s="16">
        <v>1678222.98</v>
      </c>
      <c r="J3724" s="16">
        <v>1678222.98</v>
      </c>
      <c r="K3724" s="112" t="s">
        <v>5815</v>
      </c>
      <c r="L3724" s="121"/>
      <c r="M3724" s="12"/>
      <c r="N3724" s="9"/>
      <c r="O3724" s="9"/>
      <c r="P3724" s="9"/>
      <c r="Q3724" s="9"/>
      <c r="R3724" s="9"/>
      <c r="S3724" s="9"/>
      <c r="T3724" s="9"/>
      <c r="U3724" s="9"/>
      <c r="V3724" s="9"/>
      <c r="W3724" s="9"/>
      <c r="X3724" s="9"/>
      <c r="Y3724" s="9"/>
      <c r="Z3724" s="9"/>
      <c r="AA3724" s="9"/>
      <c r="AB3724" s="9"/>
      <c r="AC3724" s="9"/>
      <c r="AD3724" s="9"/>
      <c r="AE3724" s="9"/>
      <c r="AF3724" s="9"/>
      <c r="AG3724" s="9"/>
      <c r="AH3724" s="9"/>
      <c r="AI3724" s="9"/>
      <c r="AJ3724" s="9"/>
      <c r="AK3724" s="9"/>
      <c r="AL3724" s="9"/>
      <c r="AM3724" s="9"/>
      <c r="AN3724" s="9"/>
      <c r="AO3724" s="9"/>
      <c r="AP3724" s="9"/>
      <c r="AQ3724" s="9"/>
      <c r="AR3724" s="9"/>
      <c r="AS3724" s="9"/>
      <c r="AT3724" s="9"/>
      <c r="AU3724" s="9"/>
      <c r="AV3724" s="9"/>
      <c r="AW3724" s="9"/>
      <c r="AX3724" s="9"/>
      <c r="AY3724" s="9"/>
      <c r="AZ3724" s="9"/>
      <c r="BA3724" s="9"/>
      <c r="BB3724" s="9"/>
      <c r="BC3724" s="9"/>
      <c r="BD3724" s="9"/>
      <c r="BE3724" s="9"/>
      <c r="BF3724" s="9"/>
      <c r="BG3724" s="9"/>
      <c r="BH3724" s="9"/>
    </row>
    <row r="3725" spans="1:60" s="4" customFormat="1" ht="114.75" x14ac:dyDescent="0.25">
      <c r="A3725" s="9" t="s">
        <v>6167</v>
      </c>
      <c r="B3725" s="9" t="s">
        <v>13</v>
      </c>
      <c r="C3725" s="112" t="s">
        <v>5815</v>
      </c>
      <c r="D3725" s="90">
        <v>4341</v>
      </c>
      <c r="E3725" s="15" t="s">
        <v>2621</v>
      </c>
      <c r="F3725" s="11">
        <v>39083</v>
      </c>
      <c r="G3725" s="11">
        <v>42369</v>
      </c>
      <c r="H3725" s="9" t="s">
        <v>2593</v>
      </c>
      <c r="I3725" s="16">
        <v>104278.41</v>
      </c>
      <c r="J3725" s="16">
        <v>104278.41</v>
      </c>
      <c r="K3725" s="112" t="s">
        <v>5815</v>
      </c>
      <c r="L3725" s="121"/>
      <c r="M3725" s="12"/>
      <c r="N3725" s="9"/>
      <c r="O3725" s="9"/>
      <c r="P3725" s="9"/>
      <c r="Q3725" s="9"/>
      <c r="R3725" s="9"/>
      <c r="S3725" s="9"/>
      <c r="T3725" s="9"/>
      <c r="U3725" s="9"/>
      <c r="V3725" s="9"/>
      <c r="W3725" s="9"/>
      <c r="X3725" s="9"/>
      <c r="Y3725" s="9"/>
      <c r="Z3725" s="9"/>
      <c r="AA3725" s="9"/>
      <c r="AB3725" s="9"/>
      <c r="AC3725" s="9"/>
      <c r="AD3725" s="9"/>
      <c r="AE3725" s="9"/>
      <c r="AF3725" s="9"/>
      <c r="AG3725" s="9"/>
      <c r="AH3725" s="9"/>
      <c r="AI3725" s="9"/>
      <c r="AJ3725" s="9"/>
      <c r="AK3725" s="9"/>
      <c r="AL3725" s="9"/>
      <c r="AM3725" s="9"/>
      <c r="AN3725" s="9"/>
      <c r="AO3725" s="9"/>
      <c r="AP3725" s="9"/>
      <c r="AQ3725" s="9"/>
      <c r="AR3725" s="9"/>
      <c r="AS3725" s="9"/>
      <c r="AT3725" s="9"/>
      <c r="AU3725" s="9"/>
      <c r="AV3725" s="9"/>
      <c r="AW3725" s="9"/>
      <c r="AX3725" s="9"/>
      <c r="AY3725" s="9"/>
      <c r="AZ3725" s="9"/>
      <c r="BA3725" s="9"/>
      <c r="BB3725" s="9"/>
      <c r="BC3725" s="9"/>
      <c r="BD3725" s="9"/>
      <c r="BE3725" s="9"/>
      <c r="BF3725" s="9"/>
      <c r="BG3725" s="9"/>
      <c r="BH3725" s="9"/>
    </row>
    <row r="3726" spans="1:60" s="4" customFormat="1" ht="127.5" x14ac:dyDescent="0.25">
      <c r="A3726" s="9" t="s">
        <v>6168</v>
      </c>
      <c r="B3726" s="9" t="s">
        <v>13</v>
      </c>
      <c r="C3726" s="112" t="s">
        <v>5815</v>
      </c>
      <c r="D3726" s="90">
        <v>10243</v>
      </c>
      <c r="E3726" s="15" t="s">
        <v>6169</v>
      </c>
      <c r="F3726" s="11">
        <v>40533</v>
      </c>
      <c r="G3726" s="11">
        <v>42825</v>
      </c>
      <c r="H3726" s="9" t="s">
        <v>2593</v>
      </c>
      <c r="I3726" s="16">
        <v>7878430.7699999996</v>
      </c>
      <c r="J3726" s="16">
        <v>7878430.7699999996</v>
      </c>
      <c r="K3726" s="112" t="s">
        <v>5815</v>
      </c>
      <c r="L3726" s="121"/>
      <c r="M3726" s="12"/>
      <c r="N3726" s="9"/>
      <c r="O3726" s="9"/>
      <c r="P3726" s="9"/>
      <c r="Q3726" s="9"/>
      <c r="R3726" s="9"/>
      <c r="S3726" s="9"/>
      <c r="T3726" s="9"/>
      <c r="U3726" s="9"/>
      <c r="V3726" s="9"/>
      <c r="W3726" s="9"/>
      <c r="X3726" s="9"/>
      <c r="Y3726" s="9"/>
      <c r="Z3726" s="9"/>
      <c r="AA3726" s="9"/>
      <c r="AB3726" s="9"/>
      <c r="AC3726" s="9"/>
      <c r="AD3726" s="9"/>
      <c r="AE3726" s="9"/>
      <c r="AF3726" s="9"/>
      <c r="AG3726" s="9"/>
      <c r="AH3726" s="9"/>
      <c r="AI3726" s="9"/>
      <c r="AJ3726" s="9"/>
      <c r="AK3726" s="9"/>
      <c r="AL3726" s="9"/>
      <c r="AM3726" s="9"/>
      <c r="AN3726" s="9"/>
      <c r="AO3726" s="9"/>
      <c r="AP3726" s="9"/>
      <c r="AQ3726" s="9"/>
      <c r="AR3726" s="9"/>
      <c r="AS3726" s="9"/>
      <c r="AT3726" s="9"/>
      <c r="AU3726" s="9"/>
      <c r="AV3726" s="9"/>
      <c r="AW3726" s="9"/>
      <c r="AX3726" s="9"/>
      <c r="AY3726" s="9"/>
      <c r="AZ3726" s="9"/>
      <c r="BA3726" s="9"/>
      <c r="BB3726" s="9"/>
      <c r="BC3726" s="9"/>
      <c r="BD3726" s="9"/>
      <c r="BE3726" s="9"/>
      <c r="BF3726" s="9"/>
      <c r="BG3726" s="9"/>
      <c r="BH3726" s="9"/>
    </row>
    <row r="3727" spans="1:60" s="32" customFormat="1" ht="127.5" x14ac:dyDescent="0.25">
      <c r="A3727" s="13" t="s">
        <v>11596</v>
      </c>
      <c r="B3727" s="32" t="s">
        <v>13</v>
      </c>
      <c r="C3727" s="38" t="s">
        <v>5815</v>
      </c>
      <c r="D3727" s="33">
        <v>13028</v>
      </c>
      <c r="E3727" s="13" t="s">
        <v>11597</v>
      </c>
      <c r="F3727" s="34">
        <v>40544</v>
      </c>
      <c r="G3727" s="34">
        <v>42825</v>
      </c>
      <c r="H3727" s="9" t="s">
        <v>3587</v>
      </c>
      <c r="I3727" s="94">
        <f>328657.3+64863.53</f>
        <v>393520.82999999996</v>
      </c>
      <c r="J3727" s="94">
        <f>328657.3+64863.53</f>
        <v>393520.82999999996</v>
      </c>
      <c r="K3727" s="38" t="s">
        <v>5815</v>
      </c>
      <c r="L3727" s="122"/>
    </row>
    <row r="3728" spans="1:60" s="32" customFormat="1" ht="63.75" x14ac:dyDescent="0.25">
      <c r="A3728" s="13" t="s">
        <v>11598</v>
      </c>
      <c r="B3728" s="32" t="s">
        <v>13</v>
      </c>
      <c r="C3728" s="38" t="s">
        <v>5815</v>
      </c>
      <c r="D3728" s="33">
        <v>13029</v>
      </c>
      <c r="E3728" s="13" t="s">
        <v>11561</v>
      </c>
      <c r="F3728" s="34">
        <v>40544</v>
      </c>
      <c r="G3728" s="34">
        <v>42825</v>
      </c>
      <c r="H3728" s="9" t="s">
        <v>3587</v>
      </c>
      <c r="I3728" s="94">
        <f>338891.14+77397.85</f>
        <v>416288.99</v>
      </c>
      <c r="J3728" s="94">
        <f>338891.14+77397.85</f>
        <v>416288.99</v>
      </c>
      <c r="K3728" s="38" t="s">
        <v>5815</v>
      </c>
      <c r="L3728" s="122"/>
    </row>
    <row r="3729" spans="1:14" s="32" customFormat="1" ht="51" x14ac:dyDescent="0.25">
      <c r="A3729" s="13" t="s">
        <v>11599</v>
      </c>
      <c r="B3729" s="32" t="s">
        <v>13</v>
      </c>
      <c r="C3729" s="38" t="s">
        <v>5815</v>
      </c>
      <c r="D3729" s="33">
        <v>13030</v>
      </c>
      <c r="E3729" s="13" t="s">
        <v>11600</v>
      </c>
      <c r="F3729" s="34">
        <v>40544</v>
      </c>
      <c r="G3729" s="34">
        <v>42825</v>
      </c>
      <c r="H3729" s="9" t="s">
        <v>3587</v>
      </c>
      <c r="I3729" s="94">
        <f>212776.85+45568.62</f>
        <v>258345.47</v>
      </c>
      <c r="J3729" s="94">
        <f>212776.85+45568.62</f>
        <v>258345.47</v>
      </c>
      <c r="K3729" s="38" t="s">
        <v>5815</v>
      </c>
      <c r="L3729" s="122"/>
    </row>
    <row r="3730" spans="1:14" s="32" customFormat="1" ht="114.75" x14ac:dyDescent="0.25">
      <c r="A3730" s="13" t="s">
        <v>11601</v>
      </c>
      <c r="B3730" s="32" t="s">
        <v>13</v>
      </c>
      <c r="C3730" s="38" t="s">
        <v>5815</v>
      </c>
      <c r="D3730" s="33">
        <v>13031</v>
      </c>
      <c r="E3730" s="13" t="s">
        <v>11602</v>
      </c>
      <c r="F3730" s="34">
        <v>40544</v>
      </c>
      <c r="G3730" s="34">
        <v>42825</v>
      </c>
      <c r="H3730" s="9" t="s">
        <v>3587</v>
      </c>
      <c r="I3730" s="94">
        <v>159929.25</v>
      </c>
      <c r="J3730" s="94">
        <v>159929.25</v>
      </c>
      <c r="K3730" s="38" t="s">
        <v>5815</v>
      </c>
      <c r="L3730" s="122"/>
    </row>
    <row r="3731" spans="1:14" s="4" customFormat="1" ht="114.75" x14ac:dyDescent="0.25">
      <c r="A3731" s="4" t="s">
        <v>6170</v>
      </c>
      <c r="B3731" s="4" t="s">
        <v>13</v>
      </c>
      <c r="C3731" s="37" t="s">
        <v>5815</v>
      </c>
      <c r="D3731" s="35">
        <v>3489</v>
      </c>
      <c r="E3731" s="7" t="s">
        <v>6171</v>
      </c>
      <c r="F3731" s="5">
        <v>39083</v>
      </c>
      <c r="G3731" s="5">
        <v>42369</v>
      </c>
      <c r="H3731" s="4" t="s">
        <v>2637</v>
      </c>
      <c r="I3731" s="17">
        <v>2006284.17</v>
      </c>
      <c r="J3731" s="17">
        <v>2006284.17</v>
      </c>
      <c r="K3731" s="37" t="s">
        <v>5815</v>
      </c>
      <c r="L3731" s="119"/>
      <c r="M3731" s="3"/>
    </row>
    <row r="3732" spans="1:14" s="4" customFormat="1" ht="89.25" x14ac:dyDescent="0.25">
      <c r="A3732" s="4" t="s">
        <v>6172</v>
      </c>
      <c r="B3732" s="4" t="s">
        <v>13</v>
      </c>
      <c r="C3732" s="37" t="s">
        <v>5815</v>
      </c>
      <c r="D3732" s="35">
        <v>4209</v>
      </c>
      <c r="E3732" s="7" t="s">
        <v>6173</v>
      </c>
      <c r="F3732" s="5">
        <v>39083</v>
      </c>
      <c r="G3732" s="5">
        <v>42369</v>
      </c>
      <c r="H3732" s="4" t="s">
        <v>2637</v>
      </c>
      <c r="I3732" s="17">
        <v>287644.53999999998</v>
      </c>
      <c r="J3732" s="17">
        <v>287644.53999999998</v>
      </c>
      <c r="K3732" s="37" t="s">
        <v>5815</v>
      </c>
      <c r="L3732" s="119"/>
      <c r="M3732" s="3"/>
    </row>
    <row r="3733" spans="1:14" s="4" customFormat="1" ht="63.75" x14ac:dyDescent="0.25">
      <c r="A3733" s="4" t="s">
        <v>6174</v>
      </c>
      <c r="B3733" s="4" t="s">
        <v>13</v>
      </c>
      <c r="C3733" s="37" t="s">
        <v>5815</v>
      </c>
      <c r="D3733" s="35">
        <v>10165</v>
      </c>
      <c r="E3733" s="4" t="s">
        <v>6175</v>
      </c>
      <c r="F3733" s="5">
        <v>40969</v>
      </c>
      <c r="G3733" s="5">
        <v>43100</v>
      </c>
      <c r="H3733" s="4" t="s">
        <v>6176</v>
      </c>
      <c r="I3733" s="103">
        <v>5526378.29</v>
      </c>
      <c r="J3733" s="103">
        <v>5526378.29</v>
      </c>
      <c r="K3733" s="37" t="s">
        <v>5815</v>
      </c>
      <c r="L3733" s="119"/>
      <c r="M3733" s="3"/>
    </row>
    <row r="3734" spans="1:14" s="4" customFormat="1" x14ac:dyDescent="0.25">
      <c r="C3734" s="37" t="s">
        <v>5815</v>
      </c>
      <c r="D3734" s="35"/>
      <c r="E3734" s="26" t="s">
        <v>2642</v>
      </c>
      <c r="F3734" s="28"/>
      <c r="G3734" s="28"/>
      <c r="H3734" s="26"/>
      <c r="I3734" s="27">
        <f>SUM(I3541:I3542)</f>
        <v>905249.1</v>
      </c>
      <c r="J3734" s="27">
        <f>SUM(J3541:J3542)</f>
        <v>905249.1</v>
      </c>
      <c r="K3734" s="37" t="s">
        <v>5815</v>
      </c>
      <c r="L3734" s="119"/>
      <c r="M3734" s="3"/>
    </row>
    <row r="3735" spans="1:14" s="4" customFormat="1" x14ac:dyDescent="0.25">
      <c r="C3735" s="37" t="s">
        <v>5815</v>
      </c>
      <c r="D3735" s="35"/>
      <c r="E3735" s="26" t="s">
        <v>2643</v>
      </c>
      <c r="F3735" s="28"/>
      <c r="G3735" s="28"/>
      <c r="H3735" s="26"/>
      <c r="I3735" s="27">
        <f>SUM(I3543:I3586)-856.53</f>
        <v>3649124.4499999997</v>
      </c>
      <c r="J3735" s="27">
        <f>SUM(J3543:J3586)-856.53</f>
        <v>3649124.4499999997</v>
      </c>
      <c r="K3735" s="37" t="s">
        <v>5815</v>
      </c>
      <c r="L3735" s="119"/>
      <c r="M3735" s="3"/>
      <c r="N3735" s="3"/>
    </row>
    <row r="3736" spans="1:14" s="4" customFormat="1" x14ac:dyDescent="0.25">
      <c r="C3736" s="37" t="s">
        <v>5815</v>
      </c>
      <c r="D3736" s="35"/>
      <c r="E3736" s="26" t="s">
        <v>786</v>
      </c>
      <c r="F3736" s="28"/>
      <c r="G3736" s="28"/>
      <c r="H3736" s="26"/>
      <c r="I3736" s="27">
        <f t="shared" ref="I3736:J3738" si="0">SUM(I3587)</f>
        <v>1166484.56</v>
      </c>
      <c r="J3736" s="27">
        <f t="shared" si="0"/>
        <v>348991.35</v>
      </c>
      <c r="K3736" s="37" t="s">
        <v>5815</v>
      </c>
      <c r="L3736" s="119"/>
      <c r="M3736" s="3"/>
    </row>
    <row r="3737" spans="1:14" s="4" customFormat="1" x14ac:dyDescent="0.25">
      <c r="C3737" s="37" t="s">
        <v>5815</v>
      </c>
      <c r="D3737" s="35"/>
      <c r="E3737" s="26" t="s">
        <v>3608</v>
      </c>
      <c r="F3737" s="28"/>
      <c r="G3737" s="28"/>
      <c r="H3737" s="26"/>
      <c r="I3737" s="27">
        <f t="shared" si="0"/>
        <v>6000000</v>
      </c>
      <c r="J3737" s="27">
        <f t="shared" si="0"/>
        <v>6000000.0099999998</v>
      </c>
      <c r="K3737" s="37" t="s">
        <v>5815</v>
      </c>
      <c r="L3737" s="119"/>
      <c r="M3737" s="3"/>
    </row>
    <row r="3738" spans="1:14" s="4" customFormat="1" x14ac:dyDescent="0.25">
      <c r="C3738" s="37" t="s">
        <v>5815</v>
      </c>
      <c r="D3738" s="35"/>
      <c r="E3738" s="26" t="s">
        <v>6177</v>
      </c>
      <c r="F3738" s="28"/>
      <c r="G3738" s="28"/>
      <c r="H3738" s="26"/>
      <c r="I3738" s="27">
        <f t="shared" si="0"/>
        <v>2669371</v>
      </c>
      <c r="J3738" s="27">
        <f t="shared" si="0"/>
        <v>1067747</v>
      </c>
      <c r="K3738" s="37" t="s">
        <v>5815</v>
      </c>
      <c r="L3738" s="119"/>
      <c r="M3738" s="3"/>
    </row>
    <row r="3739" spans="1:14" s="4" customFormat="1" x14ac:dyDescent="0.25">
      <c r="C3739" s="37" t="s">
        <v>5815</v>
      </c>
      <c r="D3739" s="35"/>
      <c r="E3739" s="26" t="s">
        <v>352</v>
      </c>
      <c r="F3739" s="28"/>
      <c r="G3739" s="28"/>
      <c r="H3739" s="26"/>
      <c r="I3739" s="27">
        <f>SUM(I3590:I3723)</f>
        <v>3269811.3099999996</v>
      </c>
      <c r="J3739" s="27">
        <f>SUM(J3590:J3723)</f>
        <v>2747213.0299999989</v>
      </c>
      <c r="K3739" s="37" t="s">
        <v>5815</v>
      </c>
      <c r="L3739" s="119"/>
      <c r="M3739" s="3"/>
      <c r="N3739" s="3"/>
    </row>
    <row r="3740" spans="1:14" s="4" customFormat="1" x14ac:dyDescent="0.25">
      <c r="C3740" s="37" t="s">
        <v>5815</v>
      </c>
      <c r="D3740" s="35"/>
      <c r="E3740" s="26" t="s">
        <v>2645</v>
      </c>
      <c r="F3740" s="28"/>
      <c r="G3740" s="28"/>
      <c r="H3740" s="26"/>
      <c r="I3740" s="31">
        <f>SUM(I3724:I3726)</f>
        <v>9660932.1600000001</v>
      </c>
      <c r="J3740" s="31">
        <f>SUM(J3724:J3726)</f>
        <v>9660932.1600000001</v>
      </c>
      <c r="K3740" s="37" t="s">
        <v>5815</v>
      </c>
      <c r="L3740" s="119"/>
      <c r="M3740" s="3"/>
    </row>
    <row r="3741" spans="1:14" s="4" customFormat="1" x14ac:dyDescent="0.25">
      <c r="C3741" s="37" t="s">
        <v>5815</v>
      </c>
      <c r="D3741" s="35"/>
      <c r="E3741" s="26" t="s">
        <v>4031</v>
      </c>
      <c r="F3741" s="28"/>
      <c r="G3741" s="28"/>
      <c r="H3741" s="26"/>
      <c r="I3741" s="31">
        <f>SUM(I3727:I3730)</f>
        <v>1228084.54</v>
      </c>
      <c r="J3741" s="31">
        <f>SUM(J3727:J3730)</f>
        <v>1228084.54</v>
      </c>
      <c r="K3741" s="37" t="s">
        <v>5815</v>
      </c>
      <c r="L3741" s="119"/>
      <c r="M3741" s="3"/>
    </row>
    <row r="3742" spans="1:14" s="4" customFormat="1" x14ac:dyDescent="0.25">
      <c r="C3742" s="37" t="s">
        <v>5815</v>
      </c>
      <c r="D3742" s="35"/>
      <c r="E3742" s="26" t="s">
        <v>2646</v>
      </c>
      <c r="F3742" s="28"/>
      <c r="G3742" s="28"/>
      <c r="H3742" s="26"/>
      <c r="I3742" s="27">
        <f>SUM(I3731:I3732)</f>
        <v>2293928.71</v>
      </c>
      <c r="J3742" s="27">
        <f>SUM(J3731:J3732)</f>
        <v>2293928.71</v>
      </c>
      <c r="K3742" s="37" t="s">
        <v>5815</v>
      </c>
      <c r="L3742" s="119"/>
      <c r="M3742" s="3"/>
    </row>
    <row r="3743" spans="1:14" s="4" customFormat="1" x14ac:dyDescent="0.25">
      <c r="C3743" s="37" t="s">
        <v>5815</v>
      </c>
      <c r="D3743" s="35"/>
      <c r="E3743" s="26" t="s">
        <v>6178</v>
      </c>
      <c r="F3743" s="28"/>
      <c r="G3743" s="28"/>
      <c r="H3743" s="26"/>
      <c r="I3743" s="27">
        <f>SUM(I3733)</f>
        <v>5526378.29</v>
      </c>
      <c r="J3743" s="27">
        <f>SUM(J3733)</f>
        <v>5526378.29</v>
      </c>
      <c r="K3743" s="37" t="s">
        <v>5815</v>
      </c>
      <c r="L3743" s="119"/>
      <c r="M3743" s="3"/>
    </row>
    <row r="3744" spans="1:14" s="4" customFormat="1" x14ac:dyDescent="0.25">
      <c r="C3744" s="37" t="s">
        <v>5815</v>
      </c>
      <c r="D3744" s="35"/>
      <c r="E3744" s="26" t="s">
        <v>6179</v>
      </c>
      <c r="F3744" s="28"/>
      <c r="G3744" s="28"/>
      <c r="H3744" s="26"/>
      <c r="I3744" s="27">
        <f>SUM(I3734:I3743)</f>
        <v>36369364.119999997</v>
      </c>
      <c r="J3744" s="27">
        <f>SUM(J3734:J3743)</f>
        <v>33427648.640000001</v>
      </c>
      <c r="K3744" s="37" t="s">
        <v>5815</v>
      </c>
      <c r="L3744" s="119">
        <f>J3744</f>
        <v>33427648.640000001</v>
      </c>
      <c r="M3744" s="3">
        <f>SUM(J3744*0.4)</f>
        <v>13371059.456</v>
      </c>
    </row>
    <row r="3745" spans="1:13" s="4" customFormat="1" x14ac:dyDescent="0.25">
      <c r="C3745" s="37"/>
      <c r="D3745" s="35"/>
      <c r="F3745" s="5"/>
      <c r="G3745" s="5"/>
      <c r="I3745" s="6"/>
      <c r="J3745" s="6"/>
      <c r="K3745" s="37"/>
      <c r="L3745" s="119"/>
      <c r="M3745" s="3"/>
    </row>
    <row r="3746" spans="1:13" s="4" customFormat="1" ht="51" x14ac:dyDescent="0.25">
      <c r="A3746" s="4" t="s">
        <v>6180</v>
      </c>
      <c r="B3746" s="4" t="s">
        <v>13</v>
      </c>
      <c r="C3746" s="37" t="s">
        <v>6182</v>
      </c>
      <c r="D3746" s="35">
        <v>3893</v>
      </c>
      <c r="E3746" s="4" t="s">
        <v>6181</v>
      </c>
      <c r="F3746" s="5">
        <v>39961</v>
      </c>
      <c r="G3746" s="5">
        <v>40158</v>
      </c>
      <c r="H3746" s="4" t="s">
        <v>16</v>
      </c>
      <c r="I3746" s="6">
        <v>5660</v>
      </c>
      <c r="J3746" s="6">
        <v>1698</v>
      </c>
      <c r="K3746" s="37" t="s">
        <v>6182</v>
      </c>
      <c r="L3746" s="119"/>
      <c r="M3746" s="3"/>
    </row>
    <row r="3747" spans="1:13" s="4" customFormat="1" ht="25.5" x14ac:dyDescent="0.25">
      <c r="A3747" s="4" t="s">
        <v>6183</v>
      </c>
      <c r="B3747" s="4" t="s">
        <v>13</v>
      </c>
      <c r="C3747" s="37" t="s">
        <v>6182</v>
      </c>
      <c r="D3747" s="35">
        <v>3983</v>
      </c>
      <c r="E3747" s="4" t="s">
        <v>6184</v>
      </c>
      <c r="F3747" s="5">
        <v>40003</v>
      </c>
      <c r="G3747" s="5">
        <v>40162</v>
      </c>
      <c r="H3747" s="4" t="s">
        <v>16</v>
      </c>
      <c r="I3747" s="6">
        <v>4405.29</v>
      </c>
      <c r="J3747" s="6">
        <v>1012.8</v>
      </c>
      <c r="K3747" s="37" t="s">
        <v>6182</v>
      </c>
      <c r="L3747" s="119"/>
      <c r="M3747" s="3"/>
    </row>
    <row r="3748" spans="1:13" s="4" customFormat="1" ht="51" x14ac:dyDescent="0.25">
      <c r="A3748" s="4" t="s">
        <v>6185</v>
      </c>
      <c r="B3748" s="4" t="s">
        <v>13</v>
      </c>
      <c r="C3748" s="37" t="s">
        <v>6182</v>
      </c>
      <c r="D3748" s="35">
        <v>3984</v>
      </c>
      <c r="E3748" s="4" t="s">
        <v>6186</v>
      </c>
      <c r="F3748" s="5">
        <v>39671</v>
      </c>
      <c r="G3748" s="5">
        <v>39805</v>
      </c>
      <c r="H3748" s="4" t="s">
        <v>16</v>
      </c>
      <c r="I3748" s="6">
        <v>14894.6</v>
      </c>
      <c r="J3748" s="6">
        <v>4467.4799999999996</v>
      </c>
      <c r="K3748" s="37" t="s">
        <v>6182</v>
      </c>
      <c r="L3748" s="119"/>
      <c r="M3748" s="3"/>
    </row>
    <row r="3749" spans="1:13" s="4" customFormat="1" ht="25.5" x14ac:dyDescent="0.25">
      <c r="A3749" s="4" t="s">
        <v>6187</v>
      </c>
      <c r="B3749" s="4" t="s">
        <v>13</v>
      </c>
      <c r="C3749" s="37" t="s">
        <v>6182</v>
      </c>
      <c r="D3749" s="35">
        <v>3986</v>
      </c>
      <c r="E3749" s="4" t="s">
        <v>6188</v>
      </c>
      <c r="F3749" s="5">
        <v>39568</v>
      </c>
      <c r="G3749" s="5">
        <v>39871</v>
      </c>
      <c r="H3749" s="4" t="s">
        <v>16</v>
      </c>
      <c r="I3749" s="6">
        <v>6300</v>
      </c>
      <c r="J3749" s="6">
        <v>1890</v>
      </c>
      <c r="K3749" s="37" t="s">
        <v>6182</v>
      </c>
      <c r="L3749" s="119"/>
      <c r="M3749" s="3"/>
    </row>
    <row r="3750" spans="1:13" s="4" customFormat="1" ht="25.5" x14ac:dyDescent="0.25">
      <c r="A3750" s="4" t="s">
        <v>6189</v>
      </c>
      <c r="B3750" s="4" t="s">
        <v>13</v>
      </c>
      <c r="C3750" s="37" t="s">
        <v>6182</v>
      </c>
      <c r="D3750" s="35">
        <v>3987</v>
      </c>
      <c r="E3750" s="4" t="s">
        <v>6190</v>
      </c>
      <c r="F3750" s="5">
        <v>39415</v>
      </c>
      <c r="G3750" s="5">
        <v>39660</v>
      </c>
      <c r="H3750" s="4" t="s">
        <v>16</v>
      </c>
      <c r="I3750" s="6">
        <v>40000</v>
      </c>
      <c r="J3750" s="6">
        <v>12000</v>
      </c>
      <c r="K3750" s="37" t="s">
        <v>6182</v>
      </c>
      <c r="L3750" s="119"/>
      <c r="M3750" s="3"/>
    </row>
    <row r="3751" spans="1:13" s="4" customFormat="1" ht="25.5" x14ac:dyDescent="0.25">
      <c r="A3751" s="4" t="s">
        <v>6191</v>
      </c>
      <c r="B3751" s="4" t="s">
        <v>13</v>
      </c>
      <c r="C3751" s="37" t="s">
        <v>6182</v>
      </c>
      <c r="D3751" s="35">
        <v>3988</v>
      </c>
      <c r="E3751" s="4" t="s">
        <v>6192</v>
      </c>
      <c r="F3751" s="5">
        <v>39455</v>
      </c>
      <c r="G3751" s="5">
        <v>39538</v>
      </c>
      <c r="H3751" s="4" t="s">
        <v>16</v>
      </c>
      <c r="I3751" s="6">
        <v>32685</v>
      </c>
      <c r="J3751" s="6">
        <v>9805</v>
      </c>
      <c r="K3751" s="37" t="s">
        <v>6182</v>
      </c>
      <c r="L3751" s="119"/>
      <c r="M3751" s="3"/>
    </row>
    <row r="3752" spans="1:13" s="4" customFormat="1" ht="63.75" x14ac:dyDescent="0.25">
      <c r="A3752" s="4" t="s">
        <v>6193</v>
      </c>
      <c r="B3752" s="4" t="s">
        <v>13</v>
      </c>
      <c r="C3752" s="37" t="s">
        <v>6182</v>
      </c>
      <c r="D3752" s="35">
        <v>3998</v>
      </c>
      <c r="E3752" s="4" t="s">
        <v>6194</v>
      </c>
      <c r="F3752" s="5">
        <v>39352</v>
      </c>
      <c r="G3752" s="5">
        <v>39538</v>
      </c>
      <c r="H3752" s="4" t="s">
        <v>16</v>
      </c>
      <c r="I3752" s="6">
        <v>57302.73</v>
      </c>
      <c r="J3752" s="6">
        <v>17190.82</v>
      </c>
      <c r="K3752" s="37" t="s">
        <v>6182</v>
      </c>
      <c r="L3752" s="119"/>
      <c r="M3752" s="3"/>
    </row>
    <row r="3753" spans="1:13" s="4" customFormat="1" ht="89.25" x14ac:dyDescent="0.25">
      <c r="A3753" s="4" t="s">
        <v>6195</v>
      </c>
      <c r="B3753" s="4" t="s">
        <v>13</v>
      </c>
      <c r="C3753" s="37" t="s">
        <v>6182</v>
      </c>
      <c r="D3753" s="35">
        <v>3999</v>
      </c>
      <c r="E3753" s="7" t="s">
        <v>6196</v>
      </c>
      <c r="F3753" s="5">
        <v>39694</v>
      </c>
      <c r="G3753" s="5">
        <v>39752</v>
      </c>
      <c r="H3753" s="4" t="s">
        <v>16</v>
      </c>
      <c r="I3753" s="6">
        <v>12632</v>
      </c>
      <c r="J3753" s="6">
        <v>3790</v>
      </c>
      <c r="K3753" s="37" t="s">
        <v>6182</v>
      </c>
      <c r="L3753" s="119"/>
      <c r="M3753" s="3"/>
    </row>
    <row r="3754" spans="1:13" s="4" customFormat="1" ht="38.25" x14ac:dyDescent="0.25">
      <c r="A3754" s="4" t="s">
        <v>6197</v>
      </c>
      <c r="B3754" s="4" t="s">
        <v>13</v>
      </c>
      <c r="C3754" s="37" t="s">
        <v>6182</v>
      </c>
      <c r="D3754" s="35">
        <v>4000</v>
      </c>
      <c r="E3754" s="4" t="s">
        <v>6198</v>
      </c>
      <c r="F3754" s="5">
        <v>39972</v>
      </c>
      <c r="G3754" s="5">
        <v>40309</v>
      </c>
      <c r="H3754" s="4" t="s">
        <v>16</v>
      </c>
      <c r="I3754" s="6">
        <v>9124.35</v>
      </c>
      <c r="J3754" s="6">
        <v>2737.31</v>
      </c>
      <c r="K3754" s="37" t="s">
        <v>6182</v>
      </c>
      <c r="L3754" s="119"/>
      <c r="M3754" s="3"/>
    </row>
    <row r="3755" spans="1:13" s="4" customFormat="1" ht="63.75" x14ac:dyDescent="0.25">
      <c r="A3755" s="4" t="s">
        <v>6199</v>
      </c>
      <c r="B3755" s="4" t="s">
        <v>13</v>
      </c>
      <c r="C3755" s="37" t="s">
        <v>6182</v>
      </c>
      <c r="D3755" s="35">
        <v>4002</v>
      </c>
      <c r="E3755" s="4" t="s">
        <v>6200</v>
      </c>
      <c r="F3755" s="5">
        <v>39562</v>
      </c>
      <c r="G3755" s="5">
        <v>39871</v>
      </c>
      <c r="H3755" s="4" t="s">
        <v>16</v>
      </c>
      <c r="I3755" s="6">
        <v>18632.93</v>
      </c>
      <c r="J3755" s="6">
        <v>5160</v>
      </c>
      <c r="K3755" s="37" t="s">
        <v>6182</v>
      </c>
      <c r="L3755" s="119"/>
      <c r="M3755" s="3"/>
    </row>
    <row r="3756" spans="1:13" s="4" customFormat="1" ht="25.5" x14ac:dyDescent="0.25">
      <c r="A3756" s="4" t="s">
        <v>6201</v>
      </c>
      <c r="B3756" s="4" t="s">
        <v>13</v>
      </c>
      <c r="C3756" s="37" t="s">
        <v>6182</v>
      </c>
      <c r="D3756" s="35">
        <v>4003</v>
      </c>
      <c r="E3756" s="4" t="s">
        <v>6202</v>
      </c>
      <c r="F3756" s="5">
        <v>39206</v>
      </c>
      <c r="G3756" s="5">
        <v>39752</v>
      </c>
      <c r="H3756" s="4" t="s">
        <v>16</v>
      </c>
      <c r="I3756" s="6">
        <v>4500</v>
      </c>
      <c r="J3756" s="6">
        <v>1800</v>
      </c>
      <c r="K3756" s="37" t="s">
        <v>6182</v>
      </c>
      <c r="L3756" s="119"/>
      <c r="M3756" s="3"/>
    </row>
    <row r="3757" spans="1:13" s="4" customFormat="1" ht="76.5" x14ac:dyDescent="0.25">
      <c r="A3757" s="4" t="s">
        <v>6203</v>
      </c>
      <c r="B3757" s="4" t="s">
        <v>13</v>
      </c>
      <c r="C3757" s="37" t="s">
        <v>6182</v>
      </c>
      <c r="D3757" s="35">
        <v>4117</v>
      </c>
      <c r="E3757" s="7" t="s">
        <v>6204</v>
      </c>
      <c r="F3757" s="5">
        <v>39173</v>
      </c>
      <c r="G3757" s="5">
        <v>39293</v>
      </c>
      <c r="H3757" s="4" t="s">
        <v>16</v>
      </c>
      <c r="I3757" s="6">
        <v>305000</v>
      </c>
      <c r="J3757" s="6">
        <v>91500</v>
      </c>
      <c r="K3757" s="37" t="s">
        <v>6182</v>
      </c>
      <c r="L3757" s="119"/>
      <c r="M3757" s="3"/>
    </row>
    <row r="3758" spans="1:13" s="4" customFormat="1" ht="51" x14ac:dyDescent="0.25">
      <c r="A3758" s="4" t="s">
        <v>6205</v>
      </c>
      <c r="B3758" s="4" t="s">
        <v>13</v>
      </c>
      <c r="C3758" s="37" t="s">
        <v>6182</v>
      </c>
      <c r="D3758" s="35">
        <v>4119</v>
      </c>
      <c r="E3758" s="4" t="s">
        <v>6206</v>
      </c>
      <c r="F3758" s="5">
        <v>39661</v>
      </c>
      <c r="G3758" s="5">
        <v>39903</v>
      </c>
      <c r="H3758" s="4" t="s">
        <v>16</v>
      </c>
      <c r="I3758" s="6">
        <v>133277.63</v>
      </c>
      <c r="J3758" s="6">
        <v>30756.38</v>
      </c>
      <c r="K3758" s="37" t="s">
        <v>6182</v>
      </c>
      <c r="L3758" s="119"/>
      <c r="M3758" s="3"/>
    </row>
    <row r="3759" spans="1:13" s="4" customFormat="1" ht="25.5" x14ac:dyDescent="0.25">
      <c r="A3759" s="4" t="s">
        <v>6207</v>
      </c>
      <c r="B3759" s="4" t="s">
        <v>13</v>
      </c>
      <c r="C3759" s="37" t="s">
        <v>6182</v>
      </c>
      <c r="D3759" s="35">
        <v>10003</v>
      </c>
      <c r="E3759" s="4" t="s">
        <v>6208</v>
      </c>
      <c r="F3759" s="5">
        <v>40262</v>
      </c>
      <c r="G3759" s="5">
        <v>40508</v>
      </c>
      <c r="H3759" s="4" t="s">
        <v>16</v>
      </c>
      <c r="I3759" s="6">
        <v>12879.43</v>
      </c>
      <c r="J3759" s="6">
        <v>3840</v>
      </c>
      <c r="K3759" s="37" t="s">
        <v>6182</v>
      </c>
      <c r="L3759" s="119"/>
      <c r="M3759" s="3"/>
    </row>
    <row r="3760" spans="1:13" s="4" customFormat="1" ht="25.5" x14ac:dyDescent="0.25">
      <c r="A3760" s="4" t="s">
        <v>6209</v>
      </c>
      <c r="B3760" s="4" t="s">
        <v>13</v>
      </c>
      <c r="C3760" s="37" t="s">
        <v>6182</v>
      </c>
      <c r="D3760" s="35">
        <v>10063</v>
      </c>
      <c r="E3760" s="4" t="s">
        <v>6210</v>
      </c>
      <c r="F3760" s="5">
        <v>40448</v>
      </c>
      <c r="G3760" s="5">
        <v>40626</v>
      </c>
      <c r="H3760" s="4" t="s">
        <v>16</v>
      </c>
      <c r="I3760" s="6">
        <v>17538.82</v>
      </c>
      <c r="J3760" s="6">
        <v>4969.8</v>
      </c>
      <c r="K3760" s="37" t="s">
        <v>6182</v>
      </c>
      <c r="L3760" s="119"/>
      <c r="M3760" s="3"/>
    </row>
    <row r="3761" spans="1:13" s="4" customFormat="1" ht="25.5" x14ac:dyDescent="0.25">
      <c r="A3761" s="4" t="s">
        <v>6211</v>
      </c>
      <c r="B3761" s="4" t="s">
        <v>13</v>
      </c>
      <c r="C3761" s="37" t="s">
        <v>6182</v>
      </c>
      <c r="D3761" s="35">
        <v>10135</v>
      </c>
      <c r="E3761" s="4" t="s">
        <v>6212</v>
      </c>
      <c r="F3761" s="5">
        <v>40473</v>
      </c>
      <c r="G3761" s="5">
        <v>40533</v>
      </c>
      <c r="H3761" s="4" t="s">
        <v>16</v>
      </c>
      <c r="I3761" s="6">
        <v>85070</v>
      </c>
      <c r="J3761" s="6">
        <v>20160</v>
      </c>
      <c r="K3761" s="37" t="s">
        <v>6182</v>
      </c>
      <c r="L3761" s="119"/>
      <c r="M3761" s="3"/>
    </row>
    <row r="3762" spans="1:13" s="4" customFormat="1" ht="25.5" x14ac:dyDescent="0.25">
      <c r="A3762" s="4" t="s">
        <v>6213</v>
      </c>
      <c r="B3762" s="4" t="s">
        <v>13</v>
      </c>
      <c r="C3762" s="37" t="s">
        <v>6182</v>
      </c>
      <c r="D3762" s="35">
        <v>10170</v>
      </c>
      <c r="E3762" s="4" t="s">
        <v>6214</v>
      </c>
      <c r="F3762" s="5">
        <v>40346</v>
      </c>
      <c r="G3762" s="5">
        <v>40522</v>
      </c>
      <c r="H3762" s="4" t="s">
        <v>16</v>
      </c>
      <c r="I3762" s="6">
        <v>438850</v>
      </c>
      <c r="J3762" s="6">
        <v>105324</v>
      </c>
      <c r="K3762" s="37" t="s">
        <v>6182</v>
      </c>
      <c r="L3762" s="119"/>
      <c r="M3762" s="3"/>
    </row>
    <row r="3763" spans="1:13" s="4" customFormat="1" ht="25.5" x14ac:dyDescent="0.25">
      <c r="A3763" s="4" t="s">
        <v>6215</v>
      </c>
      <c r="B3763" s="4" t="s">
        <v>13</v>
      </c>
      <c r="C3763" s="37" t="s">
        <v>6182</v>
      </c>
      <c r="D3763" s="35">
        <v>9461</v>
      </c>
      <c r="E3763" s="4" t="s">
        <v>6216</v>
      </c>
      <c r="F3763" s="5">
        <v>39378</v>
      </c>
      <c r="G3763" s="5">
        <v>39430</v>
      </c>
      <c r="H3763" s="4" t="s">
        <v>389</v>
      </c>
      <c r="I3763" s="6">
        <v>142060</v>
      </c>
      <c r="J3763" s="6">
        <v>56624</v>
      </c>
      <c r="K3763" s="37" t="s">
        <v>6182</v>
      </c>
      <c r="L3763" s="119"/>
      <c r="M3763" s="3"/>
    </row>
    <row r="3764" spans="1:13" s="4" customFormat="1" ht="102" x14ac:dyDescent="0.25">
      <c r="A3764" s="4" t="s">
        <v>6217</v>
      </c>
      <c r="B3764" s="4" t="s">
        <v>13</v>
      </c>
      <c r="C3764" s="37" t="s">
        <v>6182</v>
      </c>
      <c r="D3764" s="35">
        <v>10006</v>
      </c>
      <c r="E3764" s="7" t="s">
        <v>6218</v>
      </c>
      <c r="F3764" s="5">
        <v>41116</v>
      </c>
      <c r="G3764" s="5">
        <v>41254</v>
      </c>
      <c r="H3764" s="4" t="s">
        <v>389</v>
      </c>
      <c r="I3764" s="6">
        <v>274161.31</v>
      </c>
      <c r="J3764" s="6">
        <v>95956.46</v>
      </c>
      <c r="K3764" s="37" t="s">
        <v>6182</v>
      </c>
      <c r="L3764" s="119"/>
      <c r="M3764" s="3"/>
    </row>
    <row r="3765" spans="1:13" s="4" customFormat="1" ht="25.5" x14ac:dyDescent="0.25">
      <c r="A3765" s="4" t="s">
        <v>6219</v>
      </c>
      <c r="B3765" s="4" t="s">
        <v>50</v>
      </c>
      <c r="C3765" s="37" t="s">
        <v>6182</v>
      </c>
      <c r="D3765" s="35">
        <v>1022</v>
      </c>
      <c r="E3765" s="4" t="s">
        <v>6220</v>
      </c>
      <c r="F3765" s="5">
        <v>39713</v>
      </c>
      <c r="H3765" s="4" t="s">
        <v>40</v>
      </c>
      <c r="I3765" s="6">
        <v>95000</v>
      </c>
      <c r="J3765" s="6">
        <v>47500</v>
      </c>
      <c r="K3765" s="37" t="s">
        <v>6182</v>
      </c>
      <c r="L3765" s="120"/>
      <c r="M3765" s="3"/>
    </row>
    <row r="3766" spans="1:13" s="4" customFormat="1" ht="38.25" x14ac:dyDescent="0.25">
      <c r="A3766" s="4" t="s">
        <v>6221</v>
      </c>
      <c r="B3766" s="4" t="s">
        <v>50</v>
      </c>
      <c r="C3766" s="37" t="s">
        <v>6182</v>
      </c>
      <c r="D3766" s="35">
        <v>1031</v>
      </c>
      <c r="E3766" s="4" t="s">
        <v>6222</v>
      </c>
      <c r="F3766" s="5">
        <v>39643</v>
      </c>
      <c r="H3766" s="4" t="s">
        <v>40</v>
      </c>
      <c r="I3766" s="6">
        <v>52365</v>
      </c>
      <c r="J3766" s="6">
        <v>26182</v>
      </c>
      <c r="K3766" s="37" t="s">
        <v>6182</v>
      </c>
      <c r="L3766" s="120"/>
      <c r="M3766" s="3"/>
    </row>
    <row r="3767" spans="1:13" s="4" customFormat="1" ht="25.5" x14ac:dyDescent="0.25">
      <c r="A3767" s="4" t="s">
        <v>6223</v>
      </c>
      <c r="B3767" s="4" t="s">
        <v>50</v>
      </c>
      <c r="C3767" s="37" t="s">
        <v>6182</v>
      </c>
      <c r="D3767" s="35">
        <v>1033</v>
      </c>
      <c r="E3767" s="4" t="s">
        <v>6224</v>
      </c>
      <c r="F3767" s="5">
        <v>39538</v>
      </c>
      <c r="G3767" s="5">
        <v>39804</v>
      </c>
      <c r="H3767" s="4" t="s">
        <v>40</v>
      </c>
      <c r="I3767" s="6">
        <v>34318</v>
      </c>
      <c r="J3767" s="6">
        <v>17159</v>
      </c>
      <c r="K3767" s="37" t="s">
        <v>6182</v>
      </c>
      <c r="L3767" s="120"/>
      <c r="M3767" s="3"/>
    </row>
    <row r="3768" spans="1:13" s="4" customFormat="1" ht="25.5" x14ac:dyDescent="0.25">
      <c r="A3768" s="4" t="s">
        <v>6225</v>
      </c>
      <c r="B3768" s="4" t="s">
        <v>59</v>
      </c>
      <c r="C3768" s="37" t="s">
        <v>6182</v>
      </c>
      <c r="D3768" s="35">
        <v>1035</v>
      </c>
      <c r="E3768" s="4" t="s">
        <v>6226</v>
      </c>
      <c r="F3768" s="5">
        <v>39475</v>
      </c>
      <c r="H3768" s="4" t="s">
        <v>40</v>
      </c>
      <c r="I3768" s="6">
        <v>6000</v>
      </c>
      <c r="J3768" s="6">
        <v>6000</v>
      </c>
      <c r="K3768" s="37" t="s">
        <v>6182</v>
      </c>
      <c r="L3768" s="120"/>
      <c r="M3768" s="3"/>
    </row>
    <row r="3769" spans="1:13" s="4" customFormat="1" ht="25.5" x14ac:dyDescent="0.25">
      <c r="A3769" s="4" t="s">
        <v>6227</v>
      </c>
      <c r="B3769" s="4" t="s">
        <v>50</v>
      </c>
      <c r="C3769" s="37" t="s">
        <v>6182</v>
      </c>
      <c r="D3769" s="35">
        <v>1036</v>
      </c>
      <c r="E3769" s="4" t="s">
        <v>6228</v>
      </c>
      <c r="F3769" s="5">
        <v>39783</v>
      </c>
      <c r="G3769" s="5">
        <v>39804</v>
      </c>
      <c r="H3769" s="4" t="s">
        <v>40</v>
      </c>
      <c r="I3769" s="6">
        <v>25450</v>
      </c>
      <c r="J3769" s="6">
        <v>12725</v>
      </c>
      <c r="K3769" s="37" t="s">
        <v>6182</v>
      </c>
      <c r="L3769" s="120"/>
      <c r="M3769" s="3"/>
    </row>
    <row r="3770" spans="1:13" s="4" customFormat="1" ht="25.5" x14ac:dyDescent="0.25">
      <c r="A3770" s="4" t="s">
        <v>6229</v>
      </c>
      <c r="B3770" s="4" t="s">
        <v>50</v>
      </c>
      <c r="C3770" s="37" t="s">
        <v>6182</v>
      </c>
      <c r="D3770" s="35">
        <v>1037</v>
      </c>
      <c r="E3770" s="4" t="s">
        <v>6230</v>
      </c>
      <c r="F3770" s="5">
        <v>39538</v>
      </c>
      <c r="G3770" s="5">
        <v>39673</v>
      </c>
      <c r="H3770" s="4" t="s">
        <v>40</v>
      </c>
      <c r="I3770" s="6">
        <v>15500</v>
      </c>
      <c r="J3770" s="6">
        <v>7750</v>
      </c>
      <c r="K3770" s="37" t="s">
        <v>6182</v>
      </c>
      <c r="L3770" s="120"/>
      <c r="M3770" s="3"/>
    </row>
    <row r="3771" spans="1:13" s="4" customFormat="1" ht="25.5" x14ac:dyDescent="0.25">
      <c r="A3771" s="4" t="s">
        <v>6231</v>
      </c>
      <c r="B3771" s="4" t="s">
        <v>50</v>
      </c>
      <c r="C3771" s="37" t="s">
        <v>6182</v>
      </c>
      <c r="D3771" s="35">
        <v>1038</v>
      </c>
      <c r="E3771" s="4" t="s">
        <v>6232</v>
      </c>
      <c r="F3771" s="5">
        <v>39643</v>
      </c>
      <c r="G3771" s="5">
        <v>39801</v>
      </c>
      <c r="H3771" s="4" t="s">
        <v>40</v>
      </c>
      <c r="I3771" s="6">
        <v>105000</v>
      </c>
      <c r="J3771" s="6">
        <v>52500</v>
      </c>
      <c r="K3771" s="37" t="s">
        <v>6182</v>
      </c>
      <c r="L3771" s="120"/>
      <c r="M3771" s="3"/>
    </row>
    <row r="3772" spans="1:13" s="4" customFormat="1" ht="25.5" x14ac:dyDescent="0.25">
      <c r="A3772" s="4" t="s">
        <v>6233</v>
      </c>
      <c r="B3772" s="4" t="s">
        <v>59</v>
      </c>
      <c r="C3772" s="37" t="s">
        <v>6182</v>
      </c>
      <c r="D3772" s="35">
        <v>1040</v>
      </c>
      <c r="E3772" s="4" t="s">
        <v>6234</v>
      </c>
      <c r="F3772" s="5">
        <v>39538</v>
      </c>
      <c r="G3772" s="5">
        <v>39651</v>
      </c>
      <c r="H3772" s="4" t="s">
        <v>40</v>
      </c>
      <c r="I3772" s="6">
        <v>6000</v>
      </c>
      <c r="J3772" s="6">
        <v>6000</v>
      </c>
      <c r="K3772" s="37" t="s">
        <v>6182</v>
      </c>
      <c r="L3772" s="120"/>
      <c r="M3772" s="3"/>
    </row>
    <row r="3773" spans="1:13" s="4" customFormat="1" ht="25.5" x14ac:dyDescent="0.25">
      <c r="A3773" s="4" t="s">
        <v>6235</v>
      </c>
      <c r="B3773" s="4" t="s">
        <v>50</v>
      </c>
      <c r="C3773" s="37" t="s">
        <v>6182</v>
      </c>
      <c r="D3773" s="35">
        <v>1041</v>
      </c>
      <c r="E3773" s="4" t="s">
        <v>6236</v>
      </c>
      <c r="F3773" s="5">
        <v>39100</v>
      </c>
      <c r="G3773" s="5">
        <v>39203</v>
      </c>
      <c r="H3773" s="4" t="s">
        <v>40</v>
      </c>
      <c r="I3773" s="6">
        <v>60000</v>
      </c>
      <c r="J3773" s="6">
        <v>30000</v>
      </c>
      <c r="K3773" s="37" t="s">
        <v>6182</v>
      </c>
      <c r="L3773" s="120"/>
      <c r="M3773" s="3"/>
    </row>
    <row r="3774" spans="1:13" s="4" customFormat="1" ht="25.5" x14ac:dyDescent="0.25">
      <c r="A3774" s="4" t="s">
        <v>6237</v>
      </c>
      <c r="B3774" s="4" t="s">
        <v>50</v>
      </c>
      <c r="C3774" s="37" t="s">
        <v>6182</v>
      </c>
      <c r="D3774" s="35">
        <v>1043</v>
      </c>
      <c r="E3774" s="4" t="s">
        <v>6238</v>
      </c>
      <c r="F3774" s="5">
        <v>39167</v>
      </c>
      <c r="G3774" s="5">
        <v>39358</v>
      </c>
      <c r="H3774" s="4" t="s">
        <v>40</v>
      </c>
      <c r="I3774" s="6">
        <v>60000</v>
      </c>
      <c r="J3774" s="6">
        <v>30000</v>
      </c>
      <c r="K3774" s="37" t="s">
        <v>6182</v>
      </c>
      <c r="L3774" s="120"/>
      <c r="M3774" s="3"/>
    </row>
    <row r="3775" spans="1:13" s="4" customFormat="1" ht="25.5" x14ac:dyDescent="0.25">
      <c r="A3775" s="4" t="s">
        <v>6239</v>
      </c>
      <c r="B3775" s="4" t="s">
        <v>50</v>
      </c>
      <c r="C3775" s="37" t="s">
        <v>6182</v>
      </c>
      <c r="D3775" s="35">
        <v>1044</v>
      </c>
      <c r="E3775" s="4" t="s">
        <v>6240</v>
      </c>
      <c r="F3775" s="5">
        <v>39100</v>
      </c>
      <c r="G3775" s="5">
        <v>39262</v>
      </c>
      <c r="H3775" s="4" t="s">
        <v>40</v>
      </c>
      <c r="I3775" s="6">
        <v>57500</v>
      </c>
      <c r="J3775" s="6">
        <v>28750</v>
      </c>
      <c r="K3775" s="37" t="s">
        <v>6182</v>
      </c>
      <c r="L3775" s="120"/>
      <c r="M3775" s="3"/>
    </row>
    <row r="3776" spans="1:13" s="4" customFormat="1" ht="25.5" x14ac:dyDescent="0.25">
      <c r="A3776" s="4" t="s">
        <v>6241</v>
      </c>
      <c r="B3776" s="4" t="s">
        <v>59</v>
      </c>
      <c r="C3776" s="37" t="s">
        <v>6182</v>
      </c>
      <c r="D3776" s="35">
        <v>1045</v>
      </c>
      <c r="E3776" s="4" t="s">
        <v>6242</v>
      </c>
      <c r="F3776" s="5">
        <v>39167</v>
      </c>
      <c r="G3776" s="5">
        <v>40059</v>
      </c>
      <c r="H3776" s="4" t="s">
        <v>40</v>
      </c>
      <c r="I3776" s="6">
        <v>21750</v>
      </c>
      <c r="J3776" s="6">
        <v>21750</v>
      </c>
      <c r="K3776" s="37" t="s">
        <v>6182</v>
      </c>
      <c r="L3776" s="120"/>
      <c r="M3776" s="3"/>
    </row>
    <row r="3777" spans="1:13" s="4" customFormat="1" ht="25.5" x14ac:dyDescent="0.25">
      <c r="A3777" s="4" t="s">
        <v>6243</v>
      </c>
      <c r="B3777" s="4" t="s">
        <v>50</v>
      </c>
      <c r="C3777" s="37" t="s">
        <v>6182</v>
      </c>
      <c r="D3777" s="35">
        <v>1047</v>
      </c>
      <c r="E3777" s="4" t="s">
        <v>6244</v>
      </c>
      <c r="F3777" s="5">
        <v>39230</v>
      </c>
      <c r="G3777" s="5">
        <v>39303</v>
      </c>
      <c r="H3777" s="4" t="s">
        <v>40</v>
      </c>
      <c r="I3777" s="6">
        <v>150000</v>
      </c>
      <c r="J3777" s="6">
        <v>75000</v>
      </c>
      <c r="K3777" s="37" t="s">
        <v>6182</v>
      </c>
      <c r="L3777" s="120"/>
      <c r="M3777" s="3"/>
    </row>
    <row r="3778" spans="1:13" s="4" customFormat="1" ht="25.5" x14ac:dyDescent="0.25">
      <c r="A3778" s="4" t="s">
        <v>6247</v>
      </c>
      <c r="B3778" s="4" t="s">
        <v>59</v>
      </c>
      <c r="C3778" s="37" t="s">
        <v>6182</v>
      </c>
      <c r="D3778" s="35">
        <v>1049</v>
      </c>
      <c r="E3778" s="4" t="s">
        <v>6248</v>
      </c>
      <c r="F3778" s="5">
        <v>39594</v>
      </c>
      <c r="G3778" s="5">
        <v>39673</v>
      </c>
      <c r="H3778" s="4" t="s">
        <v>40</v>
      </c>
      <c r="I3778" s="6">
        <v>6000</v>
      </c>
      <c r="J3778" s="6">
        <v>6000</v>
      </c>
      <c r="K3778" s="37" t="s">
        <v>6182</v>
      </c>
      <c r="L3778" s="120"/>
      <c r="M3778" s="3"/>
    </row>
    <row r="3779" spans="1:13" s="4" customFormat="1" ht="25.5" x14ac:dyDescent="0.25">
      <c r="A3779" s="4" t="s">
        <v>6249</v>
      </c>
      <c r="B3779" s="4" t="s">
        <v>50</v>
      </c>
      <c r="C3779" s="37" t="s">
        <v>6182</v>
      </c>
      <c r="D3779" s="35">
        <v>1050</v>
      </c>
      <c r="E3779" s="4" t="s">
        <v>6250</v>
      </c>
      <c r="F3779" s="5">
        <v>39643</v>
      </c>
      <c r="G3779" s="5">
        <v>39804</v>
      </c>
      <c r="H3779" s="4" t="s">
        <v>40</v>
      </c>
      <c r="I3779" s="6">
        <v>12283</v>
      </c>
      <c r="J3779" s="6">
        <v>6141</v>
      </c>
      <c r="K3779" s="37" t="s">
        <v>6182</v>
      </c>
      <c r="L3779" s="120"/>
      <c r="M3779" s="3"/>
    </row>
    <row r="3780" spans="1:13" s="4" customFormat="1" ht="25.5" x14ac:dyDescent="0.25">
      <c r="A3780" s="4" t="s">
        <v>6251</v>
      </c>
      <c r="B3780" s="4" t="s">
        <v>38</v>
      </c>
      <c r="C3780" s="37" t="s">
        <v>6182</v>
      </c>
      <c r="D3780" s="35">
        <v>1300</v>
      </c>
      <c r="E3780" s="4" t="s">
        <v>6252</v>
      </c>
      <c r="F3780" s="5">
        <v>39100</v>
      </c>
      <c r="H3780" s="4" t="s">
        <v>40</v>
      </c>
      <c r="I3780" s="6">
        <v>36565.99</v>
      </c>
      <c r="J3780" s="6">
        <v>36565.99</v>
      </c>
      <c r="K3780" s="37" t="s">
        <v>6182</v>
      </c>
      <c r="L3780" s="120"/>
      <c r="M3780" s="3"/>
    </row>
    <row r="3781" spans="1:13" s="4" customFormat="1" ht="25.5" x14ac:dyDescent="0.25">
      <c r="A3781" s="4" t="s">
        <v>6253</v>
      </c>
      <c r="B3781" s="4" t="s">
        <v>38</v>
      </c>
      <c r="C3781" s="37" t="s">
        <v>6182</v>
      </c>
      <c r="D3781" s="35">
        <v>1788</v>
      </c>
      <c r="E3781" s="4" t="s">
        <v>6254</v>
      </c>
      <c r="F3781" s="5">
        <v>39100</v>
      </c>
      <c r="G3781" s="5">
        <v>39434</v>
      </c>
      <c r="H3781" s="4" t="s">
        <v>40</v>
      </c>
      <c r="I3781" s="6">
        <v>10740.38</v>
      </c>
      <c r="J3781" s="6">
        <v>10740.38</v>
      </c>
      <c r="K3781" s="37" t="s">
        <v>6182</v>
      </c>
      <c r="L3781" s="120"/>
      <c r="M3781" s="3"/>
    </row>
    <row r="3782" spans="1:13" s="4" customFormat="1" ht="25.5" x14ac:dyDescent="0.25">
      <c r="A3782" s="4" t="s">
        <v>6255</v>
      </c>
      <c r="B3782" s="4" t="s">
        <v>38</v>
      </c>
      <c r="C3782" s="37" t="s">
        <v>6182</v>
      </c>
      <c r="D3782" s="35">
        <v>1789</v>
      </c>
      <c r="E3782" s="4" t="s">
        <v>6256</v>
      </c>
      <c r="F3782" s="5">
        <v>39100</v>
      </c>
      <c r="G3782" s="5">
        <v>39413</v>
      </c>
      <c r="H3782" s="4" t="s">
        <v>40</v>
      </c>
      <c r="I3782" s="6">
        <v>3902.47</v>
      </c>
      <c r="J3782" s="6">
        <v>3902.47</v>
      </c>
      <c r="K3782" s="37" t="s">
        <v>6182</v>
      </c>
      <c r="L3782" s="120"/>
      <c r="M3782" s="3"/>
    </row>
    <row r="3783" spans="1:13" s="4" customFormat="1" ht="25.5" x14ac:dyDescent="0.25">
      <c r="A3783" s="4" t="s">
        <v>6257</v>
      </c>
      <c r="B3783" s="4" t="s">
        <v>38</v>
      </c>
      <c r="C3783" s="37" t="s">
        <v>6182</v>
      </c>
      <c r="D3783" s="35">
        <v>1790</v>
      </c>
      <c r="E3783" s="4" t="s">
        <v>6258</v>
      </c>
      <c r="F3783" s="5">
        <v>39100</v>
      </c>
      <c r="G3783" s="5">
        <v>39643</v>
      </c>
      <c r="H3783" s="4" t="s">
        <v>40</v>
      </c>
      <c r="I3783" s="6">
        <v>11144.8</v>
      </c>
      <c r="J3783" s="6">
        <v>11144.8</v>
      </c>
      <c r="K3783" s="37" t="s">
        <v>6182</v>
      </c>
      <c r="L3783" s="120"/>
      <c r="M3783" s="3"/>
    </row>
    <row r="3784" spans="1:13" s="4" customFormat="1" ht="38.25" x14ac:dyDescent="0.25">
      <c r="A3784" s="4" t="s">
        <v>6259</v>
      </c>
      <c r="B3784" s="4" t="s">
        <v>38</v>
      </c>
      <c r="C3784" s="37" t="s">
        <v>6182</v>
      </c>
      <c r="D3784" s="35">
        <v>1792</v>
      </c>
      <c r="E3784" s="4" t="s">
        <v>6260</v>
      </c>
      <c r="F3784" s="5">
        <v>39100</v>
      </c>
      <c r="G3784" s="5">
        <v>39448</v>
      </c>
      <c r="H3784" s="4" t="s">
        <v>40</v>
      </c>
      <c r="I3784" s="6">
        <v>12550.7</v>
      </c>
      <c r="J3784" s="6">
        <v>12550.7</v>
      </c>
      <c r="K3784" s="37" t="s">
        <v>6182</v>
      </c>
      <c r="L3784" s="120"/>
      <c r="M3784" s="3"/>
    </row>
    <row r="3785" spans="1:13" s="4" customFormat="1" ht="25.5" x14ac:dyDescent="0.25">
      <c r="A3785" s="4" t="s">
        <v>6261</v>
      </c>
      <c r="B3785" s="4" t="s">
        <v>38</v>
      </c>
      <c r="C3785" s="37" t="s">
        <v>6182</v>
      </c>
      <c r="D3785" s="35">
        <v>1793</v>
      </c>
      <c r="E3785" s="4" t="s">
        <v>6262</v>
      </c>
      <c r="F3785" s="5">
        <v>39100</v>
      </c>
      <c r="G3785" s="5">
        <v>39541</v>
      </c>
      <c r="H3785" s="4" t="s">
        <v>40</v>
      </c>
      <c r="I3785" s="6">
        <v>26211.7</v>
      </c>
      <c r="J3785" s="6">
        <v>26211.7</v>
      </c>
      <c r="K3785" s="37" t="s">
        <v>6182</v>
      </c>
      <c r="L3785" s="120"/>
      <c r="M3785" s="3"/>
    </row>
    <row r="3786" spans="1:13" s="4" customFormat="1" ht="25.5" x14ac:dyDescent="0.25">
      <c r="A3786" s="4" t="s">
        <v>6263</v>
      </c>
      <c r="B3786" s="4" t="s">
        <v>38</v>
      </c>
      <c r="C3786" s="37" t="s">
        <v>6182</v>
      </c>
      <c r="D3786" s="35">
        <v>1795</v>
      </c>
      <c r="E3786" s="4" t="s">
        <v>6264</v>
      </c>
      <c r="F3786" s="5">
        <v>39100</v>
      </c>
      <c r="G3786" s="5">
        <v>39400</v>
      </c>
      <c r="H3786" s="4" t="s">
        <v>40</v>
      </c>
      <c r="I3786" s="6">
        <v>4758.66</v>
      </c>
      <c r="J3786" s="6">
        <v>4758.66</v>
      </c>
      <c r="K3786" s="37" t="s">
        <v>6182</v>
      </c>
      <c r="L3786" s="120"/>
      <c r="M3786" s="3"/>
    </row>
    <row r="3787" spans="1:13" s="4" customFormat="1" ht="25.5" x14ac:dyDescent="0.25">
      <c r="A3787" s="4" t="s">
        <v>6265</v>
      </c>
      <c r="B3787" s="4" t="s">
        <v>38</v>
      </c>
      <c r="C3787" s="37" t="s">
        <v>6182</v>
      </c>
      <c r="D3787" s="35">
        <v>1797</v>
      </c>
      <c r="E3787" s="4" t="s">
        <v>6266</v>
      </c>
      <c r="F3787" s="5">
        <v>39100</v>
      </c>
      <c r="G3787" s="5">
        <v>39205</v>
      </c>
      <c r="H3787" s="4" t="s">
        <v>40</v>
      </c>
      <c r="I3787" s="6">
        <v>1460</v>
      </c>
      <c r="J3787" s="6">
        <v>1460</v>
      </c>
      <c r="K3787" s="37" t="s">
        <v>6182</v>
      </c>
      <c r="L3787" s="120"/>
      <c r="M3787" s="3"/>
    </row>
    <row r="3788" spans="1:13" s="4" customFormat="1" ht="25.5" x14ac:dyDescent="0.25">
      <c r="A3788" s="4" t="s">
        <v>6267</v>
      </c>
      <c r="B3788" s="4" t="s">
        <v>38</v>
      </c>
      <c r="C3788" s="37" t="s">
        <v>6182</v>
      </c>
      <c r="D3788" s="35">
        <v>1803</v>
      </c>
      <c r="E3788" s="4" t="s">
        <v>6268</v>
      </c>
      <c r="F3788" s="5">
        <v>39100</v>
      </c>
      <c r="G3788" s="5">
        <v>39386</v>
      </c>
      <c r="H3788" s="4" t="s">
        <v>40</v>
      </c>
      <c r="I3788" s="6">
        <v>2144.36</v>
      </c>
      <c r="J3788" s="6">
        <v>2144.36</v>
      </c>
      <c r="K3788" s="37" t="s">
        <v>6182</v>
      </c>
      <c r="L3788" s="120"/>
      <c r="M3788" s="3"/>
    </row>
    <row r="3789" spans="1:13" s="4" customFormat="1" ht="25.5" x14ac:dyDescent="0.25">
      <c r="A3789" s="4" t="s">
        <v>6269</v>
      </c>
      <c r="B3789" s="4" t="s">
        <v>38</v>
      </c>
      <c r="C3789" s="37" t="s">
        <v>6182</v>
      </c>
      <c r="D3789" s="35">
        <v>1804</v>
      </c>
      <c r="E3789" s="4" t="s">
        <v>6270</v>
      </c>
      <c r="F3789" s="5">
        <v>39100</v>
      </c>
      <c r="G3789" s="5">
        <v>39423</v>
      </c>
      <c r="H3789" s="4" t="s">
        <v>40</v>
      </c>
      <c r="I3789" s="6">
        <v>13312.5</v>
      </c>
      <c r="J3789" s="6">
        <v>13312.5</v>
      </c>
      <c r="K3789" s="37" t="s">
        <v>6182</v>
      </c>
      <c r="L3789" s="120"/>
      <c r="M3789" s="3"/>
    </row>
    <row r="3790" spans="1:13" s="4" customFormat="1" ht="25.5" x14ac:dyDescent="0.25">
      <c r="A3790" s="4" t="s">
        <v>6271</v>
      </c>
      <c r="B3790" s="4" t="s">
        <v>38</v>
      </c>
      <c r="C3790" s="37" t="s">
        <v>6182</v>
      </c>
      <c r="D3790" s="35">
        <v>1806</v>
      </c>
      <c r="E3790" s="4" t="s">
        <v>6272</v>
      </c>
      <c r="F3790" s="5">
        <v>39100</v>
      </c>
      <c r="G3790" s="5">
        <v>39385</v>
      </c>
      <c r="H3790" s="4" t="s">
        <v>40</v>
      </c>
      <c r="I3790" s="6">
        <v>3565</v>
      </c>
      <c r="J3790" s="6">
        <v>3565</v>
      </c>
      <c r="K3790" s="37" t="s">
        <v>6182</v>
      </c>
      <c r="L3790" s="120"/>
      <c r="M3790" s="3"/>
    </row>
    <row r="3791" spans="1:13" s="4" customFormat="1" ht="25.5" x14ac:dyDescent="0.25">
      <c r="A3791" s="4" t="s">
        <v>6273</v>
      </c>
      <c r="B3791" s="4" t="s">
        <v>38</v>
      </c>
      <c r="C3791" s="37" t="s">
        <v>6182</v>
      </c>
      <c r="D3791" s="35">
        <v>1808</v>
      </c>
      <c r="E3791" s="4" t="s">
        <v>6272</v>
      </c>
      <c r="F3791" s="5">
        <v>39100</v>
      </c>
      <c r="G3791" s="5">
        <v>39203</v>
      </c>
      <c r="H3791" s="4" t="s">
        <v>40</v>
      </c>
      <c r="I3791" s="6">
        <v>3150</v>
      </c>
      <c r="J3791" s="6">
        <v>3150</v>
      </c>
      <c r="K3791" s="37" t="s">
        <v>6182</v>
      </c>
      <c r="L3791" s="120"/>
      <c r="M3791" s="3"/>
    </row>
    <row r="3792" spans="1:13" s="4" customFormat="1" ht="25.5" x14ac:dyDescent="0.25">
      <c r="A3792" s="4" t="s">
        <v>6274</v>
      </c>
      <c r="B3792" s="4" t="s">
        <v>38</v>
      </c>
      <c r="C3792" s="37" t="s">
        <v>6182</v>
      </c>
      <c r="D3792" s="35">
        <v>1809</v>
      </c>
      <c r="E3792" s="4" t="s">
        <v>6272</v>
      </c>
      <c r="F3792" s="5">
        <v>39100</v>
      </c>
      <c r="G3792" s="5">
        <v>39230</v>
      </c>
      <c r="H3792" s="4" t="s">
        <v>40</v>
      </c>
      <c r="I3792" s="6">
        <v>3543.19</v>
      </c>
      <c r="J3792" s="6">
        <v>3543.19</v>
      </c>
      <c r="K3792" s="37" t="s">
        <v>6182</v>
      </c>
      <c r="L3792" s="120"/>
      <c r="M3792" s="3"/>
    </row>
    <row r="3793" spans="1:13" s="4" customFormat="1" ht="25.5" x14ac:dyDescent="0.25">
      <c r="A3793" s="4" t="s">
        <v>6275</v>
      </c>
      <c r="B3793" s="4" t="s">
        <v>38</v>
      </c>
      <c r="C3793" s="37" t="s">
        <v>6182</v>
      </c>
      <c r="D3793" s="35">
        <v>1811</v>
      </c>
      <c r="E3793" s="4" t="s">
        <v>6276</v>
      </c>
      <c r="F3793" s="5">
        <v>39100</v>
      </c>
      <c r="G3793" s="5">
        <v>39303</v>
      </c>
      <c r="H3793" s="4" t="s">
        <v>40</v>
      </c>
      <c r="I3793" s="6">
        <v>2797.75</v>
      </c>
      <c r="J3793" s="6">
        <v>2797.75</v>
      </c>
      <c r="K3793" s="37" t="s">
        <v>6182</v>
      </c>
      <c r="L3793" s="120"/>
      <c r="M3793" s="3"/>
    </row>
    <row r="3794" spans="1:13" s="4" customFormat="1" ht="25.5" x14ac:dyDescent="0.25">
      <c r="A3794" s="4" t="s">
        <v>6277</v>
      </c>
      <c r="B3794" s="4" t="s">
        <v>38</v>
      </c>
      <c r="C3794" s="37" t="s">
        <v>6182</v>
      </c>
      <c r="D3794" s="35">
        <v>1813</v>
      </c>
      <c r="E3794" s="4" t="s">
        <v>6272</v>
      </c>
      <c r="F3794" s="5">
        <v>39100</v>
      </c>
      <c r="G3794" s="5">
        <v>39448</v>
      </c>
      <c r="H3794" s="4" t="s">
        <v>40</v>
      </c>
      <c r="I3794" s="6">
        <v>2637.5</v>
      </c>
      <c r="J3794" s="6">
        <v>2637.5</v>
      </c>
      <c r="K3794" s="37" t="s">
        <v>6182</v>
      </c>
      <c r="L3794" s="120"/>
      <c r="M3794" s="3"/>
    </row>
    <row r="3795" spans="1:13" s="4" customFormat="1" ht="25.5" x14ac:dyDescent="0.25">
      <c r="A3795" s="4" t="s">
        <v>6278</v>
      </c>
      <c r="B3795" s="4" t="s">
        <v>38</v>
      </c>
      <c r="C3795" s="37" t="s">
        <v>6182</v>
      </c>
      <c r="D3795" s="35">
        <v>1814</v>
      </c>
      <c r="E3795" s="4" t="s">
        <v>6272</v>
      </c>
      <c r="F3795" s="5">
        <v>39100</v>
      </c>
      <c r="G3795" s="5">
        <v>39386</v>
      </c>
      <c r="H3795" s="4" t="s">
        <v>40</v>
      </c>
      <c r="I3795" s="6">
        <v>2830</v>
      </c>
      <c r="J3795" s="6">
        <v>2830</v>
      </c>
      <c r="K3795" s="37" t="s">
        <v>6182</v>
      </c>
      <c r="L3795" s="120"/>
      <c r="M3795" s="3"/>
    </row>
    <row r="3796" spans="1:13" s="4" customFormat="1" ht="25.5" x14ac:dyDescent="0.25">
      <c r="A3796" s="4" t="s">
        <v>6279</v>
      </c>
      <c r="B3796" s="4" t="s">
        <v>38</v>
      </c>
      <c r="C3796" s="37" t="s">
        <v>6182</v>
      </c>
      <c r="D3796" s="35">
        <v>1816</v>
      </c>
      <c r="E3796" s="4" t="s">
        <v>6276</v>
      </c>
      <c r="F3796" s="5">
        <v>39100</v>
      </c>
      <c r="G3796" s="5">
        <v>39423</v>
      </c>
      <c r="H3796" s="4" t="s">
        <v>40</v>
      </c>
      <c r="I3796" s="6">
        <v>3425.05</v>
      </c>
      <c r="J3796" s="6">
        <v>3425.05</v>
      </c>
      <c r="K3796" s="37" t="s">
        <v>6182</v>
      </c>
      <c r="L3796" s="120"/>
      <c r="M3796" s="3"/>
    </row>
    <row r="3797" spans="1:13" s="4" customFormat="1" ht="25.5" x14ac:dyDescent="0.25">
      <c r="A3797" s="4" t="s">
        <v>6280</v>
      </c>
      <c r="B3797" s="4" t="s">
        <v>38</v>
      </c>
      <c r="C3797" s="37" t="s">
        <v>6182</v>
      </c>
      <c r="D3797" s="35">
        <v>1817</v>
      </c>
      <c r="E3797" s="4" t="s">
        <v>6281</v>
      </c>
      <c r="F3797" s="5">
        <v>39100</v>
      </c>
      <c r="G3797" s="5">
        <v>39315</v>
      </c>
      <c r="H3797" s="4" t="s">
        <v>40</v>
      </c>
      <c r="I3797" s="6">
        <v>1935.95</v>
      </c>
      <c r="J3797" s="6">
        <v>1935.95</v>
      </c>
      <c r="K3797" s="37" t="s">
        <v>6182</v>
      </c>
      <c r="L3797" s="120"/>
      <c r="M3797" s="3"/>
    </row>
    <row r="3798" spans="1:13" s="4" customFormat="1" ht="25.5" x14ac:dyDescent="0.25">
      <c r="A3798" s="4" t="s">
        <v>6282</v>
      </c>
      <c r="B3798" s="4" t="s">
        <v>38</v>
      </c>
      <c r="C3798" s="37" t="s">
        <v>6182</v>
      </c>
      <c r="D3798" s="35">
        <v>1818</v>
      </c>
      <c r="E3798" s="4" t="s">
        <v>6283</v>
      </c>
      <c r="F3798" s="5">
        <v>39100</v>
      </c>
      <c r="G3798" s="5">
        <v>39177</v>
      </c>
      <c r="H3798" s="4" t="s">
        <v>40</v>
      </c>
      <c r="I3798" s="6">
        <v>2111.1</v>
      </c>
      <c r="J3798" s="6">
        <v>2111.1</v>
      </c>
      <c r="K3798" s="37" t="s">
        <v>6182</v>
      </c>
      <c r="L3798" s="120"/>
      <c r="M3798" s="3"/>
    </row>
    <row r="3799" spans="1:13" s="4" customFormat="1" ht="25.5" x14ac:dyDescent="0.25">
      <c r="A3799" s="4" t="s">
        <v>5489</v>
      </c>
      <c r="B3799" s="4" t="s">
        <v>38</v>
      </c>
      <c r="C3799" s="37" t="s">
        <v>6182</v>
      </c>
      <c r="D3799" s="35">
        <v>1819</v>
      </c>
      <c r="E3799" s="4" t="s">
        <v>6284</v>
      </c>
      <c r="F3799" s="5">
        <v>39100</v>
      </c>
      <c r="G3799" s="5">
        <v>39177</v>
      </c>
      <c r="H3799" s="4" t="s">
        <v>40</v>
      </c>
      <c r="I3799" s="6">
        <v>575</v>
      </c>
      <c r="J3799" s="6">
        <v>575</v>
      </c>
      <c r="K3799" s="37" t="s">
        <v>6182</v>
      </c>
      <c r="L3799" s="120"/>
      <c r="M3799" s="3"/>
    </row>
    <row r="3800" spans="1:13" s="4" customFormat="1" ht="38.25" x14ac:dyDescent="0.25">
      <c r="A3800" s="4" t="s">
        <v>6285</v>
      </c>
      <c r="B3800" s="4" t="s">
        <v>38</v>
      </c>
      <c r="C3800" s="37" t="s">
        <v>6182</v>
      </c>
      <c r="D3800" s="35">
        <v>1823</v>
      </c>
      <c r="E3800" s="4" t="s">
        <v>6286</v>
      </c>
      <c r="F3800" s="5">
        <v>39100</v>
      </c>
      <c r="G3800" s="5">
        <v>39665</v>
      </c>
      <c r="H3800" s="4" t="s">
        <v>40</v>
      </c>
      <c r="I3800" s="6">
        <v>20239.79</v>
      </c>
      <c r="J3800" s="6">
        <v>20239.79</v>
      </c>
      <c r="K3800" s="37" t="s">
        <v>6182</v>
      </c>
      <c r="L3800" s="120"/>
      <c r="M3800" s="3"/>
    </row>
    <row r="3801" spans="1:13" s="4" customFormat="1" ht="25.5" x14ac:dyDescent="0.25">
      <c r="A3801" s="4" t="s">
        <v>6287</v>
      </c>
      <c r="B3801" s="4" t="s">
        <v>38</v>
      </c>
      <c r="C3801" s="37" t="s">
        <v>6182</v>
      </c>
      <c r="D3801" s="35">
        <v>1825</v>
      </c>
      <c r="E3801" s="4" t="s">
        <v>6288</v>
      </c>
      <c r="F3801" s="5">
        <v>39100</v>
      </c>
      <c r="G3801" s="5">
        <v>39448</v>
      </c>
      <c r="H3801" s="4" t="s">
        <v>40</v>
      </c>
      <c r="I3801" s="6">
        <v>28766.69</v>
      </c>
      <c r="J3801" s="6">
        <v>28766.69</v>
      </c>
      <c r="K3801" s="37" t="s">
        <v>6182</v>
      </c>
      <c r="L3801" s="120"/>
      <c r="M3801" s="3"/>
    </row>
    <row r="3802" spans="1:13" s="4" customFormat="1" ht="25.5" x14ac:dyDescent="0.25">
      <c r="A3802" s="4" t="s">
        <v>6289</v>
      </c>
      <c r="B3802" s="4" t="s">
        <v>38</v>
      </c>
      <c r="C3802" s="37" t="s">
        <v>6182</v>
      </c>
      <c r="D3802" s="35">
        <v>1830</v>
      </c>
      <c r="E3802" s="4" t="s">
        <v>6290</v>
      </c>
      <c r="F3802" s="5">
        <v>39100</v>
      </c>
      <c r="G3802" s="5">
        <v>39448</v>
      </c>
      <c r="H3802" s="4" t="s">
        <v>40</v>
      </c>
      <c r="I3802" s="6">
        <v>4727.6000000000004</v>
      </c>
      <c r="J3802" s="6">
        <v>4727.6000000000004</v>
      </c>
      <c r="K3802" s="37" t="s">
        <v>6182</v>
      </c>
      <c r="L3802" s="120"/>
      <c r="M3802" s="3"/>
    </row>
    <row r="3803" spans="1:13" s="4" customFormat="1" ht="25.5" x14ac:dyDescent="0.25">
      <c r="A3803" s="4" t="s">
        <v>6291</v>
      </c>
      <c r="B3803" s="4" t="s">
        <v>38</v>
      </c>
      <c r="C3803" s="37" t="s">
        <v>6182</v>
      </c>
      <c r="D3803" s="35">
        <v>1833</v>
      </c>
      <c r="E3803" s="4" t="s">
        <v>6292</v>
      </c>
      <c r="F3803" s="5">
        <v>39100</v>
      </c>
      <c r="G3803" s="5">
        <v>39205</v>
      </c>
      <c r="H3803" s="4" t="s">
        <v>40</v>
      </c>
      <c r="I3803" s="6">
        <v>967.3</v>
      </c>
      <c r="J3803" s="6">
        <v>967.3</v>
      </c>
      <c r="K3803" s="37" t="s">
        <v>6182</v>
      </c>
      <c r="L3803" s="120"/>
      <c r="M3803" s="3"/>
    </row>
    <row r="3804" spans="1:13" s="4" customFormat="1" ht="25.5" x14ac:dyDescent="0.25">
      <c r="A3804" s="4" t="s">
        <v>6293</v>
      </c>
      <c r="B3804" s="4" t="s">
        <v>38</v>
      </c>
      <c r="C3804" s="37" t="s">
        <v>6182</v>
      </c>
      <c r="D3804" s="35">
        <v>1836</v>
      </c>
      <c r="E3804" s="4" t="s">
        <v>6294</v>
      </c>
      <c r="F3804" s="5">
        <v>39100</v>
      </c>
      <c r="G3804" s="5">
        <v>39359</v>
      </c>
      <c r="H3804" s="4" t="s">
        <v>40</v>
      </c>
      <c r="I3804" s="6">
        <v>21250</v>
      </c>
      <c r="J3804" s="6">
        <v>21250</v>
      </c>
      <c r="K3804" s="37" t="s">
        <v>6182</v>
      </c>
      <c r="L3804" s="120"/>
      <c r="M3804" s="3"/>
    </row>
    <row r="3805" spans="1:13" s="4" customFormat="1" ht="25.5" x14ac:dyDescent="0.25">
      <c r="A3805" s="4" t="s">
        <v>6295</v>
      </c>
      <c r="B3805" s="4" t="s">
        <v>38</v>
      </c>
      <c r="C3805" s="37" t="s">
        <v>6182</v>
      </c>
      <c r="D3805" s="35">
        <v>1838</v>
      </c>
      <c r="E3805" s="4" t="s">
        <v>6296</v>
      </c>
      <c r="F3805" s="5">
        <v>39100</v>
      </c>
      <c r="G3805" s="5">
        <v>39177</v>
      </c>
      <c r="H3805" s="4" t="s">
        <v>40</v>
      </c>
      <c r="I3805" s="6">
        <v>3212.23</v>
      </c>
      <c r="J3805" s="6">
        <v>3212.23</v>
      </c>
      <c r="K3805" s="37" t="s">
        <v>6182</v>
      </c>
      <c r="L3805" s="120"/>
      <c r="M3805" s="3"/>
    </row>
    <row r="3806" spans="1:13" s="4" customFormat="1" ht="38.25" x14ac:dyDescent="0.25">
      <c r="A3806" s="4" t="s">
        <v>6297</v>
      </c>
      <c r="B3806" s="4" t="s">
        <v>38</v>
      </c>
      <c r="C3806" s="37" t="s">
        <v>6182</v>
      </c>
      <c r="D3806" s="35">
        <v>1840</v>
      </c>
      <c r="E3806" s="4" t="s">
        <v>6298</v>
      </c>
      <c r="F3806" s="5">
        <v>39100</v>
      </c>
      <c r="G3806" s="5">
        <v>39448</v>
      </c>
      <c r="H3806" s="4" t="s">
        <v>40</v>
      </c>
      <c r="I3806" s="6">
        <v>6196.91</v>
      </c>
      <c r="J3806" s="6">
        <v>6196.91</v>
      </c>
      <c r="K3806" s="37" t="s">
        <v>6182</v>
      </c>
      <c r="L3806" s="120"/>
      <c r="M3806" s="3"/>
    </row>
    <row r="3807" spans="1:13" s="4" customFormat="1" ht="25.5" x14ac:dyDescent="0.25">
      <c r="A3807" s="4" t="s">
        <v>6251</v>
      </c>
      <c r="B3807" s="4" t="s">
        <v>38</v>
      </c>
      <c r="C3807" s="37" t="s">
        <v>6182</v>
      </c>
      <c r="D3807" s="35">
        <v>1979</v>
      </c>
      <c r="E3807" s="4" t="s">
        <v>6252</v>
      </c>
      <c r="F3807" s="5">
        <v>39475</v>
      </c>
      <c r="G3807" s="5">
        <v>40178</v>
      </c>
      <c r="H3807" s="4" t="s">
        <v>40</v>
      </c>
      <c r="I3807" s="6">
        <v>27783.1</v>
      </c>
      <c r="J3807" s="6">
        <v>27783.1</v>
      </c>
      <c r="K3807" s="37" t="s">
        <v>6182</v>
      </c>
      <c r="L3807" s="120"/>
      <c r="M3807" s="3"/>
    </row>
    <row r="3808" spans="1:13" s="4" customFormat="1" ht="51" x14ac:dyDescent="0.25">
      <c r="A3808" s="4" t="s">
        <v>6299</v>
      </c>
      <c r="B3808" s="4" t="s">
        <v>38</v>
      </c>
      <c r="C3808" s="37" t="s">
        <v>6182</v>
      </c>
      <c r="D3808" s="35">
        <v>1980</v>
      </c>
      <c r="E3808" s="4" t="s">
        <v>6300</v>
      </c>
      <c r="F3808" s="5">
        <v>39475</v>
      </c>
      <c r="G3808" s="5">
        <v>39609</v>
      </c>
      <c r="H3808" s="4" t="s">
        <v>40</v>
      </c>
      <c r="I3808" s="6">
        <v>1325.19</v>
      </c>
      <c r="J3808" s="6">
        <v>1325.19</v>
      </c>
      <c r="K3808" s="37" t="s">
        <v>6182</v>
      </c>
      <c r="L3808" s="120"/>
      <c r="M3808" s="3"/>
    </row>
    <row r="3809" spans="1:13" s="4" customFormat="1" ht="25.5" x14ac:dyDescent="0.25">
      <c r="A3809" s="4" t="s">
        <v>6253</v>
      </c>
      <c r="B3809" s="4" t="s">
        <v>38</v>
      </c>
      <c r="C3809" s="37" t="s">
        <v>6182</v>
      </c>
      <c r="D3809" s="35">
        <v>1981</v>
      </c>
      <c r="E3809" s="4" t="s">
        <v>6301</v>
      </c>
      <c r="F3809" s="5">
        <v>39475</v>
      </c>
      <c r="G3809" s="5">
        <v>39583</v>
      </c>
      <c r="H3809" s="4" t="s">
        <v>40</v>
      </c>
      <c r="I3809" s="6">
        <v>15266.83</v>
      </c>
      <c r="J3809" s="6">
        <v>15266.83</v>
      </c>
      <c r="K3809" s="37" t="s">
        <v>6182</v>
      </c>
      <c r="L3809" s="120"/>
      <c r="M3809" s="3"/>
    </row>
    <row r="3810" spans="1:13" s="4" customFormat="1" ht="25.5" x14ac:dyDescent="0.25">
      <c r="A3810" s="4" t="s">
        <v>6255</v>
      </c>
      <c r="B3810" s="4" t="s">
        <v>38</v>
      </c>
      <c r="C3810" s="37" t="s">
        <v>6182</v>
      </c>
      <c r="D3810" s="35">
        <v>1983</v>
      </c>
      <c r="E3810" s="4" t="s">
        <v>6302</v>
      </c>
      <c r="F3810" s="5">
        <v>39475</v>
      </c>
      <c r="G3810" s="5">
        <v>39643</v>
      </c>
      <c r="H3810" s="4" t="s">
        <v>40</v>
      </c>
      <c r="I3810" s="6">
        <v>1126.8</v>
      </c>
      <c r="J3810" s="6">
        <v>1126.8</v>
      </c>
      <c r="K3810" s="37" t="s">
        <v>6182</v>
      </c>
      <c r="L3810" s="120"/>
      <c r="M3810" s="3"/>
    </row>
    <row r="3811" spans="1:13" s="4" customFormat="1" ht="25.5" x14ac:dyDescent="0.25">
      <c r="A3811" s="4" t="s">
        <v>6303</v>
      </c>
      <c r="B3811" s="4" t="s">
        <v>38</v>
      </c>
      <c r="C3811" s="37" t="s">
        <v>6182</v>
      </c>
      <c r="D3811" s="35">
        <v>1984</v>
      </c>
      <c r="E3811" s="4" t="s">
        <v>6304</v>
      </c>
      <c r="F3811" s="5">
        <v>39475</v>
      </c>
      <c r="G3811" s="5">
        <v>39541</v>
      </c>
      <c r="H3811" s="4" t="s">
        <v>40</v>
      </c>
      <c r="I3811" s="6">
        <v>137</v>
      </c>
      <c r="J3811" s="6">
        <v>137</v>
      </c>
      <c r="K3811" s="37" t="s">
        <v>6182</v>
      </c>
      <c r="L3811" s="120"/>
      <c r="M3811" s="3"/>
    </row>
    <row r="3812" spans="1:13" s="4" customFormat="1" ht="25.5" x14ac:dyDescent="0.25">
      <c r="A3812" s="4" t="s">
        <v>6305</v>
      </c>
      <c r="B3812" s="4" t="s">
        <v>38</v>
      </c>
      <c r="C3812" s="37" t="s">
        <v>6182</v>
      </c>
      <c r="D3812" s="35">
        <v>1989</v>
      </c>
      <c r="E3812" s="4" t="s">
        <v>6306</v>
      </c>
      <c r="F3812" s="5">
        <v>39475</v>
      </c>
      <c r="G3812" s="5">
        <v>39722</v>
      </c>
      <c r="H3812" s="4" t="s">
        <v>40</v>
      </c>
      <c r="I3812" s="6">
        <v>6619.58</v>
      </c>
      <c r="J3812" s="6">
        <v>6619.58</v>
      </c>
      <c r="K3812" s="37" t="s">
        <v>6182</v>
      </c>
      <c r="L3812" s="120"/>
      <c r="M3812" s="3"/>
    </row>
    <row r="3813" spans="1:13" s="4" customFormat="1" ht="25.5" x14ac:dyDescent="0.25">
      <c r="A3813" s="4" t="s">
        <v>6307</v>
      </c>
      <c r="B3813" s="4" t="s">
        <v>38</v>
      </c>
      <c r="C3813" s="37" t="s">
        <v>6182</v>
      </c>
      <c r="D3813" s="35">
        <v>1990</v>
      </c>
      <c r="E3813" s="4" t="s">
        <v>6308</v>
      </c>
      <c r="F3813" s="5">
        <v>39475</v>
      </c>
      <c r="G3813" s="5">
        <v>40178</v>
      </c>
      <c r="H3813" s="4" t="s">
        <v>40</v>
      </c>
      <c r="I3813" s="6">
        <v>24819.99</v>
      </c>
      <c r="J3813" s="6">
        <v>24819.99</v>
      </c>
      <c r="K3813" s="37" t="s">
        <v>6182</v>
      </c>
      <c r="L3813" s="120"/>
      <c r="M3813" s="3"/>
    </row>
    <row r="3814" spans="1:13" s="4" customFormat="1" ht="38.25" x14ac:dyDescent="0.25">
      <c r="A3814" s="4" t="s">
        <v>6309</v>
      </c>
      <c r="B3814" s="4" t="s">
        <v>38</v>
      </c>
      <c r="C3814" s="37" t="s">
        <v>6182</v>
      </c>
      <c r="D3814" s="35">
        <v>1993</v>
      </c>
      <c r="E3814" s="4" t="s">
        <v>6310</v>
      </c>
      <c r="F3814" s="5">
        <v>39475</v>
      </c>
      <c r="G3814" s="5">
        <v>40178</v>
      </c>
      <c r="H3814" s="4" t="s">
        <v>40</v>
      </c>
      <c r="I3814" s="6">
        <v>22547.42</v>
      </c>
      <c r="J3814" s="6">
        <v>22547.42</v>
      </c>
      <c r="K3814" s="37" t="s">
        <v>6182</v>
      </c>
      <c r="L3814" s="120"/>
      <c r="M3814" s="3"/>
    </row>
    <row r="3815" spans="1:13" s="4" customFormat="1" ht="25.5" x14ac:dyDescent="0.25">
      <c r="A3815" s="4" t="s">
        <v>6311</v>
      </c>
      <c r="B3815" s="4" t="s">
        <v>38</v>
      </c>
      <c r="C3815" s="37" t="s">
        <v>6182</v>
      </c>
      <c r="D3815" s="35">
        <v>1994</v>
      </c>
      <c r="E3815" s="4" t="s">
        <v>6312</v>
      </c>
      <c r="F3815" s="5">
        <v>39475</v>
      </c>
      <c r="G3815" s="5">
        <v>39577</v>
      </c>
      <c r="H3815" s="4" t="s">
        <v>40</v>
      </c>
      <c r="I3815" s="6">
        <v>1674.99</v>
      </c>
      <c r="J3815" s="6">
        <v>1674.99</v>
      </c>
      <c r="K3815" s="37" t="s">
        <v>6182</v>
      </c>
      <c r="L3815" s="120"/>
      <c r="M3815" s="3"/>
    </row>
    <row r="3816" spans="1:13" s="4" customFormat="1" ht="25.5" x14ac:dyDescent="0.25">
      <c r="A3816" s="4" t="s">
        <v>6265</v>
      </c>
      <c r="B3816" s="4" t="s">
        <v>38</v>
      </c>
      <c r="C3816" s="37" t="s">
        <v>6182</v>
      </c>
      <c r="D3816" s="35">
        <v>1996</v>
      </c>
      <c r="E3816" s="4" t="s">
        <v>6313</v>
      </c>
      <c r="F3816" s="5">
        <v>39475</v>
      </c>
      <c r="G3816" s="5">
        <v>39583</v>
      </c>
      <c r="H3816" s="4" t="s">
        <v>40</v>
      </c>
      <c r="I3816" s="6">
        <v>1541.5</v>
      </c>
      <c r="J3816" s="6">
        <v>1541.5</v>
      </c>
      <c r="K3816" s="37" t="s">
        <v>6182</v>
      </c>
      <c r="L3816" s="120"/>
      <c r="M3816" s="3"/>
    </row>
    <row r="3817" spans="1:13" s="4" customFormat="1" ht="25.5" x14ac:dyDescent="0.25">
      <c r="A3817" s="4" t="s">
        <v>6314</v>
      </c>
      <c r="B3817" s="4" t="s">
        <v>38</v>
      </c>
      <c r="C3817" s="37" t="s">
        <v>6182</v>
      </c>
      <c r="D3817" s="35">
        <v>1997</v>
      </c>
      <c r="E3817" s="4" t="s">
        <v>6315</v>
      </c>
      <c r="F3817" s="5">
        <v>39475</v>
      </c>
      <c r="G3817" s="5">
        <v>39783</v>
      </c>
      <c r="H3817" s="4" t="s">
        <v>40</v>
      </c>
      <c r="I3817" s="6">
        <v>6150</v>
      </c>
      <c r="J3817" s="6">
        <v>6150</v>
      </c>
      <c r="K3817" s="37" t="s">
        <v>6182</v>
      </c>
      <c r="L3817" s="120"/>
      <c r="M3817" s="3"/>
    </row>
    <row r="3818" spans="1:13" s="4" customFormat="1" ht="25.5" x14ac:dyDescent="0.25">
      <c r="A3818" s="4" t="s">
        <v>6271</v>
      </c>
      <c r="B3818" s="4" t="s">
        <v>38</v>
      </c>
      <c r="C3818" s="37" t="s">
        <v>6182</v>
      </c>
      <c r="D3818" s="35">
        <v>1999</v>
      </c>
      <c r="E3818" s="4" t="s">
        <v>6316</v>
      </c>
      <c r="F3818" s="5">
        <v>39475</v>
      </c>
      <c r="G3818" s="5">
        <v>39554</v>
      </c>
      <c r="H3818" s="4" t="s">
        <v>40</v>
      </c>
      <c r="I3818" s="6">
        <v>2786.05</v>
      </c>
      <c r="J3818" s="6">
        <v>2786.05</v>
      </c>
      <c r="K3818" s="37" t="s">
        <v>6182</v>
      </c>
      <c r="L3818" s="120"/>
      <c r="M3818" s="3"/>
    </row>
    <row r="3819" spans="1:13" s="4" customFormat="1" ht="25.5" x14ac:dyDescent="0.25">
      <c r="A3819" s="4" t="s">
        <v>6273</v>
      </c>
      <c r="B3819" s="4" t="s">
        <v>38</v>
      </c>
      <c r="C3819" s="37" t="s">
        <v>6182</v>
      </c>
      <c r="D3819" s="35">
        <v>2000</v>
      </c>
      <c r="E3819" s="4" t="s">
        <v>6317</v>
      </c>
      <c r="F3819" s="5">
        <v>39475</v>
      </c>
      <c r="G3819" s="5">
        <v>39609</v>
      </c>
      <c r="H3819" s="4" t="s">
        <v>40</v>
      </c>
      <c r="I3819" s="6">
        <v>3125</v>
      </c>
      <c r="J3819" s="6">
        <v>3125</v>
      </c>
      <c r="K3819" s="37" t="s">
        <v>6182</v>
      </c>
      <c r="L3819" s="120"/>
      <c r="M3819" s="3"/>
    </row>
    <row r="3820" spans="1:13" s="4" customFormat="1" ht="25.5" x14ac:dyDescent="0.25">
      <c r="A3820" s="4" t="s">
        <v>6274</v>
      </c>
      <c r="B3820" s="4" t="s">
        <v>38</v>
      </c>
      <c r="C3820" s="37" t="s">
        <v>6182</v>
      </c>
      <c r="D3820" s="35">
        <v>2001</v>
      </c>
      <c r="E3820" s="4" t="s">
        <v>6317</v>
      </c>
      <c r="F3820" s="5">
        <v>39475</v>
      </c>
      <c r="G3820" s="5">
        <v>39583</v>
      </c>
      <c r="H3820" s="4" t="s">
        <v>40</v>
      </c>
      <c r="I3820" s="6">
        <v>3050</v>
      </c>
      <c r="J3820" s="6">
        <v>3050</v>
      </c>
      <c r="K3820" s="37" t="s">
        <v>6182</v>
      </c>
      <c r="L3820" s="120"/>
      <c r="M3820" s="3"/>
    </row>
    <row r="3821" spans="1:13" s="4" customFormat="1" ht="25.5" x14ac:dyDescent="0.25">
      <c r="A3821" s="4" t="s">
        <v>6275</v>
      </c>
      <c r="B3821" s="4" t="s">
        <v>38</v>
      </c>
      <c r="C3821" s="37" t="s">
        <v>6182</v>
      </c>
      <c r="D3821" s="35">
        <v>2002</v>
      </c>
      <c r="E3821" s="4" t="s">
        <v>6318</v>
      </c>
      <c r="F3821" s="5">
        <v>39475</v>
      </c>
      <c r="G3821" s="5">
        <v>39577</v>
      </c>
      <c r="H3821" s="4" t="s">
        <v>40</v>
      </c>
      <c r="I3821" s="6">
        <v>2945</v>
      </c>
      <c r="J3821" s="6">
        <v>2945</v>
      </c>
      <c r="K3821" s="37" t="s">
        <v>6182</v>
      </c>
      <c r="L3821" s="120"/>
      <c r="M3821" s="3"/>
    </row>
    <row r="3822" spans="1:13" s="4" customFormat="1" ht="25.5" x14ac:dyDescent="0.25">
      <c r="A3822" s="4" t="s">
        <v>6277</v>
      </c>
      <c r="B3822" s="4" t="s">
        <v>38</v>
      </c>
      <c r="C3822" s="37" t="s">
        <v>6182</v>
      </c>
      <c r="D3822" s="35">
        <v>2003</v>
      </c>
      <c r="E3822" s="4" t="s">
        <v>6319</v>
      </c>
      <c r="F3822" s="5">
        <v>39475</v>
      </c>
      <c r="G3822" s="5">
        <v>39643</v>
      </c>
      <c r="H3822" s="4" t="s">
        <v>40</v>
      </c>
      <c r="I3822" s="6">
        <v>5733.21</v>
      </c>
      <c r="J3822" s="6">
        <v>5733.21</v>
      </c>
      <c r="K3822" s="37" t="s">
        <v>6182</v>
      </c>
      <c r="L3822" s="120"/>
      <c r="M3822" s="3"/>
    </row>
    <row r="3823" spans="1:13" s="4" customFormat="1" ht="25.5" x14ac:dyDescent="0.25">
      <c r="A3823" s="4" t="s">
        <v>6278</v>
      </c>
      <c r="B3823" s="4" t="s">
        <v>38</v>
      </c>
      <c r="C3823" s="37" t="s">
        <v>6182</v>
      </c>
      <c r="D3823" s="35">
        <v>2004</v>
      </c>
      <c r="E3823" s="4" t="s">
        <v>6317</v>
      </c>
      <c r="F3823" s="5">
        <v>39475</v>
      </c>
      <c r="G3823" s="5">
        <v>39609</v>
      </c>
      <c r="H3823" s="4" t="s">
        <v>40</v>
      </c>
      <c r="I3823" s="6">
        <v>2612.5</v>
      </c>
      <c r="J3823" s="6">
        <v>2612.5</v>
      </c>
      <c r="K3823" s="37" t="s">
        <v>6182</v>
      </c>
      <c r="L3823" s="120"/>
      <c r="M3823" s="3"/>
    </row>
    <row r="3824" spans="1:13" s="4" customFormat="1" ht="38.25" x14ac:dyDescent="0.25">
      <c r="A3824" s="4" t="s">
        <v>6320</v>
      </c>
      <c r="B3824" s="4" t="s">
        <v>38</v>
      </c>
      <c r="C3824" s="37" t="s">
        <v>6182</v>
      </c>
      <c r="D3824" s="35">
        <v>2005</v>
      </c>
      <c r="E3824" s="4" t="s">
        <v>6321</v>
      </c>
      <c r="F3824" s="5">
        <v>39475</v>
      </c>
      <c r="G3824" s="5">
        <v>39643</v>
      </c>
      <c r="H3824" s="4" t="s">
        <v>40</v>
      </c>
      <c r="I3824" s="6">
        <v>19993.75</v>
      </c>
      <c r="J3824" s="6">
        <v>19993.75</v>
      </c>
      <c r="K3824" s="37" t="s">
        <v>6182</v>
      </c>
      <c r="L3824" s="120"/>
      <c r="M3824" s="3"/>
    </row>
    <row r="3825" spans="1:13" s="4" customFormat="1" ht="25.5" x14ac:dyDescent="0.25">
      <c r="A3825" s="4" t="s">
        <v>6322</v>
      </c>
      <c r="B3825" s="4" t="s">
        <v>38</v>
      </c>
      <c r="C3825" s="37" t="s">
        <v>6182</v>
      </c>
      <c r="D3825" s="35">
        <v>2006</v>
      </c>
      <c r="E3825" s="4" t="s">
        <v>6323</v>
      </c>
      <c r="F3825" s="5">
        <v>39475</v>
      </c>
      <c r="G3825" s="5">
        <v>39743</v>
      </c>
      <c r="H3825" s="4" t="s">
        <v>40</v>
      </c>
      <c r="I3825" s="6">
        <v>2425.96</v>
      </c>
      <c r="J3825" s="6">
        <v>2425.96</v>
      </c>
      <c r="K3825" s="37" t="s">
        <v>6182</v>
      </c>
      <c r="L3825" s="120"/>
      <c r="M3825" s="3"/>
    </row>
    <row r="3826" spans="1:13" s="4" customFormat="1" ht="38.25" x14ac:dyDescent="0.25">
      <c r="A3826" s="4" t="s">
        <v>6285</v>
      </c>
      <c r="B3826" s="4" t="s">
        <v>38</v>
      </c>
      <c r="C3826" s="37" t="s">
        <v>6182</v>
      </c>
      <c r="D3826" s="35">
        <v>2007</v>
      </c>
      <c r="E3826" s="4" t="s">
        <v>6324</v>
      </c>
      <c r="F3826" s="5">
        <v>39475</v>
      </c>
      <c r="G3826" s="5">
        <v>39743</v>
      </c>
      <c r="H3826" s="4" t="s">
        <v>40</v>
      </c>
      <c r="I3826" s="6">
        <v>26704.6</v>
      </c>
      <c r="J3826" s="6">
        <v>26704.6</v>
      </c>
      <c r="K3826" s="37" t="s">
        <v>6182</v>
      </c>
      <c r="L3826" s="120"/>
      <c r="M3826" s="3"/>
    </row>
    <row r="3827" spans="1:13" s="4" customFormat="1" ht="38.25" x14ac:dyDescent="0.25">
      <c r="A3827" s="4" t="s">
        <v>6325</v>
      </c>
      <c r="B3827" s="4" t="s">
        <v>38</v>
      </c>
      <c r="C3827" s="37" t="s">
        <v>6182</v>
      </c>
      <c r="D3827" s="35">
        <v>2009</v>
      </c>
      <c r="E3827" s="4" t="s">
        <v>6326</v>
      </c>
      <c r="F3827" s="5">
        <v>39475</v>
      </c>
      <c r="G3827" s="5">
        <v>39743</v>
      </c>
      <c r="H3827" s="4" t="s">
        <v>40</v>
      </c>
      <c r="I3827" s="6">
        <v>4475</v>
      </c>
      <c r="J3827" s="6">
        <v>4475</v>
      </c>
      <c r="K3827" s="37" t="s">
        <v>6182</v>
      </c>
      <c r="L3827" s="120"/>
      <c r="M3827" s="3"/>
    </row>
    <row r="3828" spans="1:13" s="4" customFormat="1" ht="25.5" x14ac:dyDescent="0.25">
      <c r="A3828" s="4" t="s">
        <v>6287</v>
      </c>
      <c r="B3828" s="4" t="s">
        <v>38</v>
      </c>
      <c r="C3828" s="37" t="s">
        <v>6182</v>
      </c>
      <c r="D3828" s="35">
        <v>2010</v>
      </c>
      <c r="E3828" s="4" t="s">
        <v>6327</v>
      </c>
      <c r="F3828" s="5">
        <v>39475</v>
      </c>
      <c r="G3828" s="5">
        <v>39783</v>
      </c>
      <c r="H3828" s="4" t="s">
        <v>40</v>
      </c>
      <c r="I3828" s="6">
        <v>20793.18</v>
      </c>
      <c r="J3828" s="6">
        <v>20793.18</v>
      </c>
      <c r="K3828" s="37" t="s">
        <v>6182</v>
      </c>
      <c r="L3828" s="120"/>
      <c r="M3828" s="3"/>
    </row>
    <row r="3829" spans="1:13" s="4" customFormat="1" ht="25.5" x14ac:dyDescent="0.25">
      <c r="A3829" s="4" t="s">
        <v>6295</v>
      </c>
      <c r="B3829" s="4" t="s">
        <v>38</v>
      </c>
      <c r="C3829" s="37" t="s">
        <v>6182</v>
      </c>
      <c r="D3829" s="35">
        <v>2011</v>
      </c>
      <c r="E3829" s="4" t="s">
        <v>6328</v>
      </c>
      <c r="F3829" s="5">
        <v>39475</v>
      </c>
      <c r="G3829" s="5">
        <v>39687</v>
      </c>
      <c r="H3829" s="4" t="s">
        <v>40</v>
      </c>
      <c r="I3829" s="6">
        <v>5047.37</v>
      </c>
      <c r="J3829" s="6">
        <v>5047.37</v>
      </c>
      <c r="K3829" s="37" t="s">
        <v>6182</v>
      </c>
      <c r="L3829" s="120"/>
      <c r="M3829" s="3"/>
    </row>
    <row r="3830" spans="1:13" s="4" customFormat="1" ht="25.5" x14ac:dyDescent="0.25">
      <c r="A3830" s="4" t="s">
        <v>6329</v>
      </c>
      <c r="B3830" s="4" t="s">
        <v>38</v>
      </c>
      <c r="C3830" s="37" t="s">
        <v>6182</v>
      </c>
      <c r="D3830" s="35">
        <v>2012</v>
      </c>
      <c r="E3830" s="4" t="s">
        <v>6330</v>
      </c>
      <c r="F3830" s="5">
        <v>39475</v>
      </c>
      <c r="G3830" s="5">
        <v>39609</v>
      </c>
      <c r="H3830" s="4" t="s">
        <v>40</v>
      </c>
      <c r="I3830" s="6">
        <v>1913.99</v>
      </c>
      <c r="J3830" s="6">
        <v>1913.99</v>
      </c>
      <c r="K3830" s="37" t="s">
        <v>6182</v>
      </c>
      <c r="L3830" s="120"/>
      <c r="M3830" s="3"/>
    </row>
    <row r="3831" spans="1:13" s="4" customFormat="1" ht="25.5" x14ac:dyDescent="0.25">
      <c r="A3831" s="4" t="s">
        <v>6293</v>
      </c>
      <c r="B3831" s="4" t="s">
        <v>38</v>
      </c>
      <c r="C3831" s="37" t="s">
        <v>6182</v>
      </c>
      <c r="D3831" s="35">
        <v>2013</v>
      </c>
      <c r="E3831" s="4" t="s">
        <v>6331</v>
      </c>
      <c r="F3831" s="5">
        <v>39472</v>
      </c>
      <c r="G3831" s="5">
        <v>39472</v>
      </c>
      <c r="H3831" s="4" t="s">
        <v>40</v>
      </c>
      <c r="I3831" s="6">
        <v>20000</v>
      </c>
      <c r="J3831" s="6">
        <v>20000</v>
      </c>
      <c r="K3831" s="37" t="s">
        <v>6182</v>
      </c>
      <c r="L3831" s="120"/>
      <c r="M3831" s="3"/>
    </row>
    <row r="3832" spans="1:13" s="4" customFormat="1" ht="25.5" x14ac:dyDescent="0.25">
      <c r="A3832" s="4" t="s">
        <v>6332</v>
      </c>
      <c r="B3832" s="4" t="s">
        <v>38</v>
      </c>
      <c r="C3832" s="37" t="s">
        <v>6182</v>
      </c>
      <c r="D3832" s="35">
        <v>2014</v>
      </c>
      <c r="E3832" s="4" t="s">
        <v>6333</v>
      </c>
      <c r="F3832" s="5">
        <v>39475</v>
      </c>
      <c r="G3832" s="5">
        <v>39609</v>
      </c>
      <c r="H3832" s="4" t="s">
        <v>40</v>
      </c>
      <c r="I3832" s="6">
        <v>4100</v>
      </c>
      <c r="J3832" s="6">
        <v>4100</v>
      </c>
      <c r="K3832" s="37" t="s">
        <v>6182</v>
      </c>
      <c r="L3832" s="120"/>
      <c r="M3832" s="3"/>
    </row>
    <row r="3833" spans="1:13" s="4" customFormat="1" ht="38.25" x14ac:dyDescent="0.25">
      <c r="A3833" s="4" t="s">
        <v>6297</v>
      </c>
      <c r="B3833" s="4" t="s">
        <v>38</v>
      </c>
      <c r="C3833" s="37" t="s">
        <v>6182</v>
      </c>
      <c r="D3833" s="35">
        <v>2015</v>
      </c>
      <c r="E3833" s="4" t="s">
        <v>6334</v>
      </c>
      <c r="F3833" s="5">
        <v>39475</v>
      </c>
      <c r="G3833" s="5">
        <v>39783</v>
      </c>
      <c r="H3833" s="4" t="s">
        <v>40</v>
      </c>
      <c r="I3833" s="6">
        <v>4162.42</v>
      </c>
      <c r="J3833" s="6">
        <v>4162.42</v>
      </c>
      <c r="K3833" s="37" t="s">
        <v>6182</v>
      </c>
      <c r="L3833" s="120"/>
      <c r="M3833" s="3"/>
    </row>
    <row r="3834" spans="1:13" s="4" customFormat="1" ht="25.5" x14ac:dyDescent="0.25">
      <c r="A3834" s="4" t="s">
        <v>6335</v>
      </c>
      <c r="B3834" s="4" t="s">
        <v>38</v>
      </c>
      <c r="C3834" s="37" t="s">
        <v>6182</v>
      </c>
      <c r="D3834" s="35">
        <v>2016</v>
      </c>
      <c r="E3834" s="4" t="s">
        <v>6336</v>
      </c>
      <c r="F3834" s="5">
        <v>39475</v>
      </c>
      <c r="G3834" s="5">
        <v>39609</v>
      </c>
      <c r="H3834" s="4" t="s">
        <v>40</v>
      </c>
      <c r="I3834" s="6">
        <v>710.42</v>
      </c>
      <c r="J3834" s="6">
        <v>710.58</v>
      </c>
      <c r="K3834" s="37" t="s">
        <v>6182</v>
      </c>
      <c r="L3834" s="120"/>
      <c r="M3834" s="3"/>
    </row>
    <row r="3835" spans="1:13" s="4" customFormat="1" ht="25.5" x14ac:dyDescent="0.25">
      <c r="A3835" s="4" t="s">
        <v>6001</v>
      </c>
      <c r="B3835" s="4" t="s">
        <v>38</v>
      </c>
      <c r="C3835" s="37" t="s">
        <v>6182</v>
      </c>
      <c r="D3835" s="35">
        <v>2017</v>
      </c>
      <c r="E3835" s="4" t="s">
        <v>6337</v>
      </c>
      <c r="F3835" s="5">
        <v>39475</v>
      </c>
      <c r="G3835" s="5">
        <v>39801</v>
      </c>
      <c r="H3835" s="4" t="s">
        <v>40</v>
      </c>
      <c r="I3835" s="6">
        <v>15190.97</v>
      </c>
      <c r="J3835" s="6">
        <v>15190.97</v>
      </c>
      <c r="K3835" s="37" t="s">
        <v>6182</v>
      </c>
      <c r="L3835" s="120"/>
      <c r="M3835" s="3"/>
    </row>
    <row r="3836" spans="1:13" s="4" customFormat="1" ht="25.5" x14ac:dyDescent="0.25">
      <c r="A3836" s="4" t="s">
        <v>6338</v>
      </c>
      <c r="B3836" s="4" t="s">
        <v>38</v>
      </c>
      <c r="C3836" s="37" t="s">
        <v>6182</v>
      </c>
      <c r="D3836" s="35">
        <v>2018</v>
      </c>
      <c r="E3836" s="4" t="s">
        <v>6339</v>
      </c>
      <c r="F3836" s="5">
        <v>39475</v>
      </c>
      <c r="G3836" s="5">
        <v>39793</v>
      </c>
      <c r="H3836" s="4" t="s">
        <v>40</v>
      </c>
      <c r="I3836" s="6">
        <v>3505.65</v>
      </c>
      <c r="J3836" s="6">
        <v>3505.65</v>
      </c>
      <c r="K3836" s="37" t="s">
        <v>6182</v>
      </c>
      <c r="L3836" s="120"/>
      <c r="M3836" s="3"/>
    </row>
    <row r="3837" spans="1:13" s="4" customFormat="1" ht="25.5" x14ac:dyDescent="0.25">
      <c r="A3837" s="4" t="s">
        <v>6340</v>
      </c>
      <c r="B3837" s="4" t="s">
        <v>38</v>
      </c>
      <c r="C3837" s="37" t="s">
        <v>6182</v>
      </c>
      <c r="D3837" s="35">
        <v>2019</v>
      </c>
      <c r="E3837" s="4" t="s">
        <v>6341</v>
      </c>
      <c r="F3837" s="5">
        <v>39475</v>
      </c>
      <c r="G3837" s="5">
        <v>40178</v>
      </c>
      <c r="H3837" s="4" t="s">
        <v>40</v>
      </c>
      <c r="I3837" s="6">
        <v>15648</v>
      </c>
      <c r="J3837" s="6">
        <v>15648</v>
      </c>
      <c r="K3837" s="37" t="s">
        <v>6182</v>
      </c>
      <c r="L3837" s="120"/>
      <c r="M3837" s="3"/>
    </row>
    <row r="3838" spans="1:13" s="4" customFormat="1" ht="25.5" x14ac:dyDescent="0.25">
      <c r="A3838" s="4" t="s">
        <v>6279</v>
      </c>
      <c r="B3838" s="4" t="s">
        <v>38</v>
      </c>
      <c r="C3838" s="37" t="s">
        <v>6182</v>
      </c>
      <c r="D3838" s="35">
        <v>2020</v>
      </c>
      <c r="E3838" s="4" t="s">
        <v>6272</v>
      </c>
      <c r="F3838" s="5">
        <v>39475</v>
      </c>
      <c r="G3838" s="5">
        <v>39743</v>
      </c>
      <c r="H3838" s="4" t="s">
        <v>40</v>
      </c>
      <c r="I3838" s="6">
        <v>2135.13</v>
      </c>
      <c r="J3838" s="6">
        <v>2135.13</v>
      </c>
      <c r="K3838" s="37" t="s">
        <v>6182</v>
      </c>
      <c r="L3838" s="120"/>
      <c r="M3838" s="3"/>
    </row>
    <row r="3839" spans="1:13" s="4" customFormat="1" ht="25.5" x14ac:dyDescent="0.25">
      <c r="A3839" s="4" t="s">
        <v>6342</v>
      </c>
      <c r="B3839" s="4" t="s">
        <v>38</v>
      </c>
      <c r="C3839" s="37" t="s">
        <v>6182</v>
      </c>
      <c r="D3839" s="35">
        <v>2021</v>
      </c>
      <c r="E3839" s="4" t="s">
        <v>6317</v>
      </c>
      <c r="F3839" s="5">
        <v>39475</v>
      </c>
      <c r="G3839" s="5">
        <v>39783</v>
      </c>
      <c r="H3839" s="4" t="s">
        <v>40</v>
      </c>
      <c r="I3839" s="6">
        <v>4992.5</v>
      </c>
      <c r="J3839" s="6">
        <v>4992.5</v>
      </c>
      <c r="K3839" s="37" t="s">
        <v>6182</v>
      </c>
      <c r="L3839" s="120"/>
      <c r="M3839" s="3"/>
    </row>
    <row r="3840" spans="1:13" s="4" customFormat="1" ht="25.5" x14ac:dyDescent="0.25">
      <c r="A3840" s="4" t="s">
        <v>6343</v>
      </c>
      <c r="B3840" s="4" t="s">
        <v>38</v>
      </c>
      <c r="C3840" s="37" t="s">
        <v>6182</v>
      </c>
      <c r="D3840" s="35">
        <v>2022</v>
      </c>
      <c r="E3840" s="4" t="s">
        <v>6272</v>
      </c>
      <c r="F3840" s="5">
        <v>39475</v>
      </c>
      <c r="G3840" s="5">
        <v>39783</v>
      </c>
      <c r="H3840" s="4" t="s">
        <v>40</v>
      </c>
      <c r="I3840" s="6">
        <v>1252</v>
      </c>
      <c r="J3840" s="6">
        <v>1252</v>
      </c>
      <c r="K3840" s="37" t="s">
        <v>6182</v>
      </c>
      <c r="L3840" s="120"/>
      <c r="M3840" s="3"/>
    </row>
    <row r="3841" spans="1:13" s="4" customFormat="1" ht="25.5" x14ac:dyDescent="0.25">
      <c r="A3841" s="4" t="s">
        <v>6344</v>
      </c>
      <c r="B3841" s="4" t="s">
        <v>38</v>
      </c>
      <c r="C3841" s="37" t="s">
        <v>6182</v>
      </c>
      <c r="D3841" s="35">
        <v>2023</v>
      </c>
      <c r="E3841" s="4" t="s">
        <v>6317</v>
      </c>
      <c r="F3841" s="5">
        <v>39475</v>
      </c>
      <c r="G3841" s="5">
        <v>39743</v>
      </c>
      <c r="H3841" s="4" t="s">
        <v>40</v>
      </c>
      <c r="I3841" s="6">
        <v>60</v>
      </c>
      <c r="J3841" s="6">
        <v>60</v>
      </c>
      <c r="K3841" s="37" t="s">
        <v>6182</v>
      </c>
      <c r="L3841" s="120"/>
      <c r="M3841" s="3"/>
    </row>
    <row r="3842" spans="1:13" s="4" customFormat="1" ht="25.5" x14ac:dyDescent="0.25">
      <c r="A3842" s="4" t="s">
        <v>6347</v>
      </c>
      <c r="B3842" s="4" t="s">
        <v>38</v>
      </c>
      <c r="C3842" s="37" t="s">
        <v>6182</v>
      </c>
      <c r="D3842" s="35">
        <v>2025</v>
      </c>
      <c r="E3842" s="4" t="s">
        <v>6348</v>
      </c>
      <c r="F3842" s="5">
        <v>39475</v>
      </c>
      <c r="G3842" s="5">
        <v>39783</v>
      </c>
      <c r="H3842" s="4" t="s">
        <v>40</v>
      </c>
      <c r="I3842" s="6">
        <v>123.83</v>
      </c>
      <c r="J3842" s="6">
        <v>123.83</v>
      </c>
      <c r="K3842" s="37" t="s">
        <v>6182</v>
      </c>
      <c r="L3842" s="120"/>
      <c r="M3842" s="3"/>
    </row>
    <row r="3843" spans="1:13" s="4" customFormat="1" ht="25.5" x14ac:dyDescent="0.25">
      <c r="A3843" s="4" t="s">
        <v>6349</v>
      </c>
      <c r="B3843" s="4" t="s">
        <v>38</v>
      </c>
      <c r="C3843" s="37" t="s">
        <v>6182</v>
      </c>
      <c r="D3843" s="35">
        <v>2026</v>
      </c>
      <c r="E3843" s="4" t="s">
        <v>6350</v>
      </c>
      <c r="F3843" s="5">
        <v>39475</v>
      </c>
      <c r="G3843" s="5">
        <v>39783</v>
      </c>
      <c r="H3843" s="4" t="s">
        <v>40</v>
      </c>
      <c r="I3843" s="6">
        <v>329.51</v>
      </c>
      <c r="J3843" s="6">
        <v>329.51</v>
      </c>
      <c r="K3843" s="37" t="s">
        <v>6182</v>
      </c>
      <c r="L3843" s="120"/>
      <c r="M3843" s="3"/>
    </row>
    <row r="3844" spans="1:13" s="4" customFormat="1" ht="25.5" x14ac:dyDescent="0.25">
      <c r="A3844" s="4" t="s">
        <v>6351</v>
      </c>
      <c r="B3844" s="4" t="s">
        <v>38</v>
      </c>
      <c r="C3844" s="37" t="s">
        <v>6182</v>
      </c>
      <c r="D3844" s="35">
        <v>2027</v>
      </c>
      <c r="E3844" s="4" t="s">
        <v>6352</v>
      </c>
      <c r="F3844" s="5">
        <v>39475</v>
      </c>
      <c r="G3844" s="5">
        <v>39783</v>
      </c>
      <c r="H3844" s="4" t="s">
        <v>40</v>
      </c>
      <c r="I3844" s="6">
        <v>827.11</v>
      </c>
      <c r="J3844" s="6">
        <v>827.11</v>
      </c>
      <c r="K3844" s="37" t="s">
        <v>6182</v>
      </c>
      <c r="L3844" s="120"/>
      <c r="M3844" s="3"/>
    </row>
    <row r="3845" spans="1:13" s="4" customFormat="1" ht="25.5" x14ac:dyDescent="0.25">
      <c r="A3845" s="4" t="s">
        <v>6353</v>
      </c>
      <c r="B3845" s="4" t="s">
        <v>38</v>
      </c>
      <c r="C3845" s="37" t="s">
        <v>6182</v>
      </c>
      <c r="D3845" s="35">
        <v>2030</v>
      </c>
      <c r="E3845" s="4" t="s">
        <v>6354</v>
      </c>
      <c r="F3845" s="5">
        <v>39475</v>
      </c>
      <c r="G3845" s="5">
        <v>39784</v>
      </c>
      <c r="H3845" s="4" t="s">
        <v>40</v>
      </c>
      <c r="I3845" s="6">
        <v>663.92</v>
      </c>
      <c r="J3845" s="6">
        <v>663.92</v>
      </c>
      <c r="K3845" s="37" t="s">
        <v>6182</v>
      </c>
      <c r="L3845" s="120"/>
      <c r="M3845" s="3"/>
    </row>
    <row r="3846" spans="1:13" s="4" customFormat="1" ht="25.5" x14ac:dyDescent="0.25">
      <c r="A3846" s="4" t="s">
        <v>6357</v>
      </c>
      <c r="B3846" s="4" t="s">
        <v>38</v>
      </c>
      <c r="C3846" s="37" t="s">
        <v>6182</v>
      </c>
      <c r="D3846" s="35">
        <v>2033</v>
      </c>
      <c r="E3846" s="4" t="s">
        <v>6358</v>
      </c>
      <c r="F3846" s="5">
        <v>39475</v>
      </c>
      <c r="G3846" s="5">
        <v>39784</v>
      </c>
      <c r="H3846" s="4" t="s">
        <v>40</v>
      </c>
      <c r="I3846" s="6">
        <v>341.19</v>
      </c>
      <c r="J3846" s="6">
        <v>341.19</v>
      </c>
      <c r="K3846" s="37" t="s">
        <v>6182</v>
      </c>
      <c r="L3846" s="120"/>
      <c r="M3846" s="3"/>
    </row>
    <row r="3847" spans="1:13" s="4" customFormat="1" ht="25.5" x14ac:dyDescent="0.25">
      <c r="A3847" s="4" t="s">
        <v>6359</v>
      </c>
      <c r="B3847" s="4" t="s">
        <v>50</v>
      </c>
      <c r="C3847" s="37" t="s">
        <v>6182</v>
      </c>
      <c r="D3847" s="35">
        <v>2728</v>
      </c>
      <c r="E3847" s="4" t="s">
        <v>6360</v>
      </c>
      <c r="F3847" s="5">
        <v>39783</v>
      </c>
      <c r="G3847" s="5">
        <v>39801</v>
      </c>
      <c r="H3847" s="4" t="s">
        <v>40</v>
      </c>
      <c r="I3847" s="6">
        <v>25150</v>
      </c>
      <c r="J3847" s="6">
        <v>12575</v>
      </c>
      <c r="K3847" s="37" t="s">
        <v>6182</v>
      </c>
      <c r="L3847" s="120"/>
      <c r="M3847" s="3"/>
    </row>
    <row r="3848" spans="1:13" s="4" customFormat="1" ht="25.5" x14ac:dyDescent="0.25">
      <c r="A3848" s="4" t="s">
        <v>3739</v>
      </c>
      <c r="B3848" s="4" t="s">
        <v>38</v>
      </c>
      <c r="C3848" s="37" t="s">
        <v>6182</v>
      </c>
      <c r="D3848" s="35">
        <v>2820</v>
      </c>
      <c r="E3848" s="4" t="s">
        <v>6361</v>
      </c>
      <c r="F3848" s="5">
        <v>39083</v>
      </c>
      <c r="G3848" s="5">
        <v>40178</v>
      </c>
      <c r="H3848" s="4" t="s">
        <v>40</v>
      </c>
      <c r="I3848" s="6">
        <v>150450.62</v>
      </c>
      <c r="J3848" s="6">
        <v>150450.62</v>
      </c>
      <c r="K3848" s="37" t="s">
        <v>6182</v>
      </c>
      <c r="L3848" s="120"/>
      <c r="M3848" s="3"/>
    </row>
    <row r="3849" spans="1:13" s="4" customFormat="1" ht="25.5" x14ac:dyDescent="0.25">
      <c r="A3849" s="4" t="s">
        <v>6362</v>
      </c>
      <c r="B3849" s="4" t="s">
        <v>50</v>
      </c>
      <c r="C3849" s="37" t="s">
        <v>6182</v>
      </c>
      <c r="D3849" s="35">
        <v>5739</v>
      </c>
      <c r="E3849" s="4" t="s">
        <v>6363</v>
      </c>
      <c r="F3849" s="5">
        <v>40084</v>
      </c>
      <c r="H3849" s="4" t="s">
        <v>40</v>
      </c>
      <c r="I3849" s="6">
        <v>31400</v>
      </c>
      <c r="J3849" s="6">
        <v>15000</v>
      </c>
      <c r="K3849" s="37" t="s">
        <v>6182</v>
      </c>
      <c r="L3849" s="120"/>
      <c r="M3849" s="3"/>
    </row>
    <row r="3850" spans="1:13" s="4" customFormat="1" ht="38.25" x14ac:dyDescent="0.25">
      <c r="A3850" s="4" t="s">
        <v>6364</v>
      </c>
      <c r="B3850" s="4" t="s">
        <v>190</v>
      </c>
      <c r="C3850" s="37" t="s">
        <v>6182</v>
      </c>
      <c r="D3850" s="35">
        <v>5741</v>
      </c>
      <c r="E3850" s="4" t="s">
        <v>6365</v>
      </c>
      <c r="F3850" s="5">
        <v>40147</v>
      </c>
      <c r="H3850" s="4" t="s">
        <v>40</v>
      </c>
      <c r="I3850" s="6">
        <v>95000</v>
      </c>
      <c r="J3850" s="6">
        <v>55000</v>
      </c>
      <c r="K3850" s="37" t="s">
        <v>6182</v>
      </c>
      <c r="L3850" s="120"/>
      <c r="M3850" s="3"/>
    </row>
    <row r="3851" spans="1:13" s="4" customFormat="1" ht="25.5" x14ac:dyDescent="0.25">
      <c r="A3851" s="4" t="s">
        <v>6366</v>
      </c>
      <c r="B3851" s="4" t="s">
        <v>50</v>
      </c>
      <c r="C3851" s="37" t="s">
        <v>6182</v>
      </c>
      <c r="D3851" s="35">
        <v>5746</v>
      </c>
      <c r="E3851" s="4" t="s">
        <v>6367</v>
      </c>
      <c r="F3851" s="5">
        <v>39713</v>
      </c>
      <c r="H3851" s="4" t="s">
        <v>40</v>
      </c>
      <c r="I3851" s="6">
        <v>150000</v>
      </c>
      <c r="J3851" s="6">
        <v>75000</v>
      </c>
      <c r="K3851" s="37" t="s">
        <v>6182</v>
      </c>
      <c r="L3851" s="120"/>
      <c r="M3851" s="3"/>
    </row>
    <row r="3852" spans="1:13" s="4" customFormat="1" ht="25.5" x14ac:dyDescent="0.25">
      <c r="A3852" s="4" t="s">
        <v>6368</v>
      </c>
      <c r="B3852" s="4" t="s">
        <v>59</v>
      </c>
      <c r="C3852" s="37" t="s">
        <v>6182</v>
      </c>
      <c r="D3852" s="35">
        <v>5747</v>
      </c>
      <c r="E3852" s="4" t="s">
        <v>6369</v>
      </c>
      <c r="F3852" s="5">
        <v>39966</v>
      </c>
      <c r="H3852" s="4" t="s">
        <v>40</v>
      </c>
      <c r="I3852" s="6">
        <v>3750</v>
      </c>
      <c r="J3852" s="6">
        <v>3750</v>
      </c>
      <c r="K3852" s="37" t="s">
        <v>6182</v>
      </c>
      <c r="L3852" s="120"/>
      <c r="M3852" s="3"/>
    </row>
    <row r="3853" spans="1:13" s="4" customFormat="1" ht="25.5" x14ac:dyDescent="0.25">
      <c r="A3853" s="4" t="s">
        <v>6370</v>
      </c>
      <c r="B3853" s="4" t="s">
        <v>50</v>
      </c>
      <c r="C3853" s="37" t="s">
        <v>6182</v>
      </c>
      <c r="D3853" s="35">
        <v>5919</v>
      </c>
      <c r="E3853" s="4" t="s">
        <v>6371</v>
      </c>
      <c r="F3853" s="5">
        <v>39783</v>
      </c>
      <c r="G3853" s="5">
        <v>39930</v>
      </c>
      <c r="H3853" s="4" t="s">
        <v>40</v>
      </c>
      <c r="I3853" s="6">
        <v>6829.58</v>
      </c>
      <c r="J3853" s="6">
        <v>3400</v>
      </c>
      <c r="K3853" s="37" t="s">
        <v>6182</v>
      </c>
      <c r="L3853" s="120"/>
      <c r="M3853" s="3"/>
    </row>
    <row r="3854" spans="1:13" s="4" customFormat="1" ht="38.25" x14ac:dyDescent="0.25">
      <c r="A3854" s="4" t="s">
        <v>6372</v>
      </c>
      <c r="B3854" s="4" t="s">
        <v>50</v>
      </c>
      <c r="C3854" s="37" t="s">
        <v>6182</v>
      </c>
      <c r="D3854" s="35">
        <v>5920</v>
      </c>
      <c r="E3854" s="4" t="s">
        <v>6373</v>
      </c>
      <c r="F3854" s="5">
        <v>39895</v>
      </c>
      <c r="H3854" s="4" t="s">
        <v>40</v>
      </c>
      <c r="I3854" s="6">
        <v>59804</v>
      </c>
      <c r="J3854" s="6">
        <v>29902</v>
      </c>
      <c r="K3854" s="37" t="s">
        <v>6182</v>
      </c>
      <c r="L3854" s="120"/>
      <c r="M3854" s="3"/>
    </row>
    <row r="3855" spans="1:13" s="4" customFormat="1" ht="25.5" x14ac:dyDescent="0.25">
      <c r="A3855" s="4" t="s">
        <v>6376</v>
      </c>
      <c r="B3855" s="4" t="s">
        <v>59</v>
      </c>
      <c r="C3855" s="37" t="s">
        <v>6182</v>
      </c>
      <c r="D3855" s="35">
        <v>5922</v>
      </c>
      <c r="E3855" s="4" t="s">
        <v>6377</v>
      </c>
      <c r="F3855" s="5">
        <v>39839</v>
      </c>
      <c r="H3855" s="4" t="s">
        <v>40</v>
      </c>
      <c r="I3855" s="6">
        <v>3000</v>
      </c>
      <c r="J3855" s="6">
        <v>3000</v>
      </c>
      <c r="K3855" s="37" t="s">
        <v>6182</v>
      </c>
      <c r="L3855" s="120"/>
      <c r="M3855" s="3"/>
    </row>
    <row r="3856" spans="1:13" s="4" customFormat="1" ht="25.5" x14ac:dyDescent="0.25">
      <c r="A3856" s="4" t="s">
        <v>6378</v>
      </c>
      <c r="B3856" s="4" t="s">
        <v>50</v>
      </c>
      <c r="C3856" s="37" t="s">
        <v>6182</v>
      </c>
      <c r="D3856" s="35">
        <v>5923</v>
      </c>
      <c r="E3856" s="4" t="s">
        <v>6379</v>
      </c>
      <c r="F3856" s="5">
        <v>39958</v>
      </c>
      <c r="H3856" s="4" t="s">
        <v>40</v>
      </c>
      <c r="I3856" s="6">
        <v>29515</v>
      </c>
      <c r="J3856" s="6">
        <v>14757</v>
      </c>
      <c r="K3856" s="37" t="s">
        <v>6182</v>
      </c>
      <c r="L3856" s="120"/>
      <c r="M3856" s="3"/>
    </row>
    <row r="3857" spans="1:13" s="4" customFormat="1" ht="25.5" x14ac:dyDescent="0.25">
      <c r="A3857" s="4" t="s">
        <v>6380</v>
      </c>
      <c r="B3857" s="4" t="s">
        <v>59</v>
      </c>
      <c r="C3857" s="37" t="s">
        <v>6182</v>
      </c>
      <c r="D3857" s="35">
        <v>5924</v>
      </c>
      <c r="E3857" s="4" t="s">
        <v>6381</v>
      </c>
      <c r="F3857" s="5">
        <v>40014</v>
      </c>
      <c r="H3857" s="4" t="s">
        <v>40</v>
      </c>
      <c r="I3857" s="6">
        <v>3250</v>
      </c>
      <c r="J3857" s="6">
        <v>3250</v>
      </c>
      <c r="K3857" s="37" t="s">
        <v>6182</v>
      </c>
      <c r="L3857" s="120"/>
      <c r="M3857" s="3"/>
    </row>
    <row r="3858" spans="1:13" s="4" customFormat="1" ht="25.5" x14ac:dyDescent="0.25">
      <c r="A3858" s="4" t="s">
        <v>6382</v>
      </c>
      <c r="B3858" s="4" t="s">
        <v>59</v>
      </c>
      <c r="C3858" s="37" t="s">
        <v>6182</v>
      </c>
      <c r="D3858" s="35">
        <v>5931</v>
      </c>
      <c r="E3858" s="4" t="s">
        <v>6383</v>
      </c>
      <c r="F3858" s="5">
        <v>39958</v>
      </c>
      <c r="H3858" s="4" t="s">
        <v>40</v>
      </c>
      <c r="I3858" s="6">
        <v>3750</v>
      </c>
      <c r="J3858" s="6">
        <v>3750</v>
      </c>
      <c r="K3858" s="37" t="s">
        <v>6182</v>
      </c>
      <c r="L3858" s="120"/>
      <c r="M3858" s="3"/>
    </row>
    <row r="3859" spans="1:13" s="4" customFormat="1" ht="38.25" x14ac:dyDescent="0.25">
      <c r="A3859" s="4" t="s">
        <v>6384</v>
      </c>
      <c r="B3859" s="4" t="s">
        <v>50</v>
      </c>
      <c r="C3859" s="37" t="s">
        <v>6182</v>
      </c>
      <c r="D3859" s="35">
        <v>5932</v>
      </c>
      <c r="E3859" s="4" t="s">
        <v>6385</v>
      </c>
      <c r="F3859" s="5">
        <v>39713</v>
      </c>
      <c r="H3859" s="4" t="s">
        <v>40</v>
      </c>
      <c r="I3859" s="6">
        <v>17950</v>
      </c>
      <c r="J3859" s="6">
        <v>8980</v>
      </c>
      <c r="K3859" s="37" t="s">
        <v>6182</v>
      </c>
      <c r="L3859" s="120"/>
      <c r="M3859" s="3"/>
    </row>
    <row r="3860" spans="1:13" s="4" customFormat="1" ht="25.5" x14ac:dyDescent="0.25">
      <c r="A3860" s="4" t="s">
        <v>6386</v>
      </c>
      <c r="B3860" s="4" t="s">
        <v>50</v>
      </c>
      <c r="C3860" s="37" t="s">
        <v>6182</v>
      </c>
      <c r="D3860" s="35">
        <v>5933</v>
      </c>
      <c r="E3860" s="4" t="s">
        <v>6387</v>
      </c>
      <c r="F3860" s="5">
        <v>39783</v>
      </c>
      <c r="G3860" s="5">
        <v>39813</v>
      </c>
      <c r="H3860" s="4" t="s">
        <v>40</v>
      </c>
      <c r="I3860" s="6">
        <v>24578</v>
      </c>
      <c r="J3860" s="6">
        <v>12289</v>
      </c>
      <c r="K3860" s="37" t="s">
        <v>6182</v>
      </c>
      <c r="L3860" s="120"/>
      <c r="M3860" s="3"/>
    </row>
    <row r="3861" spans="1:13" s="4" customFormat="1" ht="38.25" x14ac:dyDescent="0.25">
      <c r="A3861" s="4" t="s">
        <v>6388</v>
      </c>
      <c r="B3861" s="4" t="s">
        <v>38</v>
      </c>
      <c r="C3861" s="37" t="s">
        <v>6182</v>
      </c>
      <c r="D3861" s="35">
        <v>5937</v>
      </c>
      <c r="E3861" s="4" t="s">
        <v>6389</v>
      </c>
      <c r="F3861" s="5">
        <v>39839</v>
      </c>
      <c r="G3861" s="5">
        <v>39958</v>
      </c>
      <c r="H3861" s="4" t="s">
        <v>40</v>
      </c>
      <c r="I3861" s="6">
        <v>778.75</v>
      </c>
      <c r="J3861" s="6">
        <v>778.75</v>
      </c>
      <c r="K3861" s="37" t="s">
        <v>6182</v>
      </c>
      <c r="L3861" s="120"/>
      <c r="M3861" s="3"/>
    </row>
    <row r="3862" spans="1:13" s="4" customFormat="1" ht="25.5" x14ac:dyDescent="0.25">
      <c r="A3862" s="4" t="s">
        <v>6390</v>
      </c>
      <c r="B3862" s="4" t="s">
        <v>38</v>
      </c>
      <c r="C3862" s="37" t="s">
        <v>6182</v>
      </c>
      <c r="D3862" s="35">
        <v>5938</v>
      </c>
      <c r="E3862" s="4" t="s">
        <v>6391</v>
      </c>
      <c r="F3862" s="5">
        <v>39839</v>
      </c>
      <c r="G3862" s="5">
        <v>39930</v>
      </c>
      <c r="H3862" s="4" t="s">
        <v>40</v>
      </c>
      <c r="I3862" s="6">
        <v>905.11</v>
      </c>
      <c r="J3862" s="6">
        <v>905.15</v>
      </c>
      <c r="K3862" s="37" t="s">
        <v>6182</v>
      </c>
      <c r="L3862" s="120"/>
      <c r="M3862" s="3"/>
    </row>
    <row r="3863" spans="1:13" s="4" customFormat="1" ht="38.25" x14ac:dyDescent="0.25">
      <c r="A3863" s="4" t="s">
        <v>6392</v>
      </c>
      <c r="B3863" s="4" t="s">
        <v>38</v>
      </c>
      <c r="C3863" s="37" t="s">
        <v>6182</v>
      </c>
      <c r="D3863" s="35">
        <v>5941</v>
      </c>
      <c r="E3863" s="4" t="s">
        <v>6393</v>
      </c>
      <c r="F3863" s="5">
        <v>39839</v>
      </c>
      <c r="G3863" s="5">
        <v>40225</v>
      </c>
      <c r="H3863" s="4" t="s">
        <v>40</v>
      </c>
      <c r="I3863" s="6">
        <v>11776.48</v>
      </c>
      <c r="J3863" s="6">
        <v>11776.48</v>
      </c>
      <c r="K3863" s="37" t="s">
        <v>6182</v>
      </c>
      <c r="L3863" s="120"/>
      <c r="M3863" s="3"/>
    </row>
    <row r="3864" spans="1:13" s="4" customFormat="1" ht="38.25" x14ac:dyDescent="0.25">
      <c r="A3864" s="4" t="s">
        <v>6394</v>
      </c>
      <c r="B3864" s="4" t="s">
        <v>38</v>
      </c>
      <c r="C3864" s="37" t="s">
        <v>6182</v>
      </c>
      <c r="D3864" s="35">
        <v>5943</v>
      </c>
      <c r="E3864" s="4" t="s">
        <v>6395</v>
      </c>
      <c r="F3864" s="5">
        <v>39839</v>
      </c>
      <c r="G3864" s="5">
        <v>39958</v>
      </c>
      <c r="H3864" s="4" t="s">
        <v>40</v>
      </c>
      <c r="I3864" s="6">
        <v>1884</v>
      </c>
      <c r="J3864" s="6">
        <v>1884</v>
      </c>
      <c r="K3864" s="37" t="s">
        <v>6182</v>
      </c>
      <c r="L3864" s="120"/>
      <c r="M3864" s="3"/>
    </row>
    <row r="3865" spans="1:13" s="4" customFormat="1" ht="38.25" x14ac:dyDescent="0.25">
      <c r="A3865" s="4" t="s">
        <v>6396</v>
      </c>
      <c r="B3865" s="4" t="s">
        <v>38</v>
      </c>
      <c r="C3865" s="37" t="s">
        <v>6182</v>
      </c>
      <c r="D3865" s="35">
        <v>5945</v>
      </c>
      <c r="E3865" s="4" t="s">
        <v>6397</v>
      </c>
      <c r="F3865" s="5">
        <v>39839</v>
      </c>
      <c r="G3865" s="5">
        <v>40353</v>
      </c>
      <c r="H3865" s="4" t="s">
        <v>40</v>
      </c>
      <c r="I3865" s="6">
        <v>74268.94</v>
      </c>
      <c r="J3865" s="6">
        <v>74268.94</v>
      </c>
      <c r="K3865" s="37" t="s">
        <v>6182</v>
      </c>
      <c r="L3865" s="120"/>
      <c r="M3865" s="3"/>
    </row>
    <row r="3866" spans="1:13" s="4" customFormat="1" ht="25.5" x14ac:dyDescent="0.25">
      <c r="A3866" s="4" t="s">
        <v>6398</v>
      </c>
      <c r="B3866" s="4" t="s">
        <v>38</v>
      </c>
      <c r="C3866" s="37" t="s">
        <v>6182</v>
      </c>
      <c r="D3866" s="35">
        <v>5946</v>
      </c>
      <c r="E3866" s="4" t="s">
        <v>6399</v>
      </c>
      <c r="F3866" s="5">
        <v>39839</v>
      </c>
      <c r="G3866" s="5">
        <v>40179</v>
      </c>
      <c r="H3866" s="4" t="s">
        <v>40</v>
      </c>
      <c r="I3866" s="6">
        <v>5536.43</v>
      </c>
      <c r="J3866" s="6">
        <v>5536.43</v>
      </c>
      <c r="K3866" s="37" t="s">
        <v>6182</v>
      </c>
      <c r="L3866" s="120"/>
      <c r="M3866" s="3"/>
    </row>
    <row r="3867" spans="1:13" s="4" customFormat="1" ht="25.5" x14ac:dyDescent="0.25">
      <c r="A3867" s="4" t="s">
        <v>6400</v>
      </c>
      <c r="B3867" s="4" t="s">
        <v>38</v>
      </c>
      <c r="C3867" s="37" t="s">
        <v>6182</v>
      </c>
      <c r="D3867" s="35">
        <v>5947</v>
      </c>
      <c r="E3867" s="4" t="s">
        <v>6401</v>
      </c>
      <c r="F3867" s="5">
        <v>39839</v>
      </c>
      <c r="G3867" s="5">
        <v>39930</v>
      </c>
      <c r="H3867" s="4" t="s">
        <v>40</v>
      </c>
      <c r="I3867" s="6">
        <v>499.12</v>
      </c>
      <c r="J3867" s="6">
        <v>499.12</v>
      </c>
      <c r="K3867" s="37" t="s">
        <v>6182</v>
      </c>
      <c r="L3867" s="120"/>
      <c r="M3867" s="3"/>
    </row>
    <row r="3868" spans="1:13" s="4" customFormat="1" ht="25.5" x14ac:dyDescent="0.25">
      <c r="A3868" s="4" t="s">
        <v>6402</v>
      </c>
      <c r="B3868" s="4" t="s">
        <v>38</v>
      </c>
      <c r="C3868" s="37" t="s">
        <v>6182</v>
      </c>
      <c r="D3868" s="35">
        <v>5948</v>
      </c>
      <c r="E3868" s="4" t="s">
        <v>6403</v>
      </c>
      <c r="F3868" s="5">
        <v>39839</v>
      </c>
      <c r="G3868" s="5">
        <v>39930</v>
      </c>
      <c r="H3868" s="4" t="s">
        <v>40</v>
      </c>
      <c r="I3868" s="6">
        <v>702.7</v>
      </c>
      <c r="J3868" s="6">
        <v>702.7</v>
      </c>
      <c r="K3868" s="37" t="s">
        <v>6182</v>
      </c>
      <c r="L3868" s="120"/>
      <c r="M3868" s="3"/>
    </row>
    <row r="3869" spans="1:13" s="4" customFormat="1" ht="25.5" x14ac:dyDescent="0.25">
      <c r="A3869" s="4" t="s">
        <v>6404</v>
      </c>
      <c r="B3869" s="4" t="s">
        <v>38</v>
      </c>
      <c r="C3869" s="37" t="s">
        <v>6182</v>
      </c>
      <c r="D3869" s="35">
        <v>5949</v>
      </c>
      <c r="E3869" s="4" t="s">
        <v>6405</v>
      </c>
      <c r="F3869" s="5">
        <v>39839</v>
      </c>
      <c r="G3869" s="5">
        <v>40155</v>
      </c>
      <c r="H3869" s="4" t="s">
        <v>40</v>
      </c>
      <c r="I3869" s="6">
        <v>1800</v>
      </c>
      <c r="J3869" s="6">
        <v>1800</v>
      </c>
      <c r="K3869" s="37" t="s">
        <v>6182</v>
      </c>
      <c r="L3869" s="120"/>
      <c r="M3869" s="3"/>
    </row>
    <row r="3870" spans="1:13" s="4" customFormat="1" ht="25.5" x14ac:dyDescent="0.25">
      <c r="A3870" s="4" t="s">
        <v>6406</v>
      </c>
      <c r="B3870" s="4" t="s">
        <v>38</v>
      </c>
      <c r="C3870" s="37" t="s">
        <v>6182</v>
      </c>
      <c r="D3870" s="35">
        <v>5950</v>
      </c>
      <c r="E3870" s="4" t="s">
        <v>6407</v>
      </c>
      <c r="F3870" s="5">
        <v>39839</v>
      </c>
      <c r="G3870" s="5">
        <v>39996</v>
      </c>
      <c r="H3870" s="4" t="s">
        <v>40</v>
      </c>
      <c r="I3870" s="6">
        <v>1105.76</v>
      </c>
      <c r="J3870" s="6">
        <v>1105.76</v>
      </c>
      <c r="K3870" s="37" t="s">
        <v>6182</v>
      </c>
      <c r="L3870" s="120"/>
      <c r="M3870" s="3"/>
    </row>
    <row r="3871" spans="1:13" s="4" customFormat="1" ht="38.25" x14ac:dyDescent="0.25">
      <c r="A3871" s="4" t="s">
        <v>6408</v>
      </c>
      <c r="B3871" s="4" t="s">
        <v>38</v>
      </c>
      <c r="C3871" s="37" t="s">
        <v>6182</v>
      </c>
      <c r="D3871" s="35">
        <v>5952</v>
      </c>
      <c r="E3871" s="4" t="s">
        <v>6409</v>
      </c>
      <c r="F3871" s="5">
        <v>39839</v>
      </c>
      <c r="G3871" s="5">
        <v>39958</v>
      </c>
      <c r="H3871" s="4" t="s">
        <v>40</v>
      </c>
      <c r="I3871" s="6">
        <v>572.52</v>
      </c>
      <c r="J3871" s="6">
        <v>572.52</v>
      </c>
      <c r="K3871" s="37" t="s">
        <v>6182</v>
      </c>
      <c r="L3871" s="120"/>
      <c r="M3871" s="3"/>
    </row>
    <row r="3872" spans="1:13" s="4" customFormat="1" ht="25.5" x14ac:dyDescent="0.25">
      <c r="A3872" s="4" t="s">
        <v>6410</v>
      </c>
      <c r="B3872" s="4" t="s">
        <v>38</v>
      </c>
      <c r="C3872" s="37" t="s">
        <v>6182</v>
      </c>
      <c r="D3872" s="35">
        <v>5954</v>
      </c>
      <c r="E3872" s="4" t="s">
        <v>6411</v>
      </c>
      <c r="F3872" s="5">
        <v>39839</v>
      </c>
      <c r="G3872" s="5">
        <v>40179</v>
      </c>
      <c r="H3872" s="4" t="s">
        <v>40</v>
      </c>
      <c r="I3872" s="6">
        <v>1188.74</v>
      </c>
      <c r="J3872" s="6">
        <v>1188.74</v>
      </c>
      <c r="K3872" s="37" t="s">
        <v>6182</v>
      </c>
      <c r="L3872" s="120"/>
      <c r="M3872" s="3"/>
    </row>
    <row r="3873" spans="1:13" s="4" customFormat="1" ht="25.5" x14ac:dyDescent="0.25">
      <c r="A3873" s="4" t="s">
        <v>6412</v>
      </c>
      <c r="B3873" s="4" t="s">
        <v>38</v>
      </c>
      <c r="C3873" s="37" t="s">
        <v>6182</v>
      </c>
      <c r="D3873" s="35">
        <v>5955</v>
      </c>
      <c r="E3873" s="4" t="s">
        <v>6413</v>
      </c>
      <c r="F3873" s="5">
        <v>39839</v>
      </c>
      <c r="G3873" s="5">
        <v>40015</v>
      </c>
      <c r="H3873" s="4" t="s">
        <v>40</v>
      </c>
      <c r="I3873" s="6">
        <v>3579.75</v>
      </c>
      <c r="J3873" s="6">
        <v>3579.75</v>
      </c>
      <c r="K3873" s="37" t="s">
        <v>6182</v>
      </c>
      <c r="L3873" s="120"/>
      <c r="M3873" s="3"/>
    </row>
    <row r="3874" spans="1:13" s="4" customFormat="1" ht="25.5" x14ac:dyDescent="0.25">
      <c r="A3874" s="4" t="s">
        <v>6414</v>
      </c>
      <c r="B3874" s="4" t="s">
        <v>38</v>
      </c>
      <c r="C3874" s="37" t="s">
        <v>6182</v>
      </c>
      <c r="D3874" s="35">
        <v>5962</v>
      </c>
      <c r="E3874" s="4" t="s">
        <v>6415</v>
      </c>
      <c r="F3874" s="5">
        <v>39839</v>
      </c>
      <c r="G3874" s="5">
        <v>39967</v>
      </c>
      <c r="H3874" s="4" t="s">
        <v>40</v>
      </c>
      <c r="I3874" s="6">
        <v>1150</v>
      </c>
      <c r="J3874" s="6">
        <v>1150</v>
      </c>
      <c r="K3874" s="37" t="s">
        <v>6182</v>
      </c>
      <c r="L3874" s="120"/>
      <c r="M3874" s="3"/>
    </row>
    <row r="3875" spans="1:13" s="4" customFormat="1" ht="25.5" x14ac:dyDescent="0.25">
      <c r="A3875" s="4" t="s">
        <v>6416</v>
      </c>
      <c r="B3875" s="4" t="s">
        <v>38</v>
      </c>
      <c r="C3875" s="37" t="s">
        <v>6182</v>
      </c>
      <c r="D3875" s="35">
        <v>5963</v>
      </c>
      <c r="E3875" s="4" t="s">
        <v>6417</v>
      </c>
      <c r="F3875" s="5">
        <v>39839</v>
      </c>
      <c r="G3875" s="5">
        <v>40091</v>
      </c>
      <c r="H3875" s="4" t="s">
        <v>40</v>
      </c>
      <c r="I3875" s="6">
        <v>5784.04</v>
      </c>
      <c r="J3875" s="6">
        <v>5784.04</v>
      </c>
      <c r="K3875" s="37" t="s">
        <v>6182</v>
      </c>
      <c r="L3875" s="120"/>
      <c r="M3875" s="3"/>
    </row>
    <row r="3876" spans="1:13" s="4" customFormat="1" ht="25.5" x14ac:dyDescent="0.25">
      <c r="A3876" s="4" t="s">
        <v>6418</v>
      </c>
      <c r="B3876" s="4" t="s">
        <v>38</v>
      </c>
      <c r="C3876" s="37" t="s">
        <v>6182</v>
      </c>
      <c r="D3876" s="35">
        <v>5964</v>
      </c>
      <c r="E3876" s="4" t="s">
        <v>6419</v>
      </c>
      <c r="F3876" s="5">
        <v>39839</v>
      </c>
      <c r="G3876" s="5">
        <v>40066</v>
      </c>
      <c r="H3876" s="4" t="s">
        <v>40</v>
      </c>
      <c r="I3876" s="6">
        <v>1305.75</v>
      </c>
      <c r="J3876" s="6">
        <v>1305.75</v>
      </c>
      <c r="K3876" s="37" t="s">
        <v>6182</v>
      </c>
      <c r="L3876" s="120"/>
      <c r="M3876" s="3"/>
    </row>
    <row r="3877" spans="1:13" s="4" customFormat="1" ht="51" x14ac:dyDescent="0.25">
      <c r="A3877" s="4" t="s">
        <v>6420</v>
      </c>
      <c r="B3877" s="4" t="s">
        <v>38</v>
      </c>
      <c r="C3877" s="37" t="s">
        <v>6182</v>
      </c>
      <c r="D3877" s="35">
        <v>5965</v>
      </c>
      <c r="E3877" s="4" t="s">
        <v>6421</v>
      </c>
      <c r="F3877" s="5">
        <v>39839</v>
      </c>
      <c r="G3877" s="5">
        <v>40137</v>
      </c>
      <c r="H3877" s="4" t="s">
        <v>40</v>
      </c>
      <c r="I3877" s="6">
        <v>7086.1</v>
      </c>
      <c r="J3877" s="6">
        <v>7086.1</v>
      </c>
      <c r="K3877" s="37" t="s">
        <v>6182</v>
      </c>
      <c r="L3877" s="120"/>
      <c r="M3877" s="3"/>
    </row>
    <row r="3878" spans="1:13" s="4" customFormat="1" ht="25.5" x14ac:dyDescent="0.25">
      <c r="A3878" s="4" t="s">
        <v>6422</v>
      </c>
      <c r="B3878" s="4" t="s">
        <v>38</v>
      </c>
      <c r="C3878" s="37" t="s">
        <v>6182</v>
      </c>
      <c r="D3878" s="35">
        <v>5966</v>
      </c>
      <c r="E3878" s="4" t="s">
        <v>6423</v>
      </c>
      <c r="F3878" s="5">
        <v>39839</v>
      </c>
      <c r="G3878" s="5">
        <v>39930</v>
      </c>
      <c r="H3878" s="4" t="s">
        <v>40</v>
      </c>
      <c r="I3878" s="6">
        <v>408.16</v>
      </c>
      <c r="J3878" s="6">
        <v>408.16</v>
      </c>
      <c r="K3878" s="37" t="s">
        <v>6182</v>
      </c>
      <c r="L3878" s="120"/>
      <c r="M3878" s="3"/>
    </row>
    <row r="3879" spans="1:13" s="4" customFormat="1" ht="25.5" x14ac:dyDescent="0.25">
      <c r="A3879" s="4" t="s">
        <v>6424</v>
      </c>
      <c r="B3879" s="4" t="s">
        <v>38</v>
      </c>
      <c r="C3879" s="37" t="s">
        <v>6182</v>
      </c>
      <c r="D3879" s="35">
        <v>5967</v>
      </c>
      <c r="E3879" s="4" t="s">
        <v>6425</v>
      </c>
      <c r="F3879" s="5">
        <v>39839</v>
      </c>
      <c r="G3879" s="5">
        <v>40137</v>
      </c>
      <c r="H3879" s="4" t="s">
        <v>40</v>
      </c>
      <c r="I3879" s="6">
        <v>1711.25</v>
      </c>
      <c r="J3879" s="6">
        <v>1711.25</v>
      </c>
      <c r="K3879" s="37" t="s">
        <v>6182</v>
      </c>
      <c r="L3879" s="120"/>
      <c r="M3879" s="3"/>
    </row>
    <row r="3880" spans="1:13" s="4" customFormat="1" ht="25.5" x14ac:dyDescent="0.25">
      <c r="A3880" s="4" t="s">
        <v>6426</v>
      </c>
      <c r="B3880" s="4" t="s">
        <v>38</v>
      </c>
      <c r="C3880" s="37" t="s">
        <v>6182</v>
      </c>
      <c r="D3880" s="35">
        <v>5968</v>
      </c>
      <c r="E3880" s="4" t="s">
        <v>6427</v>
      </c>
      <c r="F3880" s="5">
        <v>39839</v>
      </c>
      <c r="G3880" s="5">
        <v>40225</v>
      </c>
      <c r="H3880" s="4" t="s">
        <v>40</v>
      </c>
      <c r="I3880" s="6">
        <v>6280</v>
      </c>
      <c r="J3880" s="6">
        <v>6280</v>
      </c>
      <c r="K3880" s="37" t="s">
        <v>6182</v>
      </c>
      <c r="L3880" s="120"/>
      <c r="M3880" s="3"/>
    </row>
    <row r="3881" spans="1:13" s="4" customFormat="1" ht="25.5" x14ac:dyDescent="0.25">
      <c r="A3881" s="4" t="s">
        <v>6428</v>
      </c>
      <c r="B3881" s="4" t="s">
        <v>38</v>
      </c>
      <c r="C3881" s="37" t="s">
        <v>6182</v>
      </c>
      <c r="D3881" s="35">
        <v>6030</v>
      </c>
      <c r="E3881" s="4" t="s">
        <v>6429</v>
      </c>
      <c r="F3881" s="5">
        <v>39839</v>
      </c>
      <c r="G3881" s="5">
        <v>40225</v>
      </c>
      <c r="H3881" s="4" t="s">
        <v>40</v>
      </c>
      <c r="I3881" s="6">
        <v>32343.69</v>
      </c>
      <c r="J3881" s="6">
        <v>32343.69</v>
      </c>
      <c r="K3881" s="37" t="s">
        <v>6182</v>
      </c>
      <c r="L3881" s="120"/>
      <c r="M3881" s="3"/>
    </row>
    <row r="3882" spans="1:13" s="4" customFormat="1" ht="38.25" x14ac:dyDescent="0.25">
      <c r="A3882" s="4" t="s">
        <v>6430</v>
      </c>
      <c r="B3882" s="4" t="s">
        <v>38</v>
      </c>
      <c r="C3882" s="37" t="s">
        <v>6182</v>
      </c>
      <c r="D3882" s="35">
        <v>6032</v>
      </c>
      <c r="E3882" s="4" t="s">
        <v>6310</v>
      </c>
      <c r="F3882" s="5">
        <v>39839</v>
      </c>
      <c r="G3882" s="5">
        <v>40155</v>
      </c>
      <c r="H3882" s="4" t="s">
        <v>40</v>
      </c>
      <c r="I3882" s="6">
        <v>19085.12</v>
      </c>
      <c r="J3882" s="6">
        <v>19085.12</v>
      </c>
      <c r="K3882" s="37" t="s">
        <v>6182</v>
      </c>
      <c r="L3882" s="120"/>
      <c r="M3882" s="3"/>
    </row>
    <row r="3883" spans="1:13" s="4" customFormat="1" ht="25.5" x14ac:dyDescent="0.25">
      <c r="A3883" s="4" t="s">
        <v>6431</v>
      </c>
      <c r="B3883" s="4" t="s">
        <v>38</v>
      </c>
      <c r="C3883" s="37" t="s">
        <v>6182</v>
      </c>
      <c r="D3883" s="35">
        <v>6034</v>
      </c>
      <c r="E3883" s="4" t="s">
        <v>6432</v>
      </c>
      <c r="F3883" s="5">
        <v>39839</v>
      </c>
      <c r="G3883" s="5">
        <v>39967</v>
      </c>
      <c r="H3883" s="4" t="s">
        <v>40</v>
      </c>
      <c r="I3883" s="6">
        <v>1226.27</v>
      </c>
      <c r="J3883" s="6">
        <v>1226.27</v>
      </c>
      <c r="K3883" s="37" t="s">
        <v>6182</v>
      </c>
      <c r="L3883" s="120"/>
      <c r="M3883" s="3"/>
    </row>
    <row r="3884" spans="1:13" s="4" customFormat="1" ht="25.5" x14ac:dyDescent="0.25">
      <c r="A3884" s="4" t="s">
        <v>6433</v>
      </c>
      <c r="B3884" s="4" t="s">
        <v>38</v>
      </c>
      <c r="C3884" s="37" t="s">
        <v>6182</v>
      </c>
      <c r="D3884" s="35">
        <v>6037</v>
      </c>
      <c r="E3884" s="4" t="s">
        <v>6434</v>
      </c>
      <c r="F3884" s="5">
        <v>39839</v>
      </c>
      <c r="G3884" s="5">
        <v>40179</v>
      </c>
      <c r="H3884" s="4" t="s">
        <v>40</v>
      </c>
      <c r="I3884" s="6">
        <v>2210</v>
      </c>
      <c r="J3884" s="6">
        <v>2210</v>
      </c>
      <c r="K3884" s="37" t="s">
        <v>6182</v>
      </c>
      <c r="L3884" s="120"/>
      <c r="M3884" s="3"/>
    </row>
    <row r="3885" spans="1:13" s="4" customFormat="1" ht="25.5" x14ac:dyDescent="0.25">
      <c r="A3885" s="4" t="s">
        <v>6435</v>
      </c>
      <c r="B3885" s="4" t="s">
        <v>38</v>
      </c>
      <c r="C3885" s="37" t="s">
        <v>6182</v>
      </c>
      <c r="D3885" s="35">
        <v>6038</v>
      </c>
      <c r="E3885" s="4" t="s">
        <v>6436</v>
      </c>
      <c r="F3885" s="5">
        <v>39839</v>
      </c>
      <c r="G3885" s="5">
        <v>39996</v>
      </c>
      <c r="H3885" s="4" t="s">
        <v>40</v>
      </c>
      <c r="I3885" s="6">
        <v>1783</v>
      </c>
      <c r="J3885" s="6">
        <v>1783</v>
      </c>
      <c r="K3885" s="37" t="s">
        <v>6182</v>
      </c>
      <c r="L3885" s="120"/>
      <c r="M3885" s="3"/>
    </row>
    <row r="3886" spans="1:13" s="4" customFormat="1" ht="25.5" x14ac:dyDescent="0.25">
      <c r="A3886" s="4" t="s">
        <v>6437</v>
      </c>
      <c r="B3886" s="4" t="s">
        <v>38</v>
      </c>
      <c r="C3886" s="37" t="s">
        <v>6182</v>
      </c>
      <c r="D3886" s="35">
        <v>6061</v>
      </c>
      <c r="E3886" s="4" t="s">
        <v>6438</v>
      </c>
      <c r="F3886" s="5">
        <v>39839</v>
      </c>
      <c r="G3886" s="5">
        <v>40155</v>
      </c>
      <c r="H3886" s="4" t="s">
        <v>40</v>
      </c>
      <c r="I3886" s="6">
        <v>2485.34</v>
      </c>
      <c r="J3886" s="6">
        <v>2485.34</v>
      </c>
      <c r="K3886" s="37" t="s">
        <v>6182</v>
      </c>
      <c r="L3886" s="120"/>
      <c r="M3886" s="3"/>
    </row>
    <row r="3887" spans="1:13" s="4" customFormat="1" ht="51" x14ac:dyDescent="0.25">
      <c r="A3887" s="4" t="s">
        <v>6439</v>
      </c>
      <c r="B3887" s="4" t="s">
        <v>38</v>
      </c>
      <c r="C3887" s="37" t="s">
        <v>6182</v>
      </c>
      <c r="D3887" s="35">
        <v>6062</v>
      </c>
      <c r="E3887" s="4" t="s">
        <v>6440</v>
      </c>
      <c r="F3887" s="5">
        <v>39839</v>
      </c>
      <c r="G3887" s="5">
        <v>40162</v>
      </c>
      <c r="H3887" s="4" t="s">
        <v>40</v>
      </c>
      <c r="I3887" s="6">
        <v>5033.7700000000004</v>
      </c>
      <c r="J3887" s="6">
        <v>5033.7700000000004</v>
      </c>
      <c r="K3887" s="37" t="s">
        <v>6182</v>
      </c>
      <c r="L3887" s="120"/>
      <c r="M3887" s="3"/>
    </row>
    <row r="3888" spans="1:13" s="4" customFormat="1" ht="25.5" x14ac:dyDescent="0.25">
      <c r="A3888" s="4" t="s">
        <v>6441</v>
      </c>
      <c r="B3888" s="4" t="s">
        <v>38</v>
      </c>
      <c r="C3888" s="37" t="s">
        <v>6182</v>
      </c>
      <c r="D3888" s="35">
        <v>6063</v>
      </c>
      <c r="E3888" s="4" t="s">
        <v>6442</v>
      </c>
      <c r="F3888" s="5">
        <v>39839</v>
      </c>
      <c r="G3888" s="5">
        <v>39861</v>
      </c>
      <c r="H3888" s="4" t="s">
        <v>40</v>
      </c>
      <c r="I3888" s="6">
        <v>1041</v>
      </c>
      <c r="J3888" s="6">
        <v>1041</v>
      </c>
      <c r="K3888" s="37" t="s">
        <v>6182</v>
      </c>
      <c r="L3888" s="120"/>
      <c r="M3888" s="3"/>
    </row>
    <row r="3889" spans="1:13" s="4" customFormat="1" ht="76.5" x14ac:dyDescent="0.25">
      <c r="A3889" s="4" t="s">
        <v>6443</v>
      </c>
      <c r="B3889" s="4" t="s">
        <v>38</v>
      </c>
      <c r="C3889" s="37" t="s">
        <v>6182</v>
      </c>
      <c r="D3889" s="35">
        <v>6064</v>
      </c>
      <c r="E3889" s="4" t="s">
        <v>6444</v>
      </c>
      <c r="F3889" s="5">
        <v>39839</v>
      </c>
      <c r="G3889" s="5">
        <v>40137</v>
      </c>
      <c r="H3889" s="4" t="s">
        <v>40</v>
      </c>
      <c r="I3889" s="6">
        <v>18407.59</v>
      </c>
      <c r="J3889" s="6">
        <v>18407.59</v>
      </c>
      <c r="K3889" s="37" t="s">
        <v>6182</v>
      </c>
      <c r="L3889" s="120"/>
      <c r="M3889" s="3"/>
    </row>
    <row r="3890" spans="1:13" s="4" customFormat="1" ht="63.75" x14ac:dyDescent="0.25">
      <c r="A3890" s="4" t="s">
        <v>6445</v>
      </c>
      <c r="B3890" s="4" t="s">
        <v>38</v>
      </c>
      <c r="C3890" s="37" t="s">
        <v>6182</v>
      </c>
      <c r="D3890" s="35">
        <v>6066</v>
      </c>
      <c r="E3890" s="4" t="s">
        <v>6446</v>
      </c>
      <c r="F3890" s="5">
        <v>39839</v>
      </c>
      <c r="G3890" s="5">
        <v>39895</v>
      </c>
      <c r="H3890" s="4" t="s">
        <v>40</v>
      </c>
      <c r="I3890" s="6">
        <v>1772.38</v>
      </c>
      <c r="J3890" s="6">
        <v>1772.38</v>
      </c>
      <c r="K3890" s="37" t="s">
        <v>6182</v>
      </c>
      <c r="L3890" s="120"/>
      <c r="M3890" s="3"/>
    </row>
    <row r="3891" spans="1:13" s="4" customFormat="1" ht="63.75" x14ac:dyDescent="0.25">
      <c r="A3891" s="4" t="s">
        <v>6447</v>
      </c>
      <c r="B3891" s="4" t="s">
        <v>38</v>
      </c>
      <c r="C3891" s="37" t="s">
        <v>6182</v>
      </c>
      <c r="D3891" s="35">
        <v>6067</v>
      </c>
      <c r="E3891" s="4" t="s">
        <v>6448</v>
      </c>
      <c r="F3891" s="5">
        <v>39839</v>
      </c>
      <c r="G3891" s="5">
        <v>40179</v>
      </c>
      <c r="H3891" s="4" t="s">
        <v>40</v>
      </c>
      <c r="I3891" s="6">
        <v>13586.46</v>
      </c>
      <c r="J3891" s="6">
        <v>13586.46</v>
      </c>
      <c r="K3891" s="37" t="s">
        <v>6182</v>
      </c>
      <c r="L3891" s="120"/>
      <c r="M3891" s="3"/>
    </row>
    <row r="3892" spans="1:13" s="4" customFormat="1" ht="38.25" x14ac:dyDescent="0.25">
      <c r="A3892" s="4" t="s">
        <v>6449</v>
      </c>
      <c r="B3892" s="4" t="s">
        <v>38</v>
      </c>
      <c r="C3892" s="37" t="s">
        <v>6182</v>
      </c>
      <c r="D3892" s="35">
        <v>6068</v>
      </c>
      <c r="E3892" s="4" t="s">
        <v>6450</v>
      </c>
      <c r="F3892" s="5">
        <v>39839</v>
      </c>
      <c r="G3892" s="5">
        <v>39967</v>
      </c>
      <c r="H3892" s="4" t="s">
        <v>40</v>
      </c>
      <c r="I3892" s="6">
        <v>3605</v>
      </c>
      <c r="J3892" s="6">
        <v>3605</v>
      </c>
      <c r="K3892" s="37" t="s">
        <v>6182</v>
      </c>
      <c r="L3892" s="120"/>
      <c r="M3892" s="3"/>
    </row>
    <row r="3893" spans="1:13" s="4" customFormat="1" ht="25.5" x14ac:dyDescent="0.25">
      <c r="A3893" s="4" t="s">
        <v>6451</v>
      </c>
      <c r="B3893" s="4" t="s">
        <v>38</v>
      </c>
      <c r="C3893" s="37" t="s">
        <v>6182</v>
      </c>
      <c r="D3893" s="35">
        <v>6069</v>
      </c>
      <c r="E3893" s="4" t="s">
        <v>6452</v>
      </c>
      <c r="F3893" s="5">
        <v>39839</v>
      </c>
      <c r="G3893" s="5">
        <v>39958</v>
      </c>
      <c r="H3893" s="4" t="s">
        <v>40</v>
      </c>
      <c r="I3893" s="6">
        <v>1678.75</v>
      </c>
      <c r="J3893" s="6">
        <v>1678.75</v>
      </c>
      <c r="K3893" s="37" t="s">
        <v>6182</v>
      </c>
      <c r="L3893" s="120"/>
      <c r="M3893" s="3"/>
    </row>
    <row r="3894" spans="1:13" s="4" customFormat="1" ht="38.25" x14ac:dyDescent="0.25">
      <c r="A3894" s="4" t="s">
        <v>6453</v>
      </c>
      <c r="B3894" s="4" t="s">
        <v>38</v>
      </c>
      <c r="C3894" s="37" t="s">
        <v>6182</v>
      </c>
      <c r="D3894" s="35">
        <v>6071</v>
      </c>
      <c r="E3894" s="4" t="s">
        <v>6454</v>
      </c>
      <c r="F3894" s="5">
        <v>39839</v>
      </c>
      <c r="G3894" s="5">
        <v>40091</v>
      </c>
      <c r="H3894" s="4" t="s">
        <v>40</v>
      </c>
      <c r="I3894" s="6">
        <v>3750</v>
      </c>
      <c r="J3894" s="6">
        <v>3750</v>
      </c>
      <c r="K3894" s="37" t="s">
        <v>6182</v>
      </c>
      <c r="L3894" s="120"/>
      <c r="M3894" s="3"/>
    </row>
    <row r="3895" spans="1:13" s="4" customFormat="1" ht="63.75" x14ac:dyDescent="0.25">
      <c r="A3895" s="4" t="s">
        <v>6455</v>
      </c>
      <c r="B3895" s="4" t="s">
        <v>38</v>
      </c>
      <c r="C3895" s="37" t="s">
        <v>6182</v>
      </c>
      <c r="D3895" s="35">
        <v>6072</v>
      </c>
      <c r="E3895" s="4" t="s">
        <v>6456</v>
      </c>
      <c r="F3895" s="5">
        <v>39839</v>
      </c>
      <c r="G3895" s="5">
        <v>40107</v>
      </c>
      <c r="H3895" s="4" t="s">
        <v>40</v>
      </c>
      <c r="I3895" s="6">
        <v>20000</v>
      </c>
      <c r="J3895" s="6">
        <v>20000</v>
      </c>
      <c r="K3895" s="37" t="s">
        <v>6182</v>
      </c>
      <c r="L3895" s="120"/>
      <c r="M3895" s="3"/>
    </row>
    <row r="3896" spans="1:13" s="4" customFormat="1" ht="25.5" x14ac:dyDescent="0.25">
      <c r="A3896" s="4" t="s">
        <v>6457</v>
      </c>
      <c r="B3896" s="4" t="s">
        <v>38</v>
      </c>
      <c r="C3896" s="37" t="s">
        <v>6182</v>
      </c>
      <c r="D3896" s="35">
        <v>6073</v>
      </c>
      <c r="E3896" s="4" t="s">
        <v>6458</v>
      </c>
      <c r="F3896" s="5">
        <v>39839</v>
      </c>
      <c r="G3896" s="5">
        <v>40179</v>
      </c>
      <c r="H3896" s="4" t="s">
        <v>40</v>
      </c>
      <c r="I3896" s="6">
        <v>864.55</v>
      </c>
      <c r="J3896" s="6">
        <v>864.55</v>
      </c>
      <c r="K3896" s="37" t="s">
        <v>6182</v>
      </c>
      <c r="L3896" s="120"/>
      <c r="M3896" s="3"/>
    </row>
    <row r="3897" spans="1:13" s="4" customFormat="1" ht="25.5" x14ac:dyDescent="0.25">
      <c r="A3897" s="4" t="s">
        <v>6459</v>
      </c>
      <c r="B3897" s="4" t="s">
        <v>38</v>
      </c>
      <c r="C3897" s="37" t="s">
        <v>6182</v>
      </c>
      <c r="D3897" s="35">
        <v>6074</v>
      </c>
      <c r="E3897" s="4" t="s">
        <v>6460</v>
      </c>
      <c r="F3897" s="5">
        <v>39839</v>
      </c>
      <c r="G3897" s="5">
        <v>40179</v>
      </c>
      <c r="H3897" s="4" t="s">
        <v>40</v>
      </c>
      <c r="I3897" s="6">
        <v>657.24</v>
      </c>
      <c r="J3897" s="6">
        <v>657.24</v>
      </c>
      <c r="K3897" s="37" t="s">
        <v>6182</v>
      </c>
      <c r="L3897" s="120"/>
      <c r="M3897" s="3"/>
    </row>
    <row r="3898" spans="1:13" s="4" customFormat="1" ht="25.5" x14ac:dyDescent="0.25">
      <c r="A3898" s="4" t="s">
        <v>6461</v>
      </c>
      <c r="B3898" s="4" t="s">
        <v>38</v>
      </c>
      <c r="C3898" s="37" t="s">
        <v>6182</v>
      </c>
      <c r="D3898" s="35">
        <v>6075</v>
      </c>
      <c r="E3898" s="4" t="s">
        <v>6462</v>
      </c>
      <c r="F3898" s="5">
        <v>39839</v>
      </c>
      <c r="G3898" s="5">
        <v>40179</v>
      </c>
      <c r="H3898" s="4" t="s">
        <v>40</v>
      </c>
      <c r="I3898" s="6">
        <v>2522.66</v>
      </c>
      <c r="J3898" s="6">
        <v>2522.66</v>
      </c>
      <c r="K3898" s="37" t="s">
        <v>6182</v>
      </c>
      <c r="L3898" s="120"/>
      <c r="M3898" s="3"/>
    </row>
    <row r="3899" spans="1:13" s="4" customFormat="1" ht="25.5" x14ac:dyDescent="0.25">
      <c r="A3899" s="4" t="s">
        <v>6463</v>
      </c>
      <c r="B3899" s="4" t="s">
        <v>38</v>
      </c>
      <c r="C3899" s="37" t="s">
        <v>6182</v>
      </c>
      <c r="D3899" s="35">
        <v>6076</v>
      </c>
      <c r="E3899" s="4" t="s">
        <v>6464</v>
      </c>
      <c r="F3899" s="5">
        <v>39839</v>
      </c>
      <c r="G3899" s="5">
        <v>40140</v>
      </c>
      <c r="H3899" s="4" t="s">
        <v>40</v>
      </c>
      <c r="I3899" s="6">
        <v>2428.96</v>
      </c>
      <c r="J3899" s="6">
        <v>2428.96</v>
      </c>
      <c r="K3899" s="37" t="s">
        <v>6182</v>
      </c>
      <c r="L3899" s="120"/>
      <c r="M3899" s="3"/>
    </row>
    <row r="3900" spans="1:13" s="4" customFormat="1" ht="25.5" x14ac:dyDescent="0.25">
      <c r="A3900" s="4" t="s">
        <v>6465</v>
      </c>
      <c r="B3900" s="4" t="s">
        <v>38</v>
      </c>
      <c r="C3900" s="37" t="s">
        <v>6182</v>
      </c>
      <c r="D3900" s="35">
        <v>6077</v>
      </c>
      <c r="E3900" s="4" t="s">
        <v>6466</v>
      </c>
      <c r="F3900" s="5">
        <v>39839</v>
      </c>
      <c r="G3900" s="5">
        <v>40107</v>
      </c>
      <c r="H3900" s="4" t="s">
        <v>40</v>
      </c>
      <c r="I3900" s="6">
        <v>1422</v>
      </c>
      <c r="J3900" s="6">
        <v>1422</v>
      </c>
      <c r="K3900" s="37" t="s">
        <v>6182</v>
      </c>
      <c r="L3900" s="120"/>
      <c r="M3900" s="3"/>
    </row>
    <row r="3901" spans="1:13" s="4" customFormat="1" ht="25.5" x14ac:dyDescent="0.25">
      <c r="A3901" s="4" t="s">
        <v>6467</v>
      </c>
      <c r="B3901" s="4" t="s">
        <v>38</v>
      </c>
      <c r="C3901" s="37" t="s">
        <v>6182</v>
      </c>
      <c r="D3901" s="35">
        <v>6078</v>
      </c>
      <c r="E3901" s="4" t="s">
        <v>6468</v>
      </c>
      <c r="F3901" s="5">
        <v>39839</v>
      </c>
      <c r="G3901" s="5">
        <v>40225</v>
      </c>
      <c r="H3901" s="4" t="s">
        <v>40</v>
      </c>
      <c r="I3901" s="6">
        <v>5354.13</v>
      </c>
      <c r="J3901" s="6">
        <v>5354.13</v>
      </c>
      <c r="K3901" s="37" t="s">
        <v>6182</v>
      </c>
      <c r="L3901" s="120"/>
      <c r="M3901" s="3"/>
    </row>
    <row r="3902" spans="1:13" s="4" customFormat="1" ht="25.5" x14ac:dyDescent="0.25">
      <c r="A3902" s="4" t="s">
        <v>6469</v>
      </c>
      <c r="B3902" s="4" t="s">
        <v>38</v>
      </c>
      <c r="C3902" s="37" t="s">
        <v>6182</v>
      </c>
      <c r="D3902" s="35">
        <v>6079</v>
      </c>
      <c r="E3902" s="4" t="s">
        <v>6470</v>
      </c>
      <c r="F3902" s="5">
        <v>39839</v>
      </c>
      <c r="G3902" s="5">
        <v>40137</v>
      </c>
      <c r="H3902" s="4" t="s">
        <v>40</v>
      </c>
      <c r="I3902" s="6">
        <v>2310.62</v>
      </c>
      <c r="J3902" s="6">
        <v>2310.62</v>
      </c>
      <c r="K3902" s="37" t="s">
        <v>6182</v>
      </c>
      <c r="L3902" s="120"/>
      <c r="M3902" s="3"/>
    </row>
    <row r="3903" spans="1:13" s="4" customFormat="1" ht="25.5" x14ac:dyDescent="0.25">
      <c r="A3903" s="4" t="s">
        <v>6471</v>
      </c>
      <c r="B3903" s="4" t="s">
        <v>38</v>
      </c>
      <c r="C3903" s="37" t="s">
        <v>6182</v>
      </c>
      <c r="D3903" s="35">
        <v>6080</v>
      </c>
      <c r="E3903" s="4" t="s">
        <v>6472</v>
      </c>
      <c r="F3903" s="5">
        <v>39839</v>
      </c>
      <c r="G3903" s="5">
        <v>40225</v>
      </c>
      <c r="H3903" s="4" t="s">
        <v>40</v>
      </c>
      <c r="I3903" s="6">
        <v>53825.88</v>
      </c>
      <c r="J3903" s="6">
        <v>53825.88</v>
      </c>
      <c r="K3903" s="37" t="s">
        <v>6182</v>
      </c>
      <c r="L3903" s="120"/>
      <c r="M3903" s="3"/>
    </row>
    <row r="3904" spans="1:13" s="4" customFormat="1" ht="38.25" x14ac:dyDescent="0.25">
      <c r="A3904" s="4" t="s">
        <v>6473</v>
      </c>
      <c r="B3904" s="4" t="s">
        <v>38</v>
      </c>
      <c r="C3904" s="37" t="s">
        <v>6182</v>
      </c>
      <c r="D3904" s="35">
        <v>6097</v>
      </c>
      <c r="E3904" s="4" t="s">
        <v>6474</v>
      </c>
      <c r="F3904" s="5">
        <v>39839</v>
      </c>
      <c r="G3904" s="5">
        <v>40394</v>
      </c>
      <c r="H3904" s="4" t="s">
        <v>40</v>
      </c>
      <c r="I3904" s="6">
        <v>38946.730000000003</v>
      </c>
      <c r="J3904" s="6">
        <v>38946.730000000003</v>
      </c>
      <c r="K3904" s="37" t="s">
        <v>6182</v>
      </c>
      <c r="L3904" s="120"/>
      <c r="M3904" s="3"/>
    </row>
    <row r="3905" spans="1:13" s="4" customFormat="1" ht="63.75" x14ac:dyDescent="0.25">
      <c r="A3905" s="4" t="s">
        <v>6475</v>
      </c>
      <c r="B3905" s="4" t="s">
        <v>183</v>
      </c>
      <c r="C3905" s="37" t="s">
        <v>6182</v>
      </c>
      <c r="D3905" s="35">
        <v>7730</v>
      </c>
      <c r="E3905" s="4" t="s">
        <v>6476</v>
      </c>
      <c r="F3905" s="5">
        <v>40519</v>
      </c>
      <c r="H3905" s="4" t="s">
        <v>40</v>
      </c>
      <c r="I3905" s="6">
        <v>20500</v>
      </c>
      <c r="J3905" s="6">
        <v>20500</v>
      </c>
      <c r="K3905" s="37" t="s">
        <v>6182</v>
      </c>
      <c r="L3905" s="120"/>
      <c r="M3905" s="3"/>
    </row>
    <row r="3906" spans="1:13" s="4" customFormat="1" ht="51" x14ac:dyDescent="0.25">
      <c r="A3906" s="4" t="s">
        <v>6477</v>
      </c>
      <c r="B3906" s="4" t="s">
        <v>183</v>
      </c>
      <c r="C3906" s="37" t="s">
        <v>6182</v>
      </c>
      <c r="D3906" s="35">
        <v>7733</v>
      </c>
      <c r="E3906" s="4" t="s">
        <v>6478</v>
      </c>
      <c r="F3906" s="5">
        <v>40303</v>
      </c>
      <c r="H3906" s="4" t="s">
        <v>40</v>
      </c>
      <c r="I3906" s="6">
        <v>3000</v>
      </c>
      <c r="J3906" s="6">
        <v>3000</v>
      </c>
      <c r="K3906" s="37" t="s">
        <v>6182</v>
      </c>
      <c r="L3906" s="120"/>
      <c r="M3906" s="3"/>
    </row>
    <row r="3907" spans="1:13" s="4" customFormat="1" ht="38.25" x14ac:dyDescent="0.25">
      <c r="A3907" s="4" t="s">
        <v>6479</v>
      </c>
      <c r="B3907" s="4" t="s">
        <v>190</v>
      </c>
      <c r="C3907" s="37" t="s">
        <v>6182</v>
      </c>
      <c r="D3907" s="35">
        <v>7734</v>
      </c>
      <c r="E3907" s="4" t="s">
        <v>6480</v>
      </c>
      <c r="F3907" s="5">
        <v>40518</v>
      </c>
      <c r="H3907" s="4" t="s">
        <v>40</v>
      </c>
      <c r="I3907" s="6">
        <v>64560</v>
      </c>
      <c r="J3907" s="6">
        <v>32280</v>
      </c>
      <c r="K3907" s="37" t="s">
        <v>6182</v>
      </c>
      <c r="L3907" s="120"/>
      <c r="M3907" s="3"/>
    </row>
    <row r="3908" spans="1:13" s="4" customFormat="1" ht="51" x14ac:dyDescent="0.25">
      <c r="A3908" s="4" t="s">
        <v>6481</v>
      </c>
      <c r="B3908" s="4" t="s">
        <v>50</v>
      </c>
      <c r="C3908" s="37" t="s">
        <v>6182</v>
      </c>
      <c r="D3908" s="35">
        <v>7737</v>
      </c>
      <c r="E3908" s="4" t="s">
        <v>6482</v>
      </c>
      <c r="F3908" s="5">
        <v>40319</v>
      </c>
      <c r="H3908" s="4" t="s">
        <v>40</v>
      </c>
      <c r="I3908" s="6">
        <v>79000</v>
      </c>
      <c r="J3908" s="6">
        <v>39500</v>
      </c>
      <c r="K3908" s="37" t="s">
        <v>6182</v>
      </c>
      <c r="L3908" s="120"/>
      <c r="M3908" s="3"/>
    </row>
    <row r="3909" spans="1:13" s="4" customFormat="1" ht="63.75" x14ac:dyDescent="0.25">
      <c r="A3909" s="4" t="s">
        <v>6483</v>
      </c>
      <c r="B3909" s="4" t="s">
        <v>50</v>
      </c>
      <c r="C3909" s="37" t="s">
        <v>6182</v>
      </c>
      <c r="D3909" s="35">
        <v>7738</v>
      </c>
      <c r="E3909" s="4" t="s">
        <v>6484</v>
      </c>
      <c r="F3909" s="5">
        <v>40394</v>
      </c>
      <c r="H3909" s="4" t="s">
        <v>40</v>
      </c>
      <c r="I3909" s="6">
        <v>47690</v>
      </c>
      <c r="J3909" s="6">
        <v>21600</v>
      </c>
      <c r="K3909" s="37" t="s">
        <v>6182</v>
      </c>
      <c r="L3909" s="120"/>
      <c r="M3909" s="3"/>
    </row>
    <row r="3910" spans="1:13" s="4" customFormat="1" ht="38.25" x14ac:dyDescent="0.25">
      <c r="A3910" s="4" t="s">
        <v>6485</v>
      </c>
      <c r="B3910" s="4" t="s">
        <v>190</v>
      </c>
      <c r="C3910" s="37" t="s">
        <v>6182</v>
      </c>
      <c r="D3910" s="35">
        <v>7739</v>
      </c>
      <c r="E3910" s="4" t="s">
        <v>6486</v>
      </c>
      <c r="F3910" s="5">
        <v>40200</v>
      </c>
      <c r="H3910" s="4" t="s">
        <v>40</v>
      </c>
      <c r="I3910" s="6">
        <v>62500</v>
      </c>
      <c r="J3910" s="6">
        <v>25000</v>
      </c>
      <c r="K3910" s="37" t="s">
        <v>6182</v>
      </c>
      <c r="L3910" s="120"/>
      <c r="M3910" s="3"/>
    </row>
    <row r="3911" spans="1:13" s="4" customFormat="1" ht="51" x14ac:dyDescent="0.25">
      <c r="A3911" s="4" t="s">
        <v>6489</v>
      </c>
      <c r="B3911" s="4" t="s">
        <v>183</v>
      </c>
      <c r="C3911" s="37" t="s">
        <v>6182</v>
      </c>
      <c r="D3911" s="35">
        <v>7741</v>
      </c>
      <c r="E3911" s="4" t="s">
        <v>6490</v>
      </c>
      <c r="F3911" s="5">
        <v>40519</v>
      </c>
      <c r="H3911" s="4" t="s">
        <v>40</v>
      </c>
      <c r="I3911" s="6">
        <v>88570</v>
      </c>
      <c r="J3911" s="6">
        <v>26550</v>
      </c>
      <c r="K3911" s="37" t="s">
        <v>6182</v>
      </c>
      <c r="L3911" s="120"/>
      <c r="M3911" s="3"/>
    </row>
    <row r="3912" spans="1:13" s="4" customFormat="1" ht="25.5" x14ac:dyDescent="0.25">
      <c r="A3912" s="4" t="s">
        <v>6491</v>
      </c>
      <c r="B3912" s="4" t="s">
        <v>183</v>
      </c>
      <c r="C3912" s="37" t="s">
        <v>6182</v>
      </c>
      <c r="D3912" s="35">
        <v>7742</v>
      </c>
      <c r="E3912" s="4" t="s">
        <v>6492</v>
      </c>
      <c r="F3912" s="5">
        <v>40507</v>
      </c>
      <c r="H3912" s="4" t="s">
        <v>40</v>
      </c>
      <c r="I3912" s="6">
        <v>4000</v>
      </c>
      <c r="J3912" s="6">
        <v>4000</v>
      </c>
      <c r="K3912" s="37" t="s">
        <v>6182</v>
      </c>
      <c r="L3912" s="120"/>
      <c r="M3912" s="3"/>
    </row>
    <row r="3913" spans="1:13" s="4" customFormat="1" ht="38.25" x14ac:dyDescent="0.25">
      <c r="A3913" s="4" t="s">
        <v>6493</v>
      </c>
      <c r="B3913" s="4" t="s">
        <v>59</v>
      </c>
      <c r="C3913" s="37" t="s">
        <v>6182</v>
      </c>
      <c r="D3913" s="35">
        <v>7743</v>
      </c>
      <c r="E3913" s="4" t="s">
        <v>6494</v>
      </c>
      <c r="F3913" s="5">
        <v>40245</v>
      </c>
      <c r="H3913" s="4" t="s">
        <v>40</v>
      </c>
      <c r="I3913" s="6">
        <v>3750</v>
      </c>
      <c r="J3913" s="6">
        <v>3750</v>
      </c>
      <c r="K3913" s="37" t="s">
        <v>6182</v>
      </c>
      <c r="L3913" s="120"/>
      <c r="M3913" s="3"/>
    </row>
    <row r="3914" spans="1:13" s="4" customFormat="1" ht="76.5" x14ac:dyDescent="0.25">
      <c r="A3914" s="4" t="s">
        <v>6497</v>
      </c>
      <c r="B3914" s="4" t="s">
        <v>183</v>
      </c>
      <c r="C3914" s="37" t="s">
        <v>6182</v>
      </c>
      <c r="D3914" s="35">
        <v>7745</v>
      </c>
      <c r="E3914" s="4" t="s">
        <v>6498</v>
      </c>
      <c r="F3914" s="5">
        <v>40266</v>
      </c>
      <c r="H3914" s="4" t="s">
        <v>40</v>
      </c>
      <c r="I3914" s="6">
        <v>7500</v>
      </c>
      <c r="J3914" s="6">
        <v>7500</v>
      </c>
      <c r="K3914" s="37" t="s">
        <v>6182</v>
      </c>
      <c r="L3914" s="120"/>
      <c r="M3914" s="3"/>
    </row>
    <row r="3915" spans="1:13" s="4" customFormat="1" ht="51" x14ac:dyDescent="0.25">
      <c r="A3915" s="4" t="s">
        <v>6499</v>
      </c>
      <c r="B3915" s="4" t="s">
        <v>183</v>
      </c>
      <c r="C3915" s="37" t="s">
        <v>6182</v>
      </c>
      <c r="D3915" s="35">
        <v>7746</v>
      </c>
      <c r="E3915" s="4" t="s">
        <v>6500</v>
      </c>
      <c r="F3915" s="5">
        <v>40394</v>
      </c>
      <c r="H3915" s="4" t="s">
        <v>40</v>
      </c>
      <c r="I3915" s="6">
        <v>9431</v>
      </c>
      <c r="J3915" s="6">
        <v>9431</v>
      </c>
      <c r="K3915" s="37" t="s">
        <v>6182</v>
      </c>
      <c r="L3915" s="120"/>
      <c r="M3915" s="3"/>
    </row>
    <row r="3916" spans="1:13" s="4" customFormat="1" ht="89.25" x14ac:dyDescent="0.25">
      <c r="A3916" s="4" t="s">
        <v>6501</v>
      </c>
      <c r="B3916" s="4" t="s">
        <v>183</v>
      </c>
      <c r="C3916" s="37" t="s">
        <v>6182</v>
      </c>
      <c r="D3916" s="35">
        <v>7747</v>
      </c>
      <c r="E3916" s="7" t="s">
        <v>6502</v>
      </c>
      <c r="F3916" s="5">
        <v>40266</v>
      </c>
      <c r="H3916" s="4" t="s">
        <v>40</v>
      </c>
      <c r="I3916" s="6">
        <v>6000</v>
      </c>
      <c r="J3916" s="6">
        <v>6000</v>
      </c>
      <c r="K3916" s="37" t="s">
        <v>6182</v>
      </c>
      <c r="L3916" s="120"/>
      <c r="M3916" s="3"/>
    </row>
    <row r="3917" spans="1:13" s="4" customFormat="1" ht="63.75" x14ac:dyDescent="0.25">
      <c r="A3917" s="4" t="s">
        <v>6503</v>
      </c>
      <c r="B3917" s="4" t="s">
        <v>50</v>
      </c>
      <c r="C3917" s="37" t="s">
        <v>6182</v>
      </c>
      <c r="D3917" s="35">
        <v>7748</v>
      </c>
      <c r="E3917" s="4" t="s">
        <v>6504</v>
      </c>
      <c r="F3917" s="5">
        <v>40317</v>
      </c>
      <c r="H3917" s="4" t="s">
        <v>40</v>
      </c>
      <c r="I3917" s="6">
        <v>7900</v>
      </c>
      <c r="J3917" s="6">
        <v>3900</v>
      </c>
      <c r="K3917" s="37" t="s">
        <v>6182</v>
      </c>
      <c r="L3917" s="120"/>
      <c r="M3917" s="3"/>
    </row>
    <row r="3918" spans="1:13" s="4" customFormat="1" ht="89.25" x14ac:dyDescent="0.25">
      <c r="A3918" s="4" t="s">
        <v>6505</v>
      </c>
      <c r="B3918" s="4" t="s">
        <v>183</v>
      </c>
      <c r="C3918" s="37" t="s">
        <v>6182</v>
      </c>
      <c r="D3918" s="35">
        <v>7749</v>
      </c>
      <c r="E3918" s="7" t="s">
        <v>6506</v>
      </c>
      <c r="F3918" s="5">
        <v>40529</v>
      </c>
      <c r="H3918" s="4" t="s">
        <v>40</v>
      </c>
      <c r="I3918" s="6">
        <v>137500</v>
      </c>
      <c r="J3918" s="6">
        <v>72500</v>
      </c>
      <c r="K3918" s="37" t="s">
        <v>6182</v>
      </c>
      <c r="L3918" s="120"/>
      <c r="M3918" s="3"/>
    </row>
    <row r="3919" spans="1:13" s="4" customFormat="1" ht="63.75" x14ac:dyDescent="0.25">
      <c r="A3919" s="4" t="s">
        <v>6507</v>
      </c>
      <c r="B3919" s="4" t="s">
        <v>59</v>
      </c>
      <c r="C3919" s="37" t="s">
        <v>6182</v>
      </c>
      <c r="D3919" s="35">
        <v>7750</v>
      </c>
      <c r="E3919" s="4" t="s">
        <v>6508</v>
      </c>
      <c r="F3919" s="5">
        <v>40225</v>
      </c>
      <c r="H3919" s="4" t="s">
        <v>40</v>
      </c>
      <c r="I3919" s="6">
        <v>3250</v>
      </c>
      <c r="J3919" s="6">
        <v>3250</v>
      </c>
      <c r="K3919" s="37" t="s">
        <v>6182</v>
      </c>
      <c r="L3919" s="120"/>
      <c r="M3919" s="3"/>
    </row>
    <row r="3920" spans="1:13" s="4" customFormat="1" ht="38.25" x14ac:dyDescent="0.25">
      <c r="A3920" s="4" t="s">
        <v>6509</v>
      </c>
      <c r="B3920" s="4" t="s">
        <v>59</v>
      </c>
      <c r="C3920" s="37" t="s">
        <v>6182</v>
      </c>
      <c r="D3920" s="35">
        <v>7751</v>
      </c>
      <c r="E3920" s="4" t="s">
        <v>6510</v>
      </c>
      <c r="F3920" s="5">
        <v>40318</v>
      </c>
      <c r="H3920" s="4" t="s">
        <v>40</v>
      </c>
      <c r="I3920" s="6">
        <v>3750</v>
      </c>
      <c r="J3920" s="6">
        <v>3750</v>
      </c>
      <c r="K3920" s="37" t="s">
        <v>6182</v>
      </c>
      <c r="L3920" s="120"/>
      <c r="M3920" s="3"/>
    </row>
    <row r="3921" spans="1:13" s="4" customFormat="1" ht="51" x14ac:dyDescent="0.25">
      <c r="A3921" s="4" t="s">
        <v>6511</v>
      </c>
      <c r="B3921" s="4" t="s">
        <v>183</v>
      </c>
      <c r="C3921" s="37" t="s">
        <v>6182</v>
      </c>
      <c r="D3921" s="35">
        <v>7752</v>
      </c>
      <c r="E3921" s="4" t="s">
        <v>6512</v>
      </c>
      <c r="F3921" s="5">
        <v>40303</v>
      </c>
      <c r="H3921" s="4" t="s">
        <v>40</v>
      </c>
      <c r="I3921" s="6">
        <v>16000</v>
      </c>
      <c r="J3921" s="6">
        <v>16000</v>
      </c>
      <c r="K3921" s="37" t="s">
        <v>6182</v>
      </c>
      <c r="L3921" s="120"/>
      <c r="M3921" s="3"/>
    </row>
    <row r="3922" spans="1:13" s="4" customFormat="1" ht="51" x14ac:dyDescent="0.25">
      <c r="A3922" s="4" t="s">
        <v>6513</v>
      </c>
      <c r="B3922" s="4" t="s">
        <v>59</v>
      </c>
      <c r="C3922" s="37" t="s">
        <v>6182</v>
      </c>
      <c r="D3922" s="35">
        <v>7753</v>
      </c>
      <c r="E3922" s="4" t="s">
        <v>6514</v>
      </c>
      <c r="F3922" s="5">
        <v>40200</v>
      </c>
      <c r="H3922" s="4" t="s">
        <v>40</v>
      </c>
      <c r="I3922" s="6">
        <v>3000</v>
      </c>
      <c r="J3922" s="6">
        <v>3000</v>
      </c>
      <c r="K3922" s="37" t="s">
        <v>6182</v>
      </c>
      <c r="L3922" s="120"/>
      <c r="M3922" s="3"/>
    </row>
    <row r="3923" spans="1:13" s="4" customFormat="1" ht="38.25" x14ac:dyDescent="0.25">
      <c r="A3923" s="4" t="s">
        <v>6515</v>
      </c>
      <c r="B3923" s="4" t="s">
        <v>38</v>
      </c>
      <c r="C3923" s="37" t="s">
        <v>6182</v>
      </c>
      <c r="D3923" s="35">
        <v>7755</v>
      </c>
      <c r="E3923" s="4" t="s">
        <v>6516</v>
      </c>
      <c r="F3923" s="5">
        <v>40249</v>
      </c>
      <c r="G3923" s="5">
        <v>40525</v>
      </c>
      <c r="H3923" s="4" t="s">
        <v>40</v>
      </c>
      <c r="I3923" s="6">
        <v>14460.42</v>
      </c>
      <c r="J3923" s="6">
        <v>14460.42</v>
      </c>
      <c r="K3923" s="37" t="s">
        <v>6182</v>
      </c>
      <c r="L3923" s="120"/>
      <c r="M3923" s="3"/>
    </row>
    <row r="3924" spans="1:13" s="4" customFormat="1" ht="38.25" x14ac:dyDescent="0.25">
      <c r="A3924" s="4" t="s">
        <v>6517</v>
      </c>
      <c r="B3924" s="4" t="s">
        <v>38</v>
      </c>
      <c r="C3924" s="37" t="s">
        <v>6182</v>
      </c>
      <c r="D3924" s="35">
        <v>7769</v>
      </c>
      <c r="E3924" s="4" t="s">
        <v>6518</v>
      </c>
      <c r="F3924" s="5">
        <v>40533</v>
      </c>
      <c r="G3924" s="5">
        <v>40533</v>
      </c>
      <c r="H3924" s="4" t="s">
        <v>40</v>
      </c>
      <c r="I3924" s="6">
        <v>2691.04</v>
      </c>
      <c r="J3924" s="6">
        <v>2691.04</v>
      </c>
      <c r="K3924" s="37" t="s">
        <v>6182</v>
      </c>
      <c r="L3924" s="120"/>
      <c r="M3924" s="3"/>
    </row>
    <row r="3925" spans="1:13" s="4" customFormat="1" ht="76.5" x14ac:dyDescent="0.25">
      <c r="A3925" s="4" t="s">
        <v>6519</v>
      </c>
      <c r="B3925" s="4" t="s">
        <v>38</v>
      </c>
      <c r="C3925" s="37" t="s">
        <v>6182</v>
      </c>
      <c r="D3925" s="35">
        <v>7770</v>
      </c>
      <c r="E3925" s="4" t="s">
        <v>6444</v>
      </c>
      <c r="F3925" s="5">
        <v>40218</v>
      </c>
      <c r="G3925" s="5">
        <v>40515</v>
      </c>
      <c r="H3925" s="4" t="s">
        <v>40</v>
      </c>
      <c r="I3925" s="6">
        <v>3571.64</v>
      </c>
      <c r="J3925" s="6">
        <v>3571.64</v>
      </c>
      <c r="K3925" s="37" t="s">
        <v>6182</v>
      </c>
      <c r="L3925" s="120"/>
      <c r="M3925" s="3"/>
    </row>
    <row r="3926" spans="1:13" s="4" customFormat="1" ht="63.75" x14ac:dyDescent="0.25">
      <c r="A3926" s="4" t="s">
        <v>6520</v>
      </c>
      <c r="B3926" s="4" t="s">
        <v>38</v>
      </c>
      <c r="C3926" s="37" t="s">
        <v>6182</v>
      </c>
      <c r="D3926" s="35">
        <v>7771</v>
      </c>
      <c r="E3926" s="4" t="s">
        <v>6521</v>
      </c>
      <c r="F3926" s="5">
        <v>40204</v>
      </c>
      <c r="G3926" s="5">
        <v>40325</v>
      </c>
      <c r="H3926" s="4" t="s">
        <v>40</v>
      </c>
      <c r="I3926" s="6">
        <v>2429.5700000000002</v>
      </c>
      <c r="J3926" s="6">
        <v>2429.5700000000002</v>
      </c>
      <c r="K3926" s="37" t="s">
        <v>6182</v>
      </c>
      <c r="L3926" s="120"/>
      <c r="M3926" s="3"/>
    </row>
    <row r="3927" spans="1:13" s="4" customFormat="1" ht="76.5" x14ac:dyDescent="0.25">
      <c r="A3927" s="4" t="s">
        <v>6404</v>
      </c>
      <c r="B3927" s="4" t="s">
        <v>38</v>
      </c>
      <c r="C3927" s="37" t="s">
        <v>6182</v>
      </c>
      <c r="D3927" s="35">
        <v>7772</v>
      </c>
      <c r="E3927" s="4" t="s">
        <v>6522</v>
      </c>
      <c r="F3927" s="5">
        <v>40297</v>
      </c>
      <c r="G3927" s="5">
        <v>40442</v>
      </c>
      <c r="H3927" s="4" t="s">
        <v>40</v>
      </c>
      <c r="I3927" s="6">
        <v>353.24</v>
      </c>
      <c r="J3927" s="6">
        <v>353.24</v>
      </c>
      <c r="K3927" s="37" t="s">
        <v>6182</v>
      </c>
      <c r="L3927" s="120"/>
      <c r="M3927" s="3"/>
    </row>
    <row r="3928" spans="1:13" s="4" customFormat="1" ht="51" x14ac:dyDescent="0.25">
      <c r="A3928" s="4" t="s">
        <v>6523</v>
      </c>
      <c r="B3928" s="4" t="s">
        <v>38</v>
      </c>
      <c r="C3928" s="37" t="s">
        <v>6182</v>
      </c>
      <c r="D3928" s="35">
        <v>7773</v>
      </c>
      <c r="E3928" s="4" t="s">
        <v>6524</v>
      </c>
      <c r="F3928" s="5">
        <v>40406</v>
      </c>
      <c r="G3928" s="5">
        <v>40406</v>
      </c>
      <c r="H3928" s="4" t="s">
        <v>40</v>
      </c>
      <c r="I3928" s="6">
        <v>1436</v>
      </c>
      <c r="J3928" s="6">
        <v>1436</v>
      </c>
      <c r="K3928" s="37" t="s">
        <v>6182</v>
      </c>
      <c r="L3928" s="120"/>
      <c r="M3928" s="3"/>
    </row>
    <row r="3929" spans="1:13" s="4" customFormat="1" ht="76.5" x14ac:dyDescent="0.25">
      <c r="A3929" s="4" t="s">
        <v>6525</v>
      </c>
      <c r="B3929" s="4" t="s">
        <v>38</v>
      </c>
      <c r="C3929" s="37" t="s">
        <v>6182</v>
      </c>
      <c r="D3929" s="35">
        <v>7774</v>
      </c>
      <c r="E3929" s="4" t="s">
        <v>6526</v>
      </c>
      <c r="F3929" s="5">
        <v>40318</v>
      </c>
      <c r="G3929" s="5">
        <v>40525</v>
      </c>
      <c r="H3929" s="4" t="s">
        <v>40</v>
      </c>
      <c r="I3929" s="6">
        <v>6907.1</v>
      </c>
      <c r="J3929" s="6">
        <v>6907.1</v>
      </c>
      <c r="K3929" s="37" t="s">
        <v>6182</v>
      </c>
      <c r="L3929" s="120"/>
      <c r="M3929" s="3"/>
    </row>
    <row r="3930" spans="1:13" s="4" customFormat="1" ht="63.75" x14ac:dyDescent="0.25">
      <c r="A3930" s="4" t="s">
        <v>6527</v>
      </c>
      <c r="B3930" s="4" t="s">
        <v>38</v>
      </c>
      <c r="C3930" s="37" t="s">
        <v>6182</v>
      </c>
      <c r="D3930" s="35">
        <v>7776</v>
      </c>
      <c r="E3930" s="4" t="s">
        <v>6528</v>
      </c>
      <c r="F3930" s="5">
        <v>40241</v>
      </c>
      <c r="G3930" s="5">
        <v>40361</v>
      </c>
      <c r="H3930" s="4" t="s">
        <v>40</v>
      </c>
      <c r="I3930" s="6">
        <v>38617.629999999997</v>
      </c>
      <c r="J3930" s="6">
        <v>38617.629999999997</v>
      </c>
      <c r="K3930" s="37" t="s">
        <v>6182</v>
      </c>
      <c r="L3930" s="120"/>
      <c r="M3930" s="3"/>
    </row>
    <row r="3931" spans="1:13" s="4" customFormat="1" ht="89.25" x14ac:dyDescent="0.25">
      <c r="A3931" s="4" t="s">
        <v>3250</v>
      </c>
      <c r="B3931" s="4" t="s">
        <v>38</v>
      </c>
      <c r="C3931" s="37" t="s">
        <v>6182</v>
      </c>
      <c r="D3931" s="35">
        <v>7778</v>
      </c>
      <c r="E3931" s="7" t="s">
        <v>6529</v>
      </c>
      <c r="F3931" s="5">
        <v>40507</v>
      </c>
      <c r="G3931" s="5">
        <v>41274</v>
      </c>
      <c r="H3931" s="4" t="s">
        <v>40</v>
      </c>
      <c r="I3931" s="6">
        <v>25000</v>
      </c>
      <c r="J3931" s="6">
        <v>25000</v>
      </c>
      <c r="K3931" s="37" t="s">
        <v>6182</v>
      </c>
      <c r="L3931" s="120"/>
      <c r="M3931" s="3"/>
    </row>
    <row r="3932" spans="1:13" s="4" customFormat="1" ht="51" x14ac:dyDescent="0.25">
      <c r="A3932" s="4" t="s">
        <v>6530</v>
      </c>
      <c r="B3932" s="4" t="s">
        <v>38</v>
      </c>
      <c r="C3932" s="37" t="s">
        <v>6182</v>
      </c>
      <c r="D3932" s="35">
        <v>7779</v>
      </c>
      <c r="E3932" s="4" t="s">
        <v>6531</v>
      </c>
      <c r="F3932" s="5">
        <v>40533</v>
      </c>
      <c r="G3932" s="5">
        <v>40533</v>
      </c>
      <c r="H3932" s="4" t="s">
        <v>40</v>
      </c>
      <c r="I3932" s="6">
        <v>5200</v>
      </c>
      <c r="J3932" s="6">
        <v>5200</v>
      </c>
      <c r="K3932" s="37" t="s">
        <v>6182</v>
      </c>
      <c r="L3932" s="120"/>
      <c r="M3932" s="3"/>
    </row>
    <row r="3933" spans="1:13" s="4" customFormat="1" ht="25.5" x14ac:dyDescent="0.25">
      <c r="A3933" s="4" t="s">
        <v>6532</v>
      </c>
      <c r="B3933" s="4" t="s">
        <v>38</v>
      </c>
      <c r="C3933" s="37" t="s">
        <v>6182</v>
      </c>
      <c r="D3933" s="35">
        <v>7787</v>
      </c>
      <c r="E3933" s="4" t="s">
        <v>6533</v>
      </c>
      <c r="F3933" s="5">
        <v>40225</v>
      </c>
      <c r="G3933" s="5">
        <v>40483</v>
      </c>
      <c r="H3933" s="4" t="s">
        <v>40</v>
      </c>
      <c r="I3933" s="6">
        <v>23770</v>
      </c>
      <c r="J3933" s="6">
        <v>23770</v>
      </c>
      <c r="K3933" s="37" t="s">
        <v>6182</v>
      </c>
      <c r="L3933" s="120"/>
      <c r="M3933" s="3"/>
    </row>
    <row r="3934" spans="1:13" s="4" customFormat="1" ht="51" x14ac:dyDescent="0.25">
      <c r="A3934" s="4" t="s">
        <v>6473</v>
      </c>
      <c r="B3934" s="4" t="s">
        <v>38</v>
      </c>
      <c r="C3934" s="37" t="s">
        <v>6182</v>
      </c>
      <c r="D3934" s="35">
        <v>7788</v>
      </c>
      <c r="E3934" s="4" t="s">
        <v>6534</v>
      </c>
      <c r="F3934" s="5">
        <v>40245</v>
      </c>
      <c r="G3934" s="5">
        <v>40395</v>
      </c>
      <c r="H3934" s="4" t="s">
        <v>40</v>
      </c>
      <c r="I3934" s="6">
        <v>26517.5</v>
      </c>
      <c r="J3934" s="6">
        <v>26517.5</v>
      </c>
      <c r="K3934" s="37" t="s">
        <v>6182</v>
      </c>
      <c r="L3934" s="120"/>
      <c r="M3934" s="3"/>
    </row>
    <row r="3935" spans="1:13" s="4" customFormat="1" ht="25.5" x14ac:dyDescent="0.25">
      <c r="A3935" s="4" t="s">
        <v>6535</v>
      </c>
      <c r="B3935" s="4" t="s">
        <v>38</v>
      </c>
      <c r="C3935" s="37" t="s">
        <v>6182</v>
      </c>
      <c r="D3935" s="35">
        <v>7789</v>
      </c>
      <c r="E3935" s="4" t="s">
        <v>6536</v>
      </c>
      <c r="F3935" s="5">
        <v>40297</v>
      </c>
      <c r="G3935" s="5">
        <v>40371</v>
      </c>
      <c r="H3935" s="4" t="s">
        <v>40</v>
      </c>
      <c r="I3935" s="6">
        <v>9389.5</v>
      </c>
      <c r="J3935" s="6">
        <v>9389.5</v>
      </c>
      <c r="K3935" s="37" t="s">
        <v>6182</v>
      </c>
      <c r="L3935" s="120"/>
      <c r="M3935" s="3"/>
    </row>
    <row r="3936" spans="1:13" s="4" customFormat="1" ht="38.25" x14ac:dyDescent="0.25">
      <c r="A3936" s="4" t="s">
        <v>6537</v>
      </c>
      <c r="B3936" s="4" t="s">
        <v>38</v>
      </c>
      <c r="C3936" s="37" t="s">
        <v>6182</v>
      </c>
      <c r="D3936" s="35">
        <v>7790</v>
      </c>
      <c r="E3936" s="4" t="s">
        <v>6538</v>
      </c>
      <c r="F3936" s="5">
        <v>40225</v>
      </c>
      <c r="G3936" s="5">
        <v>40309</v>
      </c>
      <c r="H3936" s="4" t="s">
        <v>40</v>
      </c>
      <c r="I3936" s="6">
        <v>3185.5</v>
      </c>
      <c r="J3936" s="6">
        <v>3185.5</v>
      </c>
      <c r="K3936" s="37" t="s">
        <v>6182</v>
      </c>
      <c r="L3936" s="120"/>
      <c r="M3936" s="3"/>
    </row>
    <row r="3937" spans="1:13" s="4" customFormat="1" ht="51" x14ac:dyDescent="0.25">
      <c r="A3937" s="4" t="s">
        <v>6539</v>
      </c>
      <c r="B3937" s="4" t="s">
        <v>38</v>
      </c>
      <c r="C3937" s="37" t="s">
        <v>6182</v>
      </c>
      <c r="D3937" s="35">
        <v>7791</v>
      </c>
      <c r="E3937" s="4" t="s">
        <v>6540</v>
      </c>
      <c r="F3937" s="5">
        <v>40268</v>
      </c>
      <c r="G3937" s="5">
        <v>40268</v>
      </c>
      <c r="H3937" s="4" t="s">
        <v>40</v>
      </c>
      <c r="I3937" s="6">
        <v>2345</v>
      </c>
      <c r="J3937" s="6">
        <v>2345</v>
      </c>
      <c r="K3937" s="37" t="s">
        <v>6182</v>
      </c>
      <c r="L3937" s="120"/>
      <c r="M3937" s="3"/>
    </row>
    <row r="3938" spans="1:13" s="4" customFormat="1" ht="51" x14ac:dyDescent="0.25">
      <c r="A3938" s="4" t="s">
        <v>6541</v>
      </c>
      <c r="B3938" s="4" t="s">
        <v>38</v>
      </c>
      <c r="C3938" s="37" t="s">
        <v>6182</v>
      </c>
      <c r="D3938" s="35">
        <v>7792</v>
      </c>
      <c r="E3938" s="4" t="s">
        <v>6542</v>
      </c>
      <c r="F3938" s="5">
        <v>40297</v>
      </c>
      <c r="G3938" s="5">
        <v>40330</v>
      </c>
      <c r="H3938" s="4" t="s">
        <v>40</v>
      </c>
      <c r="I3938" s="6">
        <v>2926.98</v>
      </c>
      <c r="J3938" s="6">
        <v>2926.98</v>
      </c>
      <c r="K3938" s="37" t="s">
        <v>6182</v>
      </c>
      <c r="L3938" s="120"/>
      <c r="M3938" s="3"/>
    </row>
    <row r="3939" spans="1:13" s="4" customFormat="1" ht="38.25" x14ac:dyDescent="0.25">
      <c r="A3939" s="4" t="s">
        <v>6543</v>
      </c>
      <c r="B3939" s="4" t="s">
        <v>38</v>
      </c>
      <c r="C3939" s="37" t="s">
        <v>6182</v>
      </c>
      <c r="D3939" s="35">
        <v>7793</v>
      </c>
      <c r="E3939" s="4" t="s">
        <v>6544</v>
      </c>
      <c r="F3939" s="5">
        <v>40245</v>
      </c>
      <c r="G3939" s="5">
        <v>40245</v>
      </c>
      <c r="H3939" s="4" t="s">
        <v>40</v>
      </c>
      <c r="I3939" s="6">
        <v>827.6</v>
      </c>
      <c r="J3939" s="6">
        <v>827.6</v>
      </c>
      <c r="K3939" s="37" t="s">
        <v>6182</v>
      </c>
      <c r="L3939" s="120"/>
      <c r="M3939" s="3"/>
    </row>
    <row r="3940" spans="1:13" s="4" customFormat="1" ht="38.25" x14ac:dyDescent="0.25">
      <c r="A3940" s="4" t="s">
        <v>6545</v>
      </c>
      <c r="B3940" s="4" t="s">
        <v>38</v>
      </c>
      <c r="C3940" s="37" t="s">
        <v>6182</v>
      </c>
      <c r="D3940" s="35">
        <v>7794</v>
      </c>
      <c r="E3940" s="4" t="s">
        <v>6546</v>
      </c>
      <c r="F3940" s="5">
        <v>40268</v>
      </c>
      <c r="G3940" s="5">
        <v>40297</v>
      </c>
      <c r="H3940" s="4" t="s">
        <v>40</v>
      </c>
      <c r="I3940" s="6">
        <v>810</v>
      </c>
      <c r="J3940" s="6">
        <v>810</v>
      </c>
      <c r="K3940" s="37" t="s">
        <v>6182</v>
      </c>
      <c r="L3940" s="120"/>
      <c r="M3940" s="3"/>
    </row>
    <row r="3941" spans="1:13" s="4" customFormat="1" ht="25.5" x14ac:dyDescent="0.25">
      <c r="A3941" s="4" t="s">
        <v>6547</v>
      </c>
      <c r="B3941" s="4" t="s">
        <v>38</v>
      </c>
      <c r="C3941" s="37" t="s">
        <v>6182</v>
      </c>
      <c r="D3941" s="35">
        <v>7795</v>
      </c>
      <c r="E3941" s="4" t="s">
        <v>6548</v>
      </c>
      <c r="F3941" s="5">
        <v>40245</v>
      </c>
      <c r="G3941" s="5">
        <v>40268</v>
      </c>
      <c r="H3941" s="4" t="s">
        <v>40</v>
      </c>
      <c r="I3941" s="6">
        <v>549</v>
      </c>
      <c r="J3941" s="6">
        <v>549</v>
      </c>
      <c r="K3941" s="37" t="s">
        <v>6182</v>
      </c>
      <c r="L3941" s="120"/>
      <c r="M3941" s="3"/>
    </row>
    <row r="3942" spans="1:13" s="4" customFormat="1" ht="51" x14ac:dyDescent="0.25">
      <c r="A3942" s="4" t="s">
        <v>6549</v>
      </c>
      <c r="B3942" s="4" t="s">
        <v>38</v>
      </c>
      <c r="C3942" s="37" t="s">
        <v>6182</v>
      </c>
      <c r="D3942" s="35">
        <v>7797</v>
      </c>
      <c r="E3942" s="4" t="s">
        <v>6550</v>
      </c>
      <c r="F3942" s="5">
        <v>40268</v>
      </c>
      <c r="G3942" s="5">
        <v>40297</v>
      </c>
      <c r="H3942" s="4" t="s">
        <v>40</v>
      </c>
      <c r="I3942" s="6">
        <v>606.25</v>
      </c>
      <c r="J3942" s="6">
        <v>606.25</v>
      </c>
      <c r="K3942" s="37" t="s">
        <v>6182</v>
      </c>
      <c r="L3942" s="120"/>
      <c r="M3942" s="3"/>
    </row>
    <row r="3943" spans="1:13" s="4" customFormat="1" ht="25.5" x14ac:dyDescent="0.25">
      <c r="A3943" s="4" t="s">
        <v>6551</v>
      </c>
      <c r="B3943" s="4" t="s">
        <v>38</v>
      </c>
      <c r="C3943" s="37" t="s">
        <v>6182</v>
      </c>
      <c r="D3943" s="35">
        <v>7798</v>
      </c>
      <c r="E3943" s="4" t="s">
        <v>6552</v>
      </c>
      <c r="F3943" s="5">
        <v>40297</v>
      </c>
      <c r="G3943" s="5">
        <v>40297</v>
      </c>
      <c r="H3943" s="4" t="s">
        <v>40</v>
      </c>
      <c r="I3943" s="6">
        <v>1430.7</v>
      </c>
      <c r="J3943" s="6">
        <v>1430.7</v>
      </c>
      <c r="K3943" s="37" t="s">
        <v>6182</v>
      </c>
      <c r="L3943" s="120"/>
      <c r="M3943" s="3"/>
    </row>
    <row r="3944" spans="1:13" s="4" customFormat="1" ht="51" x14ac:dyDescent="0.25">
      <c r="A3944" s="4" t="s">
        <v>6553</v>
      </c>
      <c r="B3944" s="4" t="s">
        <v>38</v>
      </c>
      <c r="C3944" s="37" t="s">
        <v>6182</v>
      </c>
      <c r="D3944" s="35">
        <v>7799</v>
      </c>
      <c r="E3944" s="4" t="s">
        <v>6554</v>
      </c>
      <c r="F3944" s="5">
        <v>40245</v>
      </c>
      <c r="G3944" s="5">
        <v>40297</v>
      </c>
      <c r="H3944" s="4" t="s">
        <v>40</v>
      </c>
      <c r="I3944" s="6">
        <v>4907.99</v>
      </c>
      <c r="J3944" s="6">
        <v>4907.99</v>
      </c>
      <c r="K3944" s="37" t="s">
        <v>6182</v>
      </c>
      <c r="L3944" s="120"/>
      <c r="M3944" s="3"/>
    </row>
    <row r="3945" spans="1:13" s="4" customFormat="1" ht="51" x14ac:dyDescent="0.25">
      <c r="A3945" s="4" t="s">
        <v>6420</v>
      </c>
      <c r="B3945" s="4" t="s">
        <v>38</v>
      </c>
      <c r="C3945" s="37" t="s">
        <v>6182</v>
      </c>
      <c r="D3945" s="35">
        <v>7800</v>
      </c>
      <c r="E3945" s="4" t="s">
        <v>6421</v>
      </c>
      <c r="F3945" s="5">
        <v>40245</v>
      </c>
      <c r="G3945" s="5">
        <v>40500</v>
      </c>
      <c r="H3945" s="4" t="s">
        <v>40</v>
      </c>
      <c r="I3945" s="6">
        <v>6231.7</v>
      </c>
      <c r="J3945" s="6">
        <v>6231.7</v>
      </c>
      <c r="K3945" s="37" t="s">
        <v>6182</v>
      </c>
      <c r="L3945" s="120"/>
      <c r="M3945" s="3"/>
    </row>
    <row r="3946" spans="1:13" s="4" customFormat="1" ht="63.75" x14ac:dyDescent="0.25">
      <c r="A3946" s="4" t="s">
        <v>6555</v>
      </c>
      <c r="B3946" s="4" t="s">
        <v>38</v>
      </c>
      <c r="C3946" s="37" t="s">
        <v>6182</v>
      </c>
      <c r="D3946" s="35">
        <v>7802</v>
      </c>
      <c r="E3946" s="4" t="s">
        <v>6556</v>
      </c>
      <c r="F3946" s="5">
        <v>40297</v>
      </c>
      <c r="G3946" s="5">
        <v>40330</v>
      </c>
      <c r="H3946" s="4" t="s">
        <v>40</v>
      </c>
      <c r="I3946" s="6">
        <v>3305.65</v>
      </c>
      <c r="J3946" s="6">
        <v>3305.65</v>
      </c>
      <c r="K3946" s="37" t="s">
        <v>6182</v>
      </c>
      <c r="L3946" s="120"/>
      <c r="M3946" s="3"/>
    </row>
    <row r="3947" spans="1:13" s="4" customFormat="1" ht="38.25" x14ac:dyDescent="0.25">
      <c r="A3947" s="4" t="s">
        <v>6557</v>
      </c>
      <c r="B3947" s="4" t="s">
        <v>38</v>
      </c>
      <c r="C3947" s="37" t="s">
        <v>6182</v>
      </c>
      <c r="D3947" s="35">
        <v>7812</v>
      </c>
      <c r="E3947" s="4" t="s">
        <v>6558</v>
      </c>
      <c r="F3947" s="5">
        <v>40297</v>
      </c>
      <c r="G3947" s="5">
        <v>40309</v>
      </c>
      <c r="H3947" s="4" t="s">
        <v>40</v>
      </c>
      <c r="I3947" s="6">
        <v>1864.03</v>
      </c>
      <c r="J3947" s="6">
        <v>1864.03</v>
      </c>
      <c r="K3947" s="37" t="s">
        <v>6182</v>
      </c>
      <c r="L3947" s="120"/>
      <c r="M3947" s="3"/>
    </row>
    <row r="3948" spans="1:13" s="4" customFormat="1" ht="38.25" x14ac:dyDescent="0.25">
      <c r="A3948" s="4" t="s">
        <v>6559</v>
      </c>
      <c r="B3948" s="4" t="s">
        <v>38</v>
      </c>
      <c r="C3948" s="37" t="s">
        <v>6182</v>
      </c>
      <c r="D3948" s="35">
        <v>7813</v>
      </c>
      <c r="E3948" s="4" t="s">
        <v>6560</v>
      </c>
      <c r="F3948" s="5">
        <v>40225</v>
      </c>
      <c r="G3948" s="5">
        <v>40485</v>
      </c>
      <c r="H3948" s="4" t="s">
        <v>40</v>
      </c>
      <c r="I3948" s="6">
        <v>1845</v>
      </c>
      <c r="J3948" s="6">
        <v>1845</v>
      </c>
      <c r="K3948" s="37" t="s">
        <v>6182</v>
      </c>
      <c r="L3948" s="120"/>
      <c r="M3948" s="3"/>
    </row>
    <row r="3949" spans="1:13" s="4" customFormat="1" ht="76.5" x14ac:dyDescent="0.25">
      <c r="A3949" s="4" t="s">
        <v>6561</v>
      </c>
      <c r="B3949" s="4" t="s">
        <v>38</v>
      </c>
      <c r="C3949" s="37" t="s">
        <v>6182</v>
      </c>
      <c r="D3949" s="35">
        <v>7816</v>
      </c>
      <c r="E3949" s="4" t="s">
        <v>6562</v>
      </c>
      <c r="F3949" s="5">
        <v>40297</v>
      </c>
      <c r="G3949" s="5">
        <v>40297</v>
      </c>
      <c r="H3949" s="4" t="s">
        <v>40</v>
      </c>
      <c r="I3949" s="6">
        <v>2844.37</v>
      </c>
      <c r="J3949" s="6">
        <v>2844.37</v>
      </c>
      <c r="K3949" s="37" t="s">
        <v>6182</v>
      </c>
      <c r="L3949" s="120"/>
      <c r="M3949" s="3"/>
    </row>
    <row r="3950" spans="1:13" s="4" customFormat="1" ht="25.5" x14ac:dyDescent="0.25">
      <c r="A3950" s="4" t="s">
        <v>6563</v>
      </c>
      <c r="B3950" s="4" t="s">
        <v>38</v>
      </c>
      <c r="C3950" s="37" t="s">
        <v>6182</v>
      </c>
      <c r="D3950" s="35">
        <v>7818</v>
      </c>
      <c r="E3950" s="4" t="s">
        <v>6564</v>
      </c>
      <c r="F3950" s="5">
        <v>40179</v>
      </c>
      <c r="G3950" s="5">
        <v>40543</v>
      </c>
      <c r="H3950" s="4" t="s">
        <v>40</v>
      </c>
      <c r="I3950" s="6">
        <v>55861.73</v>
      </c>
      <c r="J3950" s="6">
        <v>55861.73</v>
      </c>
      <c r="K3950" s="37" t="s">
        <v>6182</v>
      </c>
      <c r="L3950" s="120"/>
      <c r="M3950" s="3"/>
    </row>
    <row r="3951" spans="1:13" s="4" customFormat="1" ht="51" x14ac:dyDescent="0.25">
      <c r="A3951" s="4" t="s">
        <v>6565</v>
      </c>
      <c r="B3951" s="4" t="s">
        <v>183</v>
      </c>
      <c r="C3951" s="37" t="s">
        <v>6182</v>
      </c>
      <c r="D3951" s="35">
        <v>8967</v>
      </c>
      <c r="E3951" s="4" t="s">
        <v>6566</v>
      </c>
      <c r="F3951" s="5">
        <v>40483</v>
      </c>
      <c r="H3951" s="4" t="s">
        <v>40</v>
      </c>
      <c r="I3951" s="6">
        <v>28500</v>
      </c>
      <c r="J3951" s="6">
        <v>28500</v>
      </c>
      <c r="K3951" s="37" t="s">
        <v>6182</v>
      </c>
      <c r="L3951" s="120"/>
      <c r="M3951" s="3"/>
    </row>
    <row r="3952" spans="1:13" s="4" customFormat="1" ht="63.75" x14ac:dyDescent="0.25">
      <c r="A3952" s="4" t="s">
        <v>6567</v>
      </c>
      <c r="B3952" s="4" t="s">
        <v>190</v>
      </c>
      <c r="C3952" s="37" t="s">
        <v>6182</v>
      </c>
      <c r="D3952" s="35">
        <v>8969</v>
      </c>
      <c r="E3952" s="4" t="s">
        <v>6568</v>
      </c>
      <c r="F3952" s="5">
        <v>40631</v>
      </c>
      <c r="H3952" s="4" t="s">
        <v>40</v>
      </c>
      <c r="I3952" s="6">
        <v>15000</v>
      </c>
      <c r="J3952" s="6">
        <v>15000</v>
      </c>
      <c r="K3952" s="37" t="s">
        <v>6182</v>
      </c>
      <c r="L3952" s="120"/>
      <c r="M3952" s="3"/>
    </row>
    <row r="3953" spans="1:13" s="4" customFormat="1" ht="25.5" x14ac:dyDescent="0.25">
      <c r="A3953" s="4" t="s">
        <v>6569</v>
      </c>
      <c r="B3953" s="4" t="s">
        <v>183</v>
      </c>
      <c r="C3953" s="37" t="s">
        <v>6182</v>
      </c>
      <c r="D3953" s="35">
        <v>8970</v>
      </c>
      <c r="E3953" s="4" t="s">
        <v>6570</v>
      </c>
      <c r="F3953" s="5">
        <v>40686</v>
      </c>
      <c r="H3953" s="4" t="s">
        <v>40</v>
      </c>
      <c r="I3953" s="6">
        <v>15000</v>
      </c>
      <c r="J3953" s="6">
        <v>7500</v>
      </c>
      <c r="K3953" s="37" t="s">
        <v>6182</v>
      </c>
      <c r="L3953" s="120"/>
      <c r="M3953" s="3"/>
    </row>
    <row r="3954" spans="1:13" s="4" customFormat="1" ht="51" x14ac:dyDescent="0.25">
      <c r="A3954" s="4" t="s">
        <v>6571</v>
      </c>
      <c r="B3954" s="4" t="s">
        <v>190</v>
      </c>
      <c r="C3954" s="37" t="s">
        <v>6182</v>
      </c>
      <c r="D3954" s="35">
        <v>8986</v>
      </c>
      <c r="E3954" s="4" t="s">
        <v>6572</v>
      </c>
      <c r="F3954" s="5">
        <v>40630</v>
      </c>
      <c r="H3954" s="4" t="s">
        <v>40</v>
      </c>
      <c r="I3954" s="6">
        <v>37000</v>
      </c>
      <c r="J3954" s="6">
        <v>21000</v>
      </c>
      <c r="K3954" s="37" t="s">
        <v>6182</v>
      </c>
      <c r="L3954" s="120"/>
      <c r="M3954" s="3"/>
    </row>
    <row r="3955" spans="1:13" s="4" customFormat="1" ht="38.25" x14ac:dyDescent="0.25">
      <c r="A3955" s="4" t="s">
        <v>6573</v>
      </c>
      <c r="B3955" s="4" t="s">
        <v>190</v>
      </c>
      <c r="C3955" s="37" t="s">
        <v>6182</v>
      </c>
      <c r="D3955" s="35">
        <v>8989</v>
      </c>
      <c r="E3955" s="4" t="s">
        <v>6574</v>
      </c>
      <c r="F3955" s="5">
        <v>40259</v>
      </c>
      <c r="G3955" s="5">
        <v>41639</v>
      </c>
      <c r="H3955" s="4" t="s">
        <v>40</v>
      </c>
      <c r="I3955" s="6">
        <v>6750</v>
      </c>
      <c r="J3955" s="6">
        <f>3000+3750</f>
        <v>6750</v>
      </c>
      <c r="K3955" s="37" t="s">
        <v>6182</v>
      </c>
      <c r="L3955" s="120"/>
      <c r="M3955" s="3"/>
    </row>
    <row r="3956" spans="1:13" s="4" customFormat="1" ht="38.25" x14ac:dyDescent="0.25">
      <c r="A3956" s="4" t="s">
        <v>6575</v>
      </c>
      <c r="B3956" s="4" t="s">
        <v>190</v>
      </c>
      <c r="C3956" s="37" t="s">
        <v>6182</v>
      </c>
      <c r="D3956" s="35">
        <v>8990</v>
      </c>
      <c r="E3956" s="4" t="s">
        <v>6576</v>
      </c>
      <c r="F3956" s="5">
        <v>40840</v>
      </c>
      <c r="H3956" s="4" t="s">
        <v>40</v>
      </c>
      <c r="I3956" s="6">
        <v>36042</v>
      </c>
      <c r="J3956" s="6">
        <v>18021</v>
      </c>
      <c r="K3956" s="37" t="s">
        <v>6182</v>
      </c>
      <c r="L3956" s="120"/>
      <c r="M3956" s="3"/>
    </row>
    <row r="3957" spans="1:13" s="4" customFormat="1" ht="76.5" x14ac:dyDescent="0.25">
      <c r="A3957" s="4" t="s">
        <v>6577</v>
      </c>
      <c r="B3957" s="4" t="s">
        <v>183</v>
      </c>
      <c r="C3957" s="37" t="s">
        <v>6182</v>
      </c>
      <c r="D3957" s="35">
        <v>8991</v>
      </c>
      <c r="E3957" s="4" t="s">
        <v>6578</v>
      </c>
      <c r="F3957" s="5">
        <v>40749</v>
      </c>
      <c r="H3957" s="4" t="s">
        <v>40</v>
      </c>
      <c r="I3957" s="6">
        <v>5625</v>
      </c>
      <c r="J3957" s="6">
        <v>5625</v>
      </c>
      <c r="K3957" s="37" t="s">
        <v>6182</v>
      </c>
      <c r="L3957" s="120"/>
      <c r="M3957" s="3"/>
    </row>
    <row r="3958" spans="1:13" s="4" customFormat="1" ht="63.75" x14ac:dyDescent="0.25">
      <c r="A3958" s="4" t="s">
        <v>6579</v>
      </c>
      <c r="B3958" s="4" t="s">
        <v>183</v>
      </c>
      <c r="C3958" s="37" t="s">
        <v>6182</v>
      </c>
      <c r="D3958" s="35">
        <v>8992</v>
      </c>
      <c r="E3958" s="4" t="s">
        <v>6580</v>
      </c>
      <c r="F3958" s="5">
        <v>40774</v>
      </c>
      <c r="H3958" s="4" t="s">
        <v>40</v>
      </c>
      <c r="I3958" s="6">
        <v>15000</v>
      </c>
      <c r="J3958" s="6">
        <f>7500+7500</f>
        <v>15000</v>
      </c>
      <c r="K3958" s="37" t="s">
        <v>6182</v>
      </c>
      <c r="L3958" s="120"/>
      <c r="M3958" s="3"/>
    </row>
    <row r="3959" spans="1:13" s="4" customFormat="1" ht="38.25" x14ac:dyDescent="0.25">
      <c r="A3959" s="4" t="s">
        <v>6581</v>
      </c>
      <c r="B3959" s="4" t="s">
        <v>190</v>
      </c>
      <c r="C3959" s="37" t="s">
        <v>6182</v>
      </c>
      <c r="D3959" s="35">
        <v>8994</v>
      </c>
      <c r="E3959" s="4" t="s">
        <v>6582</v>
      </c>
      <c r="F3959" s="5">
        <v>40478</v>
      </c>
      <c r="H3959" s="4" t="s">
        <v>40</v>
      </c>
      <c r="I3959" s="6">
        <v>75504</v>
      </c>
      <c r="J3959" s="6">
        <f>30400+14852</f>
        <v>45252</v>
      </c>
      <c r="K3959" s="37" t="s">
        <v>6182</v>
      </c>
      <c r="L3959" s="120"/>
      <c r="M3959" s="3"/>
    </row>
    <row r="3960" spans="1:13" s="4" customFormat="1" ht="63.75" x14ac:dyDescent="0.25">
      <c r="A3960" s="4" t="s">
        <v>6583</v>
      </c>
      <c r="B3960" s="4" t="s">
        <v>183</v>
      </c>
      <c r="C3960" s="37" t="s">
        <v>6182</v>
      </c>
      <c r="D3960" s="35">
        <v>8995</v>
      </c>
      <c r="E3960" s="4" t="s">
        <v>6584</v>
      </c>
      <c r="F3960" s="5">
        <v>40812</v>
      </c>
      <c r="H3960" s="4" t="s">
        <v>40</v>
      </c>
      <c r="I3960" s="6">
        <v>18750</v>
      </c>
      <c r="J3960" s="6">
        <v>18750</v>
      </c>
      <c r="K3960" s="37" t="s">
        <v>6182</v>
      </c>
      <c r="L3960" s="120"/>
      <c r="M3960" s="3"/>
    </row>
    <row r="3961" spans="1:13" s="4" customFormat="1" ht="63.75" x14ac:dyDescent="0.25">
      <c r="A3961" s="4" t="s">
        <v>6585</v>
      </c>
      <c r="B3961" s="4" t="s">
        <v>183</v>
      </c>
      <c r="C3961" s="37" t="s">
        <v>6182</v>
      </c>
      <c r="D3961" s="35">
        <v>8997</v>
      </c>
      <c r="E3961" s="4" t="s">
        <v>6586</v>
      </c>
      <c r="F3961" s="5">
        <v>40630</v>
      </c>
      <c r="H3961" s="4" t="s">
        <v>40</v>
      </c>
      <c r="I3961" s="6">
        <v>6000</v>
      </c>
      <c r="J3961" s="6">
        <v>6000</v>
      </c>
      <c r="K3961" s="37" t="s">
        <v>6182</v>
      </c>
      <c r="L3961" s="120"/>
      <c r="M3961" s="3"/>
    </row>
    <row r="3962" spans="1:13" s="4" customFormat="1" ht="76.5" x14ac:dyDescent="0.25">
      <c r="A3962" s="4" t="s">
        <v>6505</v>
      </c>
      <c r="B3962" s="4" t="s">
        <v>183</v>
      </c>
      <c r="C3962" s="37" t="s">
        <v>6182</v>
      </c>
      <c r="D3962" s="35">
        <v>8999</v>
      </c>
      <c r="E3962" s="4" t="s">
        <v>6587</v>
      </c>
      <c r="F3962" s="5">
        <v>40483</v>
      </c>
      <c r="H3962" s="4" t="s">
        <v>40</v>
      </c>
      <c r="I3962" s="6">
        <v>7500</v>
      </c>
      <c r="J3962" s="6">
        <v>7500</v>
      </c>
      <c r="K3962" s="37" t="s">
        <v>6182</v>
      </c>
      <c r="L3962" s="120"/>
      <c r="M3962" s="3"/>
    </row>
    <row r="3963" spans="1:13" s="4" customFormat="1" ht="89.25" x14ac:dyDescent="0.25">
      <c r="A3963" s="4" t="s">
        <v>6588</v>
      </c>
      <c r="B3963" s="4" t="s">
        <v>190</v>
      </c>
      <c r="C3963" s="37" t="s">
        <v>6182</v>
      </c>
      <c r="D3963" s="35">
        <v>9000</v>
      </c>
      <c r="E3963" s="7" t="s">
        <v>6589</v>
      </c>
      <c r="F3963" s="5">
        <v>40840</v>
      </c>
      <c r="H3963" s="4" t="s">
        <v>40</v>
      </c>
      <c r="I3963" s="6">
        <v>27706</v>
      </c>
      <c r="J3963" s="6">
        <v>17603</v>
      </c>
      <c r="K3963" s="37" t="s">
        <v>6182</v>
      </c>
      <c r="L3963" s="120"/>
      <c r="M3963" s="3"/>
    </row>
    <row r="3964" spans="1:13" s="4" customFormat="1" ht="25.5" x14ac:dyDescent="0.25">
      <c r="A3964" s="4" t="s">
        <v>6590</v>
      </c>
      <c r="B3964" s="4" t="s">
        <v>90</v>
      </c>
      <c r="C3964" s="37" t="s">
        <v>6182</v>
      </c>
      <c r="D3964" s="35">
        <v>9002</v>
      </c>
      <c r="E3964" s="4" t="s">
        <v>6591</v>
      </c>
      <c r="F3964" s="5">
        <v>40686</v>
      </c>
      <c r="H3964" s="4" t="s">
        <v>40</v>
      </c>
      <c r="I3964" s="6">
        <v>3937.72</v>
      </c>
      <c r="J3964" s="6">
        <v>1968.86</v>
      </c>
      <c r="K3964" s="37" t="s">
        <v>6182</v>
      </c>
      <c r="L3964" s="120"/>
      <c r="M3964" s="3"/>
    </row>
    <row r="3965" spans="1:13" s="4" customFormat="1" ht="63.75" x14ac:dyDescent="0.25">
      <c r="A3965" s="4" t="s">
        <v>6592</v>
      </c>
      <c r="B3965" s="4" t="s">
        <v>90</v>
      </c>
      <c r="C3965" s="37" t="s">
        <v>6182</v>
      </c>
      <c r="D3965" s="35">
        <v>9003</v>
      </c>
      <c r="E3965" s="4" t="s">
        <v>6593</v>
      </c>
      <c r="F3965" s="5">
        <v>40322</v>
      </c>
      <c r="H3965" s="4" t="s">
        <v>40</v>
      </c>
      <c r="I3965" s="6">
        <v>6018.86</v>
      </c>
      <c r="J3965" s="6">
        <v>3009.43</v>
      </c>
      <c r="K3965" s="37" t="s">
        <v>6182</v>
      </c>
      <c r="L3965" s="120"/>
      <c r="M3965" s="3"/>
    </row>
    <row r="3966" spans="1:13" s="4" customFormat="1" ht="51" x14ac:dyDescent="0.25">
      <c r="A3966" s="4" t="s">
        <v>6594</v>
      </c>
      <c r="B3966" s="4" t="s">
        <v>190</v>
      </c>
      <c r="C3966" s="37" t="s">
        <v>6182</v>
      </c>
      <c r="D3966" s="35">
        <v>9004</v>
      </c>
      <c r="E3966" s="4" t="s">
        <v>6595</v>
      </c>
      <c r="F3966" s="5">
        <v>40686</v>
      </c>
      <c r="H3966" s="4" t="s">
        <v>40</v>
      </c>
      <c r="I3966" s="6">
        <f>10180-1800</f>
        <v>8380</v>
      </c>
      <c r="J3966" s="6">
        <v>7565</v>
      </c>
      <c r="K3966" s="37" t="s">
        <v>6182</v>
      </c>
      <c r="L3966" s="120"/>
      <c r="M3966" s="3"/>
    </row>
    <row r="3967" spans="1:13" s="4" customFormat="1" ht="38.25" x14ac:dyDescent="0.25">
      <c r="A3967" s="4" t="s">
        <v>6596</v>
      </c>
      <c r="B3967" s="4" t="s">
        <v>90</v>
      </c>
      <c r="C3967" s="37" t="s">
        <v>6182</v>
      </c>
      <c r="D3967" s="35">
        <v>9005</v>
      </c>
      <c r="E3967" s="4" t="s">
        <v>6597</v>
      </c>
      <c r="F3967" s="5">
        <v>40686</v>
      </c>
      <c r="H3967" s="4" t="s">
        <v>40</v>
      </c>
      <c r="I3967" s="6">
        <v>9704</v>
      </c>
      <c r="J3967" s="6">
        <v>4852</v>
      </c>
      <c r="K3967" s="37" t="s">
        <v>6182</v>
      </c>
      <c r="L3967" s="120"/>
      <c r="M3967" s="3"/>
    </row>
    <row r="3968" spans="1:13" s="4" customFormat="1" ht="38.25" x14ac:dyDescent="0.25">
      <c r="A3968" s="4" t="s">
        <v>6598</v>
      </c>
      <c r="B3968" s="4" t="s">
        <v>183</v>
      </c>
      <c r="C3968" s="37" t="s">
        <v>6182</v>
      </c>
      <c r="D3968" s="35">
        <v>9006</v>
      </c>
      <c r="E3968" s="4" t="s">
        <v>6599</v>
      </c>
      <c r="F3968" s="5">
        <v>40840</v>
      </c>
      <c r="H3968" s="4" t="s">
        <v>40</v>
      </c>
      <c r="I3968" s="6">
        <v>9592</v>
      </c>
      <c r="J3968" s="6">
        <v>6296</v>
      </c>
      <c r="K3968" s="37" t="s">
        <v>6182</v>
      </c>
      <c r="L3968" s="120"/>
      <c r="M3968" s="3"/>
    </row>
    <row r="3969" spans="1:13" s="4" customFormat="1" ht="51" x14ac:dyDescent="0.25">
      <c r="A3969" s="4" t="s">
        <v>6600</v>
      </c>
      <c r="B3969" s="4" t="s">
        <v>183</v>
      </c>
      <c r="C3969" s="37" t="s">
        <v>6182</v>
      </c>
      <c r="D3969" s="35">
        <v>9007</v>
      </c>
      <c r="E3969" s="4" t="s">
        <v>6601</v>
      </c>
      <c r="F3969" s="5">
        <v>40567</v>
      </c>
      <c r="H3969" s="4" t="s">
        <v>40</v>
      </c>
      <c r="I3969" s="6">
        <v>6000</v>
      </c>
      <c r="J3969" s="6">
        <v>6000</v>
      </c>
      <c r="K3969" s="37" t="s">
        <v>6182</v>
      </c>
      <c r="L3969" s="120"/>
      <c r="M3969" s="3"/>
    </row>
    <row r="3970" spans="1:13" s="4" customFormat="1" ht="51" x14ac:dyDescent="0.25">
      <c r="A3970" s="4" t="s">
        <v>6602</v>
      </c>
      <c r="B3970" s="4" t="s">
        <v>183</v>
      </c>
      <c r="C3970" s="37" t="s">
        <v>6182</v>
      </c>
      <c r="D3970" s="35">
        <v>9008</v>
      </c>
      <c r="E3970" s="4" t="s">
        <v>6603</v>
      </c>
      <c r="F3970" s="5">
        <v>40567</v>
      </c>
      <c r="H3970" s="4" t="s">
        <v>40</v>
      </c>
      <c r="I3970" s="6">
        <v>12000</v>
      </c>
      <c r="J3970" s="6">
        <v>12000</v>
      </c>
      <c r="K3970" s="37" t="s">
        <v>6182</v>
      </c>
      <c r="L3970" s="120"/>
      <c r="M3970" s="3"/>
    </row>
    <row r="3971" spans="1:13" s="4" customFormat="1" ht="25.5" x14ac:dyDescent="0.25">
      <c r="A3971" s="4" t="s">
        <v>6499</v>
      </c>
      <c r="B3971" s="4" t="s">
        <v>183</v>
      </c>
      <c r="C3971" s="37" t="s">
        <v>6182</v>
      </c>
      <c r="D3971" s="35">
        <v>9009</v>
      </c>
      <c r="E3971" s="4" t="s">
        <v>6604</v>
      </c>
      <c r="F3971" s="5">
        <v>40322</v>
      </c>
      <c r="H3971" s="4" t="s">
        <v>40</v>
      </c>
      <c r="I3971" s="6">
        <v>9431</v>
      </c>
      <c r="J3971" s="6">
        <v>6000</v>
      </c>
      <c r="K3971" s="37" t="s">
        <v>6182</v>
      </c>
      <c r="L3971" s="120"/>
      <c r="M3971" s="3"/>
    </row>
    <row r="3972" spans="1:13" s="4" customFormat="1" ht="51" x14ac:dyDescent="0.25">
      <c r="A3972" s="4" t="s">
        <v>6605</v>
      </c>
      <c r="B3972" s="4" t="s">
        <v>190</v>
      </c>
      <c r="C3972" s="37" t="s">
        <v>6182</v>
      </c>
      <c r="D3972" s="35">
        <v>9010</v>
      </c>
      <c r="E3972" s="4" t="s">
        <v>6606</v>
      </c>
      <c r="F3972" s="5">
        <v>40749</v>
      </c>
      <c r="H3972" s="4" t="s">
        <v>40</v>
      </c>
      <c r="I3972" s="6">
        <v>3750</v>
      </c>
      <c r="J3972" s="6">
        <v>3750</v>
      </c>
      <c r="K3972" s="37" t="s">
        <v>6182</v>
      </c>
      <c r="L3972" s="120"/>
      <c r="M3972" s="3"/>
    </row>
    <row r="3973" spans="1:13" s="4" customFormat="1" ht="63.75" x14ac:dyDescent="0.25">
      <c r="A3973" s="4" t="s">
        <v>6607</v>
      </c>
      <c r="B3973" s="4" t="s">
        <v>38</v>
      </c>
      <c r="C3973" s="37" t="s">
        <v>6182</v>
      </c>
      <c r="D3973" s="35">
        <v>9085</v>
      </c>
      <c r="E3973" s="4" t="s">
        <v>6528</v>
      </c>
      <c r="F3973" s="5">
        <v>40598</v>
      </c>
      <c r="G3973" s="5">
        <v>40689</v>
      </c>
      <c r="H3973" s="4" t="s">
        <v>40</v>
      </c>
      <c r="I3973" s="6">
        <v>39792.15</v>
      </c>
      <c r="J3973" s="6">
        <v>39792.15</v>
      </c>
      <c r="K3973" s="37" t="s">
        <v>6182</v>
      </c>
      <c r="L3973" s="120"/>
      <c r="M3973" s="3"/>
    </row>
    <row r="3974" spans="1:13" s="4" customFormat="1" ht="51" x14ac:dyDescent="0.25">
      <c r="A3974" s="4" t="s">
        <v>6608</v>
      </c>
      <c r="B3974" s="4" t="s">
        <v>38</v>
      </c>
      <c r="C3974" s="37" t="s">
        <v>6182</v>
      </c>
      <c r="D3974" s="35">
        <v>9087</v>
      </c>
      <c r="E3974" s="4" t="s">
        <v>6609</v>
      </c>
      <c r="F3974" s="5">
        <v>40568</v>
      </c>
      <c r="G3974" s="5">
        <v>40596</v>
      </c>
      <c r="H3974" s="4" t="s">
        <v>40</v>
      </c>
      <c r="I3974" s="6">
        <v>4656</v>
      </c>
      <c r="J3974" s="6">
        <v>4656</v>
      </c>
      <c r="K3974" s="37" t="s">
        <v>6182</v>
      </c>
      <c r="L3974" s="120"/>
      <c r="M3974" s="3"/>
    </row>
    <row r="3975" spans="1:13" s="4" customFormat="1" ht="51" x14ac:dyDescent="0.25">
      <c r="A3975" s="4" t="s">
        <v>6610</v>
      </c>
      <c r="B3975" s="4" t="s">
        <v>38</v>
      </c>
      <c r="C3975" s="37" t="s">
        <v>6182</v>
      </c>
      <c r="D3975" s="35">
        <v>9088</v>
      </c>
      <c r="E3975" s="4" t="s">
        <v>6609</v>
      </c>
      <c r="F3975" s="5">
        <v>40584</v>
      </c>
      <c r="G3975" s="5">
        <v>40612</v>
      </c>
      <c r="H3975" s="4" t="s">
        <v>40</v>
      </c>
      <c r="I3975" s="6">
        <v>2495</v>
      </c>
      <c r="J3975" s="6">
        <v>2495</v>
      </c>
      <c r="K3975" s="37" t="s">
        <v>6182</v>
      </c>
      <c r="L3975" s="120"/>
      <c r="M3975" s="3"/>
    </row>
    <row r="3976" spans="1:13" s="4" customFormat="1" ht="51" x14ac:dyDescent="0.25">
      <c r="A3976" s="4" t="s">
        <v>6611</v>
      </c>
      <c r="B3976" s="4" t="s">
        <v>38</v>
      </c>
      <c r="C3976" s="37" t="s">
        <v>6182</v>
      </c>
      <c r="D3976" s="35">
        <v>9090</v>
      </c>
      <c r="E3976" s="4" t="s">
        <v>6609</v>
      </c>
      <c r="F3976" s="5">
        <v>40624</v>
      </c>
      <c r="G3976" s="5">
        <v>40652</v>
      </c>
      <c r="H3976" s="4" t="s">
        <v>40</v>
      </c>
      <c r="I3976" s="6">
        <v>2150</v>
      </c>
      <c r="J3976" s="6">
        <v>2150</v>
      </c>
      <c r="K3976" s="37" t="s">
        <v>6182</v>
      </c>
      <c r="L3976" s="120"/>
      <c r="M3976" s="3"/>
    </row>
    <row r="3977" spans="1:13" s="4" customFormat="1" ht="51" x14ac:dyDescent="0.25">
      <c r="A3977" s="4" t="s">
        <v>6612</v>
      </c>
      <c r="B3977" s="4" t="s">
        <v>38</v>
      </c>
      <c r="C3977" s="37" t="s">
        <v>6182</v>
      </c>
      <c r="D3977" s="35">
        <v>9091</v>
      </c>
      <c r="E3977" s="4" t="s">
        <v>6609</v>
      </c>
      <c r="F3977" s="5">
        <v>40646</v>
      </c>
      <c r="G3977" s="5">
        <v>40674</v>
      </c>
      <c r="H3977" s="4" t="s">
        <v>40</v>
      </c>
      <c r="I3977" s="6">
        <v>2500</v>
      </c>
      <c r="J3977" s="6">
        <v>2500</v>
      </c>
      <c r="K3977" s="37" t="s">
        <v>6182</v>
      </c>
      <c r="L3977" s="120"/>
      <c r="M3977" s="3"/>
    </row>
    <row r="3978" spans="1:13" s="4" customFormat="1" ht="51" x14ac:dyDescent="0.25">
      <c r="A3978" s="4" t="s">
        <v>6613</v>
      </c>
      <c r="B3978" s="4" t="s">
        <v>38</v>
      </c>
      <c r="C3978" s="37" t="s">
        <v>6182</v>
      </c>
      <c r="D3978" s="35">
        <v>9093</v>
      </c>
      <c r="E3978" s="4" t="s">
        <v>6609</v>
      </c>
      <c r="F3978" s="5">
        <v>40812</v>
      </c>
      <c r="G3978" s="5">
        <v>40848</v>
      </c>
      <c r="H3978" s="4" t="s">
        <v>40</v>
      </c>
      <c r="I3978" s="6">
        <v>3637.5</v>
      </c>
      <c r="J3978" s="6">
        <v>3637.5</v>
      </c>
      <c r="K3978" s="37" t="s">
        <v>6182</v>
      </c>
      <c r="L3978" s="120"/>
      <c r="M3978" s="3"/>
    </row>
    <row r="3979" spans="1:13" s="4" customFormat="1" ht="51" x14ac:dyDescent="0.25">
      <c r="A3979" s="4" t="s">
        <v>6614</v>
      </c>
      <c r="B3979" s="4" t="s">
        <v>38</v>
      </c>
      <c r="C3979" s="37" t="s">
        <v>6182</v>
      </c>
      <c r="D3979" s="35">
        <v>9096</v>
      </c>
      <c r="E3979" s="4" t="s">
        <v>6609</v>
      </c>
      <c r="F3979" s="5">
        <v>40826</v>
      </c>
      <c r="G3979" s="5">
        <v>40861</v>
      </c>
      <c r="H3979" s="4" t="s">
        <v>40</v>
      </c>
      <c r="I3979" s="6">
        <v>3184.09</v>
      </c>
      <c r="J3979" s="6">
        <v>3184.09</v>
      </c>
      <c r="K3979" s="37" t="s">
        <v>6182</v>
      </c>
      <c r="L3979" s="120"/>
      <c r="M3979" s="3"/>
    </row>
    <row r="3980" spans="1:13" s="4" customFormat="1" ht="38.25" x14ac:dyDescent="0.25">
      <c r="A3980" s="4" t="s">
        <v>6615</v>
      </c>
      <c r="B3980" s="4" t="s">
        <v>38</v>
      </c>
      <c r="C3980" s="37" t="s">
        <v>6182</v>
      </c>
      <c r="D3980" s="35">
        <v>9098</v>
      </c>
      <c r="E3980" s="4" t="s">
        <v>6616</v>
      </c>
      <c r="F3980" s="5">
        <v>40604</v>
      </c>
      <c r="G3980" s="5">
        <v>40604</v>
      </c>
      <c r="H3980" s="4" t="s">
        <v>40</v>
      </c>
      <c r="I3980" s="6">
        <v>1004.7</v>
      </c>
      <c r="J3980" s="6">
        <v>1004.7</v>
      </c>
      <c r="K3980" s="37" t="s">
        <v>6182</v>
      </c>
      <c r="L3980" s="120"/>
      <c r="M3980" s="3"/>
    </row>
    <row r="3981" spans="1:13" s="4" customFormat="1" ht="38.25" x14ac:dyDescent="0.25">
      <c r="A3981" s="4" t="s">
        <v>6617</v>
      </c>
      <c r="B3981" s="4" t="s">
        <v>38</v>
      </c>
      <c r="C3981" s="37" t="s">
        <v>6182</v>
      </c>
      <c r="D3981" s="35">
        <v>9099</v>
      </c>
      <c r="E3981" s="4" t="s">
        <v>6618</v>
      </c>
      <c r="F3981" s="5">
        <v>40589</v>
      </c>
      <c r="G3981" s="5">
        <v>40589</v>
      </c>
      <c r="H3981" s="4" t="s">
        <v>40</v>
      </c>
      <c r="I3981" s="6">
        <v>744.5</v>
      </c>
      <c r="J3981" s="6">
        <v>744.5</v>
      </c>
      <c r="K3981" s="37" t="s">
        <v>6182</v>
      </c>
      <c r="L3981" s="120"/>
      <c r="M3981" s="3"/>
    </row>
    <row r="3982" spans="1:13" s="4" customFormat="1" ht="51" x14ac:dyDescent="0.25">
      <c r="A3982" s="4" t="s">
        <v>6619</v>
      </c>
      <c r="B3982" s="4" t="s">
        <v>38</v>
      </c>
      <c r="C3982" s="37" t="s">
        <v>6182</v>
      </c>
      <c r="D3982" s="35">
        <v>9102</v>
      </c>
      <c r="E3982" s="4" t="s">
        <v>6620</v>
      </c>
      <c r="F3982" s="5">
        <v>40597</v>
      </c>
      <c r="G3982" s="5">
        <v>40597</v>
      </c>
      <c r="H3982" s="4" t="s">
        <v>40</v>
      </c>
      <c r="I3982" s="6">
        <v>1796.02</v>
      </c>
      <c r="J3982" s="6">
        <v>1796.02</v>
      </c>
      <c r="K3982" s="37" t="s">
        <v>6182</v>
      </c>
      <c r="L3982" s="120"/>
      <c r="M3982" s="3"/>
    </row>
    <row r="3983" spans="1:13" s="4" customFormat="1" ht="38.25" x14ac:dyDescent="0.25">
      <c r="A3983" s="4" t="s">
        <v>6621</v>
      </c>
      <c r="B3983" s="4" t="s">
        <v>38</v>
      </c>
      <c r="C3983" s="37" t="s">
        <v>6182</v>
      </c>
      <c r="D3983" s="35">
        <v>9103</v>
      </c>
      <c r="E3983" s="4" t="s">
        <v>6622</v>
      </c>
      <c r="F3983" s="5">
        <v>40631</v>
      </c>
      <c r="G3983" s="5">
        <v>40631</v>
      </c>
      <c r="H3983" s="4" t="s">
        <v>40</v>
      </c>
      <c r="I3983" s="6">
        <v>1205.7</v>
      </c>
      <c r="J3983" s="6">
        <v>1205.7</v>
      </c>
      <c r="K3983" s="37" t="s">
        <v>6182</v>
      </c>
      <c r="L3983" s="120"/>
      <c r="M3983" s="3"/>
    </row>
    <row r="3984" spans="1:13" s="4" customFormat="1" ht="51" x14ac:dyDescent="0.25">
      <c r="A3984" s="4" t="s">
        <v>6623</v>
      </c>
      <c r="B3984" s="4" t="s">
        <v>38</v>
      </c>
      <c r="C3984" s="37" t="s">
        <v>6182</v>
      </c>
      <c r="D3984" s="35">
        <v>9105</v>
      </c>
      <c r="E3984" s="4" t="s">
        <v>6624</v>
      </c>
      <c r="F3984" s="5">
        <v>40645</v>
      </c>
      <c r="G3984" s="5">
        <v>40645</v>
      </c>
      <c r="H3984" s="4" t="s">
        <v>40</v>
      </c>
      <c r="I3984" s="6">
        <v>799.4</v>
      </c>
      <c r="J3984" s="6">
        <v>799.4</v>
      </c>
      <c r="K3984" s="37" t="s">
        <v>6182</v>
      </c>
      <c r="L3984" s="120"/>
      <c r="M3984" s="3"/>
    </row>
    <row r="3985" spans="1:13" s="4" customFormat="1" ht="25.5" x14ac:dyDescent="0.25">
      <c r="A3985" s="4" t="s">
        <v>6625</v>
      </c>
      <c r="B3985" s="4" t="s">
        <v>38</v>
      </c>
      <c r="C3985" s="37" t="s">
        <v>6182</v>
      </c>
      <c r="D3985" s="35">
        <v>9107</v>
      </c>
      <c r="E3985" s="4" t="s">
        <v>6626</v>
      </c>
      <c r="F3985" s="5">
        <v>40625</v>
      </c>
      <c r="G3985" s="5">
        <v>40625</v>
      </c>
      <c r="H3985" s="4" t="s">
        <v>40</v>
      </c>
      <c r="I3985" s="6">
        <v>417.5</v>
      </c>
      <c r="J3985" s="6">
        <v>417.5</v>
      </c>
      <c r="K3985" s="37" t="s">
        <v>6182</v>
      </c>
      <c r="L3985" s="120"/>
      <c r="M3985" s="3"/>
    </row>
    <row r="3986" spans="1:13" s="4" customFormat="1" ht="38.25" x14ac:dyDescent="0.25">
      <c r="A3986" s="4" t="s">
        <v>6627</v>
      </c>
      <c r="B3986" s="4" t="s">
        <v>38</v>
      </c>
      <c r="C3986" s="37" t="s">
        <v>6182</v>
      </c>
      <c r="D3986" s="35">
        <v>9108</v>
      </c>
      <c r="E3986" s="4" t="s">
        <v>6628</v>
      </c>
      <c r="F3986" s="5">
        <v>40680</v>
      </c>
      <c r="G3986" s="5">
        <v>40680</v>
      </c>
      <c r="H3986" s="4" t="s">
        <v>40</v>
      </c>
      <c r="I3986" s="6">
        <v>478.9</v>
      </c>
      <c r="J3986" s="6">
        <v>478.9</v>
      </c>
      <c r="K3986" s="37" t="s">
        <v>6182</v>
      </c>
      <c r="L3986" s="120"/>
      <c r="M3986" s="3"/>
    </row>
    <row r="3987" spans="1:13" s="4" customFormat="1" ht="51" x14ac:dyDescent="0.25">
      <c r="A3987" s="4" t="s">
        <v>6629</v>
      </c>
      <c r="B3987" s="4" t="s">
        <v>38</v>
      </c>
      <c r="C3987" s="37" t="s">
        <v>6182</v>
      </c>
      <c r="D3987" s="35">
        <v>9110</v>
      </c>
      <c r="E3987" s="4" t="s">
        <v>6630</v>
      </c>
      <c r="F3987" s="5">
        <v>40653</v>
      </c>
      <c r="G3987" s="5">
        <v>40653</v>
      </c>
      <c r="H3987" s="4" t="s">
        <v>40</v>
      </c>
      <c r="I3987" s="6">
        <v>527.6</v>
      </c>
      <c r="J3987" s="6">
        <v>527.6</v>
      </c>
      <c r="K3987" s="37" t="s">
        <v>6182</v>
      </c>
      <c r="L3987" s="120"/>
      <c r="M3987" s="3"/>
    </row>
    <row r="3988" spans="1:13" s="4" customFormat="1" ht="51" x14ac:dyDescent="0.25">
      <c r="A3988" s="4" t="s">
        <v>6631</v>
      </c>
      <c r="B3988" s="4" t="s">
        <v>38</v>
      </c>
      <c r="C3988" s="37" t="s">
        <v>6182</v>
      </c>
      <c r="D3988" s="35">
        <v>9112</v>
      </c>
      <c r="E3988" s="4" t="s">
        <v>6632</v>
      </c>
      <c r="F3988" s="5">
        <v>40638</v>
      </c>
      <c r="G3988" s="5">
        <v>40638</v>
      </c>
      <c r="H3988" s="4" t="s">
        <v>40</v>
      </c>
      <c r="I3988" s="6">
        <v>781</v>
      </c>
      <c r="J3988" s="6">
        <v>781</v>
      </c>
      <c r="K3988" s="37" t="s">
        <v>6182</v>
      </c>
      <c r="L3988" s="120"/>
      <c r="M3988" s="3"/>
    </row>
    <row r="3989" spans="1:13" s="4" customFormat="1" ht="51" x14ac:dyDescent="0.25">
      <c r="A3989" s="4" t="s">
        <v>6412</v>
      </c>
      <c r="B3989" s="4" t="s">
        <v>38</v>
      </c>
      <c r="C3989" s="37" t="s">
        <v>6182</v>
      </c>
      <c r="D3989" s="35">
        <v>9114</v>
      </c>
      <c r="E3989" s="4" t="s">
        <v>6633</v>
      </c>
      <c r="F3989" s="5">
        <v>40688</v>
      </c>
      <c r="G3989" s="5">
        <v>40688</v>
      </c>
      <c r="H3989" s="4" t="s">
        <v>40</v>
      </c>
      <c r="I3989" s="6">
        <v>605.70000000000005</v>
      </c>
      <c r="J3989" s="6">
        <v>605.70000000000005</v>
      </c>
      <c r="K3989" s="37" t="s">
        <v>6182</v>
      </c>
      <c r="L3989" s="120"/>
      <c r="M3989" s="3"/>
    </row>
    <row r="3990" spans="1:13" s="4" customFormat="1" ht="51" x14ac:dyDescent="0.25">
      <c r="A3990" s="4" t="s">
        <v>6634</v>
      </c>
      <c r="B3990" s="4" t="s">
        <v>38</v>
      </c>
      <c r="C3990" s="37" t="s">
        <v>6182</v>
      </c>
      <c r="D3990" s="35">
        <v>9115</v>
      </c>
      <c r="E3990" s="4" t="s">
        <v>6635</v>
      </c>
      <c r="F3990" s="5">
        <v>40674</v>
      </c>
      <c r="G3990" s="5">
        <v>40674</v>
      </c>
      <c r="H3990" s="4" t="s">
        <v>40</v>
      </c>
      <c r="I3990" s="6">
        <v>650</v>
      </c>
      <c r="J3990" s="6">
        <v>650</v>
      </c>
      <c r="K3990" s="37" t="s">
        <v>6182</v>
      </c>
      <c r="L3990" s="120"/>
      <c r="M3990" s="3"/>
    </row>
    <row r="3991" spans="1:13" s="4" customFormat="1" ht="51" x14ac:dyDescent="0.25">
      <c r="A3991" s="4" t="s">
        <v>6636</v>
      </c>
      <c r="B3991" s="4" t="s">
        <v>38</v>
      </c>
      <c r="C3991" s="37" t="s">
        <v>6182</v>
      </c>
      <c r="D3991" s="35">
        <v>9118</v>
      </c>
      <c r="E3991" s="4" t="s">
        <v>6637</v>
      </c>
      <c r="F3991" s="5">
        <v>40575</v>
      </c>
      <c r="G3991" s="5">
        <v>40908</v>
      </c>
      <c r="H3991" s="4" t="s">
        <v>40</v>
      </c>
      <c r="I3991" s="6">
        <v>8352.34</v>
      </c>
      <c r="J3991" s="6">
        <v>8352.34</v>
      </c>
      <c r="K3991" s="37" t="s">
        <v>6182</v>
      </c>
      <c r="L3991" s="120"/>
      <c r="M3991" s="3"/>
    </row>
    <row r="3992" spans="1:13" s="4" customFormat="1" ht="38.25" x14ac:dyDescent="0.25">
      <c r="A3992" s="4" t="s">
        <v>6638</v>
      </c>
      <c r="B3992" s="4" t="s">
        <v>38</v>
      </c>
      <c r="C3992" s="37" t="s">
        <v>6182</v>
      </c>
      <c r="D3992" s="35">
        <v>9119</v>
      </c>
      <c r="E3992" s="4" t="s">
        <v>6639</v>
      </c>
      <c r="F3992" s="5">
        <v>40568</v>
      </c>
      <c r="G3992" s="5">
        <v>41274</v>
      </c>
      <c r="H3992" s="4" t="s">
        <v>40</v>
      </c>
      <c r="I3992" s="6">
        <v>6008.23</v>
      </c>
      <c r="J3992" s="6">
        <v>6008.23</v>
      </c>
      <c r="K3992" s="37" t="s">
        <v>6182</v>
      </c>
      <c r="L3992" s="120"/>
      <c r="M3992" s="3"/>
    </row>
    <row r="3993" spans="1:13" s="4" customFormat="1" ht="51" x14ac:dyDescent="0.25">
      <c r="A3993" s="4" t="s">
        <v>6640</v>
      </c>
      <c r="B3993" s="4" t="s">
        <v>38</v>
      </c>
      <c r="C3993" s="37" t="s">
        <v>6182</v>
      </c>
      <c r="D3993" s="35">
        <v>9122</v>
      </c>
      <c r="E3993" s="4" t="s">
        <v>6641</v>
      </c>
      <c r="F3993" s="5">
        <v>40856</v>
      </c>
      <c r="G3993" s="5">
        <v>40856</v>
      </c>
      <c r="H3993" s="4" t="s">
        <v>40</v>
      </c>
      <c r="I3993" s="6">
        <v>1484.4</v>
      </c>
      <c r="J3993" s="6">
        <v>1484.4</v>
      </c>
      <c r="K3993" s="37" t="s">
        <v>6182</v>
      </c>
      <c r="L3993" s="120"/>
      <c r="M3993" s="3"/>
    </row>
    <row r="3994" spans="1:13" s="4" customFormat="1" ht="25.5" x14ac:dyDescent="0.25">
      <c r="A3994" s="4" t="s">
        <v>6642</v>
      </c>
      <c r="B3994" s="4" t="s">
        <v>38</v>
      </c>
      <c r="C3994" s="37" t="s">
        <v>6182</v>
      </c>
      <c r="D3994" s="35">
        <v>9124</v>
      </c>
      <c r="E3994" s="4" t="s">
        <v>6643</v>
      </c>
      <c r="F3994" s="5">
        <v>40575</v>
      </c>
      <c r="G3994" s="5">
        <v>40908</v>
      </c>
      <c r="H3994" s="4" t="s">
        <v>40</v>
      </c>
      <c r="I3994" s="6">
        <v>25094.34</v>
      </c>
      <c r="J3994" s="6">
        <v>25094.34</v>
      </c>
      <c r="K3994" s="37" t="s">
        <v>6182</v>
      </c>
      <c r="L3994" s="120"/>
      <c r="M3994" s="3"/>
    </row>
    <row r="3995" spans="1:13" s="4" customFormat="1" ht="38.25" x14ac:dyDescent="0.25">
      <c r="A3995" s="4" t="s">
        <v>6644</v>
      </c>
      <c r="B3995" s="4" t="s">
        <v>38</v>
      </c>
      <c r="C3995" s="37" t="s">
        <v>6182</v>
      </c>
      <c r="D3995" s="35">
        <v>9125</v>
      </c>
      <c r="E3995" s="4" t="s">
        <v>6310</v>
      </c>
      <c r="F3995" s="5">
        <v>40568</v>
      </c>
      <c r="G3995" s="5">
        <v>40908</v>
      </c>
      <c r="H3995" s="4" t="s">
        <v>40</v>
      </c>
      <c r="I3995" s="6">
        <v>23520.2</v>
      </c>
      <c r="J3995" s="6">
        <v>23520.2</v>
      </c>
      <c r="K3995" s="37" t="s">
        <v>6182</v>
      </c>
      <c r="L3995" s="120"/>
      <c r="M3995" s="3"/>
    </row>
    <row r="3996" spans="1:13" s="4" customFormat="1" ht="63.75" x14ac:dyDescent="0.25">
      <c r="A3996" s="4" t="s">
        <v>6519</v>
      </c>
      <c r="B3996" s="4" t="s">
        <v>38</v>
      </c>
      <c r="C3996" s="37" t="s">
        <v>6182</v>
      </c>
      <c r="D3996" s="35">
        <v>9129</v>
      </c>
      <c r="E3996" s="4" t="s">
        <v>6645</v>
      </c>
      <c r="F3996" s="5">
        <v>40575</v>
      </c>
      <c r="G3996" s="5">
        <v>40908</v>
      </c>
      <c r="H3996" s="4" t="s">
        <v>40</v>
      </c>
      <c r="I3996" s="6">
        <v>11187.54</v>
      </c>
      <c r="J3996" s="6">
        <v>11187.54</v>
      </c>
      <c r="K3996" s="37" t="s">
        <v>6182</v>
      </c>
      <c r="L3996" s="120"/>
      <c r="M3996" s="3"/>
    </row>
    <row r="3997" spans="1:13" s="4" customFormat="1" ht="76.5" x14ac:dyDescent="0.25">
      <c r="A3997" s="4" t="s">
        <v>6646</v>
      </c>
      <c r="B3997" s="4" t="s">
        <v>38</v>
      </c>
      <c r="C3997" s="37" t="s">
        <v>6182</v>
      </c>
      <c r="D3997" s="35">
        <v>9131</v>
      </c>
      <c r="E3997" s="4" t="s">
        <v>6526</v>
      </c>
      <c r="F3997" s="5">
        <v>40819</v>
      </c>
      <c r="G3997" s="5">
        <v>40823</v>
      </c>
      <c r="H3997" s="4" t="s">
        <v>40</v>
      </c>
      <c r="I3997" s="6">
        <v>5214.1499999999996</v>
      </c>
      <c r="J3997" s="6">
        <v>5214.1499999999996</v>
      </c>
      <c r="K3997" s="37" t="s">
        <v>6182</v>
      </c>
      <c r="L3997" s="120"/>
      <c r="M3997" s="3"/>
    </row>
    <row r="3998" spans="1:13" s="4" customFormat="1" ht="25.5" x14ac:dyDescent="0.25">
      <c r="A3998" s="4" t="s">
        <v>6523</v>
      </c>
      <c r="B3998" s="4" t="s">
        <v>38</v>
      </c>
      <c r="C3998" s="37" t="s">
        <v>6182</v>
      </c>
      <c r="D3998" s="35">
        <v>9132</v>
      </c>
      <c r="E3998" s="4" t="s">
        <v>6647</v>
      </c>
      <c r="F3998" s="5">
        <v>40813</v>
      </c>
      <c r="G3998" s="5">
        <v>40815</v>
      </c>
      <c r="H3998" s="4" t="s">
        <v>40</v>
      </c>
      <c r="I3998" s="6">
        <v>1292.28</v>
      </c>
      <c r="J3998" s="6">
        <v>1292.28</v>
      </c>
      <c r="K3998" s="37" t="s">
        <v>6182</v>
      </c>
      <c r="L3998" s="120"/>
      <c r="M3998" s="3"/>
    </row>
    <row r="3999" spans="1:13" s="4" customFormat="1" ht="38.25" x14ac:dyDescent="0.25">
      <c r="A3999" s="4" t="s">
        <v>6648</v>
      </c>
      <c r="B3999" s="4" t="s">
        <v>38</v>
      </c>
      <c r="C3999" s="37" t="s">
        <v>6182</v>
      </c>
      <c r="D3999" s="35">
        <v>9134</v>
      </c>
      <c r="E3999" s="4" t="s">
        <v>6649</v>
      </c>
      <c r="F3999" s="5">
        <v>40567</v>
      </c>
      <c r="G3999" s="5">
        <v>40569</v>
      </c>
      <c r="H3999" s="4" t="s">
        <v>40</v>
      </c>
      <c r="I3999" s="6">
        <v>915.52</v>
      </c>
      <c r="J3999" s="6">
        <v>915.52</v>
      </c>
      <c r="K3999" s="37" t="s">
        <v>6182</v>
      </c>
      <c r="L3999" s="120"/>
      <c r="M3999" s="3"/>
    </row>
    <row r="4000" spans="1:13" s="4" customFormat="1" ht="76.5" x14ac:dyDescent="0.25">
      <c r="A4000" s="4" t="s">
        <v>6650</v>
      </c>
      <c r="B4000" s="4" t="s">
        <v>38</v>
      </c>
      <c r="C4000" s="37" t="s">
        <v>6182</v>
      </c>
      <c r="D4000" s="35">
        <v>9136</v>
      </c>
      <c r="E4000" s="4" t="s">
        <v>6651</v>
      </c>
      <c r="F4000" s="5">
        <v>40842</v>
      </c>
      <c r="G4000" s="5">
        <v>40870</v>
      </c>
      <c r="H4000" s="4" t="s">
        <v>40</v>
      </c>
      <c r="I4000" s="6">
        <v>2500</v>
      </c>
      <c r="J4000" s="6">
        <v>2500</v>
      </c>
      <c r="K4000" s="37" t="s">
        <v>6182</v>
      </c>
      <c r="L4000" s="120"/>
      <c r="M4000" s="3"/>
    </row>
    <row r="4001" spans="1:13" s="4" customFormat="1" ht="51" x14ac:dyDescent="0.25">
      <c r="A4001" s="4" t="s">
        <v>6652</v>
      </c>
      <c r="B4001" s="4" t="s">
        <v>38</v>
      </c>
      <c r="C4001" s="37" t="s">
        <v>6182</v>
      </c>
      <c r="D4001" s="35">
        <v>9138</v>
      </c>
      <c r="E4001" s="4" t="s">
        <v>6534</v>
      </c>
      <c r="F4001" s="5">
        <v>40568</v>
      </c>
      <c r="G4001" s="5">
        <v>41610</v>
      </c>
      <c r="H4001" s="4" t="s">
        <v>40</v>
      </c>
      <c r="I4001" s="6">
        <v>68851.5</v>
      </c>
      <c r="J4001" s="6">
        <f>33498.75+927</f>
        <v>34425.75</v>
      </c>
      <c r="K4001" s="37" t="s">
        <v>6182</v>
      </c>
      <c r="L4001" s="120"/>
      <c r="M4001" s="3"/>
    </row>
    <row r="4002" spans="1:13" s="4" customFormat="1" ht="25.5" x14ac:dyDescent="0.25">
      <c r="A4002" s="4" t="s">
        <v>6653</v>
      </c>
      <c r="B4002" s="4" t="s">
        <v>38</v>
      </c>
      <c r="C4002" s="37" t="s">
        <v>6182</v>
      </c>
      <c r="D4002" s="35">
        <v>10936</v>
      </c>
      <c r="E4002" s="4" t="s">
        <v>6654</v>
      </c>
      <c r="F4002" s="5">
        <v>40953</v>
      </c>
      <c r="G4002" s="5">
        <v>40981</v>
      </c>
      <c r="H4002" s="4" t="s">
        <v>40</v>
      </c>
      <c r="I4002" s="6">
        <v>2832.18</v>
      </c>
      <c r="J4002" s="6">
        <v>2832.18</v>
      </c>
      <c r="K4002" s="37" t="s">
        <v>6182</v>
      </c>
      <c r="L4002" s="120"/>
      <c r="M4002" s="3"/>
    </row>
    <row r="4003" spans="1:13" s="4" customFormat="1" ht="38.25" x14ac:dyDescent="0.25">
      <c r="A4003" s="4" t="s">
        <v>6655</v>
      </c>
      <c r="B4003" s="4" t="s">
        <v>38</v>
      </c>
      <c r="C4003" s="37" t="s">
        <v>6182</v>
      </c>
      <c r="D4003" s="35">
        <v>10937</v>
      </c>
      <c r="E4003" s="4" t="s">
        <v>6656</v>
      </c>
      <c r="F4003" s="5">
        <v>40974</v>
      </c>
      <c r="G4003" s="5">
        <v>41002</v>
      </c>
      <c r="H4003" s="4" t="s">
        <v>40</v>
      </c>
      <c r="I4003" s="6">
        <v>3297.61</v>
      </c>
      <c r="J4003" s="6">
        <v>3297.61</v>
      </c>
      <c r="K4003" s="37" t="s">
        <v>6182</v>
      </c>
      <c r="L4003" s="120"/>
      <c r="M4003" s="3"/>
    </row>
    <row r="4004" spans="1:13" s="4" customFormat="1" ht="38.25" x14ac:dyDescent="0.25">
      <c r="A4004" s="4" t="s">
        <v>6657</v>
      </c>
      <c r="B4004" s="4" t="s">
        <v>38</v>
      </c>
      <c r="C4004" s="37" t="s">
        <v>6182</v>
      </c>
      <c r="D4004" s="35">
        <v>10938</v>
      </c>
      <c r="E4004" s="4" t="s">
        <v>6658</v>
      </c>
      <c r="F4004" s="5">
        <v>41016</v>
      </c>
      <c r="G4004" s="5">
        <v>41044</v>
      </c>
      <c r="H4004" s="4" t="s">
        <v>40</v>
      </c>
      <c r="I4004" s="6">
        <v>5017.66</v>
      </c>
      <c r="J4004" s="6">
        <v>5017.66</v>
      </c>
      <c r="K4004" s="37" t="s">
        <v>6182</v>
      </c>
      <c r="L4004" s="120"/>
      <c r="M4004" s="3"/>
    </row>
    <row r="4005" spans="1:13" s="4" customFormat="1" ht="38.25" x14ac:dyDescent="0.25">
      <c r="A4005" s="4" t="s">
        <v>6659</v>
      </c>
      <c r="B4005" s="4" t="s">
        <v>38</v>
      </c>
      <c r="C4005" s="37" t="s">
        <v>6182</v>
      </c>
      <c r="D4005" s="35">
        <v>10939</v>
      </c>
      <c r="E4005" s="4" t="s">
        <v>6660</v>
      </c>
      <c r="F4005" s="5">
        <v>41170</v>
      </c>
      <c r="G4005" s="5">
        <v>41205</v>
      </c>
      <c r="H4005" s="4" t="s">
        <v>40</v>
      </c>
      <c r="I4005" s="6">
        <v>3035</v>
      </c>
      <c r="J4005" s="6">
        <v>3035</v>
      </c>
      <c r="K4005" s="37" t="s">
        <v>6182</v>
      </c>
      <c r="L4005" s="120"/>
      <c r="M4005" s="3"/>
    </row>
    <row r="4006" spans="1:13" s="4" customFormat="1" ht="51" x14ac:dyDescent="0.25">
      <c r="A4006" s="4" t="s">
        <v>6638</v>
      </c>
      <c r="B4006" s="4" t="s">
        <v>38</v>
      </c>
      <c r="C4006" s="37" t="s">
        <v>6182</v>
      </c>
      <c r="D4006" s="35">
        <v>10940</v>
      </c>
      <c r="E4006" s="4" t="s">
        <v>6661</v>
      </c>
      <c r="F4006" s="5">
        <v>40966</v>
      </c>
      <c r="G4006" s="5">
        <v>40973</v>
      </c>
      <c r="H4006" s="4" t="s">
        <v>40</v>
      </c>
      <c r="I4006" s="6">
        <v>3307.15</v>
      </c>
      <c r="J4006" s="6">
        <v>3307.15</v>
      </c>
      <c r="K4006" s="37" t="s">
        <v>6182</v>
      </c>
      <c r="L4006" s="120"/>
      <c r="M4006" s="3"/>
    </row>
    <row r="4007" spans="1:13" s="4" customFormat="1" ht="51" x14ac:dyDescent="0.25">
      <c r="A4007" s="4" t="s">
        <v>6636</v>
      </c>
      <c r="B4007" s="4" t="s">
        <v>38</v>
      </c>
      <c r="C4007" s="37" t="s">
        <v>6182</v>
      </c>
      <c r="D4007" s="35">
        <v>10941</v>
      </c>
      <c r="E4007" s="4" t="s">
        <v>6637</v>
      </c>
      <c r="F4007" s="5">
        <v>40988</v>
      </c>
      <c r="G4007" s="5">
        <v>41276</v>
      </c>
      <c r="H4007" s="4" t="s">
        <v>40</v>
      </c>
      <c r="I4007" s="6">
        <v>7594.25</v>
      </c>
      <c r="J4007" s="6">
        <v>7594.25</v>
      </c>
      <c r="K4007" s="37" t="s">
        <v>6182</v>
      </c>
      <c r="L4007" s="120"/>
      <c r="M4007" s="3"/>
    </row>
    <row r="4008" spans="1:13" s="4" customFormat="1" ht="51" x14ac:dyDescent="0.25">
      <c r="A4008" s="4" t="s">
        <v>6662</v>
      </c>
      <c r="B4008" s="4" t="s">
        <v>38</v>
      </c>
      <c r="C4008" s="37" t="s">
        <v>6182</v>
      </c>
      <c r="D4008" s="35">
        <v>10942</v>
      </c>
      <c r="E4008" s="4" t="s">
        <v>6632</v>
      </c>
      <c r="F4008" s="5">
        <v>40990</v>
      </c>
      <c r="G4008" s="5">
        <v>40990</v>
      </c>
      <c r="H4008" s="4" t="s">
        <v>40</v>
      </c>
      <c r="I4008" s="6">
        <v>823.06</v>
      </c>
      <c r="J4008" s="6">
        <v>823.06</v>
      </c>
      <c r="K4008" s="37" t="s">
        <v>6182</v>
      </c>
      <c r="L4008" s="120"/>
      <c r="M4008" s="3"/>
    </row>
    <row r="4009" spans="1:13" s="4" customFormat="1" ht="51" x14ac:dyDescent="0.25">
      <c r="A4009" s="4" t="s">
        <v>6663</v>
      </c>
      <c r="B4009" s="4" t="s">
        <v>38</v>
      </c>
      <c r="C4009" s="37" t="s">
        <v>6182</v>
      </c>
      <c r="D4009" s="35">
        <v>10943</v>
      </c>
      <c r="E4009" s="4" t="s">
        <v>6664</v>
      </c>
      <c r="F4009" s="5">
        <v>40996</v>
      </c>
      <c r="G4009" s="5">
        <v>40996</v>
      </c>
      <c r="H4009" s="4" t="s">
        <v>40</v>
      </c>
      <c r="I4009" s="6">
        <v>304</v>
      </c>
      <c r="J4009" s="6">
        <v>304</v>
      </c>
      <c r="K4009" s="37" t="s">
        <v>6182</v>
      </c>
      <c r="L4009" s="120"/>
      <c r="M4009" s="3"/>
    </row>
    <row r="4010" spans="1:13" s="4" customFormat="1" ht="38.25" x14ac:dyDescent="0.25">
      <c r="A4010" s="4" t="s">
        <v>6625</v>
      </c>
      <c r="B4010" s="4" t="s">
        <v>38</v>
      </c>
      <c r="C4010" s="37" t="s">
        <v>6182</v>
      </c>
      <c r="D4010" s="35">
        <v>10944</v>
      </c>
      <c r="E4010" s="4" t="s">
        <v>6665</v>
      </c>
      <c r="F4010" s="5">
        <v>40997</v>
      </c>
      <c r="G4010" s="5">
        <v>40997</v>
      </c>
      <c r="H4010" s="4" t="s">
        <v>40</v>
      </c>
      <c r="I4010" s="6">
        <v>569</v>
      </c>
      <c r="J4010" s="6">
        <v>569</v>
      </c>
      <c r="K4010" s="37" t="s">
        <v>6182</v>
      </c>
      <c r="L4010" s="120"/>
      <c r="M4010" s="3"/>
    </row>
    <row r="4011" spans="1:13" s="4" customFormat="1" ht="63.75" x14ac:dyDescent="0.25">
      <c r="A4011" s="4" t="s">
        <v>6666</v>
      </c>
      <c r="B4011" s="4" t="s">
        <v>38</v>
      </c>
      <c r="C4011" s="37" t="s">
        <v>6182</v>
      </c>
      <c r="D4011" s="35">
        <v>10945</v>
      </c>
      <c r="E4011" s="4" t="s">
        <v>6667</v>
      </c>
      <c r="F4011" s="5">
        <v>41017</v>
      </c>
      <c r="G4011" s="5">
        <v>41017</v>
      </c>
      <c r="H4011" s="4" t="s">
        <v>40</v>
      </c>
      <c r="I4011" s="6">
        <v>495</v>
      </c>
      <c r="J4011" s="6">
        <v>495</v>
      </c>
      <c r="K4011" s="37" t="s">
        <v>6182</v>
      </c>
      <c r="L4011" s="120"/>
      <c r="M4011" s="3"/>
    </row>
    <row r="4012" spans="1:13" s="4" customFormat="1" ht="51" x14ac:dyDescent="0.25">
      <c r="A4012" s="4" t="s">
        <v>6668</v>
      </c>
      <c r="B4012" s="4" t="s">
        <v>38</v>
      </c>
      <c r="C4012" s="37" t="s">
        <v>6182</v>
      </c>
      <c r="D4012" s="35">
        <v>10946</v>
      </c>
      <c r="E4012" s="4" t="s">
        <v>6669</v>
      </c>
      <c r="F4012" s="5">
        <v>41044</v>
      </c>
      <c r="G4012" s="5">
        <v>41044</v>
      </c>
      <c r="H4012" s="4" t="s">
        <v>40</v>
      </c>
      <c r="I4012" s="6">
        <v>276.5</v>
      </c>
      <c r="J4012" s="6">
        <v>276.5</v>
      </c>
      <c r="K4012" s="37" t="s">
        <v>6182</v>
      </c>
      <c r="L4012" s="120"/>
      <c r="M4012" s="3"/>
    </row>
    <row r="4013" spans="1:13" s="4" customFormat="1" ht="51" x14ac:dyDescent="0.25">
      <c r="A4013" s="4" t="s">
        <v>3299</v>
      </c>
      <c r="B4013" s="4" t="s">
        <v>38</v>
      </c>
      <c r="C4013" s="37" t="s">
        <v>6182</v>
      </c>
      <c r="D4013" s="35">
        <v>10947</v>
      </c>
      <c r="E4013" s="4" t="s">
        <v>6670</v>
      </c>
      <c r="F4013" s="5">
        <v>40968</v>
      </c>
      <c r="G4013" s="5">
        <v>40968</v>
      </c>
      <c r="H4013" s="4" t="s">
        <v>40</v>
      </c>
      <c r="I4013" s="6">
        <v>1125.4000000000001</v>
      </c>
      <c r="J4013" s="6">
        <v>1128.4000000000001</v>
      </c>
      <c r="K4013" s="37" t="s">
        <v>6182</v>
      </c>
      <c r="L4013" s="120"/>
      <c r="M4013" s="3"/>
    </row>
    <row r="4014" spans="1:13" s="4" customFormat="1" ht="76.5" x14ac:dyDescent="0.25">
      <c r="A4014" s="4" t="s">
        <v>6671</v>
      </c>
      <c r="B4014" s="4" t="s">
        <v>38</v>
      </c>
      <c r="C4014" s="37" t="s">
        <v>6182</v>
      </c>
      <c r="D4014" s="35">
        <v>10948</v>
      </c>
      <c r="E4014" s="4" t="s">
        <v>6672</v>
      </c>
      <c r="F4014" s="5">
        <v>41044</v>
      </c>
      <c r="G4014" s="5">
        <v>41044</v>
      </c>
      <c r="H4014" s="4" t="s">
        <v>40</v>
      </c>
      <c r="I4014" s="6">
        <v>595</v>
      </c>
      <c r="J4014" s="6">
        <v>565</v>
      </c>
      <c r="K4014" s="37" t="s">
        <v>6182</v>
      </c>
      <c r="L4014" s="120"/>
      <c r="M4014" s="3"/>
    </row>
    <row r="4015" spans="1:13" s="4" customFormat="1" ht="63.75" x14ac:dyDescent="0.25">
      <c r="A4015" s="4" t="s">
        <v>6412</v>
      </c>
      <c r="B4015" s="4" t="s">
        <v>38</v>
      </c>
      <c r="C4015" s="37" t="s">
        <v>6182</v>
      </c>
      <c r="D4015" s="35">
        <v>10949</v>
      </c>
      <c r="E4015" s="4" t="s">
        <v>6673</v>
      </c>
      <c r="F4015" s="5">
        <v>40982</v>
      </c>
      <c r="G4015" s="5">
        <v>40982</v>
      </c>
      <c r="H4015" s="4" t="s">
        <v>40</v>
      </c>
      <c r="I4015" s="6">
        <v>1062</v>
      </c>
      <c r="J4015" s="6">
        <v>1062.9000000000001</v>
      </c>
      <c r="K4015" s="37" t="s">
        <v>6182</v>
      </c>
      <c r="L4015" s="120"/>
      <c r="M4015" s="3"/>
    </row>
    <row r="4016" spans="1:13" s="4" customFormat="1" ht="51" x14ac:dyDescent="0.25">
      <c r="A4016" s="4" t="s">
        <v>6640</v>
      </c>
      <c r="B4016" s="4" t="s">
        <v>38</v>
      </c>
      <c r="C4016" s="37" t="s">
        <v>6182</v>
      </c>
      <c r="D4016" s="35">
        <v>10950</v>
      </c>
      <c r="E4016" s="4" t="s">
        <v>6641</v>
      </c>
      <c r="F4016" s="5">
        <v>41024</v>
      </c>
      <c r="G4016" s="5">
        <v>41024</v>
      </c>
      <c r="H4016" s="4" t="s">
        <v>40</v>
      </c>
      <c r="I4016" s="6">
        <v>917</v>
      </c>
      <c r="J4016" s="6">
        <v>917</v>
      </c>
      <c r="K4016" s="37" t="s">
        <v>6182</v>
      </c>
      <c r="L4016" s="120"/>
      <c r="M4016" s="3"/>
    </row>
    <row r="4017" spans="1:13" s="4" customFormat="1" ht="38.25" x14ac:dyDescent="0.25">
      <c r="A4017" s="4" t="s">
        <v>6674</v>
      </c>
      <c r="B4017" s="4" t="s">
        <v>38</v>
      </c>
      <c r="C4017" s="37" t="s">
        <v>6182</v>
      </c>
      <c r="D4017" s="35">
        <v>10951</v>
      </c>
      <c r="E4017" s="4" t="s">
        <v>6675</v>
      </c>
      <c r="F4017" s="5">
        <v>41043</v>
      </c>
      <c r="G4017" s="5">
        <v>41046</v>
      </c>
      <c r="H4017" s="4" t="s">
        <v>40</v>
      </c>
      <c r="I4017" s="6">
        <v>1150</v>
      </c>
      <c r="J4017" s="6">
        <v>1150</v>
      </c>
      <c r="K4017" s="37" t="s">
        <v>6182</v>
      </c>
      <c r="L4017" s="120"/>
      <c r="M4017" s="3"/>
    </row>
    <row r="4018" spans="1:13" s="4" customFormat="1" ht="63.75" x14ac:dyDescent="0.25">
      <c r="A4018" s="4" t="s">
        <v>6676</v>
      </c>
      <c r="B4018" s="4" t="s">
        <v>38</v>
      </c>
      <c r="C4018" s="37" t="s">
        <v>6182</v>
      </c>
      <c r="D4018" s="35">
        <v>10953</v>
      </c>
      <c r="E4018" s="4" t="s">
        <v>6677</v>
      </c>
      <c r="F4018" s="5">
        <v>41031</v>
      </c>
      <c r="G4018" s="5">
        <v>41242</v>
      </c>
      <c r="H4018" s="4" t="s">
        <v>40</v>
      </c>
      <c r="I4018" s="6">
        <v>5377</v>
      </c>
      <c r="J4018" s="6">
        <v>5377</v>
      </c>
      <c r="K4018" s="37" t="s">
        <v>6182</v>
      </c>
      <c r="L4018" s="120"/>
      <c r="M4018" s="3"/>
    </row>
    <row r="4019" spans="1:13" s="4" customFormat="1" ht="25.5" x14ac:dyDescent="0.25">
      <c r="A4019" s="4" t="s">
        <v>6678</v>
      </c>
      <c r="B4019" s="4" t="s">
        <v>38</v>
      </c>
      <c r="C4019" s="37" t="s">
        <v>6182</v>
      </c>
      <c r="D4019" s="35">
        <v>10955</v>
      </c>
      <c r="E4019" s="4" t="s">
        <v>6654</v>
      </c>
      <c r="F4019" s="5">
        <v>41218</v>
      </c>
      <c r="G4019" s="5">
        <v>41239</v>
      </c>
      <c r="H4019" s="4" t="s">
        <v>40</v>
      </c>
      <c r="I4019" s="6">
        <v>3085.75</v>
      </c>
      <c r="J4019" s="6">
        <v>3085.75</v>
      </c>
      <c r="K4019" s="37" t="s">
        <v>6182</v>
      </c>
      <c r="L4019" s="120"/>
      <c r="M4019" s="3"/>
    </row>
    <row r="4020" spans="1:13" s="4" customFormat="1" ht="25.5" x14ac:dyDescent="0.25">
      <c r="A4020" s="4" t="s">
        <v>6642</v>
      </c>
      <c r="B4020" s="4" t="s">
        <v>38</v>
      </c>
      <c r="C4020" s="37" t="s">
        <v>6182</v>
      </c>
      <c r="D4020" s="35">
        <v>10956</v>
      </c>
      <c r="E4020" s="4" t="s">
        <v>6679</v>
      </c>
      <c r="F4020" s="5">
        <v>40940</v>
      </c>
      <c r="G4020" s="5">
        <v>41274</v>
      </c>
      <c r="H4020" s="4" t="s">
        <v>40</v>
      </c>
      <c r="I4020" s="6">
        <v>22479.29</v>
      </c>
      <c r="J4020" s="6">
        <f>18134.88+4344.41</f>
        <v>22479.29</v>
      </c>
      <c r="K4020" s="37" t="s">
        <v>6182</v>
      </c>
      <c r="L4020" s="120"/>
      <c r="M4020" s="3"/>
    </row>
    <row r="4021" spans="1:13" s="4" customFormat="1" ht="25.5" x14ac:dyDescent="0.25">
      <c r="A4021" s="4" t="s">
        <v>6680</v>
      </c>
      <c r="B4021" s="4" t="s">
        <v>38</v>
      </c>
      <c r="C4021" s="37" t="s">
        <v>6182</v>
      </c>
      <c r="D4021" s="35">
        <v>10957</v>
      </c>
      <c r="E4021" s="4" t="s">
        <v>6681</v>
      </c>
      <c r="F4021" s="5">
        <v>41153</v>
      </c>
      <c r="G4021" s="5">
        <v>41243</v>
      </c>
      <c r="H4021" s="4" t="s">
        <v>40</v>
      </c>
      <c r="I4021" s="6">
        <v>3670.9</v>
      </c>
      <c r="J4021" s="6">
        <v>3670.9</v>
      </c>
      <c r="K4021" s="37" t="s">
        <v>6182</v>
      </c>
      <c r="L4021" s="120"/>
      <c r="M4021" s="3"/>
    </row>
    <row r="4022" spans="1:13" s="4" customFormat="1" ht="76.5" x14ac:dyDescent="0.25">
      <c r="A4022" s="4" t="s">
        <v>6650</v>
      </c>
      <c r="B4022" s="4" t="s">
        <v>38</v>
      </c>
      <c r="C4022" s="37" t="s">
        <v>6182</v>
      </c>
      <c r="D4022" s="35">
        <v>10958</v>
      </c>
      <c r="E4022" s="4" t="s">
        <v>6651</v>
      </c>
      <c r="F4022" s="5">
        <v>41150</v>
      </c>
      <c r="G4022" s="5">
        <v>41150</v>
      </c>
      <c r="H4022" s="4" t="s">
        <v>40</v>
      </c>
      <c r="I4022" s="6">
        <v>2500</v>
      </c>
      <c r="J4022" s="6">
        <v>2500</v>
      </c>
      <c r="K4022" s="37" t="s">
        <v>6182</v>
      </c>
      <c r="L4022" s="120"/>
      <c r="M4022" s="3"/>
    </row>
    <row r="4023" spans="1:13" s="4" customFormat="1" ht="38.25" x14ac:dyDescent="0.25">
      <c r="A4023" s="4" t="s">
        <v>6682</v>
      </c>
      <c r="B4023" s="4" t="s">
        <v>38</v>
      </c>
      <c r="C4023" s="37" t="s">
        <v>6182</v>
      </c>
      <c r="D4023" s="35">
        <v>10959</v>
      </c>
      <c r="E4023" s="4" t="s">
        <v>6310</v>
      </c>
      <c r="F4023" s="5">
        <v>40940</v>
      </c>
      <c r="G4023" s="5">
        <v>41274</v>
      </c>
      <c r="H4023" s="4" t="s">
        <v>40</v>
      </c>
      <c r="I4023" s="6">
        <v>22446.080000000002</v>
      </c>
      <c r="J4023" s="6">
        <v>22446.080000000002</v>
      </c>
      <c r="K4023" s="37" t="s">
        <v>6182</v>
      </c>
      <c r="L4023" s="120"/>
      <c r="M4023" s="3"/>
    </row>
    <row r="4024" spans="1:13" s="4" customFormat="1" ht="25.5" x14ac:dyDescent="0.25">
      <c r="A4024" s="4" t="s">
        <v>6523</v>
      </c>
      <c r="B4024" s="4" t="s">
        <v>38</v>
      </c>
      <c r="C4024" s="37" t="s">
        <v>6182</v>
      </c>
      <c r="D4024" s="35">
        <v>10960</v>
      </c>
      <c r="E4024" s="4" t="s">
        <v>6647</v>
      </c>
      <c r="F4024" s="5">
        <v>41177</v>
      </c>
      <c r="G4024" s="5">
        <v>41179</v>
      </c>
      <c r="H4024" s="4" t="s">
        <v>40</v>
      </c>
      <c r="I4024" s="6">
        <v>1894.81</v>
      </c>
      <c r="J4024" s="6">
        <v>1894.81</v>
      </c>
      <c r="K4024" s="37" t="s">
        <v>6182</v>
      </c>
      <c r="L4024" s="120"/>
      <c r="M4024" s="3"/>
    </row>
    <row r="4025" spans="1:13" s="4" customFormat="1" ht="51" x14ac:dyDescent="0.25">
      <c r="A4025" s="4" t="s">
        <v>6652</v>
      </c>
      <c r="B4025" s="4" t="s">
        <v>38</v>
      </c>
      <c r="C4025" s="37" t="s">
        <v>6182</v>
      </c>
      <c r="D4025" s="35">
        <v>10961</v>
      </c>
      <c r="E4025" s="4" t="s">
        <v>6534</v>
      </c>
      <c r="F4025" s="5">
        <v>40940</v>
      </c>
      <c r="G4025" s="5">
        <v>41274</v>
      </c>
      <c r="H4025" s="4" t="s">
        <v>40</v>
      </c>
      <c r="I4025" s="6">
        <v>79171.86</v>
      </c>
      <c r="J4025" s="6">
        <f>34555.43+5030.5</f>
        <v>39585.93</v>
      </c>
      <c r="K4025" s="37" t="s">
        <v>6182</v>
      </c>
      <c r="L4025" s="120"/>
      <c r="M4025" s="3"/>
    </row>
    <row r="4026" spans="1:13" s="4" customFormat="1" ht="25.5" x14ac:dyDescent="0.25">
      <c r="A4026" s="4" t="s">
        <v>6683</v>
      </c>
      <c r="B4026" s="4" t="s">
        <v>38</v>
      </c>
      <c r="C4026" s="37" t="s">
        <v>6182</v>
      </c>
      <c r="D4026" s="35">
        <v>10962</v>
      </c>
      <c r="E4026" s="4" t="s">
        <v>6684</v>
      </c>
      <c r="F4026" s="5">
        <v>41054</v>
      </c>
      <c r="G4026" s="5">
        <v>41054</v>
      </c>
      <c r="H4026" s="4" t="s">
        <v>40</v>
      </c>
      <c r="I4026" s="6">
        <v>520</v>
      </c>
      <c r="J4026" s="6">
        <v>520</v>
      </c>
      <c r="K4026" s="37" t="s">
        <v>6182</v>
      </c>
      <c r="L4026" s="120"/>
      <c r="M4026" s="3"/>
    </row>
    <row r="4027" spans="1:13" s="4" customFormat="1" ht="25.5" x14ac:dyDescent="0.25">
      <c r="A4027" s="4" t="s">
        <v>6685</v>
      </c>
      <c r="B4027" s="4" t="s">
        <v>38</v>
      </c>
      <c r="C4027" s="37" t="s">
        <v>6182</v>
      </c>
      <c r="D4027" s="35">
        <v>10963</v>
      </c>
      <c r="E4027" s="4" t="s">
        <v>6686</v>
      </c>
      <c r="F4027" s="5">
        <v>40909</v>
      </c>
      <c r="G4027" s="5">
        <v>41274</v>
      </c>
      <c r="H4027" s="4" t="s">
        <v>40</v>
      </c>
      <c r="I4027" s="6">
        <v>43871.73</v>
      </c>
      <c r="J4027" s="6">
        <v>43871.73</v>
      </c>
      <c r="K4027" s="37" t="s">
        <v>6182</v>
      </c>
      <c r="L4027" s="120"/>
      <c r="M4027" s="3"/>
    </row>
    <row r="4028" spans="1:13" s="4" customFormat="1" ht="38.25" x14ac:dyDescent="0.25">
      <c r="A4028" s="4" t="s">
        <v>6687</v>
      </c>
      <c r="B4028" s="4" t="s">
        <v>59</v>
      </c>
      <c r="C4028" s="37" t="s">
        <v>6182</v>
      </c>
      <c r="D4028" s="35">
        <v>11091</v>
      </c>
      <c r="E4028" s="4" t="s">
        <v>6688</v>
      </c>
      <c r="F4028" s="5">
        <v>41058</v>
      </c>
      <c r="G4028" s="5">
        <v>41274</v>
      </c>
      <c r="H4028" s="4" t="s">
        <v>40</v>
      </c>
      <c r="I4028" s="6">
        <v>8000</v>
      </c>
      <c r="J4028" s="6">
        <f>4000+4000</f>
        <v>8000</v>
      </c>
      <c r="K4028" s="37" t="s">
        <v>6182</v>
      </c>
      <c r="L4028" s="120"/>
      <c r="M4028" s="3"/>
    </row>
    <row r="4029" spans="1:13" s="4" customFormat="1" ht="25.5" x14ac:dyDescent="0.25">
      <c r="A4029" s="4" t="s">
        <v>6689</v>
      </c>
      <c r="B4029" s="4" t="s">
        <v>183</v>
      </c>
      <c r="C4029" s="37" t="s">
        <v>6182</v>
      </c>
      <c r="D4029" s="35">
        <v>11092</v>
      </c>
      <c r="E4029" s="4" t="s">
        <v>6690</v>
      </c>
      <c r="F4029" s="5">
        <v>40940</v>
      </c>
      <c r="G4029" s="5">
        <v>41222</v>
      </c>
      <c r="H4029" s="4" t="s">
        <v>40</v>
      </c>
      <c r="I4029" s="6">
        <v>63722</v>
      </c>
      <c r="J4029" s="6">
        <v>63722</v>
      </c>
      <c r="K4029" s="37" t="s">
        <v>6182</v>
      </c>
      <c r="L4029" s="120"/>
      <c r="M4029" s="3"/>
    </row>
    <row r="4030" spans="1:13" s="4" customFormat="1" ht="25.5" x14ac:dyDescent="0.25">
      <c r="A4030" s="4" t="s">
        <v>6479</v>
      </c>
      <c r="B4030" s="4" t="s">
        <v>190</v>
      </c>
      <c r="C4030" s="37" t="s">
        <v>6182</v>
      </c>
      <c r="D4030" s="35">
        <v>11093</v>
      </c>
      <c r="E4030" s="4" t="s">
        <v>6363</v>
      </c>
      <c r="F4030" s="5">
        <v>40941</v>
      </c>
      <c r="G4030" s="5">
        <v>41051</v>
      </c>
      <c r="H4030" s="4" t="s">
        <v>40</v>
      </c>
      <c r="I4030" s="6">
        <v>67300</v>
      </c>
      <c r="J4030" s="6">
        <v>33650</v>
      </c>
      <c r="K4030" s="37" t="s">
        <v>6182</v>
      </c>
      <c r="L4030" s="120"/>
      <c r="M4030" s="3"/>
    </row>
    <row r="4031" spans="1:13" s="4" customFormat="1" ht="51" x14ac:dyDescent="0.25">
      <c r="A4031" s="4" t="s">
        <v>6693</v>
      </c>
      <c r="B4031" s="4" t="s">
        <v>190</v>
      </c>
      <c r="C4031" s="37" t="s">
        <v>6182</v>
      </c>
      <c r="D4031" s="35">
        <v>11095</v>
      </c>
      <c r="E4031" s="4" t="s">
        <v>6606</v>
      </c>
      <c r="F4031" s="5">
        <v>40750</v>
      </c>
      <c r="G4031" s="5">
        <v>41114</v>
      </c>
      <c r="H4031" s="4" t="s">
        <v>40</v>
      </c>
      <c r="I4031" s="6">
        <v>18750</v>
      </c>
      <c r="J4031" s="6">
        <v>18750</v>
      </c>
      <c r="K4031" s="37" t="s">
        <v>6182</v>
      </c>
      <c r="L4031" s="120"/>
      <c r="M4031" s="3"/>
    </row>
    <row r="4032" spans="1:13" s="4" customFormat="1" ht="38.25" x14ac:dyDescent="0.25">
      <c r="A4032" s="4" t="s">
        <v>6694</v>
      </c>
      <c r="B4032" s="4" t="s">
        <v>190</v>
      </c>
      <c r="C4032" s="37" t="s">
        <v>6182</v>
      </c>
      <c r="D4032" s="35">
        <v>11096</v>
      </c>
      <c r="E4032" s="4" t="s">
        <v>6695</v>
      </c>
      <c r="F4032" s="5">
        <v>40688</v>
      </c>
      <c r="G4032" s="5">
        <v>41148</v>
      </c>
      <c r="H4032" s="4" t="s">
        <v>40</v>
      </c>
      <c r="I4032" s="6">
        <v>6750</v>
      </c>
      <c r="J4032" s="6">
        <v>6750</v>
      </c>
      <c r="K4032" s="37" t="s">
        <v>6182</v>
      </c>
      <c r="L4032" s="120"/>
      <c r="M4032" s="3"/>
    </row>
    <row r="4033" spans="1:13" s="4" customFormat="1" ht="51" x14ac:dyDescent="0.25">
      <c r="A4033" s="4" t="s">
        <v>6696</v>
      </c>
      <c r="B4033" s="4" t="s">
        <v>183</v>
      </c>
      <c r="C4033" s="37" t="s">
        <v>6182</v>
      </c>
      <c r="D4033" s="35">
        <v>11097</v>
      </c>
      <c r="E4033" s="4" t="s">
        <v>6697</v>
      </c>
      <c r="F4033" s="5">
        <v>40995</v>
      </c>
      <c r="G4033" s="5">
        <v>41639</v>
      </c>
      <c r="H4033" s="4" t="s">
        <v>40</v>
      </c>
      <c r="I4033" s="6">
        <v>106898.1</v>
      </c>
      <c r="J4033" s="6">
        <f>38449.05+30000</f>
        <v>68449.05</v>
      </c>
      <c r="K4033" s="37" t="s">
        <v>6182</v>
      </c>
      <c r="L4033" s="120"/>
      <c r="M4033" s="3"/>
    </row>
    <row r="4034" spans="1:13" s="4" customFormat="1" ht="25.5" x14ac:dyDescent="0.25">
      <c r="A4034" s="4" t="s">
        <v>6698</v>
      </c>
      <c r="B4034" s="4" t="s">
        <v>183</v>
      </c>
      <c r="C4034" s="37" t="s">
        <v>6182</v>
      </c>
      <c r="D4034" s="35">
        <v>11098</v>
      </c>
      <c r="E4034" s="4" t="s">
        <v>6699</v>
      </c>
      <c r="F4034" s="5">
        <v>40774</v>
      </c>
      <c r="H4034" s="4" t="s">
        <v>40</v>
      </c>
      <c r="I4034" s="6">
        <v>15000</v>
      </c>
      <c r="J4034" s="6">
        <v>15000</v>
      </c>
      <c r="K4034" s="37" t="s">
        <v>6182</v>
      </c>
      <c r="L4034" s="120"/>
      <c r="M4034" s="3"/>
    </row>
    <row r="4035" spans="1:13" s="4" customFormat="1" ht="63.75" x14ac:dyDescent="0.25">
      <c r="A4035" s="4" t="s">
        <v>6583</v>
      </c>
      <c r="B4035" s="4" t="s">
        <v>183</v>
      </c>
      <c r="C4035" s="37" t="s">
        <v>6182</v>
      </c>
      <c r="D4035" s="35">
        <v>11099</v>
      </c>
      <c r="E4035" s="4" t="s">
        <v>6584</v>
      </c>
      <c r="F4035" s="5">
        <v>40812</v>
      </c>
      <c r="H4035" s="4" t="s">
        <v>40</v>
      </c>
      <c r="I4035" s="6">
        <v>18750</v>
      </c>
      <c r="J4035" s="6">
        <v>18750</v>
      </c>
      <c r="K4035" s="37" t="s">
        <v>6182</v>
      </c>
      <c r="L4035" s="120"/>
      <c r="M4035" s="3"/>
    </row>
    <row r="4036" spans="1:13" s="4" customFormat="1" ht="38.25" x14ac:dyDescent="0.25">
      <c r="A4036" s="4" t="s">
        <v>6598</v>
      </c>
      <c r="B4036" s="4" t="s">
        <v>183</v>
      </c>
      <c r="C4036" s="37" t="s">
        <v>6182</v>
      </c>
      <c r="D4036" s="35">
        <v>11100</v>
      </c>
      <c r="E4036" s="4" t="s">
        <v>6599</v>
      </c>
      <c r="F4036" s="5">
        <v>40840</v>
      </c>
      <c r="G4036" s="5">
        <v>41075</v>
      </c>
      <c r="H4036" s="4" t="s">
        <v>40</v>
      </c>
      <c r="I4036" s="6">
        <v>5000</v>
      </c>
      <c r="J4036" s="6">
        <v>4000</v>
      </c>
      <c r="K4036" s="37" t="s">
        <v>6182</v>
      </c>
      <c r="L4036" s="120"/>
      <c r="M4036" s="3"/>
    </row>
    <row r="4037" spans="1:13" s="4" customFormat="1" ht="51" x14ac:dyDescent="0.25">
      <c r="A4037" s="4" t="s">
        <v>6700</v>
      </c>
      <c r="B4037" s="4" t="s">
        <v>183</v>
      </c>
      <c r="C4037" s="37" t="s">
        <v>6182</v>
      </c>
      <c r="D4037" s="35">
        <v>11101</v>
      </c>
      <c r="E4037" s="4" t="s">
        <v>6701</v>
      </c>
      <c r="F4037" s="5">
        <v>40995</v>
      </c>
      <c r="G4037" s="5">
        <v>41107</v>
      </c>
      <c r="H4037" s="4" t="s">
        <v>40</v>
      </c>
      <c r="I4037" s="6">
        <v>11728</v>
      </c>
      <c r="J4037" s="6">
        <v>7864</v>
      </c>
      <c r="K4037" s="37" t="s">
        <v>6182</v>
      </c>
      <c r="L4037" s="120"/>
      <c r="M4037" s="3"/>
    </row>
    <row r="4038" spans="1:13" s="4" customFormat="1" ht="25.5" x14ac:dyDescent="0.25">
      <c r="A4038" s="4" t="s">
        <v>6702</v>
      </c>
      <c r="B4038" s="4" t="s">
        <v>183</v>
      </c>
      <c r="C4038" s="37" t="s">
        <v>6182</v>
      </c>
      <c r="D4038" s="35">
        <v>11102</v>
      </c>
      <c r="E4038" s="4" t="s">
        <v>6703</v>
      </c>
      <c r="F4038" s="5">
        <v>41114</v>
      </c>
      <c r="H4038" s="4" t="s">
        <v>40</v>
      </c>
      <c r="I4038" s="6">
        <v>22152</v>
      </c>
      <c r="J4038" s="6">
        <f>4000+15076</f>
        <v>19076</v>
      </c>
      <c r="K4038" s="37" t="s">
        <v>6182</v>
      </c>
      <c r="L4038" s="120"/>
      <c r="M4038" s="3"/>
    </row>
    <row r="4039" spans="1:13" s="4" customFormat="1" ht="63.75" x14ac:dyDescent="0.25">
      <c r="A4039" s="4" t="s">
        <v>6704</v>
      </c>
      <c r="B4039" s="4" t="s">
        <v>190</v>
      </c>
      <c r="C4039" s="37" t="s">
        <v>6182</v>
      </c>
      <c r="D4039" s="35">
        <v>11103</v>
      </c>
      <c r="E4039" s="4" t="s">
        <v>6705</v>
      </c>
      <c r="F4039" s="5">
        <v>40819</v>
      </c>
      <c r="G4039" s="5">
        <v>40940</v>
      </c>
      <c r="H4039" s="4" t="s">
        <v>40</v>
      </c>
      <c r="I4039" s="6">
        <v>5974</v>
      </c>
      <c r="J4039" s="6">
        <v>2987</v>
      </c>
      <c r="K4039" s="37" t="s">
        <v>6182</v>
      </c>
      <c r="L4039" s="120"/>
      <c r="M4039" s="3"/>
    </row>
    <row r="4040" spans="1:13" s="4" customFormat="1" ht="25.5" x14ac:dyDescent="0.25">
      <c r="A4040" s="4" t="s">
        <v>6706</v>
      </c>
      <c r="B4040" s="4" t="s">
        <v>190</v>
      </c>
      <c r="C4040" s="37" t="s">
        <v>6182</v>
      </c>
      <c r="D4040" s="35">
        <v>11104</v>
      </c>
      <c r="E4040" s="4" t="s">
        <v>6707</v>
      </c>
      <c r="F4040" s="5">
        <v>40708</v>
      </c>
      <c r="H4040" s="4" t="s">
        <v>40</v>
      </c>
      <c r="I4040" s="6">
        <v>15000</v>
      </c>
      <c r="J4040" s="6">
        <v>15000</v>
      </c>
      <c r="K4040" s="37" t="s">
        <v>6182</v>
      </c>
      <c r="L4040" s="120"/>
      <c r="M4040" s="3"/>
    </row>
    <row r="4041" spans="1:13" s="4" customFormat="1" ht="25.5" x14ac:dyDescent="0.25">
      <c r="A4041" s="4" t="s">
        <v>6708</v>
      </c>
      <c r="B4041" s="4" t="s">
        <v>190</v>
      </c>
      <c r="C4041" s="37" t="s">
        <v>6182</v>
      </c>
      <c r="D4041" s="35">
        <v>11105</v>
      </c>
      <c r="E4041" s="4" t="s">
        <v>6709</v>
      </c>
      <c r="F4041" s="5">
        <v>40841</v>
      </c>
      <c r="G4041" s="5">
        <v>41057</v>
      </c>
      <c r="H4041" s="4" t="s">
        <v>40</v>
      </c>
      <c r="I4041" s="6">
        <v>89446</v>
      </c>
      <c r="J4041" s="6">
        <v>44723</v>
      </c>
      <c r="K4041" s="37" t="s">
        <v>6182</v>
      </c>
      <c r="L4041" s="120"/>
      <c r="M4041" s="3"/>
    </row>
    <row r="4042" spans="1:13" s="4" customFormat="1" ht="38.25" x14ac:dyDescent="0.25">
      <c r="A4042" s="4" t="s">
        <v>6710</v>
      </c>
      <c r="B4042" s="4" t="s">
        <v>190</v>
      </c>
      <c r="C4042" s="37" t="s">
        <v>6182</v>
      </c>
      <c r="D4042" s="35">
        <v>11106</v>
      </c>
      <c r="E4042" s="4" t="s">
        <v>6711</v>
      </c>
      <c r="F4042" s="5">
        <v>40568</v>
      </c>
      <c r="G4042" s="5">
        <v>40914</v>
      </c>
      <c r="H4042" s="4" t="s">
        <v>40</v>
      </c>
      <c r="I4042" s="6">
        <v>13000</v>
      </c>
      <c r="J4042" s="6">
        <v>6500</v>
      </c>
      <c r="K4042" s="37" t="s">
        <v>6182</v>
      </c>
      <c r="L4042" s="120"/>
    </row>
    <row r="4043" spans="1:13" s="4" customFormat="1" ht="51" x14ac:dyDescent="0.25">
      <c r="A4043" s="4" t="s">
        <v>6712</v>
      </c>
      <c r="B4043" s="4" t="s">
        <v>38</v>
      </c>
      <c r="C4043" s="37" t="s">
        <v>6182</v>
      </c>
      <c r="D4043" s="35">
        <v>11114</v>
      </c>
      <c r="E4043" s="4" t="s">
        <v>6713</v>
      </c>
      <c r="F4043" s="5">
        <v>41045</v>
      </c>
      <c r="G4043" s="5">
        <v>41087</v>
      </c>
      <c r="H4043" s="4" t="s">
        <v>40</v>
      </c>
      <c r="I4043" s="6">
        <v>20289.88</v>
      </c>
      <c r="J4043" s="6">
        <v>20289.88</v>
      </c>
      <c r="K4043" s="37" t="s">
        <v>6182</v>
      </c>
      <c r="L4043" s="120"/>
      <c r="M4043" s="3"/>
    </row>
    <row r="4044" spans="1:13" s="4" customFormat="1" ht="51" x14ac:dyDescent="0.25">
      <c r="A4044" s="4" t="s">
        <v>6714</v>
      </c>
      <c r="B4044" s="4" t="s">
        <v>38</v>
      </c>
      <c r="C4044" s="37" t="s">
        <v>6182</v>
      </c>
      <c r="D4044" s="35">
        <v>11115</v>
      </c>
      <c r="E4044" s="4" t="s">
        <v>6715</v>
      </c>
      <c r="F4044" s="5">
        <v>41024</v>
      </c>
      <c r="G4044" s="5">
        <v>41184</v>
      </c>
      <c r="H4044" s="4" t="s">
        <v>40</v>
      </c>
      <c r="I4044" s="6">
        <v>1451.79</v>
      </c>
      <c r="J4044" s="6">
        <v>1451.79</v>
      </c>
      <c r="K4044" s="37" t="s">
        <v>6182</v>
      </c>
      <c r="L4044" s="120"/>
      <c r="M4044" s="3"/>
    </row>
    <row r="4045" spans="1:13" s="4" customFormat="1" ht="63.75" x14ac:dyDescent="0.25">
      <c r="A4045" s="4" t="s">
        <v>6716</v>
      </c>
      <c r="B4045" s="4" t="s">
        <v>190</v>
      </c>
      <c r="C4045" s="37" t="s">
        <v>6182</v>
      </c>
      <c r="D4045" s="35">
        <v>11223</v>
      </c>
      <c r="E4045" s="4" t="s">
        <v>6568</v>
      </c>
      <c r="G4045" s="5">
        <v>41051</v>
      </c>
      <c r="H4045" s="4" t="s">
        <v>40</v>
      </c>
      <c r="I4045" s="6">
        <v>15000</v>
      </c>
      <c r="J4045" s="6">
        <v>15000</v>
      </c>
      <c r="K4045" s="37" t="s">
        <v>6182</v>
      </c>
      <c r="L4045" s="120"/>
      <c r="M4045" s="3"/>
    </row>
    <row r="4046" spans="1:13" ht="25.5" x14ac:dyDescent="0.25">
      <c r="A4046" s="13" t="s">
        <v>10927</v>
      </c>
      <c r="B4046" s="13" t="s">
        <v>10195</v>
      </c>
      <c r="C4046" s="20" t="s">
        <v>6182</v>
      </c>
      <c r="D4046" s="19">
        <v>12601</v>
      </c>
      <c r="E4046" s="13" t="s">
        <v>10928</v>
      </c>
      <c r="F4046" s="14">
        <v>41253</v>
      </c>
      <c r="G4046" s="14">
        <v>41639</v>
      </c>
      <c r="H4046" s="13" t="s">
        <v>651</v>
      </c>
      <c r="I4046" s="18">
        <v>13500</v>
      </c>
      <c r="J4046" s="18">
        <v>10500</v>
      </c>
      <c r="K4046" s="20" t="s">
        <v>6182</v>
      </c>
    </row>
    <row r="4047" spans="1:13" ht="25.5" x14ac:dyDescent="0.25">
      <c r="A4047" s="13" t="s">
        <v>10929</v>
      </c>
      <c r="B4047" s="13" t="s">
        <v>10930</v>
      </c>
      <c r="C4047" s="20" t="s">
        <v>6182</v>
      </c>
      <c r="D4047" s="19">
        <v>12603</v>
      </c>
      <c r="E4047" s="13" t="s">
        <v>10931</v>
      </c>
      <c r="F4047" s="14">
        <v>41302</v>
      </c>
      <c r="H4047" s="13" t="s">
        <v>651</v>
      </c>
      <c r="I4047" s="18">
        <v>10000</v>
      </c>
      <c r="J4047" s="18">
        <v>10000</v>
      </c>
      <c r="K4047" s="20" t="s">
        <v>6182</v>
      </c>
    </row>
    <row r="4048" spans="1:13" ht="38.25" x14ac:dyDescent="0.25">
      <c r="A4048" s="13" t="s">
        <v>10932</v>
      </c>
      <c r="B4048" s="13" t="s">
        <v>10192</v>
      </c>
      <c r="C4048" s="20" t="s">
        <v>6182</v>
      </c>
      <c r="D4048" s="19">
        <v>12605</v>
      </c>
      <c r="E4048" s="13" t="s">
        <v>10933</v>
      </c>
      <c r="F4048" s="14">
        <v>41253</v>
      </c>
      <c r="H4048" s="13" t="s">
        <v>651</v>
      </c>
      <c r="I4048" s="18">
        <v>13500</v>
      </c>
      <c r="J4048" s="18">
        <v>10500</v>
      </c>
      <c r="K4048" s="20" t="s">
        <v>6182</v>
      </c>
    </row>
    <row r="4049" spans="1:11" ht="25.5" x14ac:dyDescent="0.25">
      <c r="A4049" s="13" t="s">
        <v>10938</v>
      </c>
      <c r="B4049" s="13" t="s">
        <v>10192</v>
      </c>
      <c r="C4049" s="20" t="s">
        <v>6182</v>
      </c>
      <c r="D4049" s="19">
        <v>12621</v>
      </c>
      <c r="E4049" s="13" t="s">
        <v>10939</v>
      </c>
      <c r="F4049" s="14">
        <v>41253</v>
      </c>
      <c r="H4049" s="13" t="s">
        <v>651</v>
      </c>
      <c r="I4049" s="18">
        <v>38751</v>
      </c>
      <c r="J4049" s="18">
        <v>19375.5</v>
      </c>
      <c r="K4049" s="20" t="s">
        <v>6182</v>
      </c>
    </row>
    <row r="4050" spans="1:11" ht="25.5" x14ac:dyDescent="0.25">
      <c r="A4050" s="13" t="s">
        <v>10940</v>
      </c>
      <c r="B4050" s="13" t="s">
        <v>10195</v>
      </c>
      <c r="C4050" s="20" t="s">
        <v>6182</v>
      </c>
      <c r="D4050" s="19">
        <v>12622</v>
      </c>
      <c r="E4050" s="13" t="s">
        <v>10941</v>
      </c>
      <c r="F4050" s="14">
        <v>41302</v>
      </c>
      <c r="H4050" s="13" t="s">
        <v>651</v>
      </c>
      <c r="I4050" s="18">
        <v>85000</v>
      </c>
      <c r="J4050" s="18">
        <v>42500</v>
      </c>
      <c r="K4050" s="20" t="s">
        <v>6182</v>
      </c>
    </row>
    <row r="4051" spans="1:11" ht="38.25" x14ac:dyDescent="0.25">
      <c r="A4051" s="13" t="s">
        <v>10942</v>
      </c>
      <c r="B4051" s="13" t="s">
        <v>10192</v>
      </c>
      <c r="C4051" s="20" t="s">
        <v>6182</v>
      </c>
      <c r="D4051" s="19">
        <v>12624</v>
      </c>
      <c r="E4051" s="13" t="s">
        <v>10943</v>
      </c>
      <c r="F4051" s="14">
        <v>41572</v>
      </c>
      <c r="H4051" s="13" t="s">
        <v>651</v>
      </c>
      <c r="I4051" s="18">
        <v>3750</v>
      </c>
      <c r="J4051" s="18">
        <v>3750</v>
      </c>
      <c r="K4051" s="20" t="s">
        <v>6182</v>
      </c>
    </row>
    <row r="4052" spans="1:11" ht="51" x14ac:dyDescent="0.25">
      <c r="A4052" s="13" t="s">
        <v>10944</v>
      </c>
      <c r="B4052" s="13" t="s">
        <v>10192</v>
      </c>
      <c r="C4052" s="20" t="s">
        <v>6182</v>
      </c>
      <c r="D4052" s="19">
        <v>12627</v>
      </c>
      <c r="E4052" s="13" t="s">
        <v>10945</v>
      </c>
      <c r="F4052" s="14">
        <v>41610</v>
      </c>
      <c r="H4052" s="13" t="s">
        <v>651</v>
      </c>
      <c r="I4052" s="18">
        <v>12000</v>
      </c>
      <c r="J4052" s="18">
        <v>12000</v>
      </c>
      <c r="K4052" s="20" t="s">
        <v>6182</v>
      </c>
    </row>
    <row r="4053" spans="1:11" ht="25.5" x14ac:dyDescent="0.25">
      <c r="A4053" s="13" t="s">
        <v>10946</v>
      </c>
      <c r="B4053" s="13" t="s">
        <v>10192</v>
      </c>
      <c r="C4053" s="20" t="s">
        <v>6182</v>
      </c>
      <c r="D4053" s="19">
        <v>12630</v>
      </c>
      <c r="E4053" s="13" t="s">
        <v>10947</v>
      </c>
      <c r="F4053" s="14">
        <v>41572</v>
      </c>
      <c r="H4053" s="13" t="s">
        <v>651</v>
      </c>
      <c r="I4053" s="18">
        <v>25742</v>
      </c>
      <c r="J4053" s="18">
        <v>14746</v>
      </c>
      <c r="K4053" s="20" t="s">
        <v>6182</v>
      </c>
    </row>
    <row r="4054" spans="1:11" ht="25.5" x14ac:dyDescent="0.25">
      <c r="A4054" s="13" t="s">
        <v>10948</v>
      </c>
      <c r="B4054" s="13" t="s">
        <v>10195</v>
      </c>
      <c r="C4054" s="20" t="s">
        <v>6182</v>
      </c>
      <c r="D4054" s="19">
        <v>12631</v>
      </c>
      <c r="E4054" s="13" t="s">
        <v>10949</v>
      </c>
      <c r="F4054" s="14">
        <v>41418</v>
      </c>
      <c r="H4054" s="13" t="s">
        <v>651</v>
      </c>
      <c r="I4054" s="18">
        <v>7000</v>
      </c>
      <c r="J4054" s="18">
        <v>7000</v>
      </c>
      <c r="K4054" s="20" t="s">
        <v>6182</v>
      </c>
    </row>
    <row r="4055" spans="1:11" ht="25.5" x14ac:dyDescent="0.25">
      <c r="A4055" s="13" t="s">
        <v>10887</v>
      </c>
      <c r="B4055" s="13" t="s">
        <v>10192</v>
      </c>
      <c r="C4055" s="20" t="s">
        <v>6182</v>
      </c>
      <c r="D4055" s="19">
        <v>12632</v>
      </c>
      <c r="E4055" s="13" t="s">
        <v>10888</v>
      </c>
      <c r="F4055" s="14">
        <v>41533</v>
      </c>
      <c r="H4055" s="13" t="s">
        <v>651</v>
      </c>
      <c r="I4055" s="18">
        <v>7500</v>
      </c>
      <c r="J4055" s="18">
        <v>7500</v>
      </c>
      <c r="K4055" s="20" t="s">
        <v>6182</v>
      </c>
    </row>
    <row r="4056" spans="1:11" ht="25.5" x14ac:dyDescent="0.25">
      <c r="A4056" s="13" t="s">
        <v>10950</v>
      </c>
      <c r="B4056" s="13" t="s">
        <v>10192</v>
      </c>
      <c r="C4056" s="20" t="s">
        <v>6182</v>
      </c>
      <c r="D4056" s="19">
        <v>12633</v>
      </c>
      <c r="E4056" s="13" t="s">
        <v>10951</v>
      </c>
      <c r="F4056" s="14">
        <v>41418</v>
      </c>
      <c r="G4056" s="14">
        <v>41589</v>
      </c>
      <c r="H4056" s="13" t="s">
        <v>651</v>
      </c>
      <c r="I4056" s="18">
        <v>98000</v>
      </c>
      <c r="J4056" s="18">
        <v>53000</v>
      </c>
      <c r="K4056" s="20" t="s">
        <v>6182</v>
      </c>
    </row>
    <row r="4057" spans="1:11" ht="25.5" x14ac:dyDescent="0.25">
      <c r="A4057" s="13" t="s">
        <v>10889</v>
      </c>
      <c r="B4057" s="13" t="s">
        <v>13</v>
      </c>
      <c r="C4057" s="20" t="s">
        <v>6182</v>
      </c>
      <c r="D4057" s="19">
        <v>12634</v>
      </c>
      <c r="E4057" s="13" t="s">
        <v>10890</v>
      </c>
      <c r="F4057" s="14">
        <v>41572</v>
      </c>
      <c r="G4057" s="14">
        <v>41624</v>
      </c>
      <c r="H4057" s="13" t="s">
        <v>651</v>
      </c>
      <c r="I4057" s="18">
        <v>40000</v>
      </c>
      <c r="J4057" s="18">
        <v>20000</v>
      </c>
      <c r="K4057" s="20" t="s">
        <v>6182</v>
      </c>
    </row>
    <row r="4058" spans="1:11" ht="25.5" x14ac:dyDescent="0.25">
      <c r="A4058" s="13" t="s">
        <v>10952</v>
      </c>
      <c r="B4058" s="13" t="s">
        <v>13</v>
      </c>
      <c r="C4058" s="20" t="s">
        <v>6182</v>
      </c>
      <c r="D4058" s="19">
        <v>12635</v>
      </c>
      <c r="E4058" s="13" t="s">
        <v>10953</v>
      </c>
      <c r="F4058" s="14">
        <v>41569</v>
      </c>
      <c r="H4058" s="13" t="s">
        <v>651</v>
      </c>
      <c r="I4058" s="18">
        <v>10208</v>
      </c>
      <c r="J4058" s="18">
        <v>5104</v>
      </c>
      <c r="K4058" s="20" t="s">
        <v>6182</v>
      </c>
    </row>
    <row r="4059" spans="1:11" ht="25.5" x14ac:dyDescent="0.25">
      <c r="A4059" s="13" t="s">
        <v>10954</v>
      </c>
      <c r="B4059" s="13" t="s">
        <v>13</v>
      </c>
      <c r="C4059" s="20" t="s">
        <v>6182</v>
      </c>
      <c r="D4059" s="19">
        <v>12636</v>
      </c>
      <c r="E4059" s="13" t="s">
        <v>10955</v>
      </c>
      <c r="F4059" s="14">
        <v>41533</v>
      </c>
      <c r="H4059" s="13" t="s">
        <v>651</v>
      </c>
      <c r="I4059" s="18">
        <v>3750</v>
      </c>
      <c r="J4059" s="18">
        <v>3750</v>
      </c>
      <c r="K4059" s="20" t="s">
        <v>6182</v>
      </c>
    </row>
    <row r="4060" spans="1:11" ht="25.5" x14ac:dyDescent="0.25">
      <c r="A4060" s="13" t="s">
        <v>10956</v>
      </c>
      <c r="B4060" s="13" t="s">
        <v>10192</v>
      </c>
      <c r="C4060" s="20" t="s">
        <v>6182</v>
      </c>
      <c r="D4060" s="19">
        <v>12637</v>
      </c>
      <c r="E4060" s="13" t="s">
        <v>10957</v>
      </c>
      <c r="F4060" s="14">
        <v>41572</v>
      </c>
      <c r="H4060" s="13" t="s">
        <v>651</v>
      </c>
      <c r="I4060" s="18">
        <v>33608</v>
      </c>
      <c r="J4060" s="18">
        <v>16804</v>
      </c>
      <c r="K4060" s="20" t="s">
        <v>6182</v>
      </c>
    </row>
    <row r="4061" spans="1:11" ht="38.25" x14ac:dyDescent="0.25">
      <c r="A4061" s="13" t="s">
        <v>10958</v>
      </c>
      <c r="B4061" s="13" t="s">
        <v>10192</v>
      </c>
      <c r="C4061" s="20" t="s">
        <v>6182</v>
      </c>
      <c r="D4061" s="19">
        <v>12638</v>
      </c>
      <c r="E4061" s="13" t="s">
        <v>10959</v>
      </c>
      <c r="F4061" s="14">
        <v>41449</v>
      </c>
      <c r="H4061" s="13" t="s">
        <v>651</v>
      </c>
      <c r="I4061" s="18">
        <v>4000</v>
      </c>
      <c r="J4061" s="18">
        <v>4000</v>
      </c>
      <c r="K4061" s="20" t="s">
        <v>6182</v>
      </c>
    </row>
    <row r="4062" spans="1:11" ht="25.5" x14ac:dyDescent="0.25">
      <c r="A4062" s="13" t="s">
        <v>10960</v>
      </c>
      <c r="B4062" s="13" t="s">
        <v>10192</v>
      </c>
      <c r="C4062" s="20" t="s">
        <v>6182</v>
      </c>
      <c r="D4062" s="19">
        <v>12639</v>
      </c>
      <c r="E4062" s="13" t="s">
        <v>10961</v>
      </c>
      <c r="F4062" s="14">
        <v>41253</v>
      </c>
      <c r="H4062" s="13" t="s">
        <v>651</v>
      </c>
      <c r="I4062" s="18">
        <v>7500</v>
      </c>
      <c r="J4062" s="18">
        <v>7500</v>
      </c>
      <c r="K4062" s="20" t="s">
        <v>6182</v>
      </c>
    </row>
    <row r="4063" spans="1:11" ht="51" x14ac:dyDescent="0.25">
      <c r="A4063" s="13" t="s">
        <v>10962</v>
      </c>
      <c r="B4063" s="13" t="s">
        <v>10220</v>
      </c>
      <c r="C4063" s="20" t="s">
        <v>6182</v>
      </c>
      <c r="D4063" s="19">
        <v>12640</v>
      </c>
      <c r="E4063" s="13" t="s">
        <v>10963</v>
      </c>
      <c r="F4063" s="14">
        <v>41355</v>
      </c>
      <c r="H4063" s="13" t="s">
        <v>651</v>
      </c>
      <c r="I4063" s="18">
        <v>7499</v>
      </c>
      <c r="J4063" s="18">
        <v>3749.5</v>
      </c>
      <c r="K4063" s="20" t="s">
        <v>6182</v>
      </c>
    </row>
    <row r="4064" spans="1:11" ht="25.5" x14ac:dyDescent="0.25">
      <c r="A4064" s="13" t="s">
        <v>10964</v>
      </c>
      <c r="B4064" s="13" t="s">
        <v>13</v>
      </c>
      <c r="C4064" s="20" t="s">
        <v>6182</v>
      </c>
      <c r="D4064" s="19">
        <v>12641</v>
      </c>
      <c r="E4064" s="13" t="s">
        <v>10965</v>
      </c>
      <c r="F4064" s="14">
        <v>41533</v>
      </c>
      <c r="H4064" s="13" t="s">
        <v>651</v>
      </c>
      <c r="I4064" s="18">
        <v>109298.72</v>
      </c>
      <c r="J4064" s="18">
        <v>54649.36</v>
      </c>
      <c r="K4064" s="20" t="s">
        <v>6182</v>
      </c>
    </row>
    <row r="4065" spans="1:11" ht="51" x14ac:dyDescent="0.25">
      <c r="A4065" s="13" t="s">
        <v>7214</v>
      </c>
      <c r="B4065" s="13" t="s">
        <v>38</v>
      </c>
      <c r="C4065" s="20" t="s">
        <v>6182</v>
      </c>
      <c r="D4065" s="19">
        <v>12687</v>
      </c>
      <c r="E4065" s="13" t="s">
        <v>10968</v>
      </c>
      <c r="F4065" s="14">
        <v>40938</v>
      </c>
      <c r="G4065" s="14">
        <v>41290</v>
      </c>
      <c r="H4065" s="13" t="s">
        <v>651</v>
      </c>
      <c r="I4065" s="18">
        <v>26789.200000000001</v>
      </c>
      <c r="J4065" s="18">
        <v>26789.200000000001</v>
      </c>
      <c r="K4065" s="20" t="s">
        <v>6182</v>
      </c>
    </row>
    <row r="4066" spans="1:11" ht="51" x14ac:dyDescent="0.25">
      <c r="A4066" s="13" t="s">
        <v>10969</v>
      </c>
      <c r="B4066" s="13" t="s">
        <v>38</v>
      </c>
      <c r="C4066" s="20" t="s">
        <v>6182</v>
      </c>
      <c r="D4066" s="19">
        <v>12688</v>
      </c>
      <c r="E4066" s="13" t="s">
        <v>10970</v>
      </c>
      <c r="F4066" s="14">
        <v>41302</v>
      </c>
      <c r="G4066" s="14">
        <v>41494</v>
      </c>
      <c r="H4066" s="13" t="s">
        <v>651</v>
      </c>
      <c r="I4066" s="18">
        <v>2252.5</v>
      </c>
      <c r="J4066" s="18">
        <v>2252.5</v>
      </c>
      <c r="K4066" s="20" t="s">
        <v>6182</v>
      </c>
    </row>
    <row r="4067" spans="1:11" ht="51" x14ac:dyDescent="0.25">
      <c r="A4067" s="13" t="s">
        <v>10971</v>
      </c>
      <c r="B4067" s="13" t="s">
        <v>38</v>
      </c>
      <c r="C4067" s="20" t="s">
        <v>6182</v>
      </c>
      <c r="D4067" s="19">
        <v>12689</v>
      </c>
      <c r="E4067" s="13" t="s">
        <v>10972</v>
      </c>
      <c r="F4067" s="14">
        <v>41302</v>
      </c>
      <c r="G4067" s="14">
        <v>41374</v>
      </c>
      <c r="H4067" s="13" t="s">
        <v>651</v>
      </c>
      <c r="I4067" s="18">
        <v>1565</v>
      </c>
      <c r="J4067" s="18">
        <v>1565</v>
      </c>
      <c r="K4067" s="20" t="s">
        <v>6182</v>
      </c>
    </row>
    <row r="4068" spans="1:11" ht="51" x14ac:dyDescent="0.25">
      <c r="A4068" s="13" t="s">
        <v>10973</v>
      </c>
      <c r="B4068" s="13" t="s">
        <v>38</v>
      </c>
      <c r="C4068" s="20" t="s">
        <v>6182</v>
      </c>
      <c r="D4068" s="19">
        <v>12691</v>
      </c>
      <c r="E4068" s="13" t="s">
        <v>10972</v>
      </c>
      <c r="F4068" s="14">
        <v>41302</v>
      </c>
      <c r="G4068" s="14">
        <v>41618</v>
      </c>
      <c r="H4068" s="13" t="s">
        <v>651</v>
      </c>
      <c r="I4068" s="18">
        <v>2762.5</v>
      </c>
      <c r="J4068" s="18">
        <v>2762.5</v>
      </c>
      <c r="K4068" s="20" t="s">
        <v>6182</v>
      </c>
    </row>
    <row r="4069" spans="1:11" ht="38.25" x14ac:dyDescent="0.25">
      <c r="A4069" s="13" t="s">
        <v>10974</v>
      </c>
      <c r="B4069" s="13" t="s">
        <v>38</v>
      </c>
      <c r="C4069" s="20" t="s">
        <v>6182</v>
      </c>
      <c r="D4069" s="19">
        <v>12692</v>
      </c>
      <c r="E4069" s="13" t="s">
        <v>6639</v>
      </c>
      <c r="F4069" s="14">
        <v>41302</v>
      </c>
      <c r="G4069" s="14">
        <v>41537</v>
      </c>
      <c r="H4069" s="13" t="s">
        <v>651</v>
      </c>
      <c r="I4069" s="18">
        <v>2177.5</v>
      </c>
      <c r="J4069" s="18">
        <v>2177.5</v>
      </c>
      <c r="K4069" s="20" t="s">
        <v>6182</v>
      </c>
    </row>
    <row r="4070" spans="1:11" ht="25.5" x14ac:dyDescent="0.25">
      <c r="A4070" s="13" t="s">
        <v>6287</v>
      </c>
      <c r="B4070" s="13" t="s">
        <v>38</v>
      </c>
      <c r="C4070" s="20" t="s">
        <v>6182</v>
      </c>
      <c r="D4070" s="19">
        <v>12693</v>
      </c>
      <c r="E4070" s="13" t="s">
        <v>10975</v>
      </c>
      <c r="F4070" s="14">
        <v>41302</v>
      </c>
      <c r="G4070" s="14">
        <v>41549</v>
      </c>
      <c r="H4070" s="13" t="s">
        <v>651</v>
      </c>
      <c r="I4070" s="18">
        <v>11641.91</v>
      </c>
      <c r="J4070" s="18">
        <v>11641.91</v>
      </c>
      <c r="K4070" s="20" t="s">
        <v>6182</v>
      </c>
    </row>
    <row r="4071" spans="1:11" ht="25.5" x14ac:dyDescent="0.25">
      <c r="A4071" s="13" t="s">
        <v>10976</v>
      </c>
      <c r="B4071" s="13" t="s">
        <v>38</v>
      </c>
      <c r="C4071" s="20" t="s">
        <v>6182</v>
      </c>
      <c r="D4071" s="19">
        <v>12694</v>
      </c>
      <c r="E4071" s="13" t="s">
        <v>10977</v>
      </c>
      <c r="F4071" s="14">
        <v>41302</v>
      </c>
      <c r="G4071" s="14">
        <v>41618</v>
      </c>
      <c r="H4071" s="13" t="s">
        <v>651</v>
      </c>
      <c r="I4071" s="18">
        <v>6840</v>
      </c>
      <c r="J4071" s="18">
        <v>6840</v>
      </c>
      <c r="K4071" s="20" t="s">
        <v>6182</v>
      </c>
    </row>
    <row r="4072" spans="1:11" ht="38.25" x14ac:dyDescent="0.25">
      <c r="A4072" s="13" t="s">
        <v>6357</v>
      </c>
      <c r="B4072" s="13" t="s">
        <v>38</v>
      </c>
      <c r="C4072" s="20" t="s">
        <v>6182</v>
      </c>
      <c r="D4072" s="19">
        <v>12695</v>
      </c>
      <c r="E4072" s="13" t="s">
        <v>10978</v>
      </c>
      <c r="F4072" s="14">
        <v>41302</v>
      </c>
      <c r="G4072" s="14">
        <v>41421</v>
      </c>
      <c r="H4072" s="13" t="s">
        <v>651</v>
      </c>
      <c r="I4072" s="18">
        <v>740</v>
      </c>
      <c r="J4072" s="18">
        <v>740</v>
      </c>
      <c r="K4072" s="20" t="s">
        <v>6182</v>
      </c>
    </row>
    <row r="4073" spans="1:11" ht="38.25" x14ac:dyDescent="0.25">
      <c r="A4073" s="13" t="s">
        <v>10979</v>
      </c>
      <c r="B4073" s="13" t="s">
        <v>38</v>
      </c>
      <c r="C4073" s="20" t="s">
        <v>6182</v>
      </c>
      <c r="D4073" s="19">
        <v>12696</v>
      </c>
      <c r="E4073" s="13" t="s">
        <v>10980</v>
      </c>
      <c r="F4073" s="14">
        <v>41302</v>
      </c>
      <c r="G4073" s="14">
        <v>41418</v>
      </c>
      <c r="H4073" s="13" t="s">
        <v>651</v>
      </c>
      <c r="I4073" s="18">
        <v>3042.2</v>
      </c>
      <c r="J4073" s="18">
        <v>3042.2</v>
      </c>
      <c r="K4073" s="20" t="s">
        <v>6182</v>
      </c>
    </row>
    <row r="4074" spans="1:11" ht="25.5" x14ac:dyDescent="0.25">
      <c r="A4074" s="13" t="s">
        <v>10981</v>
      </c>
      <c r="B4074" s="13" t="s">
        <v>38</v>
      </c>
      <c r="C4074" s="20" t="s">
        <v>6182</v>
      </c>
      <c r="D4074" s="19">
        <v>12697</v>
      </c>
      <c r="E4074" s="13" t="s">
        <v>10982</v>
      </c>
      <c r="F4074" s="14">
        <v>41302</v>
      </c>
      <c r="G4074" s="14">
        <v>41563</v>
      </c>
      <c r="H4074" s="13" t="s">
        <v>651</v>
      </c>
      <c r="I4074" s="18">
        <v>977.5</v>
      </c>
      <c r="J4074" s="18">
        <v>977.5</v>
      </c>
      <c r="K4074" s="20" t="s">
        <v>6182</v>
      </c>
    </row>
    <row r="4075" spans="1:11" ht="25.5" x14ac:dyDescent="0.25">
      <c r="A4075" s="13" t="s">
        <v>10983</v>
      </c>
      <c r="B4075" s="13" t="s">
        <v>38</v>
      </c>
      <c r="C4075" s="20" t="s">
        <v>6182</v>
      </c>
      <c r="D4075" s="19">
        <v>12698</v>
      </c>
      <c r="E4075" s="13" t="s">
        <v>10984</v>
      </c>
      <c r="F4075" s="14">
        <v>41302</v>
      </c>
      <c r="G4075" s="14">
        <v>41438</v>
      </c>
      <c r="H4075" s="13" t="s">
        <v>651</v>
      </c>
      <c r="I4075" s="18">
        <v>775</v>
      </c>
      <c r="J4075" s="18">
        <v>775</v>
      </c>
      <c r="K4075" s="20" t="s">
        <v>6182</v>
      </c>
    </row>
    <row r="4076" spans="1:11" ht="25.5" x14ac:dyDescent="0.25">
      <c r="A4076" s="13" t="s">
        <v>10985</v>
      </c>
      <c r="B4076" s="13" t="s">
        <v>38</v>
      </c>
      <c r="C4076" s="20" t="s">
        <v>6182</v>
      </c>
      <c r="D4076" s="19">
        <v>12699</v>
      </c>
      <c r="E4076" s="13" t="s">
        <v>10986</v>
      </c>
      <c r="F4076" s="14">
        <v>41302</v>
      </c>
      <c r="G4076" s="14">
        <v>41387</v>
      </c>
      <c r="H4076" s="13" t="s">
        <v>651</v>
      </c>
      <c r="I4076" s="18">
        <v>756.3</v>
      </c>
      <c r="J4076" s="18">
        <v>756.3</v>
      </c>
      <c r="K4076" s="20" t="s">
        <v>6182</v>
      </c>
    </row>
    <row r="4077" spans="1:11" ht="25.5" x14ac:dyDescent="0.25">
      <c r="A4077" s="13" t="s">
        <v>10987</v>
      </c>
      <c r="B4077" s="13" t="s">
        <v>38</v>
      </c>
      <c r="C4077" s="20" t="s">
        <v>6182</v>
      </c>
      <c r="D4077" s="19">
        <v>12700</v>
      </c>
      <c r="E4077" s="13" t="s">
        <v>10988</v>
      </c>
      <c r="F4077" s="14">
        <v>41302</v>
      </c>
      <c r="G4077" s="14">
        <v>41407</v>
      </c>
      <c r="H4077" s="13" t="s">
        <v>651</v>
      </c>
      <c r="I4077" s="18">
        <v>242</v>
      </c>
      <c r="J4077" s="18">
        <v>242</v>
      </c>
      <c r="K4077" s="20" t="s">
        <v>6182</v>
      </c>
    </row>
    <row r="4078" spans="1:11" ht="25.5" x14ac:dyDescent="0.25">
      <c r="A4078" s="13" t="s">
        <v>10989</v>
      </c>
      <c r="B4078" s="13" t="s">
        <v>38</v>
      </c>
      <c r="C4078" s="20" t="s">
        <v>6182</v>
      </c>
      <c r="D4078" s="19">
        <v>12701</v>
      </c>
      <c r="E4078" s="13" t="s">
        <v>10990</v>
      </c>
      <c r="F4078" s="14">
        <v>41302</v>
      </c>
      <c r="G4078" s="14">
        <v>41418</v>
      </c>
      <c r="H4078" s="13" t="s">
        <v>651</v>
      </c>
      <c r="I4078" s="18">
        <v>515</v>
      </c>
      <c r="J4078" s="18">
        <v>515</v>
      </c>
      <c r="K4078" s="20" t="s">
        <v>6182</v>
      </c>
    </row>
    <row r="4079" spans="1:11" ht="63.75" x14ac:dyDescent="0.25">
      <c r="A4079" s="13" t="s">
        <v>10991</v>
      </c>
      <c r="B4079" s="13" t="s">
        <v>38</v>
      </c>
      <c r="C4079" s="20" t="s">
        <v>6182</v>
      </c>
      <c r="D4079" s="19">
        <v>12702</v>
      </c>
      <c r="E4079" s="13" t="s">
        <v>10992</v>
      </c>
      <c r="F4079" s="14">
        <v>41302</v>
      </c>
      <c r="G4079" s="14">
        <v>41418</v>
      </c>
      <c r="H4079" s="13" t="s">
        <v>651</v>
      </c>
      <c r="I4079" s="18">
        <v>288</v>
      </c>
      <c r="J4079" s="18">
        <v>288</v>
      </c>
      <c r="K4079" s="20" t="s">
        <v>6182</v>
      </c>
    </row>
    <row r="4080" spans="1:11" ht="25.5" x14ac:dyDescent="0.25">
      <c r="A4080" s="13" t="s">
        <v>10993</v>
      </c>
      <c r="B4080" s="13" t="s">
        <v>38</v>
      </c>
      <c r="C4080" s="20" t="s">
        <v>6182</v>
      </c>
      <c r="D4080" s="19">
        <v>12703</v>
      </c>
      <c r="E4080" s="13" t="s">
        <v>10994</v>
      </c>
      <c r="F4080" s="14">
        <v>41302</v>
      </c>
      <c r="G4080" s="14">
        <v>41386</v>
      </c>
      <c r="H4080" s="13" t="s">
        <v>651</v>
      </c>
      <c r="I4080" s="18">
        <v>1598.4</v>
      </c>
      <c r="J4080" s="18">
        <v>1598.4</v>
      </c>
      <c r="K4080" s="20" t="s">
        <v>6182</v>
      </c>
    </row>
    <row r="4081" spans="1:11" ht="38.25" x14ac:dyDescent="0.25">
      <c r="A4081" s="13" t="s">
        <v>10995</v>
      </c>
      <c r="B4081" s="13" t="s">
        <v>38</v>
      </c>
      <c r="C4081" s="20" t="s">
        <v>6182</v>
      </c>
      <c r="D4081" s="19">
        <v>12705</v>
      </c>
      <c r="E4081" s="13" t="s">
        <v>10996</v>
      </c>
      <c r="F4081" s="14">
        <v>41302</v>
      </c>
      <c r="G4081" s="14">
        <v>41386</v>
      </c>
      <c r="H4081" s="13" t="s">
        <v>651</v>
      </c>
      <c r="I4081" s="18">
        <v>862.5</v>
      </c>
      <c r="J4081" s="18">
        <v>862.5</v>
      </c>
      <c r="K4081" s="20" t="s">
        <v>6182</v>
      </c>
    </row>
    <row r="4082" spans="1:11" ht="51" x14ac:dyDescent="0.25">
      <c r="A4082" s="13" t="s">
        <v>10997</v>
      </c>
      <c r="B4082" s="13" t="s">
        <v>38</v>
      </c>
      <c r="C4082" s="20" t="s">
        <v>6182</v>
      </c>
      <c r="D4082" s="19">
        <v>12706</v>
      </c>
      <c r="E4082" s="13" t="s">
        <v>10998</v>
      </c>
      <c r="F4082" s="14">
        <v>41302</v>
      </c>
      <c r="G4082" s="14">
        <v>41494</v>
      </c>
      <c r="H4082" s="13" t="s">
        <v>651</v>
      </c>
      <c r="I4082" s="18">
        <v>750</v>
      </c>
      <c r="J4082" s="18">
        <v>750</v>
      </c>
      <c r="K4082" s="20" t="s">
        <v>6182</v>
      </c>
    </row>
    <row r="4083" spans="1:11" ht="25.5" x14ac:dyDescent="0.25">
      <c r="A4083" s="13" t="s">
        <v>10999</v>
      </c>
      <c r="B4083" s="13" t="s">
        <v>38</v>
      </c>
      <c r="C4083" s="20" t="s">
        <v>6182</v>
      </c>
      <c r="D4083" s="19">
        <v>12707</v>
      </c>
      <c r="E4083" s="13" t="s">
        <v>11000</v>
      </c>
      <c r="F4083" s="14">
        <v>41302</v>
      </c>
      <c r="G4083" s="14">
        <v>41610</v>
      </c>
      <c r="H4083" s="13" t="s">
        <v>651</v>
      </c>
      <c r="I4083" s="18">
        <v>300</v>
      </c>
      <c r="J4083" s="18">
        <v>300</v>
      </c>
      <c r="K4083" s="20" t="s">
        <v>6182</v>
      </c>
    </row>
    <row r="4084" spans="1:11" ht="25.5" x14ac:dyDescent="0.25">
      <c r="A4084" s="13" t="s">
        <v>11001</v>
      </c>
      <c r="B4084" s="13" t="s">
        <v>38</v>
      </c>
      <c r="C4084" s="20" t="s">
        <v>6182</v>
      </c>
      <c r="D4084" s="19">
        <v>12708</v>
      </c>
      <c r="E4084" s="13" t="s">
        <v>11002</v>
      </c>
      <c r="F4084" s="14">
        <v>41302</v>
      </c>
      <c r="G4084" s="14">
        <v>41589</v>
      </c>
      <c r="H4084" s="13" t="s">
        <v>651</v>
      </c>
      <c r="I4084" s="18">
        <v>917.6</v>
      </c>
      <c r="J4084" s="18">
        <v>917.6</v>
      </c>
      <c r="K4084" s="20" t="s">
        <v>6182</v>
      </c>
    </row>
    <row r="4085" spans="1:11" ht="25.5" x14ac:dyDescent="0.25">
      <c r="A4085" s="13" t="s">
        <v>2285</v>
      </c>
      <c r="B4085" s="13" t="s">
        <v>38</v>
      </c>
      <c r="C4085" s="20" t="s">
        <v>6182</v>
      </c>
      <c r="D4085" s="19">
        <v>12710</v>
      </c>
      <c r="E4085" s="13" t="s">
        <v>11003</v>
      </c>
      <c r="F4085" s="14">
        <v>41302</v>
      </c>
      <c r="G4085" s="14">
        <v>41618</v>
      </c>
      <c r="H4085" s="13" t="s">
        <v>651</v>
      </c>
      <c r="I4085" s="18">
        <v>12190.18</v>
      </c>
      <c r="J4085" s="18">
        <v>12190.18</v>
      </c>
      <c r="K4085" s="20" t="s">
        <v>6182</v>
      </c>
    </row>
    <row r="4086" spans="1:11" ht="38.25" x14ac:dyDescent="0.25">
      <c r="A4086" s="13" t="s">
        <v>6285</v>
      </c>
      <c r="B4086" s="13" t="s">
        <v>38</v>
      </c>
      <c r="C4086" s="20" t="s">
        <v>6182</v>
      </c>
      <c r="D4086" s="19">
        <v>12713</v>
      </c>
      <c r="E4086" s="13" t="s">
        <v>11004</v>
      </c>
      <c r="F4086" s="14">
        <v>41302</v>
      </c>
      <c r="G4086" s="14">
        <v>41618</v>
      </c>
      <c r="H4086" s="13" t="s">
        <v>651</v>
      </c>
      <c r="I4086" s="18">
        <v>51563.78</v>
      </c>
      <c r="J4086" s="18">
        <v>25781.89</v>
      </c>
      <c r="K4086" s="20" t="s">
        <v>6182</v>
      </c>
    </row>
    <row r="4087" spans="1:11" ht="38.25" x14ac:dyDescent="0.25">
      <c r="A4087" s="13" t="s">
        <v>6309</v>
      </c>
      <c r="B4087" s="13" t="s">
        <v>38</v>
      </c>
      <c r="C4087" s="20" t="s">
        <v>6182</v>
      </c>
      <c r="D4087" s="19">
        <v>12715</v>
      </c>
      <c r="E4087" s="13" t="s">
        <v>6310</v>
      </c>
      <c r="F4087" s="14">
        <v>41302</v>
      </c>
      <c r="G4087" s="14">
        <v>41618</v>
      </c>
      <c r="H4087" s="13" t="s">
        <v>651</v>
      </c>
      <c r="I4087" s="18">
        <v>23243.15</v>
      </c>
      <c r="J4087" s="18">
        <v>23243.15</v>
      </c>
      <c r="K4087" s="20" t="s">
        <v>6182</v>
      </c>
    </row>
    <row r="4088" spans="1:11" ht="38.25" x14ac:dyDescent="0.25">
      <c r="A4088" s="13" t="s">
        <v>11005</v>
      </c>
      <c r="B4088" s="13" t="s">
        <v>38</v>
      </c>
      <c r="C4088" s="20" t="s">
        <v>6182</v>
      </c>
      <c r="D4088" s="19">
        <v>12716</v>
      </c>
      <c r="E4088" s="13" t="s">
        <v>11006</v>
      </c>
      <c r="F4088" s="14">
        <v>41302</v>
      </c>
      <c r="G4088" s="14">
        <v>41591</v>
      </c>
      <c r="H4088" s="13" t="s">
        <v>651</v>
      </c>
      <c r="I4088" s="18">
        <v>900</v>
      </c>
      <c r="J4088" s="18">
        <v>900</v>
      </c>
      <c r="K4088" s="20" t="s">
        <v>6182</v>
      </c>
    </row>
    <row r="4089" spans="1:11" ht="25.5" x14ac:dyDescent="0.25">
      <c r="A4089" s="13" t="s">
        <v>7537</v>
      </c>
      <c r="B4089" s="13" t="s">
        <v>38</v>
      </c>
      <c r="C4089" s="20" t="s">
        <v>6182</v>
      </c>
      <c r="D4089" s="19">
        <v>12717</v>
      </c>
      <c r="E4089" s="13" t="s">
        <v>11007</v>
      </c>
      <c r="F4089" s="14">
        <v>40928</v>
      </c>
      <c r="G4089" s="14">
        <v>41290</v>
      </c>
      <c r="H4089" s="13" t="s">
        <v>651</v>
      </c>
      <c r="I4089" s="18">
        <v>2000</v>
      </c>
      <c r="J4089" s="18">
        <v>2000</v>
      </c>
      <c r="K4089" s="20" t="s">
        <v>6182</v>
      </c>
    </row>
    <row r="4090" spans="1:11" ht="25.5" x14ac:dyDescent="0.25">
      <c r="A4090" s="13" t="s">
        <v>9675</v>
      </c>
      <c r="B4090" s="13" t="s">
        <v>38</v>
      </c>
      <c r="C4090" s="20" t="s">
        <v>6182</v>
      </c>
      <c r="D4090" s="19">
        <v>12718</v>
      </c>
      <c r="E4090" s="13" t="s">
        <v>11008</v>
      </c>
      <c r="F4090" s="14">
        <v>40928</v>
      </c>
      <c r="G4090" s="14">
        <v>41589</v>
      </c>
      <c r="H4090" s="13" t="s">
        <v>651</v>
      </c>
      <c r="I4090" s="18">
        <v>500</v>
      </c>
      <c r="J4090" s="18">
        <v>500</v>
      </c>
      <c r="K4090" s="20" t="s">
        <v>6182</v>
      </c>
    </row>
    <row r="4091" spans="1:11" ht="25.5" x14ac:dyDescent="0.25">
      <c r="A4091" s="13" t="s">
        <v>11009</v>
      </c>
      <c r="B4091" s="13" t="s">
        <v>38</v>
      </c>
      <c r="C4091" s="20" t="s">
        <v>6182</v>
      </c>
      <c r="D4091" s="19">
        <v>12719</v>
      </c>
      <c r="E4091" s="13" t="s">
        <v>11010</v>
      </c>
      <c r="F4091" s="14">
        <v>40928</v>
      </c>
      <c r="G4091" s="14">
        <v>41290</v>
      </c>
      <c r="H4091" s="13" t="s">
        <v>651</v>
      </c>
      <c r="I4091" s="18">
        <v>376.38</v>
      </c>
      <c r="J4091" s="18">
        <v>376.38</v>
      </c>
      <c r="K4091" s="20" t="s">
        <v>6182</v>
      </c>
    </row>
    <row r="4092" spans="1:11" ht="38.25" x14ac:dyDescent="0.25">
      <c r="A4092" s="13" t="s">
        <v>7537</v>
      </c>
      <c r="B4092" s="13" t="s">
        <v>38</v>
      </c>
      <c r="C4092" s="20" t="s">
        <v>6182</v>
      </c>
      <c r="D4092" s="19">
        <v>12720</v>
      </c>
      <c r="E4092" s="13" t="s">
        <v>11011</v>
      </c>
      <c r="F4092" s="14">
        <v>41302</v>
      </c>
      <c r="G4092" s="14">
        <v>41563</v>
      </c>
      <c r="H4092" s="13" t="s">
        <v>651</v>
      </c>
      <c r="I4092" s="18">
        <v>16034.75</v>
      </c>
      <c r="J4092" s="18">
        <v>16034.75</v>
      </c>
      <c r="K4092" s="20" t="s">
        <v>6182</v>
      </c>
    </row>
    <row r="4093" spans="1:11" ht="25.5" x14ac:dyDescent="0.25">
      <c r="A4093" s="13" t="s">
        <v>11009</v>
      </c>
      <c r="B4093" s="13" t="s">
        <v>38</v>
      </c>
      <c r="C4093" s="20" t="s">
        <v>6182</v>
      </c>
      <c r="D4093" s="19">
        <v>12721</v>
      </c>
      <c r="E4093" s="13" t="s">
        <v>11012</v>
      </c>
      <c r="F4093" s="14">
        <v>41302</v>
      </c>
      <c r="G4093" s="14">
        <v>41541</v>
      </c>
      <c r="H4093" s="13" t="s">
        <v>651</v>
      </c>
      <c r="I4093" s="18">
        <v>1367.76</v>
      </c>
      <c r="J4093" s="18">
        <v>1367.76</v>
      </c>
      <c r="K4093" s="20" t="s">
        <v>6182</v>
      </c>
    </row>
    <row r="4094" spans="1:11" ht="25.5" x14ac:dyDescent="0.25">
      <c r="A4094" s="13" t="s">
        <v>11013</v>
      </c>
      <c r="B4094" s="13" t="s">
        <v>38</v>
      </c>
      <c r="C4094" s="20" t="s">
        <v>6182</v>
      </c>
      <c r="D4094" s="19">
        <v>12722</v>
      </c>
      <c r="E4094" s="13" t="s">
        <v>11014</v>
      </c>
      <c r="F4094" s="14">
        <v>41294</v>
      </c>
      <c r="G4094" s="14">
        <v>41541</v>
      </c>
      <c r="H4094" s="13" t="s">
        <v>651</v>
      </c>
      <c r="I4094" s="18">
        <v>841.32</v>
      </c>
      <c r="J4094" s="18">
        <v>841.32</v>
      </c>
      <c r="K4094" s="20" t="s">
        <v>6182</v>
      </c>
    </row>
    <row r="4095" spans="1:11" ht="25.5" x14ac:dyDescent="0.25">
      <c r="A4095" s="13" t="s">
        <v>6297</v>
      </c>
      <c r="B4095" s="13" t="s">
        <v>38</v>
      </c>
      <c r="C4095" s="20" t="s">
        <v>6182</v>
      </c>
      <c r="D4095" s="19">
        <v>12723</v>
      </c>
      <c r="E4095" s="13" t="s">
        <v>11015</v>
      </c>
      <c r="F4095" s="14">
        <v>41294</v>
      </c>
      <c r="G4095" s="14">
        <v>41599</v>
      </c>
      <c r="H4095" s="13" t="s">
        <v>651</v>
      </c>
      <c r="I4095" s="18">
        <v>2256.2199999999998</v>
      </c>
      <c r="J4095" s="18">
        <v>2256.2199999999998</v>
      </c>
      <c r="K4095" s="20" t="s">
        <v>6182</v>
      </c>
    </row>
    <row r="4096" spans="1:11" ht="38.25" x14ac:dyDescent="0.25">
      <c r="A4096" s="13" t="s">
        <v>11016</v>
      </c>
      <c r="B4096" s="13" t="s">
        <v>38</v>
      </c>
      <c r="C4096" s="20" t="s">
        <v>6182</v>
      </c>
      <c r="D4096" s="19">
        <v>12724</v>
      </c>
      <c r="E4096" s="13" t="s">
        <v>11017</v>
      </c>
      <c r="F4096" s="14">
        <v>41294</v>
      </c>
      <c r="G4096" s="14">
        <v>41589</v>
      </c>
      <c r="H4096" s="13" t="s">
        <v>651</v>
      </c>
      <c r="I4096" s="18">
        <v>2500</v>
      </c>
      <c r="J4096" s="18">
        <v>2500</v>
      </c>
      <c r="K4096" s="20" t="s">
        <v>6182</v>
      </c>
    </row>
    <row r="4097" spans="1:13" ht="38.25" x14ac:dyDescent="0.25">
      <c r="A4097" s="13" t="s">
        <v>7214</v>
      </c>
      <c r="B4097" s="13" t="s">
        <v>38</v>
      </c>
      <c r="C4097" s="20" t="s">
        <v>6182</v>
      </c>
      <c r="D4097" s="19">
        <v>12725</v>
      </c>
      <c r="E4097" s="13" t="s">
        <v>11018</v>
      </c>
      <c r="F4097" s="14">
        <v>41302</v>
      </c>
      <c r="G4097" s="14">
        <v>41610</v>
      </c>
      <c r="H4097" s="13" t="s">
        <v>651</v>
      </c>
      <c r="I4097" s="18">
        <f>21838.25+14.1</f>
        <v>21852.35</v>
      </c>
      <c r="J4097" s="18">
        <v>21838.25</v>
      </c>
      <c r="K4097" s="20" t="s">
        <v>6182</v>
      </c>
    </row>
    <row r="4098" spans="1:13" ht="38.25" x14ac:dyDescent="0.25">
      <c r="A4098" s="13" t="s">
        <v>11019</v>
      </c>
      <c r="B4098" s="13" t="s">
        <v>38</v>
      </c>
      <c r="C4098" s="20" t="s">
        <v>6182</v>
      </c>
      <c r="D4098" s="19">
        <v>12726</v>
      </c>
      <c r="E4098" s="13" t="s">
        <v>11020</v>
      </c>
      <c r="F4098" s="14">
        <v>41302</v>
      </c>
      <c r="G4098" s="14">
        <v>41618</v>
      </c>
      <c r="H4098" s="13" t="s">
        <v>651</v>
      </c>
      <c r="I4098" s="18">
        <v>1896.53</v>
      </c>
      <c r="J4098" s="18">
        <v>1896.53</v>
      </c>
      <c r="K4098" s="20" t="s">
        <v>6182</v>
      </c>
    </row>
    <row r="4099" spans="1:13" s="4" customFormat="1" ht="25.5" x14ac:dyDescent="0.25">
      <c r="C4099" s="20" t="s">
        <v>6182</v>
      </c>
      <c r="D4099" s="35"/>
      <c r="E4099" s="26" t="s">
        <v>351</v>
      </c>
      <c r="F4099" s="26"/>
      <c r="G4099" s="28"/>
      <c r="H4099" s="26"/>
      <c r="I4099" s="27">
        <f>SUM(I3746:I3762)</f>
        <v>1198752.78</v>
      </c>
      <c r="J4099" s="27">
        <f>SUM(J3746:J3762)</f>
        <v>318101.58999999997</v>
      </c>
      <c r="K4099" s="20" t="s">
        <v>6182</v>
      </c>
      <c r="L4099" s="119"/>
      <c r="M4099" s="3"/>
    </row>
    <row r="4100" spans="1:13" s="4" customFormat="1" ht="25.5" x14ac:dyDescent="0.25">
      <c r="C4100" s="20" t="s">
        <v>6182</v>
      </c>
      <c r="D4100" s="35"/>
      <c r="E4100" s="26" t="s">
        <v>786</v>
      </c>
      <c r="F4100" s="26"/>
      <c r="G4100" s="28"/>
      <c r="H4100" s="26"/>
      <c r="I4100" s="27">
        <f>SUM(I3763:I3764)</f>
        <v>416221.31</v>
      </c>
      <c r="J4100" s="27">
        <f>SUM(J3763:J3764)</f>
        <v>152580.46000000002</v>
      </c>
      <c r="K4100" s="20" t="s">
        <v>6182</v>
      </c>
      <c r="L4100" s="119"/>
      <c r="M4100" s="3"/>
    </row>
    <row r="4101" spans="1:13" s="4" customFormat="1" ht="25.5" x14ac:dyDescent="0.25">
      <c r="C4101" s="20" t="s">
        <v>6182</v>
      </c>
      <c r="D4101" s="35"/>
      <c r="E4101" s="26" t="s">
        <v>352</v>
      </c>
      <c r="F4101" s="26"/>
      <c r="G4101" s="28"/>
      <c r="H4101" s="26"/>
      <c r="I4101" s="27">
        <f>SUM(I3765:I4098)</f>
        <v>5053996.45</v>
      </c>
      <c r="J4101" s="27">
        <f>SUM(J3765:J4098)</f>
        <v>3683064.5999999996</v>
      </c>
      <c r="K4101" s="20" t="s">
        <v>6182</v>
      </c>
      <c r="L4101" s="119"/>
      <c r="M4101" s="3"/>
    </row>
    <row r="4102" spans="1:13" s="4" customFormat="1" ht="25.5" x14ac:dyDescent="0.25">
      <c r="C4102" s="20" t="s">
        <v>6182</v>
      </c>
      <c r="D4102" s="35"/>
      <c r="E4102" s="26" t="s">
        <v>6717</v>
      </c>
      <c r="F4102" s="26"/>
      <c r="G4102" s="28"/>
      <c r="H4102" s="26"/>
      <c r="I4102" s="27">
        <f>SUM(I4099:I4101)</f>
        <v>6668970.54</v>
      </c>
      <c r="J4102" s="27">
        <f>SUM(J4099:J4101)</f>
        <v>4153746.6499999994</v>
      </c>
      <c r="K4102" s="20" t="s">
        <v>6182</v>
      </c>
      <c r="L4102" s="119">
        <f>J4102</f>
        <v>4153746.6499999994</v>
      </c>
      <c r="M4102" s="3">
        <f>SUM(J4102*0.4)</f>
        <v>1661498.66</v>
      </c>
    </row>
    <row r="4103" spans="1:13" s="4" customFormat="1" x14ac:dyDescent="0.25">
      <c r="C4103" s="37"/>
      <c r="D4103" s="35"/>
      <c r="G4103" s="5"/>
      <c r="I4103" s="6"/>
      <c r="J4103" s="6"/>
      <c r="K4103" s="37"/>
      <c r="L4103" s="119"/>
      <c r="M4103" s="3"/>
    </row>
    <row r="4104" spans="1:13" s="4" customFormat="1" ht="25.5" x14ac:dyDescent="0.25">
      <c r="A4104" s="4" t="s">
        <v>6718</v>
      </c>
      <c r="B4104" s="4" t="s">
        <v>13</v>
      </c>
      <c r="C4104" s="37" t="s">
        <v>6720</v>
      </c>
      <c r="D4104" s="35">
        <v>3935</v>
      </c>
      <c r="E4104" s="4" t="s">
        <v>6719</v>
      </c>
      <c r="F4104" s="5">
        <v>39616</v>
      </c>
      <c r="G4104" s="5">
        <v>39903</v>
      </c>
      <c r="H4104" s="4" t="s">
        <v>16</v>
      </c>
      <c r="I4104" s="6">
        <v>98384.87</v>
      </c>
      <c r="J4104" s="6">
        <v>22500</v>
      </c>
      <c r="K4104" s="37" t="s">
        <v>6720</v>
      </c>
      <c r="L4104" s="119"/>
      <c r="M4104" s="3"/>
    </row>
    <row r="4105" spans="1:13" s="4" customFormat="1" ht="38.25" x14ac:dyDescent="0.25">
      <c r="A4105" s="4" t="s">
        <v>6721</v>
      </c>
      <c r="B4105" s="4" t="s">
        <v>13</v>
      </c>
      <c r="C4105" s="37" t="s">
        <v>6720</v>
      </c>
      <c r="D4105" s="35">
        <v>3939</v>
      </c>
      <c r="E4105" s="4" t="s">
        <v>6722</v>
      </c>
      <c r="F4105" s="5">
        <v>39821</v>
      </c>
      <c r="G4105" s="5">
        <v>39994</v>
      </c>
      <c r="H4105" s="4" t="s">
        <v>16</v>
      </c>
      <c r="I4105" s="6">
        <v>4665</v>
      </c>
      <c r="J4105" s="6">
        <v>846</v>
      </c>
      <c r="K4105" s="37" t="s">
        <v>6720</v>
      </c>
      <c r="L4105" s="119"/>
      <c r="M4105" s="3"/>
    </row>
    <row r="4106" spans="1:13" s="4" customFormat="1" ht="25.5" x14ac:dyDescent="0.25">
      <c r="A4106" s="4" t="s">
        <v>6723</v>
      </c>
      <c r="B4106" s="4" t="s">
        <v>13</v>
      </c>
      <c r="C4106" s="37" t="s">
        <v>6720</v>
      </c>
      <c r="D4106" s="35">
        <v>3940</v>
      </c>
      <c r="E4106" s="4" t="s">
        <v>6724</v>
      </c>
      <c r="F4106" s="5">
        <v>39415</v>
      </c>
      <c r="G4106" s="5">
        <v>39752</v>
      </c>
      <c r="H4106" s="4" t="s">
        <v>16</v>
      </c>
      <c r="I4106" s="6">
        <v>10750</v>
      </c>
      <c r="J4106" s="6">
        <v>4300</v>
      </c>
      <c r="K4106" s="37" t="s">
        <v>6720</v>
      </c>
      <c r="L4106" s="119"/>
      <c r="M4106" s="3"/>
    </row>
    <row r="4107" spans="1:13" s="4" customFormat="1" ht="38.25" x14ac:dyDescent="0.25">
      <c r="A4107" s="4" t="s">
        <v>6725</v>
      </c>
      <c r="B4107" s="4" t="s">
        <v>13</v>
      </c>
      <c r="C4107" s="37" t="s">
        <v>6720</v>
      </c>
      <c r="D4107" s="35">
        <v>3942</v>
      </c>
      <c r="E4107" s="4" t="s">
        <v>6726</v>
      </c>
      <c r="F4107" s="5">
        <v>39156</v>
      </c>
      <c r="G4107" s="5">
        <v>39187</v>
      </c>
      <c r="H4107" s="4" t="s">
        <v>16</v>
      </c>
      <c r="I4107" s="6">
        <v>23268.92</v>
      </c>
      <c r="J4107" s="6">
        <v>6980.68</v>
      </c>
      <c r="K4107" s="37" t="s">
        <v>6720</v>
      </c>
      <c r="L4107" s="119"/>
      <c r="M4107" s="3"/>
    </row>
    <row r="4108" spans="1:13" s="4" customFormat="1" ht="38.25" x14ac:dyDescent="0.25">
      <c r="A4108" s="4" t="s">
        <v>6727</v>
      </c>
      <c r="B4108" s="4" t="s">
        <v>13</v>
      </c>
      <c r="C4108" s="37" t="s">
        <v>6720</v>
      </c>
      <c r="D4108" s="35">
        <v>3978</v>
      </c>
      <c r="E4108" s="4" t="s">
        <v>6728</v>
      </c>
      <c r="F4108" s="5">
        <v>39792</v>
      </c>
      <c r="G4108" s="5">
        <v>39990</v>
      </c>
      <c r="H4108" s="4" t="s">
        <v>16</v>
      </c>
      <c r="I4108" s="6">
        <v>8634.2999999999993</v>
      </c>
      <c r="J4108" s="6">
        <v>2590.2800000000002</v>
      </c>
      <c r="K4108" s="37" t="s">
        <v>6720</v>
      </c>
      <c r="L4108" s="119"/>
      <c r="M4108" s="3"/>
    </row>
    <row r="4109" spans="1:13" s="4" customFormat="1" ht="51" x14ac:dyDescent="0.25">
      <c r="A4109" s="4" t="s">
        <v>6729</v>
      </c>
      <c r="B4109" s="4" t="s">
        <v>13</v>
      </c>
      <c r="C4109" s="37" t="s">
        <v>6720</v>
      </c>
      <c r="D4109" s="35">
        <v>3979</v>
      </c>
      <c r="E4109" s="4" t="s">
        <v>6730</v>
      </c>
      <c r="F4109" s="5">
        <v>39596</v>
      </c>
      <c r="G4109" s="5">
        <v>39660</v>
      </c>
      <c r="H4109" s="4" t="s">
        <v>16</v>
      </c>
      <c r="I4109" s="6">
        <v>5643.86</v>
      </c>
      <c r="J4109" s="6">
        <v>1693.17</v>
      </c>
      <c r="K4109" s="37" t="s">
        <v>6720</v>
      </c>
      <c r="L4109" s="119"/>
      <c r="M4109" s="3"/>
    </row>
    <row r="4110" spans="1:13" s="4" customFormat="1" ht="63.75" x14ac:dyDescent="0.25">
      <c r="A4110" s="4" t="s">
        <v>6731</v>
      </c>
      <c r="B4110" s="4" t="s">
        <v>13</v>
      </c>
      <c r="C4110" s="37" t="s">
        <v>6720</v>
      </c>
      <c r="D4110" s="35">
        <v>3981</v>
      </c>
      <c r="E4110" s="4" t="s">
        <v>6732</v>
      </c>
      <c r="F4110" s="5">
        <v>39128</v>
      </c>
      <c r="G4110" s="5">
        <v>39476</v>
      </c>
      <c r="H4110" s="4" t="s">
        <v>16</v>
      </c>
      <c r="I4110" s="6">
        <v>46183.92</v>
      </c>
      <c r="J4110" s="6">
        <v>13855.18</v>
      </c>
      <c r="K4110" s="37" t="s">
        <v>6720</v>
      </c>
      <c r="L4110" s="119"/>
      <c r="M4110" s="3"/>
    </row>
    <row r="4111" spans="1:13" s="4" customFormat="1" ht="51" x14ac:dyDescent="0.25">
      <c r="A4111" s="4" t="s">
        <v>6733</v>
      </c>
      <c r="B4111" s="4" t="s">
        <v>13</v>
      </c>
      <c r="C4111" s="37" t="s">
        <v>6720</v>
      </c>
      <c r="D4111" s="35">
        <v>4225</v>
      </c>
      <c r="E4111" s="4" t="s">
        <v>6734</v>
      </c>
      <c r="F4111" s="5">
        <v>39370</v>
      </c>
      <c r="G4111" s="5">
        <v>40330</v>
      </c>
      <c r="H4111" s="4" t="s">
        <v>16</v>
      </c>
      <c r="I4111" s="6">
        <v>69147</v>
      </c>
      <c r="J4111" s="6">
        <v>20744.099999999999</v>
      </c>
      <c r="K4111" s="37" t="s">
        <v>6720</v>
      </c>
      <c r="L4111" s="119"/>
      <c r="M4111" s="3"/>
    </row>
    <row r="4112" spans="1:13" s="4" customFormat="1" x14ac:dyDescent="0.25">
      <c r="A4112" s="4" t="s">
        <v>6735</v>
      </c>
      <c r="B4112" s="4" t="s">
        <v>13</v>
      </c>
      <c r="C4112" s="37" t="s">
        <v>6720</v>
      </c>
      <c r="D4112" s="35">
        <v>9876</v>
      </c>
      <c r="E4112" s="4" t="s">
        <v>6736</v>
      </c>
      <c r="F4112" s="5">
        <v>40289</v>
      </c>
      <c r="G4112" s="5">
        <v>40533</v>
      </c>
      <c r="H4112" s="4" t="s">
        <v>16</v>
      </c>
      <c r="I4112" s="6">
        <v>21080.04</v>
      </c>
      <c r="J4112" s="6">
        <v>5611</v>
      </c>
      <c r="K4112" s="37" t="s">
        <v>6720</v>
      </c>
      <c r="L4112" s="119"/>
      <c r="M4112" s="3"/>
    </row>
    <row r="4113" spans="1:13" s="4" customFormat="1" x14ac:dyDescent="0.25">
      <c r="A4113" s="4" t="s">
        <v>6737</v>
      </c>
      <c r="B4113" s="4" t="s">
        <v>13</v>
      </c>
      <c r="C4113" s="37" t="s">
        <v>6720</v>
      </c>
      <c r="D4113" s="35">
        <v>9941</v>
      </c>
      <c r="E4113" s="4" t="s">
        <v>6738</v>
      </c>
      <c r="F4113" s="5">
        <v>40197</v>
      </c>
      <c r="G4113" s="5">
        <v>40332</v>
      </c>
      <c r="H4113" s="4" t="s">
        <v>16</v>
      </c>
      <c r="I4113" s="6">
        <v>25250</v>
      </c>
      <c r="J4113" s="6">
        <v>7346</v>
      </c>
      <c r="K4113" s="37" t="s">
        <v>6720</v>
      </c>
      <c r="L4113" s="119"/>
      <c r="M4113" s="3"/>
    </row>
    <row r="4114" spans="1:13" s="4" customFormat="1" ht="38.25" x14ac:dyDescent="0.25">
      <c r="A4114" s="4" t="s">
        <v>6739</v>
      </c>
      <c r="B4114" s="4" t="s">
        <v>13</v>
      </c>
      <c r="C4114" s="37" t="s">
        <v>6720</v>
      </c>
      <c r="D4114" s="35">
        <v>10041</v>
      </c>
      <c r="E4114" s="4" t="s">
        <v>6740</v>
      </c>
      <c r="F4114" s="5">
        <v>40017</v>
      </c>
      <c r="G4114" s="5">
        <v>40253</v>
      </c>
      <c r="H4114" s="4" t="s">
        <v>16</v>
      </c>
      <c r="I4114" s="6">
        <v>9800</v>
      </c>
      <c r="J4114" s="6">
        <v>3920</v>
      </c>
      <c r="K4114" s="37" t="s">
        <v>6720</v>
      </c>
      <c r="L4114" s="119"/>
      <c r="M4114" s="3"/>
    </row>
    <row r="4115" spans="1:13" s="4" customFormat="1" ht="38.25" x14ac:dyDescent="0.25">
      <c r="A4115" s="4" t="s">
        <v>6741</v>
      </c>
      <c r="B4115" s="4" t="s">
        <v>13</v>
      </c>
      <c r="C4115" s="37" t="s">
        <v>6720</v>
      </c>
      <c r="D4115" s="35">
        <v>9866</v>
      </c>
      <c r="E4115" s="4" t="s">
        <v>6742</v>
      </c>
      <c r="F4115" s="5">
        <v>41103</v>
      </c>
      <c r="G4115" s="5">
        <v>41267</v>
      </c>
      <c r="H4115" s="4" t="s">
        <v>392</v>
      </c>
      <c r="I4115" s="6">
        <v>287254.67</v>
      </c>
      <c r="J4115" s="6">
        <v>57451</v>
      </c>
      <c r="K4115" s="37" t="s">
        <v>6720</v>
      </c>
      <c r="L4115" s="119"/>
      <c r="M4115" s="3"/>
    </row>
    <row r="4116" spans="1:13" s="4" customFormat="1" ht="63.75" x14ac:dyDescent="0.25">
      <c r="A4116" s="4" t="s">
        <v>6743</v>
      </c>
      <c r="B4116" s="4" t="s">
        <v>13</v>
      </c>
      <c r="C4116" s="37" t="s">
        <v>6720</v>
      </c>
      <c r="D4116" s="35">
        <v>10072</v>
      </c>
      <c r="E4116" s="4" t="s">
        <v>6744</v>
      </c>
      <c r="F4116" s="5">
        <v>41129</v>
      </c>
      <c r="G4116" s="5">
        <v>41340</v>
      </c>
      <c r="H4116" s="4" t="s">
        <v>392</v>
      </c>
      <c r="I4116" s="6">
        <v>436971.25</v>
      </c>
      <c r="J4116" s="6">
        <v>122351.95</v>
      </c>
      <c r="K4116" s="37" t="s">
        <v>6720</v>
      </c>
      <c r="L4116" s="119"/>
      <c r="M4116" s="3"/>
    </row>
    <row r="4117" spans="1:13" s="4" customFormat="1" ht="51" x14ac:dyDescent="0.25">
      <c r="A4117" s="4" t="s">
        <v>6745</v>
      </c>
      <c r="B4117" s="4" t="s">
        <v>13</v>
      </c>
      <c r="C4117" s="37" t="s">
        <v>6720</v>
      </c>
      <c r="D4117" s="35">
        <v>10173</v>
      </c>
      <c r="E4117" s="4" t="s">
        <v>6746</v>
      </c>
      <c r="F4117" s="5">
        <v>41136</v>
      </c>
      <c r="G4117" s="5">
        <v>41254</v>
      </c>
      <c r="H4117" s="4" t="s">
        <v>392</v>
      </c>
      <c r="I4117" s="6">
        <v>59302.62</v>
      </c>
      <c r="J4117" s="6">
        <v>20755.919999999998</v>
      </c>
      <c r="K4117" s="37" t="s">
        <v>6720</v>
      </c>
      <c r="L4117" s="119"/>
      <c r="M4117" s="3"/>
    </row>
    <row r="4118" spans="1:13" s="4" customFormat="1" ht="51" x14ac:dyDescent="0.25">
      <c r="A4118" s="4" t="s">
        <v>6747</v>
      </c>
      <c r="B4118" s="4" t="s">
        <v>13</v>
      </c>
      <c r="C4118" s="37" t="s">
        <v>6720</v>
      </c>
      <c r="D4118" s="35">
        <v>10189</v>
      </c>
      <c r="E4118" s="4" t="s">
        <v>6748</v>
      </c>
      <c r="F4118" s="5">
        <v>41106</v>
      </c>
      <c r="G4118" s="5">
        <v>41256</v>
      </c>
      <c r="H4118" s="4" t="s">
        <v>392</v>
      </c>
      <c r="I4118" s="6">
        <v>201505</v>
      </c>
      <c r="J4118" s="6">
        <v>70526.75</v>
      </c>
      <c r="K4118" s="37" t="s">
        <v>6720</v>
      </c>
      <c r="L4118" s="119"/>
      <c r="M4118" s="3"/>
    </row>
    <row r="4119" spans="1:13" s="4" customFormat="1" ht="63.75" x14ac:dyDescent="0.25">
      <c r="A4119" s="4" t="s">
        <v>6749</v>
      </c>
      <c r="B4119" s="4" t="s">
        <v>13</v>
      </c>
      <c r="C4119" s="37" t="s">
        <v>6720</v>
      </c>
      <c r="D4119" s="35">
        <v>10190</v>
      </c>
      <c r="E4119" s="4" t="s">
        <v>6750</v>
      </c>
      <c r="F4119" s="5">
        <v>40785</v>
      </c>
      <c r="G4119" s="5">
        <v>40886</v>
      </c>
      <c r="H4119" s="4" t="s">
        <v>392</v>
      </c>
      <c r="I4119" s="6">
        <v>126949.54</v>
      </c>
      <c r="J4119" s="6">
        <v>44432.34</v>
      </c>
      <c r="K4119" s="37" t="s">
        <v>6720</v>
      </c>
      <c r="L4119" s="119"/>
      <c r="M4119" s="3"/>
    </row>
    <row r="4120" spans="1:13" s="4" customFormat="1" ht="25.5" x14ac:dyDescent="0.25">
      <c r="A4120" s="4" t="s">
        <v>6751</v>
      </c>
      <c r="B4120" s="4" t="s">
        <v>38</v>
      </c>
      <c r="C4120" s="37" t="s">
        <v>6720</v>
      </c>
      <c r="D4120" s="35">
        <v>3159</v>
      </c>
      <c r="E4120" s="4" t="s">
        <v>6752</v>
      </c>
      <c r="F4120" s="5">
        <v>39083</v>
      </c>
      <c r="H4120" s="4" t="s">
        <v>40</v>
      </c>
      <c r="I4120" s="6">
        <v>965</v>
      </c>
      <c r="J4120" s="6">
        <v>965</v>
      </c>
      <c r="K4120" s="37" t="s">
        <v>6720</v>
      </c>
      <c r="L4120" s="119"/>
      <c r="M4120" s="3"/>
    </row>
    <row r="4121" spans="1:13" s="4" customFormat="1" ht="25.5" x14ac:dyDescent="0.25">
      <c r="A4121" s="4" t="s">
        <v>6753</v>
      </c>
      <c r="B4121" s="4" t="s">
        <v>50</v>
      </c>
      <c r="C4121" s="37" t="s">
        <v>6720</v>
      </c>
      <c r="D4121" s="35">
        <v>3164</v>
      </c>
      <c r="E4121" s="4" t="s">
        <v>6754</v>
      </c>
      <c r="F4121" s="5">
        <v>39434</v>
      </c>
      <c r="G4121" s="5">
        <v>39814</v>
      </c>
      <c r="H4121" s="4" t="s">
        <v>40</v>
      </c>
      <c r="I4121" s="6">
        <v>60000</v>
      </c>
      <c r="J4121" s="6">
        <v>30000</v>
      </c>
      <c r="K4121" s="37" t="s">
        <v>6720</v>
      </c>
      <c r="L4121" s="119"/>
      <c r="M4121" s="3"/>
    </row>
    <row r="4122" spans="1:13" s="4" customFormat="1" ht="25.5" x14ac:dyDescent="0.25">
      <c r="A4122" s="4" t="s">
        <v>6755</v>
      </c>
      <c r="B4122" s="4" t="s">
        <v>50</v>
      </c>
      <c r="C4122" s="37" t="s">
        <v>6720</v>
      </c>
      <c r="D4122" s="35">
        <v>3165</v>
      </c>
      <c r="E4122" s="4" t="s">
        <v>6756</v>
      </c>
      <c r="F4122" s="5">
        <v>39377</v>
      </c>
      <c r="G4122" s="5">
        <v>39402</v>
      </c>
      <c r="H4122" s="4" t="s">
        <v>40</v>
      </c>
      <c r="I4122" s="6">
        <v>34520</v>
      </c>
      <c r="J4122" s="6">
        <v>17260</v>
      </c>
      <c r="K4122" s="37" t="s">
        <v>6720</v>
      </c>
      <c r="L4122" s="119"/>
      <c r="M4122" s="3"/>
    </row>
    <row r="4123" spans="1:13" s="4" customFormat="1" ht="25.5" x14ac:dyDescent="0.25">
      <c r="A4123" s="4" t="s">
        <v>6757</v>
      </c>
      <c r="B4123" s="4" t="s">
        <v>38</v>
      </c>
      <c r="C4123" s="37" t="s">
        <v>6720</v>
      </c>
      <c r="D4123" s="35">
        <v>3168</v>
      </c>
      <c r="E4123" s="4" t="s">
        <v>6758</v>
      </c>
      <c r="F4123" s="5">
        <v>39083</v>
      </c>
      <c r="G4123" s="5">
        <v>40178</v>
      </c>
      <c r="H4123" s="4" t="s">
        <v>40</v>
      </c>
      <c r="I4123" s="6">
        <v>400</v>
      </c>
      <c r="J4123" s="6">
        <v>400</v>
      </c>
      <c r="K4123" s="37" t="s">
        <v>6720</v>
      </c>
      <c r="L4123" s="119"/>
      <c r="M4123" s="3"/>
    </row>
    <row r="4124" spans="1:13" s="4" customFormat="1" ht="25.5" x14ac:dyDescent="0.25">
      <c r="A4124" s="4" t="s">
        <v>6759</v>
      </c>
      <c r="B4124" s="4" t="s">
        <v>50</v>
      </c>
      <c r="C4124" s="37" t="s">
        <v>6720</v>
      </c>
      <c r="D4124" s="35">
        <v>3171</v>
      </c>
      <c r="E4124" s="4" t="s">
        <v>6760</v>
      </c>
      <c r="F4124" s="5">
        <v>39414</v>
      </c>
      <c r="G4124" s="5">
        <v>39433</v>
      </c>
      <c r="H4124" s="4" t="s">
        <v>40</v>
      </c>
      <c r="I4124" s="6">
        <v>29600</v>
      </c>
      <c r="J4124" s="6">
        <v>14800</v>
      </c>
      <c r="K4124" s="37" t="s">
        <v>6720</v>
      </c>
      <c r="L4124" s="119"/>
      <c r="M4124" s="3"/>
    </row>
    <row r="4125" spans="1:13" s="4" customFormat="1" ht="25.5" x14ac:dyDescent="0.25">
      <c r="A4125" s="4" t="s">
        <v>6761</v>
      </c>
      <c r="B4125" s="4" t="s">
        <v>50</v>
      </c>
      <c r="C4125" s="37" t="s">
        <v>6720</v>
      </c>
      <c r="D4125" s="35">
        <v>3173</v>
      </c>
      <c r="E4125" s="4" t="s">
        <v>6762</v>
      </c>
      <c r="F4125" s="5">
        <v>39510</v>
      </c>
      <c r="G4125" s="5">
        <v>39793</v>
      </c>
      <c r="H4125" s="4" t="s">
        <v>40</v>
      </c>
      <c r="I4125" s="6">
        <v>26496</v>
      </c>
      <c r="J4125" s="6">
        <v>13248</v>
      </c>
      <c r="K4125" s="37" t="s">
        <v>6720</v>
      </c>
      <c r="L4125" s="119"/>
      <c r="M4125" s="3"/>
    </row>
    <row r="4126" spans="1:13" s="4" customFormat="1" ht="25.5" x14ac:dyDescent="0.25">
      <c r="A4126" s="4" t="s">
        <v>6763</v>
      </c>
      <c r="B4126" s="4" t="s">
        <v>38</v>
      </c>
      <c r="C4126" s="37" t="s">
        <v>6720</v>
      </c>
      <c r="D4126" s="35">
        <v>3175</v>
      </c>
      <c r="E4126" s="4" t="s">
        <v>6764</v>
      </c>
      <c r="F4126" s="5">
        <v>39083</v>
      </c>
      <c r="H4126" s="4" t="s">
        <v>40</v>
      </c>
      <c r="I4126" s="6">
        <v>1888.52</v>
      </c>
      <c r="J4126" s="6">
        <v>1888.52</v>
      </c>
      <c r="K4126" s="37" t="s">
        <v>6720</v>
      </c>
      <c r="L4126" s="119"/>
      <c r="M4126" s="3"/>
    </row>
    <row r="4127" spans="1:13" s="4" customFormat="1" ht="25.5" x14ac:dyDescent="0.25">
      <c r="A4127" s="4" t="s">
        <v>6765</v>
      </c>
      <c r="B4127" s="4" t="s">
        <v>59</v>
      </c>
      <c r="C4127" s="37" t="s">
        <v>6720</v>
      </c>
      <c r="D4127" s="35">
        <v>3176</v>
      </c>
      <c r="E4127" s="4" t="s">
        <v>6766</v>
      </c>
      <c r="F4127" s="5">
        <v>39154</v>
      </c>
      <c r="G4127" s="5">
        <v>39383</v>
      </c>
      <c r="H4127" s="4" t="s">
        <v>40</v>
      </c>
      <c r="I4127" s="6">
        <v>1000</v>
      </c>
      <c r="J4127" s="6">
        <v>1000</v>
      </c>
      <c r="K4127" s="37" t="s">
        <v>6720</v>
      </c>
      <c r="L4127" s="119"/>
      <c r="M4127" s="3"/>
    </row>
    <row r="4128" spans="1:13" s="4" customFormat="1" ht="25.5" x14ac:dyDescent="0.25">
      <c r="A4128" s="4" t="s">
        <v>6767</v>
      </c>
      <c r="B4128" s="4" t="s">
        <v>38</v>
      </c>
      <c r="C4128" s="37" t="s">
        <v>6720</v>
      </c>
      <c r="D4128" s="35">
        <v>3177</v>
      </c>
      <c r="E4128" s="4" t="s">
        <v>6768</v>
      </c>
      <c r="F4128" s="5">
        <v>39083</v>
      </c>
      <c r="H4128" s="4" t="s">
        <v>40</v>
      </c>
      <c r="I4128" s="6">
        <v>1593.65</v>
      </c>
      <c r="J4128" s="6">
        <v>1593.65</v>
      </c>
      <c r="K4128" s="37" t="s">
        <v>6720</v>
      </c>
      <c r="L4128" s="119"/>
      <c r="M4128" s="3"/>
    </row>
    <row r="4129" spans="1:13" s="4" customFormat="1" ht="25.5" x14ac:dyDescent="0.25">
      <c r="A4129" s="4" t="s">
        <v>6769</v>
      </c>
      <c r="B4129" s="4" t="s">
        <v>50</v>
      </c>
      <c r="C4129" s="37" t="s">
        <v>6720</v>
      </c>
      <c r="D4129" s="35">
        <v>3179</v>
      </c>
      <c r="E4129" s="4" t="s">
        <v>6770</v>
      </c>
      <c r="F4129" s="5">
        <v>39496</v>
      </c>
      <c r="G4129" s="5">
        <v>39590</v>
      </c>
      <c r="H4129" s="4" t="s">
        <v>40</v>
      </c>
      <c r="I4129" s="6">
        <v>8396</v>
      </c>
      <c r="J4129" s="6">
        <v>4198</v>
      </c>
      <c r="K4129" s="37" t="s">
        <v>6720</v>
      </c>
      <c r="L4129" s="119"/>
      <c r="M4129" s="3"/>
    </row>
    <row r="4130" spans="1:13" s="4" customFormat="1" ht="25.5" x14ac:dyDescent="0.25">
      <c r="A4130" s="4" t="s">
        <v>6771</v>
      </c>
      <c r="B4130" s="4" t="s">
        <v>38</v>
      </c>
      <c r="C4130" s="37" t="s">
        <v>6720</v>
      </c>
      <c r="D4130" s="35">
        <v>3182</v>
      </c>
      <c r="E4130" s="4" t="s">
        <v>6772</v>
      </c>
      <c r="F4130" s="5">
        <v>39083</v>
      </c>
      <c r="G4130" s="5">
        <v>39447</v>
      </c>
      <c r="H4130" s="4" t="s">
        <v>40</v>
      </c>
      <c r="I4130" s="6">
        <v>800</v>
      </c>
      <c r="J4130" s="6">
        <v>800</v>
      </c>
      <c r="K4130" s="37" t="s">
        <v>6720</v>
      </c>
      <c r="L4130" s="119"/>
      <c r="M4130" s="3"/>
    </row>
    <row r="4131" spans="1:13" s="4" customFormat="1" x14ac:dyDescent="0.25">
      <c r="A4131" s="4" t="s">
        <v>6773</v>
      </c>
      <c r="B4131" s="4" t="s">
        <v>59</v>
      </c>
      <c r="C4131" s="37" t="s">
        <v>6720</v>
      </c>
      <c r="D4131" s="35">
        <v>3184</v>
      </c>
      <c r="E4131" s="4" t="s">
        <v>6774</v>
      </c>
      <c r="F4131" s="5">
        <v>39434</v>
      </c>
      <c r="G4131" s="5">
        <v>39623</v>
      </c>
      <c r="H4131" s="4" t="s">
        <v>40</v>
      </c>
      <c r="I4131" s="6">
        <v>12000</v>
      </c>
      <c r="J4131" s="6">
        <v>12000</v>
      </c>
      <c r="K4131" s="37" t="s">
        <v>6720</v>
      </c>
      <c r="L4131" s="119"/>
      <c r="M4131" s="3"/>
    </row>
    <row r="4132" spans="1:13" s="4" customFormat="1" x14ac:dyDescent="0.25">
      <c r="A4132" s="4" t="s">
        <v>6777</v>
      </c>
      <c r="B4132" s="4" t="s">
        <v>59</v>
      </c>
      <c r="C4132" s="37" t="s">
        <v>6720</v>
      </c>
      <c r="D4132" s="35">
        <v>3192</v>
      </c>
      <c r="E4132" s="4" t="s">
        <v>6778</v>
      </c>
      <c r="F4132" s="5">
        <v>39435</v>
      </c>
      <c r="G4132" s="5">
        <v>39814</v>
      </c>
      <c r="H4132" s="4" t="s">
        <v>40</v>
      </c>
      <c r="I4132" s="6">
        <v>19250</v>
      </c>
      <c r="J4132" s="6">
        <v>19250</v>
      </c>
      <c r="K4132" s="37" t="s">
        <v>6720</v>
      </c>
      <c r="L4132" s="119"/>
      <c r="M4132" s="3"/>
    </row>
    <row r="4133" spans="1:13" s="4" customFormat="1" ht="25.5" x14ac:dyDescent="0.25">
      <c r="A4133" s="4" t="s">
        <v>6779</v>
      </c>
      <c r="B4133" s="4" t="s">
        <v>38</v>
      </c>
      <c r="C4133" s="37" t="s">
        <v>6720</v>
      </c>
      <c r="D4133" s="35">
        <v>3193</v>
      </c>
      <c r="E4133" s="4" t="s">
        <v>6780</v>
      </c>
      <c r="F4133" s="5">
        <v>39083</v>
      </c>
      <c r="G4133" s="5">
        <v>39447</v>
      </c>
      <c r="H4133" s="4" t="s">
        <v>40</v>
      </c>
      <c r="I4133" s="6">
        <v>2390</v>
      </c>
      <c r="J4133" s="6">
        <f>650+1740</f>
        <v>2390</v>
      </c>
      <c r="K4133" s="37" t="s">
        <v>6720</v>
      </c>
      <c r="L4133" s="119"/>
      <c r="M4133" s="3"/>
    </row>
    <row r="4134" spans="1:13" s="4" customFormat="1" ht="25.5" x14ac:dyDescent="0.25">
      <c r="A4134" s="4" t="s">
        <v>6781</v>
      </c>
      <c r="B4134" s="4" t="s">
        <v>90</v>
      </c>
      <c r="C4134" s="37" t="s">
        <v>6720</v>
      </c>
      <c r="D4134" s="35">
        <v>3194</v>
      </c>
      <c r="E4134" s="4" t="s">
        <v>6782</v>
      </c>
      <c r="F4134" s="5">
        <v>39151</v>
      </c>
      <c r="G4134" s="5">
        <v>39216</v>
      </c>
      <c r="H4134" s="4" t="s">
        <v>40</v>
      </c>
      <c r="I4134" s="6">
        <v>458</v>
      </c>
      <c r="J4134" s="6">
        <v>229</v>
      </c>
      <c r="K4134" s="37" t="s">
        <v>6720</v>
      </c>
      <c r="L4134" s="119"/>
      <c r="M4134" s="3"/>
    </row>
    <row r="4135" spans="1:13" s="4" customFormat="1" ht="25.5" x14ac:dyDescent="0.25">
      <c r="A4135" s="4" t="s">
        <v>6783</v>
      </c>
      <c r="B4135" s="4" t="s">
        <v>90</v>
      </c>
      <c r="C4135" s="37" t="s">
        <v>6720</v>
      </c>
      <c r="D4135" s="35">
        <v>3195</v>
      </c>
      <c r="E4135" s="4" t="s">
        <v>6784</v>
      </c>
      <c r="F4135" s="5">
        <v>39248</v>
      </c>
      <c r="G4135" s="5">
        <v>39378</v>
      </c>
      <c r="H4135" s="4" t="s">
        <v>40</v>
      </c>
      <c r="I4135" s="6">
        <v>3759.06</v>
      </c>
      <c r="J4135" s="6">
        <v>1879.53</v>
      </c>
      <c r="K4135" s="37" t="s">
        <v>6720</v>
      </c>
      <c r="L4135" s="119"/>
      <c r="M4135" s="3"/>
    </row>
    <row r="4136" spans="1:13" s="4" customFormat="1" ht="25.5" x14ac:dyDescent="0.25">
      <c r="A4136" s="4" t="s">
        <v>6785</v>
      </c>
      <c r="B4136" s="4" t="s">
        <v>50</v>
      </c>
      <c r="C4136" s="37" t="s">
        <v>6720</v>
      </c>
      <c r="D4136" s="35">
        <v>3196</v>
      </c>
      <c r="E4136" s="4" t="s">
        <v>6786</v>
      </c>
      <c r="F4136" s="5">
        <v>39582</v>
      </c>
      <c r="G4136" s="5">
        <v>39603</v>
      </c>
      <c r="H4136" s="4" t="s">
        <v>40</v>
      </c>
      <c r="I4136" s="6">
        <v>34265.4</v>
      </c>
      <c r="J4136" s="6">
        <v>17132.7</v>
      </c>
      <c r="K4136" s="37" t="s">
        <v>6720</v>
      </c>
      <c r="L4136" s="119"/>
      <c r="M4136" s="3"/>
    </row>
    <row r="4137" spans="1:13" s="4" customFormat="1" x14ac:dyDescent="0.25">
      <c r="A4137" s="4" t="s">
        <v>6787</v>
      </c>
      <c r="B4137" s="4" t="s">
        <v>50</v>
      </c>
      <c r="C4137" s="37" t="s">
        <v>6720</v>
      </c>
      <c r="D4137" s="35">
        <v>3197</v>
      </c>
      <c r="E4137" s="4" t="s">
        <v>6788</v>
      </c>
      <c r="F4137" s="5">
        <v>39493</v>
      </c>
      <c r="G4137" s="5">
        <v>39709</v>
      </c>
      <c r="H4137" s="4" t="s">
        <v>40</v>
      </c>
      <c r="I4137" s="6">
        <v>1158</v>
      </c>
      <c r="J4137" s="6">
        <v>579</v>
      </c>
      <c r="K4137" s="37" t="s">
        <v>6720</v>
      </c>
      <c r="L4137" s="119"/>
      <c r="M4137" s="3"/>
    </row>
    <row r="4138" spans="1:13" s="4" customFormat="1" ht="25.5" x14ac:dyDescent="0.25">
      <c r="A4138" s="4" t="s">
        <v>6789</v>
      </c>
      <c r="B4138" s="4" t="s">
        <v>50</v>
      </c>
      <c r="C4138" s="37" t="s">
        <v>6720</v>
      </c>
      <c r="D4138" s="35">
        <v>3198</v>
      </c>
      <c r="E4138" s="4" t="s">
        <v>6790</v>
      </c>
      <c r="F4138" s="5">
        <v>39595</v>
      </c>
      <c r="G4138" s="5">
        <v>39979</v>
      </c>
      <c r="H4138" s="4" t="s">
        <v>40</v>
      </c>
      <c r="I4138" s="6">
        <v>127000</v>
      </c>
      <c r="J4138" s="6">
        <v>63500</v>
      </c>
      <c r="K4138" s="37" t="s">
        <v>6720</v>
      </c>
      <c r="L4138" s="119"/>
      <c r="M4138" s="3"/>
    </row>
    <row r="4139" spans="1:13" s="4" customFormat="1" x14ac:dyDescent="0.25">
      <c r="A4139" s="4" t="s">
        <v>6791</v>
      </c>
      <c r="B4139" s="4" t="s">
        <v>50</v>
      </c>
      <c r="C4139" s="37" t="s">
        <v>6720</v>
      </c>
      <c r="D4139" s="35">
        <v>3199</v>
      </c>
      <c r="E4139" s="4" t="s">
        <v>6792</v>
      </c>
      <c r="F4139" s="5">
        <v>39787</v>
      </c>
      <c r="G4139" s="5">
        <v>39805</v>
      </c>
      <c r="H4139" s="4" t="s">
        <v>40</v>
      </c>
      <c r="I4139" s="6">
        <v>58568</v>
      </c>
      <c r="J4139" s="6">
        <v>29284</v>
      </c>
      <c r="K4139" s="37" t="s">
        <v>6720</v>
      </c>
      <c r="L4139" s="119"/>
      <c r="M4139" s="3"/>
    </row>
    <row r="4140" spans="1:13" s="4" customFormat="1" ht="25.5" x14ac:dyDescent="0.25">
      <c r="A4140" s="4" t="s">
        <v>6793</v>
      </c>
      <c r="B4140" s="4" t="s">
        <v>50</v>
      </c>
      <c r="C4140" s="37" t="s">
        <v>6720</v>
      </c>
      <c r="D4140" s="35">
        <v>3200</v>
      </c>
      <c r="E4140" s="4" t="s">
        <v>6794</v>
      </c>
      <c r="F4140" s="5">
        <v>39293</v>
      </c>
      <c r="G4140" s="5">
        <v>39805</v>
      </c>
      <c r="H4140" s="4" t="s">
        <v>40</v>
      </c>
      <c r="I4140" s="6">
        <v>56200</v>
      </c>
      <c r="J4140" s="6">
        <v>28100</v>
      </c>
      <c r="K4140" s="37" t="s">
        <v>6720</v>
      </c>
      <c r="L4140" s="119"/>
      <c r="M4140" s="3"/>
    </row>
    <row r="4141" spans="1:13" s="4" customFormat="1" x14ac:dyDescent="0.25">
      <c r="A4141" s="4" t="s">
        <v>6795</v>
      </c>
      <c r="B4141" s="4" t="s">
        <v>59</v>
      </c>
      <c r="C4141" s="37" t="s">
        <v>6720</v>
      </c>
      <c r="D4141" s="35">
        <v>3201</v>
      </c>
      <c r="E4141" s="4" t="s">
        <v>6796</v>
      </c>
      <c r="F4141" s="5">
        <v>39505</v>
      </c>
      <c r="G4141" s="5">
        <v>39755</v>
      </c>
      <c r="H4141" s="4" t="s">
        <v>40</v>
      </c>
      <c r="I4141" s="6">
        <v>7500</v>
      </c>
      <c r="J4141" s="6">
        <v>7500</v>
      </c>
      <c r="K4141" s="37" t="s">
        <v>6720</v>
      </c>
      <c r="L4141" s="119"/>
      <c r="M4141" s="3"/>
    </row>
    <row r="4142" spans="1:13" s="4" customFormat="1" ht="25.5" x14ac:dyDescent="0.25">
      <c r="A4142" s="4" t="s">
        <v>6797</v>
      </c>
      <c r="B4142" s="4" t="s">
        <v>90</v>
      </c>
      <c r="C4142" s="37" t="s">
        <v>6720</v>
      </c>
      <c r="D4142" s="35">
        <v>3202</v>
      </c>
      <c r="E4142" s="4" t="s">
        <v>6798</v>
      </c>
      <c r="F4142" s="5">
        <v>39611</v>
      </c>
      <c r="G4142" s="5">
        <v>39616</v>
      </c>
      <c r="H4142" s="4" t="s">
        <v>40</v>
      </c>
      <c r="I4142" s="6">
        <v>2136</v>
      </c>
      <c r="J4142" s="6">
        <v>1068</v>
      </c>
      <c r="K4142" s="37" t="s">
        <v>6720</v>
      </c>
      <c r="L4142" s="119"/>
      <c r="M4142" s="3"/>
    </row>
    <row r="4143" spans="1:13" s="4" customFormat="1" ht="25.5" x14ac:dyDescent="0.25">
      <c r="A4143" s="4" t="s">
        <v>6799</v>
      </c>
      <c r="B4143" s="4" t="s">
        <v>59</v>
      </c>
      <c r="C4143" s="37" t="s">
        <v>6720</v>
      </c>
      <c r="D4143" s="35">
        <v>3203</v>
      </c>
      <c r="E4143" s="4" t="s">
        <v>6800</v>
      </c>
      <c r="F4143" s="5">
        <v>39616</v>
      </c>
      <c r="G4143" s="5">
        <v>39933</v>
      </c>
      <c r="H4143" s="4" t="s">
        <v>40</v>
      </c>
      <c r="I4143" s="6">
        <v>7500</v>
      </c>
      <c r="J4143" s="6">
        <v>7500</v>
      </c>
      <c r="K4143" s="37" t="s">
        <v>6720</v>
      </c>
      <c r="L4143" s="119"/>
      <c r="M4143" s="3"/>
    </row>
    <row r="4144" spans="1:13" s="4" customFormat="1" x14ac:dyDescent="0.25">
      <c r="A4144" s="4" t="s">
        <v>6801</v>
      </c>
      <c r="B4144" s="4" t="s">
        <v>59</v>
      </c>
      <c r="C4144" s="37" t="s">
        <v>6720</v>
      </c>
      <c r="D4144" s="35">
        <v>3204</v>
      </c>
      <c r="E4144" s="4" t="s">
        <v>6802</v>
      </c>
      <c r="F4144" s="5">
        <v>39600</v>
      </c>
      <c r="G4144" s="5">
        <v>39930</v>
      </c>
      <c r="H4144" s="4" t="s">
        <v>40</v>
      </c>
      <c r="I4144" s="6">
        <v>8000</v>
      </c>
      <c r="J4144" s="6">
        <v>8000</v>
      </c>
      <c r="K4144" s="37" t="s">
        <v>6720</v>
      </c>
      <c r="L4144" s="119"/>
      <c r="M4144" s="3"/>
    </row>
    <row r="4145" spans="1:13" s="4" customFormat="1" ht="25.5" x14ac:dyDescent="0.25">
      <c r="A4145" s="4" t="s">
        <v>6803</v>
      </c>
      <c r="B4145" s="4" t="s">
        <v>59</v>
      </c>
      <c r="C4145" s="37" t="s">
        <v>6720</v>
      </c>
      <c r="D4145" s="35">
        <v>3205</v>
      </c>
      <c r="E4145" s="4" t="s">
        <v>6804</v>
      </c>
      <c r="F4145" s="5">
        <v>39692</v>
      </c>
      <c r="G4145" s="5">
        <v>39972</v>
      </c>
      <c r="H4145" s="4" t="s">
        <v>40</v>
      </c>
      <c r="I4145" s="6">
        <v>7500</v>
      </c>
      <c r="J4145" s="6">
        <v>7500</v>
      </c>
      <c r="K4145" s="37" t="s">
        <v>6720</v>
      </c>
      <c r="L4145" s="119"/>
      <c r="M4145" s="3"/>
    </row>
    <row r="4146" spans="1:13" s="4" customFormat="1" ht="25.5" x14ac:dyDescent="0.25">
      <c r="A4146" s="4" t="s">
        <v>6805</v>
      </c>
      <c r="B4146" s="4" t="s">
        <v>38</v>
      </c>
      <c r="C4146" s="37" t="s">
        <v>6720</v>
      </c>
      <c r="D4146" s="35">
        <v>3222</v>
      </c>
      <c r="E4146" s="4" t="s">
        <v>6806</v>
      </c>
      <c r="F4146" s="5">
        <v>39083</v>
      </c>
      <c r="H4146" s="4" t="s">
        <v>40</v>
      </c>
      <c r="I4146" s="6">
        <f>98979.26+124029.45+42147.47+34468.5+64525</f>
        <v>364149.68</v>
      </c>
      <c r="J4146" s="6">
        <f>329681.18+34468.5</f>
        <v>364149.68</v>
      </c>
      <c r="K4146" s="37" t="s">
        <v>6720</v>
      </c>
      <c r="L4146" s="119"/>
      <c r="M4146" s="3"/>
    </row>
    <row r="4147" spans="1:13" s="4" customFormat="1" x14ac:dyDescent="0.25">
      <c r="A4147" s="4" t="s">
        <v>6807</v>
      </c>
      <c r="B4147" s="4" t="s">
        <v>59</v>
      </c>
      <c r="C4147" s="37" t="s">
        <v>6720</v>
      </c>
      <c r="D4147" s="35">
        <v>3225</v>
      </c>
      <c r="E4147" s="4" t="s">
        <v>6808</v>
      </c>
      <c r="F4147" s="5">
        <v>39346</v>
      </c>
      <c r="G4147" s="5">
        <v>39814</v>
      </c>
      <c r="H4147" s="4" t="s">
        <v>40</v>
      </c>
      <c r="I4147" s="6">
        <v>36000</v>
      </c>
      <c r="J4147" s="6">
        <v>36000</v>
      </c>
      <c r="K4147" s="37" t="s">
        <v>6720</v>
      </c>
      <c r="L4147" s="119"/>
      <c r="M4147" s="3"/>
    </row>
    <row r="4148" spans="1:13" s="4" customFormat="1" x14ac:dyDescent="0.25">
      <c r="A4148" s="4" t="s">
        <v>6809</v>
      </c>
      <c r="B4148" s="4" t="s">
        <v>50</v>
      </c>
      <c r="C4148" s="37" t="s">
        <v>6720</v>
      </c>
      <c r="D4148" s="35">
        <v>3267</v>
      </c>
      <c r="E4148" s="4" t="s">
        <v>6810</v>
      </c>
      <c r="F4148" s="5">
        <v>39426</v>
      </c>
      <c r="G4148" s="5">
        <v>39797</v>
      </c>
      <c r="H4148" s="4" t="s">
        <v>40</v>
      </c>
      <c r="I4148" s="6">
        <v>41428</v>
      </c>
      <c r="J4148" s="6">
        <v>20714</v>
      </c>
      <c r="K4148" s="37" t="s">
        <v>6720</v>
      </c>
      <c r="L4148" s="119"/>
      <c r="M4148" s="3"/>
    </row>
    <row r="4149" spans="1:13" s="4" customFormat="1" ht="25.5" x14ac:dyDescent="0.25">
      <c r="A4149" s="4" t="s">
        <v>6811</v>
      </c>
      <c r="B4149" s="4" t="s">
        <v>90</v>
      </c>
      <c r="C4149" s="37" t="s">
        <v>6720</v>
      </c>
      <c r="D4149" s="35">
        <v>3268</v>
      </c>
      <c r="E4149" s="4" t="s">
        <v>6812</v>
      </c>
      <c r="F4149" s="5">
        <v>39567</v>
      </c>
      <c r="G4149" s="5">
        <v>39587</v>
      </c>
      <c r="H4149" s="4" t="s">
        <v>40</v>
      </c>
      <c r="I4149" s="6">
        <v>10200</v>
      </c>
      <c r="J4149" s="6">
        <v>5100</v>
      </c>
      <c r="K4149" s="37" t="s">
        <v>6720</v>
      </c>
      <c r="L4149" s="119"/>
      <c r="M4149" s="3"/>
    </row>
    <row r="4150" spans="1:13" s="4" customFormat="1" ht="25.5" x14ac:dyDescent="0.25">
      <c r="A4150" s="4" t="s">
        <v>6813</v>
      </c>
      <c r="B4150" s="4" t="s">
        <v>38</v>
      </c>
      <c r="C4150" s="37" t="s">
        <v>6720</v>
      </c>
      <c r="D4150" s="35">
        <v>3279</v>
      </c>
      <c r="E4150" s="4" t="s">
        <v>6814</v>
      </c>
      <c r="F4150" s="5">
        <v>39083</v>
      </c>
      <c r="H4150" s="4" t="s">
        <v>40</v>
      </c>
      <c r="I4150" s="6">
        <v>2817.35</v>
      </c>
      <c r="J4150" s="6">
        <v>2817.35</v>
      </c>
      <c r="K4150" s="37" t="s">
        <v>6720</v>
      </c>
      <c r="L4150" s="119"/>
      <c r="M4150" s="3"/>
    </row>
    <row r="4151" spans="1:13" s="4" customFormat="1" ht="25.5" x14ac:dyDescent="0.25">
      <c r="A4151" s="4" t="s">
        <v>6815</v>
      </c>
      <c r="B4151" s="4" t="s">
        <v>38</v>
      </c>
      <c r="C4151" s="37" t="s">
        <v>6720</v>
      </c>
      <c r="D4151" s="35">
        <v>3280</v>
      </c>
      <c r="E4151" s="4" t="s">
        <v>6816</v>
      </c>
      <c r="F4151" s="5">
        <v>39083</v>
      </c>
      <c r="H4151" s="4" t="s">
        <v>40</v>
      </c>
      <c r="I4151" s="6">
        <f>34898.38+34627.13+11955.15+8831.46+25536.54</f>
        <v>115848.66</v>
      </c>
      <c r="J4151" s="6">
        <f>81221.53+34627.13</f>
        <v>115848.66</v>
      </c>
      <c r="K4151" s="37" t="s">
        <v>6720</v>
      </c>
      <c r="L4151" s="119"/>
      <c r="M4151" s="3"/>
    </row>
    <row r="4152" spans="1:13" s="4" customFormat="1" ht="89.25" x14ac:dyDescent="0.25">
      <c r="A4152" s="4" t="s">
        <v>6817</v>
      </c>
      <c r="B4152" s="4" t="s">
        <v>38</v>
      </c>
      <c r="C4152" s="37" t="s">
        <v>6720</v>
      </c>
      <c r="D4152" s="35">
        <v>3281</v>
      </c>
      <c r="E4152" s="7" t="s">
        <v>6818</v>
      </c>
      <c r="F4152" s="5">
        <v>39083</v>
      </c>
      <c r="H4152" s="4" t="s">
        <v>40</v>
      </c>
      <c r="I4152" s="6">
        <f>180585.21+9401</f>
        <v>189986.21</v>
      </c>
      <c r="J4152" s="6">
        <f>180585.21+9401</f>
        <v>189986.21</v>
      </c>
      <c r="K4152" s="37" t="s">
        <v>6720</v>
      </c>
      <c r="L4152" s="119"/>
      <c r="M4152" s="3"/>
    </row>
    <row r="4153" spans="1:13" s="4" customFormat="1" ht="25.5" x14ac:dyDescent="0.25">
      <c r="A4153" s="4" t="s">
        <v>6819</v>
      </c>
      <c r="B4153" s="4" t="s">
        <v>38</v>
      </c>
      <c r="C4153" s="37" t="s">
        <v>6720</v>
      </c>
      <c r="D4153" s="35">
        <v>3283</v>
      </c>
      <c r="E4153" s="4" t="s">
        <v>6820</v>
      </c>
      <c r="F4153" s="5">
        <v>39083</v>
      </c>
      <c r="G4153" s="5">
        <v>39813</v>
      </c>
      <c r="H4153" s="4" t="s">
        <v>40</v>
      </c>
      <c r="I4153" s="6">
        <v>22875.59</v>
      </c>
      <c r="J4153" s="6">
        <v>22875.59</v>
      </c>
      <c r="K4153" s="37" t="s">
        <v>6720</v>
      </c>
      <c r="L4153" s="119"/>
      <c r="M4153" s="3"/>
    </row>
    <row r="4154" spans="1:13" s="4" customFormat="1" ht="25.5" x14ac:dyDescent="0.25">
      <c r="A4154" s="4" t="s">
        <v>6821</v>
      </c>
      <c r="B4154" s="4" t="s">
        <v>38</v>
      </c>
      <c r="C4154" s="37" t="s">
        <v>6720</v>
      </c>
      <c r="D4154" s="35">
        <v>3284</v>
      </c>
      <c r="E4154" s="4" t="s">
        <v>6822</v>
      </c>
      <c r="F4154" s="5">
        <v>39083</v>
      </c>
      <c r="G4154" s="5">
        <v>39813</v>
      </c>
      <c r="H4154" s="4" t="s">
        <v>40</v>
      </c>
      <c r="I4154" s="6">
        <v>11900.15</v>
      </c>
      <c r="J4154" s="6">
        <v>11900.15</v>
      </c>
      <c r="K4154" s="37" t="s">
        <v>6720</v>
      </c>
      <c r="L4154" s="119"/>
      <c r="M4154" s="3"/>
    </row>
    <row r="4155" spans="1:13" s="4" customFormat="1" ht="25.5" x14ac:dyDescent="0.25">
      <c r="A4155" s="4" t="s">
        <v>6823</v>
      </c>
      <c r="B4155" s="4" t="s">
        <v>38</v>
      </c>
      <c r="C4155" s="37" t="s">
        <v>6720</v>
      </c>
      <c r="D4155" s="35">
        <v>3286</v>
      </c>
      <c r="E4155" s="4" t="s">
        <v>6824</v>
      </c>
      <c r="F4155" s="5">
        <v>39083</v>
      </c>
      <c r="H4155" s="4" t="s">
        <v>40</v>
      </c>
      <c r="I4155" s="6">
        <v>5773.65</v>
      </c>
      <c r="J4155" s="6">
        <v>5773.65</v>
      </c>
      <c r="K4155" s="37" t="s">
        <v>6720</v>
      </c>
      <c r="L4155" s="119"/>
      <c r="M4155" s="3"/>
    </row>
    <row r="4156" spans="1:13" s="4" customFormat="1" ht="25.5" x14ac:dyDescent="0.25">
      <c r="A4156" s="4" t="s">
        <v>6825</v>
      </c>
      <c r="B4156" s="4" t="s">
        <v>38</v>
      </c>
      <c r="C4156" s="37" t="s">
        <v>6720</v>
      </c>
      <c r="D4156" s="35">
        <v>3287</v>
      </c>
      <c r="E4156" s="4" t="s">
        <v>6826</v>
      </c>
      <c r="F4156" s="5">
        <v>39814</v>
      </c>
      <c r="H4156" s="4" t="s">
        <v>40</v>
      </c>
      <c r="I4156" s="6">
        <v>15330</v>
      </c>
      <c r="J4156" s="6">
        <v>15330</v>
      </c>
      <c r="K4156" s="37" t="s">
        <v>6720</v>
      </c>
      <c r="L4156" s="119"/>
      <c r="M4156" s="3"/>
    </row>
    <row r="4157" spans="1:13" s="4" customFormat="1" ht="25.5" x14ac:dyDescent="0.25">
      <c r="A4157" s="4" t="s">
        <v>6827</v>
      </c>
      <c r="B4157" s="4" t="s">
        <v>38</v>
      </c>
      <c r="C4157" s="37" t="s">
        <v>6720</v>
      </c>
      <c r="D4157" s="35">
        <v>3289</v>
      </c>
      <c r="E4157" s="4" t="s">
        <v>6828</v>
      </c>
      <c r="F4157" s="5">
        <v>39083</v>
      </c>
      <c r="H4157" s="4" t="s">
        <v>40</v>
      </c>
      <c r="I4157" s="6">
        <v>160824.85999999999</v>
      </c>
      <c r="J4157" s="6">
        <f>153217.09+7607.77</f>
        <v>160824.85999999999</v>
      </c>
      <c r="K4157" s="37" t="s">
        <v>6720</v>
      </c>
      <c r="L4157" s="119"/>
      <c r="M4157" s="3"/>
    </row>
    <row r="4158" spans="1:13" s="4" customFormat="1" ht="38.25" x14ac:dyDescent="0.25">
      <c r="A4158" s="4" t="s">
        <v>6829</v>
      </c>
      <c r="B4158" s="4" t="s">
        <v>38</v>
      </c>
      <c r="C4158" s="37" t="s">
        <v>6720</v>
      </c>
      <c r="D4158" s="35">
        <v>3290</v>
      </c>
      <c r="E4158" s="4" t="s">
        <v>6830</v>
      </c>
      <c r="F4158" s="5">
        <v>39083</v>
      </c>
      <c r="H4158" s="4" t="s">
        <v>40</v>
      </c>
      <c r="I4158" s="6">
        <v>224537.54</v>
      </c>
      <c r="J4158" s="8">
        <f>197142.2+27395.34</f>
        <v>224537.54</v>
      </c>
      <c r="K4158" s="37" t="s">
        <v>6720</v>
      </c>
      <c r="L4158" s="119"/>
      <c r="M4158" s="3"/>
    </row>
    <row r="4159" spans="1:13" s="4" customFormat="1" ht="25.5" x14ac:dyDescent="0.25">
      <c r="A4159" s="4" t="s">
        <v>6831</v>
      </c>
      <c r="B4159" s="4" t="s">
        <v>38</v>
      </c>
      <c r="C4159" s="37" t="s">
        <v>6720</v>
      </c>
      <c r="D4159" s="35">
        <v>3294</v>
      </c>
      <c r="E4159" s="4" t="s">
        <v>6832</v>
      </c>
      <c r="F4159" s="5">
        <v>39083</v>
      </c>
      <c r="G4159" s="5">
        <v>40908</v>
      </c>
      <c r="H4159" s="4" t="s">
        <v>40</v>
      </c>
      <c r="I4159" s="6">
        <v>3890</v>
      </c>
      <c r="J4159" s="6">
        <v>3890</v>
      </c>
      <c r="K4159" s="37" t="s">
        <v>6720</v>
      </c>
      <c r="L4159" s="119"/>
      <c r="M4159" s="3"/>
    </row>
    <row r="4160" spans="1:13" s="4" customFormat="1" ht="25.5" x14ac:dyDescent="0.25">
      <c r="A4160" s="4" t="s">
        <v>6833</v>
      </c>
      <c r="B4160" s="4" t="s">
        <v>38</v>
      </c>
      <c r="C4160" s="37" t="s">
        <v>6720</v>
      </c>
      <c r="D4160" s="35">
        <v>3299</v>
      </c>
      <c r="E4160" s="4" t="s">
        <v>6834</v>
      </c>
      <c r="F4160" s="5">
        <v>39083</v>
      </c>
      <c r="H4160" s="4" t="s">
        <v>40</v>
      </c>
      <c r="I4160" s="6">
        <v>53774.99</v>
      </c>
      <c r="J4160" s="6">
        <f>35703.57+9035.71</f>
        <v>44739.28</v>
      </c>
      <c r="K4160" s="37" t="s">
        <v>6720</v>
      </c>
      <c r="L4160" s="119"/>
      <c r="M4160" s="3"/>
    </row>
    <row r="4161" spans="1:13" s="4" customFormat="1" ht="25.5" x14ac:dyDescent="0.25">
      <c r="A4161" s="4" t="s">
        <v>6835</v>
      </c>
      <c r="B4161" s="4" t="s">
        <v>38</v>
      </c>
      <c r="C4161" s="37" t="s">
        <v>6720</v>
      </c>
      <c r="D4161" s="35">
        <v>3300</v>
      </c>
      <c r="E4161" s="4" t="s">
        <v>6836</v>
      </c>
      <c r="F4161" s="5">
        <v>39083</v>
      </c>
      <c r="G4161" s="5">
        <v>39447</v>
      </c>
      <c r="H4161" s="4" t="s">
        <v>40</v>
      </c>
      <c r="I4161" s="6">
        <v>11000</v>
      </c>
      <c r="J4161" s="6">
        <v>11000</v>
      </c>
      <c r="K4161" s="37" t="s">
        <v>6720</v>
      </c>
      <c r="L4161" s="119"/>
      <c r="M4161" s="3"/>
    </row>
    <row r="4162" spans="1:13" s="4" customFormat="1" ht="38.25" x14ac:dyDescent="0.25">
      <c r="A4162" s="4" t="s">
        <v>6837</v>
      </c>
      <c r="B4162" s="4" t="s">
        <v>38</v>
      </c>
      <c r="C4162" s="37" t="s">
        <v>6720</v>
      </c>
      <c r="D4162" s="35">
        <v>3301</v>
      </c>
      <c r="E4162" s="4" t="s">
        <v>6838</v>
      </c>
      <c r="F4162" s="5">
        <v>39083</v>
      </c>
      <c r="H4162" s="4" t="s">
        <v>40</v>
      </c>
      <c r="I4162" s="6">
        <v>32111.17</v>
      </c>
      <c r="J4162" s="6">
        <v>32111.17</v>
      </c>
      <c r="K4162" s="37" t="s">
        <v>6720</v>
      </c>
      <c r="L4162" s="119"/>
      <c r="M4162" s="3"/>
    </row>
    <row r="4163" spans="1:13" s="4" customFormat="1" ht="25.5" x14ac:dyDescent="0.25">
      <c r="A4163" s="4" t="s">
        <v>6839</v>
      </c>
      <c r="B4163" s="4" t="s">
        <v>38</v>
      </c>
      <c r="C4163" s="37" t="s">
        <v>6720</v>
      </c>
      <c r="D4163" s="35">
        <v>3302</v>
      </c>
      <c r="E4163" s="4" t="s">
        <v>6840</v>
      </c>
      <c r="F4163" s="5">
        <v>39083</v>
      </c>
      <c r="H4163" s="4" t="s">
        <v>40</v>
      </c>
      <c r="I4163" s="6">
        <f>20930.17+8039.99+13411.49</f>
        <v>42381.649999999994</v>
      </c>
      <c r="J4163" s="6">
        <v>42381.66</v>
      </c>
      <c r="K4163" s="37" t="s">
        <v>6720</v>
      </c>
      <c r="L4163" s="119"/>
      <c r="M4163" s="3"/>
    </row>
    <row r="4164" spans="1:13" s="4" customFormat="1" ht="25.5" x14ac:dyDescent="0.25">
      <c r="A4164" s="4" t="s">
        <v>6841</v>
      </c>
      <c r="B4164" s="4" t="s">
        <v>38</v>
      </c>
      <c r="C4164" s="37" t="s">
        <v>6720</v>
      </c>
      <c r="D4164" s="35">
        <v>3303</v>
      </c>
      <c r="E4164" s="4" t="s">
        <v>6842</v>
      </c>
      <c r="F4164" s="5">
        <v>39083</v>
      </c>
      <c r="H4164" s="4" t="s">
        <v>40</v>
      </c>
      <c r="I4164" s="6">
        <v>55604.53</v>
      </c>
      <c r="J4164" s="6">
        <v>55604.53</v>
      </c>
      <c r="K4164" s="37" t="s">
        <v>6720</v>
      </c>
      <c r="L4164" s="119"/>
      <c r="M4164" s="3"/>
    </row>
    <row r="4165" spans="1:13" s="4" customFormat="1" ht="25.5" x14ac:dyDescent="0.25">
      <c r="A4165" s="4" t="s">
        <v>6843</v>
      </c>
      <c r="B4165" s="4" t="s">
        <v>38</v>
      </c>
      <c r="C4165" s="37" t="s">
        <v>6720</v>
      </c>
      <c r="D4165" s="35">
        <v>3304</v>
      </c>
      <c r="E4165" s="4" t="s">
        <v>6844</v>
      </c>
      <c r="F4165" s="5">
        <v>39083</v>
      </c>
      <c r="H4165" s="4" t="s">
        <v>40</v>
      </c>
      <c r="I4165" s="6">
        <v>4914.1499999999996</v>
      </c>
      <c r="J4165" s="6">
        <v>4914.1499999999996</v>
      </c>
      <c r="K4165" s="37" t="s">
        <v>6720</v>
      </c>
      <c r="L4165" s="119"/>
      <c r="M4165" s="3"/>
    </row>
    <row r="4166" spans="1:13" s="4" customFormat="1" ht="25.5" x14ac:dyDescent="0.25">
      <c r="A4166" s="4" t="s">
        <v>6845</v>
      </c>
      <c r="B4166" s="4" t="s">
        <v>38</v>
      </c>
      <c r="C4166" s="37" t="s">
        <v>6720</v>
      </c>
      <c r="D4166" s="35">
        <v>3305</v>
      </c>
      <c r="E4166" s="4" t="s">
        <v>6846</v>
      </c>
      <c r="F4166" s="5">
        <v>39083</v>
      </c>
      <c r="H4166" s="4" t="s">
        <v>40</v>
      </c>
      <c r="I4166" s="6">
        <v>9362</v>
      </c>
      <c r="J4166" s="6">
        <f>8217+1145</f>
        <v>9362</v>
      </c>
      <c r="K4166" s="37" t="s">
        <v>6720</v>
      </c>
      <c r="L4166" s="119"/>
      <c r="M4166" s="3"/>
    </row>
    <row r="4167" spans="1:13" s="4" customFormat="1" ht="25.5" x14ac:dyDescent="0.25">
      <c r="A4167" s="4" t="s">
        <v>6847</v>
      </c>
      <c r="B4167" s="4" t="s">
        <v>38</v>
      </c>
      <c r="C4167" s="37" t="s">
        <v>6720</v>
      </c>
      <c r="D4167" s="35">
        <v>3306</v>
      </c>
      <c r="E4167" s="4" t="s">
        <v>6848</v>
      </c>
      <c r="F4167" s="5">
        <v>39083</v>
      </c>
      <c r="H4167" s="4" t="s">
        <v>40</v>
      </c>
      <c r="I4167" s="6">
        <v>430</v>
      </c>
      <c r="J4167" s="6">
        <v>430</v>
      </c>
      <c r="K4167" s="37" t="s">
        <v>6720</v>
      </c>
      <c r="L4167" s="119"/>
      <c r="M4167" s="3"/>
    </row>
    <row r="4168" spans="1:13" s="4" customFormat="1" ht="25.5" x14ac:dyDescent="0.25">
      <c r="A4168" s="4" t="s">
        <v>6849</v>
      </c>
      <c r="B4168" s="4" t="s">
        <v>38</v>
      </c>
      <c r="C4168" s="37" t="s">
        <v>6720</v>
      </c>
      <c r="D4168" s="35">
        <v>3307</v>
      </c>
      <c r="E4168" s="4" t="s">
        <v>6850</v>
      </c>
      <c r="F4168" s="5">
        <v>39083</v>
      </c>
      <c r="H4168" s="4" t="s">
        <v>40</v>
      </c>
      <c r="I4168" s="6">
        <v>3062.5</v>
      </c>
      <c r="J4168" s="6">
        <v>3062.5</v>
      </c>
      <c r="K4168" s="37" t="s">
        <v>6720</v>
      </c>
      <c r="L4168" s="119"/>
      <c r="M4168" s="3"/>
    </row>
    <row r="4169" spans="1:13" s="4" customFormat="1" ht="25.5" x14ac:dyDescent="0.25">
      <c r="A4169" s="4" t="s">
        <v>6851</v>
      </c>
      <c r="B4169" s="4" t="s">
        <v>13</v>
      </c>
      <c r="C4169" s="37" t="s">
        <v>6720</v>
      </c>
      <c r="D4169" s="35">
        <v>3308</v>
      </c>
      <c r="E4169" s="4" t="s">
        <v>6852</v>
      </c>
      <c r="F4169" s="5">
        <v>39448</v>
      </c>
      <c r="G4169" s="5">
        <v>39813</v>
      </c>
      <c r="H4169" s="4" t="s">
        <v>40</v>
      </c>
      <c r="I4169" s="6">
        <v>2415.5</v>
      </c>
      <c r="J4169" s="6">
        <v>2415.5</v>
      </c>
      <c r="K4169" s="37" t="s">
        <v>6720</v>
      </c>
      <c r="L4169" s="119"/>
      <c r="M4169" s="3"/>
    </row>
    <row r="4170" spans="1:13" s="4" customFormat="1" ht="25.5" x14ac:dyDescent="0.25">
      <c r="A4170" s="4" t="s">
        <v>6853</v>
      </c>
      <c r="B4170" s="4" t="s">
        <v>38</v>
      </c>
      <c r="C4170" s="37" t="s">
        <v>6720</v>
      </c>
      <c r="D4170" s="35">
        <v>3309</v>
      </c>
      <c r="E4170" s="4" t="s">
        <v>6854</v>
      </c>
      <c r="F4170" s="5">
        <v>39448</v>
      </c>
      <c r="H4170" s="4" t="s">
        <v>40</v>
      </c>
      <c r="I4170" s="6">
        <v>1440</v>
      </c>
      <c r="J4170" s="6">
        <v>1440</v>
      </c>
      <c r="K4170" s="37" t="s">
        <v>6720</v>
      </c>
      <c r="L4170" s="119"/>
      <c r="M4170" s="3"/>
    </row>
    <row r="4171" spans="1:13" s="4" customFormat="1" ht="25.5" x14ac:dyDescent="0.25">
      <c r="A4171" s="4" t="s">
        <v>6855</v>
      </c>
      <c r="B4171" s="4" t="s">
        <v>38</v>
      </c>
      <c r="C4171" s="37" t="s">
        <v>6720</v>
      </c>
      <c r="D4171" s="35">
        <v>3310</v>
      </c>
      <c r="E4171" s="4" t="s">
        <v>6856</v>
      </c>
      <c r="F4171" s="5">
        <v>39448</v>
      </c>
      <c r="H4171" s="4" t="s">
        <v>40</v>
      </c>
      <c r="I4171" s="6">
        <v>2288</v>
      </c>
      <c r="J4171" s="6">
        <v>2288</v>
      </c>
      <c r="K4171" s="37" t="s">
        <v>6720</v>
      </c>
      <c r="L4171" s="119"/>
      <c r="M4171" s="3"/>
    </row>
    <row r="4172" spans="1:13" s="4" customFormat="1" ht="25.5" x14ac:dyDescent="0.25">
      <c r="A4172" s="4" t="s">
        <v>6857</v>
      </c>
      <c r="B4172" s="4" t="s">
        <v>13</v>
      </c>
      <c r="C4172" s="37" t="s">
        <v>6720</v>
      </c>
      <c r="D4172" s="35">
        <v>3311</v>
      </c>
      <c r="E4172" s="4" t="s">
        <v>6858</v>
      </c>
      <c r="F4172" s="5">
        <v>39448</v>
      </c>
      <c r="G4172" s="5">
        <v>39813</v>
      </c>
      <c r="H4172" s="4" t="s">
        <v>40</v>
      </c>
      <c r="I4172" s="6">
        <v>515</v>
      </c>
      <c r="J4172" s="6">
        <v>515</v>
      </c>
      <c r="K4172" s="37" t="s">
        <v>6720</v>
      </c>
      <c r="L4172" s="119"/>
      <c r="M4172" s="3"/>
    </row>
    <row r="4173" spans="1:13" s="4" customFormat="1" ht="25.5" x14ac:dyDescent="0.25">
      <c r="A4173" s="4" t="s">
        <v>2372</v>
      </c>
      <c r="B4173" s="4" t="s">
        <v>38</v>
      </c>
      <c r="C4173" s="37" t="s">
        <v>6720</v>
      </c>
      <c r="D4173" s="35">
        <v>3312</v>
      </c>
      <c r="E4173" s="4" t="s">
        <v>6859</v>
      </c>
      <c r="F4173" s="5">
        <v>39448</v>
      </c>
      <c r="G4173" s="5">
        <v>39813</v>
      </c>
      <c r="H4173" s="4" t="s">
        <v>40</v>
      </c>
      <c r="I4173" s="6">
        <v>2510</v>
      </c>
      <c r="J4173" s="6">
        <v>2510</v>
      </c>
      <c r="K4173" s="37" t="s">
        <v>6720</v>
      </c>
      <c r="L4173" s="119"/>
      <c r="M4173" s="3"/>
    </row>
    <row r="4174" spans="1:13" s="4" customFormat="1" ht="25.5" x14ac:dyDescent="0.25">
      <c r="A4174" s="4" t="s">
        <v>6860</v>
      </c>
      <c r="B4174" s="4" t="s">
        <v>38</v>
      </c>
      <c r="C4174" s="37" t="s">
        <v>6720</v>
      </c>
      <c r="D4174" s="35">
        <v>3313</v>
      </c>
      <c r="E4174" s="4" t="s">
        <v>6861</v>
      </c>
      <c r="F4174" s="5">
        <v>39448</v>
      </c>
      <c r="G4174" s="5">
        <v>39813</v>
      </c>
      <c r="H4174" s="4" t="s">
        <v>40</v>
      </c>
      <c r="I4174" s="6">
        <v>4900</v>
      </c>
      <c r="J4174" s="6">
        <v>4900</v>
      </c>
      <c r="K4174" s="37" t="s">
        <v>6720</v>
      </c>
      <c r="L4174" s="119"/>
      <c r="M4174" s="3"/>
    </row>
    <row r="4175" spans="1:13" s="4" customFormat="1" ht="25.5" x14ac:dyDescent="0.25">
      <c r="A4175" s="4" t="s">
        <v>6862</v>
      </c>
      <c r="B4175" s="4" t="s">
        <v>38</v>
      </c>
      <c r="C4175" s="37" t="s">
        <v>6720</v>
      </c>
      <c r="D4175" s="35">
        <v>3318</v>
      </c>
      <c r="E4175" s="4" t="s">
        <v>6863</v>
      </c>
      <c r="F4175" s="5">
        <v>39083</v>
      </c>
      <c r="H4175" s="4" t="s">
        <v>40</v>
      </c>
      <c r="I4175" s="6">
        <v>119041.78</v>
      </c>
      <c r="J4175" s="6">
        <v>119041.78</v>
      </c>
      <c r="K4175" s="37" t="s">
        <v>6720</v>
      </c>
      <c r="L4175" s="119"/>
      <c r="M4175" s="3"/>
    </row>
    <row r="4176" spans="1:13" s="4" customFormat="1" ht="25.5" x14ac:dyDescent="0.25">
      <c r="A4176" s="4" t="s">
        <v>6864</v>
      </c>
      <c r="B4176" s="4" t="s">
        <v>38</v>
      </c>
      <c r="C4176" s="37" t="s">
        <v>6720</v>
      </c>
      <c r="D4176" s="35">
        <v>3333</v>
      </c>
      <c r="E4176" s="4" t="s">
        <v>6865</v>
      </c>
      <c r="F4176" s="5">
        <v>39084</v>
      </c>
      <c r="H4176" s="4" t="s">
        <v>40</v>
      </c>
      <c r="I4176" s="6">
        <v>291850.77</v>
      </c>
      <c r="J4176" s="6">
        <v>291850.77</v>
      </c>
      <c r="K4176" s="37" t="s">
        <v>6720</v>
      </c>
      <c r="L4176" s="119"/>
      <c r="M4176" s="3"/>
    </row>
    <row r="4177" spans="1:13" s="4" customFormat="1" ht="25.5" x14ac:dyDescent="0.25">
      <c r="A4177" s="4" t="s">
        <v>6866</v>
      </c>
      <c r="B4177" s="4" t="s">
        <v>38</v>
      </c>
      <c r="C4177" s="37" t="s">
        <v>6720</v>
      </c>
      <c r="D4177" s="35">
        <v>5781</v>
      </c>
      <c r="E4177" s="4" t="s">
        <v>6867</v>
      </c>
      <c r="F4177" s="5">
        <v>39814</v>
      </c>
      <c r="H4177" s="4" t="s">
        <v>40</v>
      </c>
      <c r="I4177" s="6">
        <v>618</v>
      </c>
      <c r="J4177" s="6">
        <v>618</v>
      </c>
      <c r="K4177" s="37" t="s">
        <v>6720</v>
      </c>
      <c r="L4177" s="119"/>
      <c r="M4177" s="3"/>
    </row>
    <row r="4178" spans="1:13" s="4" customFormat="1" ht="25.5" x14ac:dyDescent="0.25">
      <c r="A4178" s="4" t="s">
        <v>6868</v>
      </c>
      <c r="B4178" s="4" t="s">
        <v>38</v>
      </c>
      <c r="C4178" s="37" t="s">
        <v>6720</v>
      </c>
      <c r="D4178" s="35">
        <v>5784</v>
      </c>
      <c r="E4178" s="4" t="s">
        <v>6869</v>
      </c>
      <c r="F4178" s="5">
        <v>39814</v>
      </c>
      <c r="H4178" s="4" t="s">
        <v>40</v>
      </c>
      <c r="I4178" s="6">
        <v>2324</v>
      </c>
      <c r="J4178" s="6">
        <f>1764+560</f>
        <v>2324</v>
      </c>
      <c r="K4178" s="37" t="s">
        <v>6720</v>
      </c>
      <c r="L4178" s="119"/>
      <c r="M4178" s="3"/>
    </row>
    <row r="4179" spans="1:13" s="4" customFormat="1" ht="25.5" x14ac:dyDescent="0.25">
      <c r="A4179" s="4" t="s">
        <v>6870</v>
      </c>
      <c r="B4179" s="4" t="s">
        <v>38</v>
      </c>
      <c r="C4179" s="37" t="s">
        <v>6720</v>
      </c>
      <c r="D4179" s="35">
        <v>5790</v>
      </c>
      <c r="E4179" s="4" t="s">
        <v>6871</v>
      </c>
      <c r="F4179" s="5">
        <v>39814</v>
      </c>
      <c r="H4179" s="4" t="s">
        <v>40</v>
      </c>
      <c r="I4179" s="6">
        <v>1086</v>
      </c>
      <c r="J4179" s="6">
        <f>846+240</f>
        <v>1086</v>
      </c>
      <c r="K4179" s="37" t="s">
        <v>6720</v>
      </c>
      <c r="L4179" s="119"/>
      <c r="M4179" s="3"/>
    </row>
    <row r="4180" spans="1:13" s="4" customFormat="1" ht="25.5" x14ac:dyDescent="0.25">
      <c r="A4180" s="4" t="s">
        <v>6872</v>
      </c>
      <c r="B4180" s="4" t="s">
        <v>38</v>
      </c>
      <c r="C4180" s="37" t="s">
        <v>6720</v>
      </c>
      <c r="D4180" s="35">
        <v>5792</v>
      </c>
      <c r="E4180" s="4" t="s">
        <v>6873</v>
      </c>
      <c r="F4180" s="5">
        <v>39814</v>
      </c>
      <c r="H4180" s="4" t="s">
        <v>40</v>
      </c>
      <c r="I4180" s="6">
        <v>2989</v>
      </c>
      <c r="J4180" s="6">
        <f>2339+650</f>
        <v>2989</v>
      </c>
      <c r="K4180" s="37" t="s">
        <v>6720</v>
      </c>
      <c r="L4180" s="119"/>
      <c r="M4180" s="3"/>
    </row>
    <row r="4181" spans="1:13" s="4" customFormat="1" ht="25.5" x14ac:dyDescent="0.25">
      <c r="A4181" s="4" t="s">
        <v>6874</v>
      </c>
      <c r="B4181" s="4" t="s">
        <v>38</v>
      </c>
      <c r="C4181" s="37" t="s">
        <v>6720</v>
      </c>
      <c r="D4181" s="35">
        <v>5793</v>
      </c>
      <c r="E4181" s="4" t="s">
        <v>6875</v>
      </c>
      <c r="F4181" s="5">
        <v>39814</v>
      </c>
      <c r="H4181" s="4" t="s">
        <v>40</v>
      </c>
      <c r="I4181" s="6">
        <v>746</v>
      </c>
      <c r="J4181" s="6">
        <v>746</v>
      </c>
      <c r="K4181" s="37" t="s">
        <v>6720</v>
      </c>
      <c r="L4181" s="119"/>
      <c r="M4181" s="3"/>
    </row>
    <row r="4182" spans="1:13" s="4" customFormat="1" ht="25.5" x14ac:dyDescent="0.25">
      <c r="A4182" s="4" t="s">
        <v>6876</v>
      </c>
      <c r="B4182" s="4" t="s">
        <v>38</v>
      </c>
      <c r="C4182" s="37" t="s">
        <v>6720</v>
      </c>
      <c r="D4182" s="35">
        <v>5830</v>
      </c>
      <c r="E4182" s="4" t="s">
        <v>6877</v>
      </c>
      <c r="F4182" s="5">
        <v>39814</v>
      </c>
      <c r="H4182" s="4" t="s">
        <v>40</v>
      </c>
      <c r="I4182" s="6">
        <v>420</v>
      </c>
      <c r="J4182" s="6">
        <v>420</v>
      </c>
      <c r="K4182" s="37" t="s">
        <v>6720</v>
      </c>
      <c r="L4182" s="119"/>
      <c r="M4182" s="3"/>
    </row>
    <row r="4183" spans="1:13" s="4" customFormat="1" ht="25.5" x14ac:dyDescent="0.25">
      <c r="A4183" s="4" t="s">
        <v>6878</v>
      </c>
      <c r="B4183" s="4" t="s">
        <v>38</v>
      </c>
      <c r="C4183" s="37" t="s">
        <v>6720</v>
      </c>
      <c r="D4183" s="35">
        <v>5831</v>
      </c>
      <c r="E4183" s="4" t="s">
        <v>6879</v>
      </c>
      <c r="F4183" s="5">
        <v>39814</v>
      </c>
      <c r="H4183" s="4" t="s">
        <v>40</v>
      </c>
      <c r="I4183" s="6">
        <v>1533</v>
      </c>
      <c r="J4183" s="6">
        <v>1533</v>
      </c>
      <c r="K4183" s="37" t="s">
        <v>6720</v>
      </c>
      <c r="L4183" s="119"/>
      <c r="M4183" s="3"/>
    </row>
    <row r="4184" spans="1:13" s="4" customFormat="1" ht="25.5" x14ac:dyDescent="0.25">
      <c r="A4184" s="4" t="s">
        <v>6880</v>
      </c>
      <c r="B4184" s="4" t="s">
        <v>38</v>
      </c>
      <c r="C4184" s="37" t="s">
        <v>6720</v>
      </c>
      <c r="D4184" s="35">
        <v>5832</v>
      </c>
      <c r="E4184" s="4" t="s">
        <v>6881</v>
      </c>
      <c r="F4184" s="5">
        <v>39814</v>
      </c>
      <c r="H4184" s="4" t="s">
        <v>40</v>
      </c>
      <c r="I4184" s="6">
        <v>520</v>
      </c>
      <c r="J4184" s="6">
        <v>520</v>
      </c>
      <c r="K4184" s="37" t="s">
        <v>6720</v>
      </c>
      <c r="L4184" s="119"/>
      <c r="M4184" s="3"/>
    </row>
    <row r="4185" spans="1:13" s="4" customFormat="1" ht="25.5" x14ac:dyDescent="0.25">
      <c r="A4185" s="4" t="s">
        <v>6882</v>
      </c>
      <c r="B4185" s="4" t="s">
        <v>38</v>
      </c>
      <c r="C4185" s="37" t="s">
        <v>6720</v>
      </c>
      <c r="D4185" s="35">
        <v>5833</v>
      </c>
      <c r="E4185" s="4" t="s">
        <v>6883</v>
      </c>
      <c r="F4185" s="5">
        <v>39814</v>
      </c>
      <c r="H4185" s="4" t="s">
        <v>40</v>
      </c>
      <c r="I4185" s="6">
        <v>9200</v>
      </c>
      <c r="J4185" s="6">
        <v>9200</v>
      </c>
      <c r="K4185" s="37" t="s">
        <v>6720</v>
      </c>
      <c r="L4185" s="119"/>
      <c r="M4185" s="3"/>
    </row>
    <row r="4186" spans="1:13" s="4" customFormat="1" ht="63.75" x14ac:dyDescent="0.25">
      <c r="A4186" s="4" t="s">
        <v>6884</v>
      </c>
      <c r="B4186" s="4" t="s">
        <v>38</v>
      </c>
      <c r="C4186" s="37" t="s">
        <v>6720</v>
      </c>
      <c r="D4186" s="35">
        <v>5834</v>
      </c>
      <c r="E4186" s="4" t="s">
        <v>6885</v>
      </c>
      <c r="F4186" s="5">
        <v>39814</v>
      </c>
      <c r="H4186" s="4" t="s">
        <v>40</v>
      </c>
      <c r="I4186" s="6">
        <v>1500</v>
      </c>
      <c r="J4186" s="6">
        <v>1500</v>
      </c>
      <c r="K4186" s="37" t="s">
        <v>6720</v>
      </c>
      <c r="L4186" s="119"/>
      <c r="M4186" s="3"/>
    </row>
    <row r="4187" spans="1:13" s="4" customFormat="1" ht="38.25" x14ac:dyDescent="0.25">
      <c r="A4187" s="4" t="s">
        <v>6886</v>
      </c>
      <c r="B4187" s="4" t="s">
        <v>38</v>
      </c>
      <c r="C4187" s="37" t="s">
        <v>6720</v>
      </c>
      <c r="D4187" s="35">
        <v>5835</v>
      </c>
      <c r="E4187" s="4" t="s">
        <v>6887</v>
      </c>
      <c r="F4187" s="5">
        <v>39814</v>
      </c>
      <c r="H4187" s="4" t="s">
        <v>40</v>
      </c>
      <c r="I4187" s="6">
        <v>5995.2</v>
      </c>
      <c r="J4187" s="6">
        <v>5995.2</v>
      </c>
      <c r="K4187" s="37" t="s">
        <v>6720</v>
      </c>
      <c r="L4187" s="119"/>
      <c r="M4187" s="3"/>
    </row>
    <row r="4188" spans="1:13" s="4" customFormat="1" ht="25.5" x14ac:dyDescent="0.25">
      <c r="A4188" s="4" t="s">
        <v>6888</v>
      </c>
      <c r="B4188" s="4" t="s">
        <v>38</v>
      </c>
      <c r="C4188" s="37" t="s">
        <v>6720</v>
      </c>
      <c r="D4188" s="35">
        <v>5836</v>
      </c>
      <c r="E4188" s="4" t="s">
        <v>6889</v>
      </c>
      <c r="F4188" s="5">
        <v>39814</v>
      </c>
      <c r="H4188" s="4" t="s">
        <v>40</v>
      </c>
      <c r="I4188" s="6">
        <v>15700.41</v>
      </c>
      <c r="J4188" s="6">
        <v>15700.41</v>
      </c>
      <c r="K4188" s="37" t="s">
        <v>6720</v>
      </c>
      <c r="L4188" s="119"/>
      <c r="M4188" s="3"/>
    </row>
    <row r="4189" spans="1:13" s="4" customFormat="1" ht="25.5" x14ac:dyDescent="0.25">
      <c r="A4189" s="4" t="s">
        <v>6890</v>
      </c>
      <c r="B4189" s="4" t="s">
        <v>38</v>
      </c>
      <c r="C4189" s="37" t="s">
        <v>6720</v>
      </c>
      <c r="D4189" s="35">
        <v>5837</v>
      </c>
      <c r="E4189" s="4" t="s">
        <v>6891</v>
      </c>
      <c r="F4189" s="5">
        <v>39814</v>
      </c>
      <c r="H4189" s="4" t="s">
        <v>40</v>
      </c>
      <c r="I4189" s="6">
        <v>350</v>
      </c>
      <c r="J4189" s="6">
        <v>350</v>
      </c>
      <c r="K4189" s="37" t="s">
        <v>6720</v>
      </c>
      <c r="L4189" s="119"/>
      <c r="M4189" s="3"/>
    </row>
    <row r="4190" spans="1:13" s="4" customFormat="1" ht="25.5" x14ac:dyDescent="0.25">
      <c r="A4190" s="4" t="s">
        <v>6892</v>
      </c>
      <c r="B4190" s="4" t="s">
        <v>38</v>
      </c>
      <c r="C4190" s="37" t="s">
        <v>6720</v>
      </c>
      <c r="D4190" s="35">
        <v>5838</v>
      </c>
      <c r="E4190" s="4" t="s">
        <v>6893</v>
      </c>
      <c r="F4190" s="5">
        <v>39814</v>
      </c>
      <c r="H4190" s="4" t="s">
        <v>40</v>
      </c>
      <c r="I4190" s="6">
        <v>15442.23</v>
      </c>
      <c r="J4190" s="6">
        <f>11672.95+3769.28</f>
        <v>15442.230000000001</v>
      </c>
      <c r="K4190" s="37" t="s">
        <v>6720</v>
      </c>
      <c r="L4190" s="119"/>
      <c r="M4190" s="3"/>
    </row>
    <row r="4191" spans="1:13" s="4" customFormat="1" ht="25.5" x14ac:dyDescent="0.25">
      <c r="A4191" s="4" t="s">
        <v>6894</v>
      </c>
      <c r="B4191" s="4" t="s">
        <v>38</v>
      </c>
      <c r="C4191" s="37" t="s">
        <v>6720</v>
      </c>
      <c r="D4191" s="35">
        <v>5839</v>
      </c>
      <c r="E4191" s="4" t="s">
        <v>6895</v>
      </c>
      <c r="F4191" s="5">
        <v>39814</v>
      </c>
      <c r="H4191" s="4" t="s">
        <v>40</v>
      </c>
      <c r="I4191" s="6">
        <v>14260</v>
      </c>
      <c r="J4191" s="6">
        <v>14260</v>
      </c>
      <c r="K4191" s="37" t="s">
        <v>6720</v>
      </c>
      <c r="L4191" s="119"/>
      <c r="M4191" s="3"/>
    </row>
    <row r="4192" spans="1:13" s="4" customFormat="1" ht="25.5" x14ac:dyDescent="0.25">
      <c r="A4192" s="4" t="s">
        <v>6896</v>
      </c>
      <c r="B4192" s="4" t="s">
        <v>38</v>
      </c>
      <c r="C4192" s="37" t="s">
        <v>6720</v>
      </c>
      <c r="D4192" s="35">
        <v>5841</v>
      </c>
      <c r="E4192" s="4" t="s">
        <v>6897</v>
      </c>
      <c r="F4192" s="5">
        <v>39814</v>
      </c>
      <c r="H4192" s="4" t="s">
        <v>40</v>
      </c>
      <c r="I4192" s="6">
        <v>4291</v>
      </c>
      <c r="J4192" s="6">
        <v>4291</v>
      </c>
      <c r="K4192" s="37" t="s">
        <v>6720</v>
      </c>
      <c r="L4192" s="119"/>
      <c r="M4192" s="3"/>
    </row>
    <row r="4193" spans="1:13" s="4" customFormat="1" ht="25.5" x14ac:dyDescent="0.25">
      <c r="A4193" s="4" t="s">
        <v>6898</v>
      </c>
      <c r="B4193" s="4" t="s">
        <v>38</v>
      </c>
      <c r="C4193" s="37" t="s">
        <v>6720</v>
      </c>
      <c r="D4193" s="35">
        <v>5842</v>
      </c>
      <c r="E4193" s="4" t="s">
        <v>6899</v>
      </c>
      <c r="F4193" s="5">
        <v>39814</v>
      </c>
      <c r="H4193" s="4" t="s">
        <v>40</v>
      </c>
      <c r="I4193" s="6">
        <v>1260</v>
      </c>
      <c r="J4193" s="6">
        <v>1260</v>
      </c>
      <c r="K4193" s="37" t="s">
        <v>6720</v>
      </c>
      <c r="L4193" s="119"/>
      <c r="M4193" s="3"/>
    </row>
    <row r="4194" spans="1:13" s="4" customFormat="1" ht="25.5" x14ac:dyDescent="0.25">
      <c r="A4194" s="4" t="s">
        <v>6900</v>
      </c>
      <c r="B4194" s="4" t="s">
        <v>38</v>
      </c>
      <c r="C4194" s="37" t="s">
        <v>6720</v>
      </c>
      <c r="D4194" s="35">
        <v>5843</v>
      </c>
      <c r="E4194" s="4" t="s">
        <v>6901</v>
      </c>
      <c r="F4194" s="5">
        <v>39814</v>
      </c>
      <c r="H4194" s="4" t="s">
        <v>40</v>
      </c>
      <c r="I4194" s="6">
        <v>639</v>
      </c>
      <c r="J4194" s="6">
        <v>639</v>
      </c>
      <c r="K4194" s="37" t="s">
        <v>6720</v>
      </c>
      <c r="L4194" s="119"/>
      <c r="M4194" s="3"/>
    </row>
    <row r="4195" spans="1:13" s="4" customFormat="1" ht="25.5" x14ac:dyDescent="0.25">
      <c r="A4195" s="4" t="s">
        <v>6902</v>
      </c>
      <c r="B4195" s="4" t="s">
        <v>38</v>
      </c>
      <c r="C4195" s="37" t="s">
        <v>6720</v>
      </c>
      <c r="D4195" s="35">
        <v>5844</v>
      </c>
      <c r="E4195" s="4" t="s">
        <v>6903</v>
      </c>
      <c r="F4195" s="5">
        <v>39814</v>
      </c>
      <c r="H4195" s="4" t="s">
        <v>40</v>
      </c>
      <c r="I4195" s="6">
        <v>452</v>
      </c>
      <c r="J4195" s="6">
        <v>452</v>
      </c>
      <c r="K4195" s="37" t="s">
        <v>6720</v>
      </c>
      <c r="L4195" s="119"/>
      <c r="M4195" s="3"/>
    </row>
    <row r="4196" spans="1:13" s="4" customFormat="1" ht="25.5" x14ac:dyDescent="0.25">
      <c r="A4196" s="4" t="s">
        <v>6904</v>
      </c>
      <c r="B4196" s="4" t="s">
        <v>38</v>
      </c>
      <c r="C4196" s="37" t="s">
        <v>6720</v>
      </c>
      <c r="D4196" s="35">
        <v>5845</v>
      </c>
      <c r="E4196" s="4" t="s">
        <v>6905</v>
      </c>
      <c r="F4196" s="5">
        <v>39814</v>
      </c>
      <c r="H4196" s="4" t="s">
        <v>40</v>
      </c>
      <c r="I4196" s="6">
        <v>651.87</v>
      </c>
      <c r="J4196" s="6">
        <v>651.87</v>
      </c>
      <c r="K4196" s="37" t="s">
        <v>6720</v>
      </c>
      <c r="L4196" s="119"/>
      <c r="M4196" s="3"/>
    </row>
    <row r="4197" spans="1:13" s="4" customFormat="1" x14ac:dyDescent="0.25">
      <c r="A4197" s="4" t="s">
        <v>6906</v>
      </c>
      <c r="B4197" s="4" t="s">
        <v>50</v>
      </c>
      <c r="C4197" s="37" t="s">
        <v>6720</v>
      </c>
      <c r="D4197" s="35">
        <v>5847</v>
      </c>
      <c r="E4197" s="4" t="s">
        <v>6907</v>
      </c>
      <c r="F4197" s="5">
        <v>40011</v>
      </c>
      <c r="G4197" s="5">
        <v>40049</v>
      </c>
      <c r="H4197" s="4" t="s">
        <v>40</v>
      </c>
      <c r="I4197" s="6">
        <v>11800</v>
      </c>
      <c r="J4197" s="6">
        <v>5900</v>
      </c>
      <c r="K4197" s="37" t="s">
        <v>6720</v>
      </c>
      <c r="L4197" s="119"/>
      <c r="M4197" s="3"/>
    </row>
    <row r="4198" spans="1:13" s="4" customFormat="1" ht="25.5" x14ac:dyDescent="0.25">
      <c r="A4198" s="4" t="s">
        <v>6908</v>
      </c>
      <c r="B4198" s="4" t="s">
        <v>50</v>
      </c>
      <c r="C4198" s="37" t="s">
        <v>6720</v>
      </c>
      <c r="D4198" s="35">
        <v>5850</v>
      </c>
      <c r="E4198" s="4" t="s">
        <v>6909</v>
      </c>
      <c r="F4198" s="5">
        <v>39784</v>
      </c>
      <c r="G4198" s="5">
        <v>39967</v>
      </c>
      <c r="H4198" s="4" t="s">
        <v>40</v>
      </c>
      <c r="I4198" s="6">
        <v>45000</v>
      </c>
      <c r="J4198" s="6">
        <v>22500</v>
      </c>
      <c r="K4198" s="37" t="s">
        <v>6720</v>
      </c>
      <c r="L4198" s="119"/>
      <c r="M4198" s="3"/>
    </row>
    <row r="4199" spans="1:13" s="4" customFormat="1" x14ac:dyDescent="0.25">
      <c r="A4199" s="4" t="s">
        <v>6910</v>
      </c>
      <c r="B4199" s="4" t="s">
        <v>50</v>
      </c>
      <c r="C4199" s="37" t="s">
        <v>6720</v>
      </c>
      <c r="D4199" s="35">
        <v>5852</v>
      </c>
      <c r="E4199" s="4" t="s">
        <v>6911</v>
      </c>
      <c r="F4199" s="5">
        <v>39945</v>
      </c>
      <c r="G4199" s="5">
        <v>39973</v>
      </c>
      <c r="H4199" s="4" t="s">
        <v>40</v>
      </c>
      <c r="I4199" s="6">
        <v>5380</v>
      </c>
      <c r="J4199" s="6">
        <v>2690</v>
      </c>
      <c r="K4199" s="37" t="s">
        <v>6720</v>
      </c>
      <c r="L4199" s="119"/>
      <c r="M4199" s="3"/>
    </row>
    <row r="4200" spans="1:13" s="4" customFormat="1" ht="25.5" x14ac:dyDescent="0.25">
      <c r="A4200" s="4" t="s">
        <v>6912</v>
      </c>
      <c r="B4200" s="4" t="s">
        <v>50</v>
      </c>
      <c r="C4200" s="37" t="s">
        <v>6720</v>
      </c>
      <c r="D4200" s="35">
        <v>5853</v>
      </c>
      <c r="E4200" s="4" t="s">
        <v>6913</v>
      </c>
      <c r="F4200" s="5">
        <v>40039</v>
      </c>
      <c r="G4200" s="5">
        <v>40049</v>
      </c>
      <c r="H4200" s="4" t="s">
        <v>40</v>
      </c>
      <c r="I4200" s="6">
        <v>60000</v>
      </c>
      <c r="J4200" s="6">
        <v>30000</v>
      </c>
      <c r="K4200" s="37" t="s">
        <v>6720</v>
      </c>
      <c r="L4200" s="119"/>
      <c r="M4200" s="3"/>
    </row>
    <row r="4201" spans="1:13" s="4" customFormat="1" ht="25.5" x14ac:dyDescent="0.25">
      <c r="A4201" s="4" t="s">
        <v>6914</v>
      </c>
      <c r="B4201" s="4" t="s">
        <v>50</v>
      </c>
      <c r="C4201" s="37" t="s">
        <v>6720</v>
      </c>
      <c r="D4201" s="35">
        <v>5854</v>
      </c>
      <c r="E4201" s="4" t="s">
        <v>6915</v>
      </c>
      <c r="F4201" s="5">
        <v>40036</v>
      </c>
      <c r="G4201" s="5">
        <v>40077</v>
      </c>
      <c r="H4201" s="4" t="s">
        <v>40</v>
      </c>
      <c r="I4201" s="6">
        <v>30000</v>
      </c>
      <c r="J4201" s="6">
        <v>15000</v>
      </c>
      <c r="K4201" s="37" t="s">
        <v>6720</v>
      </c>
      <c r="L4201" s="119"/>
      <c r="M4201" s="3"/>
    </row>
    <row r="4202" spans="1:13" s="4" customFormat="1" ht="25.5" x14ac:dyDescent="0.25">
      <c r="A4202" s="4" t="s">
        <v>6916</v>
      </c>
      <c r="B4202" s="4" t="s">
        <v>38</v>
      </c>
      <c r="C4202" s="37" t="s">
        <v>6720</v>
      </c>
      <c r="D4202" s="35">
        <v>5855</v>
      </c>
      <c r="E4202" s="4" t="s">
        <v>6917</v>
      </c>
      <c r="F4202" s="5">
        <v>39814</v>
      </c>
      <c r="H4202" s="4" t="s">
        <v>40</v>
      </c>
      <c r="I4202" s="6">
        <v>5988.5</v>
      </c>
      <c r="J4202" s="6">
        <v>5988.5</v>
      </c>
      <c r="K4202" s="37" t="s">
        <v>6720</v>
      </c>
      <c r="L4202" s="119"/>
      <c r="M4202" s="3"/>
    </row>
    <row r="4203" spans="1:13" s="4" customFormat="1" x14ac:dyDescent="0.25">
      <c r="A4203" s="4" t="s">
        <v>6918</v>
      </c>
      <c r="B4203" s="4" t="s">
        <v>59</v>
      </c>
      <c r="C4203" s="37" t="s">
        <v>6720</v>
      </c>
      <c r="D4203" s="35">
        <v>5907</v>
      </c>
      <c r="E4203" s="4" t="s">
        <v>6919</v>
      </c>
      <c r="F4203" s="5">
        <v>40135</v>
      </c>
      <c r="G4203" s="5">
        <v>40152</v>
      </c>
      <c r="H4203" s="4" t="s">
        <v>40</v>
      </c>
      <c r="I4203" s="6">
        <v>2000</v>
      </c>
      <c r="J4203" s="6">
        <v>2000</v>
      </c>
      <c r="K4203" s="37" t="s">
        <v>6720</v>
      </c>
      <c r="L4203" s="119"/>
      <c r="M4203" s="3"/>
    </row>
    <row r="4204" spans="1:13" s="4" customFormat="1" ht="25.5" x14ac:dyDescent="0.25">
      <c r="A4204" s="4" t="s">
        <v>6920</v>
      </c>
      <c r="B4204" s="4" t="s">
        <v>38</v>
      </c>
      <c r="C4204" s="37" t="s">
        <v>6720</v>
      </c>
      <c r="D4204" s="35">
        <v>5909</v>
      </c>
      <c r="E4204" s="4" t="s">
        <v>6921</v>
      </c>
      <c r="F4204" s="5">
        <v>39989</v>
      </c>
      <c r="G4204" s="5">
        <v>40057</v>
      </c>
      <c r="H4204" s="4" t="s">
        <v>40</v>
      </c>
      <c r="I4204" s="6">
        <v>7500</v>
      </c>
      <c r="J4204" s="6">
        <v>3750</v>
      </c>
      <c r="K4204" s="37" t="s">
        <v>6720</v>
      </c>
      <c r="L4204" s="119"/>
      <c r="M4204" s="3"/>
    </row>
    <row r="4205" spans="1:13" s="4" customFormat="1" ht="25.5" x14ac:dyDescent="0.25">
      <c r="A4205" s="4" t="s">
        <v>6922</v>
      </c>
      <c r="B4205" s="4" t="s">
        <v>38</v>
      </c>
      <c r="C4205" s="37" t="s">
        <v>6720</v>
      </c>
      <c r="D4205" s="35">
        <v>5910</v>
      </c>
      <c r="E4205" s="4" t="s">
        <v>6923</v>
      </c>
      <c r="F4205" s="5">
        <v>40063</v>
      </c>
      <c r="G4205" s="5">
        <v>40543</v>
      </c>
      <c r="H4205" s="4" t="s">
        <v>40</v>
      </c>
      <c r="I4205" s="6">
        <v>5000</v>
      </c>
      <c r="J4205" s="6">
        <v>5000</v>
      </c>
      <c r="K4205" s="37" t="s">
        <v>6720</v>
      </c>
      <c r="L4205" s="119"/>
      <c r="M4205" s="3"/>
    </row>
    <row r="4206" spans="1:13" s="4" customFormat="1" x14ac:dyDescent="0.25">
      <c r="A4206" s="4" t="s">
        <v>6924</v>
      </c>
      <c r="B4206" s="4" t="s">
        <v>59</v>
      </c>
      <c r="C4206" s="37" t="s">
        <v>6720</v>
      </c>
      <c r="D4206" s="35">
        <v>5911</v>
      </c>
      <c r="E4206" s="4" t="s">
        <v>6925</v>
      </c>
      <c r="F4206" s="5">
        <v>40003</v>
      </c>
      <c r="G4206" s="5">
        <v>40049</v>
      </c>
      <c r="H4206" s="4" t="s">
        <v>40</v>
      </c>
      <c r="I4206" s="6">
        <v>10000</v>
      </c>
      <c r="J4206" s="6">
        <v>10000</v>
      </c>
      <c r="K4206" s="37" t="s">
        <v>6720</v>
      </c>
      <c r="L4206" s="119"/>
      <c r="M4206" s="3"/>
    </row>
    <row r="4207" spans="1:13" s="4" customFormat="1" ht="25.5" x14ac:dyDescent="0.25">
      <c r="A4207" s="4" t="s">
        <v>6926</v>
      </c>
      <c r="B4207" s="4" t="s">
        <v>50</v>
      </c>
      <c r="C4207" s="37" t="s">
        <v>6720</v>
      </c>
      <c r="D4207" s="35">
        <v>5912</v>
      </c>
      <c r="E4207" s="4" t="s">
        <v>6927</v>
      </c>
      <c r="F4207" s="5">
        <v>39794</v>
      </c>
      <c r="G4207" s="5">
        <v>40077</v>
      </c>
      <c r="H4207" s="4" t="s">
        <v>40</v>
      </c>
      <c r="I4207" s="6">
        <v>26214</v>
      </c>
      <c r="J4207" s="6">
        <v>13107</v>
      </c>
      <c r="K4207" s="37" t="s">
        <v>6720</v>
      </c>
      <c r="L4207" s="119"/>
      <c r="M4207" s="3"/>
    </row>
    <row r="4208" spans="1:13" s="4" customFormat="1" ht="51" x14ac:dyDescent="0.25">
      <c r="A4208" s="4" t="s">
        <v>6928</v>
      </c>
      <c r="B4208" s="4" t="s">
        <v>59</v>
      </c>
      <c r="C4208" s="37" t="s">
        <v>6720</v>
      </c>
      <c r="D4208" s="35">
        <v>5917</v>
      </c>
      <c r="E4208" s="4" t="s">
        <v>6929</v>
      </c>
      <c r="F4208" s="5">
        <v>40140</v>
      </c>
      <c r="G4208" s="5">
        <v>40543</v>
      </c>
      <c r="H4208" s="4" t="s">
        <v>40</v>
      </c>
      <c r="I4208" s="6">
        <v>37500</v>
      </c>
      <c r="J4208" s="6">
        <v>37500</v>
      </c>
      <c r="K4208" s="37" t="s">
        <v>6720</v>
      </c>
      <c r="L4208" s="119"/>
      <c r="M4208" s="3"/>
    </row>
    <row r="4209" spans="1:13" s="4" customFormat="1" x14ac:dyDescent="0.25">
      <c r="A4209" s="4" t="s">
        <v>6930</v>
      </c>
      <c r="B4209" s="4" t="s">
        <v>59</v>
      </c>
      <c r="C4209" s="37" t="s">
        <v>6720</v>
      </c>
      <c r="D4209" s="35">
        <v>5918</v>
      </c>
      <c r="E4209" s="4" t="s">
        <v>6931</v>
      </c>
      <c r="F4209" s="5">
        <v>39979</v>
      </c>
      <c r="G4209" s="5">
        <v>40168</v>
      </c>
      <c r="H4209" s="4" t="s">
        <v>40</v>
      </c>
      <c r="I4209" s="6">
        <v>9000</v>
      </c>
      <c r="J4209" s="6">
        <v>9000</v>
      </c>
      <c r="K4209" s="37" t="s">
        <v>6720</v>
      </c>
      <c r="L4209" s="119"/>
      <c r="M4209" s="3"/>
    </row>
    <row r="4210" spans="1:13" s="4" customFormat="1" ht="25.5" x14ac:dyDescent="0.25">
      <c r="A4210" s="4" t="s">
        <v>6932</v>
      </c>
      <c r="B4210" s="4" t="s">
        <v>90</v>
      </c>
      <c r="C4210" s="37" t="s">
        <v>6720</v>
      </c>
      <c r="D4210" s="35">
        <v>5934</v>
      </c>
      <c r="E4210" s="4" t="s">
        <v>6933</v>
      </c>
      <c r="F4210" s="5">
        <v>40102</v>
      </c>
      <c r="G4210" s="5">
        <v>40125</v>
      </c>
      <c r="H4210" s="4" t="s">
        <v>40</v>
      </c>
      <c r="I4210" s="6">
        <v>10200</v>
      </c>
      <c r="J4210" s="6">
        <v>5100</v>
      </c>
      <c r="K4210" s="37" t="s">
        <v>6720</v>
      </c>
      <c r="L4210" s="119"/>
      <c r="M4210" s="3"/>
    </row>
    <row r="4211" spans="1:13" s="4" customFormat="1" ht="25.5" x14ac:dyDescent="0.25">
      <c r="A4211" s="4" t="s">
        <v>6934</v>
      </c>
      <c r="B4211" s="4" t="s">
        <v>90</v>
      </c>
      <c r="C4211" s="37" t="s">
        <v>6720</v>
      </c>
      <c r="D4211" s="35">
        <v>5935</v>
      </c>
      <c r="E4211" s="4" t="s">
        <v>6935</v>
      </c>
      <c r="F4211" s="5">
        <v>40129</v>
      </c>
      <c r="G4211" s="5">
        <v>40133</v>
      </c>
      <c r="H4211" s="4" t="s">
        <v>40</v>
      </c>
      <c r="I4211" s="6">
        <v>10200</v>
      </c>
      <c r="J4211" s="6">
        <v>5100</v>
      </c>
      <c r="K4211" s="37" t="s">
        <v>6720</v>
      </c>
      <c r="L4211" s="119"/>
      <c r="M4211" s="3"/>
    </row>
    <row r="4212" spans="1:13" s="4" customFormat="1" ht="51" x14ac:dyDescent="0.25">
      <c r="A4212" s="4" t="s">
        <v>6936</v>
      </c>
      <c r="B4212" s="4" t="s">
        <v>59</v>
      </c>
      <c r="C4212" s="37" t="s">
        <v>6720</v>
      </c>
      <c r="D4212" s="35">
        <v>5936</v>
      </c>
      <c r="E4212" s="4" t="s">
        <v>6937</v>
      </c>
      <c r="F4212" s="5">
        <v>39982</v>
      </c>
      <c r="G4212" s="5">
        <v>39995</v>
      </c>
      <c r="H4212" s="4" t="s">
        <v>40</v>
      </c>
      <c r="I4212" s="6">
        <v>5000</v>
      </c>
      <c r="J4212" s="6">
        <v>5000</v>
      </c>
      <c r="K4212" s="37" t="s">
        <v>6720</v>
      </c>
      <c r="L4212" s="119"/>
      <c r="M4212" s="3"/>
    </row>
    <row r="4213" spans="1:13" s="4" customFormat="1" ht="25.5" x14ac:dyDescent="0.25">
      <c r="A4213" s="4" t="s">
        <v>6938</v>
      </c>
      <c r="B4213" s="4" t="s">
        <v>90</v>
      </c>
      <c r="C4213" s="37" t="s">
        <v>6720</v>
      </c>
      <c r="D4213" s="35">
        <v>5939</v>
      </c>
      <c r="E4213" s="4" t="s">
        <v>6939</v>
      </c>
      <c r="F4213" s="5">
        <v>40057</v>
      </c>
      <c r="G4213" s="5">
        <v>40908</v>
      </c>
      <c r="H4213" s="4" t="s">
        <v>40</v>
      </c>
      <c r="I4213" s="6">
        <v>4958</v>
      </c>
      <c r="J4213" s="6">
        <v>2479</v>
      </c>
      <c r="K4213" s="37" t="s">
        <v>6720</v>
      </c>
      <c r="L4213" s="119"/>
      <c r="M4213" s="3"/>
    </row>
    <row r="4214" spans="1:13" s="4" customFormat="1" ht="38.25" x14ac:dyDescent="0.25">
      <c r="A4214" s="4" t="s">
        <v>6940</v>
      </c>
      <c r="B4214" s="4" t="s">
        <v>90</v>
      </c>
      <c r="C4214" s="37" t="s">
        <v>6720</v>
      </c>
      <c r="D4214" s="35">
        <v>5940</v>
      </c>
      <c r="E4214" s="4" t="s">
        <v>6941</v>
      </c>
      <c r="F4214" s="5">
        <v>40031</v>
      </c>
      <c r="G4214" s="5">
        <v>40098</v>
      </c>
      <c r="H4214" s="4" t="s">
        <v>40</v>
      </c>
      <c r="I4214" s="6">
        <v>1750</v>
      </c>
      <c r="J4214" s="6">
        <v>875</v>
      </c>
      <c r="K4214" s="37" t="s">
        <v>6720</v>
      </c>
      <c r="L4214" s="119"/>
      <c r="M4214" s="3"/>
    </row>
    <row r="4215" spans="1:13" s="4" customFormat="1" ht="25.5" x14ac:dyDescent="0.25">
      <c r="A4215" s="4" t="s">
        <v>6942</v>
      </c>
      <c r="B4215" s="4" t="s">
        <v>90</v>
      </c>
      <c r="C4215" s="37" t="s">
        <v>6720</v>
      </c>
      <c r="D4215" s="35">
        <v>5942</v>
      </c>
      <c r="E4215" s="4" t="s">
        <v>6943</v>
      </c>
      <c r="F4215" s="5">
        <v>40084</v>
      </c>
      <c r="G4215" s="5">
        <v>40098</v>
      </c>
      <c r="H4215" s="4" t="s">
        <v>40</v>
      </c>
      <c r="I4215" s="6">
        <v>10200</v>
      </c>
      <c r="J4215" s="6">
        <v>5100</v>
      </c>
      <c r="K4215" s="37" t="s">
        <v>6720</v>
      </c>
      <c r="L4215" s="119"/>
      <c r="M4215" s="3"/>
    </row>
    <row r="4216" spans="1:13" s="4" customFormat="1" ht="51" x14ac:dyDescent="0.25">
      <c r="A4216" s="4" t="s">
        <v>6942</v>
      </c>
      <c r="B4216" s="4" t="s">
        <v>90</v>
      </c>
      <c r="C4216" s="37" t="s">
        <v>6720</v>
      </c>
      <c r="D4216" s="35">
        <v>5944</v>
      </c>
      <c r="E4216" s="4" t="s">
        <v>6944</v>
      </c>
      <c r="F4216" s="5">
        <v>40057</v>
      </c>
      <c r="G4216" s="5">
        <v>40071</v>
      </c>
      <c r="H4216" s="4" t="s">
        <v>40</v>
      </c>
      <c r="I4216" s="6">
        <v>9930</v>
      </c>
      <c r="J4216" s="6">
        <v>4965</v>
      </c>
      <c r="K4216" s="37" t="s">
        <v>6720</v>
      </c>
      <c r="L4216" s="119"/>
      <c r="M4216" s="3"/>
    </row>
    <row r="4217" spans="1:13" s="4" customFormat="1" ht="25.5" x14ac:dyDescent="0.25">
      <c r="A4217" s="4" t="s">
        <v>6945</v>
      </c>
      <c r="B4217" s="4" t="s">
        <v>59</v>
      </c>
      <c r="C4217" s="37" t="s">
        <v>6720</v>
      </c>
      <c r="D4217" s="35">
        <v>5953</v>
      </c>
      <c r="E4217" s="4" t="s">
        <v>6946</v>
      </c>
      <c r="F4217" s="5">
        <v>40038</v>
      </c>
      <c r="G4217" s="5">
        <v>40077</v>
      </c>
      <c r="H4217" s="4" t="s">
        <v>40</v>
      </c>
      <c r="I4217" s="6">
        <v>1000</v>
      </c>
      <c r="J4217" s="6">
        <v>1000</v>
      </c>
      <c r="K4217" s="37" t="s">
        <v>6720</v>
      </c>
      <c r="L4217" s="119"/>
      <c r="M4217" s="3"/>
    </row>
    <row r="4218" spans="1:13" s="4" customFormat="1" ht="25.5" x14ac:dyDescent="0.25">
      <c r="A4218" s="4" t="s">
        <v>6947</v>
      </c>
      <c r="B4218" s="4" t="s">
        <v>59</v>
      </c>
      <c r="C4218" s="37" t="s">
        <v>6720</v>
      </c>
      <c r="D4218" s="35">
        <v>5956</v>
      </c>
      <c r="E4218" s="4" t="s">
        <v>6948</v>
      </c>
      <c r="F4218" s="5">
        <v>39996</v>
      </c>
      <c r="G4218" s="5">
        <v>40003</v>
      </c>
      <c r="H4218" s="4" t="s">
        <v>40</v>
      </c>
      <c r="I4218" s="6">
        <v>10000</v>
      </c>
      <c r="J4218" s="6">
        <v>10000</v>
      </c>
      <c r="K4218" s="37" t="s">
        <v>6720</v>
      </c>
      <c r="L4218" s="119"/>
      <c r="M4218" s="3"/>
    </row>
    <row r="4219" spans="1:13" s="4" customFormat="1" ht="25.5" x14ac:dyDescent="0.25">
      <c r="A4219" s="4" t="s">
        <v>6949</v>
      </c>
      <c r="B4219" s="4" t="s">
        <v>59</v>
      </c>
      <c r="C4219" s="37" t="s">
        <v>6720</v>
      </c>
      <c r="D4219" s="35">
        <v>7110</v>
      </c>
      <c r="E4219" s="4" t="s">
        <v>6950</v>
      </c>
      <c r="F4219" s="5">
        <v>40179</v>
      </c>
      <c r="G4219" s="5">
        <v>40543</v>
      </c>
      <c r="H4219" s="4" t="s">
        <v>40</v>
      </c>
      <c r="I4219" s="6">
        <v>5000</v>
      </c>
      <c r="J4219" s="6">
        <v>5000</v>
      </c>
      <c r="K4219" s="37" t="s">
        <v>6720</v>
      </c>
      <c r="L4219" s="119"/>
      <c r="M4219" s="3"/>
    </row>
    <row r="4220" spans="1:13" s="4" customFormat="1" ht="25.5" x14ac:dyDescent="0.25">
      <c r="A4220" s="4" t="s">
        <v>6926</v>
      </c>
      <c r="B4220" s="4" t="s">
        <v>50</v>
      </c>
      <c r="C4220" s="37" t="s">
        <v>6720</v>
      </c>
      <c r="D4220" s="35">
        <v>7114</v>
      </c>
      <c r="E4220" s="4" t="s">
        <v>6927</v>
      </c>
      <c r="F4220" s="5">
        <v>39924</v>
      </c>
      <c r="G4220" s="5">
        <v>40289</v>
      </c>
      <c r="H4220" s="4" t="s">
        <v>40</v>
      </c>
      <c r="I4220" s="6">
        <v>2000</v>
      </c>
      <c r="J4220" s="6">
        <v>1000</v>
      </c>
      <c r="K4220" s="37" t="s">
        <v>6720</v>
      </c>
      <c r="L4220" s="119"/>
      <c r="M4220" s="3"/>
    </row>
    <row r="4221" spans="1:13" s="4" customFormat="1" ht="153" x14ac:dyDescent="0.25">
      <c r="A4221" s="4" t="s">
        <v>6951</v>
      </c>
      <c r="B4221" s="4" t="s">
        <v>190</v>
      </c>
      <c r="C4221" s="37" t="s">
        <v>6720</v>
      </c>
      <c r="D4221" s="35">
        <v>7115</v>
      </c>
      <c r="E4221" s="7" t="s">
        <v>6952</v>
      </c>
      <c r="F4221" s="5">
        <v>40179</v>
      </c>
      <c r="G4221" s="5">
        <v>40543</v>
      </c>
      <c r="H4221" s="4" t="s">
        <v>40</v>
      </c>
      <c r="I4221" s="6">
        <v>160000</v>
      </c>
      <c r="J4221" s="6">
        <v>80000</v>
      </c>
      <c r="K4221" s="37" t="s">
        <v>6720</v>
      </c>
      <c r="L4221" s="119"/>
      <c r="M4221" s="3"/>
    </row>
    <row r="4222" spans="1:13" s="4" customFormat="1" ht="127.5" x14ac:dyDescent="0.25">
      <c r="A4222" s="4" t="s">
        <v>6953</v>
      </c>
      <c r="B4222" s="4" t="s">
        <v>190</v>
      </c>
      <c r="C4222" s="37" t="s">
        <v>6720</v>
      </c>
      <c r="D4222" s="35">
        <v>7116</v>
      </c>
      <c r="E4222" s="7" t="s">
        <v>6954</v>
      </c>
      <c r="F4222" s="5">
        <v>40179</v>
      </c>
      <c r="H4222" s="4" t="s">
        <v>40</v>
      </c>
      <c r="I4222" s="6">
        <v>16000</v>
      </c>
      <c r="J4222" s="6">
        <f>11000+5000</f>
        <v>16000</v>
      </c>
      <c r="K4222" s="37" t="s">
        <v>6720</v>
      </c>
      <c r="L4222" s="119"/>
      <c r="M4222" s="3"/>
    </row>
    <row r="4223" spans="1:13" s="4" customFormat="1" ht="38.25" x14ac:dyDescent="0.25">
      <c r="A4223" s="4" t="s">
        <v>6955</v>
      </c>
      <c r="B4223" s="4" t="s">
        <v>59</v>
      </c>
      <c r="C4223" s="37" t="s">
        <v>6720</v>
      </c>
      <c r="D4223" s="35">
        <v>7117</v>
      </c>
      <c r="E4223" s="4" t="s">
        <v>6956</v>
      </c>
      <c r="F4223" s="5">
        <v>40107</v>
      </c>
      <c r="G4223" s="5">
        <v>40472</v>
      </c>
      <c r="H4223" s="4" t="s">
        <v>40</v>
      </c>
      <c r="I4223" s="6">
        <v>2000</v>
      </c>
      <c r="J4223" s="6">
        <v>2000</v>
      </c>
      <c r="K4223" s="37" t="s">
        <v>6720</v>
      </c>
      <c r="L4223" s="119"/>
      <c r="M4223" s="3"/>
    </row>
    <row r="4224" spans="1:13" s="4" customFormat="1" ht="51" x14ac:dyDescent="0.25">
      <c r="A4224" s="4" t="s">
        <v>6957</v>
      </c>
      <c r="B4224" s="4" t="s">
        <v>183</v>
      </c>
      <c r="C4224" s="37" t="s">
        <v>6720</v>
      </c>
      <c r="D4224" s="35">
        <v>7118</v>
      </c>
      <c r="E4224" s="4" t="s">
        <v>6958</v>
      </c>
      <c r="F4224" s="5">
        <v>40448</v>
      </c>
      <c r="H4224" s="4" t="s">
        <v>40</v>
      </c>
      <c r="I4224" s="6">
        <v>6250</v>
      </c>
      <c r="J4224" s="6">
        <v>6250</v>
      </c>
      <c r="K4224" s="37" t="s">
        <v>6720</v>
      </c>
      <c r="L4224" s="119"/>
      <c r="M4224" s="3"/>
    </row>
    <row r="4225" spans="1:13" s="4" customFormat="1" ht="25.5" x14ac:dyDescent="0.25">
      <c r="A4225" s="4" t="s">
        <v>6959</v>
      </c>
      <c r="B4225" s="4" t="s">
        <v>90</v>
      </c>
      <c r="C4225" s="37" t="s">
        <v>6720</v>
      </c>
      <c r="D4225" s="35">
        <v>7119</v>
      </c>
      <c r="E4225" s="4" t="s">
        <v>6960</v>
      </c>
      <c r="F4225" s="5">
        <v>40107</v>
      </c>
      <c r="G4225" s="5">
        <v>40472</v>
      </c>
      <c r="H4225" s="4" t="s">
        <v>40</v>
      </c>
      <c r="I4225" s="6">
        <v>4564</v>
      </c>
      <c r="J4225" s="6">
        <v>2282</v>
      </c>
      <c r="K4225" s="37" t="s">
        <v>6720</v>
      </c>
      <c r="L4225" s="119"/>
      <c r="M4225" s="3"/>
    </row>
    <row r="4226" spans="1:13" s="4" customFormat="1" ht="102" x14ac:dyDescent="0.25">
      <c r="A4226" s="4" t="s">
        <v>6961</v>
      </c>
      <c r="B4226" s="4" t="s">
        <v>59</v>
      </c>
      <c r="C4226" s="37" t="s">
        <v>6720</v>
      </c>
      <c r="D4226" s="35">
        <v>7120</v>
      </c>
      <c r="E4226" s="7" t="s">
        <v>6962</v>
      </c>
      <c r="F4226" s="5">
        <v>39867</v>
      </c>
      <c r="H4226" s="4" t="s">
        <v>40</v>
      </c>
      <c r="I4226" s="6">
        <v>11250</v>
      </c>
      <c r="J4226" s="6">
        <v>11250</v>
      </c>
      <c r="K4226" s="37" t="s">
        <v>6720</v>
      </c>
      <c r="L4226" s="119"/>
      <c r="M4226" s="3"/>
    </row>
    <row r="4227" spans="1:13" s="4" customFormat="1" ht="38.25" x14ac:dyDescent="0.25">
      <c r="A4227" s="4" t="s">
        <v>6963</v>
      </c>
      <c r="B4227" s="4" t="s">
        <v>190</v>
      </c>
      <c r="C4227" s="37" t="s">
        <v>6720</v>
      </c>
      <c r="D4227" s="35">
        <v>7121</v>
      </c>
      <c r="E4227" s="4" t="s">
        <v>6964</v>
      </c>
      <c r="F4227" s="5">
        <v>40448</v>
      </c>
      <c r="G4227" s="5">
        <v>40908</v>
      </c>
      <c r="H4227" s="4" t="s">
        <v>40</v>
      </c>
      <c r="I4227" s="6">
        <v>3750</v>
      </c>
      <c r="J4227" s="6">
        <v>3750</v>
      </c>
      <c r="K4227" s="37" t="s">
        <v>6720</v>
      </c>
      <c r="L4227" s="119"/>
      <c r="M4227" s="3"/>
    </row>
    <row r="4228" spans="1:13" s="4" customFormat="1" ht="38.25" x14ac:dyDescent="0.25">
      <c r="A4228" s="4" t="s">
        <v>6965</v>
      </c>
      <c r="B4228" s="4" t="s">
        <v>90</v>
      </c>
      <c r="C4228" s="37" t="s">
        <v>6720</v>
      </c>
      <c r="D4228" s="35">
        <v>7122</v>
      </c>
      <c r="E4228" s="4" t="s">
        <v>6966</v>
      </c>
      <c r="F4228" s="5">
        <v>40161</v>
      </c>
      <c r="H4228" s="4" t="s">
        <v>40</v>
      </c>
      <c r="I4228" s="6">
        <v>1310</v>
      </c>
      <c r="J4228" s="6">
        <v>655</v>
      </c>
      <c r="K4228" s="37" t="s">
        <v>6720</v>
      </c>
      <c r="L4228" s="119"/>
      <c r="M4228" s="3"/>
    </row>
    <row r="4229" spans="1:13" s="4" customFormat="1" ht="38.25" x14ac:dyDescent="0.25">
      <c r="A4229" s="4" t="s">
        <v>6967</v>
      </c>
      <c r="B4229" s="4" t="s">
        <v>183</v>
      </c>
      <c r="C4229" s="37" t="s">
        <v>6720</v>
      </c>
      <c r="D4229" s="35">
        <v>7123</v>
      </c>
      <c r="E4229" s="4" t="s">
        <v>6968</v>
      </c>
      <c r="F4229" s="5">
        <v>40448</v>
      </c>
      <c r="G4229" s="5">
        <v>40908</v>
      </c>
      <c r="H4229" s="4" t="s">
        <v>40</v>
      </c>
      <c r="I4229" s="6">
        <v>6000</v>
      </c>
      <c r="J4229" s="6">
        <v>6000</v>
      </c>
      <c r="K4229" s="37" t="s">
        <v>6720</v>
      </c>
      <c r="L4229" s="119"/>
      <c r="M4229" s="3"/>
    </row>
    <row r="4230" spans="1:13" s="4" customFormat="1" ht="63.75" x14ac:dyDescent="0.25">
      <c r="A4230" s="4" t="s">
        <v>6969</v>
      </c>
      <c r="B4230" s="4" t="s">
        <v>90</v>
      </c>
      <c r="C4230" s="37" t="s">
        <v>6720</v>
      </c>
      <c r="D4230" s="35">
        <v>7124</v>
      </c>
      <c r="E4230" s="4" t="s">
        <v>6970</v>
      </c>
      <c r="F4230" s="5">
        <v>40357</v>
      </c>
      <c r="G4230" s="5">
        <v>40908</v>
      </c>
      <c r="H4230" s="4" t="s">
        <v>40</v>
      </c>
      <c r="I4230" s="6">
        <v>3470</v>
      </c>
      <c r="J4230" s="6">
        <v>1735</v>
      </c>
      <c r="K4230" s="37" t="s">
        <v>6720</v>
      </c>
      <c r="L4230" s="119"/>
      <c r="M4230" s="3"/>
    </row>
    <row r="4231" spans="1:13" s="4" customFormat="1" ht="51" x14ac:dyDescent="0.25">
      <c r="A4231" s="4" t="s">
        <v>6971</v>
      </c>
      <c r="B4231" s="4" t="s">
        <v>59</v>
      </c>
      <c r="C4231" s="37" t="s">
        <v>6720</v>
      </c>
      <c r="D4231" s="35">
        <v>7125</v>
      </c>
      <c r="E4231" s="4" t="s">
        <v>6972</v>
      </c>
      <c r="F4231" s="5">
        <v>40161</v>
      </c>
      <c r="G4231" s="5">
        <v>40526</v>
      </c>
      <c r="H4231" s="4" t="s">
        <v>40</v>
      </c>
      <c r="I4231" s="6">
        <v>5000</v>
      </c>
      <c r="J4231" s="6">
        <v>5000</v>
      </c>
      <c r="K4231" s="37" t="s">
        <v>6720</v>
      </c>
      <c r="L4231" s="119"/>
      <c r="M4231" s="3"/>
    </row>
    <row r="4232" spans="1:13" s="4" customFormat="1" ht="38.25" x14ac:dyDescent="0.25">
      <c r="A4232" s="4" t="s">
        <v>6973</v>
      </c>
      <c r="B4232" s="4" t="s">
        <v>59</v>
      </c>
      <c r="C4232" s="37" t="s">
        <v>6720</v>
      </c>
      <c r="D4232" s="35">
        <v>7126</v>
      </c>
      <c r="E4232" s="4" t="s">
        <v>6974</v>
      </c>
      <c r="F4232" s="5">
        <v>39728</v>
      </c>
      <c r="G4232" s="5">
        <v>40093</v>
      </c>
      <c r="H4232" s="4" t="s">
        <v>40</v>
      </c>
      <c r="I4232" s="6">
        <v>1750</v>
      </c>
      <c r="J4232" s="6">
        <v>1750</v>
      </c>
      <c r="K4232" s="37" t="s">
        <v>6720</v>
      </c>
      <c r="L4232" s="119"/>
      <c r="M4232" s="3"/>
    </row>
    <row r="4233" spans="1:13" s="4" customFormat="1" ht="38.25" x14ac:dyDescent="0.25">
      <c r="A4233" s="4" t="s">
        <v>6975</v>
      </c>
      <c r="B4233" s="4" t="s">
        <v>190</v>
      </c>
      <c r="C4233" s="37" t="s">
        <v>6720</v>
      </c>
      <c r="D4233" s="35">
        <v>7127</v>
      </c>
      <c r="E4233" s="4" t="s">
        <v>6976</v>
      </c>
      <c r="F4233" s="5">
        <v>40231</v>
      </c>
      <c r="G4233" s="5">
        <v>40543</v>
      </c>
      <c r="H4233" s="4" t="s">
        <v>40</v>
      </c>
      <c r="I4233" s="6">
        <v>36000</v>
      </c>
      <c r="J4233" s="6">
        <v>36000</v>
      </c>
      <c r="K4233" s="37" t="s">
        <v>6720</v>
      </c>
      <c r="L4233" s="119"/>
      <c r="M4233" s="3"/>
    </row>
    <row r="4234" spans="1:13" s="4" customFormat="1" ht="38.25" x14ac:dyDescent="0.25">
      <c r="A4234" s="4" t="s">
        <v>6977</v>
      </c>
      <c r="B4234" s="4" t="s">
        <v>50</v>
      </c>
      <c r="C4234" s="37" t="s">
        <v>6720</v>
      </c>
      <c r="D4234" s="35">
        <v>7129</v>
      </c>
      <c r="E4234" s="4" t="s">
        <v>6978</v>
      </c>
      <c r="F4234" s="5">
        <v>40050</v>
      </c>
      <c r="G4234" s="5">
        <v>40543</v>
      </c>
      <c r="H4234" s="4" t="s">
        <v>40</v>
      </c>
      <c r="I4234" s="6">
        <v>3492</v>
      </c>
      <c r="J4234" s="6">
        <v>1746</v>
      </c>
      <c r="K4234" s="37" t="s">
        <v>6720</v>
      </c>
      <c r="L4234" s="119"/>
      <c r="M4234" s="3"/>
    </row>
    <row r="4235" spans="1:13" s="4" customFormat="1" ht="51" x14ac:dyDescent="0.25">
      <c r="A4235" s="4" t="s">
        <v>6979</v>
      </c>
      <c r="B4235" s="4" t="s">
        <v>190</v>
      </c>
      <c r="C4235" s="37" t="s">
        <v>6720</v>
      </c>
      <c r="D4235" s="35">
        <v>7130</v>
      </c>
      <c r="E4235" s="4" t="s">
        <v>6980</v>
      </c>
      <c r="F4235" s="5">
        <v>40357</v>
      </c>
      <c r="H4235" s="4" t="s">
        <v>40</v>
      </c>
      <c r="I4235" s="6">
        <v>36000</v>
      </c>
      <c r="J4235" s="6">
        <v>18000</v>
      </c>
      <c r="K4235" s="37" t="s">
        <v>6720</v>
      </c>
      <c r="L4235" s="119"/>
      <c r="M4235" s="3"/>
    </row>
    <row r="4236" spans="1:13" s="4" customFormat="1" ht="38.25" x14ac:dyDescent="0.25">
      <c r="A4236" s="4" t="s">
        <v>6981</v>
      </c>
      <c r="B4236" s="4" t="s">
        <v>90</v>
      </c>
      <c r="C4236" s="37" t="s">
        <v>6720</v>
      </c>
      <c r="D4236" s="35">
        <v>7131</v>
      </c>
      <c r="E4236" s="4" t="s">
        <v>6982</v>
      </c>
      <c r="F4236" s="5">
        <v>40231</v>
      </c>
      <c r="G4236" s="5">
        <v>40908</v>
      </c>
      <c r="H4236" s="4" t="s">
        <v>40</v>
      </c>
      <c r="I4236" s="6">
        <v>6313</v>
      </c>
      <c r="J4236" s="6">
        <v>3000</v>
      </c>
      <c r="K4236" s="37" t="s">
        <v>6720</v>
      </c>
      <c r="L4236" s="119"/>
      <c r="M4236" s="3"/>
    </row>
    <row r="4237" spans="1:13" s="4" customFormat="1" ht="38.25" x14ac:dyDescent="0.25">
      <c r="A4237" s="4" t="s">
        <v>6983</v>
      </c>
      <c r="B4237" s="4" t="s">
        <v>59</v>
      </c>
      <c r="C4237" s="37" t="s">
        <v>6720</v>
      </c>
      <c r="D4237" s="35">
        <v>7132</v>
      </c>
      <c r="E4237" s="4" t="s">
        <v>6984</v>
      </c>
      <c r="F4237" s="5">
        <v>40161</v>
      </c>
      <c r="H4237" s="4" t="s">
        <v>40</v>
      </c>
      <c r="I4237" s="6">
        <v>12000</v>
      </c>
      <c r="J4237" s="6">
        <v>12000</v>
      </c>
      <c r="K4237" s="37" t="s">
        <v>6720</v>
      </c>
      <c r="L4237" s="119"/>
      <c r="M4237" s="3"/>
    </row>
    <row r="4238" spans="1:13" s="4" customFormat="1" ht="51" x14ac:dyDescent="0.25">
      <c r="A4238" s="4" t="s">
        <v>6989</v>
      </c>
      <c r="B4238" s="4" t="s">
        <v>183</v>
      </c>
      <c r="C4238" s="37" t="s">
        <v>6720</v>
      </c>
      <c r="D4238" s="35">
        <v>7135</v>
      </c>
      <c r="E4238" s="4" t="s">
        <v>6990</v>
      </c>
      <c r="F4238" s="5">
        <v>40448</v>
      </c>
      <c r="H4238" s="4" t="s">
        <v>40</v>
      </c>
      <c r="I4238" s="6">
        <v>24000</v>
      </c>
      <c r="J4238" s="6">
        <v>12000</v>
      </c>
      <c r="K4238" s="37" t="s">
        <v>6720</v>
      </c>
      <c r="L4238" s="119"/>
      <c r="M4238" s="3"/>
    </row>
    <row r="4239" spans="1:13" s="4" customFormat="1" ht="51" x14ac:dyDescent="0.25">
      <c r="A4239" s="4" t="s">
        <v>6991</v>
      </c>
      <c r="B4239" s="4" t="s">
        <v>190</v>
      </c>
      <c r="C4239" s="37" t="s">
        <v>6720</v>
      </c>
      <c r="D4239" s="35">
        <v>7136</v>
      </c>
      <c r="E4239" s="4" t="s">
        <v>6992</v>
      </c>
      <c r="F4239" s="5">
        <v>40504</v>
      </c>
      <c r="H4239" s="4" t="s">
        <v>40</v>
      </c>
      <c r="I4239" s="6">
        <v>13820</v>
      </c>
      <c r="J4239" s="6">
        <v>8410</v>
      </c>
      <c r="K4239" s="37" t="s">
        <v>6720</v>
      </c>
      <c r="L4239" s="119"/>
      <c r="M4239" s="3"/>
    </row>
    <row r="4240" spans="1:13" s="4" customFormat="1" ht="25.5" x14ac:dyDescent="0.25">
      <c r="A4240" s="4" t="s">
        <v>6993</v>
      </c>
      <c r="B4240" s="4" t="s">
        <v>38</v>
      </c>
      <c r="C4240" s="37" t="s">
        <v>6720</v>
      </c>
      <c r="D4240" s="35">
        <v>7473</v>
      </c>
      <c r="E4240" s="4" t="s">
        <v>6994</v>
      </c>
      <c r="F4240" s="5">
        <v>40179</v>
      </c>
      <c r="G4240" s="5">
        <v>40543</v>
      </c>
      <c r="H4240" s="4" t="s">
        <v>40</v>
      </c>
      <c r="I4240" s="6">
        <v>1534</v>
      </c>
      <c r="J4240" s="6">
        <v>1534</v>
      </c>
      <c r="K4240" s="37" t="s">
        <v>6720</v>
      </c>
      <c r="L4240" s="119"/>
      <c r="M4240" s="3"/>
    </row>
    <row r="4241" spans="1:13" s="4" customFormat="1" ht="25.5" x14ac:dyDescent="0.25">
      <c r="A4241" s="4" t="s">
        <v>6995</v>
      </c>
      <c r="B4241" s="4" t="s">
        <v>38</v>
      </c>
      <c r="C4241" s="37" t="s">
        <v>6720</v>
      </c>
      <c r="D4241" s="35">
        <v>7474</v>
      </c>
      <c r="E4241" s="4" t="s">
        <v>6996</v>
      </c>
      <c r="F4241" s="5">
        <v>40179</v>
      </c>
      <c r="G4241" s="5">
        <v>40543</v>
      </c>
      <c r="H4241" s="4" t="s">
        <v>40</v>
      </c>
      <c r="I4241" s="6">
        <v>1600</v>
      </c>
      <c r="J4241" s="6">
        <v>1600</v>
      </c>
      <c r="K4241" s="37" t="s">
        <v>6720</v>
      </c>
      <c r="L4241" s="119"/>
      <c r="M4241" s="3"/>
    </row>
    <row r="4242" spans="1:13" s="4" customFormat="1" ht="25.5" x14ac:dyDescent="0.25">
      <c r="A4242" s="4" t="s">
        <v>6997</v>
      </c>
      <c r="B4242" s="4" t="s">
        <v>38</v>
      </c>
      <c r="C4242" s="37" t="s">
        <v>6720</v>
      </c>
      <c r="D4242" s="35">
        <v>7475</v>
      </c>
      <c r="E4242" s="4" t="s">
        <v>6998</v>
      </c>
      <c r="F4242" s="5">
        <v>40179</v>
      </c>
      <c r="G4242" s="5">
        <v>40543</v>
      </c>
      <c r="H4242" s="4" t="s">
        <v>40</v>
      </c>
      <c r="I4242" s="6">
        <v>715</v>
      </c>
      <c r="J4242" s="6">
        <v>715</v>
      </c>
      <c r="K4242" s="37" t="s">
        <v>6720</v>
      </c>
      <c r="L4242" s="119"/>
      <c r="M4242" s="3"/>
    </row>
    <row r="4243" spans="1:13" s="4" customFormat="1" ht="25.5" x14ac:dyDescent="0.25">
      <c r="A4243" s="4" t="s">
        <v>6999</v>
      </c>
      <c r="B4243" s="4" t="s">
        <v>38</v>
      </c>
      <c r="C4243" s="37" t="s">
        <v>6720</v>
      </c>
      <c r="D4243" s="35">
        <v>7476</v>
      </c>
      <c r="E4243" s="4" t="s">
        <v>7000</v>
      </c>
      <c r="F4243" s="5">
        <v>40179</v>
      </c>
      <c r="G4243" s="5">
        <v>40543</v>
      </c>
      <c r="H4243" s="4" t="s">
        <v>40</v>
      </c>
      <c r="I4243" s="6">
        <v>340</v>
      </c>
      <c r="J4243" s="6">
        <v>340</v>
      </c>
      <c r="K4243" s="37" t="s">
        <v>6720</v>
      </c>
      <c r="L4243" s="119"/>
      <c r="M4243" s="3"/>
    </row>
    <row r="4244" spans="1:13" s="4" customFormat="1" ht="38.25" x14ac:dyDescent="0.25">
      <c r="A4244" s="4" t="s">
        <v>7001</v>
      </c>
      <c r="B4244" s="4" t="s">
        <v>183</v>
      </c>
      <c r="C4244" s="37" t="s">
        <v>6720</v>
      </c>
      <c r="D4244" s="35">
        <v>8916</v>
      </c>
      <c r="E4244" s="4" t="s">
        <v>7002</v>
      </c>
      <c r="F4244" s="5">
        <v>40504</v>
      </c>
      <c r="H4244" s="4" t="s">
        <v>40</v>
      </c>
      <c r="I4244" s="6">
        <v>10000</v>
      </c>
      <c r="J4244" s="6">
        <v>10000</v>
      </c>
      <c r="K4244" s="37" t="s">
        <v>6720</v>
      </c>
      <c r="L4244" s="119"/>
      <c r="M4244" s="3"/>
    </row>
    <row r="4245" spans="1:13" s="4" customFormat="1" ht="51" x14ac:dyDescent="0.25">
      <c r="A4245" s="4" t="s">
        <v>7003</v>
      </c>
      <c r="B4245" s="4" t="s">
        <v>183</v>
      </c>
      <c r="C4245" s="37" t="s">
        <v>6720</v>
      </c>
      <c r="D4245" s="35">
        <v>8917</v>
      </c>
      <c r="E4245" s="4" t="s">
        <v>7004</v>
      </c>
      <c r="F4245" s="5">
        <v>40601</v>
      </c>
      <c r="H4245" s="4" t="s">
        <v>40</v>
      </c>
      <c r="I4245" s="6">
        <v>30000</v>
      </c>
      <c r="J4245" s="6">
        <v>30000</v>
      </c>
      <c r="K4245" s="37" t="s">
        <v>6720</v>
      </c>
      <c r="L4245" s="119"/>
      <c r="M4245" s="3"/>
    </row>
    <row r="4246" spans="1:13" s="4" customFormat="1" ht="25.5" x14ac:dyDescent="0.25">
      <c r="A4246" s="4" t="s">
        <v>7005</v>
      </c>
      <c r="B4246" s="4" t="s">
        <v>90</v>
      </c>
      <c r="C4246" s="37" t="s">
        <v>6720</v>
      </c>
      <c r="D4246" s="35">
        <v>8918</v>
      </c>
      <c r="E4246" s="4" t="s">
        <v>7006</v>
      </c>
      <c r="F4246" s="5">
        <v>40231</v>
      </c>
      <c r="H4246" s="4" t="s">
        <v>40</v>
      </c>
      <c r="I4246" s="6">
        <v>5660</v>
      </c>
      <c r="J4246" s="6">
        <v>2830</v>
      </c>
      <c r="K4246" s="37" t="s">
        <v>6720</v>
      </c>
      <c r="L4246" s="119"/>
      <c r="M4246" s="3"/>
    </row>
    <row r="4247" spans="1:13" s="4" customFormat="1" ht="25.5" x14ac:dyDescent="0.25">
      <c r="A4247" s="4" t="s">
        <v>7007</v>
      </c>
      <c r="B4247" s="4" t="s">
        <v>190</v>
      </c>
      <c r="C4247" s="37" t="s">
        <v>6720</v>
      </c>
      <c r="D4247" s="35">
        <v>8919</v>
      </c>
      <c r="E4247" s="4" t="s">
        <v>7008</v>
      </c>
      <c r="F4247" s="5">
        <v>40630</v>
      </c>
      <c r="G4247" s="5">
        <v>40908</v>
      </c>
      <c r="H4247" s="4" t="s">
        <v>40</v>
      </c>
      <c r="I4247" s="6">
        <v>96500</v>
      </c>
      <c r="J4247" s="6">
        <v>48250</v>
      </c>
      <c r="K4247" s="37" t="s">
        <v>6720</v>
      </c>
      <c r="L4247" s="119"/>
      <c r="M4247" s="3"/>
    </row>
    <row r="4248" spans="1:13" s="4" customFormat="1" ht="25.5" x14ac:dyDescent="0.25">
      <c r="A4248" s="4" t="s">
        <v>7009</v>
      </c>
      <c r="B4248" s="4" t="s">
        <v>190</v>
      </c>
      <c r="C4248" s="37" t="s">
        <v>6720</v>
      </c>
      <c r="D4248" s="35">
        <v>8928</v>
      </c>
      <c r="E4248" s="4" t="s">
        <v>7010</v>
      </c>
      <c r="F4248" s="5">
        <v>40448</v>
      </c>
      <c r="H4248" s="4" t="s">
        <v>40</v>
      </c>
      <c r="I4248" s="6">
        <v>5000</v>
      </c>
      <c r="J4248" s="6">
        <v>5000</v>
      </c>
      <c r="K4248" s="37" t="s">
        <v>6720</v>
      </c>
      <c r="L4248" s="119"/>
      <c r="M4248" s="3"/>
    </row>
    <row r="4249" spans="1:13" s="4" customFormat="1" ht="38.25" x14ac:dyDescent="0.25">
      <c r="A4249" s="4" t="s">
        <v>7011</v>
      </c>
      <c r="B4249" s="4" t="s">
        <v>183</v>
      </c>
      <c r="C4249" s="37" t="s">
        <v>6720</v>
      </c>
      <c r="D4249" s="35">
        <v>8929</v>
      </c>
      <c r="E4249" s="4" t="s">
        <v>7012</v>
      </c>
      <c r="F4249" s="5">
        <v>40525</v>
      </c>
      <c r="H4249" s="4" t="s">
        <v>40</v>
      </c>
      <c r="I4249" s="6">
        <v>15000</v>
      </c>
      <c r="J4249" s="6">
        <v>15000</v>
      </c>
      <c r="K4249" s="37" t="s">
        <v>6720</v>
      </c>
      <c r="L4249" s="119"/>
      <c r="M4249" s="3"/>
    </row>
    <row r="4250" spans="1:13" s="4" customFormat="1" ht="38.25" x14ac:dyDescent="0.25">
      <c r="A4250" s="4" t="s">
        <v>7013</v>
      </c>
      <c r="B4250" s="4" t="s">
        <v>183</v>
      </c>
      <c r="C4250" s="37" t="s">
        <v>6720</v>
      </c>
      <c r="D4250" s="35">
        <v>8932</v>
      </c>
      <c r="E4250" s="4" t="s">
        <v>7014</v>
      </c>
      <c r="F4250" s="5">
        <v>40821</v>
      </c>
      <c r="H4250" s="4" t="s">
        <v>40</v>
      </c>
      <c r="I4250" s="6">
        <v>90000</v>
      </c>
      <c r="J4250" s="6">
        <v>50000</v>
      </c>
      <c r="K4250" s="37" t="s">
        <v>6720</v>
      </c>
      <c r="L4250" s="119"/>
      <c r="M4250" s="3"/>
    </row>
    <row r="4251" spans="1:13" s="4" customFormat="1" ht="38.25" x14ac:dyDescent="0.25">
      <c r="A4251" s="4" t="s">
        <v>7015</v>
      </c>
      <c r="B4251" s="4" t="s">
        <v>183</v>
      </c>
      <c r="C4251" s="37" t="s">
        <v>6720</v>
      </c>
      <c r="D4251" s="35">
        <v>8936</v>
      </c>
      <c r="E4251" s="4" t="s">
        <v>7016</v>
      </c>
      <c r="F4251" s="5">
        <v>40602</v>
      </c>
      <c r="H4251" s="4" t="s">
        <v>40</v>
      </c>
      <c r="I4251" s="6">
        <v>12586</v>
      </c>
      <c r="J4251" s="6">
        <v>8168</v>
      </c>
      <c r="K4251" s="37" t="s">
        <v>6720</v>
      </c>
      <c r="L4251" s="119"/>
      <c r="M4251" s="3"/>
    </row>
    <row r="4252" spans="1:13" s="4" customFormat="1" ht="51" x14ac:dyDescent="0.25">
      <c r="A4252" s="4" t="s">
        <v>7017</v>
      </c>
      <c r="B4252" s="4" t="s">
        <v>183</v>
      </c>
      <c r="C4252" s="37" t="s">
        <v>6720</v>
      </c>
      <c r="D4252" s="35">
        <v>8939</v>
      </c>
      <c r="E4252" s="4" t="s">
        <v>7018</v>
      </c>
      <c r="F4252" s="5">
        <v>40821</v>
      </c>
      <c r="H4252" s="4" t="s">
        <v>40</v>
      </c>
      <c r="I4252" s="6">
        <v>10000</v>
      </c>
      <c r="J4252" s="6">
        <v>10000</v>
      </c>
      <c r="K4252" s="37" t="s">
        <v>6720</v>
      </c>
      <c r="L4252" s="119"/>
      <c r="M4252" s="3"/>
    </row>
    <row r="4253" spans="1:13" s="4" customFormat="1" ht="38.25" x14ac:dyDescent="0.25">
      <c r="A4253" s="4" t="s">
        <v>6967</v>
      </c>
      <c r="B4253" s="4" t="s">
        <v>183</v>
      </c>
      <c r="C4253" s="37" t="s">
        <v>6720</v>
      </c>
      <c r="D4253" s="35">
        <v>8941</v>
      </c>
      <c r="E4253" s="4" t="s">
        <v>7019</v>
      </c>
      <c r="F4253" s="5">
        <v>40602</v>
      </c>
      <c r="H4253" s="4" t="s">
        <v>40</v>
      </c>
      <c r="I4253" s="6">
        <v>4000</v>
      </c>
      <c r="J4253" s="6">
        <v>4000</v>
      </c>
      <c r="K4253" s="37" t="s">
        <v>6720</v>
      </c>
      <c r="L4253" s="119"/>
      <c r="M4253" s="3"/>
    </row>
    <row r="4254" spans="1:13" s="4" customFormat="1" ht="38.25" x14ac:dyDescent="0.25">
      <c r="A4254" s="4" t="s">
        <v>7020</v>
      </c>
      <c r="B4254" s="4" t="s">
        <v>183</v>
      </c>
      <c r="C4254" s="37" t="s">
        <v>6720</v>
      </c>
      <c r="D4254" s="35">
        <v>8942</v>
      </c>
      <c r="E4254" s="4" t="s">
        <v>7021</v>
      </c>
      <c r="F4254" s="5">
        <v>40601</v>
      </c>
      <c r="H4254" s="4" t="s">
        <v>40</v>
      </c>
      <c r="I4254" s="6">
        <v>10112</v>
      </c>
      <c r="J4254" s="6">
        <v>5056</v>
      </c>
      <c r="K4254" s="37" t="s">
        <v>6720</v>
      </c>
      <c r="L4254" s="119"/>
      <c r="M4254" s="3"/>
    </row>
    <row r="4255" spans="1:13" s="4" customFormat="1" ht="25.5" x14ac:dyDescent="0.25">
      <c r="A4255" s="4" t="s">
        <v>7022</v>
      </c>
      <c r="B4255" s="4" t="s">
        <v>90</v>
      </c>
      <c r="C4255" s="37" t="s">
        <v>6720</v>
      </c>
      <c r="D4255" s="35">
        <v>8943</v>
      </c>
      <c r="E4255" s="4" t="s">
        <v>7023</v>
      </c>
      <c r="F4255" s="5">
        <v>40357</v>
      </c>
      <c r="H4255" s="4" t="s">
        <v>40</v>
      </c>
      <c r="I4255" s="6">
        <v>14000</v>
      </c>
      <c r="J4255" s="6">
        <v>7000</v>
      </c>
      <c r="K4255" s="37" t="s">
        <v>6720</v>
      </c>
      <c r="L4255" s="119"/>
      <c r="M4255" s="3"/>
    </row>
    <row r="4256" spans="1:13" s="4" customFormat="1" ht="38.25" x14ac:dyDescent="0.25">
      <c r="A4256" s="4" t="s">
        <v>7024</v>
      </c>
      <c r="B4256" s="4" t="s">
        <v>90</v>
      </c>
      <c r="C4256" s="37" t="s">
        <v>6720</v>
      </c>
      <c r="D4256" s="35">
        <v>8944</v>
      </c>
      <c r="E4256" s="4" t="s">
        <v>7025</v>
      </c>
      <c r="F4256" s="5">
        <v>40595</v>
      </c>
      <c r="H4256" s="4" t="s">
        <v>40</v>
      </c>
      <c r="I4256" s="6">
        <v>1144.83</v>
      </c>
      <c r="J4256" s="6">
        <v>332</v>
      </c>
      <c r="K4256" s="37" t="s">
        <v>6720</v>
      </c>
      <c r="L4256" s="119"/>
      <c r="M4256" s="3"/>
    </row>
    <row r="4257" spans="1:13" s="4" customFormat="1" ht="38.25" x14ac:dyDescent="0.25">
      <c r="A4257" s="4" t="s">
        <v>7026</v>
      </c>
      <c r="B4257" s="4" t="s">
        <v>183</v>
      </c>
      <c r="C4257" s="37" t="s">
        <v>6720</v>
      </c>
      <c r="D4257" s="35">
        <v>8945</v>
      </c>
      <c r="E4257" s="4" t="s">
        <v>7027</v>
      </c>
      <c r="F4257" s="5">
        <v>40449</v>
      </c>
      <c r="H4257" s="4" t="s">
        <v>40</v>
      </c>
      <c r="I4257" s="6">
        <v>7500</v>
      </c>
      <c r="J4257" s="6">
        <v>7500</v>
      </c>
      <c r="K4257" s="37" t="s">
        <v>6720</v>
      </c>
      <c r="L4257" s="119"/>
      <c r="M4257" s="3"/>
    </row>
    <row r="4258" spans="1:13" s="4" customFormat="1" ht="38.25" x14ac:dyDescent="0.25">
      <c r="A4258" s="4" t="s">
        <v>7028</v>
      </c>
      <c r="B4258" s="4" t="s">
        <v>90</v>
      </c>
      <c r="C4258" s="37" t="s">
        <v>6720</v>
      </c>
      <c r="D4258" s="35">
        <v>8946</v>
      </c>
      <c r="E4258" s="4" t="s">
        <v>7029</v>
      </c>
      <c r="F4258" s="5">
        <v>40601</v>
      </c>
      <c r="H4258" s="4" t="s">
        <v>40</v>
      </c>
      <c r="I4258" s="6">
        <v>12833.99</v>
      </c>
      <c r="J4258" s="6">
        <v>6417</v>
      </c>
      <c r="K4258" s="37" t="s">
        <v>6720</v>
      </c>
      <c r="L4258" s="119"/>
      <c r="M4258" s="3"/>
    </row>
    <row r="4259" spans="1:13" s="4" customFormat="1" ht="38.25" x14ac:dyDescent="0.25">
      <c r="A4259" s="4" t="s">
        <v>7030</v>
      </c>
      <c r="B4259" s="4" t="s">
        <v>190</v>
      </c>
      <c r="C4259" s="37" t="s">
        <v>6720</v>
      </c>
      <c r="D4259" s="35">
        <v>8949</v>
      </c>
      <c r="E4259" s="4" t="s">
        <v>7031</v>
      </c>
      <c r="F4259" s="5">
        <v>40527</v>
      </c>
      <c r="H4259" s="4" t="s">
        <v>40</v>
      </c>
      <c r="I4259" s="6">
        <v>50000</v>
      </c>
      <c r="J4259" s="6">
        <v>50000</v>
      </c>
      <c r="K4259" s="37" t="s">
        <v>6720</v>
      </c>
      <c r="L4259" s="119"/>
      <c r="M4259" s="3"/>
    </row>
    <row r="4260" spans="1:13" s="4" customFormat="1" ht="38.25" x14ac:dyDescent="0.25">
      <c r="A4260" s="4" t="s">
        <v>7032</v>
      </c>
      <c r="B4260" s="4" t="s">
        <v>183</v>
      </c>
      <c r="C4260" s="37" t="s">
        <v>6720</v>
      </c>
      <c r="D4260" s="35">
        <v>8952</v>
      </c>
      <c r="E4260" s="4" t="s">
        <v>7033</v>
      </c>
      <c r="F4260" s="5">
        <v>40525</v>
      </c>
      <c r="H4260" s="4" t="s">
        <v>40</v>
      </c>
      <c r="I4260" s="6">
        <v>20427.77</v>
      </c>
      <c r="J4260" s="6">
        <v>5924</v>
      </c>
      <c r="K4260" s="37" t="s">
        <v>6720</v>
      </c>
      <c r="L4260" s="119"/>
      <c r="M4260" s="3"/>
    </row>
    <row r="4261" spans="1:13" s="4" customFormat="1" ht="38.25" x14ac:dyDescent="0.25">
      <c r="A4261" s="4" t="s">
        <v>7034</v>
      </c>
      <c r="B4261" s="4" t="s">
        <v>183</v>
      </c>
      <c r="C4261" s="37" t="s">
        <v>6720</v>
      </c>
      <c r="D4261" s="35">
        <v>8954</v>
      </c>
      <c r="E4261" s="4" t="s">
        <v>7035</v>
      </c>
      <c r="F4261" s="5">
        <v>40602</v>
      </c>
      <c r="H4261" s="4" t="s">
        <v>40</v>
      </c>
      <c r="I4261" s="6">
        <v>15426</v>
      </c>
      <c r="J4261" s="6">
        <v>7713</v>
      </c>
      <c r="K4261" s="37" t="s">
        <v>6720</v>
      </c>
      <c r="L4261" s="119"/>
      <c r="M4261" s="3"/>
    </row>
    <row r="4262" spans="1:13" s="4" customFormat="1" ht="51" x14ac:dyDescent="0.25">
      <c r="A4262" s="4" t="s">
        <v>7036</v>
      </c>
      <c r="B4262" s="4" t="s">
        <v>183</v>
      </c>
      <c r="C4262" s="37" t="s">
        <v>6720</v>
      </c>
      <c r="D4262" s="35">
        <v>8955</v>
      </c>
      <c r="E4262" s="4" t="s">
        <v>7037</v>
      </c>
      <c r="F4262" s="5">
        <v>40602</v>
      </c>
      <c r="H4262" s="4" t="s">
        <v>40</v>
      </c>
      <c r="I4262" s="6">
        <v>7000</v>
      </c>
      <c r="J4262" s="6">
        <v>7000</v>
      </c>
      <c r="K4262" s="37" t="s">
        <v>6720</v>
      </c>
      <c r="L4262" s="119"/>
      <c r="M4262" s="3"/>
    </row>
    <row r="4263" spans="1:13" s="4" customFormat="1" ht="38.25" x14ac:dyDescent="0.25">
      <c r="A4263" s="4" t="s">
        <v>7038</v>
      </c>
      <c r="B4263" s="4" t="s">
        <v>183</v>
      </c>
      <c r="C4263" s="37" t="s">
        <v>6720</v>
      </c>
      <c r="D4263" s="35">
        <v>8956</v>
      </c>
      <c r="E4263" s="4" t="s">
        <v>7039</v>
      </c>
      <c r="F4263" s="5">
        <v>40721</v>
      </c>
      <c r="H4263" s="4" t="s">
        <v>40</v>
      </c>
      <c r="I4263" s="6">
        <v>36000</v>
      </c>
      <c r="J4263" s="6">
        <v>36000</v>
      </c>
      <c r="K4263" s="37" t="s">
        <v>6720</v>
      </c>
      <c r="L4263" s="119"/>
      <c r="M4263" s="3"/>
    </row>
    <row r="4264" spans="1:13" s="4" customFormat="1" ht="25.5" x14ac:dyDescent="0.25">
      <c r="A4264" s="4" t="s">
        <v>7040</v>
      </c>
      <c r="B4264" s="4" t="s">
        <v>183</v>
      </c>
      <c r="C4264" s="37" t="s">
        <v>6720</v>
      </c>
      <c r="D4264" s="35">
        <v>8957</v>
      </c>
      <c r="E4264" s="4" t="s">
        <v>7041</v>
      </c>
      <c r="F4264" s="5">
        <v>40885</v>
      </c>
      <c r="H4264" s="4" t="s">
        <v>40</v>
      </c>
      <c r="I4264" s="6">
        <v>10000</v>
      </c>
      <c r="J4264" s="6">
        <v>10000</v>
      </c>
      <c r="K4264" s="37" t="s">
        <v>6720</v>
      </c>
      <c r="L4264" s="119"/>
      <c r="M4264" s="3"/>
    </row>
    <row r="4265" spans="1:13" s="4" customFormat="1" ht="63.75" x14ac:dyDescent="0.25">
      <c r="A4265" s="4" t="s">
        <v>7042</v>
      </c>
      <c r="B4265" s="4" t="s">
        <v>183</v>
      </c>
      <c r="C4265" s="37" t="s">
        <v>6720</v>
      </c>
      <c r="D4265" s="35">
        <v>8958</v>
      </c>
      <c r="E4265" s="4" t="s">
        <v>7043</v>
      </c>
      <c r="F4265" s="5">
        <v>40885</v>
      </c>
      <c r="H4265" s="4" t="s">
        <v>40</v>
      </c>
      <c r="I4265" s="6">
        <v>32004</v>
      </c>
      <c r="J4265" s="6">
        <f>4188+13064</f>
        <v>17252</v>
      </c>
      <c r="K4265" s="37" t="s">
        <v>6720</v>
      </c>
      <c r="L4265" s="119"/>
      <c r="M4265" s="3"/>
    </row>
    <row r="4266" spans="1:13" s="4" customFormat="1" ht="38.25" x14ac:dyDescent="0.25">
      <c r="A4266" s="4" t="s">
        <v>7044</v>
      </c>
      <c r="B4266" s="4" t="s">
        <v>90</v>
      </c>
      <c r="C4266" s="37" t="s">
        <v>6720</v>
      </c>
      <c r="D4266" s="35">
        <v>8959</v>
      </c>
      <c r="E4266" s="4" t="s">
        <v>7045</v>
      </c>
      <c r="F4266" s="5">
        <v>40721</v>
      </c>
      <c r="H4266" s="4" t="s">
        <v>40</v>
      </c>
      <c r="I4266" s="6">
        <v>3184</v>
      </c>
      <c r="J4266" s="6">
        <v>1592</v>
      </c>
      <c r="K4266" s="37" t="s">
        <v>6720</v>
      </c>
      <c r="L4266" s="119"/>
      <c r="M4266" s="3"/>
    </row>
    <row r="4267" spans="1:13" s="4" customFormat="1" ht="25.5" x14ac:dyDescent="0.25">
      <c r="A4267" s="4" t="s">
        <v>7046</v>
      </c>
      <c r="B4267" s="4" t="s">
        <v>183</v>
      </c>
      <c r="C4267" s="37" t="s">
        <v>6720</v>
      </c>
      <c r="D4267" s="35">
        <v>8961</v>
      </c>
      <c r="E4267" s="4" t="s">
        <v>7047</v>
      </c>
      <c r="F4267" s="5">
        <v>40841</v>
      </c>
      <c r="H4267" s="4" t="s">
        <v>40</v>
      </c>
      <c r="I4267" s="6">
        <v>25000</v>
      </c>
      <c r="J4267" s="6">
        <v>25000</v>
      </c>
      <c r="K4267" s="37" t="s">
        <v>6720</v>
      </c>
      <c r="L4267" s="119"/>
      <c r="M4267" s="3"/>
    </row>
    <row r="4268" spans="1:13" s="4" customFormat="1" ht="38.25" x14ac:dyDescent="0.25">
      <c r="A4268" s="4" t="s">
        <v>7048</v>
      </c>
      <c r="B4268" s="4" t="s">
        <v>183</v>
      </c>
      <c r="C4268" s="37" t="s">
        <v>6720</v>
      </c>
      <c r="D4268" s="35">
        <v>8962</v>
      </c>
      <c r="E4268" s="4" t="s">
        <v>7049</v>
      </c>
      <c r="F4268" s="5">
        <v>40504</v>
      </c>
      <c r="H4268" s="4" t="s">
        <v>40</v>
      </c>
      <c r="I4268" s="6">
        <v>7500</v>
      </c>
      <c r="J4268" s="6">
        <v>7500</v>
      </c>
      <c r="K4268" s="37" t="s">
        <v>6720</v>
      </c>
      <c r="L4268" s="119"/>
      <c r="M4268" s="3"/>
    </row>
    <row r="4269" spans="1:13" s="4" customFormat="1" ht="25.5" x14ac:dyDescent="0.25">
      <c r="A4269" s="4" t="s">
        <v>7052</v>
      </c>
      <c r="B4269" s="4" t="s">
        <v>183</v>
      </c>
      <c r="C4269" s="37" t="s">
        <v>6720</v>
      </c>
      <c r="D4269" s="35">
        <v>8964</v>
      </c>
      <c r="E4269" s="4" t="s">
        <v>7053</v>
      </c>
      <c r="F4269" s="5">
        <v>40504</v>
      </c>
      <c r="H4269" s="4" t="s">
        <v>40</v>
      </c>
      <c r="I4269" s="6">
        <f>10000-1250</f>
        <v>8750</v>
      </c>
      <c r="J4269" s="6">
        <f>10000-1250</f>
        <v>8750</v>
      </c>
      <c r="K4269" s="37" t="s">
        <v>6720</v>
      </c>
      <c r="L4269" s="119"/>
      <c r="M4269" s="3"/>
    </row>
    <row r="4270" spans="1:13" s="4" customFormat="1" ht="25.5" x14ac:dyDescent="0.25">
      <c r="A4270" s="4" t="s">
        <v>7054</v>
      </c>
      <c r="B4270" s="4" t="s">
        <v>38</v>
      </c>
      <c r="C4270" s="37" t="s">
        <v>6720</v>
      </c>
      <c r="D4270" s="35">
        <v>8988</v>
      </c>
      <c r="E4270" s="4" t="s">
        <v>7055</v>
      </c>
      <c r="F4270" s="5">
        <v>40544</v>
      </c>
      <c r="H4270" s="4" t="s">
        <v>40</v>
      </c>
      <c r="I4270" s="6">
        <v>1432.45</v>
      </c>
      <c r="J4270" s="6">
        <v>1432.45</v>
      </c>
      <c r="K4270" s="37" t="s">
        <v>6720</v>
      </c>
      <c r="L4270" s="119"/>
      <c r="M4270" s="3"/>
    </row>
    <row r="4271" spans="1:13" s="4" customFormat="1" ht="25.5" x14ac:dyDescent="0.25">
      <c r="A4271" s="4" t="s">
        <v>7056</v>
      </c>
      <c r="B4271" s="4" t="s">
        <v>38</v>
      </c>
      <c r="C4271" s="37" t="s">
        <v>6720</v>
      </c>
      <c r="D4271" s="35">
        <v>8993</v>
      </c>
      <c r="E4271" s="4" t="s">
        <v>7057</v>
      </c>
      <c r="F4271" s="5">
        <v>40544</v>
      </c>
      <c r="H4271" s="4" t="s">
        <v>40</v>
      </c>
      <c r="I4271" s="6">
        <v>300</v>
      </c>
      <c r="J4271" s="6">
        <v>300</v>
      </c>
      <c r="K4271" s="37" t="s">
        <v>6720</v>
      </c>
      <c r="L4271" s="119"/>
      <c r="M4271" s="3"/>
    </row>
    <row r="4272" spans="1:13" s="4" customFormat="1" ht="25.5" x14ac:dyDescent="0.25">
      <c r="A4272" s="4" t="s">
        <v>7058</v>
      </c>
      <c r="B4272" s="4" t="s">
        <v>38</v>
      </c>
      <c r="C4272" s="37" t="s">
        <v>6720</v>
      </c>
      <c r="D4272" s="35">
        <v>8996</v>
      </c>
      <c r="E4272" s="4" t="s">
        <v>7059</v>
      </c>
      <c r="F4272" s="5">
        <v>40544</v>
      </c>
      <c r="H4272" s="4" t="s">
        <v>40</v>
      </c>
      <c r="I4272" s="6">
        <v>1463.8</v>
      </c>
      <c r="J4272" s="6">
        <v>1463.8</v>
      </c>
      <c r="K4272" s="37" t="s">
        <v>6720</v>
      </c>
      <c r="L4272" s="119"/>
      <c r="M4272" s="3"/>
    </row>
    <row r="4273" spans="1:13" s="4" customFormat="1" ht="38.25" x14ac:dyDescent="0.25">
      <c r="A4273" s="4" t="s">
        <v>7060</v>
      </c>
      <c r="B4273" s="4" t="s">
        <v>38</v>
      </c>
      <c r="C4273" s="37" t="s">
        <v>6720</v>
      </c>
      <c r="D4273" s="35">
        <v>8998</v>
      </c>
      <c r="E4273" s="4" t="s">
        <v>7061</v>
      </c>
      <c r="F4273" s="5">
        <v>40544</v>
      </c>
      <c r="H4273" s="4" t="s">
        <v>40</v>
      </c>
      <c r="I4273" s="6">
        <v>88850</v>
      </c>
      <c r="J4273" s="6">
        <f>53750+35100</f>
        <v>88850</v>
      </c>
      <c r="K4273" s="37" t="s">
        <v>6720</v>
      </c>
      <c r="L4273" s="119"/>
      <c r="M4273" s="3"/>
    </row>
    <row r="4274" spans="1:13" s="4" customFormat="1" ht="25.5" x14ac:dyDescent="0.25">
      <c r="A4274" s="4" t="s">
        <v>7062</v>
      </c>
      <c r="B4274" s="4" t="s">
        <v>38</v>
      </c>
      <c r="C4274" s="37" t="s">
        <v>6720</v>
      </c>
      <c r="D4274" s="35">
        <v>9001</v>
      </c>
      <c r="E4274" s="4" t="s">
        <v>7063</v>
      </c>
      <c r="F4274" s="5">
        <v>40544</v>
      </c>
      <c r="H4274" s="4" t="s">
        <v>40</v>
      </c>
      <c r="I4274" s="6">
        <v>398</v>
      </c>
      <c r="J4274" s="6">
        <v>398</v>
      </c>
      <c r="K4274" s="37" t="s">
        <v>6720</v>
      </c>
      <c r="L4274" s="119"/>
      <c r="M4274" s="3"/>
    </row>
    <row r="4275" spans="1:13" s="4" customFormat="1" ht="38.25" x14ac:dyDescent="0.25">
      <c r="A4275" s="4" t="s">
        <v>7064</v>
      </c>
      <c r="B4275" s="4" t="s">
        <v>90</v>
      </c>
      <c r="C4275" s="37" t="s">
        <v>6720</v>
      </c>
      <c r="D4275" s="35">
        <v>9068</v>
      </c>
      <c r="E4275" s="4" t="s">
        <v>7065</v>
      </c>
      <c r="F4275" s="5">
        <v>40448</v>
      </c>
      <c r="H4275" s="4" t="s">
        <v>40</v>
      </c>
      <c r="I4275" s="6">
        <v>10000</v>
      </c>
      <c r="J4275" s="6">
        <v>5000</v>
      </c>
      <c r="K4275" s="37" t="s">
        <v>6720</v>
      </c>
      <c r="L4275" s="119"/>
      <c r="M4275" s="3"/>
    </row>
    <row r="4276" spans="1:13" s="4" customFormat="1" ht="25.5" x14ac:dyDescent="0.25">
      <c r="A4276" s="4" t="s">
        <v>7066</v>
      </c>
      <c r="B4276" s="4" t="s">
        <v>38</v>
      </c>
      <c r="C4276" s="37" t="s">
        <v>6720</v>
      </c>
      <c r="D4276" s="35">
        <v>9180</v>
      </c>
      <c r="E4276" s="4" t="s">
        <v>7067</v>
      </c>
      <c r="F4276" s="5">
        <v>40544</v>
      </c>
      <c r="H4276" s="4" t="s">
        <v>40</v>
      </c>
      <c r="I4276" s="6">
        <f>13600+29912.64+26672.62</f>
        <v>70185.259999999995</v>
      </c>
      <c r="J4276" s="6">
        <f>20136.31+14956.32</f>
        <v>35092.630000000005</v>
      </c>
      <c r="K4276" s="37" t="s">
        <v>6720</v>
      </c>
      <c r="L4276" s="119"/>
      <c r="M4276" s="3"/>
    </row>
    <row r="4277" spans="1:13" s="4" customFormat="1" ht="76.5" x14ac:dyDescent="0.25">
      <c r="A4277" s="4" t="s">
        <v>7068</v>
      </c>
      <c r="B4277" s="4" t="s">
        <v>183</v>
      </c>
      <c r="C4277" s="37" t="s">
        <v>6720</v>
      </c>
      <c r="D4277" s="35">
        <v>10881</v>
      </c>
      <c r="E4277" s="7" t="s">
        <v>7069</v>
      </c>
      <c r="F4277" s="5">
        <v>41148</v>
      </c>
      <c r="H4277" s="4" t="s">
        <v>40</v>
      </c>
      <c r="I4277" s="6">
        <v>20000</v>
      </c>
      <c r="J4277" s="6">
        <f>5000+15000</f>
        <v>20000</v>
      </c>
      <c r="K4277" s="37" t="s">
        <v>6720</v>
      </c>
      <c r="L4277" s="119"/>
      <c r="M4277" s="3"/>
    </row>
    <row r="4278" spans="1:13" s="4" customFormat="1" ht="89.25" x14ac:dyDescent="0.25">
      <c r="A4278" s="4" t="s">
        <v>7070</v>
      </c>
      <c r="B4278" s="4" t="s">
        <v>183</v>
      </c>
      <c r="C4278" s="37" t="s">
        <v>6720</v>
      </c>
      <c r="D4278" s="35">
        <v>10882</v>
      </c>
      <c r="E4278" s="7" t="s">
        <v>7071</v>
      </c>
      <c r="F4278" s="5">
        <v>41148</v>
      </c>
      <c r="H4278" s="4" t="s">
        <v>40</v>
      </c>
      <c r="I4278" s="6">
        <v>10000</v>
      </c>
      <c r="J4278" s="6">
        <v>10000</v>
      </c>
      <c r="K4278" s="37" t="s">
        <v>6720</v>
      </c>
      <c r="L4278" s="119"/>
      <c r="M4278" s="3"/>
    </row>
    <row r="4279" spans="1:13" s="4" customFormat="1" ht="25.5" x14ac:dyDescent="0.25">
      <c r="A4279" s="4" t="s">
        <v>7074</v>
      </c>
      <c r="B4279" s="4" t="s">
        <v>190</v>
      </c>
      <c r="C4279" s="37" t="s">
        <v>6720</v>
      </c>
      <c r="D4279" s="35">
        <v>10891</v>
      </c>
      <c r="E4279" s="4" t="s">
        <v>7075</v>
      </c>
      <c r="F4279" s="5">
        <v>40959</v>
      </c>
      <c r="H4279" s="4" t="s">
        <v>40</v>
      </c>
      <c r="I4279" s="6">
        <v>3000</v>
      </c>
      <c r="J4279" s="6">
        <v>3000</v>
      </c>
      <c r="K4279" s="37" t="s">
        <v>6720</v>
      </c>
      <c r="L4279" s="119"/>
      <c r="M4279" s="3"/>
    </row>
    <row r="4280" spans="1:13" s="4" customFormat="1" ht="38.25" x14ac:dyDescent="0.25">
      <c r="A4280" s="4" t="s">
        <v>7076</v>
      </c>
      <c r="B4280" s="4" t="s">
        <v>183</v>
      </c>
      <c r="C4280" s="37" t="s">
        <v>6720</v>
      </c>
      <c r="D4280" s="35">
        <v>10892</v>
      </c>
      <c r="E4280" s="4" t="s">
        <v>7077</v>
      </c>
      <c r="F4280" s="5">
        <v>40959</v>
      </c>
      <c r="H4280" s="4" t="s">
        <v>40</v>
      </c>
      <c r="I4280" s="6">
        <v>8000</v>
      </c>
      <c r="J4280" s="6">
        <v>8000</v>
      </c>
      <c r="K4280" s="37" t="s">
        <v>6720</v>
      </c>
      <c r="L4280" s="119"/>
      <c r="M4280" s="3"/>
    </row>
    <row r="4281" spans="1:13" s="4" customFormat="1" ht="63.75" x14ac:dyDescent="0.25">
      <c r="A4281" s="4" t="s">
        <v>7078</v>
      </c>
      <c r="B4281" s="4" t="s">
        <v>183</v>
      </c>
      <c r="C4281" s="37" t="s">
        <v>6720</v>
      </c>
      <c r="D4281" s="35">
        <v>10893</v>
      </c>
      <c r="E4281" s="4" t="s">
        <v>7079</v>
      </c>
      <c r="F4281" s="5">
        <v>41120</v>
      </c>
      <c r="H4281" s="4" t="s">
        <v>40</v>
      </c>
      <c r="I4281" s="6">
        <v>15000</v>
      </c>
      <c r="J4281" s="6">
        <v>15000</v>
      </c>
      <c r="K4281" s="37" t="s">
        <v>6720</v>
      </c>
      <c r="L4281" s="119"/>
      <c r="M4281" s="3"/>
    </row>
    <row r="4282" spans="1:13" s="4" customFormat="1" ht="38.25" x14ac:dyDescent="0.25">
      <c r="A4282" s="4" t="s">
        <v>7080</v>
      </c>
      <c r="B4282" s="4" t="s">
        <v>90</v>
      </c>
      <c r="C4282" s="37" t="s">
        <v>6720</v>
      </c>
      <c r="D4282" s="35">
        <v>10894</v>
      </c>
      <c r="E4282" s="4" t="s">
        <v>7081</v>
      </c>
      <c r="F4282" s="5">
        <v>41022</v>
      </c>
      <c r="H4282" s="4" t="s">
        <v>40</v>
      </c>
      <c r="I4282" s="6">
        <v>4686</v>
      </c>
      <c r="J4282" s="6">
        <v>2343</v>
      </c>
      <c r="K4282" s="37" t="s">
        <v>6720</v>
      </c>
      <c r="L4282" s="119"/>
      <c r="M4282" s="3"/>
    </row>
    <row r="4283" spans="1:13" s="4" customFormat="1" ht="38.25" x14ac:dyDescent="0.25">
      <c r="A4283" s="4" t="s">
        <v>7082</v>
      </c>
      <c r="B4283" s="4" t="s">
        <v>90</v>
      </c>
      <c r="C4283" s="37" t="s">
        <v>6720</v>
      </c>
      <c r="D4283" s="35">
        <v>10895</v>
      </c>
      <c r="E4283" s="4" t="s">
        <v>7083</v>
      </c>
      <c r="F4283" s="5">
        <v>41022</v>
      </c>
      <c r="H4283" s="4" t="s">
        <v>40</v>
      </c>
      <c r="I4283" s="6">
        <v>4114</v>
      </c>
      <c r="J4283" s="6">
        <v>2057</v>
      </c>
      <c r="K4283" s="37" t="s">
        <v>6720</v>
      </c>
      <c r="L4283" s="119"/>
      <c r="M4283" s="3"/>
    </row>
    <row r="4284" spans="1:13" s="4" customFormat="1" ht="38.25" x14ac:dyDescent="0.25">
      <c r="A4284" s="4" t="s">
        <v>7030</v>
      </c>
      <c r="B4284" s="4" t="s">
        <v>190</v>
      </c>
      <c r="C4284" s="37" t="s">
        <v>6720</v>
      </c>
      <c r="D4284" s="35">
        <v>10896</v>
      </c>
      <c r="E4284" s="4" t="s">
        <v>7084</v>
      </c>
      <c r="F4284" s="5">
        <v>41178</v>
      </c>
      <c r="H4284" s="4" t="s">
        <v>40</v>
      </c>
      <c r="I4284" s="6">
        <v>30000</v>
      </c>
      <c r="J4284" s="6">
        <v>15000</v>
      </c>
      <c r="K4284" s="37" t="s">
        <v>6720</v>
      </c>
      <c r="L4284" s="119"/>
      <c r="M4284" s="3"/>
    </row>
    <row r="4285" spans="1:13" s="4" customFormat="1" ht="89.25" x14ac:dyDescent="0.25">
      <c r="A4285" s="4" t="s">
        <v>7085</v>
      </c>
      <c r="B4285" s="4" t="s">
        <v>190</v>
      </c>
      <c r="C4285" s="37" t="s">
        <v>6720</v>
      </c>
      <c r="D4285" s="35">
        <v>10897</v>
      </c>
      <c r="E4285" s="7" t="s">
        <v>7086</v>
      </c>
      <c r="F4285" s="5">
        <v>41178</v>
      </c>
      <c r="H4285" s="4" t="s">
        <v>40</v>
      </c>
      <c r="I4285" s="6">
        <v>19117</v>
      </c>
      <c r="J4285" s="6">
        <v>6500</v>
      </c>
      <c r="K4285" s="37" t="s">
        <v>6720</v>
      </c>
      <c r="L4285" s="119"/>
      <c r="M4285" s="3"/>
    </row>
    <row r="4286" spans="1:13" s="4" customFormat="1" ht="38.25" x14ac:dyDescent="0.25">
      <c r="A4286" s="4" t="s">
        <v>7087</v>
      </c>
      <c r="B4286" s="4" t="s">
        <v>183</v>
      </c>
      <c r="C4286" s="37" t="s">
        <v>6720</v>
      </c>
      <c r="D4286" s="35">
        <v>10898</v>
      </c>
      <c r="E4286" s="4" t="s">
        <v>7088</v>
      </c>
      <c r="F4286" s="5">
        <v>41022</v>
      </c>
      <c r="H4286" s="4" t="s">
        <v>40</v>
      </c>
      <c r="I4286" s="6">
        <v>6598</v>
      </c>
      <c r="J4286" s="6">
        <v>3299</v>
      </c>
      <c r="K4286" s="37" t="s">
        <v>6720</v>
      </c>
      <c r="L4286" s="119"/>
      <c r="M4286" s="3"/>
    </row>
    <row r="4287" spans="1:13" s="4" customFormat="1" ht="38.25" x14ac:dyDescent="0.25">
      <c r="A4287" s="4" t="s">
        <v>7089</v>
      </c>
      <c r="B4287" s="4" t="s">
        <v>38</v>
      </c>
      <c r="C4287" s="37" t="s">
        <v>6720</v>
      </c>
      <c r="D4287" s="35">
        <v>10899</v>
      </c>
      <c r="E4287" s="4" t="s">
        <v>7090</v>
      </c>
      <c r="F4287" s="5">
        <v>40909</v>
      </c>
      <c r="H4287" s="4" t="s">
        <v>40</v>
      </c>
      <c r="I4287" s="6">
        <v>11335.63</v>
      </c>
      <c r="J4287" s="6">
        <f>738+10597.63</f>
        <v>11335.63</v>
      </c>
      <c r="K4287" s="37" t="s">
        <v>6720</v>
      </c>
      <c r="L4287" s="119"/>
      <c r="M4287" s="3"/>
    </row>
    <row r="4288" spans="1:13" s="4" customFormat="1" ht="38.25" x14ac:dyDescent="0.25">
      <c r="A4288" s="4" t="s">
        <v>7091</v>
      </c>
      <c r="B4288" s="4" t="s">
        <v>38</v>
      </c>
      <c r="C4288" s="37" t="s">
        <v>6720</v>
      </c>
      <c r="D4288" s="35">
        <v>10900</v>
      </c>
      <c r="E4288" s="4" t="s">
        <v>7092</v>
      </c>
      <c r="F4288" s="5">
        <v>40909</v>
      </c>
      <c r="H4288" s="4" t="s">
        <v>40</v>
      </c>
      <c r="I4288" s="6">
        <v>1058</v>
      </c>
      <c r="J4288" s="6">
        <f>798+260</f>
        <v>1058</v>
      </c>
      <c r="K4288" s="37" t="s">
        <v>6720</v>
      </c>
      <c r="L4288" s="119"/>
      <c r="M4288" s="3"/>
    </row>
    <row r="4289" spans="1:13" s="4" customFormat="1" ht="25.5" x14ac:dyDescent="0.25">
      <c r="A4289" s="4" t="s">
        <v>7093</v>
      </c>
      <c r="B4289" s="4" t="s">
        <v>38</v>
      </c>
      <c r="C4289" s="37" t="s">
        <v>6720</v>
      </c>
      <c r="D4289" s="35">
        <v>10901</v>
      </c>
      <c r="E4289" s="4" t="s">
        <v>7094</v>
      </c>
      <c r="F4289" s="5">
        <v>40909</v>
      </c>
      <c r="H4289" s="4" t="s">
        <v>40</v>
      </c>
      <c r="I4289" s="6">
        <v>730</v>
      </c>
      <c r="J4289" s="6">
        <v>730</v>
      </c>
      <c r="K4289" s="37" t="s">
        <v>6720</v>
      </c>
      <c r="L4289" s="119"/>
      <c r="M4289" s="3"/>
    </row>
    <row r="4290" spans="1:13" s="4" customFormat="1" ht="25.5" x14ac:dyDescent="0.25">
      <c r="A4290" s="4" t="s">
        <v>7095</v>
      </c>
      <c r="B4290" s="4" t="s">
        <v>38</v>
      </c>
      <c r="C4290" s="37" t="s">
        <v>6720</v>
      </c>
      <c r="D4290" s="35">
        <v>10902</v>
      </c>
      <c r="E4290" s="4" t="s">
        <v>7096</v>
      </c>
      <c r="F4290" s="5">
        <v>40909</v>
      </c>
      <c r="H4290" s="4" t="s">
        <v>40</v>
      </c>
      <c r="I4290" s="6">
        <v>540</v>
      </c>
      <c r="J4290" s="6">
        <v>540</v>
      </c>
      <c r="K4290" s="37" t="s">
        <v>6720</v>
      </c>
      <c r="L4290" s="119"/>
      <c r="M4290" s="3"/>
    </row>
    <row r="4291" spans="1:13" ht="51" x14ac:dyDescent="0.25">
      <c r="A4291" s="13" t="s">
        <v>11021</v>
      </c>
      <c r="B4291" s="13" t="s">
        <v>10220</v>
      </c>
      <c r="C4291" s="20" t="s">
        <v>6720</v>
      </c>
      <c r="D4291" s="19">
        <v>12374</v>
      </c>
      <c r="E4291" s="13" t="s">
        <v>11022</v>
      </c>
      <c r="F4291" s="14">
        <v>41323</v>
      </c>
      <c r="H4291" s="13" t="s">
        <v>651</v>
      </c>
      <c r="I4291" s="18">
        <v>6384</v>
      </c>
      <c r="J4291" s="18">
        <v>3192</v>
      </c>
      <c r="K4291" s="20" t="s">
        <v>6720</v>
      </c>
    </row>
    <row r="4292" spans="1:13" ht="51" x14ac:dyDescent="0.25">
      <c r="A4292" s="13" t="s">
        <v>11023</v>
      </c>
      <c r="B4292" s="13" t="s">
        <v>10220</v>
      </c>
      <c r="C4292" s="20" t="s">
        <v>6720</v>
      </c>
      <c r="D4292" s="19">
        <v>12376</v>
      </c>
      <c r="E4292" s="13" t="s">
        <v>11024</v>
      </c>
      <c r="F4292" s="14">
        <v>41323</v>
      </c>
      <c r="H4292" s="13" t="s">
        <v>651</v>
      </c>
      <c r="I4292" s="18">
        <v>10000</v>
      </c>
      <c r="J4292" s="18">
        <v>5000</v>
      </c>
      <c r="K4292" s="20" t="s">
        <v>6720</v>
      </c>
    </row>
    <row r="4293" spans="1:13" ht="63.75" x14ac:dyDescent="0.25">
      <c r="A4293" s="13" t="s">
        <v>11025</v>
      </c>
      <c r="B4293" s="13" t="s">
        <v>10192</v>
      </c>
      <c r="C4293" s="20" t="s">
        <v>6720</v>
      </c>
      <c r="D4293" s="19">
        <v>12377</v>
      </c>
      <c r="E4293" s="13" t="s">
        <v>11026</v>
      </c>
      <c r="F4293" s="14">
        <v>41568</v>
      </c>
      <c r="H4293" s="13" t="s">
        <v>651</v>
      </c>
      <c r="I4293" s="18">
        <v>5000</v>
      </c>
      <c r="J4293" s="18">
        <v>5000</v>
      </c>
      <c r="K4293" s="20" t="s">
        <v>6720</v>
      </c>
    </row>
    <row r="4294" spans="1:13" ht="38.25" x14ac:dyDescent="0.25">
      <c r="A4294" s="13" t="s">
        <v>11027</v>
      </c>
      <c r="B4294" s="13" t="s">
        <v>10220</v>
      </c>
      <c r="C4294" s="20" t="s">
        <v>6720</v>
      </c>
      <c r="D4294" s="19">
        <v>12379</v>
      </c>
      <c r="E4294" s="13" t="s">
        <v>11028</v>
      </c>
      <c r="F4294" s="14">
        <v>41208</v>
      </c>
      <c r="H4294" s="13" t="s">
        <v>651</v>
      </c>
      <c r="I4294" s="18">
        <v>7700</v>
      </c>
      <c r="J4294" s="18">
        <v>3850</v>
      </c>
      <c r="K4294" s="20" t="s">
        <v>6720</v>
      </c>
    </row>
    <row r="4295" spans="1:13" ht="38.25" x14ac:dyDescent="0.25">
      <c r="A4295" s="13" t="s">
        <v>11030</v>
      </c>
      <c r="B4295" s="13" t="s">
        <v>10195</v>
      </c>
      <c r="C4295" s="20" t="s">
        <v>6720</v>
      </c>
      <c r="D4295" s="19">
        <v>12381</v>
      </c>
      <c r="E4295" s="13" t="s">
        <v>11031</v>
      </c>
      <c r="F4295" s="14">
        <v>41323</v>
      </c>
      <c r="H4295" s="13" t="s">
        <v>651</v>
      </c>
      <c r="I4295" s="18">
        <v>10000</v>
      </c>
      <c r="J4295" s="18">
        <v>10000</v>
      </c>
      <c r="K4295" s="20" t="s">
        <v>6720</v>
      </c>
    </row>
    <row r="4296" spans="1:13" ht="38.25" x14ac:dyDescent="0.25">
      <c r="A4296" s="13" t="s">
        <v>11032</v>
      </c>
      <c r="B4296" s="13" t="s">
        <v>10192</v>
      </c>
      <c r="C4296" s="20" t="s">
        <v>6720</v>
      </c>
      <c r="D4296" s="19">
        <v>12382</v>
      </c>
      <c r="E4296" s="13" t="s">
        <v>11031</v>
      </c>
      <c r="F4296" s="14">
        <v>41618</v>
      </c>
      <c r="H4296" s="13" t="s">
        <v>651</v>
      </c>
      <c r="I4296" s="18">
        <v>10000</v>
      </c>
      <c r="J4296" s="18">
        <v>10000</v>
      </c>
      <c r="K4296" s="20" t="s">
        <v>6720</v>
      </c>
    </row>
    <row r="4297" spans="1:13" ht="51" x14ac:dyDescent="0.25">
      <c r="A4297" s="13" t="s">
        <v>11033</v>
      </c>
      <c r="B4297" s="13" t="s">
        <v>10192</v>
      </c>
      <c r="C4297" s="20" t="s">
        <v>6720</v>
      </c>
      <c r="D4297" s="19">
        <v>12383</v>
      </c>
      <c r="E4297" s="13" t="s">
        <v>11034</v>
      </c>
      <c r="F4297" s="14">
        <v>41323</v>
      </c>
      <c r="H4297" s="13" t="s">
        <v>651</v>
      </c>
      <c r="I4297" s="18">
        <v>20000</v>
      </c>
      <c r="J4297" s="18">
        <v>20000</v>
      </c>
      <c r="K4297" s="20" t="s">
        <v>6720</v>
      </c>
    </row>
    <row r="4298" spans="1:13" ht="76.5" x14ac:dyDescent="0.25">
      <c r="A4298" s="13" t="s">
        <v>11035</v>
      </c>
      <c r="B4298" s="13" t="s">
        <v>10192</v>
      </c>
      <c r="C4298" s="20" t="s">
        <v>6720</v>
      </c>
      <c r="D4298" s="19">
        <v>12384</v>
      </c>
      <c r="E4298" s="13" t="s">
        <v>11036</v>
      </c>
      <c r="F4298" s="14">
        <v>41393</v>
      </c>
      <c r="H4298" s="13" t="s">
        <v>651</v>
      </c>
      <c r="I4298" s="18">
        <v>20000</v>
      </c>
      <c r="J4298" s="18">
        <v>20000</v>
      </c>
      <c r="K4298" s="20" t="s">
        <v>6720</v>
      </c>
    </row>
    <row r="4299" spans="1:13" ht="25.5" x14ac:dyDescent="0.25">
      <c r="A4299" s="13" t="s">
        <v>11039</v>
      </c>
      <c r="B4299" s="13" t="s">
        <v>10195</v>
      </c>
      <c r="C4299" s="20" t="s">
        <v>6720</v>
      </c>
      <c r="D4299" s="19">
        <v>12443</v>
      </c>
      <c r="E4299" s="13" t="s">
        <v>11040</v>
      </c>
      <c r="F4299" s="14">
        <v>41323</v>
      </c>
      <c r="H4299" s="13" t="s">
        <v>651</v>
      </c>
      <c r="I4299" s="18">
        <v>10000</v>
      </c>
      <c r="J4299" s="18">
        <v>10000</v>
      </c>
      <c r="K4299" s="20" t="s">
        <v>6720</v>
      </c>
    </row>
    <row r="4300" spans="1:13" ht="25.5" x14ac:dyDescent="0.25">
      <c r="A4300" s="13" t="s">
        <v>11041</v>
      </c>
      <c r="B4300" s="13" t="s">
        <v>10192</v>
      </c>
      <c r="C4300" s="20" t="s">
        <v>6720</v>
      </c>
      <c r="D4300" s="19">
        <v>12444</v>
      </c>
      <c r="E4300" s="13" t="s">
        <v>11042</v>
      </c>
      <c r="F4300" s="14">
        <v>41275</v>
      </c>
      <c r="G4300" s="14">
        <v>41639</v>
      </c>
      <c r="H4300" s="13" t="s">
        <v>651</v>
      </c>
      <c r="I4300" s="18">
        <v>82924</v>
      </c>
      <c r="J4300" s="18">
        <v>41462</v>
      </c>
      <c r="K4300" s="20" t="s">
        <v>6720</v>
      </c>
    </row>
    <row r="4301" spans="1:13" ht="51" x14ac:dyDescent="0.25">
      <c r="A4301" s="13" t="s">
        <v>11043</v>
      </c>
      <c r="B4301" s="13" t="s">
        <v>13</v>
      </c>
      <c r="C4301" s="20" t="s">
        <v>6720</v>
      </c>
      <c r="D4301" s="19">
        <v>12445</v>
      </c>
      <c r="E4301" s="13" t="s">
        <v>11044</v>
      </c>
      <c r="F4301" s="14">
        <v>41323</v>
      </c>
      <c r="G4301" s="14">
        <v>41639</v>
      </c>
      <c r="H4301" s="13" t="s">
        <v>651</v>
      </c>
      <c r="I4301" s="18">
        <v>45000</v>
      </c>
      <c r="J4301" s="18">
        <v>45000</v>
      </c>
      <c r="K4301" s="20" t="s">
        <v>6720</v>
      </c>
    </row>
    <row r="4302" spans="1:13" ht="38.25" x14ac:dyDescent="0.25">
      <c r="A4302" s="13" t="s">
        <v>11045</v>
      </c>
      <c r="B4302" s="13" t="s">
        <v>10192</v>
      </c>
      <c r="C4302" s="20" t="s">
        <v>6720</v>
      </c>
      <c r="D4302" s="19">
        <v>12446</v>
      </c>
      <c r="E4302" s="13" t="s">
        <v>11046</v>
      </c>
      <c r="F4302" s="14">
        <v>41275</v>
      </c>
      <c r="H4302" s="13" t="s">
        <v>651</v>
      </c>
      <c r="I4302" s="18">
        <v>10000</v>
      </c>
      <c r="J4302" s="18">
        <v>10000</v>
      </c>
      <c r="K4302" s="20" t="s">
        <v>6720</v>
      </c>
    </row>
    <row r="4303" spans="1:13" ht="63.75" x14ac:dyDescent="0.25">
      <c r="A4303" s="13" t="s">
        <v>11047</v>
      </c>
      <c r="B4303" s="13" t="s">
        <v>10220</v>
      </c>
      <c r="C4303" s="20" t="s">
        <v>6720</v>
      </c>
      <c r="D4303" s="19">
        <v>12447</v>
      </c>
      <c r="E4303" s="13" t="s">
        <v>11048</v>
      </c>
      <c r="F4303" s="14">
        <v>41275</v>
      </c>
      <c r="G4303" s="14">
        <v>41639</v>
      </c>
      <c r="H4303" s="13" t="s">
        <v>651</v>
      </c>
      <c r="I4303" s="18">
        <v>10718</v>
      </c>
      <c r="J4303" s="18">
        <v>5359</v>
      </c>
      <c r="K4303" s="20" t="s">
        <v>6720</v>
      </c>
    </row>
    <row r="4304" spans="1:13" ht="63.75" x14ac:dyDescent="0.25">
      <c r="A4304" s="13" t="s">
        <v>11049</v>
      </c>
      <c r="B4304" s="13" t="s">
        <v>10220</v>
      </c>
      <c r="C4304" s="20" t="s">
        <v>6720</v>
      </c>
      <c r="D4304" s="19">
        <v>12448</v>
      </c>
      <c r="E4304" s="13" t="s">
        <v>11050</v>
      </c>
      <c r="F4304" s="14">
        <v>41275</v>
      </c>
      <c r="G4304" s="14">
        <v>41639</v>
      </c>
      <c r="H4304" s="13" t="s">
        <v>651</v>
      </c>
      <c r="I4304" s="18">
        <v>1720</v>
      </c>
      <c r="J4304" s="18">
        <v>860</v>
      </c>
      <c r="K4304" s="20" t="s">
        <v>6720</v>
      </c>
    </row>
    <row r="4305" spans="1:13" ht="76.5" x14ac:dyDescent="0.25">
      <c r="A4305" s="13" t="s">
        <v>11051</v>
      </c>
      <c r="B4305" s="13" t="s">
        <v>10192</v>
      </c>
      <c r="C4305" s="20" t="s">
        <v>6720</v>
      </c>
      <c r="D4305" s="19">
        <v>12449</v>
      </c>
      <c r="E4305" s="13" t="s">
        <v>11052</v>
      </c>
      <c r="F4305" s="14">
        <v>41275</v>
      </c>
      <c r="H4305" s="13" t="s">
        <v>651</v>
      </c>
      <c r="I4305" s="18">
        <v>10000</v>
      </c>
      <c r="J4305" s="18">
        <v>10000</v>
      </c>
      <c r="K4305" s="20" t="s">
        <v>6720</v>
      </c>
    </row>
    <row r="4306" spans="1:13" ht="25.5" x14ac:dyDescent="0.25">
      <c r="A4306" s="13" t="s">
        <v>11053</v>
      </c>
      <c r="B4306" s="13" t="s">
        <v>10195</v>
      </c>
      <c r="C4306" s="20" t="s">
        <v>6720</v>
      </c>
      <c r="D4306" s="19">
        <v>12450</v>
      </c>
      <c r="E4306" s="13" t="s">
        <v>11054</v>
      </c>
      <c r="F4306" s="14">
        <v>41275</v>
      </c>
      <c r="G4306" s="14">
        <v>41639</v>
      </c>
      <c r="H4306" s="13" t="s">
        <v>651</v>
      </c>
      <c r="I4306" s="18">
        <v>1244</v>
      </c>
      <c r="J4306" s="18">
        <v>622</v>
      </c>
      <c r="K4306" s="20" t="s">
        <v>6720</v>
      </c>
    </row>
    <row r="4307" spans="1:13" ht="25.5" x14ac:dyDescent="0.25">
      <c r="A4307" s="13" t="s">
        <v>11055</v>
      </c>
      <c r="B4307" s="13" t="s">
        <v>10195</v>
      </c>
      <c r="C4307" s="20" t="s">
        <v>6720</v>
      </c>
      <c r="D4307" s="19">
        <v>12458</v>
      </c>
      <c r="E4307" s="13" t="s">
        <v>11056</v>
      </c>
      <c r="F4307" s="14">
        <v>41275</v>
      </c>
      <c r="G4307" s="14">
        <v>41639</v>
      </c>
      <c r="H4307" s="13" t="s">
        <v>651</v>
      </c>
      <c r="I4307" s="18">
        <v>38302</v>
      </c>
      <c r="J4307" s="18">
        <v>13023</v>
      </c>
      <c r="K4307" s="20" t="s">
        <v>6720</v>
      </c>
    </row>
    <row r="4308" spans="1:13" ht="63.75" x14ac:dyDescent="0.25">
      <c r="A4308" s="13" t="s">
        <v>11057</v>
      </c>
      <c r="B4308" s="13" t="s">
        <v>10192</v>
      </c>
      <c r="C4308" s="20" t="s">
        <v>6720</v>
      </c>
      <c r="D4308" s="19">
        <v>12466</v>
      </c>
      <c r="E4308" s="13" t="s">
        <v>11058</v>
      </c>
      <c r="F4308" s="14">
        <v>41275</v>
      </c>
      <c r="G4308" s="14">
        <v>41639</v>
      </c>
      <c r="H4308" s="13" t="s">
        <v>651</v>
      </c>
      <c r="I4308" s="18">
        <v>10000</v>
      </c>
      <c r="J4308" s="18">
        <v>10000</v>
      </c>
      <c r="K4308" s="20" t="s">
        <v>6720</v>
      </c>
    </row>
    <row r="4309" spans="1:13" ht="76.5" x14ac:dyDescent="0.25">
      <c r="A4309" s="13" t="s">
        <v>11059</v>
      </c>
      <c r="B4309" s="13" t="s">
        <v>10220</v>
      </c>
      <c r="C4309" s="20" t="s">
        <v>6720</v>
      </c>
      <c r="D4309" s="19">
        <v>12467</v>
      </c>
      <c r="E4309" s="13" t="s">
        <v>11060</v>
      </c>
      <c r="F4309" s="14">
        <v>41275</v>
      </c>
      <c r="G4309" s="14">
        <v>41639</v>
      </c>
      <c r="H4309" s="13" t="s">
        <v>651</v>
      </c>
      <c r="I4309" s="18">
        <v>2864</v>
      </c>
      <c r="J4309" s="18">
        <v>1432</v>
      </c>
      <c r="K4309" s="20" t="s">
        <v>6720</v>
      </c>
    </row>
    <row r="4310" spans="1:13" ht="38.25" x14ac:dyDescent="0.25">
      <c r="A4310" s="13" t="s">
        <v>11061</v>
      </c>
      <c r="B4310" s="13" t="s">
        <v>10192</v>
      </c>
      <c r="C4310" s="20" t="s">
        <v>6720</v>
      </c>
      <c r="D4310" s="19">
        <v>12468</v>
      </c>
      <c r="E4310" s="13" t="s">
        <v>11062</v>
      </c>
      <c r="F4310" s="14">
        <v>41275</v>
      </c>
      <c r="G4310" s="14">
        <v>41639</v>
      </c>
      <c r="H4310" s="13" t="s">
        <v>651</v>
      </c>
      <c r="I4310" s="18">
        <v>5000</v>
      </c>
      <c r="J4310" s="18">
        <v>5000</v>
      </c>
      <c r="K4310" s="20" t="s">
        <v>6720</v>
      </c>
    </row>
    <row r="4311" spans="1:13" ht="51" x14ac:dyDescent="0.25">
      <c r="A4311" s="13" t="s">
        <v>11063</v>
      </c>
      <c r="B4311" s="13" t="s">
        <v>10192</v>
      </c>
      <c r="C4311" s="20" t="s">
        <v>6720</v>
      </c>
      <c r="D4311" s="19">
        <v>12469</v>
      </c>
      <c r="E4311" s="13" t="s">
        <v>11064</v>
      </c>
      <c r="F4311" s="14">
        <v>41275</v>
      </c>
      <c r="G4311" s="14">
        <v>41639</v>
      </c>
      <c r="H4311" s="13" t="s">
        <v>651</v>
      </c>
      <c r="I4311" s="18">
        <v>2774</v>
      </c>
      <c r="J4311" s="18">
        <v>2774</v>
      </c>
      <c r="K4311" s="20" t="s">
        <v>6720</v>
      </c>
    </row>
    <row r="4312" spans="1:13" ht="63.75" x14ac:dyDescent="0.25">
      <c r="A4312" s="13" t="s">
        <v>11065</v>
      </c>
      <c r="B4312" s="13" t="s">
        <v>10192</v>
      </c>
      <c r="C4312" s="20" t="s">
        <v>6720</v>
      </c>
      <c r="D4312" s="19">
        <v>12470</v>
      </c>
      <c r="E4312" s="13" t="s">
        <v>11066</v>
      </c>
      <c r="F4312" s="14">
        <v>41275</v>
      </c>
      <c r="G4312" s="14">
        <v>41639</v>
      </c>
      <c r="H4312" s="13" t="s">
        <v>651</v>
      </c>
      <c r="I4312" s="18">
        <v>17928</v>
      </c>
      <c r="J4312" s="18">
        <v>9714</v>
      </c>
      <c r="K4312" s="20" t="s">
        <v>6720</v>
      </c>
    </row>
    <row r="4313" spans="1:13" ht="63.75" x14ac:dyDescent="0.25">
      <c r="A4313" s="13" t="s">
        <v>11067</v>
      </c>
      <c r="B4313" s="13" t="s">
        <v>10192</v>
      </c>
      <c r="C4313" s="20" t="s">
        <v>6720</v>
      </c>
      <c r="D4313" s="19">
        <v>12471</v>
      </c>
      <c r="E4313" s="13" t="s">
        <v>11068</v>
      </c>
      <c r="F4313" s="14">
        <v>41275</v>
      </c>
      <c r="G4313" s="14">
        <v>41639</v>
      </c>
      <c r="H4313" s="13" t="s">
        <v>651</v>
      </c>
      <c r="I4313" s="18">
        <v>10000</v>
      </c>
      <c r="J4313" s="18">
        <v>10000</v>
      </c>
      <c r="K4313" s="20" t="s">
        <v>6720</v>
      </c>
    </row>
    <row r="4314" spans="1:13" ht="38.25" x14ac:dyDescent="0.25">
      <c r="A4314" s="13" t="s">
        <v>11069</v>
      </c>
      <c r="B4314" s="13" t="s">
        <v>38</v>
      </c>
      <c r="C4314" s="20" t="s">
        <v>6720</v>
      </c>
      <c r="D4314" s="19">
        <v>12482</v>
      </c>
      <c r="E4314" s="13" t="s">
        <v>11070</v>
      </c>
      <c r="F4314" s="14">
        <v>41275</v>
      </c>
      <c r="H4314" s="13" t="s">
        <v>651</v>
      </c>
      <c r="I4314" s="18">
        <v>8594.73</v>
      </c>
      <c r="J4314" s="18">
        <v>8594.7199999999993</v>
      </c>
      <c r="K4314" s="20" t="s">
        <v>6720</v>
      </c>
    </row>
    <row r="4315" spans="1:13" ht="25.5" x14ac:dyDescent="0.25">
      <c r="A4315" s="13" t="s">
        <v>11071</v>
      </c>
      <c r="B4315" s="13" t="s">
        <v>38</v>
      </c>
      <c r="C4315" s="20" t="s">
        <v>6720</v>
      </c>
      <c r="D4315" s="19">
        <v>12483</v>
      </c>
      <c r="E4315" s="13" t="s">
        <v>11072</v>
      </c>
      <c r="F4315" s="14">
        <v>41275</v>
      </c>
      <c r="H4315" s="13" t="s">
        <v>651</v>
      </c>
      <c r="I4315" s="18">
        <v>210</v>
      </c>
      <c r="J4315" s="18">
        <v>210</v>
      </c>
      <c r="K4315" s="20" t="s">
        <v>6720</v>
      </c>
    </row>
    <row r="4316" spans="1:13" ht="25.5" x14ac:dyDescent="0.25">
      <c r="A4316" s="13" t="s">
        <v>11073</v>
      </c>
      <c r="B4316" s="13" t="s">
        <v>38</v>
      </c>
      <c r="C4316" s="20" t="s">
        <v>6720</v>
      </c>
      <c r="D4316" s="19">
        <v>12484</v>
      </c>
      <c r="E4316" s="13" t="s">
        <v>11074</v>
      </c>
      <c r="F4316" s="14">
        <v>41275</v>
      </c>
      <c r="H4316" s="13" t="s">
        <v>651</v>
      </c>
      <c r="I4316" s="18">
        <v>1410</v>
      </c>
      <c r="J4316" s="18">
        <v>1410</v>
      </c>
      <c r="K4316" s="20" t="s">
        <v>6720</v>
      </c>
    </row>
    <row r="4317" spans="1:13" ht="25.5" x14ac:dyDescent="0.25">
      <c r="A4317" s="13" t="s">
        <v>11328</v>
      </c>
      <c r="B4317" s="13" t="s">
        <v>38</v>
      </c>
      <c r="C4317" s="20" t="s">
        <v>6720</v>
      </c>
      <c r="D4317" s="19">
        <v>12485</v>
      </c>
      <c r="E4317" s="13" t="s">
        <v>11329</v>
      </c>
      <c r="F4317" s="14">
        <v>41275</v>
      </c>
      <c r="H4317" s="13" t="s">
        <v>651</v>
      </c>
      <c r="I4317" s="18">
        <v>390</v>
      </c>
      <c r="J4317" s="18">
        <v>390</v>
      </c>
      <c r="K4317" s="20" t="s">
        <v>6720</v>
      </c>
    </row>
    <row r="4318" spans="1:13" s="4" customFormat="1" ht="76.5" x14ac:dyDescent="0.25">
      <c r="A4318" s="4" t="s">
        <v>7097</v>
      </c>
      <c r="B4318" s="4" t="s">
        <v>13</v>
      </c>
      <c r="C4318" s="37" t="s">
        <v>6720</v>
      </c>
      <c r="D4318" s="35">
        <v>10191</v>
      </c>
      <c r="E4318" s="4" t="s">
        <v>7098</v>
      </c>
      <c r="F4318" s="5">
        <v>40059</v>
      </c>
      <c r="G4318" s="5">
        <v>40451</v>
      </c>
      <c r="H4318" s="4" t="s">
        <v>2027</v>
      </c>
      <c r="I4318" s="6">
        <v>9633</v>
      </c>
      <c r="J4318" s="6">
        <v>9633</v>
      </c>
      <c r="K4318" s="37" t="s">
        <v>6720</v>
      </c>
      <c r="L4318" s="119"/>
      <c r="M4318" s="3"/>
    </row>
    <row r="4319" spans="1:13" s="4" customFormat="1" x14ac:dyDescent="0.25">
      <c r="C4319" s="37" t="s">
        <v>6720</v>
      </c>
      <c r="D4319" s="35"/>
      <c r="E4319" s="26" t="s">
        <v>351</v>
      </c>
      <c r="F4319" s="28"/>
      <c r="G4319" s="28"/>
      <c r="H4319" s="26"/>
      <c r="I4319" s="27">
        <f>SUM(I4104:I4114)</f>
        <v>322807.90999999992</v>
      </c>
      <c r="J4319" s="27">
        <f>SUM(J4104:J4114)</f>
        <v>90386.41</v>
      </c>
      <c r="K4319" s="37" t="s">
        <v>6720</v>
      </c>
      <c r="L4319" s="119"/>
      <c r="M4319" s="3"/>
    </row>
    <row r="4320" spans="1:13" s="4" customFormat="1" x14ac:dyDescent="0.25">
      <c r="C4320" s="37" t="s">
        <v>6720</v>
      </c>
      <c r="D4320" s="35"/>
      <c r="E4320" s="26" t="s">
        <v>786</v>
      </c>
      <c r="F4320" s="28"/>
      <c r="G4320" s="28"/>
      <c r="H4320" s="26"/>
      <c r="I4320" s="27">
        <f>SUM(I4115:I4119)</f>
        <v>1111983.0799999998</v>
      </c>
      <c r="J4320" s="27">
        <f>SUM(J4115:J4119)</f>
        <v>315517.95999999996</v>
      </c>
      <c r="K4320" s="37" t="s">
        <v>6720</v>
      </c>
      <c r="L4320" s="119"/>
      <c r="M4320" s="3"/>
    </row>
    <row r="4321" spans="1:13" s="4" customFormat="1" x14ac:dyDescent="0.25">
      <c r="C4321" s="37" t="s">
        <v>6720</v>
      </c>
      <c r="D4321" s="35"/>
      <c r="E4321" s="26" t="s">
        <v>352</v>
      </c>
      <c r="F4321" s="28"/>
      <c r="G4321" s="28"/>
      <c r="H4321" s="26"/>
      <c r="I4321" s="27">
        <f>SUM(I4120:I4317)</f>
        <v>4323863.03</v>
      </c>
      <c r="J4321" s="27">
        <f>SUM(J4120:J4317)</f>
        <v>3501004.87</v>
      </c>
      <c r="K4321" s="37" t="s">
        <v>6720</v>
      </c>
      <c r="L4321" s="119"/>
      <c r="M4321" s="3"/>
    </row>
    <row r="4322" spans="1:13" s="4" customFormat="1" x14ac:dyDescent="0.25">
      <c r="C4322" s="37" t="s">
        <v>6720</v>
      </c>
      <c r="D4322" s="35"/>
      <c r="E4322" s="26" t="s">
        <v>2028</v>
      </c>
      <c r="F4322" s="28"/>
      <c r="G4322" s="28"/>
      <c r="H4322" s="26"/>
      <c r="I4322" s="27">
        <f>SUM(I4318)</f>
        <v>9633</v>
      </c>
      <c r="J4322" s="27">
        <f>SUM(J4318)</f>
        <v>9633</v>
      </c>
      <c r="K4322" s="37" t="s">
        <v>6720</v>
      </c>
      <c r="L4322" s="119"/>
      <c r="M4322" s="3"/>
    </row>
    <row r="4323" spans="1:13" s="4" customFormat="1" x14ac:dyDescent="0.25">
      <c r="C4323" s="37" t="s">
        <v>6720</v>
      </c>
      <c r="D4323" s="35"/>
      <c r="E4323" s="26" t="s">
        <v>7099</v>
      </c>
      <c r="F4323" s="28"/>
      <c r="G4323" s="28"/>
      <c r="H4323" s="26"/>
      <c r="I4323" s="27">
        <f>SUM(I4319:I4322)</f>
        <v>5768287.0199999996</v>
      </c>
      <c r="J4323" s="27">
        <f>SUM(J4319:J4322)</f>
        <v>3916542.24</v>
      </c>
      <c r="K4323" s="37" t="s">
        <v>6720</v>
      </c>
      <c r="L4323" s="119">
        <f>J4323</f>
        <v>3916542.24</v>
      </c>
      <c r="M4323" s="3">
        <f>SUM(J4323*0.4)</f>
        <v>1566616.8960000002</v>
      </c>
    </row>
    <row r="4324" spans="1:13" s="4" customFormat="1" x14ac:dyDescent="0.25">
      <c r="C4324" s="37"/>
      <c r="D4324" s="35"/>
      <c r="F4324" s="5"/>
      <c r="G4324" s="5"/>
      <c r="I4324" s="6"/>
      <c r="J4324" s="6"/>
      <c r="K4324" s="37"/>
      <c r="L4324" s="119"/>
      <c r="M4324" s="3"/>
    </row>
    <row r="4325" spans="1:13" s="4" customFormat="1" ht="76.5" x14ac:dyDescent="0.25">
      <c r="A4325" s="4" t="s">
        <v>7100</v>
      </c>
      <c r="B4325" s="4" t="s">
        <v>13</v>
      </c>
      <c r="C4325" s="37" t="s">
        <v>7102</v>
      </c>
      <c r="D4325" s="35">
        <v>3882</v>
      </c>
      <c r="E4325" s="7" t="s">
        <v>7101</v>
      </c>
      <c r="F4325" s="5">
        <v>39415</v>
      </c>
      <c r="G4325" s="5">
        <v>39689</v>
      </c>
      <c r="H4325" s="4" t="s">
        <v>16</v>
      </c>
      <c r="I4325" s="6">
        <v>27515</v>
      </c>
      <c r="J4325" s="6">
        <v>8075</v>
      </c>
      <c r="K4325" s="37" t="s">
        <v>7102</v>
      </c>
      <c r="L4325" s="119"/>
      <c r="M4325" s="3"/>
    </row>
    <row r="4326" spans="1:13" s="4" customFormat="1" ht="25.5" x14ac:dyDescent="0.25">
      <c r="A4326" s="4" t="s">
        <v>7103</v>
      </c>
      <c r="B4326" s="4" t="s">
        <v>13</v>
      </c>
      <c r="C4326" s="37" t="s">
        <v>7102</v>
      </c>
      <c r="D4326" s="35">
        <v>3901</v>
      </c>
      <c r="E4326" s="4" t="s">
        <v>7104</v>
      </c>
      <c r="F4326" s="5">
        <v>39671</v>
      </c>
      <c r="G4326" s="5">
        <v>39962</v>
      </c>
      <c r="H4326" s="4" t="s">
        <v>16</v>
      </c>
      <c r="I4326" s="6">
        <v>22227</v>
      </c>
      <c r="J4326" s="6">
        <v>5213</v>
      </c>
      <c r="K4326" s="37" t="s">
        <v>7102</v>
      </c>
      <c r="L4326" s="119"/>
      <c r="M4326" s="3"/>
    </row>
    <row r="4327" spans="1:13" s="4" customFormat="1" ht="25.5" x14ac:dyDescent="0.25">
      <c r="A4327" s="4" t="s">
        <v>7105</v>
      </c>
      <c r="B4327" s="4" t="s">
        <v>13</v>
      </c>
      <c r="C4327" s="37" t="s">
        <v>7102</v>
      </c>
      <c r="D4327" s="35">
        <v>3913</v>
      </c>
      <c r="E4327" s="4" t="s">
        <v>7106</v>
      </c>
      <c r="F4327" s="5">
        <v>39759</v>
      </c>
      <c r="G4327" s="5">
        <v>39903</v>
      </c>
      <c r="H4327" s="4" t="s">
        <v>16</v>
      </c>
      <c r="I4327" s="6">
        <v>8520</v>
      </c>
      <c r="J4327" s="6">
        <v>2556</v>
      </c>
      <c r="K4327" s="37" t="s">
        <v>7102</v>
      </c>
      <c r="L4327" s="119"/>
      <c r="M4327" s="3"/>
    </row>
    <row r="4328" spans="1:13" s="4" customFormat="1" ht="76.5" x14ac:dyDescent="0.25">
      <c r="A4328" s="4" t="s">
        <v>7107</v>
      </c>
      <c r="B4328" s="4" t="s">
        <v>13</v>
      </c>
      <c r="C4328" s="37" t="s">
        <v>7102</v>
      </c>
      <c r="D4328" s="35">
        <v>3914</v>
      </c>
      <c r="E4328" s="7" t="s">
        <v>7108</v>
      </c>
      <c r="F4328" s="5">
        <v>39507</v>
      </c>
      <c r="G4328" s="5">
        <v>39962</v>
      </c>
      <c r="H4328" s="4" t="s">
        <v>16</v>
      </c>
      <c r="I4328" s="6">
        <v>41274</v>
      </c>
      <c r="J4328" s="6">
        <v>12382.2</v>
      </c>
      <c r="K4328" s="37" t="s">
        <v>7102</v>
      </c>
      <c r="L4328" s="119"/>
      <c r="M4328" s="3"/>
    </row>
    <row r="4329" spans="1:13" s="4" customFormat="1" ht="25.5" x14ac:dyDescent="0.25">
      <c r="A4329" s="4" t="s">
        <v>7109</v>
      </c>
      <c r="B4329" s="4" t="s">
        <v>13</v>
      </c>
      <c r="C4329" s="37" t="s">
        <v>7102</v>
      </c>
      <c r="D4329" s="35">
        <v>3915</v>
      </c>
      <c r="E4329" s="4" t="s">
        <v>7110</v>
      </c>
      <c r="F4329" s="5">
        <v>39783</v>
      </c>
      <c r="G4329" s="5">
        <v>39933</v>
      </c>
      <c r="H4329" s="4" t="s">
        <v>16</v>
      </c>
      <c r="I4329" s="6">
        <v>66851.7</v>
      </c>
      <c r="J4329" s="6">
        <v>20055.509999999998</v>
      </c>
      <c r="K4329" s="37" t="s">
        <v>7102</v>
      </c>
      <c r="L4329" s="119"/>
      <c r="M4329" s="3"/>
    </row>
    <row r="4330" spans="1:13" s="4" customFormat="1" ht="63.75" x14ac:dyDescent="0.25">
      <c r="A4330" s="4" t="s">
        <v>7111</v>
      </c>
      <c r="B4330" s="4" t="s">
        <v>13</v>
      </c>
      <c r="C4330" s="37" t="s">
        <v>7102</v>
      </c>
      <c r="D4330" s="35">
        <v>4123</v>
      </c>
      <c r="E4330" s="7" t="s">
        <v>7112</v>
      </c>
      <c r="F4330" s="5">
        <v>39580</v>
      </c>
      <c r="G4330" s="5">
        <v>39721</v>
      </c>
      <c r="H4330" s="4" t="s">
        <v>16</v>
      </c>
      <c r="I4330" s="6">
        <v>27520</v>
      </c>
      <c r="J4330" s="6">
        <v>11008</v>
      </c>
      <c r="K4330" s="37" t="s">
        <v>7102</v>
      </c>
      <c r="L4330" s="119"/>
      <c r="M4330" s="3"/>
    </row>
    <row r="4331" spans="1:13" s="4" customFormat="1" ht="25.5" x14ac:dyDescent="0.25">
      <c r="A4331" s="4" t="s">
        <v>7113</v>
      </c>
      <c r="B4331" s="4" t="s">
        <v>13</v>
      </c>
      <c r="C4331" s="37" t="s">
        <v>7102</v>
      </c>
      <c r="D4331" s="35">
        <v>9987</v>
      </c>
      <c r="E4331" s="4" t="s">
        <v>7114</v>
      </c>
      <c r="F4331" s="5">
        <v>40071</v>
      </c>
      <c r="G4331" s="5">
        <v>40364</v>
      </c>
      <c r="H4331" s="4" t="s">
        <v>16</v>
      </c>
      <c r="I4331" s="6">
        <v>18372.009999999998</v>
      </c>
      <c r="J4331" s="6">
        <v>5511.6</v>
      </c>
      <c r="K4331" s="37" t="s">
        <v>7102</v>
      </c>
      <c r="L4331" s="119"/>
      <c r="M4331" s="3"/>
    </row>
    <row r="4332" spans="1:13" s="4" customFormat="1" ht="25.5" x14ac:dyDescent="0.25">
      <c r="A4332" s="4" t="s">
        <v>7115</v>
      </c>
      <c r="B4332" s="4" t="s">
        <v>13</v>
      </c>
      <c r="C4332" s="37" t="s">
        <v>7102</v>
      </c>
      <c r="D4332" s="35">
        <v>10179</v>
      </c>
      <c r="E4332" s="4" t="s">
        <v>7116</v>
      </c>
      <c r="F4332" s="5">
        <v>40800</v>
      </c>
      <c r="G4332" s="5">
        <v>40897</v>
      </c>
      <c r="H4332" s="4" t="s">
        <v>392</v>
      </c>
      <c r="I4332" s="6">
        <v>140348</v>
      </c>
      <c r="J4332" s="6">
        <v>28070</v>
      </c>
      <c r="K4332" s="37" t="s">
        <v>7102</v>
      </c>
      <c r="L4332" s="119"/>
      <c r="M4332" s="3"/>
    </row>
    <row r="4333" spans="1:13" s="4" customFormat="1" ht="25.5" x14ac:dyDescent="0.25">
      <c r="A4333" s="4" t="s">
        <v>7117</v>
      </c>
      <c r="B4333" s="4" t="s">
        <v>50</v>
      </c>
      <c r="C4333" s="37" t="s">
        <v>7102</v>
      </c>
      <c r="D4333" s="35">
        <v>3160</v>
      </c>
      <c r="E4333" s="4" t="s">
        <v>7118</v>
      </c>
      <c r="F4333" s="5">
        <v>39189</v>
      </c>
      <c r="G4333" s="5">
        <v>39437</v>
      </c>
      <c r="H4333" s="4" t="s">
        <v>40</v>
      </c>
      <c r="I4333" s="6">
        <v>2937</v>
      </c>
      <c r="J4333" s="6">
        <v>1468</v>
      </c>
      <c r="K4333" s="37" t="s">
        <v>7102</v>
      </c>
      <c r="L4333" s="119"/>
      <c r="M4333" s="3"/>
    </row>
    <row r="4334" spans="1:13" s="4" customFormat="1" ht="38.25" x14ac:dyDescent="0.25">
      <c r="A4334" s="4" t="s">
        <v>7119</v>
      </c>
      <c r="B4334" s="4" t="s">
        <v>59</v>
      </c>
      <c r="C4334" s="37" t="s">
        <v>7102</v>
      </c>
      <c r="D4334" s="35">
        <v>3161</v>
      </c>
      <c r="E4334" s="4" t="s">
        <v>7120</v>
      </c>
      <c r="F4334" s="5">
        <v>39707</v>
      </c>
      <c r="G4334" s="5">
        <v>40009</v>
      </c>
      <c r="H4334" s="4" t="s">
        <v>40</v>
      </c>
      <c r="I4334" s="6">
        <v>7500</v>
      </c>
      <c r="J4334" s="6">
        <v>7500</v>
      </c>
      <c r="K4334" s="37" t="s">
        <v>7102</v>
      </c>
      <c r="L4334" s="119"/>
      <c r="M4334" s="3"/>
    </row>
    <row r="4335" spans="1:13" s="4" customFormat="1" ht="25.5" x14ac:dyDescent="0.25">
      <c r="A4335" s="4" t="s">
        <v>7121</v>
      </c>
      <c r="B4335" s="4" t="s">
        <v>50</v>
      </c>
      <c r="C4335" s="37" t="s">
        <v>7102</v>
      </c>
      <c r="D4335" s="35">
        <v>3162</v>
      </c>
      <c r="E4335" s="4" t="s">
        <v>7122</v>
      </c>
      <c r="F4335" s="5">
        <v>39129</v>
      </c>
      <c r="G4335" s="5">
        <v>39400</v>
      </c>
      <c r="H4335" s="4" t="s">
        <v>40</v>
      </c>
      <c r="I4335" s="6">
        <v>40000</v>
      </c>
      <c r="J4335" s="6">
        <v>20000</v>
      </c>
      <c r="K4335" s="37" t="s">
        <v>7102</v>
      </c>
      <c r="L4335" s="119"/>
      <c r="M4335" s="3"/>
    </row>
    <row r="4336" spans="1:13" s="4" customFormat="1" ht="25.5" x14ac:dyDescent="0.25">
      <c r="A4336" s="4" t="s">
        <v>7123</v>
      </c>
      <c r="B4336" s="4" t="s">
        <v>50</v>
      </c>
      <c r="C4336" s="37" t="s">
        <v>7102</v>
      </c>
      <c r="D4336" s="35">
        <v>3163</v>
      </c>
      <c r="E4336" s="4" t="s">
        <v>7124</v>
      </c>
      <c r="F4336" s="5">
        <v>39129</v>
      </c>
      <c r="G4336" s="5">
        <v>39437</v>
      </c>
      <c r="H4336" s="4" t="s">
        <v>40</v>
      </c>
      <c r="I4336" s="6">
        <v>13046</v>
      </c>
      <c r="J4336" s="6">
        <v>6523</v>
      </c>
      <c r="K4336" s="37" t="s">
        <v>7102</v>
      </c>
      <c r="L4336" s="119"/>
      <c r="M4336" s="3"/>
    </row>
    <row r="4337" spans="1:13" s="4" customFormat="1" ht="25.5" x14ac:dyDescent="0.25">
      <c r="A4337" s="4" t="s">
        <v>7125</v>
      </c>
      <c r="B4337" s="4" t="s">
        <v>50</v>
      </c>
      <c r="C4337" s="37" t="s">
        <v>7102</v>
      </c>
      <c r="D4337" s="35">
        <v>3166</v>
      </c>
      <c r="E4337" s="4" t="s">
        <v>7126</v>
      </c>
      <c r="F4337" s="5">
        <v>39130</v>
      </c>
      <c r="G4337" s="5">
        <v>39804</v>
      </c>
      <c r="H4337" s="4" t="s">
        <v>40</v>
      </c>
      <c r="I4337" s="6">
        <v>80000</v>
      </c>
      <c r="J4337" s="6">
        <v>40000</v>
      </c>
      <c r="K4337" s="37" t="s">
        <v>7102</v>
      </c>
      <c r="L4337" s="119"/>
      <c r="M4337" s="3"/>
    </row>
    <row r="4338" spans="1:13" s="4" customFormat="1" ht="25.5" x14ac:dyDescent="0.25">
      <c r="A4338" s="4" t="s">
        <v>7127</v>
      </c>
      <c r="B4338" s="4" t="s">
        <v>90</v>
      </c>
      <c r="C4338" s="37" t="s">
        <v>7102</v>
      </c>
      <c r="D4338" s="35">
        <v>3167</v>
      </c>
      <c r="E4338" s="4" t="s">
        <v>7128</v>
      </c>
      <c r="F4338" s="5">
        <v>39427</v>
      </c>
      <c r="G4338" s="5">
        <v>39555</v>
      </c>
      <c r="H4338" s="4" t="s">
        <v>40</v>
      </c>
      <c r="I4338" s="6">
        <v>10200</v>
      </c>
      <c r="J4338" s="6">
        <v>5100</v>
      </c>
      <c r="K4338" s="37" t="s">
        <v>7102</v>
      </c>
      <c r="L4338" s="119"/>
      <c r="M4338" s="3"/>
    </row>
    <row r="4339" spans="1:13" s="4" customFormat="1" ht="25.5" x14ac:dyDescent="0.25">
      <c r="A4339" s="4" t="s">
        <v>7129</v>
      </c>
      <c r="B4339" s="4" t="s">
        <v>90</v>
      </c>
      <c r="C4339" s="37" t="s">
        <v>7102</v>
      </c>
      <c r="D4339" s="35">
        <v>3169</v>
      </c>
      <c r="E4339" s="4" t="s">
        <v>7130</v>
      </c>
      <c r="F4339" s="5">
        <v>39549</v>
      </c>
      <c r="G4339" s="5">
        <v>39801</v>
      </c>
      <c r="H4339" s="4" t="s">
        <v>40</v>
      </c>
      <c r="I4339" s="6">
        <v>5350</v>
      </c>
      <c r="J4339" s="6">
        <v>2675</v>
      </c>
      <c r="K4339" s="37" t="s">
        <v>7102</v>
      </c>
      <c r="L4339" s="119"/>
      <c r="M4339" s="3"/>
    </row>
    <row r="4340" spans="1:13" s="4" customFormat="1" ht="25.5" x14ac:dyDescent="0.25">
      <c r="A4340" s="4" t="s">
        <v>7131</v>
      </c>
      <c r="B4340" s="4" t="s">
        <v>59</v>
      </c>
      <c r="C4340" s="37" t="s">
        <v>7102</v>
      </c>
      <c r="D4340" s="35">
        <v>3170</v>
      </c>
      <c r="E4340" s="4" t="s">
        <v>7132</v>
      </c>
      <c r="F4340" s="5">
        <v>39497</v>
      </c>
      <c r="G4340" s="5">
        <v>39801</v>
      </c>
      <c r="H4340" s="4" t="s">
        <v>40</v>
      </c>
      <c r="I4340" s="6">
        <v>6000</v>
      </c>
      <c r="J4340" s="6">
        <v>6000</v>
      </c>
      <c r="K4340" s="37" t="s">
        <v>7102</v>
      </c>
      <c r="L4340" s="119"/>
      <c r="M4340" s="3"/>
    </row>
    <row r="4341" spans="1:13" s="4" customFormat="1" ht="25.5" x14ac:dyDescent="0.25">
      <c r="A4341" s="4" t="s">
        <v>7133</v>
      </c>
      <c r="B4341" s="4" t="s">
        <v>59</v>
      </c>
      <c r="C4341" s="37" t="s">
        <v>7102</v>
      </c>
      <c r="D4341" s="35">
        <v>3172</v>
      </c>
      <c r="E4341" s="4" t="s">
        <v>7134</v>
      </c>
      <c r="F4341" s="5">
        <v>39497</v>
      </c>
      <c r="G4341" s="5">
        <v>39735</v>
      </c>
      <c r="H4341" s="4" t="s">
        <v>40</v>
      </c>
      <c r="I4341" s="6">
        <v>3000</v>
      </c>
      <c r="J4341" s="6">
        <v>3000</v>
      </c>
      <c r="K4341" s="37" t="s">
        <v>7102</v>
      </c>
      <c r="L4341" s="119"/>
      <c r="M4341" s="3"/>
    </row>
    <row r="4342" spans="1:13" s="4" customFormat="1" ht="25.5" x14ac:dyDescent="0.25">
      <c r="A4342" s="4" t="s">
        <v>7135</v>
      </c>
      <c r="B4342" s="4" t="s">
        <v>50</v>
      </c>
      <c r="C4342" s="37" t="s">
        <v>7102</v>
      </c>
      <c r="D4342" s="35">
        <v>3174</v>
      </c>
      <c r="E4342" s="4" t="s">
        <v>7136</v>
      </c>
      <c r="F4342" s="5">
        <v>39129</v>
      </c>
      <c r="G4342" s="5">
        <v>39226</v>
      </c>
      <c r="H4342" s="4" t="s">
        <v>40</v>
      </c>
      <c r="I4342" s="6">
        <v>14206</v>
      </c>
      <c r="J4342" s="6">
        <v>7103</v>
      </c>
      <c r="K4342" s="37" t="s">
        <v>7102</v>
      </c>
      <c r="L4342" s="119"/>
      <c r="M4342" s="3"/>
    </row>
    <row r="4343" spans="1:13" s="4" customFormat="1" ht="25.5" x14ac:dyDescent="0.25">
      <c r="A4343" s="4" t="s">
        <v>7137</v>
      </c>
      <c r="B4343" s="4" t="s">
        <v>90</v>
      </c>
      <c r="C4343" s="37" t="s">
        <v>7102</v>
      </c>
      <c r="D4343" s="35">
        <v>3178</v>
      </c>
      <c r="E4343" s="4" t="s">
        <v>7138</v>
      </c>
      <c r="F4343" s="5">
        <v>39343</v>
      </c>
      <c r="G4343" s="5">
        <v>39437</v>
      </c>
      <c r="H4343" s="4" t="s">
        <v>40</v>
      </c>
      <c r="I4343" s="6">
        <v>1000</v>
      </c>
      <c r="J4343" s="6">
        <v>500</v>
      </c>
      <c r="K4343" s="37" t="s">
        <v>7102</v>
      </c>
      <c r="L4343" s="119"/>
      <c r="M4343" s="3"/>
    </row>
    <row r="4344" spans="1:13" s="4" customFormat="1" ht="25.5" x14ac:dyDescent="0.25">
      <c r="A4344" s="4" t="s">
        <v>7139</v>
      </c>
      <c r="B4344" s="4" t="s">
        <v>59</v>
      </c>
      <c r="C4344" s="37" t="s">
        <v>7102</v>
      </c>
      <c r="D4344" s="35">
        <v>3180</v>
      </c>
      <c r="E4344" s="4" t="s">
        <v>7140</v>
      </c>
      <c r="F4344" s="5">
        <v>39189</v>
      </c>
      <c r="G4344" s="5">
        <v>39436</v>
      </c>
      <c r="H4344" s="4" t="s">
        <v>40</v>
      </c>
      <c r="I4344" s="6">
        <v>18750</v>
      </c>
      <c r="J4344" s="6">
        <v>18750</v>
      </c>
      <c r="K4344" s="37" t="s">
        <v>7102</v>
      </c>
      <c r="L4344" s="119"/>
      <c r="M4344" s="3"/>
    </row>
    <row r="4345" spans="1:13" s="4" customFormat="1" ht="25.5" x14ac:dyDescent="0.25">
      <c r="A4345" s="4" t="s">
        <v>7141</v>
      </c>
      <c r="B4345" s="4" t="s">
        <v>50</v>
      </c>
      <c r="C4345" s="37" t="s">
        <v>7102</v>
      </c>
      <c r="D4345" s="35">
        <v>3181</v>
      </c>
      <c r="E4345" s="4" t="s">
        <v>7142</v>
      </c>
      <c r="F4345" s="5">
        <v>39343</v>
      </c>
      <c r="G4345" s="5">
        <v>39575</v>
      </c>
      <c r="H4345" s="4" t="s">
        <v>40</v>
      </c>
      <c r="I4345" s="6">
        <v>34320</v>
      </c>
      <c r="J4345" s="6">
        <v>17160</v>
      </c>
      <c r="K4345" s="37" t="s">
        <v>7102</v>
      </c>
      <c r="L4345" s="119"/>
      <c r="M4345" s="3"/>
    </row>
    <row r="4346" spans="1:13" s="4" customFormat="1" ht="25.5" x14ac:dyDescent="0.25">
      <c r="A4346" s="4" t="s">
        <v>7143</v>
      </c>
      <c r="B4346" s="4" t="s">
        <v>50</v>
      </c>
      <c r="C4346" s="37" t="s">
        <v>7102</v>
      </c>
      <c r="D4346" s="35">
        <v>3183</v>
      </c>
      <c r="E4346" s="4" t="s">
        <v>7144</v>
      </c>
      <c r="F4346" s="5">
        <v>39252</v>
      </c>
      <c r="G4346" s="5">
        <v>39538</v>
      </c>
      <c r="H4346" s="4" t="s">
        <v>40</v>
      </c>
      <c r="I4346" s="6">
        <v>150000</v>
      </c>
      <c r="J4346" s="6">
        <v>75000</v>
      </c>
      <c r="K4346" s="37" t="s">
        <v>7102</v>
      </c>
      <c r="L4346" s="119"/>
      <c r="M4346" s="3"/>
    </row>
    <row r="4347" spans="1:13" s="4" customFormat="1" ht="25.5" x14ac:dyDescent="0.25">
      <c r="A4347" s="4" t="s">
        <v>7145</v>
      </c>
      <c r="B4347" s="4" t="s">
        <v>59</v>
      </c>
      <c r="C4347" s="37" t="s">
        <v>7102</v>
      </c>
      <c r="D4347" s="35">
        <v>3185</v>
      </c>
      <c r="E4347" s="4" t="s">
        <v>7146</v>
      </c>
      <c r="F4347" s="5">
        <v>39497</v>
      </c>
      <c r="G4347" s="5">
        <v>39801</v>
      </c>
      <c r="H4347" s="4" t="s">
        <v>40</v>
      </c>
      <c r="I4347" s="6">
        <v>4000</v>
      </c>
      <c r="J4347" s="6">
        <v>4000</v>
      </c>
      <c r="K4347" s="37" t="s">
        <v>7102</v>
      </c>
      <c r="L4347" s="119"/>
      <c r="M4347" s="3"/>
    </row>
    <row r="4348" spans="1:13" s="4" customFormat="1" ht="25.5" x14ac:dyDescent="0.25">
      <c r="A4348" s="4" t="s">
        <v>7149</v>
      </c>
      <c r="B4348" s="4" t="s">
        <v>50</v>
      </c>
      <c r="C4348" s="37" t="s">
        <v>7102</v>
      </c>
      <c r="D4348" s="35">
        <v>3189</v>
      </c>
      <c r="E4348" s="4" t="s">
        <v>7150</v>
      </c>
      <c r="F4348" s="5">
        <v>39129</v>
      </c>
      <c r="G4348" s="5">
        <v>39239</v>
      </c>
      <c r="H4348" s="4" t="s">
        <v>40</v>
      </c>
      <c r="I4348" s="6">
        <v>14000</v>
      </c>
      <c r="J4348" s="6">
        <v>7000</v>
      </c>
      <c r="K4348" s="37" t="s">
        <v>7102</v>
      </c>
      <c r="L4348" s="119"/>
      <c r="M4348" s="3"/>
    </row>
    <row r="4349" spans="1:13" s="4" customFormat="1" ht="25.5" x14ac:dyDescent="0.25">
      <c r="A4349" s="4" t="s">
        <v>7151</v>
      </c>
      <c r="B4349" s="4" t="s">
        <v>38</v>
      </c>
      <c r="C4349" s="37" t="s">
        <v>7102</v>
      </c>
      <c r="D4349" s="35">
        <v>3206</v>
      </c>
      <c r="E4349" s="4" t="s">
        <v>7152</v>
      </c>
      <c r="F4349" s="5">
        <v>39122</v>
      </c>
      <c r="G4349" s="5">
        <v>39447</v>
      </c>
      <c r="H4349" s="4" t="s">
        <v>40</v>
      </c>
      <c r="I4349" s="6">
        <v>9115.17</v>
      </c>
      <c r="J4349" s="6">
        <v>9115.17</v>
      </c>
      <c r="K4349" s="37" t="s">
        <v>7102</v>
      </c>
      <c r="L4349" s="119"/>
      <c r="M4349" s="3"/>
    </row>
    <row r="4350" spans="1:13" s="4" customFormat="1" ht="51" x14ac:dyDescent="0.25">
      <c r="A4350" s="4" t="s">
        <v>7153</v>
      </c>
      <c r="B4350" s="4" t="s">
        <v>38</v>
      </c>
      <c r="C4350" s="37" t="s">
        <v>7102</v>
      </c>
      <c r="D4350" s="35">
        <v>3207</v>
      </c>
      <c r="E4350" s="4" t="s">
        <v>7154</v>
      </c>
      <c r="F4350" s="5">
        <v>39129</v>
      </c>
      <c r="G4350" s="5">
        <v>39447</v>
      </c>
      <c r="H4350" s="4" t="s">
        <v>40</v>
      </c>
      <c r="I4350" s="6">
        <v>21955.19</v>
      </c>
      <c r="J4350" s="6">
        <v>21955.19</v>
      </c>
      <c r="K4350" s="37" t="s">
        <v>7102</v>
      </c>
      <c r="L4350" s="119"/>
      <c r="M4350" s="3"/>
    </row>
    <row r="4351" spans="1:13" s="4" customFormat="1" ht="38.25" x14ac:dyDescent="0.25">
      <c r="A4351" s="4" t="s">
        <v>7155</v>
      </c>
      <c r="B4351" s="4" t="s">
        <v>38</v>
      </c>
      <c r="C4351" s="37" t="s">
        <v>7102</v>
      </c>
      <c r="D4351" s="35">
        <v>3208</v>
      </c>
      <c r="E4351" s="4" t="s">
        <v>7156</v>
      </c>
      <c r="F4351" s="5">
        <v>39129</v>
      </c>
      <c r="G4351" s="5">
        <v>39447</v>
      </c>
      <c r="H4351" s="4" t="s">
        <v>40</v>
      </c>
      <c r="I4351" s="6">
        <v>17191.02</v>
      </c>
      <c r="J4351" s="6">
        <v>17191.02</v>
      </c>
      <c r="K4351" s="37" t="s">
        <v>7102</v>
      </c>
      <c r="L4351" s="119"/>
      <c r="M4351" s="3"/>
    </row>
    <row r="4352" spans="1:13" s="4" customFormat="1" ht="51" x14ac:dyDescent="0.25">
      <c r="A4352" s="4" t="s">
        <v>7157</v>
      </c>
      <c r="B4352" s="4" t="s">
        <v>38</v>
      </c>
      <c r="C4352" s="37" t="s">
        <v>7102</v>
      </c>
      <c r="D4352" s="35">
        <v>3209</v>
      </c>
      <c r="E4352" s="4" t="s">
        <v>7158</v>
      </c>
      <c r="F4352" s="5">
        <v>39129</v>
      </c>
      <c r="G4352" s="5">
        <v>39447</v>
      </c>
      <c r="H4352" s="4" t="s">
        <v>40</v>
      </c>
      <c r="I4352" s="6">
        <v>27843.41</v>
      </c>
      <c r="J4352" s="6">
        <v>27843.41</v>
      </c>
      <c r="K4352" s="37" t="s">
        <v>7102</v>
      </c>
      <c r="L4352" s="119"/>
      <c r="M4352" s="3"/>
    </row>
    <row r="4353" spans="1:13" s="4" customFormat="1" ht="25.5" x14ac:dyDescent="0.25">
      <c r="A4353" s="4" t="s">
        <v>7159</v>
      </c>
      <c r="B4353" s="4" t="s">
        <v>38</v>
      </c>
      <c r="C4353" s="37" t="s">
        <v>7102</v>
      </c>
      <c r="D4353" s="35">
        <v>3210</v>
      </c>
      <c r="E4353" s="4" t="s">
        <v>7160</v>
      </c>
      <c r="F4353" s="5">
        <v>39129</v>
      </c>
      <c r="G4353" s="5">
        <v>39447</v>
      </c>
      <c r="H4353" s="4" t="s">
        <v>40</v>
      </c>
      <c r="I4353" s="6">
        <v>3783</v>
      </c>
      <c r="J4353" s="6">
        <v>3783</v>
      </c>
      <c r="K4353" s="37" t="s">
        <v>7102</v>
      </c>
      <c r="L4353" s="119"/>
      <c r="M4353" s="3"/>
    </row>
    <row r="4354" spans="1:13" s="4" customFormat="1" ht="25.5" x14ac:dyDescent="0.25">
      <c r="A4354" s="4" t="s">
        <v>7161</v>
      </c>
      <c r="B4354" s="4" t="s">
        <v>38</v>
      </c>
      <c r="C4354" s="37" t="s">
        <v>7102</v>
      </c>
      <c r="D4354" s="35">
        <v>3211</v>
      </c>
      <c r="E4354" s="4" t="s">
        <v>7162</v>
      </c>
      <c r="F4354" s="5">
        <v>39129</v>
      </c>
      <c r="G4354" s="5">
        <v>39294</v>
      </c>
      <c r="H4354" s="4" t="s">
        <v>40</v>
      </c>
      <c r="I4354" s="6">
        <v>7600</v>
      </c>
      <c r="J4354" s="6">
        <v>7600</v>
      </c>
      <c r="K4354" s="37" t="s">
        <v>7102</v>
      </c>
      <c r="L4354" s="119"/>
      <c r="M4354" s="3"/>
    </row>
    <row r="4355" spans="1:13" s="4" customFormat="1" ht="25.5" x14ac:dyDescent="0.25">
      <c r="A4355" s="4" t="s">
        <v>7163</v>
      </c>
      <c r="B4355" s="4" t="s">
        <v>38</v>
      </c>
      <c r="C4355" s="37" t="s">
        <v>7102</v>
      </c>
      <c r="D4355" s="35">
        <v>3213</v>
      </c>
      <c r="E4355" s="4" t="s">
        <v>7164</v>
      </c>
      <c r="F4355" s="5">
        <v>39129</v>
      </c>
      <c r="G4355" s="5">
        <v>39447</v>
      </c>
      <c r="H4355" s="4" t="s">
        <v>40</v>
      </c>
      <c r="I4355" s="6">
        <v>27405.85</v>
      </c>
      <c r="J4355" s="6">
        <v>27405.85</v>
      </c>
      <c r="K4355" s="37" t="s">
        <v>7102</v>
      </c>
      <c r="L4355" s="119"/>
      <c r="M4355" s="3"/>
    </row>
    <row r="4356" spans="1:13" s="4" customFormat="1" ht="25.5" x14ac:dyDescent="0.25">
      <c r="A4356" s="4" t="s">
        <v>7165</v>
      </c>
      <c r="B4356" s="4" t="s">
        <v>38</v>
      </c>
      <c r="C4356" s="37" t="s">
        <v>7102</v>
      </c>
      <c r="D4356" s="35">
        <v>3214</v>
      </c>
      <c r="E4356" s="4" t="s">
        <v>7166</v>
      </c>
      <c r="F4356" s="5">
        <v>39129</v>
      </c>
      <c r="G4356" s="5">
        <v>39417</v>
      </c>
      <c r="H4356" s="4" t="s">
        <v>40</v>
      </c>
      <c r="I4356" s="6">
        <v>32845</v>
      </c>
      <c r="J4356" s="6">
        <v>32845</v>
      </c>
      <c r="K4356" s="37" t="s">
        <v>7102</v>
      </c>
      <c r="L4356" s="119"/>
      <c r="M4356" s="3"/>
    </row>
    <row r="4357" spans="1:13" s="4" customFormat="1" ht="25.5" x14ac:dyDescent="0.25">
      <c r="A4357" s="4" t="s">
        <v>7167</v>
      </c>
      <c r="B4357" s="4" t="s">
        <v>38</v>
      </c>
      <c r="C4357" s="37" t="s">
        <v>7102</v>
      </c>
      <c r="D4357" s="35">
        <v>3215</v>
      </c>
      <c r="E4357" s="4" t="s">
        <v>7168</v>
      </c>
      <c r="F4357" s="5">
        <v>39129</v>
      </c>
      <c r="G4357" s="5">
        <v>39447</v>
      </c>
      <c r="H4357" s="4" t="s">
        <v>40</v>
      </c>
      <c r="I4357" s="6">
        <v>5032</v>
      </c>
      <c r="J4357" s="6">
        <v>5032</v>
      </c>
      <c r="K4357" s="37" t="s">
        <v>7102</v>
      </c>
      <c r="L4357" s="119"/>
      <c r="M4357" s="3"/>
    </row>
    <row r="4358" spans="1:13" s="4" customFormat="1" ht="25.5" x14ac:dyDescent="0.25">
      <c r="A4358" s="4" t="s">
        <v>7169</v>
      </c>
      <c r="B4358" s="4" t="s">
        <v>38</v>
      </c>
      <c r="C4358" s="37" t="s">
        <v>7102</v>
      </c>
      <c r="D4358" s="35">
        <v>3216</v>
      </c>
      <c r="E4358" s="4" t="s">
        <v>7170</v>
      </c>
      <c r="F4358" s="5">
        <v>39129</v>
      </c>
      <c r="G4358" s="5">
        <v>39447</v>
      </c>
      <c r="H4358" s="4" t="s">
        <v>40</v>
      </c>
      <c r="I4358" s="6">
        <v>6876.51</v>
      </c>
      <c r="J4358" s="6">
        <v>6876.51</v>
      </c>
      <c r="K4358" s="37" t="s">
        <v>7102</v>
      </c>
      <c r="L4358" s="119"/>
      <c r="M4358" s="3"/>
    </row>
    <row r="4359" spans="1:13" s="4" customFormat="1" ht="25.5" x14ac:dyDescent="0.25">
      <c r="A4359" s="4" t="s">
        <v>7171</v>
      </c>
      <c r="B4359" s="4" t="s">
        <v>38</v>
      </c>
      <c r="C4359" s="37" t="s">
        <v>7102</v>
      </c>
      <c r="D4359" s="35">
        <v>3217</v>
      </c>
      <c r="E4359" s="4" t="s">
        <v>7172</v>
      </c>
      <c r="F4359" s="5">
        <v>39129</v>
      </c>
      <c r="G4359" s="5">
        <v>39447</v>
      </c>
      <c r="H4359" s="4" t="s">
        <v>40</v>
      </c>
      <c r="I4359" s="6">
        <v>3200</v>
      </c>
      <c r="J4359" s="6">
        <v>3200</v>
      </c>
      <c r="K4359" s="37" t="s">
        <v>7102</v>
      </c>
      <c r="L4359" s="119"/>
      <c r="M4359" s="3"/>
    </row>
    <row r="4360" spans="1:13" s="4" customFormat="1" ht="38.25" x14ac:dyDescent="0.25">
      <c r="A4360" s="4" t="s">
        <v>7173</v>
      </c>
      <c r="B4360" s="4" t="s">
        <v>38</v>
      </c>
      <c r="C4360" s="37" t="s">
        <v>7102</v>
      </c>
      <c r="D4360" s="35">
        <v>3218</v>
      </c>
      <c r="E4360" s="4" t="s">
        <v>7174</v>
      </c>
      <c r="F4360" s="5">
        <v>39129</v>
      </c>
      <c r="G4360" s="5">
        <v>39447</v>
      </c>
      <c r="H4360" s="4" t="s">
        <v>40</v>
      </c>
      <c r="I4360" s="6">
        <v>260</v>
      </c>
      <c r="J4360" s="6">
        <v>260</v>
      </c>
      <c r="K4360" s="37" t="s">
        <v>7102</v>
      </c>
      <c r="L4360" s="119"/>
      <c r="M4360" s="3"/>
    </row>
    <row r="4361" spans="1:13" s="4" customFormat="1" ht="25.5" x14ac:dyDescent="0.25">
      <c r="A4361" s="4" t="s">
        <v>7175</v>
      </c>
      <c r="B4361" s="4" t="s">
        <v>38</v>
      </c>
      <c r="C4361" s="37" t="s">
        <v>7102</v>
      </c>
      <c r="D4361" s="35">
        <v>3219</v>
      </c>
      <c r="E4361" s="4" t="s">
        <v>7176</v>
      </c>
      <c r="F4361" s="5">
        <v>39129</v>
      </c>
      <c r="G4361" s="5">
        <v>39447</v>
      </c>
      <c r="H4361" s="4" t="s">
        <v>40</v>
      </c>
      <c r="I4361" s="6">
        <v>9025.44</v>
      </c>
      <c r="J4361" s="6">
        <v>9025.44</v>
      </c>
      <c r="K4361" s="37" t="s">
        <v>7102</v>
      </c>
      <c r="L4361" s="119"/>
      <c r="M4361" s="3"/>
    </row>
    <row r="4362" spans="1:13" s="4" customFormat="1" ht="102" x14ac:dyDescent="0.25">
      <c r="A4362" s="4" t="s">
        <v>7177</v>
      </c>
      <c r="B4362" s="4" t="s">
        <v>38</v>
      </c>
      <c r="C4362" s="37" t="s">
        <v>7102</v>
      </c>
      <c r="D4362" s="35">
        <v>3220</v>
      </c>
      <c r="E4362" s="7" t="s">
        <v>7178</v>
      </c>
      <c r="F4362" s="5">
        <v>40246</v>
      </c>
      <c r="G4362" s="5">
        <v>40543</v>
      </c>
      <c r="H4362" s="4" t="s">
        <v>40</v>
      </c>
      <c r="I4362" s="6">
        <v>2275</v>
      </c>
      <c r="J4362" s="6">
        <v>2275</v>
      </c>
      <c r="K4362" s="37" t="s">
        <v>7102</v>
      </c>
      <c r="L4362" s="119"/>
      <c r="M4362" s="3"/>
    </row>
    <row r="4363" spans="1:13" s="4" customFormat="1" ht="38.25" x14ac:dyDescent="0.25">
      <c r="A4363" s="4" t="s">
        <v>7179</v>
      </c>
      <c r="B4363" s="4" t="s">
        <v>38</v>
      </c>
      <c r="C4363" s="37" t="s">
        <v>7102</v>
      </c>
      <c r="D4363" s="35">
        <v>3221</v>
      </c>
      <c r="E4363" s="4" t="s">
        <v>7180</v>
      </c>
      <c r="F4363" s="5">
        <v>39129</v>
      </c>
      <c r="G4363" s="5">
        <v>39447</v>
      </c>
      <c r="H4363" s="4" t="s">
        <v>40</v>
      </c>
      <c r="I4363" s="6">
        <v>2105.8000000000002</v>
      </c>
      <c r="J4363" s="6">
        <v>2105.8000000000002</v>
      </c>
      <c r="K4363" s="37" t="s">
        <v>7102</v>
      </c>
      <c r="L4363" s="119"/>
      <c r="M4363" s="3"/>
    </row>
    <row r="4364" spans="1:13" s="4" customFormat="1" ht="38.25" x14ac:dyDescent="0.25">
      <c r="A4364" s="4" t="s">
        <v>7181</v>
      </c>
      <c r="B4364" s="4" t="s">
        <v>38</v>
      </c>
      <c r="C4364" s="37" t="s">
        <v>7102</v>
      </c>
      <c r="D4364" s="35">
        <v>3223</v>
      </c>
      <c r="E4364" s="4" t="s">
        <v>7182</v>
      </c>
      <c r="F4364" s="5">
        <v>39129</v>
      </c>
      <c r="G4364" s="5">
        <v>39447</v>
      </c>
      <c r="H4364" s="4" t="s">
        <v>40</v>
      </c>
      <c r="I4364" s="6">
        <v>8000</v>
      </c>
      <c r="J4364" s="6">
        <v>8000</v>
      </c>
      <c r="K4364" s="37" t="s">
        <v>7102</v>
      </c>
      <c r="L4364" s="119"/>
      <c r="M4364" s="3"/>
    </row>
    <row r="4365" spans="1:13" s="4" customFormat="1" ht="25.5" x14ac:dyDescent="0.25">
      <c r="A4365" s="4" t="s">
        <v>7183</v>
      </c>
      <c r="B4365" s="4" t="s">
        <v>38</v>
      </c>
      <c r="C4365" s="37" t="s">
        <v>7102</v>
      </c>
      <c r="D4365" s="35">
        <v>3224</v>
      </c>
      <c r="E4365" s="4" t="s">
        <v>7184</v>
      </c>
      <c r="F4365" s="5">
        <v>39129</v>
      </c>
      <c r="G4365" s="5">
        <v>39447</v>
      </c>
      <c r="H4365" s="4" t="s">
        <v>40</v>
      </c>
      <c r="I4365" s="6">
        <v>1000</v>
      </c>
      <c r="J4365" s="6">
        <v>1000</v>
      </c>
      <c r="K4365" s="37" t="s">
        <v>7102</v>
      </c>
      <c r="L4365" s="119"/>
      <c r="M4365" s="3"/>
    </row>
    <row r="4366" spans="1:13" s="4" customFormat="1" ht="25.5" x14ac:dyDescent="0.25">
      <c r="A4366" s="4" t="s">
        <v>7185</v>
      </c>
      <c r="B4366" s="4" t="s">
        <v>38</v>
      </c>
      <c r="C4366" s="37" t="s">
        <v>7102</v>
      </c>
      <c r="D4366" s="35">
        <v>3226</v>
      </c>
      <c r="E4366" s="4" t="s">
        <v>7186</v>
      </c>
      <c r="F4366" s="5">
        <v>39129</v>
      </c>
      <c r="G4366" s="5">
        <v>39447</v>
      </c>
      <c r="H4366" s="4" t="s">
        <v>40</v>
      </c>
      <c r="I4366" s="6">
        <v>4000</v>
      </c>
      <c r="J4366" s="6">
        <v>4000</v>
      </c>
      <c r="K4366" s="37" t="s">
        <v>7102</v>
      </c>
      <c r="L4366" s="119"/>
      <c r="M4366" s="3"/>
    </row>
    <row r="4367" spans="1:13" s="4" customFormat="1" ht="38.25" x14ac:dyDescent="0.25">
      <c r="A4367" s="4" t="s">
        <v>7187</v>
      </c>
      <c r="B4367" s="4" t="s">
        <v>38</v>
      </c>
      <c r="C4367" s="37" t="s">
        <v>7102</v>
      </c>
      <c r="D4367" s="35">
        <v>3228</v>
      </c>
      <c r="E4367" s="4" t="s">
        <v>7188</v>
      </c>
      <c r="F4367" s="5">
        <v>39129</v>
      </c>
      <c r="G4367" s="5">
        <v>39447</v>
      </c>
      <c r="H4367" s="4" t="s">
        <v>40</v>
      </c>
      <c r="I4367" s="6">
        <v>43166.2</v>
      </c>
      <c r="J4367" s="6">
        <v>43166.2</v>
      </c>
      <c r="K4367" s="37" t="s">
        <v>7102</v>
      </c>
      <c r="L4367" s="119"/>
      <c r="M4367" s="3"/>
    </row>
    <row r="4368" spans="1:13" s="4" customFormat="1" ht="25.5" x14ac:dyDescent="0.25">
      <c r="A4368" s="4" t="s">
        <v>7189</v>
      </c>
      <c r="B4368" s="4" t="s">
        <v>38</v>
      </c>
      <c r="C4368" s="37" t="s">
        <v>7102</v>
      </c>
      <c r="D4368" s="35">
        <v>3229</v>
      </c>
      <c r="E4368" s="4" t="s">
        <v>7190</v>
      </c>
      <c r="F4368" s="5">
        <v>39129</v>
      </c>
      <c r="G4368" s="5">
        <v>39447</v>
      </c>
      <c r="H4368" s="4" t="s">
        <v>40</v>
      </c>
      <c r="I4368" s="6">
        <v>11949.45</v>
      </c>
      <c r="J4368" s="6">
        <v>11949.45</v>
      </c>
      <c r="K4368" s="37" t="s">
        <v>7102</v>
      </c>
      <c r="L4368" s="119"/>
      <c r="M4368" s="3"/>
    </row>
    <row r="4369" spans="1:13" s="4" customFormat="1" ht="25.5" x14ac:dyDescent="0.25">
      <c r="A4369" s="4" t="s">
        <v>7191</v>
      </c>
      <c r="B4369" s="4" t="s">
        <v>38</v>
      </c>
      <c r="C4369" s="37" t="s">
        <v>7102</v>
      </c>
      <c r="D4369" s="35">
        <v>3230</v>
      </c>
      <c r="E4369" s="4" t="s">
        <v>7192</v>
      </c>
      <c r="F4369" s="5">
        <v>39129</v>
      </c>
      <c r="G4369" s="5">
        <v>39447</v>
      </c>
      <c r="H4369" s="4" t="s">
        <v>40</v>
      </c>
      <c r="I4369" s="6">
        <v>4920.13</v>
      </c>
      <c r="J4369" s="6">
        <v>4920.13</v>
      </c>
      <c r="K4369" s="37" t="s">
        <v>7102</v>
      </c>
      <c r="L4369" s="119"/>
      <c r="M4369" s="3"/>
    </row>
    <row r="4370" spans="1:13" s="4" customFormat="1" ht="25.5" x14ac:dyDescent="0.25">
      <c r="A4370" s="4" t="s">
        <v>7193</v>
      </c>
      <c r="B4370" s="4" t="s">
        <v>38</v>
      </c>
      <c r="C4370" s="37" t="s">
        <v>7102</v>
      </c>
      <c r="D4370" s="35">
        <v>3231</v>
      </c>
      <c r="E4370" s="4" t="s">
        <v>7194</v>
      </c>
      <c r="F4370" s="5">
        <v>39129</v>
      </c>
      <c r="G4370" s="5">
        <v>39447</v>
      </c>
      <c r="H4370" s="4" t="s">
        <v>40</v>
      </c>
      <c r="I4370" s="6">
        <v>2820.07</v>
      </c>
      <c r="J4370" s="6">
        <v>2820.07</v>
      </c>
      <c r="K4370" s="37" t="s">
        <v>7102</v>
      </c>
      <c r="L4370" s="119"/>
      <c r="M4370" s="3"/>
    </row>
    <row r="4371" spans="1:13" s="4" customFormat="1" ht="38.25" x14ac:dyDescent="0.25">
      <c r="A4371" s="4" t="s">
        <v>7195</v>
      </c>
      <c r="B4371" s="4" t="s">
        <v>38</v>
      </c>
      <c r="C4371" s="37" t="s">
        <v>7102</v>
      </c>
      <c r="D4371" s="35">
        <v>3232</v>
      </c>
      <c r="E4371" s="4" t="s">
        <v>7196</v>
      </c>
      <c r="F4371" s="5">
        <v>39924</v>
      </c>
      <c r="G4371" s="5">
        <v>40178</v>
      </c>
      <c r="H4371" s="4" t="s">
        <v>40</v>
      </c>
      <c r="I4371" s="6">
        <v>2105.09</v>
      </c>
      <c r="J4371" s="6">
        <v>2105.09</v>
      </c>
      <c r="K4371" s="37" t="s">
        <v>7102</v>
      </c>
      <c r="L4371" s="119"/>
      <c r="M4371" s="3"/>
    </row>
    <row r="4372" spans="1:13" s="4" customFormat="1" ht="25.5" x14ac:dyDescent="0.25">
      <c r="A4372" s="4" t="s">
        <v>7197</v>
      </c>
      <c r="B4372" s="4" t="s">
        <v>38</v>
      </c>
      <c r="C4372" s="37" t="s">
        <v>7102</v>
      </c>
      <c r="D4372" s="35">
        <v>3233</v>
      </c>
      <c r="E4372" s="4" t="s">
        <v>7198</v>
      </c>
      <c r="F4372" s="5">
        <v>39129</v>
      </c>
      <c r="G4372" s="5">
        <v>39447</v>
      </c>
      <c r="H4372" s="4" t="s">
        <v>40</v>
      </c>
      <c r="I4372" s="6">
        <v>14398.96</v>
      </c>
      <c r="J4372" s="6">
        <v>14398.96</v>
      </c>
      <c r="K4372" s="37" t="s">
        <v>7102</v>
      </c>
      <c r="L4372" s="119"/>
      <c r="M4372" s="3"/>
    </row>
    <row r="4373" spans="1:13" s="4" customFormat="1" ht="51" x14ac:dyDescent="0.25">
      <c r="A4373" s="4" t="s">
        <v>7199</v>
      </c>
      <c r="B4373" s="4" t="s">
        <v>38</v>
      </c>
      <c r="C4373" s="37" t="s">
        <v>7102</v>
      </c>
      <c r="D4373" s="35">
        <v>3234</v>
      </c>
      <c r="E4373" s="4" t="s">
        <v>7200</v>
      </c>
      <c r="F4373" s="5">
        <v>39924</v>
      </c>
      <c r="G4373" s="5">
        <v>40178</v>
      </c>
      <c r="H4373" s="4" t="s">
        <v>40</v>
      </c>
      <c r="I4373" s="6">
        <v>600</v>
      </c>
      <c r="J4373" s="6">
        <v>600</v>
      </c>
      <c r="K4373" s="37" t="s">
        <v>7102</v>
      </c>
      <c r="L4373" s="119"/>
      <c r="M4373" s="3"/>
    </row>
    <row r="4374" spans="1:13" s="4" customFormat="1" ht="89.25" x14ac:dyDescent="0.25">
      <c r="A4374" s="4" t="s">
        <v>7155</v>
      </c>
      <c r="B4374" s="4" t="s">
        <v>38</v>
      </c>
      <c r="C4374" s="37" t="s">
        <v>7102</v>
      </c>
      <c r="D4374" s="35">
        <v>3235</v>
      </c>
      <c r="E4374" s="7" t="s">
        <v>7201</v>
      </c>
      <c r="F4374" s="5">
        <v>39497</v>
      </c>
      <c r="G4374" s="5">
        <v>41639</v>
      </c>
      <c r="H4374" s="4" t="s">
        <v>40</v>
      </c>
      <c r="I4374" s="6">
        <f>17995.79+14305.05+13592.62+27178.75+37985.82</f>
        <v>111058.03</v>
      </c>
      <c r="J4374" s="6">
        <f>97465.41+13592.62</f>
        <v>111058.03</v>
      </c>
      <c r="K4374" s="37" t="s">
        <v>7102</v>
      </c>
      <c r="L4374" s="119"/>
      <c r="M4374" s="3"/>
    </row>
    <row r="4375" spans="1:13" s="4" customFormat="1" ht="38.25" x14ac:dyDescent="0.25">
      <c r="A4375" s="4" t="s">
        <v>7202</v>
      </c>
      <c r="B4375" s="4" t="s">
        <v>38</v>
      </c>
      <c r="C4375" s="37" t="s">
        <v>7102</v>
      </c>
      <c r="D4375" s="35">
        <v>3236</v>
      </c>
      <c r="E4375" s="4" t="s">
        <v>7203</v>
      </c>
      <c r="F4375" s="5">
        <v>40179</v>
      </c>
      <c r="G4375" s="5">
        <v>40543</v>
      </c>
      <c r="H4375" s="4" t="s">
        <v>40</v>
      </c>
      <c r="I4375" s="6">
        <v>1675</v>
      </c>
      <c r="J4375" s="6">
        <v>1675</v>
      </c>
      <c r="K4375" s="37" t="s">
        <v>7102</v>
      </c>
      <c r="L4375" s="119"/>
      <c r="M4375" s="3"/>
    </row>
    <row r="4376" spans="1:13" s="4" customFormat="1" ht="153" x14ac:dyDescent="0.25">
      <c r="A4376" s="4" t="s">
        <v>7204</v>
      </c>
      <c r="B4376" s="4" t="s">
        <v>38</v>
      </c>
      <c r="C4376" s="37" t="s">
        <v>7102</v>
      </c>
      <c r="D4376" s="35">
        <v>3237</v>
      </c>
      <c r="E4376" s="7" t="s">
        <v>7205</v>
      </c>
      <c r="F4376" s="5">
        <v>39497</v>
      </c>
      <c r="G4376" s="5">
        <v>40908</v>
      </c>
      <c r="H4376" s="4" t="s">
        <v>40</v>
      </c>
      <c r="I4376" s="6">
        <f>50955.61+51128.01+34601.1</f>
        <v>136684.72</v>
      </c>
      <c r="J4376" s="6">
        <v>136684.72</v>
      </c>
      <c r="K4376" s="37" t="s">
        <v>7102</v>
      </c>
      <c r="L4376" s="119"/>
      <c r="M4376" s="3"/>
    </row>
    <row r="4377" spans="1:13" s="4" customFormat="1" ht="51" x14ac:dyDescent="0.25">
      <c r="A4377" s="4" t="s">
        <v>7206</v>
      </c>
      <c r="B4377" s="4" t="s">
        <v>38</v>
      </c>
      <c r="C4377" s="37" t="s">
        <v>7102</v>
      </c>
      <c r="D4377" s="35">
        <v>3238</v>
      </c>
      <c r="E4377" s="4" t="s">
        <v>7207</v>
      </c>
      <c r="F4377" s="5">
        <v>39497</v>
      </c>
      <c r="G4377" s="5">
        <v>40178</v>
      </c>
      <c r="H4377" s="4" t="s">
        <v>40</v>
      </c>
      <c r="I4377" s="6">
        <v>3923.23</v>
      </c>
      <c r="J4377" s="6">
        <v>3923.23</v>
      </c>
      <c r="K4377" s="37" t="s">
        <v>7102</v>
      </c>
      <c r="L4377" s="119"/>
      <c r="M4377" s="3"/>
    </row>
    <row r="4378" spans="1:13" s="4" customFormat="1" ht="76.5" x14ac:dyDescent="0.25">
      <c r="A4378" s="4" t="s">
        <v>7208</v>
      </c>
      <c r="B4378" s="4" t="s">
        <v>38</v>
      </c>
      <c r="C4378" s="37" t="s">
        <v>7102</v>
      </c>
      <c r="D4378" s="35">
        <v>3239</v>
      </c>
      <c r="E4378" s="4" t="s">
        <v>7209</v>
      </c>
      <c r="F4378" s="5">
        <v>39497</v>
      </c>
      <c r="G4378" s="5">
        <v>41274</v>
      </c>
      <c r="H4378" s="4" t="s">
        <v>40</v>
      </c>
      <c r="I4378" s="6">
        <v>24726.959999999999</v>
      </c>
      <c r="J4378" s="6">
        <v>24726.959999999999</v>
      </c>
      <c r="K4378" s="37" t="s">
        <v>7102</v>
      </c>
      <c r="L4378" s="119"/>
      <c r="M4378" s="3"/>
    </row>
    <row r="4379" spans="1:13" s="4" customFormat="1" ht="25.5" x14ac:dyDescent="0.25">
      <c r="A4379" s="4" t="s">
        <v>7210</v>
      </c>
      <c r="B4379" s="4" t="s">
        <v>38</v>
      </c>
      <c r="C4379" s="37" t="s">
        <v>7102</v>
      </c>
      <c r="D4379" s="35">
        <v>3240</v>
      </c>
      <c r="E4379" s="4" t="s">
        <v>7211</v>
      </c>
      <c r="F4379" s="5">
        <v>39497</v>
      </c>
      <c r="G4379" s="5">
        <v>39813</v>
      </c>
      <c r="H4379" s="4" t="s">
        <v>40</v>
      </c>
      <c r="I4379" s="6">
        <v>5633.53</v>
      </c>
      <c r="J4379" s="6">
        <v>5633.53</v>
      </c>
      <c r="K4379" s="37" t="s">
        <v>7102</v>
      </c>
      <c r="L4379" s="119"/>
      <c r="M4379" s="3"/>
    </row>
    <row r="4380" spans="1:13" s="4" customFormat="1" ht="114.75" x14ac:dyDescent="0.25">
      <c r="A4380" s="4" t="s">
        <v>7212</v>
      </c>
      <c r="B4380" s="4" t="s">
        <v>38</v>
      </c>
      <c r="C4380" s="37" t="s">
        <v>7102</v>
      </c>
      <c r="D4380" s="35">
        <v>3241</v>
      </c>
      <c r="E4380" s="7" t="s">
        <v>7213</v>
      </c>
      <c r="F4380" s="5">
        <v>39497</v>
      </c>
      <c r="G4380" s="5">
        <v>39813</v>
      </c>
      <c r="H4380" s="4" t="s">
        <v>40</v>
      </c>
      <c r="I4380" s="6">
        <v>2400</v>
      </c>
      <c r="J4380" s="6">
        <v>2400</v>
      </c>
      <c r="K4380" s="37" t="s">
        <v>7102</v>
      </c>
      <c r="L4380" s="119"/>
      <c r="M4380" s="3"/>
    </row>
    <row r="4381" spans="1:13" s="4" customFormat="1" ht="114.75" x14ac:dyDescent="0.25">
      <c r="A4381" s="4" t="s">
        <v>7214</v>
      </c>
      <c r="B4381" s="4" t="s">
        <v>38</v>
      </c>
      <c r="C4381" s="37" t="s">
        <v>7102</v>
      </c>
      <c r="D4381" s="35">
        <v>3242</v>
      </c>
      <c r="E4381" s="7" t="s">
        <v>7215</v>
      </c>
      <c r="F4381" s="5">
        <v>39497</v>
      </c>
      <c r="G4381" s="5">
        <v>41639</v>
      </c>
      <c r="H4381" s="4" t="s">
        <v>40</v>
      </c>
      <c r="I4381" s="6">
        <f>65757.41+15191.95+12670+32713.4+60875.67</f>
        <v>187208.43</v>
      </c>
      <c r="J4381" s="6">
        <f>154495.03+32713.4</f>
        <v>187208.43</v>
      </c>
      <c r="K4381" s="37" t="s">
        <v>7102</v>
      </c>
      <c r="L4381" s="119"/>
      <c r="M4381" s="3"/>
    </row>
    <row r="4382" spans="1:13" s="4" customFormat="1" ht="63.75" x14ac:dyDescent="0.25">
      <c r="A4382" s="4" t="s">
        <v>7167</v>
      </c>
      <c r="B4382" s="4" t="s">
        <v>38</v>
      </c>
      <c r="C4382" s="37" t="s">
        <v>7102</v>
      </c>
      <c r="D4382" s="35">
        <v>3243</v>
      </c>
      <c r="E4382" s="4" t="s">
        <v>7216</v>
      </c>
      <c r="F4382" s="5">
        <v>39497</v>
      </c>
      <c r="G4382" s="5">
        <v>41639</v>
      </c>
      <c r="H4382" s="4" t="s">
        <v>40</v>
      </c>
      <c r="I4382" s="6">
        <f>23439.6+49148.14+47277.63+36651.71+48343.27</f>
        <v>204860.34999999998</v>
      </c>
      <c r="J4382" s="6">
        <f>47277.63+157582.72</f>
        <v>204860.35</v>
      </c>
      <c r="K4382" s="37" t="s">
        <v>7102</v>
      </c>
      <c r="L4382" s="119"/>
      <c r="M4382" s="3"/>
    </row>
    <row r="4383" spans="1:13" s="4" customFormat="1" ht="114.75" x14ac:dyDescent="0.25">
      <c r="A4383" s="4" t="s">
        <v>7217</v>
      </c>
      <c r="B4383" s="4" t="s">
        <v>38</v>
      </c>
      <c r="C4383" s="37" t="s">
        <v>7102</v>
      </c>
      <c r="D4383" s="35">
        <v>3244</v>
      </c>
      <c r="E4383" s="7" t="s">
        <v>7218</v>
      </c>
      <c r="F4383" s="5">
        <v>39497</v>
      </c>
      <c r="G4383" s="5">
        <v>41639</v>
      </c>
      <c r="H4383" s="4" t="s">
        <v>40</v>
      </c>
      <c r="I4383" s="6">
        <v>29576.41</v>
      </c>
      <c r="J4383" s="6">
        <f>22770.4+6806.01</f>
        <v>29576.410000000003</v>
      </c>
      <c r="K4383" s="37" t="s">
        <v>7102</v>
      </c>
      <c r="L4383" s="119"/>
      <c r="M4383" s="3"/>
    </row>
    <row r="4384" spans="1:13" s="4" customFormat="1" ht="127.5" x14ac:dyDescent="0.25">
      <c r="A4384" s="4" t="s">
        <v>7179</v>
      </c>
      <c r="B4384" s="4" t="s">
        <v>38</v>
      </c>
      <c r="C4384" s="37" t="s">
        <v>7102</v>
      </c>
      <c r="D4384" s="35">
        <v>3245</v>
      </c>
      <c r="E4384" s="7" t="s">
        <v>7219</v>
      </c>
      <c r="F4384" s="5">
        <v>39497</v>
      </c>
      <c r="G4384" s="5">
        <v>40543</v>
      </c>
      <c r="H4384" s="4" t="s">
        <v>40</v>
      </c>
      <c r="I4384" s="6">
        <v>23107.31</v>
      </c>
      <c r="J4384" s="6">
        <v>23107.31</v>
      </c>
      <c r="K4384" s="37" t="s">
        <v>7102</v>
      </c>
      <c r="L4384" s="119"/>
      <c r="M4384" s="3"/>
    </row>
    <row r="4385" spans="1:13" s="4" customFormat="1" ht="102" x14ac:dyDescent="0.25">
      <c r="A4385" s="4" t="s">
        <v>7181</v>
      </c>
      <c r="B4385" s="4" t="s">
        <v>38</v>
      </c>
      <c r="C4385" s="37" t="s">
        <v>7102</v>
      </c>
      <c r="D4385" s="35">
        <v>3247</v>
      </c>
      <c r="E4385" s="7" t="s">
        <v>7220</v>
      </c>
      <c r="F4385" s="5">
        <v>39497</v>
      </c>
      <c r="G4385" s="5">
        <v>40178</v>
      </c>
      <c r="H4385" s="4" t="s">
        <v>40</v>
      </c>
      <c r="I4385" s="6">
        <v>10672.65</v>
      </c>
      <c r="J4385" s="6">
        <v>10672.65</v>
      </c>
      <c r="K4385" s="37" t="s">
        <v>7102</v>
      </c>
      <c r="L4385" s="119"/>
      <c r="M4385" s="3"/>
    </row>
    <row r="4386" spans="1:13" s="4" customFormat="1" ht="25.5" x14ac:dyDescent="0.25">
      <c r="A4386" s="4" t="s">
        <v>7221</v>
      </c>
      <c r="B4386" s="4" t="s">
        <v>38</v>
      </c>
      <c r="C4386" s="37" t="s">
        <v>7102</v>
      </c>
      <c r="D4386" s="35">
        <v>3248</v>
      </c>
      <c r="E4386" s="4" t="s">
        <v>7222</v>
      </c>
      <c r="F4386" s="5">
        <v>39497</v>
      </c>
      <c r="G4386" s="5">
        <v>39813</v>
      </c>
      <c r="H4386" s="4" t="s">
        <v>40</v>
      </c>
      <c r="I4386" s="6">
        <v>1000</v>
      </c>
      <c r="J4386" s="6">
        <v>1000</v>
      </c>
      <c r="K4386" s="37" t="s">
        <v>7102</v>
      </c>
      <c r="L4386" s="119"/>
      <c r="M4386" s="3"/>
    </row>
    <row r="4387" spans="1:13" s="4" customFormat="1" ht="127.5" x14ac:dyDescent="0.25">
      <c r="A4387" s="4" t="s">
        <v>7175</v>
      </c>
      <c r="B4387" s="4" t="s">
        <v>38</v>
      </c>
      <c r="C4387" s="37" t="s">
        <v>7102</v>
      </c>
      <c r="D4387" s="35">
        <v>3249</v>
      </c>
      <c r="E4387" s="7" t="s">
        <v>7223</v>
      </c>
      <c r="F4387" s="5">
        <v>39497</v>
      </c>
      <c r="G4387" s="5">
        <v>40543</v>
      </c>
      <c r="H4387" s="4" t="s">
        <v>40</v>
      </c>
      <c r="I4387" s="6">
        <v>23871</v>
      </c>
      <c r="J4387" s="6">
        <v>23871</v>
      </c>
      <c r="K4387" s="37" t="s">
        <v>7102</v>
      </c>
      <c r="L4387" s="119"/>
      <c r="M4387" s="3"/>
    </row>
    <row r="4388" spans="1:13" s="4" customFormat="1" ht="25.5" x14ac:dyDescent="0.25">
      <c r="A4388" s="4" t="s">
        <v>7185</v>
      </c>
      <c r="B4388" s="4" t="s">
        <v>38</v>
      </c>
      <c r="C4388" s="37" t="s">
        <v>7102</v>
      </c>
      <c r="D4388" s="35">
        <v>3250</v>
      </c>
      <c r="E4388" s="4" t="s">
        <v>7224</v>
      </c>
      <c r="F4388" s="5">
        <v>39497</v>
      </c>
      <c r="G4388" s="5">
        <v>39813</v>
      </c>
      <c r="H4388" s="4" t="s">
        <v>40</v>
      </c>
      <c r="I4388" s="6">
        <v>4033.85</v>
      </c>
      <c r="J4388" s="6">
        <v>4033.85</v>
      </c>
      <c r="K4388" s="37" t="s">
        <v>7102</v>
      </c>
      <c r="L4388" s="119"/>
      <c r="M4388" s="3"/>
    </row>
    <row r="4389" spans="1:13" s="4" customFormat="1" ht="140.25" x14ac:dyDescent="0.25">
      <c r="A4389" s="4" t="s">
        <v>7225</v>
      </c>
      <c r="B4389" s="4" t="s">
        <v>38</v>
      </c>
      <c r="C4389" s="37" t="s">
        <v>7102</v>
      </c>
      <c r="D4389" s="35">
        <v>3251</v>
      </c>
      <c r="E4389" s="7" t="s">
        <v>7226</v>
      </c>
      <c r="F4389" s="5">
        <v>39497</v>
      </c>
      <c r="G4389" s="5">
        <v>41274</v>
      </c>
      <c r="H4389" s="4" t="s">
        <v>40</v>
      </c>
      <c r="I4389" s="6">
        <f>19877.79+12314.85+10104.32+14606.79+62744.68</f>
        <v>119648.43</v>
      </c>
      <c r="J4389" s="6">
        <f>107333.58+12314.85</f>
        <v>119648.43000000001</v>
      </c>
      <c r="K4389" s="37" t="s">
        <v>7102</v>
      </c>
      <c r="L4389" s="119"/>
      <c r="M4389" s="3"/>
    </row>
    <row r="4390" spans="1:13" s="4" customFormat="1" ht="51" x14ac:dyDescent="0.25">
      <c r="A4390" s="4" t="s">
        <v>7227</v>
      </c>
      <c r="B4390" s="4" t="s">
        <v>38</v>
      </c>
      <c r="C4390" s="37" t="s">
        <v>7102</v>
      </c>
      <c r="D4390" s="35">
        <v>3252</v>
      </c>
      <c r="E4390" s="4" t="s">
        <v>7228</v>
      </c>
      <c r="F4390" s="5">
        <v>39497</v>
      </c>
      <c r="G4390" s="5">
        <v>39813</v>
      </c>
      <c r="H4390" s="4" t="s">
        <v>40</v>
      </c>
      <c r="I4390" s="6">
        <v>301.5</v>
      </c>
      <c r="J4390" s="6">
        <v>301.5</v>
      </c>
      <c r="K4390" s="37" t="s">
        <v>7102</v>
      </c>
      <c r="L4390" s="119"/>
      <c r="M4390" s="3"/>
    </row>
    <row r="4391" spans="1:13" s="4" customFormat="1" ht="38.25" x14ac:dyDescent="0.25">
      <c r="A4391" s="4" t="s">
        <v>7229</v>
      </c>
      <c r="B4391" s="4" t="s">
        <v>38</v>
      </c>
      <c r="C4391" s="37" t="s">
        <v>7102</v>
      </c>
      <c r="D4391" s="35">
        <v>3253</v>
      </c>
      <c r="E4391" s="4" t="s">
        <v>7230</v>
      </c>
      <c r="F4391" s="5">
        <v>39497</v>
      </c>
      <c r="G4391" s="5">
        <v>39813</v>
      </c>
      <c r="H4391" s="4" t="s">
        <v>40</v>
      </c>
      <c r="I4391" s="6">
        <v>1245.0999999999999</v>
      </c>
      <c r="J4391" s="6">
        <v>1245.0999999999999</v>
      </c>
      <c r="K4391" s="37" t="s">
        <v>7102</v>
      </c>
      <c r="L4391" s="119"/>
      <c r="M4391" s="3"/>
    </row>
    <row r="4392" spans="1:13" s="4" customFormat="1" ht="63.75" x14ac:dyDescent="0.25">
      <c r="A4392" s="4" t="s">
        <v>7231</v>
      </c>
      <c r="B4392" s="4" t="s">
        <v>38</v>
      </c>
      <c r="C4392" s="37" t="s">
        <v>7102</v>
      </c>
      <c r="D4392" s="35">
        <v>3254</v>
      </c>
      <c r="E4392" s="4" t="s">
        <v>7232</v>
      </c>
      <c r="F4392" s="5">
        <v>39868</v>
      </c>
      <c r="G4392" s="5">
        <v>40178</v>
      </c>
      <c r="H4392" s="4" t="s">
        <v>40</v>
      </c>
      <c r="I4392" s="6">
        <v>11104.9</v>
      </c>
      <c r="J4392" s="6">
        <v>11104.9</v>
      </c>
      <c r="K4392" s="37" t="s">
        <v>7102</v>
      </c>
      <c r="L4392" s="119"/>
      <c r="M4392" s="3"/>
    </row>
    <row r="4393" spans="1:13" s="4" customFormat="1" ht="25.5" x14ac:dyDescent="0.25">
      <c r="A4393" s="4" t="s">
        <v>7233</v>
      </c>
      <c r="B4393" s="4" t="s">
        <v>38</v>
      </c>
      <c r="C4393" s="37" t="s">
        <v>7102</v>
      </c>
      <c r="D4393" s="35">
        <v>3255</v>
      </c>
      <c r="E4393" s="4" t="s">
        <v>7234</v>
      </c>
      <c r="F4393" s="5">
        <v>39084</v>
      </c>
      <c r="H4393" s="4" t="s">
        <v>40</v>
      </c>
      <c r="I4393" s="6">
        <f>92307.22+54188.24+61677.57+51668.54+126373.77</f>
        <v>386215.34</v>
      </c>
      <c r="J4393" s="6">
        <f>324537.77+61677.57</f>
        <v>386215.34</v>
      </c>
      <c r="K4393" s="37" t="s">
        <v>7102</v>
      </c>
      <c r="L4393" s="119"/>
      <c r="M4393" s="3"/>
    </row>
    <row r="4394" spans="1:13" s="4" customFormat="1" ht="38.25" x14ac:dyDescent="0.25">
      <c r="A4394" s="4" t="s">
        <v>7235</v>
      </c>
      <c r="B4394" s="4" t="s">
        <v>38</v>
      </c>
      <c r="C4394" s="37" t="s">
        <v>7102</v>
      </c>
      <c r="D4394" s="35">
        <v>3256</v>
      </c>
      <c r="E4394" s="4" t="s">
        <v>7236</v>
      </c>
      <c r="F4394" s="5">
        <v>39497</v>
      </c>
      <c r="G4394" s="5">
        <v>39813</v>
      </c>
      <c r="H4394" s="4" t="s">
        <v>40</v>
      </c>
      <c r="I4394" s="6">
        <v>7133.44</v>
      </c>
      <c r="J4394" s="6">
        <v>7133.44</v>
      </c>
      <c r="K4394" s="37" t="s">
        <v>7102</v>
      </c>
      <c r="L4394" s="119"/>
      <c r="M4394" s="3"/>
    </row>
    <row r="4395" spans="1:13" s="4" customFormat="1" ht="76.5" x14ac:dyDescent="0.25">
      <c r="A4395" s="4" t="s">
        <v>7237</v>
      </c>
      <c r="B4395" s="4" t="s">
        <v>38</v>
      </c>
      <c r="C4395" s="37" t="s">
        <v>7102</v>
      </c>
      <c r="D4395" s="35">
        <v>3257</v>
      </c>
      <c r="E4395" s="7" t="s">
        <v>7238</v>
      </c>
      <c r="F4395" s="5">
        <v>40085</v>
      </c>
      <c r="G4395" s="5">
        <v>40908</v>
      </c>
      <c r="H4395" s="4" t="s">
        <v>40</v>
      </c>
      <c r="I4395" s="6">
        <v>41683.629999999997</v>
      </c>
      <c r="J4395" s="6">
        <v>41683.629999999997</v>
      </c>
      <c r="K4395" s="37" t="s">
        <v>7102</v>
      </c>
      <c r="L4395" s="119"/>
      <c r="M4395" s="3"/>
    </row>
    <row r="4396" spans="1:13" s="4" customFormat="1" ht="102" x14ac:dyDescent="0.25">
      <c r="A4396" s="4" t="s">
        <v>7239</v>
      </c>
      <c r="B4396" s="4" t="s">
        <v>38</v>
      </c>
      <c r="C4396" s="37" t="s">
        <v>7102</v>
      </c>
      <c r="D4396" s="35">
        <v>3258</v>
      </c>
      <c r="E4396" s="7" t="s">
        <v>7240</v>
      </c>
      <c r="F4396" s="5">
        <v>39497</v>
      </c>
      <c r="G4396" s="5">
        <v>41274</v>
      </c>
      <c r="H4396" s="4" t="s">
        <v>40</v>
      </c>
      <c r="I4396" s="6">
        <v>43839.88</v>
      </c>
      <c r="J4396" s="6">
        <v>43839.88</v>
      </c>
      <c r="K4396" s="37" t="s">
        <v>7102</v>
      </c>
      <c r="L4396" s="119"/>
      <c r="M4396" s="3"/>
    </row>
    <row r="4397" spans="1:13" s="4" customFormat="1" ht="38.25" x14ac:dyDescent="0.25">
      <c r="A4397" s="4" t="s">
        <v>7241</v>
      </c>
      <c r="B4397" s="4" t="s">
        <v>38</v>
      </c>
      <c r="C4397" s="37" t="s">
        <v>7102</v>
      </c>
      <c r="D4397" s="35">
        <v>3259</v>
      </c>
      <c r="E4397" s="4" t="s">
        <v>7242</v>
      </c>
      <c r="F4397" s="5">
        <v>39497</v>
      </c>
      <c r="G4397" s="5">
        <v>41639</v>
      </c>
      <c r="H4397" s="4" t="s">
        <v>40</v>
      </c>
      <c r="I4397" s="6">
        <f>17008.84+9478.64+7825.96+15361.75+9142.69</f>
        <v>58817.880000000005</v>
      </c>
      <c r="J4397" s="6">
        <f>49339.24+9478.64</f>
        <v>58817.88</v>
      </c>
      <c r="K4397" s="37" t="s">
        <v>7102</v>
      </c>
      <c r="L4397" s="119"/>
      <c r="M4397" s="3"/>
    </row>
    <row r="4398" spans="1:13" s="4" customFormat="1" ht="89.25" x14ac:dyDescent="0.25">
      <c r="A4398" s="4" t="s">
        <v>7243</v>
      </c>
      <c r="B4398" s="4" t="s">
        <v>38</v>
      </c>
      <c r="C4398" s="37" t="s">
        <v>7102</v>
      </c>
      <c r="D4398" s="35">
        <v>3260</v>
      </c>
      <c r="E4398" s="7" t="s">
        <v>7244</v>
      </c>
      <c r="F4398" s="5">
        <v>39497</v>
      </c>
      <c r="G4398" s="5">
        <v>40543</v>
      </c>
      <c r="H4398" s="4" t="s">
        <v>40</v>
      </c>
      <c r="I4398" s="6">
        <f>10147.77*2</f>
        <v>20295.54</v>
      </c>
      <c r="J4398" s="6">
        <f>10147.77*2-1423.26</f>
        <v>18872.280000000002</v>
      </c>
      <c r="K4398" s="37" t="s">
        <v>7102</v>
      </c>
      <c r="L4398" s="119"/>
      <c r="M4398" s="3"/>
    </row>
    <row r="4399" spans="1:13" s="4" customFormat="1" ht="25.5" x14ac:dyDescent="0.25">
      <c r="A4399" s="4" t="s">
        <v>7245</v>
      </c>
      <c r="B4399" s="4" t="s">
        <v>38</v>
      </c>
      <c r="C4399" s="37" t="s">
        <v>7102</v>
      </c>
      <c r="D4399" s="35">
        <v>3322</v>
      </c>
      <c r="E4399" s="4" t="s">
        <v>7246</v>
      </c>
      <c r="F4399" s="5">
        <v>39083</v>
      </c>
      <c r="G4399" s="5">
        <v>39447</v>
      </c>
      <c r="H4399" s="4" t="s">
        <v>40</v>
      </c>
      <c r="I4399" s="6">
        <v>1515.98</v>
      </c>
      <c r="J4399" s="6">
        <v>1515.98</v>
      </c>
      <c r="K4399" s="37" t="s">
        <v>7102</v>
      </c>
      <c r="L4399" s="119"/>
      <c r="M4399" s="3"/>
    </row>
    <row r="4400" spans="1:13" s="4" customFormat="1" ht="63.75" x14ac:dyDescent="0.25">
      <c r="A4400" s="4" t="s">
        <v>7247</v>
      </c>
      <c r="B4400" s="4" t="s">
        <v>38</v>
      </c>
      <c r="C4400" s="37" t="s">
        <v>7102</v>
      </c>
      <c r="D4400" s="35">
        <v>3323</v>
      </c>
      <c r="E4400" s="4" t="s">
        <v>7248</v>
      </c>
      <c r="F4400" s="5">
        <v>39083</v>
      </c>
      <c r="G4400" s="5">
        <v>39447</v>
      </c>
      <c r="H4400" s="4" t="s">
        <v>40</v>
      </c>
      <c r="I4400" s="6">
        <v>16642.07</v>
      </c>
      <c r="J4400" s="6">
        <v>16642.07</v>
      </c>
      <c r="K4400" s="37" t="s">
        <v>7102</v>
      </c>
      <c r="L4400" s="119"/>
      <c r="M4400" s="3"/>
    </row>
    <row r="4401" spans="1:13" s="4" customFormat="1" ht="25.5" x14ac:dyDescent="0.25">
      <c r="A4401" s="4" t="s">
        <v>7249</v>
      </c>
      <c r="B4401" s="4" t="s">
        <v>50</v>
      </c>
      <c r="C4401" s="37" t="s">
        <v>7102</v>
      </c>
      <c r="D4401" s="35">
        <v>5578</v>
      </c>
      <c r="E4401" s="4" t="s">
        <v>7250</v>
      </c>
      <c r="F4401" s="5">
        <v>39770</v>
      </c>
      <c r="G4401" s="5">
        <v>40178</v>
      </c>
      <c r="H4401" s="4" t="s">
        <v>40</v>
      </c>
      <c r="I4401" s="6">
        <v>28830</v>
      </c>
      <c r="J4401" s="6">
        <v>14415</v>
      </c>
      <c r="K4401" s="37" t="s">
        <v>7102</v>
      </c>
      <c r="L4401" s="119"/>
      <c r="M4401" s="3"/>
    </row>
    <row r="4402" spans="1:13" s="4" customFormat="1" ht="25.5" x14ac:dyDescent="0.25">
      <c r="A4402" s="4" t="s">
        <v>7251</v>
      </c>
      <c r="B4402" s="4" t="s">
        <v>50</v>
      </c>
      <c r="C4402" s="37" t="s">
        <v>7102</v>
      </c>
      <c r="D4402" s="35">
        <v>5580</v>
      </c>
      <c r="E4402" s="4" t="s">
        <v>7252</v>
      </c>
      <c r="F4402" s="5">
        <v>39798</v>
      </c>
      <c r="G4402" s="5">
        <v>39906</v>
      </c>
      <c r="H4402" s="4" t="s">
        <v>40</v>
      </c>
      <c r="I4402" s="6">
        <v>40000</v>
      </c>
      <c r="J4402" s="6">
        <v>20000</v>
      </c>
      <c r="K4402" s="37" t="s">
        <v>7102</v>
      </c>
      <c r="L4402" s="119"/>
      <c r="M4402" s="3"/>
    </row>
    <row r="4403" spans="1:13" s="4" customFormat="1" ht="25.5" x14ac:dyDescent="0.25">
      <c r="A4403" s="4" t="s">
        <v>7253</v>
      </c>
      <c r="B4403" s="4" t="s">
        <v>50</v>
      </c>
      <c r="C4403" s="37" t="s">
        <v>7102</v>
      </c>
      <c r="D4403" s="35">
        <v>5581</v>
      </c>
      <c r="E4403" s="4" t="s">
        <v>7254</v>
      </c>
      <c r="F4403" s="5">
        <v>39189</v>
      </c>
      <c r="G4403" s="5">
        <v>39924</v>
      </c>
      <c r="H4403" s="4" t="s">
        <v>40</v>
      </c>
      <c r="I4403" s="6">
        <v>37348</v>
      </c>
      <c r="J4403" s="6">
        <v>18674</v>
      </c>
      <c r="K4403" s="37" t="s">
        <v>7102</v>
      </c>
      <c r="L4403" s="119"/>
      <c r="M4403" s="3"/>
    </row>
    <row r="4404" spans="1:13" s="4" customFormat="1" ht="38.25" x14ac:dyDescent="0.25">
      <c r="A4404" s="4" t="s">
        <v>7255</v>
      </c>
      <c r="B4404" s="4" t="s">
        <v>50</v>
      </c>
      <c r="C4404" s="37" t="s">
        <v>7102</v>
      </c>
      <c r="D4404" s="35">
        <v>5582</v>
      </c>
      <c r="E4404" s="4" t="s">
        <v>7256</v>
      </c>
      <c r="F4404" s="5">
        <v>39770</v>
      </c>
      <c r="G4404" s="5">
        <v>39962</v>
      </c>
      <c r="H4404" s="4" t="s">
        <v>40</v>
      </c>
      <c r="I4404" s="6">
        <v>24735.82</v>
      </c>
      <c r="J4404" s="6">
        <v>12368</v>
      </c>
      <c r="K4404" s="37" t="s">
        <v>7102</v>
      </c>
      <c r="L4404" s="119"/>
      <c r="M4404" s="3"/>
    </row>
    <row r="4405" spans="1:13" s="4" customFormat="1" ht="51" x14ac:dyDescent="0.25">
      <c r="A4405" s="4" t="s">
        <v>7257</v>
      </c>
      <c r="B4405" s="4" t="s">
        <v>50</v>
      </c>
      <c r="C4405" s="37" t="s">
        <v>7102</v>
      </c>
      <c r="D4405" s="35">
        <v>5586</v>
      </c>
      <c r="E4405" s="4" t="s">
        <v>7258</v>
      </c>
      <c r="F4405" s="5">
        <v>39974</v>
      </c>
      <c r="G4405" s="5">
        <v>40178</v>
      </c>
      <c r="H4405" s="4" t="s">
        <v>40</v>
      </c>
      <c r="I4405" s="6">
        <v>2239</v>
      </c>
      <c r="J4405" s="6">
        <v>1119</v>
      </c>
      <c r="K4405" s="37" t="s">
        <v>7102</v>
      </c>
      <c r="L4405" s="119"/>
      <c r="M4405" s="3"/>
    </row>
    <row r="4406" spans="1:13" s="4" customFormat="1" ht="25.5" x14ac:dyDescent="0.25">
      <c r="A4406" s="4" t="s">
        <v>7259</v>
      </c>
      <c r="B4406" s="4" t="s">
        <v>50</v>
      </c>
      <c r="C4406" s="37" t="s">
        <v>7102</v>
      </c>
      <c r="D4406" s="35">
        <v>5588</v>
      </c>
      <c r="E4406" s="4" t="s">
        <v>7260</v>
      </c>
      <c r="F4406" s="5">
        <v>39770</v>
      </c>
      <c r="G4406" s="5">
        <v>40070</v>
      </c>
      <c r="H4406" s="4" t="s">
        <v>40</v>
      </c>
      <c r="I4406" s="6">
        <v>10415</v>
      </c>
      <c r="J4406" s="6">
        <v>5207</v>
      </c>
      <c r="K4406" s="37" t="s">
        <v>7102</v>
      </c>
      <c r="L4406" s="119"/>
      <c r="M4406" s="3"/>
    </row>
    <row r="4407" spans="1:13" s="4" customFormat="1" ht="51" x14ac:dyDescent="0.25">
      <c r="A4407" s="4" t="s">
        <v>7261</v>
      </c>
      <c r="B4407" s="4" t="s">
        <v>50</v>
      </c>
      <c r="C4407" s="37" t="s">
        <v>7102</v>
      </c>
      <c r="D4407" s="35">
        <v>5590</v>
      </c>
      <c r="E4407" s="4" t="s">
        <v>7262</v>
      </c>
      <c r="F4407" s="5">
        <v>39974</v>
      </c>
      <c r="G4407" s="5">
        <v>40108</v>
      </c>
      <c r="H4407" s="4" t="s">
        <v>40</v>
      </c>
      <c r="I4407" s="6">
        <v>16800</v>
      </c>
      <c r="J4407" s="6">
        <v>8400</v>
      </c>
      <c r="K4407" s="37" t="s">
        <v>7102</v>
      </c>
      <c r="L4407" s="119"/>
      <c r="M4407" s="3"/>
    </row>
    <row r="4408" spans="1:13" s="4" customFormat="1" ht="25.5" x14ac:dyDescent="0.25">
      <c r="A4408" s="4" t="s">
        <v>7263</v>
      </c>
      <c r="B4408" s="4" t="s">
        <v>50</v>
      </c>
      <c r="C4408" s="37" t="s">
        <v>7102</v>
      </c>
      <c r="D4408" s="35">
        <v>5592</v>
      </c>
      <c r="E4408" s="4" t="s">
        <v>7264</v>
      </c>
      <c r="F4408" s="5">
        <v>39868</v>
      </c>
      <c r="G4408" s="5">
        <v>40144</v>
      </c>
      <c r="H4408" s="4" t="s">
        <v>40</v>
      </c>
      <c r="I4408" s="6">
        <v>60000</v>
      </c>
      <c r="J4408" s="6">
        <v>30000</v>
      </c>
      <c r="K4408" s="37" t="s">
        <v>7102</v>
      </c>
      <c r="L4408" s="119"/>
      <c r="M4408" s="3"/>
    </row>
    <row r="4409" spans="1:13" s="4" customFormat="1" ht="25.5" x14ac:dyDescent="0.25">
      <c r="A4409" s="4" t="s">
        <v>7265</v>
      </c>
      <c r="B4409" s="4" t="s">
        <v>59</v>
      </c>
      <c r="C4409" s="37" t="s">
        <v>7102</v>
      </c>
      <c r="D4409" s="35">
        <v>5597</v>
      </c>
      <c r="E4409" s="4" t="s">
        <v>7266</v>
      </c>
      <c r="F4409" s="5">
        <v>39798</v>
      </c>
      <c r="G4409" s="5">
        <v>40060</v>
      </c>
      <c r="H4409" s="4" t="s">
        <v>40</v>
      </c>
      <c r="I4409" s="6">
        <v>7500</v>
      </c>
      <c r="J4409" s="6">
        <v>7500</v>
      </c>
      <c r="K4409" s="37" t="s">
        <v>7102</v>
      </c>
      <c r="L4409" s="119"/>
      <c r="M4409" s="3"/>
    </row>
    <row r="4410" spans="1:13" s="4" customFormat="1" ht="25.5" x14ac:dyDescent="0.25">
      <c r="A4410" s="4" t="s">
        <v>7267</v>
      </c>
      <c r="B4410" s="4" t="s">
        <v>50</v>
      </c>
      <c r="C4410" s="37" t="s">
        <v>7102</v>
      </c>
      <c r="D4410" s="35">
        <v>5601</v>
      </c>
      <c r="E4410" s="4" t="s">
        <v>7268</v>
      </c>
      <c r="F4410" s="5">
        <v>39549</v>
      </c>
      <c r="G4410" s="5">
        <v>40168</v>
      </c>
      <c r="H4410" s="4" t="s">
        <v>40</v>
      </c>
      <c r="I4410" s="6">
        <v>29618.18</v>
      </c>
      <c r="J4410" s="6">
        <v>9000</v>
      </c>
      <c r="K4410" s="37" t="s">
        <v>7102</v>
      </c>
      <c r="L4410" s="119"/>
      <c r="M4410" s="3"/>
    </row>
    <row r="4411" spans="1:13" s="4" customFormat="1" ht="25.5" x14ac:dyDescent="0.25">
      <c r="A4411" s="4" t="s">
        <v>7271</v>
      </c>
      <c r="B4411" s="4" t="s">
        <v>59</v>
      </c>
      <c r="C4411" s="37" t="s">
        <v>7102</v>
      </c>
      <c r="D4411" s="35">
        <v>5603</v>
      </c>
      <c r="E4411" s="4" t="s">
        <v>7272</v>
      </c>
      <c r="F4411" s="5">
        <v>39868</v>
      </c>
      <c r="G4411" s="5">
        <v>40108</v>
      </c>
      <c r="H4411" s="4" t="s">
        <v>40</v>
      </c>
      <c r="I4411" s="6">
        <v>15000</v>
      </c>
      <c r="J4411" s="6">
        <v>15000</v>
      </c>
      <c r="K4411" s="37" t="s">
        <v>7102</v>
      </c>
      <c r="L4411" s="119"/>
      <c r="M4411" s="3"/>
    </row>
    <row r="4412" spans="1:13" s="4" customFormat="1" ht="25.5" x14ac:dyDescent="0.25">
      <c r="A4412" s="4" t="s">
        <v>7273</v>
      </c>
      <c r="B4412" s="4" t="s">
        <v>59</v>
      </c>
      <c r="C4412" s="37" t="s">
        <v>7102</v>
      </c>
      <c r="D4412" s="35">
        <v>5604</v>
      </c>
      <c r="E4412" s="4" t="s">
        <v>7274</v>
      </c>
      <c r="F4412" s="5">
        <v>39974</v>
      </c>
      <c r="G4412" s="5">
        <v>40168</v>
      </c>
      <c r="H4412" s="4" t="s">
        <v>40</v>
      </c>
      <c r="I4412" s="6">
        <v>7500</v>
      </c>
      <c r="J4412" s="6">
        <v>7500</v>
      </c>
      <c r="K4412" s="37" t="s">
        <v>7102</v>
      </c>
      <c r="L4412" s="119"/>
      <c r="M4412" s="3"/>
    </row>
    <row r="4413" spans="1:13" s="4" customFormat="1" ht="25.5" x14ac:dyDescent="0.25">
      <c r="A4413" s="4" t="s">
        <v>7275</v>
      </c>
      <c r="B4413" s="4" t="s">
        <v>59</v>
      </c>
      <c r="C4413" s="37" t="s">
        <v>7102</v>
      </c>
      <c r="D4413" s="35">
        <v>5605</v>
      </c>
      <c r="E4413" s="4" t="s">
        <v>7276</v>
      </c>
      <c r="F4413" s="5">
        <v>40121</v>
      </c>
      <c r="G4413" s="5">
        <v>40499</v>
      </c>
      <c r="H4413" s="4" t="s">
        <v>40</v>
      </c>
      <c r="I4413" s="6">
        <v>15000</v>
      </c>
      <c r="J4413" s="6">
        <v>15000</v>
      </c>
      <c r="K4413" s="37" t="s">
        <v>7102</v>
      </c>
      <c r="L4413" s="119"/>
      <c r="M4413" s="3"/>
    </row>
    <row r="4414" spans="1:13" s="4" customFormat="1" ht="51" x14ac:dyDescent="0.25">
      <c r="A4414" s="4" t="s">
        <v>7277</v>
      </c>
      <c r="B4414" s="4" t="s">
        <v>90</v>
      </c>
      <c r="C4414" s="37" t="s">
        <v>7102</v>
      </c>
      <c r="D4414" s="35">
        <v>5606</v>
      </c>
      <c r="E4414" s="4" t="s">
        <v>7278</v>
      </c>
      <c r="F4414" s="5">
        <v>39924</v>
      </c>
      <c r="G4414" s="5">
        <v>39994</v>
      </c>
      <c r="H4414" s="4" t="s">
        <v>40</v>
      </c>
      <c r="I4414" s="6">
        <v>10200</v>
      </c>
      <c r="J4414" s="6">
        <v>5100</v>
      </c>
      <c r="K4414" s="37" t="s">
        <v>7102</v>
      </c>
      <c r="L4414" s="119"/>
      <c r="M4414" s="3"/>
    </row>
    <row r="4415" spans="1:13" s="4" customFormat="1" ht="25.5" x14ac:dyDescent="0.25">
      <c r="A4415" s="4" t="s">
        <v>7279</v>
      </c>
      <c r="B4415" s="4" t="s">
        <v>90</v>
      </c>
      <c r="C4415" s="37" t="s">
        <v>7102</v>
      </c>
      <c r="D4415" s="35">
        <v>5607</v>
      </c>
      <c r="E4415" s="4" t="s">
        <v>7280</v>
      </c>
      <c r="F4415" s="5">
        <v>39924</v>
      </c>
      <c r="G4415" s="5">
        <v>40072</v>
      </c>
      <c r="H4415" s="4" t="s">
        <v>40</v>
      </c>
      <c r="I4415" s="6">
        <v>3500</v>
      </c>
      <c r="J4415" s="6">
        <v>1750</v>
      </c>
      <c r="K4415" s="37" t="s">
        <v>7102</v>
      </c>
      <c r="L4415" s="119"/>
      <c r="M4415" s="3"/>
    </row>
    <row r="4416" spans="1:13" s="4" customFormat="1" ht="38.25" x14ac:dyDescent="0.25">
      <c r="A4416" s="4" t="s">
        <v>7281</v>
      </c>
      <c r="B4416" s="4" t="s">
        <v>90</v>
      </c>
      <c r="C4416" s="37" t="s">
        <v>7102</v>
      </c>
      <c r="D4416" s="35">
        <v>5634</v>
      </c>
      <c r="E4416" s="4" t="s">
        <v>7282</v>
      </c>
      <c r="F4416" s="5">
        <v>39798</v>
      </c>
      <c r="G4416" s="5">
        <v>40060</v>
      </c>
      <c r="H4416" s="4" t="s">
        <v>40</v>
      </c>
      <c r="I4416" s="6">
        <v>4829</v>
      </c>
      <c r="J4416" s="6">
        <v>2414</v>
      </c>
      <c r="K4416" s="37" t="s">
        <v>7102</v>
      </c>
      <c r="L4416" s="119"/>
      <c r="M4416" s="3"/>
    </row>
    <row r="4417" spans="1:13" s="4" customFormat="1" ht="51" x14ac:dyDescent="0.25">
      <c r="A4417" s="4" t="s">
        <v>7283</v>
      </c>
      <c r="B4417" s="4" t="s">
        <v>90</v>
      </c>
      <c r="C4417" s="37" t="s">
        <v>7102</v>
      </c>
      <c r="D4417" s="35">
        <v>5636</v>
      </c>
      <c r="E4417" s="4" t="s">
        <v>7284</v>
      </c>
      <c r="F4417" s="5">
        <v>39549</v>
      </c>
      <c r="G4417" s="5">
        <v>39953</v>
      </c>
      <c r="H4417" s="4" t="s">
        <v>40</v>
      </c>
      <c r="I4417" s="6">
        <v>8010</v>
      </c>
      <c r="J4417" s="6">
        <v>4005</v>
      </c>
      <c r="K4417" s="37" t="s">
        <v>7102</v>
      </c>
      <c r="L4417" s="119"/>
      <c r="M4417" s="3"/>
    </row>
    <row r="4418" spans="1:13" s="4" customFormat="1" ht="63.75" x14ac:dyDescent="0.25">
      <c r="A4418" s="4" t="s">
        <v>7285</v>
      </c>
      <c r="B4418" s="4" t="s">
        <v>90</v>
      </c>
      <c r="C4418" s="37" t="s">
        <v>7102</v>
      </c>
      <c r="D4418" s="35">
        <v>5637</v>
      </c>
      <c r="E4418" s="4" t="s">
        <v>7286</v>
      </c>
      <c r="F4418" s="5">
        <v>39924</v>
      </c>
      <c r="G4418" s="5">
        <v>40168</v>
      </c>
      <c r="H4418" s="4" t="s">
        <v>40</v>
      </c>
      <c r="I4418" s="6">
        <v>3600</v>
      </c>
      <c r="J4418" s="6">
        <v>1800</v>
      </c>
      <c r="K4418" s="37" t="s">
        <v>7102</v>
      </c>
      <c r="L4418" s="119"/>
      <c r="M4418" s="3"/>
    </row>
    <row r="4419" spans="1:13" s="4" customFormat="1" ht="25.5" x14ac:dyDescent="0.25">
      <c r="A4419" s="4" t="s">
        <v>7287</v>
      </c>
      <c r="B4419" s="4" t="s">
        <v>90</v>
      </c>
      <c r="C4419" s="37" t="s">
        <v>7102</v>
      </c>
      <c r="D4419" s="35">
        <v>5638</v>
      </c>
      <c r="E4419" s="4" t="s">
        <v>7288</v>
      </c>
      <c r="F4419" s="5">
        <v>40085</v>
      </c>
      <c r="G4419" s="5">
        <v>40168</v>
      </c>
      <c r="H4419" s="4" t="s">
        <v>40</v>
      </c>
      <c r="I4419" s="6">
        <v>10200</v>
      </c>
      <c r="J4419" s="6">
        <v>5100</v>
      </c>
      <c r="K4419" s="37" t="s">
        <v>7102</v>
      </c>
      <c r="L4419" s="119"/>
      <c r="M4419" s="3"/>
    </row>
    <row r="4420" spans="1:13" s="4" customFormat="1" ht="38.25" x14ac:dyDescent="0.25">
      <c r="A4420" s="4" t="s">
        <v>7289</v>
      </c>
      <c r="B4420" s="4" t="s">
        <v>90</v>
      </c>
      <c r="C4420" s="37" t="s">
        <v>7102</v>
      </c>
      <c r="D4420" s="35">
        <v>5639</v>
      </c>
      <c r="E4420" s="4" t="s">
        <v>7290</v>
      </c>
      <c r="F4420" s="5">
        <v>39924</v>
      </c>
      <c r="G4420" s="5">
        <v>40165</v>
      </c>
      <c r="H4420" s="4" t="s">
        <v>40</v>
      </c>
      <c r="I4420" s="6">
        <v>8000</v>
      </c>
      <c r="J4420" s="6">
        <v>4000</v>
      </c>
      <c r="K4420" s="37" t="s">
        <v>7102</v>
      </c>
      <c r="L4420" s="119"/>
      <c r="M4420" s="3"/>
    </row>
    <row r="4421" spans="1:13" s="4" customFormat="1" ht="25.5" x14ac:dyDescent="0.25">
      <c r="A4421" s="4" t="s">
        <v>7291</v>
      </c>
      <c r="B4421" s="4" t="s">
        <v>59</v>
      </c>
      <c r="C4421" s="37" t="s">
        <v>7102</v>
      </c>
      <c r="D4421" s="35">
        <v>5640</v>
      </c>
      <c r="E4421" s="4" t="s">
        <v>7292</v>
      </c>
      <c r="F4421" s="5">
        <v>39974</v>
      </c>
      <c r="G4421" s="5">
        <v>40253</v>
      </c>
      <c r="H4421" s="4" t="s">
        <v>40</v>
      </c>
      <c r="I4421" s="6">
        <v>7000</v>
      </c>
      <c r="J4421" s="6">
        <v>7000</v>
      </c>
      <c r="K4421" s="37" t="s">
        <v>7102</v>
      </c>
      <c r="L4421" s="119"/>
      <c r="M4421" s="3"/>
    </row>
    <row r="4422" spans="1:13" s="4" customFormat="1" ht="38.25" x14ac:dyDescent="0.25">
      <c r="A4422" s="4" t="s">
        <v>7295</v>
      </c>
      <c r="B4422" s="4" t="s">
        <v>90</v>
      </c>
      <c r="C4422" s="37" t="s">
        <v>7102</v>
      </c>
      <c r="D4422" s="35">
        <v>5642</v>
      </c>
      <c r="E4422" s="4" t="s">
        <v>7296</v>
      </c>
      <c r="F4422" s="5">
        <v>39616</v>
      </c>
      <c r="G4422" s="5">
        <v>39813</v>
      </c>
      <c r="H4422" s="4" t="s">
        <v>40</v>
      </c>
      <c r="I4422" s="6">
        <v>5490</v>
      </c>
      <c r="J4422" s="6">
        <v>2745</v>
      </c>
      <c r="K4422" s="37" t="s">
        <v>7102</v>
      </c>
      <c r="L4422" s="119"/>
      <c r="M4422" s="3"/>
    </row>
    <row r="4423" spans="1:13" s="4" customFormat="1" ht="63.75" x14ac:dyDescent="0.25">
      <c r="A4423" s="4" t="s">
        <v>7297</v>
      </c>
      <c r="B4423" s="4" t="s">
        <v>50</v>
      </c>
      <c r="C4423" s="37" t="s">
        <v>7102</v>
      </c>
      <c r="D4423" s="35">
        <v>5643</v>
      </c>
      <c r="E4423" s="4" t="s">
        <v>7298</v>
      </c>
      <c r="F4423" s="5">
        <v>39707</v>
      </c>
      <c r="G4423" s="5">
        <v>39813</v>
      </c>
      <c r="H4423" s="4" t="s">
        <v>40</v>
      </c>
      <c r="I4423" s="6">
        <v>36875</v>
      </c>
      <c r="J4423" s="6">
        <v>18437</v>
      </c>
      <c r="K4423" s="37" t="s">
        <v>7102</v>
      </c>
      <c r="L4423" s="119"/>
      <c r="M4423" s="3"/>
    </row>
    <row r="4424" spans="1:13" s="4" customFormat="1" ht="38.25" x14ac:dyDescent="0.25">
      <c r="A4424" s="4" t="s">
        <v>7299</v>
      </c>
      <c r="B4424" s="4" t="s">
        <v>183</v>
      </c>
      <c r="C4424" s="37" t="s">
        <v>7102</v>
      </c>
      <c r="D4424" s="35">
        <v>7531</v>
      </c>
      <c r="E4424" s="4" t="s">
        <v>7300</v>
      </c>
      <c r="F4424" s="5">
        <v>40246</v>
      </c>
      <c r="G4424" s="5">
        <v>40533</v>
      </c>
      <c r="H4424" s="4" t="s">
        <v>40</v>
      </c>
      <c r="I4424" s="6">
        <v>18575</v>
      </c>
      <c r="J4424" s="6">
        <v>11250</v>
      </c>
      <c r="K4424" s="37" t="s">
        <v>7102</v>
      </c>
      <c r="L4424" s="119"/>
      <c r="M4424" s="3"/>
    </row>
    <row r="4425" spans="1:13" s="4" customFormat="1" ht="38.25" x14ac:dyDescent="0.25">
      <c r="A4425" s="4" t="s">
        <v>7301</v>
      </c>
      <c r="B4425" s="4" t="s">
        <v>190</v>
      </c>
      <c r="C4425" s="37" t="s">
        <v>7102</v>
      </c>
      <c r="D4425" s="35">
        <v>7532</v>
      </c>
      <c r="E4425" s="4" t="s">
        <v>7302</v>
      </c>
      <c r="F4425" s="5">
        <v>40435</v>
      </c>
      <c r="G4425" s="5">
        <v>40533</v>
      </c>
      <c r="H4425" s="4" t="s">
        <v>40</v>
      </c>
      <c r="I4425" s="6">
        <v>22100</v>
      </c>
      <c r="J4425" s="6">
        <v>11050</v>
      </c>
      <c r="K4425" s="37" t="s">
        <v>7102</v>
      </c>
      <c r="L4425" s="119"/>
      <c r="M4425" s="3"/>
    </row>
    <row r="4426" spans="1:13" s="4" customFormat="1" ht="38.25" x14ac:dyDescent="0.25">
      <c r="A4426" s="4" t="s">
        <v>7303</v>
      </c>
      <c r="B4426" s="4" t="s">
        <v>90</v>
      </c>
      <c r="C4426" s="37" t="s">
        <v>7102</v>
      </c>
      <c r="D4426" s="35">
        <v>7533</v>
      </c>
      <c r="E4426" s="4" t="s">
        <v>7304</v>
      </c>
      <c r="F4426" s="5">
        <v>40246</v>
      </c>
      <c r="G4426" s="5">
        <v>40533</v>
      </c>
      <c r="H4426" s="4" t="s">
        <v>40</v>
      </c>
      <c r="I4426" s="6">
        <v>10000</v>
      </c>
      <c r="J4426" s="6">
        <v>5000</v>
      </c>
      <c r="K4426" s="37" t="s">
        <v>7102</v>
      </c>
      <c r="L4426" s="119"/>
      <c r="M4426" s="3"/>
    </row>
    <row r="4427" spans="1:13" s="4" customFormat="1" ht="25.5" x14ac:dyDescent="0.25">
      <c r="A4427" s="4" t="s">
        <v>7307</v>
      </c>
      <c r="B4427" s="4" t="s">
        <v>183</v>
      </c>
      <c r="C4427" s="37" t="s">
        <v>7102</v>
      </c>
      <c r="D4427" s="35">
        <v>7535</v>
      </c>
      <c r="E4427" s="4" t="s">
        <v>7308</v>
      </c>
      <c r="F4427" s="5">
        <v>40121</v>
      </c>
      <c r="G4427" s="5">
        <v>40534</v>
      </c>
      <c r="H4427" s="4" t="s">
        <v>40</v>
      </c>
      <c r="I4427" s="6">
        <v>36365</v>
      </c>
      <c r="J4427" s="6">
        <v>23149.5</v>
      </c>
      <c r="K4427" s="37" t="s">
        <v>7102</v>
      </c>
      <c r="L4427" s="119"/>
      <c r="M4427" s="3"/>
    </row>
    <row r="4428" spans="1:13" s="4" customFormat="1" ht="63.75" x14ac:dyDescent="0.25">
      <c r="A4428" s="4" t="s">
        <v>7309</v>
      </c>
      <c r="B4428" s="4" t="s">
        <v>183</v>
      </c>
      <c r="C4428" s="37" t="s">
        <v>7102</v>
      </c>
      <c r="D4428" s="35">
        <v>7536</v>
      </c>
      <c r="E4428" s="4" t="s">
        <v>7310</v>
      </c>
      <c r="F4428" s="5">
        <v>40435</v>
      </c>
      <c r="G4428" s="5">
        <v>40534</v>
      </c>
      <c r="H4428" s="4" t="s">
        <v>40</v>
      </c>
      <c r="I4428" s="6">
        <v>25896.58</v>
      </c>
      <c r="J4428" s="6">
        <v>12948</v>
      </c>
      <c r="K4428" s="37" t="s">
        <v>7102</v>
      </c>
      <c r="L4428" s="119"/>
      <c r="M4428" s="3"/>
    </row>
    <row r="4429" spans="1:13" s="4" customFormat="1" ht="51" x14ac:dyDescent="0.25">
      <c r="A4429" s="4" t="s">
        <v>7311</v>
      </c>
      <c r="B4429" s="4" t="s">
        <v>183</v>
      </c>
      <c r="C4429" s="37" t="s">
        <v>7102</v>
      </c>
      <c r="D4429" s="35">
        <v>7537</v>
      </c>
      <c r="E4429" s="4" t="s">
        <v>7312</v>
      </c>
      <c r="F4429" s="5">
        <v>40330</v>
      </c>
      <c r="G4429" s="5">
        <v>40520</v>
      </c>
      <c r="H4429" s="4" t="s">
        <v>40</v>
      </c>
      <c r="I4429" s="6">
        <v>5609</v>
      </c>
      <c r="J4429" s="6">
        <v>5000</v>
      </c>
      <c r="K4429" s="37" t="s">
        <v>7102</v>
      </c>
      <c r="L4429" s="119"/>
      <c r="M4429" s="3"/>
    </row>
    <row r="4430" spans="1:13" s="4" customFormat="1" ht="25.5" x14ac:dyDescent="0.25">
      <c r="A4430" s="4" t="s">
        <v>7313</v>
      </c>
      <c r="B4430" s="4" t="s">
        <v>90</v>
      </c>
      <c r="C4430" s="37" t="s">
        <v>7102</v>
      </c>
      <c r="D4430" s="35">
        <v>7538</v>
      </c>
      <c r="E4430" s="4" t="s">
        <v>7314</v>
      </c>
      <c r="F4430" s="5">
        <v>40527</v>
      </c>
      <c r="G4430" s="5">
        <v>40533</v>
      </c>
      <c r="H4430" s="4" t="s">
        <v>40</v>
      </c>
      <c r="I4430" s="6">
        <v>10200</v>
      </c>
      <c r="J4430" s="6">
        <v>5100</v>
      </c>
      <c r="K4430" s="37" t="s">
        <v>7102</v>
      </c>
      <c r="L4430" s="119"/>
      <c r="M4430" s="3"/>
    </row>
    <row r="4431" spans="1:13" s="4" customFormat="1" ht="38.25" x14ac:dyDescent="0.25">
      <c r="A4431" s="4" t="s">
        <v>7315</v>
      </c>
      <c r="B4431" s="4" t="s">
        <v>50</v>
      </c>
      <c r="C4431" s="37" t="s">
        <v>7102</v>
      </c>
      <c r="D4431" s="35">
        <v>7539</v>
      </c>
      <c r="E4431" s="4" t="s">
        <v>7316</v>
      </c>
      <c r="F4431" s="5">
        <v>39868</v>
      </c>
      <c r="G4431" s="5">
        <v>40253</v>
      </c>
      <c r="H4431" s="4" t="s">
        <v>40</v>
      </c>
      <c r="I4431" s="6">
        <v>78254</v>
      </c>
      <c r="J4431" s="6">
        <v>39127</v>
      </c>
      <c r="K4431" s="37" t="s">
        <v>7102</v>
      </c>
      <c r="L4431" s="119"/>
      <c r="M4431" s="3"/>
    </row>
    <row r="4432" spans="1:13" s="4" customFormat="1" ht="51" x14ac:dyDescent="0.25">
      <c r="A4432" s="4" t="s">
        <v>7317</v>
      </c>
      <c r="B4432" s="4" t="s">
        <v>59</v>
      </c>
      <c r="C4432" s="37" t="s">
        <v>7102</v>
      </c>
      <c r="D4432" s="35">
        <v>7540</v>
      </c>
      <c r="E4432" s="4" t="s">
        <v>7318</v>
      </c>
      <c r="F4432" s="5">
        <v>40162</v>
      </c>
      <c r="G4432" s="5">
        <v>40360</v>
      </c>
      <c r="H4432" s="4" t="s">
        <v>40</v>
      </c>
      <c r="I4432" s="6">
        <v>3500</v>
      </c>
      <c r="J4432" s="6">
        <v>3500</v>
      </c>
      <c r="K4432" s="37" t="s">
        <v>7102</v>
      </c>
      <c r="L4432" s="119"/>
      <c r="M4432" s="3"/>
    </row>
    <row r="4433" spans="1:13" s="4" customFormat="1" ht="51" x14ac:dyDescent="0.25">
      <c r="A4433" s="4" t="s">
        <v>7319</v>
      </c>
      <c r="B4433" s="4" t="s">
        <v>38</v>
      </c>
      <c r="C4433" s="37" t="s">
        <v>7102</v>
      </c>
      <c r="D4433" s="35">
        <v>7541</v>
      </c>
      <c r="E4433" s="4" t="s">
        <v>7320</v>
      </c>
      <c r="F4433" s="5">
        <v>40611</v>
      </c>
      <c r="G4433" s="5">
        <v>41639</v>
      </c>
      <c r="H4433" s="4" t="s">
        <v>40</v>
      </c>
      <c r="I4433" s="6">
        <v>8131.82</v>
      </c>
      <c r="J4433" s="6">
        <f>2439.82+5692</f>
        <v>8131.82</v>
      </c>
      <c r="K4433" s="37" t="s">
        <v>7102</v>
      </c>
      <c r="L4433" s="119"/>
      <c r="M4433" s="3"/>
    </row>
    <row r="4434" spans="1:13" s="4" customFormat="1" ht="38.25" x14ac:dyDescent="0.25">
      <c r="A4434" s="4" t="s">
        <v>7321</v>
      </c>
      <c r="B4434" s="4" t="s">
        <v>183</v>
      </c>
      <c r="C4434" s="37" t="s">
        <v>7102</v>
      </c>
      <c r="D4434" s="35">
        <v>7542</v>
      </c>
      <c r="E4434" s="4" t="s">
        <v>7322</v>
      </c>
      <c r="F4434" s="5">
        <v>40435</v>
      </c>
      <c r="G4434" s="5">
        <v>40514</v>
      </c>
      <c r="H4434" s="4" t="s">
        <v>40</v>
      </c>
      <c r="I4434" s="6">
        <v>4260</v>
      </c>
      <c r="J4434" s="6">
        <v>2130</v>
      </c>
      <c r="K4434" s="37" t="s">
        <v>7102</v>
      </c>
      <c r="L4434" s="119"/>
      <c r="M4434" s="3"/>
    </row>
    <row r="4435" spans="1:13" s="4" customFormat="1" ht="38.25" x14ac:dyDescent="0.25">
      <c r="A4435" s="4" t="s">
        <v>7323</v>
      </c>
      <c r="B4435" s="4" t="s">
        <v>90</v>
      </c>
      <c r="C4435" s="37" t="s">
        <v>7102</v>
      </c>
      <c r="D4435" s="35">
        <v>7543</v>
      </c>
      <c r="E4435" s="4" t="s">
        <v>7324</v>
      </c>
      <c r="F4435" s="5">
        <v>40085</v>
      </c>
      <c r="G4435" s="5">
        <v>40179</v>
      </c>
      <c r="H4435" s="4" t="s">
        <v>40</v>
      </c>
      <c r="I4435" s="6">
        <v>9980</v>
      </c>
      <c r="J4435" s="6">
        <v>4990</v>
      </c>
      <c r="K4435" s="37" t="s">
        <v>7102</v>
      </c>
      <c r="L4435" s="119"/>
      <c r="M4435" s="3"/>
    </row>
    <row r="4436" spans="1:13" s="4" customFormat="1" ht="51" x14ac:dyDescent="0.25">
      <c r="A4436" s="4" t="s">
        <v>7325</v>
      </c>
      <c r="B4436" s="4" t="s">
        <v>183</v>
      </c>
      <c r="C4436" s="37" t="s">
        <v>7102</v>
      </c>
      <c r="D4436" s="35">
        <v>7544</v>
      </c>
      <c r="E4436" s="4" t="s">
        <v>7326</v>
      </c>
      <c r="F4436" s="5">
        <v>40246</v>
      </c>
      <c r="G4436" s="5">
        <v>40466</v>
      </c>
      <c r="H4436" s="4" t="s">
        <v>40</v>
      </c>
      <c r="I4436" s="6">
        <v>54000</v>
      </c>
      <c r="J4436" s="6">
        <v>27000</v>
      </c>
      <c r="K4436" s="37" t="s">
        <v>7102</v>
      </c>
      <c r="L4436" s="119"/>
      <c r="M4436" s="3"/>
    </row>
    <row r="4437" spans="1:13" s="4" customFormat="1" ht="38.25" x14ac:dyDescent="0.25">
      <c r="A4437" s="4" t="s">
        <v>7327</v>
      </c>
      <c r="B4437" s="4" t="s">
        <v>183</v>
      </c>
      <c r="C4437" s="37" t="s">
        <v>7102</v>
      </c>
      <c r="D4437" s="35">
        <v>7545</v>
      </c>
      <c r="E4437" s="4" t="s">
        <v>7328</v>
      </c>
      <c r="F4437" s="5">
        <v>40330</v>
      </c>
      <c r="G4437" s="5">
        <v>40526</v>
      </c>
      <c r="H4437" s="4" t="s">
        <v>40</v>
      </c>
      <c r="I4437" s="6">
        <v>20000</v>
      </c>
      <c r="J4437" s="6">
        <v>10000</v>
      </c>
      <c r="K4437" s="37" t="s">
        <v>7102</v>
      </c>
      <c r="L4437" s="119"/>
      <c r="M4437" s="3"/>
    </row>
    <row r="4438" spans="1:13" s="4" customFormat="1" ht="25.5" x14ac:dyDescent="0.25">
      <c r="A4438" s="4" t="s">
        <v>7329</v>
      </c>
      <c r="B4438" s="4" t="s">
        <v>90</v>
      </c>
      <c r="C4438" s="37" t="s">
        <v>7102</v>
      </c>
      <c r="D4438" s="35">
        <v>7546</v>
      </c>
      <c r="E4438" s="4" t="s">
        <v>7330</v>
      </c>
      <c r="F4438" s="5">
        <v>40085</v>
      </c>
      <c r="G4438" s="5">
        <v>40218</v>
      </c>
      <c r="H4438" s="4" t="s">
        <v>40</v>
      </c>
      <c r="I4438" s="6">
        <v>1410</v>
      </c>
      <c r="J4438" s="6">
        <v>705</v>
      </c>
      <c r="K4438" s="37" t="s">
        <v>7102</v>
      </c>
      <c r="L4438" s="119"/>
      <c r="M4438" s="3"/>
    </row>
    <row r="4439" spans="1:13" s="4" customFormat="1" ht="25.5" x14ac:dyDescent="0.25">
      <c r="A4439" s="4" t="s">
        <v>7333</v>
      </c>
      <c r="B4439" s="4" t="s">
        <v>50</v>
      </c>
      <c r="C4439" s="37" t="s">
        <v>7102</v>
      </c>
      <c r="D4439" s="35">
        <v>7548</v>
      </c>
      <c r="E4439" s="4" t="s">
        <v>7334</v>
      </c>
      <c r="F4439" s="5">
        <v>40162</v>
      </c>
      <c r="G4439" s="5">
        <v>40253</v>
      </c>
      <c r="H4439" s="4" t="s">
        <v>40</v>
      </c>
      <c r="I4439" s="6">
        <v>15290</v>
      </c>
      <c r="J4439" s="6">
        <v>7645</v>
      </c>
      <c r="K4439" s="37" t="s">
        <v>7102</v>
      </c>
      <c r="L4439" s="119"/>
      <c r="M4439" s="3"/>
    </row>
    <row r="4440" spans="1:13" s="4" customFormat="1" ht="25.5" x14ac:dyDescent="0.25">
      <c r="A4440" s="4" t="s">
        <v>7335</v>
      </c>
      <c r="B4440" s="4" t="s">
        <v>190</v>
      </c>
      <c r="C4440" s="37" t="s">
        <v>7102</v>
      </c>
      <c r="D4440" s="35">
        <v>7549</v>
      </c>
      <c r="E4440" s="4" t="s">
        <v>7336</v>
      </c>
      <c r="F4440" s="5">
        <v>40330</v>
      </c>
      <c r="G4440" s="5">
        <v>40378</v>
      </c>
      <c r="H4440" s="4" t="s">
        <v>40</v>
      </c>
      <c r="I4440" s="6">
        <v>1900</v>
      </c>
      <c r="J4440" s="6">
        <v>950</v>
      </c>
      <c r="K4440" s="37" t="s">
        <v>7102</v>
      </c>
      <c r="L4440" s="119"/>
      <c r="M4440" s="3"/>
    </row>
    <row r="4441" spans="1:13" s="4" customFormat="1" ht="38.25" x14ac:dyDescent="0.25">
      <c r="A4441" s="4" t="s">
        <v>7337</v>
      </c>
      <c r="B4441" s="4" t="s">
        <v>59</v>
      </c>
      <c r="C4441" s="37" t="s">
        <v>7102</v>
      </c>
      <c r="D4441" s="35">
        <v>7550</v>
      </c>
      <c r="E4441" s="4" t="s">
        <v>7338</v>
      </c>
      <c r="F4441" s="5">
        <v>39974</v>
      </c>
      <c r="G4441" s="5">
        <v>40297</v>
      </c>
      <c r="H4441" s="4" t="s">
        <v>40</v>
      </c>
      <c r="I4441" s="6">
        <v>7500</v>
      </c>
      <c r="J4441" s="6">
        <v>7500</v>
      </c>
      <c r="K4441" s="37" t="s">
        <v>7102</v>
      </c>
      <c r="L4441" s="119"/>
      <c r="M4441" s="3"/>
    </row>
    <row r="4442" spans="1:13" s="4" customFormat="1" ht="63.75" x14ac:dyDescent="0.25">
      <c r="A4442" s="4" t="s">
        <v>7341</v>
      </c>
      <c r="B4442" s="4" t="s">
        <v>183</v>
      </c>
      <c r="C4442" s="37" t="s">
        <v>7102</v>
      </c>
      <c r="D4442" s="35">
        <v>8854</v>
      </c>
      <c r="E4442" s="4" t="s">
        <v>7342</v>
      </c>
      <c r="F4442" s="5">
        <v>40610</v>
      </c>
      <c r="G4442" s="5">
        <v>40764</v>
      </c>
      <c r="H4442" s="4" t="s">
        <v>40</v>
      </c>
      <c r="I4442" s="6">
        <v>59938</v>
      </c>
      <c r="J4442" s="6">
        <v>29969</v>
      </c>
      <c r="K4442" s="37" t="s">
        <v>7102</v>
      </c>
      <c r="L4442" s="119"/>
      <c r="M4442" s="3"/>
    </row>
    <row r="4443" spans="1:13" s="4" customFormat="1" ht="51" x14ac:dyDescent="0.25">
      <c r="A4443" s="4" t="s">
        <v>7343</v>
      </c>
      <c r="B4443" s="4" t="s">
        <v>190</v>
      </c>
      <c r="C4443" s="37" t="s">
        <v>7102</v>
      </c>
      <c r="D4443" s="35">
        <v>8855</v>
      </c>
      <c r="E4443" s="4" t="s">
        <v>7344</v>
      </c>
      <c r="F4443" s="5">
        <v>40561</v>
      </c>
      <c r="G4443" s="5">
        <v>40861</v>
      </c>
      <c r="H4443" s="4" t="s">
        <v>40</v>
      </c>
      <c r="I4443" s="6">
        <v>25860</v>
      </c>
      <c r="J4443" s="6">
        <v>12930</v>
      </c>
      <c r="K4443" s="37" t="s">
        <v>7102</v>
      </c>
      <c r="L4443" s="119"/>
      <c r="M4443" s="3"/>
    </row>
    <row r="4444" spans="1:13" s="4" customFormat="1" ht="51" x14ac:dyDescent="0.25">
      <c r="A4444" s="4" t="s">
        <v>7345</v>
      </c>
      <c r="B4444" s="4" t="s">
        <v>183</v>
      </c>
      <c r="C4444" s="37" t="s">
        <v>7102</v>
      </c>
      <c r="D4444" s="35">
        <v>8857</v>
      </c>
      <c r="E4444" s="4" t="s">
        <v>7346</v>
      </c>
      <c r="F4444" s="5">
        <v>40862</v>
      </c>
      <c r="G4444" s="5">
        <v>41138</v>
      </c>
      <c r="H4444" s="4" t="s">
        <v>40</v>
      </c>
      <c r="I4444" s="6">
        <v>12100</v>
      </c>
      <c r="J4444" s="6">
        <v>9800</v>
      </c>
      <c r="K4444" s="37" t="s">
        <v>7102</v>
      </c>
      <c r="L4444" s="119"/>
      <c r="M4444" s="3"/>
    </row>
    <row r="4445" spans="1:13" s="4" customFormat="1" ht="38.25" x14ac:dyDescent="0.25">
      <c r="A4445" s="4" t="s">
        <v>7347</v>
      </c>
      <c r="B4445" s="4" t="s">
        <v>190</v>
      </c>
      <c r="C4445" s="37" t="s">
        <v>7102</v>
      </c>
      <c r="D4445" s="35">
        <v>8858</v>
      </c>
      <c r="E4445" s="4" t="s">
        <v>7348</v>
      </c>
      <c r="F4445" s="5">
        <v>40330</v>
      </c>
      <c r="G4445" s="5">
        <v>40617</v>
      </c>
      <c r="H4445" s="4" t="s">
        <v>40</v>
      </c>
      <c r="I4445" s="6">
        <v>25482</v>
      </c>
      <c r="J4445" s="6">
        <v>12741</v>
      </c>
      <c r="K4445" s="37" t="s">
        <v>7102</v>
      </c>
      <c r="L4445" s="119"/>
      <c r="M4445" s="3"/>
    </row>
    <row r="4446" spans="1:13" s="4" customFormat="1" ht="25.5" x14ac:dyDescent="0.25">
      <c r="A4446" s="4" t="s">
        <v>7349</v>
      </c>
      <c r="B4446" s="4" t="s">
        <v>183</v>
      </c>
      <c r="C4446" s="37" t="s">
        <v>7102</v>
      </c>
      <c r="D4446" s="35">
        <v>8861</v>
      </c>
      <c r="E4446" s="4" t="s">
        <v>7350</v>
      </c>
      <c r="F4446" s="5">
        <v>40680</v>
      </c>
      <c r="G4446" s="5">
        <v>40816</v>
      </c>
      <c r="H4446" s="4" t="s">
        <v>40</v>
      </c>
      <c r="I4446" s="6">
        <v>4320</v>
      </c>
      <c r="J4446" s="6">
        <v>2160</v>
      </c>
      <c r="K4446" s="37" t="s">
        <v>7102</v>
      </c>
      <c r="L4446" s="119"/>
      <c r="M4446" s="3"/>
    </row>
    <row r="4447" spans="1:13" s="4" customFormat="1" ht="38.25" x14ac:dyDescent="0.25">
      <c r="A4447" s="4" t="s">
        <v>7351</v>
      </c>
      <c r="B4447" s="4" t="s">
        <v>190</v>
      </c>
      <c r="C4447" s="37" t="s">
        <v>7102</v>
      </c>
      <c r="D4447" s="35">
        <v>8862</v>
      </c>
      <c r="E4447" s="4" t="s">
        <v>7352</v>
      </c>
      <c r="F4447" s="5">
        <v>40680</v>
      </c>
      <c r="G4447" s="5">
        <v>40842</v>
      </c>
      <c r="H4447" s="4" t="s">
        <v>40</v>
      </c>
      <c r="I4447" s="6">
        <v>4300</v>
      </c>
      <c r="J4447" s="6">
        <v>2150</v>
      </c>
      <c r="K4447" s="37" t="s">
        <v>7102</v>
      </c>
      <c r="L4447" s="119"/>
      <c r="M4447" s="3"/>
    </row>
    <row r="4448" spans="1:13" s="4" customFormat="1" ht="51" x14ac:dyDescent="0.25">
      <c r="A4448" s="4" t="s">
        <v>7353</v>
      </c>
      <c r="B4448" s="4" t="s">
        <v>183</v>
      </c>
      <c r="C4448" s="37" t="s">
        <v>7102</v>
      </c>
      <c r="D4448" s="35">
        <v>8863</v>
      </c>
      <c r="E4448" s="4" t="s">
        <v>7354</v>
      </c>
      <c r="F4448" s="5">
        <v>40435</v>
      </c>
      <c r="G4448" s="5">
        <v>40694</v>
      </c>
      <c r="H4448" s="4" t="s">
        <v>40</v>
      </c>
      <c r="I4448" s="6">
        <v>9906</v>
      </c>
      <c r="J4448" s="6">
        <v>4953</v>
      </c>
      <c r="K4448" s="37" t="s">
        <v>7102</v>
      </c>
      <c r="L4448" s="119"/>
      <c r="M4448" s="3"/>
    </row>
    <row r="4449" spans="1:13" s="4" customFormat="1" ht="38.25" x14ac:dyDescent="0.25">
      <c r="A4449" s="4" t="s">
        <v>7355</v>
      </c>
      <c r="B4449" s="4" t="s">
        <v>190</v>
      </c>
      <c r="C4449" s="37" t="s">
        <v>7102</v>
      </c>
      <c r="D4449" s="35">
        <v>8864</v>
      </c>
      <c r="E4449" s="4" t="s">
        <v>7356</v>
      </c>
      <c r="F4449" s="5">
        <v>40799</v>
      </c>
      <c r="G4449" s="5">
        <v>40870</v>
      </c>
      <c r="H4449" s="4" t="s">
        <v>40</v>
      </c>
      <c r="I4449" s="6">
        <v>20000</v>
      </c>
      <c r="J4449" s="6">
        <v>10000</v>
      </c>
      <c r="K4449" s="37" t="s">
        <v>7102</v>
      </c>
      <c r="L4449" s="119"/>
      <c r="M4449" s="3"/>
    </row>
    <row r="4450" spans="1:13" s="4" customFormat="1" ht="63.75" x14ac:dyDescent="0.25">
      <c r="A4450" s="4" t="s">
        <v>7357</v>
      </c>
      <c r="B4450" s="4" t="s">
        <v>190</v>
      </c>
      <c r="C4450" s="37" t="s">
        <v>7102</v>
      </c>
      <c r="D4450" s="35">
        <v>8865</v>
      </c>
      <c r="E4450" s="4" t="s">
        <v>7358</v>
      </c>
      <c r="F4450" s="5">
        <v>40610</v>
      </c>
      <c r="G4450" s="5">
        <v>40897</v>
      </c>
      <c r="H4450" s="4" t="s">
        <v>40</v>
      </c>
      <c r="I4450" s="6">
        <v>34790</v>
      </c>
      <c r="J4450" s="6">
        <v>17395</v>
      </c>
      <c r="K4450" s="37" t="s">
        <v>7102</v>
      </c>
      <c r="L4450" s="119"/>
      <c r="M4450" s="3"/>
    </row>
    <row r="4451" spans="1:13" ht="38.25" x14ac:dyDescent="0.25">
      <c r="A4451" s="13" t="s">
        <v>11076</v>
      </c>
      <c r="B4451" s="13" t="s">
        <v>38</v>
      </c>
      <c r="C4451" s="20" t="s">
        <v>7102</v>
      </c>
      <c r="D4451" s="19">
        <v>8866</v>
      </c>
      <c r="E4451" s="13" t="s">
        <v>11077</v>
      </c>
      <c r="F4451" s="14">
        <v>41275</v>
      </c>
      <c r="G4451" s="14">
        <v>41639</v>
      </c>
      <c r="H4451" s="13" t="s">
        <v>651</v>
      </c>
      <c r="I4451" s="18">
        <v>10400</v>
      </c>
      <c r="J4451" s="18">
        <v>5200</v>
      </c>
      <c r="K4451" s="20" t="s">
        <v>7102</v>
      </c>
    </row>
    <row r="4452" spans="1:13" s="4" customFormat="1" ht="38.25" x14ac:dyDescent="0.25">
      <c r="A4452" s="4" t="s">
        <v>7361</v>
      </c>
      <c r="B4452" s="4" t="s">
        <v>190</v>
      </c>
      <c r="C4452" s="37" t="s">
        <v>7102</v>
      </c>
      <c r="D4452" s="35">
        <v>8868</v>
      </c>
      <c r="E4452" s="4" t="s">
        <v>7362</v>
      </c>
      <c r="F4452" s="5">
        <v>40711</v>
      </c>
      <c r="G4452" s="5">
        <v>40722</v>
      </c>
      <c r="H4452" s="4" t="s">
        <v>40</v>
      </c>
      <c r="I4452" s="6">
        <v>15000</v>
      </c>
      <c r="J4452" s="6">
        <v>7500</v>
      </c>
      <c r="K4452" s="37" t="s">
        <v>7102</v>
      </c>
      <c r="L4452" s="119"/>
      <c r="M4452" s="3"/>
    </row>
    <row r="4453" spans="1:13" s="4" customFormat="1" ht="76.5" x14ac:dyDescent="0.25">
      <c r="A4453" s="4" t="s">
        <v>7363</v>
      </c>
      <c r="B4453" s="4" t="s">
        <v>190</v>
      </c>
      <c r="C4453" s="37" t="s">
        <v>7102</v>
      </c>
      <c r="D4453" s="35">
        <v>8869</v>
      </c>
      <c r="E4453" s="4" t="s">
        <v>7364</v>
      </c>
      <c r="F4453" s="5">
        <v>40799</v>
      </c>
      <c r="G4453" s="5">
        <v>40842</v>
      </c>
      <c r="H4453" s="4" t="s">
        <v>40</v>
      </c>
      <c r="I4453" s="6">
        <v>28000</v>
      </c>
      <c r="J4453" s="6">
        <v>14000</v>
      </c>
      <c r="K4453" s="37" t="s">
        <v>7102</v>
      </c>
      <c r="L4453" s="119"/>
      <c r="M4453" s="3"/>
    </row>
    <row r="4454" spans="1:13" s="4" customFormat="1" ht="38.25" x14ac:dyDescent="0.25">
      <c r="A4454" s="4" t="s">
        <v>7365</v>
      </c>
      <c r="B4454" s="4" t="s">
        <v>183</v>
      </c>
      <c r="C4454" s="37" t="s">
        <v>7102</v>
      </c>
      <c r="D4454" s="35">
        <v>8870</v>
      </c>
      <c r="E4454" s="4" t="s">
        <v>7366</v>
      </c>
      <c r="F4454" s="5">
        <v>40527</v>
      </c>
      <c r="G4454" s="5">
        <v>40633</v>
      </c>
      <c r="H4454" s="4" t="s">
        <v>40</v>
      </c>
      <c r="I4454" s="6">
        <v>4100</v>
      </c>
      <c r="J4454" s="6">
        <v>2050</v>
      </c>
      <c r="K4454" s="37" t="s">
        <v>7102</v>
      </c>
      <c r="L4454" s="119"/>
      <c r="M4454" s="3"/>
    </row>
    <row r="4455" spans="1:13" s="4" customFormat="1" ht="38.25" x14ac:dyDescent="0.25">
      <c r="A4455" s="4" t="s">
        <v>7367</v>
      </c>
      <c r="B4455" s="4" t="s">
        <v>190</v>
      </c>
      <c r="C4455" s="37" t="s">
        <v>7102</v>
      </c>
      <c r="D4455" s="35">
        <v>8871</v>
      </c>
      <c r="E4455" s="4" t="s">
        <v>7368</v>
      </c>
      <c r="F4455" s="5">
        <v>40610</v>
      </c>
      <c r="G4455" s="5">
        <v>40900</v>
      </c>
      <c r="H4455" s="4" t="s">
        <v>40</v>
      </c>
      <c r="I4455" s="6">
        <v>10244.44</v>
      </c>
      <c r="J4455" s="6">
        <v>5122</v>
      </c>
      <c r="K4455" s="37" t="s">
        <v>7102</v>
      </c>
      <c r="L4455" s="119"/>
      <c r="M4455" s="3"/>
    </row>
    <row r="4456" spans="1:13" s="4" customFormat="1" ht="38.25" x14ac:dyDescent="0.25">
      <c r="A4456" s="4" t="s">
        <v>7369</v>
      </c>
      <c r="B4456" s="4" t="s">
        <v>183</v>
      </c>
      <c r="C4456" s="37" t="s">
        <v>7102</v>
      </c>
      <c r="D4456" s="35">
        <v>8872</v>
      </c>
      <c r="E4456" s="4" t="s">
        <v>7370</v>
      </c>
      <c r="F4456" s="5">
        <v>40435</v>
      </c>
      <c r="G4456" s="5">
        <v>40798</v>
      </c>
      <c r="H4456" s="4" t="s">
        <v>40</v>
      </c>
      <c r="I4456" s="6">
        <v>19552</v>
      </c>
      <c r="J4456" s="6">
        <v>9776</v>
      </c>
      <c r="K4456" s="37" t="s">
        <v>7102</v>
      </c>
      <c r="L4456" s="119"/>
      <c r="M4456" s="3"/>
    </row>
    <row r="4457" spans="1:13" s="4" customFormat="1" ht="51" x14ac:dyDescent="0.25">
      <c r="A4457" s="4" t="s">
        <v>7371</v>
      </c>
      <c r="B4457" s="4" t="s">
        <v>190</v>
      </c>
      <c r="C4457" s="37" t="s">
        <v>7102</v>
      </c>
      <c r="D4457" s="35">
        <v>8873</v>
      </c>
      <c r="E4457" s="4" t="s">
        <v>7372</v>
      </c>
      <c r="F4457" s="5">
        <v>40561</v>
      </c>
      <c r="G4457" s="5">
        <v>40732</v>
      </c>
      <c r="H4457" s="4" t="s">
        <v>40</v>
      </c>
      <c r="I4457" s="6">
        <v>60000</v>
      </c>
      <c r="J4457" s="6">
        <v>30000</v>
      </c>
      <c r="K4457" s="37" t="s">
        <v>7102</v>
      </c>
      <c r="L4457" s="119"/>
      <c r="M4457" s="3"/>
    </row>
    <row r="4458" spans="1:13" s="4" customFormat="1" ht="38.25" x14ac:dyDescent="0.25">
      <c r="A4458" s="4" t="s">
        <v>7373</v>
      </c>
      <c r="B4458" s="4" t="s">
        <v>190</v>
      </c>
      <c r="C4458" s="37" t="s">
        <v>7102</v>
      </c>
      <c r="D4458" s="35">
        <v>8874</v>
      </c>
      <c r="E4458" s="4" t="s">
        <v>7374</v>
      </c>
      <c r="F4458" s="5">
        <v>40890</v>
      </c>
      <c r="G4458" s="5">
        <v>40897</v>
      </c>
      <c r="H4458" s="4" t="s">
        <v>40</v>
      </c>
      <c r="I4458" s="6">
        <v>29250</v>
      </c>
      <c r="J4458" s="6">
        <v>14625</v>
      </c>
      <c r="K4458" s="37" t="s">
        <v>7102</v>
      </c>
      <c r="L4458" s="119"/>
      <c r="M4458" s="3"/>
    </row>
    <row r="4459" spans="1:13" s="4" customFormat="1" ht="38.25" x14ac:dyDescent="0.25">
      <c r="A4459" s="4" t="s">
        <v>7375</v>
      </c>
      <c r="B4459" s="4" t="s">
        <v>183</v>
      </c>
      <c r="C4459" s="37" t="s">
        <v>7102</v>
      </c>
      <c r="D4459" s="35">
        <v>8875</v>
      </c>
      <c r="E4459" s="4" t="s">
        <v>7376</v>
      </c>
      <c r="F4459" s="5">
        <v>40527</v>
      </c>
      <c r="G4459" s="5">
        <v>40666</v>
      </c>
      <c r="H4459" s="4" t="s">
        <v>40</v>
      </c>
      <c r="I4459" s="6">
        <v>2980</v>
      </c>
      <c r="J4459" s="6">
        <v>1490</v>
      </c>
      <c r="K4459" s="37" t="s">
        <v>7102</v>
      </c>
      <c r="L4459" s="119"/>
      <c r="M4459" s="3"/>
    </row>
    <row r="4460" spans="1:13" s="4" customFormat="1" ht="38.25" x14ac:dyDescent="0.25">
      <c r="A4460" s="4" t="s">
        <v>7377</v>
      </c>
      <c r="B4460" s="4" t="s">
        <v>183</v>
      </c>
      <c r="C4460" s="37" t="s">
        <v>7102</v>
      </c>
      <c r="D4460" s="35">
        <v>8876</v>
      </c>
      <c r="E4460" s="4" t="s">
        <v>7378</v>
      </c>
      <c r="F4460" s="5">
        <v>40680</v>
      </c>
      <c r="G4460" s="5">
        <v>40886</v>
      </c>
      <c r="H4460" s="4" t="s">
        <v>40</v>
      </c>
      <c r="I4460" s="6">
        <v>2376</v>
      </c>
      <c r="J4460" s="6">
        <v>1188</v>
      </c>
      <c r="K4460" s="37" t="s">
        <v>7102</v>
      </c>
      <c r="L4460" s="119"/>
      <c r="M4460" s="3"/>
    </row>
    <row r="4461" spans="1:13" s="4" customFormat="1" ht="38.25" x14ac:dyDescent="0.25">
      <c r="A4461" s="4" t="s">
        <v>7379</v>
      </c>
      <c r="B4461" s="4" t="s">
        <v>183</v>
      </c>
      <c r="C4461" s="37" t="s">
        <v>7102</v>
      </c>
      <c r="D4461" s="35">
        <v>8877</v>
      </c>
      <c r="E4461" s="4" t="s">
        <v>7380</v>
      </c>
      <c r="F4461" s="5">
        <v>40527</v>
      </c>
      <c r="G4461" s="5">
        <v>40792</v>
      </c>
      <c r="H4461" s="4" t="s">
        <v>40</v>
      </c>
      <c r="I4461" s="6">
        <v>17173</v>
      </c>
      <c r="J4461" s="6">
        <v>8586</v>
      </c>
      <c r="K4461" s="37" t="s">
        <v>7102</v>
      </c>
      <c r="L4461" s="119"/>
      <c r="M4461" s="3"/>
    </row>
    <row r="4462" spans="1:13" s="4" customFormat="1" ht="63.75" x14ac:dyDescent="0.25">
      <c r="A4462" s="4" t="s">
        <v>7385</v>
      </c>
      <c r="B4462" s="4" t="s">
        <v>38</v>
      </c>
      <c r="C4462" s="37" t="s">
        <v>7102</v>
      </c>
      <c r="D4462" s="35">
        <v>8910</v>
      </c>
      <c r="E4462" s="4" t="s">
        <v>7386</v>
      </c>
      <c r="F4462" s="5">
        <v>40610</v>
      </c>
      <c r="G4462" s="5">
        <v>41639</v>
      </c>
      <c r="H4462" s="4" t="s">
        <v>40</v>
      </c>
      <c r="I4462" s="6">
        <f>16757.16+41060.6+8576.5</f>
        <v>66394.259999999995</v>
      </c>
      <c r="J4462" s="6">
        <f>12666.83+20530.3</f>
        <v>33197.129999999997</v>
      </c>
      <c r="K4462" s="37" t="s">
        <v>7102</v>
      </c>
      <c r="L4462" s="119"/>
      <c r="M4462" s="3"/>
    </row>
    <row r="4463" spans="1:13" s="4" customFormat="1" ht="38.25" x14ac:dyDescent="0.25">
      <c r="A4463" s="4" t="s">
        <v>7387</v>
      </c>
      <c r="B4463" s="4" t="s">
        <v>38</v>
      </c>
      <c r="C4463" s="37" t="s">
        <v>7102</v>
      </c>
      <c r="D4463" s="35">
        <v>8911</v>
      </c>
      <c r="E4463" s="4" t="s">
        <v>7388</v>
      </c>
      <c r="F4463" s="5">
        <v>40544</v>
      </c>
      <c r="G4463" s="5">
        <v>41639</v>
      </c>
      <c r="H4463" s="4" t="s">
        <v>40</v>
      </c>
      <c r="I4463" s="6">
        <f>11224+14307.76+9149</f>
        <v>34680.76</v>
      </c>
      <c r="J4463" s="6">
        <f>10186.5+7153.88</f>
        <v>17340.38</v>
      </c>
      <c r="K4463" s="37" t="s">
        <v>7102</v>
      </c>
      <c r="L4463" s="119"/>
      <c r="M4463" s="3"/>
    </row>
    <row r="4464" spans="1:13" s="4" customFormat="1" ht="25.5" x14ac:dyDescent="0.25">
      <c r="A4464" s="4" t="s">
        <v>7389</v>
      </c>
      <c r="B4464" s="4" t="s">
        <v>38</v>
      </c>
      <c r="C4464" s="37" t="s">
        <v>7102</v>
      </c>
      <c r="D4464" s="35">
        <v>9151</v>
      </c>
      <c r="E4464" s="4" t="s">
        <v>7390</v>
      </c>
      <c r="F4464" s="5">
        <v>40609</v>
      </c>
      <c r="G4464" s="5">
        <v>40908</v>
      </c>
      <c r="H4464" s="4" t="s">
        <v>40</v>
      </c>
      <c r="I4464" s="6">
        <v>2099.56</v>
      </c>
      <c r="J4464" s="6">
        <v>2099.56</v>
      </c>
      <c r="K4464" s="37" t="s">
        <v>7102</v>
      </c>
      <c r="L4464" s="119"/>
      <c r="M4464" s="3"/>
    </row>
    <row r="4465" spans="1:13" s="4" customFormat="1" ht="63.75" x14ac:dyDescent="0.25">
      <c r="A4465" s="4" t="s">
        <v>7391</v>
      </c>
      <c r="B4465" s="4" t="s">
        <v>13</v>
      </c>
      <c r="C4465" s="37" t="s">
        <v>7102</v>
      </c>
      <c r="D4465" s="35">
        <v>9203</v>
      </c>
      <c r="E4465" s="4" t="s">
        <v>7392</v>
      </c>
      <c r="F4465" s="5">
        <v>40776</v>
      </c>
      <c r="G4465" s="5">
        <v>40776</v>
      </c>
      <c r="H4465" s="4" t="s">
        <v>40</v>
      </c>
      <c r="I4465" s="6">
        <v>500</v>
      </c>
      <c r="J4465" s="6">
        <v>500</v>
      </c>
      <c r="K4465" s="37" t="s">
        <v>7102</v>
      </c>
      <c r="L4465" s="119"/>
      <c r="M4465" s="3"/>
    </row>
    <row r="4466" spans="1:13" s="4" customFormat="1" ht="51" x14ac:dyDescent="0.25">
      <c r="A4466" s="4" t="s">
        <v>7393</v>
      </c>
      <c r="B4466" s="4" t="s">
        <v>38</v>
      </c>
      <c r="C4466" s="37" t="s">
        <v>7102</v>
      </c>
      <c r="D4466" s="35">
        <v>9205</v>
      </c>
      <c r="E4466" s="4" t="s">
        <v>7394</v>
      </c>
      <c r="F4466" s="5">
        <v>40611</v>
      </c>
      <c r="G4466" s="5">
        <v>40908</v>
      </c>
      <c r="H4466" s="4" t="s">
        <v>40</v>
      </c>
      <c r="I4466" s="6">
        <v>4832</v>
      </c>
      <c r="J4466" s="6">
        <v>2416</v>
      </c>
      <c r="K4466" s="37" t="s">
        <v>7102</v>
      </c>
      <c r="L4466" s="119"/>
      <c r="M4466" s="3"/>
    </row>
    <row r="4467" spans="1:13" s="4" customFormat="1" ht="38.25" x14ac:dyDescent="0.25">
      <c r="A4467" s="4" t="s">
        <v>7395</v>
      </c>
      <c r="B4467" s="4" t="s">
        <v>90</v>
      </c>
      <c r="C4467" s="37" t="s">
        <v>7102</v>
      </c>
      <c r="D4467" s="35">
        <v>9209</v>
      </c>
      <c r="E4467" s="4" t="s">
        <v>7396</v>
      </c>
      <c r="F4467" s="5">
        <v>40799</v>
      </c>
      <c r="G4467" s="5">
        <v>41148</v>
      </c>
      <c r="H4467" s="4" t="s">
        <v>40</v>
      </c>
      <c r="I4467" s="6">
        <v>6000</v>
      </c>
      <c r="J4467" s="6">
        <v>3000</v>
      </c>
      <c r="K4467" s="37" t="s">
        <v>7102</v>
      </c>
      <c r="L4467" s="119"/>
      <c r="M4467" s="3"/>
    </row>
    <row r="4468" spans="1:13" s="4" customFormat="1" ht="63.75" x14ac:dyDescent="0.25">
      <c r="A4468" s="4" t="s">
        <v>7397</v>
      </c>
      <c r="B4468" s="4" t="s">
        <v>190</v>
      </c>
      <c r="C4468" s="37" t="s">
        <v>7102</v>
      </c>
      <c r="D4468" s="35">
        <v>10920</v>
      </c>
      <c r="E4468" s="4" t="s">
        <v>7398</v>
      </c>
      <c r="F4468" s="5">
        <v>41220</v>
      </c>
      <c r="H4468" s="4" t="s">
        <v>40</v>
      </c>
      <c r="I4468" s="6">
        <v>84880</v>
      </c>
      <c r="J4468" s="6">
        <v>42440</v>
      </c>
      <c r="K4468" s="37" t="s">
        <v>7102</v>
      </c>
      <c r="L4468" s="119"/>
      <c r="M4468" s="3"/>
    </row>
    <row r="4469" spans="1:13" s="4" customFormat="1" ht="76.5" x14ac:dyDescent="0.25">
      <c r="A4469" s="4" t="s">
        <v>7399</v>
      </c>
      <c r="B4469" s="4" t="s">
        <v>90</v>
      </c>
      <c r="C4469" s="37" t="s">
        <v>7102</v>
      </c>
      <c r="D4469" s="35">
        <v>10921</v>
      </c>
      <c r="E4469" s="4" t="s">
        <v>7400</v>
      </c>
      <c r="F4469" s="5">
        <v>41072</v>
      </c>
      <c r="G4469" s="5">
        <v>41261</v>
      </c>
      <c r="H4469" s="4" t="s">
        <v>40</v>
      </c>
      <c r="I4469" s="6">
        <v>7312</v>
      </c>
      <c r="J4469" s="6">
        <v>3656</v>
      </c>
      <c r="K4469" s="37" t="s">
        <v>7102</v>
      </c>
      <c r="L4469" s="119"/>
      <c r="M4469" s="3"/>
    </row>
    <row r="4470" spans="1:13" s="4" customFormat="1" ht="76.5" x14ac:dyDescent="0.25">
      <c r="A4470" s="4" t="s">
        <v>7401</v>
      </c>
      <c r="B4470" s="4" t="s">
        <v>190</v>
      </c>
      <c r="C4470" s="37" t="s">
        <v>7102</v>
      </c>
      <c r="D4470" s="35">
        <v>10922</v>
      </c>
      <c r="E4470" s="4" t="s">
        <v>7402</v>
      </c>
      <c r="F4470" s="5">
        <v>40953</v>
      </c>
      <c r="G4470" s="5">
        <v>41138</v>
      </c>
      <c r="H4470" s="4" t="s">
        <v>40</v>
      </c>
      <c r="I4470" s="6">
        <v>15165</v>
      </c>
      <c r="J4470" s="6">
        <v>11000</v>
      </c>
      <c r="K4470" s="37" t="s">
        <v>7102</v>
      </c>
      <c r="L4470" s="119"/>
      <c r="M4470" s="3"/>
    </row>
    <row r="4471" spans="1:13" s="4" customFormat="1" ht="38.25" x14ac:dyDescent="0.25">
      <c r="A4471" s="4" t="s">
        <v>7403</v>
      </c>
      <c r="B4471" s="4" t="s">
        <v>183</v>
      </c>
      <c r="C4471" s="37" t="s">
        <v>7102</v>
      </c>
      <c r="D4471" s="35">
        <v>10923</v>
      </c>
      <c r="E4471" s="4" t="s">
        <v>7404</v>
      </c>
      <c r="F4471" s="5">
        <v>41072</v>
      </c>
      <c r="G4471" s="5">
        <v>41261</v>
      </c>
      <c r="H4471" s="4" t="s">
        <v>40</v>
      </c>
      <c r="I4471" s="6">
        <v>16252</v>
      </c>
      <c r="J4471" s="6">
        <v>8126</v>
      </c>
      <c r="K4471" s="37" t="s">
        <v>7102</v>
      </c>
      <c r="L4471" s="119"/>
      <c r="M4471" s="3"/>
    </row>
    <row r="4472" spans="1:13" s="4" customFormat="1" ht="63.75" x14ac:dyDescent="0.25">
      <c r="A4472" s="4" t="s">
        <v>7405</v>
      </c>
      <c r="B4472" s="4" t="s">
        <v>183</v>
      </c>
      <c r="C4472" s="37" t="s">
        <v>7102</v>
      </c>
      <c r="D4472" s="35">
        <v>10924</v>
      </c>
      <c r="E4472" s="4" t="s">
        <v>7406</v>
      </c>
      <c r="F4472" s="5">
        <v>40953</v>
      </c>
      <c r="G4472" s="5">
        <v>41261</v>
      </c>
      <c r="H4472" s="4" t="s">
        <v>40</v>
      </c>
      <c r="I4472" s="6">
        <v>63472</v>
      </c>
      <c r="J4472" s="6">
        <v>31736</v>
      </c>
      <c r="K4472" s="37" t="s">
        <v>7102</v>
      </c>
      <c r="L4472" s="119"/>
      <c r="M4472" s="3"/>
    </row>
    <row r="4473" spans="1:13" s="4" customFormat="1" ht="51" x14ac:dyDescent="0.25">
      <c r="A4473" s="4" t="s">
        <v>7407</v>
      </c>
      <c r="B4473" s="4" t="s">
        <v>183</v>
      </c>
      <c r="C4473" s="37" t="s">
        <v>7102</v>
      </c>
      <c r="D4473" s="35">
        <v>10925</v>
      </c>
      <c r="E4473" s="4" t="s">
        <v>7408</v>
      </c>
      <c r="F4473" s="5">
        <v>40799</v>
      </c>
      <c r="G4473" s="5">
        <v>40998</v>
      </c>
      <c r="H4473" s="4" t="s">
        <v>40</v>
      </c>
      <c r="I4473" s="6">
        <v>60000</v>
      </c>
      <c r="J4473" s="6">
        <v>30000</v>
      </c>
      <c r="K4473" s="37" t="s">
        <v>7102</v>
      </c>
      <c r="L4473" s="119"/>
      <c r="M4473" s="3"/>
    </row>
    <row r="4474" spans="1:13" s="4" customFormat="1" ht="76.5" x14ac:dyDescent="0.25">
      <c r="A4474" s="4" t="s">
        <v>7409</v>
      </c>
      <c r="B4474" s="4" t="s">
        <v>183</v>
      </c>
      <c r="C4474" s="37" t="s">
        <v>7102</v>
      </c>
      <c r="D4474" s="35">
        <v>10926</v>
      </c>
      <c r="E4474" s="4" t="s">
        <v>7410</v>
      </c>
      <c r="F4474" s="5">
        <v>40611</v>
      </c>
      <c r="G4474" s="5">
        <v>41148</v>
      </c>
      <c r="H4474" s="4" t="s">
        <v>40</v>
      </c>
      <c r="I4474" s="6">
        <v>18902</v>
      </c>
      <c r="J4474" s="6">
        <v>9451</v>
      </c>
      <c r="K4474" s="37" t="s">
        <v>7102</v>
      </c>
      <c r="L4474" s="119"/>
      <c r="M4474" s="3"/>
    </row>
    <row r="4475" spans="1:13" s="4" customFormat="1" ht="76.5" x14ac:dyDescent="0.25">
      <c r="A4475" s="4" t="s">
        <v>7411</v>
      </c>
      <c r="B4475" s="4" t="s">
        <v>183</v>
      </c>
      <c r="C4475" s="37" t="s">
        <v>7102</v>
      </c>
      <c r="D4475" s="35">
        <v>10928</v>
      </c>
      <c r="E4475" s="4" t="s">
        <v>7412</v>
      </c>
      <c r="F4475" s="5">
        <v>40799</v>
      </c>
      <c r="G4475" s="5">
        <v>40909</v>
      </c>
      <c r="H4475" s="4" t="s">
        <v>40</v>
      </c>
      <c r="I4475" s="6">
        <v>17830</v>
      </c>
      <c r="J4475" s="6">
        <v>10000</v>
      </c>
      <c r="K4475" s="37" t="s">
        <v>7102</v>
      </c>
      <c r="L4475" s="119"/>
      <c r="M4475" s="3"/>
    </row>
    <row r="4476" spans="1:13" s="4" customFormat="1" ht="25.5" x14ac:dyDescent="0.25">
      <c r="A4476" s="4" t="s">
        <v>7413</v>
      </c>
      <c r="B4476" s="4" t="s">
        <v>183</v>
      </c>
      <c r="C4476" s="37" t="s">
        <v>7102</v>
      </c>
      <c r="D4476" s="35">
        <v>10929</v>
      </c>
      <c r="E4476" s="4" t="s">
        <v>7414</v>
      </c>
      <c r="F4476" s="5">
        <v>40162</v>
      </c>
      <c r="G4476" s="5">
        <v>41261</v>
      </c>
      <c r="H4476" s="4" t="s">
        <v>40</v>
      </c>
      <c r="I4476" s="6">
        <v>37341</v>
      </c>
      <c r="J4476" s="6">
        <v>18670</v>
      </c>
      <c r="K4476" s="37" t="s">
        <v>7102</v>
      </c>
      <c r="L4476" s="119"/>
      <c r="M4476" s="3"/>
    </row>
    <row r="4477" spans="1:13" s="4" customFormat="1" ht="38.25" x14ac:dyDescent="0.25">
      <c r="A4477" s="4" t="s">
        <v>7415</v>
      </c>
      <c r="B4477" s="4" t="s">
        <v>183</v>
      </c>
      <c r="C4477" s="37" t="s">
        <v>7102</v>
      </c>
      <c r="D4477" s="35">
        <v>10930</v>
      </c>
      <c r="E4477" s="4" t="s">
        <v>7416</v>
      </c>
      <c r="F4477" s="5">
        <v>41072</v>
      </c>
      <c r="G4477" s="5">
        <v>41465</v>
      </c>
      <c r="H4477" s="4" t="s">
        <v>40</v>
      </c>
      <c r="I4477" s="6">
        <v>19326</v>
      </c>
      <c r="J4477" s="6">
        <f>2150+7513</f>
        <v>9663</v>
      </c>
      <c r="K4477" s="37" t="s">
        <v>7102</v>
      </c>
      <c r="L4477" s="119"/>
      <c r="M4477" s="3"/>
    </row>
    <row r="4478" spans="1:13" s="4" customFormat="1" ht="76.5" x14ac:dyDescent="0.25">
      <c r="A4478" s="4" t="s">
        <v>7417</v>
      </c>
      <c r="B4478" s="4" t="s">
        <v>183</v>
      </c>
      <c r="C4478" s="37" t="s">
        <v>7102</v>
      </c>
      <c r="D4478" s="35">
        <v>10931</v>
      </c>
      <c r="E4478" s="4" t="s">
        <v>7418</v>
      </c>
      <c r="F4478" s="5">
        <v>40953</v>
      </c>
      <c r="G4478" s="5">
        <v>41261</v>
      </c>
      <c r="H4478" s="4" t="s">
        <v>40</v>
      </c>
      <c r="I4478" s="6">
        <v>53852</v>
      </c>
      <c r="J4478" s="6">
        <v>31352</v>
      </c>
      <c r="K4478" s="37" t="s">
        <v>7102</v>
      </c>
      <c r="L4478" s="119"/>
      <c r="M4478" s="3"/>
    </row>
    <row r="4479" spans="1:13" s="4" customFormat="1" ht="76.5" x14ac:dyDescent="0.25">
      <c r="A4479" s="4" t="s">
        <v>7367</v>
      </c>
      <c r="B4479" s="4" t="s">
        <v>190</v>
      </c>
      <c r="C4479" s="37" t="s">
        <v>7102</v>
      </c>
      <c r="D4479" s="35">
        <v>10932</v>
      </c>
      <c r="E4479" s="7" t="s">
        <v>7419</v>
      </c>
      <c r="F4479" s="5">
        <v>40610</v>
      </c>
      <c r="G4479" s="5">
        <v>41072</v>
      </c>
      <c r="H4479" s="4" t="s">
        <v>40</v>
      </c>
      <c r="I4479" s="6">
        <v>22568</v>
      </c>
      <c r="J4479" s="6">
        <v>11284</v>
      </c>
      <c r="K4479" s="37" t="s">
        <v>7102</v>
      </c>
      <c r="L4479" s="119"/>
      <c r="M4479" s="3"/>
    </row>
    <row r="4480" spans="1:13" s="4" customFormat="1" ht="38.25" x14ac:dyDescent="0.25">
      <c r="A4480" s="4" t="s">
        <v>7420</v>
      </c>
      <c r="B4480" s="4" t="s">
        <v>183</v>
      </c>
      <c r="C4480" s="37" t="s">
        <v>7102</v>
      </c>
      <c r="D4480" s="35">
        <v>10933</v>
      </c>
      <c r="E4480" s="4" t="s">
        <v>7421</v>
      </c>
      <c r="F4480" s="5">
        <v>41016</v>
      </c>
      <c r="G4480" s="5">
        <v>41241</v>
      </c>
      <c r="H4480" s="4" t="s">
        <v>40</v>
      </c>
      <c r="I4480" s="6">
        <v>36766.75</v>
      </c>
      <c r="J4480" s="6">
        <f>13143+8990</f>
        <v>22133</v>
      </c>
      <c r="K4480" s="37" t="s">
        <v>7102</v>
      </c>
      <c r="L4480" s="119"/>
      <c r="M4480" s="3"/>
    </row>
    <row r="4481" spans="1:13" s="4" customFormat="1" ht="153" x14ac:dyDescent="0.25">
      <c r="A4481" s="4" t="s">
        <v>7204</v>
      </c>
      <c r="B4481" s="4" t="s">
        <v>38</v>
      </c>
      <c r="C4481" s="37" t="s">
        <v>7102</v>
      </c>
      <c r="D4481" s="35">
        <v>10964</v>
      </c>
      <c r="E4481" s="7" t="s">
        <v>7422</v>
      </c>
      <c r="F4481" s="5">
        <v>40953</v>
      </c>
      <c r="G4481" s="5">
        <v>41639</v>
      </c>
      <c r="H4481" s="4" t="s">
        <v>40</v>
      </c>
      <c r="I4481" s="6">
        <v>46226.84</v>
      </c>
      <c r="J4481" s="6">
        <f>19123.72+27103.12</f>
        <v>46226.84</v>
      </c>
      <c r="K4481" s="37" t="s">
        <v>7102</v>
      </c>
      <c r="L4481" s="119"/>
      <c r="M4481" s="3"/>
    </row>
    <row r="4482" spans="1:13" s="4" customFormat="1" ht="38.25" x14ac:dyDescent="0.25">
      <c r="A4482" s="4" t="s">
        <v>7423</v>
      </c>
      <c r="B4482" s="4" t="s">
        <v>38</v>
      </c>
      <c r="C4482" s="37" t="s">
        <v>7102</v>
      </c>
      <c r="D4482" s="35">
        <v>10965</v>
      </c>
      <c r="E4482" s="4" t="s">
        <v>7424</v>
      </c>
      <c r="F4482" s="5">
        <v>40909</v>
      </c>
      <c r="G4482" s="5">
        <v>41274</v>
      </c>
      <c r="H4482" s="4" t="s">
        <v>40</v>
      </c>
      <c r="I4482" s="6">
        <v>12683.66</v>
      </c>
      <c r="J4482" s="6">
        <v>6341.83</v>
      </c>
      <c r="K4482" s="37" t="s">
        <v>7102</v>
      </c>
      <c r="L4482" s="119"/>
      <c r="M4482" s="3"/>
    </row>
    <row r="4483" spans="1:13" s="4" customFormat="1" ht="38.25" x14ac:dyDescent="0.25">
      <c r="A4483" s="4" t="s">
        <v>7425</v>
      </c>
      <c r="B4483" s="4" t="s">
        <v>38</v>
      </c>
      <c r="C4483" s="37" t="s">
        <v>7102</v>
      </c>
      <c r="D4483" s="35">
        <v>10966</v>
      </c>
      <c r="E4483" s="4" t="s">
        <v>7426</v>
      </c>
      <c r="F4483" s="5">
        <v>40953</v>
      </c>
      <c r="G4483" s="5">
        <v>41639</v>
      </c>
      <c r="H4483" s="4" t="s">
        <v>40</v>
      </c>
      <c r="I4483" s="6">
        <f>4812.55-0.27</f>
        <v>4812.28</v>
      </c>
      <c r="J4483" s="6">
        <f>1007.25+3805.3</f>
        <v>4812.55</v>
      </c>
      <c r="K4483" s="37" t="s">
        <v>7102</v>
      </c>
      <c r="L4483" s="119"/>
      <c r="M4483" s="3"/>
    </row>
    <row r="4484" spans="1:13" s="4" customFormat="1" ht="38.25" x14ac:dyDescent="0.25">
      <c r="A4484" s="4" t="s">
        <v>7427</v>
      </c>
      <c r="B4484" s="4" t="s">
        <v>38</v>
      </c>
      <c r="C4484" s="37" t="s">
        <v>7102</v>
      </c>
      <c r="D4484" s="35">
        <v>10967</v>
      </c>
      <c r="E4484" s="4" t="s">
        <v>7428</v>
      </c>
      <c r="F4484" s="5">
        <v>40953</v>
      </c>
      <c r="G4484" s="5">
        <v>41274</v>
      </c>
      <c r="H4484" s="4" t="s">
        <v>40</v>
      </c>
      <c r="I4484" s="6">
        <v>3098.3</v>
      </c>
      <c r="J4484" s="6">
        <v>3098.3</v>
      </c>
      <c r="K4484" s="37" t="s">
        <v>7102</v>
      </c>
      <c r="L4484" s="119"/>
      <c r="M4484" s="3"/>
    </row>
    <row r="4485" spans="1:13" s="4" customFormat="1" ht="102" x14ac:dyDescent="0.25">
      <c r="A4485" s="4" t="s">
        <v>7429</v>
      </c>
      <c r="B4485" s="4" t="s">
        <v>13</v>
      </c>
      <c r="C4485" s="37" t="s">
        <v>7102</v>
      </c>
      <c r="D4485" s="35">
        <v>10968</v>
      </c>
      <c r="E4485" s="7" t="s">
        <v>7430</v>
      </c>
      <c r="F4485" s="5">
        <v>40909</v>
      </c>
      <c r="G4485" s="5">
        <v>41639</v>
      </c>
      <c r="H4485" s="4" t="s">
        <v>40</v>
      </c>
      <c r="I4485" s="6">
        <v>17473.259999999998</v>
      </c>
      <c r="J4485" s="6">
        <f>5149.95+12323.31</f>
        <v>17473.259999999998</v>
      </c>
      <c r="K4485" s="37" t="s">
        <v>7102</v>
      </c>
      <c r="L4485" s="119"/>
      <c r="M4485" s="3"/>
    </row>
    <row r="4486" spans="1:13" s="4" customFormat="1" ht="63.75" x14ac:dyDescent="0.25">
      <c r="A4486" s="4" t="s">
        <v>7431</v>
      </c>
      <c r="B4486" s="4" t="s">
        <v>38</v>
      </c>
      <c r="C4486" s="37" t="s">
        <v>7102</v>
      </c>
      <c r="D4486" s="35">
        <v>10969</v>
      </c>
      <c r="E4486" s="4" t="s">
        <v>7432</v>
      </c>
      <c r="F4486" s="5">
        <v>40909</v>
      </c>
      <c r="G4486" s="5">
        <v>41639</v>
      </c>
      <c r="H4486" s="4" t="s">
        <v>40</v>
      </c>
      <c r="I4486" s="6">
        <f>38190.5+39886.43</f>
        <v>78076.929999999993</v>
      </c>
      <c r="J4486" s="6">
        <f>38190.5+39886.43</f>
        <v>78076.929999999993</v>
      </c>
      <c r="K4486" s="37" t="s">
        <v>7102</v>
      </c>
      <c r="L4486" s="119"/>
      <c r="M4486" s="3"/>
    </row>
    <row r="4487" spans="1:13" s="4" customFormat="1" ht="38.25" x14ac:dyDescent="0.25">
      <c r="A4487" s="4" t="s">
        <v>7433</v>
      </c>
      <c r="B4487" s="4" t="s">
        <v>38</v>
      </c>
      <c r="C4487" s="37" t="s">
        <v>7102</v>
      </c>
      <c r="D4487" s="35">
        <v>10994</v>
      </c>
      <c r="E4487" s="4" t="s">
        <v>7434</v>
      </c>
      <c r="F4487" s="5">
        <v>40957</v>
      </c>
      <c r="G4487" s="5">
        <v>41639</v>
      </c>
      <c r="H4487" s="4" t="s">
        <v>40</v>
      </c>
      <c r="I4487" s="6">
        <v>10939.56</v>
      </c>
      <c r="J4487" s="6">
        <f>4960.87+508.91</f>
        <v>5469.78</v>
      </c>
      <c r="K4487" s="37" t="s">
        <v>7102</v>
      </c>
      <c r="L4487" s="119"/>
      <c r="M4487" s="3"/>
    </row>
    <row r="4488" spans="1:13" s="4" customFormat="1" ht="38.25" x14ac:dyDescent="0.25">
      <c r="A4488" s="4" t="s">
        <v>7435</v>
      </c>
      <c r="B4488" s="4" t="s">
        <v>13</v>
      </c>
      <c r="C4488" s="37" t="s">
        <v>7102</v>
      </c>
      <c r="D4488" s="35">
        <v>10995</v>
      </c>
      <c r="E4488" s="4" t="s">
        <v>7436</v>
      </c>
      <c r="F4488" s="5">
        <v>40910</v>
      </c>
      <c r="G4488" s="5">
        <v>41639</v>
      </c>
      <c r="H4488" s="4" t="s">
        <v>40</v>
      </c>
      <c r="I4488" s="6">
        <v>2860</v>
      </c>
      <c r="J4488" s="6">
        <f>1000+430</f>
        <v>1430</v>
      </c>
      <c r="K4488" s="37" t="s">
        <v>7102</v>
      </c>
      <c r="L4488" s="119"/>
      <c r="M4488" s="3"/>
    </row>
    <row r="4489" spans="1:13" ht="25.5" x14ac:dyDescent="0.25">
      <c r="A4489" s="13" t="s">
        <v>11078</v>
      </c>
      <c r="B4489" s="13" t="s">
        <v>10195</v>
      </c>
      <c r="C4489" s="20" t="s">
        <v>7102</v>
      </c>
      <c r="D4489" s="19">
        <v>12405</v>
      </c>
      <c r="E4489" s="13" t="s">
        <v>11079</v>
      </c>
      <c r="F4489" s="14">
        <v>41436</v>
      </c>
      <c r="G4489" s="14">
        <v>41589</v>
      </c>
      <c r="H4489" s="13" t="s">
        <v>651</v>
      </c>
      <c r="I4489" s="18">
        <v>20458</v>
      </c>
      <c r="J4489" s="18">
        <v>10229</v>
      </c>
      <c r="K4489" s="20" t="s">
        <v>7102</v>
      </c>
    </row>
    <row r="4490" spans="1:13" ht="38.25" x14ac:dyDescent="0.25">
      <c r="A4490" s="13" t="s">
        <v>11080</v>
      </c>
      <c r="B4490" s="13" t="s">
        <v>10195</v>
      </c>
      <c r="C4490" s="20" t="s">
        <v>7102</v>
      </c>
      <c r="D4490" s="19">
        <v>12410</v>
      </c>
      <c r="E4490" s="13" t="s">
        <v>11081</v>
      </c>
      <c r="F4490" s="14">
        <v>41436</v>
      </c>
      <c r="G4490" s="14">
        <v>41628</v>
      </c>
      <c r="H4490" s="13" t="s">
        <v>651</v>
      </c>
      <c r="I4490" s="18">
        <v>15490</v>
      </c>
      <c r="J4490" s="18">
        <v>9442</v>
      </c>
      <c r="K4490" s="20" t="s">
        <v>7102</v>
      </c>
    </row>
    <row r="4491" spans="1:13" ht="25.5" x14ac:dyDescent="0.25">
      <c r="A4491" s="13" t="s">
        <v>11082</v>
      </c>
      <c r="B4491" s="13" t="s">
        <v>10195</v>
      </c>
      <c r="C4491" s="20" t="s">
        <v>7102</v>
      </c>
      <c r="D4491" s="19">
        <v>12411</v>
      </c>
      <c r="E4491" s="13" t="s">
        <v>11083</v>
      </c>
      <c r="F4491" s="14">
        <v>41380</v>
      </c>
      <c r="G4491" s="14">
        <v>41557</v>
      </c>
      <c r="H4491" s="13" t="s">
        <v>651</v>
      </c>
      <c r="I4491" s="18">
        <v>33306</v>
      </c>
      <c r="J4491" s="18">
        <v>16653</v>
      </c>
      <c r="K4491" s="20" t="s">
        <v>7102</v>
      </c>
    </row>
    <row r="4492" spans="1:13" ht="25.5" x14ac:dyDescent="0.25">
      <c r="A4492" s="13" t="s">
        <v>11084</v>
      </c>
      <c r="B4492" s="13" t="s">
        <v>10195</v>
      </c>
      <c r="C4492" s="20" t="s">
        <v>7102</v>
      </c>
      <c r="D4492" s="19">
        <v>12412</v>
      </c>
      <c r="E4492" s="13" t="s">
        <v>11085</v>
      </c>
      <c r="F4492" s="14">
        <v>41380</v>
      </c>
      <c r="G4492" s="14">
        <v>41628</v>
      </c>
      <c r="H4492" s="13" t="s">
        <v>651</v>
      </c>
      <c r="I4492" s="18">
        <v>5310</v>
      </c>
      <c r="J4492" s="18">
        <v>2655</v>
      </c>
      <c r="K4492" s="20" t="s">
        <v>7102</v>
      </c>
    </row>
    <row r="4493" spans="1:13" ht="38.25" x14ac:dyDescent="0.25">
      <c r="A4493" s="13" t="s">
        <v>11086</v>
      </c>
      <c r="B4493" s="13" t="s">
        <v>10192</v>
      </c>
      <c r="C4493" s="20" t="s">
        <v>7102</v>
      </c>
      <c r="D4493" s="19">
        <v>12414</v>
      </c>
      <c r="E4493" s="13" t="s">
        <v>11087</v>
      </c>
      <c r="F4493" s="14">
        <v>41585</v>
      </c>
      <c r="G4493" s="14">
        <v>41628</v>
      </c>
      <c r="H4493" s="13" t="s">
        <v>651</v>
      </c>
      <c r="I4493" s="18">
        <v>13888</v>
      </c>
      <c r="J4493" s="18">
        <v>6944</v>
      </c>
      <c r="K4493" s="20" t="s">
        <v>7102</v>
      </c>
    </row>
    <row r="4494" spans="1:13" ht="25.5" x14ac:dyDescent="0.25">
      <c r="A4494" s="13" t="s">
        <v>11384</v>
      </c>
      <c r="B4494" s="13" t="s">
        <v>13</v>
      </c>
      <c r="C4494" s="20" t="s">
        <v>7102</v>
      </c>
      <c r="D4494" s="19">
        <v>12415</v>
      </c>
      <c r="E4494" s="13" t="s">
        <v>11385</v>
      </c>
      <c r="F4494" s="14">
        <v>41312</v>
      </c>
      <c r="G4494" s="14">
        <v>41589</v>
      </c>
      <c r="H4494" s="13" t="s">
        <v>651</v>
      </c>
      <c r="I4494" s="18">
        <v>10000</v>
      </c>
      <c r="J4494" s="18">
        <v>5000</v>
      </c>
      <c r="K4494" s="20" t="s">
        <v>7102</v>
      </c>
    </row>
    <row r="4495" spans="1:13" ht="25.5" x14ac:dyDescent="0.25">
      <c r="A4495" s="13" t="s">
        <v>11088</v>
      </c>
      <c r="B4495" s="13" t="s">
        <v>10195</v>
      </c>
      <c r="C4495" s="20" t="s">
        <v>7102</v>
      </c>
      <c r="D4495" s="19">
        <v>12416</v>
      </c>
      <c r="E4495" s="13" t="s">
        <v>11089</v>
      </c>
      <c r="F4495" s="14">
        <v>41108</v>
      </c>
      <c r="G4495" s="14">
        <v>41284</v>
      </c>
      <c r="H4495" s="13" t="s">
        <v>651</v>
      </c>
      <c r="I4495" s="18">
        <v>23304</v>
      </c>
      <c r="J4495" s="18">
        <v>19152</v>
      </c>
      <c r="K4495" s="20" t="s">
        <v>7102</v>
      </c>
    </row>
    <row r="4496" spans="1:13" ht="25.5" x14ac:dyDescent="0.25">
      <c r="A4496" s="13" t="s">
        <v>11092</v>
      </c>
      <c r="B4496" s="13" t="s">
        <v>10192</v>
      </c>
      <c r="C4496" s="20" t="s">
        <v>7102</v>
      </c>
      <c r="D4496" s="19">
        <v>12419</v>
      </c>
      <c r="E4496" s="13" t="s">
        <v>11093</v>
      </c>
      <c r="F4496" s="14">
        <v>41380</v>
      </c>
      <c r="G4496" s="14">
        <v>41624</v>
      </c>
      <c r="H4496" s="13" t="s">
        <v>651</v>
      </c>
      <c r="I4496" s="18">
        <v>15834</v>
      </c>
      <c r="J4496" s="18">
        <v>7917</v>
      </c>
      <c r="K4496" s="20" t="s">
        <v>7102</v>
      </c>
    </row>
    <row r="4497" spans="1:13" ht="38.25" x14ac:dyDescent="0.25">
      <c r="A4497" s="13" t="s">
        <v>11094</v>
      </c>
      <c r="B4497" s="13" t="s">
        <v>10220</v>
      </c>
      <c r="C4497" s="20" t="s">
        <v>7102</v>
      </c>
      <c r="D4497" s="19">
        <v>12421</v>
      </c>
      <c r="E4497" s="13" t="s">
        <v>11095</v>
      </c>
      <c r="F4497" s="14">
        <v>41170</v>
      </c>
      <c r="G4497" s="14">
        <v>41523</v>
      </c>
      <c r="H4497" s="13" t="s">
        <v>651</v>
      </c>
      <c r="I4497" s="18">
        <v>20000</v>
      </c>
      <c r="J4497" s="18">
        <v>10000</v>
      </c>
      <c r="K4497" s="20" t="s">
        <v>7102</v>
      </c>
    </row>
    <row r="4498" spans="1:13" ht="89.25" x14ac:dyDescent="0.25">
      <c r="A4498" s="13" t="s">
        <v>11096</v>
      </c>
      <c r="B4498" s="13" t="s">
        <v>10930</v>
      </c>
      <c r="C4498" s="20" t="s">
        <v>7102</v>
      </c>
      <c r="D4498" s="19">
        <v>12423</v>
      </c>
      <c r="E4498" s="13" t="s">
        <v>11097</v>
      </c>
      <c r="F4498" s="14">
        <v>41276</v>
      </c>
      <c r="G4498" s="14">
        <v>41639</v>
      </c>
      <c r="H4498" s="13" t="s">
        <v>651</v>
      </c>
      <c r="I4498" s="18">
        <v>6092.08</v>
      </c>
      <c r="J4498" s="18">
        <v>6092.08</v>
      </c>
      <c r="K4498" s="20" t="s">
        <v>7102</v>
      </c>
    </row>
    <row r="4499" spans="1:13" ht="51" x14ac:dyDescent="0.25">
      <c r="A4499" s="13" t="s">
        <v>11098</v>
      </c>
      <c r="B4499" s="13" t="s">
        <v>10220</v>
      </c>
      <c r="C4499" s="20" t="s">
        <v>7102</v>
      </c>
      <c r="D4499" s="19">
        <v>12424</v>
      </c>
      <c r="E4499" s="13" t="s">
        <v>11099</v>
      </c>
      <c r="F4499" s="14">
        <v>41312</v>
      </c>
      <c r="G4499" s="14">
        <v>41596</v>
      </c>
      <c r="H4499" s="13" t="s">
        <v>651</v>
      </c>
      <c r="I4499" s="18">
        <v>8500</v>
      </c>
      <c r="J4499" s="18">
        <v>4250</v>
      </c>
      <c r="K4499" s="20" t="s">
        <v>7102</v>
      </c>
    </row>
    <row r="4500" spans="1:13" ht="38.25" x14ac:dyDescent="0.25">
      <c r="A4500" s="13" t="s">
        <v>11098</v>
      </c>
      <c r="B4500" s="13" t="s">
        <v>10192</v>
      </c>
      <c r="C4500" s="20" t="s">
        <v>7102</v>
      </c>
      <c r="D4500" s="19">
        <v>12426</v>
      </c>
      <c r="E4500" s="13" t="s">
        <v>11100</v>
      </c>
      <c r="F4500" s="14">
        <v>41534</v>
      </c>
      <c r="G4500" s="14">
        <v>41632</v>
      </c>
      <c r="H4500" s="13" t="s">
        <v>651</v>
      </c>
      <c r="I4500" s="18">
        <v>13764</v>
      </c>
      <c r="J4500" s="18">
        <v>6882</v>
      </c>
      <c r="K4500" s="20" t="s">
        <v>7102</v>
      </c>
    </row>
    <row r="4501" spans="1:13" ht="25.5" x14ac:dyDescent="0.25">
      <c r="A4501" s="13" t="s">
        <v>11101</v>
      </c>
      <c r="B4501" s="13" t="s">
        <v>10195</v>
      </c>
      <c r="C4501" s="20" t="s">
        <v>7102</v>
      </c>
      <c r="D4501" s="19">
        <v>12428</v>
      </c>
      <c r="E4501" s="13" t="s">
        <v>11102</v>
      </c>
      <c r="F4501" s="14">
        <v>41381</v>
      </c>
      <c r="G4501" s="14">
        <v>41607</v>
      </c>
      <c r="H4501" s="13" t="s">
        <v>651</v>
      </c>
      <c r="I4501" s="18">
        <v>19500</v>
      </c>
      <c r="J4501" s="18">
        <v>9750</v>
      </c>
      <c r="K4501" s="20" t="s">
        <v>7102</v>
      </c>
    </row>
    <row r="4502" spans="1:13" ht="76.5" x14ac:dyDescent="0.25">
      <c r="A4502" s="13" t="s">
        <v>11103</v>
      </c>
      <c r="B4502" s="13" t="s">
        <v>10220</v>
      </c>
      <c r="C4502" s="20" t="s">
        <v>7102</v>
      </c>
      <c r="D4502" s="19">
        <v>12432</v>
      </c>
      <c r="E4502" s="13" t="s">
        <v>11104</v>
      </c>
      <c r="F4502" s="14">
        <v>41534</v>
      </c>
      <c r="G4502" s="14">
        <v>41628</v>
      </c>
      <c r="H4502" s="13" t="s">
        <v>651</v>
      </c>
      <c r="I4502" s="18">
        <v>4571</v>
      </c>
      <c r="J4502" s="18">
        <v>2556</v>
      </c>
      <c r="K4502" s="20" t="s">
        <v>7102</v>
      </c>
    </row>
    <row r="4503" spans="1:13" ht="38.25" x14ac:dyDescent="0.25">
      <c r="A4503" s="13" t="s">
        <v>11105</v>
      </c>
      <c r="B4503" s="13" t="s">
        <v>10195</v>
      </c>
      <c r="C4503" s="20" t="s">
        <v>7102</v>
      </c>
      <c r="D4503" s="19">
        <v>12434</v>
      </c>
      <c r="E4503" s="13" t="s">
        <v>11106</v>
      </c>
      <c r="F4503" s="14">
        <v>41312</v>
      </c>
      <c r="G4503" s="14">
        <v>41421</v>
      </c>
      <c r="H4503" s="13" t="s">
        <v>651</v>
      </c>
      <c r="I4503" s="18">
        <v>86000</v>
      </c>
      <c r="J4503" s="18">
        <v>43000</v>
      </c>
      <c r="K4503" s="20" t="s">
        <v>7102</v>
      </c>
    </row>
    <row r="4504" spans="1:13" ht="51" x14ac:dyDescent="0.25">
      <c r="A4504" s="13" t="s">
        <v>11107</v>
      </c>
      <c r="B4504" s="13" t="s">
        <v>10195</v>
      </c>
      <c r="C4504" s="20" t="s">
        <v>7102</v>
      </c>
      <c r="D4504" s="19">
        <v>12435</v>
      </c>
      <c r="E4504" s="13" t="s">
        <v>11108</v>
      </c>
      <c r="F4504" s="14">
        <v>41436</v>
      </c>
      <c r="G4504" s="14">
        <v>41619</v>
      </c>
      <c r="H4504" s="13" t="s">
        <v>651</v>
      </c>
      <c r="I4504" s="18">
        <v>34000</v>
      </c>
      <c r="J4504" s="18">
        <v>17000</v>
      </c>
      <c r="K4504" s="20" t="s">
        <v>7102</v>
      </c>
    </row>
    <row r="4505" spans="1:13" ht="25.5" x14ac:dyDescent="0.25">
      <c r="A4505" s="13" t="s">
        <v>11382</v>
      </c>
      <c r="B4505" s="13" t="s">
        <v>13</v>
      </c>
      <c r="C4505" s="20" t="s">
        <v>7102</v>
      </c>
      <c r="D4505" s="19">
        <v>12436</v>
      </c>
      <c r="E4505" s="13" t="s">
        <v>11383</v>
      </c>
      <c r="F4505" s="14">
        <v>41597</v>
      </c>
      <c r="G4505" s="14">
        <v>41628</v>
      </c>
      <c r="H4505" s="13" t="s">
        <v>651</v>
      </c>
      <c r="I4505" s="18">
        <v>15500</v>
      </c>
      <c r="J4505" s="18">
        <v>7750</v>
      </c>
      <c r="K4505" s="20" t="s">
        <v>7102</v>
      </c>
    </row>
    <row r="4506" spans="1:13" ht="25.5" x14ac:dyDescent="0.25">
      <c r="A4506" s="13" t="s">
        <v>11111</v>
      </c>
      <c r="B4506" s="13" t="s">
        <v>10192</v>
      </c>
      <c r="C4506" s="20" t="s">
        <v>7102</v>
      </c>
      <c r="D4506" s="19">
        <v>12438</v>
      </c>
      <c r="E4506" s="13" t="s">
        <v>11112</v>
      </c>
      <c r="F4506" s="14">
        <v>41534</v>
      </c>
      <c r="G4506" s="14">
        <v>41582</v>
      </c>
      <c r="H4506" s="13" t="s">
        <v>651</v>
      </c>
      <c r="I4506" s="18">
        <v>3750</v>
      </c>
      <c r="J4506" s="18">
        <v>3750.81</v>
      </c>
      <c r="K4506" s="20" t="s">
        <v>7102</v>
      </c>
    </row>
    <row r="4507" spans="1:13" ht="38.25" x14ac:dyDescent="0.25">
      <c r="A4507" s="13" t="s">
        <v>11113</v>
      </c>
      <c r="B4507" s="13" t="s">
        <v>38</v>
      </c>
      <c r="C4507" s="20" t="s">
        <v>7102</v>
      </c>
      <c r="D4507" s="19">
        <v>12593</v>
      </c>
      <c r="E4507" s="13" t="s">
        <v>11114</v>
      </c>
      <c r="F4507" s="14">
        <v>41275</v>
      </c>
      <c r="G4507" s="14">
        <v>41639</v>
      </c>
      <c r="H4507" s="13" t="s">
        <v>651</v>
      </c>
      <c r="I4507" s="18">
        <v>2052.9</v>
      </c>
      <c r="J4507" s="18">
        <v>2052.9</v>
      </c>
      <c r="K4507" s="20" t="s">
        <v>7102</v>
      </c>
    </row>
    <row r="4508" spans="1:13" ht="63.75" x14ac:dyDescent="0.25">
      <c r="A4508" s="13" t="s">
        <v>11115</v>
      </c>
      <c r="B4508" s="13" t="s">
        <v>38</v>
      </c>
      <c r="C4508" s="20" t="s">
        <v>7102</v>
      </c>
      <c r="D4508" s="19">
        <v>12597</v>
      </c>
      <c r="E4508" s="13" t="s">
        <v>11116</v>
      </c>
      <c r="F4508" s="14">
        <v>41275</v>
      </c>
      <c r="G4508" s="14">
        <v>41639</v>
      </c>
      <c r="H4508" s="13" t="s">
        <v>651</v>
      </c>
      <c r="I4508" s="18">
        <v>4477.2</v>
      </c>
      <c r="J4508" s="18">
        <v>4477.2</v>
      </c>
      <c r="K4508" s="20" t="s">
        <v>7102</v>
      </c>
    </row>
    <row r="4509" spans="1:13" s="4" customFormat="1" ht="25.5" x14ac:dyDescent="0.25">
      <c r="A4509" s="4" t="s">
        <v>7437</v>
      </c>
      <c r="B4509" s="4" t="s">
        <v>13</v>
      </c>
      <c r="C4509" s="37" t="s">
        <v>7102</v>
      </c>
      <c r="D4509" s="35">
        <v>9496</v>
      </c>
      <c r="E4509" s="4" t="s">
        <v>7438</v>
      </c>
      <c r="F4509" s="5">
        <v>40115</v>
      </c>
      <c r="G4509" s="5">
        <v>40529</v>
      </c>
      <c r="H4509" s="4" t="s">
        <v>2027</v>
      </c>
      <c r="I4509" s="6">
        <v>211126</v>
      </c>
      <c r="J4509" s="6">
        <v>60040</v>
      </c>
      <c r="K4509" s="37" t="s">
        <v>7102</v>
      </c>
      <c r="L4509" s="119"/>
      <c r="M4509" s="3"/>
    </row>
    <row r="4510" spans="1:13" s="4" customFormat="1" ht="25.5" x14ac:dyDescent="0.25">
      <c r="C4510" s="37" t="s">
        <v>7102</v>
      </c>
      <c r="D4510" s="35"/>
      <c r="E4510" s="26" t="s">
        <v>351</v>
      </c>
      <c r="F4510" s="28"/>
      <c r="G4510" s="28"/>
      <c r="H4510" s="26"/>
      <c r="I4510" s="27">
        <f>SUM(I4325:I4331)</f>
        <v>212279.71000000002</v>
      </c>
      <c r="J4510" s="27">
        <f>SUM(J4325:J4331)</f>
        <v>64801.31</v>
      </c>
      <c r="K4510" s="37" t="s">
        <v>7102</v>
      </c>
      <c r="L4510" s="119"/>
      <c r="M4510" s="3"/>
    </row>
    <row r="4511" spans="1:13" s="4" customFormat="1" ht="25.5" x14ac:dyDescent="0.25">
      <c r="C4511" s="37" t="s">
        <v>7102</v>
      </c>
      <c r="D4511" s="35"/>
      <c r="E4511" s="26" t="s">
        <v>786</v>
      </c>
      <c r="F4511" s="28"/>
      <c r="G4511" s="28"/>
      <c r="H4511" s="26"/>
      <c r="I4511" s="27">
        <f>SUM(I4332)</f>
        <v>140348</v>
      </c>
      <c r="J4511" s="27">
        <f>SUM(J4332)</f>
        <v>28070</v>
      </c>
      <c r="K4511" s="37" t="s">
        <v>7102</v>
      </c>
      <c r="L4511" s="119"/>
      <c r="M4511" s="3"/>
    </row>
    <row r="4512" spans="1:13" s="4" customFormat="1" ht="25.5" x14ac:dyDescent="0.25">
      <c r="C4512" s="37" t="s">
        <v>7102</v>
      </c>
      <c r="D4512" s="35"/>
      <c r="E4512" s="26" t="s">
        <v>352</v>
      </c>
      <c r="F4512" s="28"/>
      <c r="G4512" s="28"/>
      <c r="H4512" s="26"/>
      <c r="I4512" s="27">
        <f>SUM(I4333:I4508)</f>
        <v>4374231.629999999</v>
      </c>
      <c r="J4512" s="27">
        <f>SUM(J4333:J4508)</f>
        <v>3228596.0599999987</v>
      </c>
      <c r="K4512" s="37" t="s">
        <v>7102</v>
      </c>
      <c r="L4512" s="119"/>
      <c r="M4512" s="3"/>
    </row>
    <row r="4513" spans="1:13" s="4" customFormat="1" ht="25.5" x14ac:dyDescent="0.25">
      <c r="C4513" s="37" t="s">
        <v>7102</v>
      </c>
      <c r="D4513" s="35"/>
      <c r="E4513" s="26" t="s">
        <v>2028</v>
      </c>
      <c r="F4513" s="28"/>
      <c r="G4513" s="28"/>
      <c r="H4513" s="26"/>
      <c r="I4513" s="27">
        <f>SUM(I4509)</f>
        <v>211126</v>
      </c>
      <c r="J4513" s="27">
        <f>SUM(J4509)</f>
        <v>60040</v>
      </c>
      <c r="K4513" s="37" t="s">
        <v>7102</v>
      </c>
      <c r="L4513" s="119"/>
      <c r="M4513" s="3"/>
    </row>
    <row r="4514" spans="1:13" s="4" customFormat="1" ht="25.5" x14ac:dyDescent="0.25">
      <c r="C4514" s="37" t="s">
        <v>7102</v>
      </c>
      <c r="D4514" s="35"/>
      <c r="E4514" s="26" t="s">
        <v>7439</v>
      </c>
      <c r="F4514" s="28"/>
      <c r="G4514" s="28"/>
      <c r="H4514" s="26"/>
      <c r="I4514" s="27">
        <f>SUM(I4510:I4513)</f>
        <v>4937985.3399999989</v>
      </c>
      <c r="J4514" s="27">
        <f>SUM(J4510:J4513)</f>
        <v>3381507.3699999987</v>
      </c>
      <c r="K4514" s="37" t="s">
        <v>7102</v>
      </c>
      <c r="L4514" s="119">
        <f>J4514</f>
        <v>3381507.3699999987</v>
      </c>
      <c r="M4514" s="3">
        <f>SUM(J4514*0.4)</f>
        <v>1352602.9479999996</v>
      </c>
    </row>
    <row r="4515" spans="1:13" s="4" customFormat="1" x14ac:dyDescent="0.25">
      <c r="C4515" s="37"/>
      <c r="D4515" s="35"/>
      <c r="F4515" s="5"/>
      <c r="G4515" s="5"/>
      <c r="I4515" s="6"/>
      <c r="J4515" s="6"/>
      <c r="K4515" s="37"/>
      <c r="L4515" s="119"/>
      <c r="M4515" s="3"/>
    </row>
    <row r="4516" spans="1:13" s="4" customFormat="1" ht="127.5" x14ac:dyDescent="0.25">
      <c r="A4516" s="4" t="s">
        <v>7454</v>
      </c>
      <c r="B4516" s="4" t="s">
        <v>13</v>
      </c>
      <c r="C4516" s="37" t="s">
        <v>7456</v>
      </c>
      <c r="D4516" s="35">
        <v>4403</v>
      </c>
      <c r="E4516" s="7" t="s">
        <v>7455</v>
      </c>
      <c r="F4516" s="5">
        <v>38717</v>
      </c>
      <c r="G4516" s="5">
        <v>41383</v>
      </c>
      <c r="H4516" s="4" t="s">
        <v>2032</v>
      </c>
      <c r="I4516" s="6">
        <f>863461.52+93169.31</f>
        <v>956630.83000000007</v>
      </c>
      <c r="J4516" s="6">
        <f>863461.52+93169.31</f>
        <v>956630.83000000007</v>
      </c>
      <c r="K4516" s="37" t="s">
        <v>7456</v>
      </c>
      <c r="L4516" s="119"/>
      <c r="M4516" s="3"/>
    </row>
    <row r="4517" spans="1:13" s="4" customFormat="1" ht="25.5" x14ac:dyDescent="0.25">
      <c r="A4517" s="4" t="s">
        <v>7457</v>
      </c>
      <c r="B4517" s="4" t="s">
        <v>13</v>
      </c>
      <c r="C4517" s="37" t="s">
        <v>7456</v>
      </c>
      <c r="D4517" s="35">
        <v>3909</v>
      </c>
      <c r="E4517" s="4" t="s">
        <v>7458</v>
      </c>
      <c r="F4517" s="5">
        <v>39545</v>
      </c>
      <c r="G4517" s="5">
        <v>39598</v>
      </c>
      <c r="H4517" s="4" t="s">
        <v>16</v>
      </c>
      <c r="I4517" s="6">
        <v>52051.3</v>
      </c>
      <c r="J4517" s="8">
        <v>16000</v>
      </c>
      <c r="K4517" s="37" t="s">
        <v>7456</v>
      </c>
      <c r="L4517" s="119"/>
      <c r="M4517" s="3"/>
    </row>
    <row r="4518" spans="1:13" s="4" customFormat="1" x14ac:dyDescent="0.25">
      <c r="A4518" s="4" t="s">
        <v>7459</v>
      </c>
      <c r="B4518" s="4" t="s">
        <v>13</v>
      </c>
      <c r="C4518" s="37" t="s">
        <v>7456</v>
      </c>
      <c r="D4518" s="35">
        <v>3911</v>
      </c>
      <c r="E4518" s="4" t="s">
        <v>7460</v>
      </c>
      <c r="F4518" s="5">
        <v>39400</v>
      </c>
      <c r="G4518" s="5">
        <v>39990</v>
      </c>
      <c r="H4518" s="4" t="s">
        <v>16</v>
      </c>
      <c r="I4518" s="6">
        <v>156085</v>
      </c>
      <c r="J4518" s="6">
        <v>46826</v>
      </c>
      <c r="K4518" s="37" t="s">
        <v>7456</v>
      </c>
      <c r="L4518" s="119"/>
      <c r="M4518" s="3"/>
    </row>
    <row r="4519" spans="1:13" s="4" customFormat="1" ht="25.5" x14ac:dyDescent="0.25">
      <c r="A4519" s="4" t="s">
        <v>7461</v>
      </c>
      <c r="B4519" s="4" t="s">
        <v>13</v>
      </c>
      <c r="C4519" s="37" t="s">
        <v>7456</v>
      </c>
      <c r="D4519" s="35">
        <v>3929</v>
      </c>
      <c r="E4519" s="4" t="s">
        <v>7462</v>
      </c>
      <c r="F4519" s="5">
        <v>39241</v>
      </c>
      <c r="G4519" s="5">
        <v>40270</v>
      </c>
      <c r="H4519" s="4" t="s">
        <v>16</v>
      </c>
      <c r="I4519" s="6">
        <v>116750.25</v>
      </c>
      <c r="J4519" s="6">
        <v>35025.050000000003</v>
      </c>
      <c r="K4519" s="37" t="s">
        <v>7456</v>
      </c>
      <c r="L4519" s="119"/>
      <c r="M4519" s="3"/>
    </row>
    <row r="4520" spans="1:13" s="4" customFormat="1" ht="25.5" x14ac:dyDescent="0.25">
      <c r="A4520" s="9" t="s">
        <v>7463</v>
      </c>
      <c r="B4520" s="9" t="s">
        <v>13</v>
      </c>
      <c r="C4520" s="37" t="s">
        <v>7456</v>
      </c>
      <c r="D4520" s="90">
        <v>3933</v>
      </c>
      <c r="E4520" s="9" t="s">
        <v>7464</v>
      </c>
      <c r="F4520" s="11">
        <v>39966</v>
      </c>
      <c r="G4520" s="11">
        <v>40177</v>
      </c>
      <c r="H4520" s="4" t="s">
        <v>16</v>
      </c>
      <c r="I4520" s="8">
        <v>52200</v>
      </c>
      <c r="J4520" s="8">
        <v>15000</v>
      </c>
      <c r="K4520" s="37" t="s">
        <v>7456</v>
      </c>
      <c r="L4520" s="119"/>
      <c r="M4520" s="3"/>
    </row>
    <row r="4521" spans="1:13" s="4" customFormat="1" ht="25.5" x14ac:dyDescent="0.25">
      <c r="A4521" s="9" t="s">
        <v>7465</v>
      </c>
      <c r="B4521" s="9" t="s">
        <v>13</v>
      </c>
      <c r="C4521" s="37" t="s">
        <v>7456</v>
      </c>
      <c r="D4521" s="90">
        <v>3934</v>
      </c>
      <c r="E4521" s="9" t="s">
        <v>7466</v>
      </c>
      <c r="F4521" s="11">
        <v>39493</v>
      </c>
      <c r="G4521" s="11">
        <v>39660</v>
      </c>
      <c r="H4521" s="4" t="s">
        <v>16</v>
      </c>
      <c r="I4521" s="8">
        <v>8458.15</v>
      </c>
      <c r="J4521" s="8">
        <v>1440</v>
      </c>
      <c r="K4521" s="37" t="s">
        <v>7456</v>
      </c>
      <c r="L4521" s="119"/>
      <c r="M4521" s="3"/>
    </row>
    <row r="4522" spans="1:13" s="4" customFormat="1" x14ac:dyDescent="0.25">
      <c r="A4522" s="4" t="s">
        <v>7467</v>
      </c>
      <c r="B4522" s="4" t="s">
        <v>13</v>
      </c>
      <c r="C4522" s="37" t="s">
        <v>7456</v>
      </c>
      <c r="D4522" s="35">
        <v>4173</v>
      </c>
      <c r="E4522" s="4" t="s">
        <v>7468</v>
      </c>
      <c r="F4522" s="5">
        <v>39847</v>
      </c>
      <c r="G4522" s="5">
        <v>40025</v>
      </c>
      <c r="H4522" s="4" t="s">
        <v>16</v>
      </c>
      <c r="I4522" s="6">
        <v>1700</v>
      </c>
      <c r="J4522" s="6">
        <v>680</v>
      </c>
      <c r="K4522" s="37" t="s">
        <v>7456</v>
      </c>
      <c r="L4522" s="119"/>
      <c r="M4522" s="3"/>
    </row>
    <row r="4523" spans="1:13" s="4" customFormat="1" ht="25.5" x14ac:dyDescent="0.25">
      <c r="A4523" s="4" t="s">
        <v>7469</v>
      </c>
      <c r="B4523" s="4" t="s">
        <v>13</v>
      </c>
      <c r="C4523" s="37" t="s">
        <v>7456</v>
      </c>
      <c r="D4523" s="35">
        <v>4193</v>
      </c>
      <c r="E4523" s="4" t="s">
        <v>7470</v>
      </c>
      <c r="F4523" s="5">
        <v>39342</v>
      </c>
      <c r="G4523" s="5">
        <v>39476</v>
      </c>
      <c r="H4523" s="4" t="s">
        <v>16</v>
      </c>
      <c r="I4523" s="6">
        <v>151500</v>
      </c>
      <c r="J4523" s="6">
        <v>40500</v>
      </c>
      <c r="K4523" s="37" t="s">
        <v>7456</v>
      </c>
      <c r="L4523" s="119"/>
      <c r="M4523" s="3"/>
    </row>
    <row r="4524" spans="1:13" s="4" customFormat="1" ht="38.25" x14ac:dyDescent="0.25">
      <c r="A4524" s="4" t="s">
        <v>7471</v>
      </c>
      <c r="B4524" s="4" t="s">
        <v>13</v>
      </c>
      <c r="C4524" s="37" t="s">
        <v>7456</v>
      </c>
      <c r="D4524" s="35">
        <v>4194</v>
      </c>
      <c r="E4524" s="4" t="s">
        <v>7472</v>
      </c>
      <c r="F4524" s="5">
        <v>39330</v>
      </c>
      <c r="G4524" s="5">
        <v>40025</v>
      </c>
      <c r="H4524" s="4" t="s">
        <v>16</v>
      </c>
      <c r="I4524" s="6">
        <v>22000</v>
      </c>
      <c r="J4524" s="6">
        <v>5280</v>
      </c>
      <c r="K4524" s="37" t="s">
        <v>7456</v>
      </c>
      <c r="L4524" s="119"/>
      <c r="M4524" s="3"/>
    </row>
    <row r="4525" spans="1:13" s="4" customFormat="1" ht="25.5" x14ac:dyDescent="0.25">
      <c r="A4525" s="4" t="s">
        <v>7473</v>
      </c>
      <c r="B4525" s="4" t="s">
        <v>13</v>
      </c>
      <c r="C4525" s="37" t="s">
        <v>7456</v>
      </c>
      <c r="D4525" s="35">
        <v>4204</v>
      </c>
      <c r="E4525" s="4" t="s">
        <v>7474</v>
      </c>
      <c r="F4525" s="5">
        <v>39568</v>
      </c>
      <c r="G4525" s="5">
        <v>39776</v>
      </c>
      <c r="H4525" s="4" t="s">
        <v>16</v>
      </c>
      <c r="I4525" s="6">
        <v>2500</v>
      </c>
      <c r="J4525" s="6">
        <v>1000</v>
      </c>
      <c r="K4525" s="37" t="s">
        <v>7456</v>
      </c>
      <c r="L4525" s="119"/>
      <c r="M4525" s="3"/>
    </row>
    <row r="4526" spans="1:13" s="4" customFormat="1" ht="25.5" x14ac:dyDescent="0.25">
      <c r="A4526" s="4" t="s">
        <v>3618</v>
      </c>
      <c r="B4526" s="4" t="s">
        <v>13</v>
      </c>
      <c r="C4526" s="37" t="s">
        <v>7456</v>
      </c>
      <c r="D4526" s="35">
        <v>9882</v>
      </c>
      <c r="E4526" s="4" t="s">
        <v>7475</v>
      </c>
      <c r="F4526" s="5">
        <v>40240</v>
      </c>
      <c r="G4526" s="5">
        <v>40532</v>
      </c>
      <c r="H4526" s="4" t="s">
        <v>16</v>
      </c>
      <c r="I4526" s="6">
        <v>35569.53</v>
      </c>
      <c r="J4526" s="6">
        <v>10670</v>
      </c>
      <c r="K4526" s="37" t="s">
        <v>7456</v>
      </c>
      <c r="L4526" s="119"/>
      <c r="M4526" s="3"/>
    </row>
    <row r="4527" spans="1:13" s="4" customFormat="1" ht="25.5" x14ac:dyDescent="0.25">
      <c r="A4527" s="4" t="s">
        <v>7476</v>
      </c>
      <c r="B4527" s="4" t="s">
        <v>13</v>
      </c>
      <c r="C4527" s="37" t="s">
        <v>7456</v>
      </c>
      <c r="D4527" s="35">
        <v>9937</v>
      </c>
      <c r="E4527" s="4" t="s">
        <v>7477</v>
      </c>
      <c r="F4527" s="5">
        <v>40424</v>
      </c>
      <c r="G4527" s="5">
        <v>40598</v>
      </c>
      <c r="H4527" s="4" t="s">
        <v>16</v>
      </c>
      <c r="I4527" s="6">
        <v>12456</v>
      </c>
      <c r="J4527" s="6">
        <v>3736.8</v>
      </c>
      <c r="K4527" s="37" t="s">
        <v>7456</v>
      </c>
      <c r="L4527" s="119"/>
      <c r="M4527" s="3"/>
    </row>
    <row r="4528" spans="1:13" s="4" customFormat="1" ht="38.25" x14ac:dyDescent="0.25">
      <c r="A4528" s="4" t="s">
        <v>7478</v>
      </c>
      <c r="B4528" s="4" t="s">
        <v>13</v>
      </c>
      <c r="C4528" s="37" t="s">
        <v>7456</v>
      </c>
      <c r="D4528" s="35">
        <v>4393</v>
      </c>
      <c r="E4528" s="4" t="s">
        <v>7479</v>
      </c>
      <c r="F4528" s="5">
        <v>40118</v>
      </c>
      <c r="G4528" s="5">
        <v>40595</v>
      </c>
      <c r="H4528" s="4" t="s">
        <v>2039</v>
      </c>
      <c r="I4528" s="6">
        <v>48979.44</v>
      </c>
      <c r="J4528" s="6">
        <v>48979.44</v>
      </c>
      <c r="K4528" s="37" t="s">
        <v>7456</v>
      </c>
      <c r="L4528" s="119"/>
      <c r="M4528" s="3"/>
    </row>
    <row r="4529" spans="1:13" s="4" customFormat="1" ht="25.5" x14ac:dyDescent="0.25">
      <c r="A4529" s="4" t="s">
        <v>7480</v>
      </c>
      <c r="B4529" s="4" t="s">
        <v>13</v>
      </c>
      <c r="C4529" s="37" t="s">
        <v>7456</v>
      </c>
      <c r="D4529" s="35">
        <v>4395</v>
      </c>
      <c r="E4529" s="4" t="s">
        <v>7481</v>
      </c>
      <c r="F4529" s="5">
        <v>39783</v>
      </c>
      <c r="G4529" s="5">
        <v>40268</v>
      </c>
      <c r="H4529" s="4" t="s">
        <v>2039</v>
      </c>
      <c r="I4529" s="6">
        <v>82856.87</v>
      </c>
      <c r="J4529" s="6">
        <v>82856.87</v>
      </c>
      <c r="K4529" s="37" t="s">
        <v>7456</v>
      </c>
      <c r="L4529" s="119"/>
      <c r="M4529" s="3"/>
    </row>
    <row r="4530" spans="1:13" s="4" customFormat="1" ht="51" x14ac:dyDescent="0.25">
      <c r="A4530" s="4" t="s">
        <v>7482</v>
      </c>
      <c r="B4530" s="4" t="s">
        <v>13</v>
      </c>
      <c r="C4530" s="37" t="s">
        <v>7456</v>
      </c>
      <c r="D4530" s="35">
        <v>11511</v>
      </c>
      <c r="E4530" s="4" t="s">
        <v>7483</v>
      </c>
      <c r="F4530" s="5">
        <v>40817</v>
      </c>
      <c r="G4530" s="5">
        <v>42004</v>
      </c>
      <c r="H4530" s="4" t="s">
        <v>2039</v>
      </c>
      <c r="I4530" s="6">
        <f>9041.39+38354.3</f>
        <v>47395.69</v>
      </c>
      <c r="J4530" s="6">
        <f>9041.39+38354.3</f>
        <v>47395.69</v>
      </c>
      <c r="K4530" s="37" t="s">
        <v>7456</v>
      </c>
      <c r="L4530" s="119"/>
      <c r="M4530" s="3"/>
    </row>
    <row r="4531" spans="1:13" s="4" customFormat="1" ht="76.5" x14ac:dyDescent="0.25">
      <c r="A4531" s="4" t="s">
        <v>7484</v>
      </c>
      <c r="B4531" s="4" t="s">
        <v>13</v>
      </c>
      <c r="C4531" s="37" t="s">
        <v>7456</v>
      </c>
      <c r="D4531" s="35">
        <v>9860</v>
      </c>
      <c r="E4531" s="4" t="s">
        <v>7485</v>
      </c>
      <c r="F4531" s="5">
        <v>40785</v>
      </c>
      <c r="G4531" s="5">
        <v>40900</v>
      </c>
      <c r="H4531" s="4" t="s">
        <v>392</v>
      </c>
      <c r="I4531" s="6">
        <v>704468</v>
      </c>
      <c r="J4531" s="6">
        <v>176117</v>
      </c>
      <c r="K4531" s="37" t="s">
        <v>7456</v>
      </c>
      <c r="L4531" s="119"/>
      <c r="M4531" s="3"/>
    </row>
    <row r="4532" spans="1:13" s="4" customFormat="1" ht="38.25" x14ac:dyDescent="0.25">
      <c r="A4532" s="4" t="s">
        <v>7486</v>
      </c>
      <c r="B4532" s="4" t="s">
        <v>13</v>
      </c>
      <c r="C4532" s="37" t="s">
        <v>7456</v>
      </c>
      <c r="D4532" s="35">
        <v>9861</v>
      </c>
      <c r="E4532" s="4" t="s">
        <v>7487</v>
      </c>
      <c r="F4532" s="5">
        <v>41137</v>
      </c>
      <c r="G4532" s="5">
        <v>41246</v>
      </c>
      <c r="H4532" s="4" t="s">
        <v>392</v>
      </c>
      <c r="I4532" s="6">
        <v>34161.800000000003</v>
      </c>
      <c r="J4532" s="6">
        <v>11956.63</v>
      </c>
      <c r="K4532" s="37" t="s">
        <v>7456</v>
      </c>
      <c r="L4532" s="119"/>
      <c r="M4532" s="3"/>
    </row>
    <row r="4533" spans="1:13" s="4" customFormat="1" ht="25.5" x14ac:dyDescent="0.25">
      <c r="A4533" s="4" t="s">
        <v>7488</v>
      </c>
      <c r="B4533" s="4" t="s">
        <v>13</v>
      </c>
      <c r="C4533" s="37" t="s">
        <v>7456</v>
      </c>
      <c r="D4533" s="35">
        <v>9869</v>
      </c>
      <c r="E4533" s="4" t="s">
        <v>7489</v>
      </c>
      <c r="F4533" s="5">
        <v>40766</v>
      </c>
      <c r="G4533" s="5">
        <v>40897</v>
      </c>
      <c r="H4533" s="4" t="s">
        <v>392</v>
      </c>
      <c r="I4533" s="6">
        <v>194657</v>
      </c>
      <c r="J4533" s="6">
        <v>68129.95</v>
      </c>
      <c r="K4533" s="37" t="s">
        <v>7456</v>
      </c>
      <c r="L4533" s="119"/>
      <c r="M4533" s="3"/>
    </row>
    <row r="4534" spans="1:13" s="4" customFormat="1" ht="63.75" x14ac:dyDescent="0.25">
      <c r="A4534" s="4" t="s">
        <v>7488</v>
      </c>
      <c r="B4534" s="4" t="s">
        <v>13</v>
      </c>
      <c r="C4534" s="37" t="s">
        <v>7456</v>
      </c>
      <c r="D4534" s="35">
        <v>9901</v>
      </c>
      <c r="E4534" s="4" t="s">
        <v>7490</v>
      </c>
      <c r="F4534" s="5">
        <v>40394</v>
      </c>
      <c r="G4534" s="5">
        <v>40512</v>
      </c>
      <c r="H4534" s="4" t="s">
        <v>392</v>
      </c>
      <c r="I4534" s="6">
        <v>286458.03999999998</v>
      </c>
      <c r="J4534" s="6">
        <v>100260.3</v>
      </c>
      <c r="K4534" s="37" t="s">
        <v>7456</v>
      </c>
      <c r="L4534" s="119"/>
      <c r="M4534" s="3"/>
    </row>
    <row r="4535" spans="1:13" s="4" customFormat="1" ht="51" x14ac:dyDescent="0.25">
      <c r="A4535" s="4" t="s">
        <v>7491</v>
      </c>
      <c r="B4535" s="4" t="s">
        <v>13</v>
      </c>
      <c r="C4535" s="37" t="s">
        <v>7456</v>
      </c>
      <c r="D4535" s="35">
        <v>9907</v>
      </c>
      <c r="E4535" s="4" t="s">
        <v>7492</v>
      </c>
      <c r="F4535" s="5">
        <v>40749</v>
      </c>
      <c r="G4535" s="5">
        <v>40897</v>
      </c>
      <c r="H4535" s="4" t="s">
        <v>392</v>
      </c>
      <c r="I4535" s="6">
        <v>197704.02</v>
      </c>
      <c r="J4535" s="6">
        <v>69196.41</v>
      </c>
      <c r="K4535" s="37" t="s">
        <v>7456</v>
      </c>
      <c r="L4535" s="119"/>
      <c r="M4535" s="3"/>
    </row>
    <row r="4536" spans="1:13" s="4" customFormat="1" ht="63.75" x14ac:dyDescent="0.25">
      <c r="A4536" s="4" t="s">
        <v>7493</v>
      </c>
      <c r="B4536" s="4" t="s">
        <v>13</v>
      </c>
      <c r="C4536" s="37" t="s">
        <v>7456</v>
      </c>
      <c r="D4536" s="35">
        <v>9916</v>
      </c>
      <c r="E4536" s="4" t="s">
        <v>7494</v>
      </c>
      <c r="F4536" s="5">
        <v>40406</v>
      </c>
      <c r="G4536" s="5">
        <v>40554</v>
      </c>
      <c r="H4536" s="4" t="s">
        <v>392</v>
      </c>
      <c r="I4536" s="6">
        <v>14650</v>
      </c>
      <c r="J4536" s="6">
        <v>3000</v>
      </c>
      <c r="K4536" s="37" t="s">
        <v>7456</v>
      </c>
      <c r="L4536" s="119"/>
      <c r="M4536" s="3"/>
    </row>
    <row r="4537" spans="1:13" s="4" customFormat="1" ht="51" x14ac:dyDescent="0.25">
      <c r="A4537" s="4" t="s">
        <v>2034</v>
      </c>
      <c r="B4537" s="4" t="s">
        <v>13</v>
      </c>
      <c r="C4537" s="37" t="s">
        <v>7456</v>
      </c>
      <c r="D4537" s="35">
        <v>10149</v>
      </c>
      <c r="E4537" s="4" t="s">
        <v>7495</v>
      </c>
      <c r="F4537" s="5">
        <v>40861</v>
      </c>
      <c r="G4537" s="5">
        <v>40870</v>
      </c>
      <c r="H4537" s="4" t="s">
        <v>392</v>
      </c>
      <c r="I4537" s="6">
        <v>1188619.33</v>
      </c>
      <c r="J4537" s="6">
        <v>106975.76</v>
      </c>
      <c r="K4537" s="37" t="s">
        <v>7456</v>
      </c>
      <c r="L4537" s="119"/>
      <c r="M4537" s="3"/>
    </row>
    <row r="4538" spans="1:13" s="4" customFormat="1" ht="25.5" x14ac:dyDescent="0.25">
      <c r="A4538" s="4" t="s">
        <v>3072</v>
      </c>
      <c r="B4538" s="4" t="s">
        <v>13</v>
      </c>
      <c r="C4538" s="37" t="s">
        <v>7456</v>
      </c>
      <c r="D4538" s="35">
        <v>10154</v>
      </c>
      <c r="E4538" s="4" t="s">
        <v>7496</v>
      </c>
      <c r="F4538" s="5">
        <v>40749</v>
      </c>
      <c r="G4538" s="5">
        <v>40897</v>
      </c>
      <c r="H4538" s="4" t="s">
        <v>392</v>
      </c>
      <c r="I4538" s="6">
        <v>141062.91</v>
      </c>
      <c r="J4538" s="6">
        <v>49372.02</v>
      </c>
      <c r="K4538" s="37" t="s">
        <v>7456</v>
      </c>
      <c r="L4538" s="119"/>
      <c r="M4538" s="3"/>
    </row>
    <row r="4539" spans="1:13" s="4" customFormat="1" ht="89.25" x14ac:dyDescent="0.25">
      <c r="A4539" s="4" t="s">
        <v>7493</v>
      </c>
      <c r="B4539" s="4" t="s">
        <v>13</v>
      </c>
      <c r="C4539" s="37" t="s">
        <v>7456</v>
      </c>
      <c r="D4539" s="35">
        <v>10221</v>
      </c>
      <c r="E4539" s="7" t="s">
        <v>7497</v>
      </c>
      <c r="F4539" s="5">
        <v>41107</v>
      </c>
      <c r="G4539" s="5">
        <v>41501</v>
      </c>
      <c r="H4539" s="4" t="s">
        <v>392</v>
      </c>
      <c r="I4539" s="6">
        <v>332659.28999999998</v>
      </c>
      <c r="J4539" s="6">
        <v>116430.75</v>
      </c>
      <c r="K4539" s="37" t="s">
        <v>7456</v>
      </c>
      <c r="L4539" s="119"/>
      <c r="M4539" s="3"/>
    </row>
    <row r="4540" spans="1:13" s="4" customFormat="1" ht="38.25" x14ac:dyDescent="0.25">
      <c r="A4540" s="4" t="s">
        <v>7498</v>
      </c>
      <c r="B4540" s="4" t="s">
        <v>11764</v>
      </c>
      <c r="C4540" s="37" t="s">
        <v>7456</v>
      </c>
      <c r="D4540" s="35">
        <v>366</v>
      </c>
      <c r="E4540" s="4" t="s">
        <v>7499</v>
      </c>
      <c r="F4540" s="5">
        <v>39099</v>
      </c>
      <c r="G4540" s="5">
        <v>39218</v>
      </c>
      <c r="H4540" s="4" t="s">
        <v>40</v>
      </c>
      <c r="I4540" s="6">
        <v>100000</v>
      </c>
      <c r="J4540" s="6">
        <v>50000</v>
      </c>
      <c r="K4540" s="37" t="s">
        <v>7456</v>
      </c>
      <c r="L4540" s="119"/>
      <c r="M4540" s="3"/>
    </row>
    <row r="4541" spans="1:13" s="4" customFormat="1" ht="25.5" x14ac:dyDescent="0.25">
      <c r="A4541" s="4" t="s">
        <v>7500</v>
      </c>
      <c r="B4541" s="4" t="s">
        <v>11764</v>
      </c>
      <c r="C4541" s="37" t="s">
        <v>7456</v>
      </c>
      <c r="D4541" s="35">
        <v>367</v>
      </c>
      <c r="E4541" s="4" t="s">
        <v>7501</v>
      </c>
      <c r="F4541" s="5">
        <v>39134</v>
      </c>
      <c r="G4541" s="5">
        <v>39172</v>
      </c>
      <c r="H4541" s="4" t="s">
        <v>40</v>
      </c>
      <c r="I4541" s="6">
        <v>150000</v>
      </c>
      <c r="J4541" s="6">
        <v>75000</v>
      </c>
      <c r="K4541" s="37" t="s">
        <v>7456</v>
      </c>
      <c r="L4541" s="119"/>
      <c r="M4541" s="3"/>
    </row>
    <row r="4542" spans="1:13" s="4" customFormat="1" x14ac:dyDescent="0.25">
      <c r="A4542" s="4" t="s">
        <v>7502</v>
      </c>
      <c r="B4542" s="4" t="s">
        <v>50</v>
      </c>
      <c r="C4542" s="37" t="s">
        <v>7456</v>
      </c>
      <c r="D4542" s="35">
        <v>368</v>
      </c>
      <c r="E4542" s="4" t="s">
        <v>7503</v>
      </c>
      <c r="F4542" s="5">
        <v>39225</v>
      </c>
      <c r="G4542" s="5">
        <v>39423</v>
      </c>
      <c r="H4542" s="4" t="s">
        <v>40</v>
      </c>
      <c r="I4542" s="6">
        <v>80000</v>
      </c>
      <c r="J4542" s="6">
        <v>15000</v>
      </c>
      <c r="K4542" s="37" t="s">
        <v>7456</v>
      </c>
      <c r="L4542" s="119"/>
      <c r="M4542" s="3"/>
    </row>
    <row r="4543" spans="1:13" s="4" customFormat="1" ht="25.5" x14ac:dyDescent="0.25">
      <c r="A4543" s="4" t="s">
        <v>7504</v>
      </c>
      <c r="B4543" s="4" t="s">
        <v>11764</v>
      </c>
      <c r="C4543" s="37" t="s">
        <v>7456</v>
      </c>
      <c r="D4543" s="35">
        <v>369</v>
      </c>
      <c r="E4543" s="4" t="s">
        <v>7505</v>
      </c>
      <c r="F4543" s="5">
        <v>39162</v>
      </c>
      <c r="G4543" s="5">
        <v>39258</v>
      </c>
      <c r="H4543" s="4" t="s">
        <v>40</v>
      </c>
      <c r="I4543" s="6">
        <v>100000</v>
      </c>
      <c r="J4543" s="6">
        <v>50000</v>
      </c>
      <c r="K4543" s="37" t="s">
        <v>7456</v>
      </c>
      <c r="L4543" s="119"/>
      <c r="M4543" s="3"/>
    </row>
    <row r="4544" spans="1:13" s="4" customFormat="1" ht="25.5" x14ac:dyDescent="0.25">
      <c r="A4544" s="4" t="s">
        <v>7506</v>
      </c>
      <c r="B4544" s="4" t="s">
        <v>11764</v>
      </c>
      <c r="C4544" s="37" t="s">
        <v>7456</v>
      </c>
      <c r="D4544" s="35">
        <v>370</v>
      </c>
      <c r="E4544" s="4" t="s">
        <v>7507</v>
      </c>
      <c r="F4544" s="5">
        <v>39190</v>
      </c>
      <c r="G4544" s="5">
        <v>39428</v>
      </c>
      <c r="H4544" s="4" t="s">
        <v>40</v>
      </c>
      <c r="I4544" s="6">
        <v>150000</v>
      </c>
      <c r="J4544" s="6">
        <v>75000</v>
      </c>
      <c r="K4544" s="37" t="s">
        <v>7456</v>
      </c>
      <c r="L4544" s="119"/>
      <c r="M4544" s="3"/>
    </row>
    <row r="4545" spans="1:13" s="4" customFormat="1" ht="25.5" x14ac:dyDescent="0.25">
      <c r="A4545" s="4" t="s">
        <v>7512</v>
      </c>
      <c r="B4545" s="4" t="s">
        <v>59</v>
      </c>
      <c r="C4545" s="37" t="s">
        <v>7456</v>
      </c>
      <c r="D4545" s="35">
        <v>373</v>
      </c>
      <c r="E4545" s="4" t="s">
        <v>7513</v>
      </c>
      <c r="F4545" s="5">
        <v>39281</v>
      </c>
      <c r="G4545" s="5">
        <v>39489</v>
      </c>
      <c r="H4545" s="4" t="s">
        <v>40</v>
      </c>
      <c r="I4545" s="6">
        <v>7500</v>
      </c>
      <c r="J4545" s="6">
        <v>7500</v>
      </c>
      <c r="K4545" s="37" t="s">
        <v>7456</v>
      </c>
      <c r="L4545" s="119"/>
      <c r="M4545" s="3"/>
    </row>
    <row r="4546" spans="1:13" s="4" customFormat="1" x14ac:dyDescent="0.25">
      <c r="A4546" s="4" t="s">
        <v>7514</v>
      </c>
      <c r="B4546" s="4" t="s">
        <v>11764</v>
      </c>
      <c r="C4546" s="37" t="s">
        <v>7456</v>
      </c>
      <c r="D4546" s="35">
        <v>374</v>
      </c>
      <c r="E4546" s="4" t="s">
        <v>7515</v>
      </c>
      <c r="F4546" s="5">
        <v>39337</v>
      </c>
      <c r="G4546" s="5">
        <v>39517</v>
      </c>
      <c r="H4546" s="4" t="s">
        <v>40</v>
      </c>
      <c r="I4546" s="6">
        <v>75000</v>
      </c>
      <c r="J4546" s="6">
        <v>25000</v>
      </c>
      <c r="K4546" s="37" t="s">
        <v>7456</v>
      </c>
      <c r="L4546" s="119"/>
      <c r="M4546" s="3"/>
    </row>
    <row r="4547" spans="1:13" s="4" customFormat="1" ht="25.5" x14ac:dyDescent="0.25">
      <c r="A4547" s="4" t="s">
        <v>7519</v>
      </c>
      <c r="B4547" s="4" t="s">
        <v>38</v>
      </c>
      <c r="C4547" s="37" t="s">
        <v>7456</v>
      </c>
      <c r="D4547" s="35">
        <v>686</v>
      </c>
      <c r="E4547" s="4" t="s">
        <v>7520</v>
      </c>
      <c r="F4547" s="5">
        <v>39093</v>
      </c>
      <c r="G4547" s="5">
        <v>39435</v>
      </c>
      <c r="H4547" s="4" t="s">
        <v>40</v>
      </c>
      <c r="I4547" s="6">
        <v>34360.699999999997</v>
      </c>
      <c r="J4547" s="6">
        <v>34360.699999999997</v>
      </c>
      <c r="K4547" s="37" t="s">
        <v>7456</v>
      </c>
      <c r="L4547" s="119"/>
      <c r="M4547" s="3"/>
    </row>
    <row r="4548" spans="1:13" s="4" customFormat="1" ht="25.5" x14ac:dyDescent="0.25">
      <c r="A4548" s="4" t="s">
        <v>7521</v>
      </c>
      <c r="B4548" s="4" t="s">
        <v>38</v>
      </c>
      <c r="C4548" s="37" t="s">
        <v>7456</v>
      </c>
      <c r="D4548" s="35">
        <v>689</v>
      </c>
      <c r="E4548" s="4" t="s">
        <v>7522</v>
      </c>
      <c r="F4548" s="5">
        <v>39093</v>
      </c>
      <c r="G4548" s="5">
        <v>39435</v>
      </c>
      <c r="H4548" s="4" t="s">
        <v>40</v>
      </c>
      <c r="I4548" s="6">
        <v>16144.86</v>
      </c>
      <c r="J4548" s="6">
        <v>16144.86</v>
      </c>
      <c r="K4548" s="37" t="s">
        <v>7456</v>
      </c>
      <c r="L4548" s="119"/>
      <c r="M4548" s="3"/>
    </row>
    <row r="4549" spans="1:13" s="4" customFormat="1" ht="25.5" x14ac:dyDescent="0.25">
      <c r="A4549" s="4" t="s">
        <v>7523</v>
      </c>
      <c r="B4549" s="4" t="s">
        <v>38</v>
      </c>
      <c r="C4549" s="37" t="s">
        <v>7456</v>
      </c>
      <c r="D4549" s="35">
        <v>692</v>
      </c>
      <c r="E4549" s="4" t="s">
        <v>7524</v>
      </c>
      <c r="F4549" s="5">
        <v>39093</v>
      </c>
      <c r="G4549" s="5">
        <v>39427</v>
      </c>
      <c r="H4549" s="4" t="s">
        <v>40</v>
      </c>
      <c r="I4549" s="6">
        <v>3216.6</v>
      </c>
      <c r="J4549" s="6">
        <v>3215.6</v>
      </c>
      <c r="K4549" s="37" t="s">
        <v>7456</v>
      </c>
      <c r="L4549" s="119"/>
      <c r="M4549" s="3"/>
    </row>
    <row r="4550" spans="1:13" s="4" customFormat="1" ht="25.5" x14ac:dyDescent="0.25">
      <c r="A4550" s="4" t="s">
        <v>7525</v>
      </c>
      <c r="B4550" s="4" t="s">
        <v>38</v>
      </c>
      <c r="C4550" s="37" t="s">
        <v>7456</v>
      </c>
      <c r="D4550" s="35">
        <v>698</v>
      </c>
      <c r="E4550" s="4" t="s">
        <v>7526</v>
      </c>
      <c r="F4550" s="5">
        <v>39128</v>
      </c>
      <c r="G4550" s="5">
        <v>39390</v>
      </c>
      <c r="H4550" s="4" t="s">
        <v>40</v>
      </c>
      <c r="I4550" s="6">
        <v>177.5</v>
      </c>
      <c r="J4550" s="6">
        <v>177.5</v>
      </c>
      <c r="K4550" s="37" t="s">
        <v>7456</v>
      </c>
      <c r="L4550" s="119"/>
      <c r="M4550" s="3"/>
    </row>
    <row r="4551" spans="1:13" s="4" customFormat="1" ht="25.5" x14ac:dyDescent="0.25">
      <c r="A4551" s="4" t="s">
        <v>7529</v>
      </c>
      <c r="B4551" s="4" t="s">
        <v>38</v>
      </c>
      <c r="C4551" s="37" t="s">
        <v>7456</v>
      </c>
      <c r="D4551" s="35">
        <v>700</v>
      </c>
      <c r="E4551" s="4" t="s">
        <v>7530</v>
      </c>
      <c r="F4551" s="5">
        <v>39083</v>
      </c>
      <c r="G4551" s="5">
        <v>39447</v>
      </c>
      <c r="H4551" s="4" t="s">
        <v>40</v>
      </c>
      <c r="I4551" s="6">
        <v>30000</v>
      </c>
      <c r="J4551" s="6">
        <v>30000</v>
      </c>
      <c r="K4551" s="37" t="s">
        <v>7456</v>
      </c>
      <c r="L4551" s="119"/>
      <c r="M4551" s="3"/>
    </row>
    <row r="4552" spans="1:13" s="4" customFormat="1" ht="25.5" x14ac:dyDescent="0.25">
      <c r="A4552" s="4" t="s">
        <v>7531</v>
      </c>
      <c r="B4552" s="4" t="s">
        <v>38</v>
      </c>
      <c r="C4552" s="37" t="s">
        <v>7456</v>
      </c>
      <c r="D4552" s="35">
        <v>713</v>
      </c>
      <c r="E4552" s="4" t="s">
        <v>7532</v>
      </c>
      <c r="F4552" s="5">
        <v>39091</v>
      </c>
      <c r="G4552" s="5">
        <v>39370</v>
      </c>
      <c r="H4552" s="4" t="s">
        <v>40</v>
      </c>
      <c r="I4552" s="6">
        <v>3725</v>
      </c>
      <c r="J4552" s="6">
        <v>3725</v>
      </c>
      <c r="K4552" s="37" t="s">
        <v>7456</v>
      </c>
      <c r="L4552" s="119"/>
      <c r="M4552" s="3"/>
    </row>
    <row r="4553" spans="1:13" s="4" customFormat="1" ht="25.5" x14ac:dyDescent="0.25">
      <c r="A4553" s="4" t="s">
        <v>7533</v>
      </c>
      <c r="B4553" s="4" t="s">
        <v>38</v>
      </c>
      <c r="C4553" s="37" t="s">
        <v>7456</v>
      </c>
      <c r="D4553" s="35">
        <v>715</v>
      </c>
      <c r="E4553" s="4" t="s">
        <v>7534</v>
      </c>
      <c r="F4553" s="5">
        <v>39134</v>
      </c>
      <c r="G4553" s="5">
        <v>39437</v>
      </c>
      <c r="H4553" s="4" t="s">
        <v>40</v>
      </c>
      <c r="I4553" s="6">
        <v>153573</v>
      </c>
      <c r="J4553" s="6">
        <v>61429</v>
      </c>
      <c r="K4553" s="37" t="s">
        <v>7456</v>
      </c>
      <c r="L4553" s="119"/>
      <c r="M4553" s="3"/>
    </row>
    <row r="4554" spans="1:13" s="4" customFormat="1" x14ac:dyDescent="0.25">
      <c r="A4554" s="4" t="s">
        <v>7535</v>
      </c>
      <c r="B4554" s="4" t="s">
        <v>13</v>
      </c>
      <c r="C4554" s="37" t="s">
        <v>7456</v>
      </c>
      <c r="D4554" s="35">
        <v>716</v>
      </c>
      <c r="E4554" s="4" t="s">
        <v>7536</v>
      </c>
      <c r="F4554" s="5">
        <v>39206</v>
      </c>
      <c r="G4554" s="5">
        <v>39302</v>
      </c>
      <c r="H4554" s="4" t="s">
        <v>40</v>
      </c>
      <c r="I4554" s="6">
        <v>2080</v>
      </c>
      <c r="J4554" s="6">
        <v>2080</v>
      </c>
      <c r="K4554" s="37" t="s">
        <v>7456</v>
      </c>
      <c r="L4554" s="119"/>
      <c r="M4554" s="3"/>
    </row>
    <row r="4555" spans="1:13" s="4" customFormat="1" ht="25.5" x14ac:dyDescent="0.25">
      <c r="A4555" s="4" t="s">
        <v>7537</v>
      </c>
      <c r="B4555" s="4" t="s">
        <v>38</v>
      </c>
      <c r="C4555" s="37" t="s">
        <v>7456</v>
      </c>
      <c r="D4555" s="35">
        <v>718</v>
      </c>
      <c r="E4555" s="4" t="s">
        <v>7538</v>
      </c>
      <c r="F4555" s="5">
        <v>39085</v>
      </c>
      <c r="G4555" s="5">
        <v>39421</v>
      </c>
      <c r="H4555" s="4" t="s">
        <v>40</v>
      </c>
      <c r="I4555" s="6">
        <v>23118.9</v>
      </c>
      <c r="J4555" s="6">
        <v>23118.9</v>
      </c>
      <c r="K4555" s="37" t="s">
        <v>7456</v>
      </c>
      <c r="L4555" s="119"/>
      <c r="M4555" s="3"/>
    </row>
    <row r="4556" spans="1:13" s="4" customFormat="1" ht="25.5" x14ac:dyDescent="0.25">
      <c r="A4556" s="4" t="s">
        <v>7539</v>
      </c>
      <c r="B4556" s="4" t="s">
        <v>38</v>
      </c>
      <c r="C4556" s="37" t="s">
        <v>7456</v>
      </c>
      <c r="D4556" s="35">
        <v>719</v>
      </c>
      <c r="E4556" s="4" t="s">
        <v>7540</v>
      </c>
      <c r="F4556" s="5">
        <v>39093</v>
      </c>
      <c r="G4556" s="5">
        <v>39436</v>
      </c>
      <c r="H4556" s="4" t="s">
        <v>40</v>
      </c>
      <c r="I4556" s="6">
        <v>46002.879999999997</v>
      </c>
      <c r="J4556" s="6">
        <v>46003</v>
      </c>
      <c r="K4556" s="37" t="s">
        <v>7456</v>
      </c>
      <c r="L4556" s="119"/>
      <c r="M4556" s="3"/>
    </row>
    <row r="4557" spans="1:13" s="4" customFormat="1" ht="25.5" x14ac:dyDescent="0.25">
      <c r="A4557" s="4" t="s">
        <v>7541</v>
      </c>
      <c r="B4557" s="4" t="s">
        <v>38</v>
      </c>
      <c r="C4557" s="37" t="s">
        <v>7456</v>
      </c>
      <c r="D4557" s="35">
        <v>722</v>
      </c>
      <c r="E4557" s="4" t="s">
        <v>7542</v>
      </c>
      <c r="F4557" s="5">
        <v>39351</v>
      </c>
      <c r="G4557" s="5">
        <v>39421</v>
      </c>
      <c r="H4557" s="4" t="s">
        <v>40</v>
      </c>
      <c r="I4557" s="6">
        <v>3238.35</v>
      </c>
      <c r="J4557" s="6">
        <v>3238</v>
      </c>
      <c r="K4557" s="37" t="s">
        <v>7456</v>
      </c>
      <c r="L4557" s="119"/>
      <c r="M4557" s="3"/>
    </row>
    <row r="4558" spans="1:13" s="4" customFormat="1" ht="25.5" x14ac:dyDescent="0.25">
      <c r="A4558" s="4" t="s">
        <v>7543</v>
      </c>
      <c r="B4558" s="4" t="s">
        <v>38</v>
      </c>
      <c r="C4558" s="37" t="s">
        <v>7456</v>
      </c>
      <c r="D4558" s="35">
        <v>723</v>
      </c>
      <c r="E4558" s="4" t="s">
        <v>7544</v>
      </c>
      <c r="F4558" s="5">
        <v>39091</v>
      </c>
      <c r="G4558" s="5">
        <v>39103</v>
      </c>
      <c r="H4558" s="4" t="s">
        <v>40</v>
      </c>
      <c r="I4558" s="6">
        <v>45016.79</v>
      </c>
      <c r="J4558" s="6">
        <v>45016.79</v>
      </c>
      <c r="K4558" s="37" t="s">
        <v>7456</v>
      </c>
      <c r="L4558" s="119"/>
      <c r="M4558" s="3"/>
    </row>
    <row r="4559" spans="1:13" s="4" customFormat="1" ht="25.5" x14ac:dyDescent="0.25">
      <c r="A4559" s="4" t="s">
        <v>5884</v>
      </c>
      <c r="B4559" s="4" t="s">
        <v>13</v>
      </c>
      <c r="C4559" s="37" t="s">
        <v>7456</v>
      </c>
      <c r="D4559" s="35">
        <v>724</v>
      </c>
      <c r="E4559" s="4" t="s">
        <v>7545</v>
      </c>
      <c r="F4559" s="5">
        <v>39157</v>
      </c>
      <c r="G4559" s="5">
        <v>39336</v>
      </c>
      <c r="H4559" s="4" t="s">
        <v>40</v>
      </c>
      <c r="I4559" s="6">
        <v>35259.120000000003</v>
      </c>
      <c r="J4559" s="6">
        <v>35259.120000000003</v>
      </c>
      <c r="K4559" s="37" t="s">
        <v>7456</v>
      </c>
      <c r="L4559" s="119"/>
      <c r="M4559" s="3"/>
    </row>
    <row r="4560" spans="1:13" s="4" customFormat="1" x14ac:dyDescent="0.25">
      <c r="A4560" s="4" t="s">
        <v>7546</v>
      </c>
      <c r="B4560" s="4" t="s">
        <v>13</v>
      </c>
      <c r="C4560" s="37" t="s">
        <v>7456</v>
      </c>
      <c r="D4560" s="35">
        <v>726</v>
      </c>
      <c r="E4560" s="4" t="s">
        <v>7547</v>
      </c>
      <c r="F4560" s="5">
        <v>39176</v>
      </c>
      <c r="G4560" s="5">
        <v>39206</v>
      </c>
      <c r="H4560" s="4" t="s">
        <v>40</v>
      </c>
      <c r="I4560" s="6">
        <v>4346.8</v>
      </c>
      <c r="J4560" s="6">
        <v>4347</v>
      </c>
      <c r="K4560" s="37" t="s">
        <v>7456</v>
      </c>
      <c r="L4560" s="119"/>
      <c r="M4560" s="3"/>
    </row>
    <row r="4561" spans="1:13" s="4" customFormat="1" ht="25.5" x14ac:dyDescent="0.25">
      <c r="A4561" s="4" t="s">
        <v>7548</v>
      </c>
      <c r="B4561" s="4" t="s">
        <v>38</v>
      </c>
      <c r="C4561" s="37" t="s">
        <v>7456</v>
      </c>
      <c r="D4561" s="35">
        <v>727</v>
      </c>
      <c r="E4561" s="4" t="s">
        <v>7549</v>
      </c>
      <c r="F4561" s="5">
        <v>39169</v>
      </c>
      <c r="G4561" s="5">
        <v>39434</v>
      </c>
      <c r="H4561" s="4" t="s">
        <v>40</v>
      </c>
      <c r="I4561" s="6">
        <v>38652.6</v>
      </c>
      <c r="J4561" s="6">
        <v>38652.6</v>
      </c>
      <c r="K4561" s="37" t="s">
        <v>7456</v>
      </c>
      <c r="L4561" s="119"/>
      <c r="M4561" s="3"/>
    </row>
    <row r="4562" spans="1:13" s="4" customFormat="1" ht="25.5" x14ac:dyDescent="0.25">
      <c r="A4562" s="4" t="s">
        <v>7550</v>
      </c>
      <c r="B4562" s="4" t="s">
        <v>13</v>
      </c>
      <c r="C4562" s="37" t="s">
        <v>7456</v>
      </c>
      <c r="D4562" s="35">
        <v>759</v>
      </c>
      <c r="E4562" s="4" t="s">
        <v>7551</v>
      </c>
      <c r="F4562" s="5">
        <v>39266</v>
      </c>
      <c r="G4562" s="5">
        <v>39308</v>
      </c>
      <c r="H4562" s="4" t="s">
        <v>40</v>
      </c>
      <c r="I4562" s="6">
        <v>1992</v>
      </c>
      <c r="J4562" s="6">
        <v>1992.2</v>
      </c>
      <c r="K4562" s="37" t="s">
        <v>7456</v>
      </c>
      <c r="L4562" s="119"/>
      <c r="M4562" s="3"/>
    </row>
    <row r="4563" spans="1:13" s="4" customFormat="1" x14ac:dyDescent="0.25">
      <c r="A4563" s="4" t="s">
        <v>7552</v>
      </c>
      <c r="B4563" s="4" t="s">
        <v>13</v>
      </c>
      <c r="C4563" s="37" t="s">
        <v>7456</v>
      </c>
      <c r="D4563" s="35">
        <v>760</v>
      </c>
      <c r="E4563" s="4" t="s">
        <v>7553</v>
      </c>
      <c r="F4563" s="5">
        <v>39099</v>
      </c>
      <c r="G4563" s="5">
        <v>39099</v>
      </c>
      <c r="H4563" s="4" t="s">
        <v>40</v>
      </c>
      <c r="I4563" s="6">
        <v>1771</v>
      </c>
      <c r="J4563" s="6">
        <v>1771</v>
      </c>
      <c r="K4563" s="37" t="s">
        <v>7456</v>
      </c>
      <c r="L4563" s="119"/>
      <c r="M4563" s="3"/>
    </row>
    <row r="4564" spans="1:13" s="4" customFormat="1" x14ac:dyDescent="0.25">
      <c r="A4564" s="4" t="s">
        <v>7556</v>
      </c>
      <c r="B4564" s="4" t="s">
        <v>13</v>
      </c>
      <c r="C4564" s="37" t="s">
        <v>7456</v>
      </c>
      <c r="D4564" s="35">
        <v>1094</v>
      </c>
      <c r="E4564" s="4" t="s">
        <v>7557</v>
      </c>
      <c r="F4564" s="5">
        <v>39216</v>
      </c>
      <c r="G4564" s="5">
        <v>39335</v>
      </c>
      <c r="H4564" s="4" t="s">
        <v>40</v>
      </c>
      <c r="I4564" s="6">
        <v>1344</v>
      </c>
      <c r="J4564" s="6">
        <v>1344</v>
      </c>
      <c r="K4564" s="37" t="s">
        <v>7456</v>
      </c>
      <c r="L4564" s="119"/>
      <c r="M4564" s="3"/>
    </row>
    <row r="4565" spans="1:13" s="4" customFormat="1" ht="25.5" x14ac:dyDescent="0.25">
      <c r="A4565" s="4" t="s">
        <v>7558</v>
      </c>
      <c r="B4565" s="4" t="s">
        <v>38</v>
      </c>
      <c r="C4565" s="37" t="s">
        <v>7456</v>
      </c>
      <c r="D4565" s="35">
        <v>3396</v>
      </c>
      <c r="E4565" s="4" t="s">
        <v>7559</v>
      </c>
      <c r="F4565" s="5">
        <v>39478</v>
      </c>
      <c r="G4565" s="5">
        <v>39801</v>
      </c>
      <c r="H4565" s="4" t="s">
        <v>40</v>
      </c>
      <c r="I4565" s="6">
        <v>26138.76</v>
      </c>
      <c r="J4565" s="6">
        <v>26138.76</v>
      </c>
      <c r="K4565" s="37" t="s">
        <v>7456</v>
      </c>
      <c r="L4565" s="119"/>
      <c r="M4565" s="3"/>
    </row>
    <row r="4566" spans="1:13" s="4" customFormat="1" ht="25.5" x14ac:dyDescent="0.25">
      <c r="A4566" s="4" t="s">
        <v>7560</v>
      </c>
      <c r="B4566" s="4" t="s">
        <v>38</v>
      </c>
      <c r="C4566" s="37" t="s">
        <v>7456</v>
      </c>
      <c r="D4566" s="35">
        <v>3397</v>
      </c>
      <c r="E4566" s="4" t="s">
        <v>7522</v>
      </c>
      <c r="F4566" s="5">
        <v>39477</v>
      </c>
      <c r="G4566" s="5">
        <v>39799</v>
      </c>
      <c r="H4566" s="4" t="s">
        <v>40</v>
      </c>
      <c r="I4566" s="6">
        <v>21088.62</v>
      </c>
      <c r="J4566" s="6">
        <v>21088.62</v>
      </c>
      <c r="K4566" s="37" t="s">
        <v>7456</v>
      </c>
      <c r="L4566" s="119"/>
      <c r="M4566" s="3"/>
    </row>
    <row r="4567" spans="1:13" s="4" customFormat="1" ht="25.5" x14ac:dyDescent="0.25">
      <c r="A4567" s="4" t="s">
        <v>7561</v>
      </c>
      <c r="B4567" s="4" t="s">
        <v>38</v>
      </c>
      <c r="C4567" s="37" t="s">
        <v>7456</v>
      </c>
      <c r="D4567" s="35">
        <v>3398</v>
      </c>
      <c r="E4567" s="4" t="s">
        <v>7562</v>
      </c>
      <c r="F4567" s="5">
        <v>39477</v>
      </c>
      <c r="G4567" s="5">
        <v>39677</v>
      </c>
      <c r="H4567" s="4" t="s">
        <v>40</v>
      </c>
      <c r="I4567" s="6">
        <v>2302.85</v>
      </c>
      <c r="J4567" s="6">
        <v>2302.85</v>
      </c>
      <c r="K4567" s="37" t="s">
        <v>7456</v>
      </c>
      <c r="L4567" s="119"/>
      <c r="M4567" s="3"/>
    </row>
    <row r="4568" spans="1:13" s="4" customFormat="1" ht="25.5" x14ac:dyDescent="0.25">
      <c r="A4568" s="4" t="s">
        <v>7563</v>
      </c>
      <c r="B4568" s="4" t="s">
        <v>38</v>
      </c>
      <c r="C4568" s="37" t="s">
        <v>7456</v>
      </c>
      <c r="D4568" s="35">
        <v>3399</v>
      </c>
      <c r="E4568" s="4" t="s">
        <v>7526</v>
      </c>
      <c r="F4568" s="5">
        <v>39477</v>
      </c>
      <c r="G4568" s="5">
        <v>39677</v>
      </c>
      <c r="H4568" s="4" t="s">
        <v>40</v>
      </c>
      <c r="I4568" s="6">
        <v>55</v>
      </c>
      <c r="J4568" s="6">
        <v>55</v>
      </c>
      <c r="K4568" s="37" t="s">
        <v>7456</v>
      </c>
      <c r="L4568" s="119"/>
      <c r="M4568" s="3"/>
    </row>
    <row r="4569" spans="1:13" s="4" customFormat="1" ht="25.5" x14ac:dyDescent="0.25">
      <c r="A4569" s="4" t="s">
        <v>7564</v>
      </c>
      <c r="B4569" s="4" t="s">
        <v>38</v>
      </c>
      <c r="C4569" s="37" t="s">
        <v>7456</v>
      </c>
      <c r="D4569" s="35">
        <v>3401</v>
      </c>
      <c r="E4569" s="4" t="s">
        <v>7565</v>
      </c>
      <c r="F4569" s="5">
        <v>39477</v>
      </c>
      <c r="G4569" s="5">
        <v>39691</v>
      </c>
      <c r="H4569" s="4" t="s">
        <v>40</v>
      </c>
      <c r="I4569" s="6">
        <v>60000</v>
      </c>
      <c r="J4569" s="6">
        <v>60000</v>
      </c>
      <c r="K4569" s="37" t="s">
        <v>7456</v>
      </c>
      <c r="L4569" s="119"/>
      <c r="M4569" s="3"/>
    </row>
    <row r="4570" spans="1:13" s="4" customFormat="1" ht="25.5" x14ac:dyDescent="0.25">
      <c r="A4570" s="4" t="s">
        <v>7566</v>
      </c>
      <c r="B4570" s="4" t="s">
        <v>38</v>
      </c>
      <c r="C4570" s="37" t="s">
        <v>7456</v>
      </c>
      <c r="D4570" s="35">
        <v>3402</v>
      </c>
      <c r="E4570" s="4" t="s">
        <v>7532</v>
      </c>
      <c r="F4570" s="5">
        <v>39477</v>
      </c>
      <c r="G4570" s="5">
        <v>39799</v>
      </c>
      <c r="H4570" s="4" t="s">
        <v>40</v>
      </c>
      <c r="I4570" s="6">
        <v>3000</v>
      </c>
      <c r="J4570" s="6">
        <v>3000</v>
      </c>
      <c r="K4570" s="37" t="s">
        <v>7456</v>
      </c>
      <c r="L4570" s="119"/>
      <c r="M4570" s="3"/>
    </row>
    <row r="4571" spans="1:13" s="4" customFormat="1" ht="25.5" x14ac:dyDescent="0.25">
      <c r="A4571" s="4" t="s">
        <v>7567</v>
      </c>
      <c r="B4571" s="4" t="s">
        <v>38</v>
      </c>
      <c r="C4571" s="37" t="s">
        <v>7456</v>
      </c>
      <c r="D4571" s="35">
        <v>3403</v>
      </c>
      <c r="E4571" s="4" t="s">
        <v>7534</v>
      </c>
      <c r="F4571" s="5">
        <v>39477</v>
      </c>
      <c r="G4571" s="5">
        <v>39799</v>
      </c>
      <c r="H4571" s="4" t="s">
        <v>40</v>
      </c>
      <c r="I4571" s="6">
        <v>34970.199999999997</v>
      </c>
      <c r="J4571" s="6">
        <v>34970.199999999997</v>
      </c>
      <c r="K4571" s="37" t="s">
        <v>7456</v>
      </c>
      <c r="L4571" s="119"/>
      <c r="M4571" s="3"/>
    </row>
    <row r="4572" spans="1:13" s="4" customFormat="1" ht="25.5" x14ac:dyDescent="0.25">
      <c r="A4572" s="4" t="s">
        <v>7568</v>
      </c>
      <c r="B4572" s="4" t="s">
        <v>38</v>
      </c>
      <c r="C4572" s="37" t="s">
        <v>7456</v>
      </c>
      <c r="D4572" s="35">
        <v>3404</v>
      </c>
      <c r="E4572" s="4" t="s">
        <v>7538</v>
      </c>
      <c r="F4572" s="5">
        <v>39477</v>
      </c>
      <c r="G4572" s="5">
        <v>39813</v>
      </c>
      <c r="H4572" s="4" t="s">
        <v>40</v>
      </c>
      <c r="I4572" s="6">
        <v>19052.240000000002</v>
      </c>
      <c r="J4572" s="6">
        <v>19052.240000000002</v>
      </c>
      <c r="K4572" s="37" t="s">
        <v>7456</v>
      </c>
      <c r="L4572" s="119"/>
      <c r="M4572" s="3"/>
    </row>
    <row r="4573" spans="1:13" s="4" customFormat="1" ht="25.5" x14ac:dyDescent="0.25">
      <c r="A4573" s="4" t="s">
        <v>7569</v>
      </c>
      <c r="B4573" s="4" t="s">
        <v>38</v>
      </c>
      <c r="C4573" s="37" t="s">
        <v>7456</v>
      </c>
      <c r="D4573" s="35">
        <v>3405</v>
      </c>
      <c r="E4573" s="4" t="s">
        <v>7540</v>
      </c>
      <c r="F4573" s="5">
        <v>39477</v>
      </c>
      <c r="G4573" s="5">
        <v>39799</v>
      </c>
      <c r="H4573" s="4" t="s">
        <v>40</v>
      </c>
      <c r="I4573" s="6">
        <v>12880.34</v>
      </c>
      <c r="J4573" s="6">
        <v>12880.34</v>
      </c>
      <c r="K4573" s="37" t="s">
        <v>7456</v>
      </c>
      <c r="L4573" s="119"/>
      <c r="M4573" s="3"/>
    </row>
    <row r="4574" spans="1:13" s="4" customFormat="1" ht="25.5" x14ac:dyDescent="0.25">
      <c r="A4574" s="4" t="s">
        <v>7570</v>
      </c>
      <c r="B4574" s="4" t="s">
        <v>38</v>
      </c>
      <c r="C4574" s="37" t="s">
        <v>7456</v>
      </c>
      <c r="D4574" s="35">
        <v>3406</v>
      </c>
      <c r="E4574" s="4" t="s">
        <v>7542</v>
      </c>
      <c r="F4574" s="5">
        <v>39477</v>
      </c>
      <c r="G4574" s="5">
        <v>39799</v>
      </c>
      <c r="H4574" s="4" t="s">
        <v>40</v>
      </c>
      <c r="I4574" s="6">
        <v>8949.65</v>
      </c>
      <c r="J4574" s="6">
        <v>8949.65</v>
      </c>
      <c r="K4574" s="37" t="s">
        <v>7456</v>
      </c>
      <c r="L4574" s="119"/>
      <c r="M4574" s="3"/>
    </row>
    <row r="4575" spans="1:13" s="4" customFormat="1" ht="25.5" x14ac:dyDescent="0.25">
      <c r="A4575" s="4" t="s">
        <v>7571</v>
      </c>
      <c r="B4575" s="4" t="s">
        <v>38</v>
      </c>
      <c r="C4575" s="37" t="s">
        <v>7456</v>
      </c>
      <c r="D4575" s="35">
        <v>3407</v>
      </c>
      <c r="E4575" s="4" t="s">
        <v>7544</v>
      </c>
      <c r="F4575" s="5">
        <v>39477</v>
      </c>
      <c r="G4575" s="5">
        <v>39799</v>
      </c>
      <c r="H4575" s="4" t="s">
        <v>40</v>
      </c>
      <c r="I4575" s="6">
        <v>51337.85</v>
      </c>
      <c r="J4575" s="6">
        <v>51337.85</v>
      </c>
      <c r="K4575" s="37" t="s">
        <v>7456</v>
      </c>
      <c r="L4575" s="119"/>
      <c r="M4575" s="3"/>
    </row>
    <row r="4576" spans="1:13" s="4" customFormat="1" ht="25.5" x14ac:dyDescent="0.25">
      <c r="A4576" s="4" t="s">
        <v>7572</v>
      </c>
      <c r="B4576" s="4" t="s">
        <v>38</v>
      </c>
      <c r="C4576" s="37" t="s">
        <v>7456</v>
      </c>
      <c r="D4576" s="35">
        <v>3410</v>
      </c>
      <c r="E4576" s="4" t="s">
        <v>7549</v>
      </c>
      <c r="F4576" s="5">
        <v>39477</v>
      </c>
      <c r="G4576" s="5">
        <v>39799</v>
      </c>
      <c r="H4576" s="4" t="s">
        <v>40</v>
      </c>
      <c r="I4576" s="6">
        <v>71496.38</v>
      </c>
      <c r="J4576" s="6">
        <v>71496.38</v>
      </c>
      <c r="K4576" s="37" t="s">
        <v>7456</v>
      </c>
      <c r="L4576" s="119"/>
      <c r="M4576" s="3"/>
    </row>
    <row r="4577" spans="1:13" s="4" customFormat="1" x14ac:dyDescent="0.25">
      <c r="A4577" s="4" t="s">
        <v>7573</v>
      </c>
      <c r="B4577" s="4" t="s">
        <v>13</v>
      </c>
      <c r="C4577" s="37" t="s">
        <v>7456</v>
      </c>
      <c r="D4577" s="35">
        <v>3411</v>
      </c>
      <c r="E4577" s="4" t="s">
        <v>7553</v>
      </c>
      <c r="F4577" s="5">
        <v>39477</v>
      </c>
      <c r="G4577" s="5">
        <v>39799</v>
      </c>
      <c r="H4577" s="4" t="s">
        <v>40</v>
      </c>
      <c r="I4577" s="6">
        <v>3158.2</v>
      </c>
      <c r="J4577" s="6">
        <v>3158.2</v>
      </c>
      <c r="K4577" s="37" t="s">
        <v>7456</v>
      </c>
      <c r="L4577" s="119"/>
      <c r="M4577" s="3"/>
    </row>
    <row r="4578" spans="1:13" s="4" customFormat="1" ht="25.5" x14ac:dyDescent="0.25">
      <c r="A4578" s="4" t="s">
        <v>7574</v>
      </c>
      <c r="B4578" s="4" t="s">
        <v>13</v>
      </c>
      <c r="C4578" s="37" t="s">
        <v>7456</v>
      </c>
      <c r="D4578" s="35">
        <v>3412</v>
      </c>
      <c r="E4578" s="4" t="s">
        <v>7575</v>
      </c>
      <c r="F4578" s="5">
        <v>39477</v>
      </c>
      <c r="G4578" s="5">
        <v>39813</v>
      </c>
      <c r="H4578" s="4" t="s">
        <v>40</v>
      </c>
      <c r="I4578" s="6">
        <v>7606.66</v>
      </c>
      <c r="J4578" s="6">
        <v>7606.66</v>
      </c>
      <c r="K4578" s="37" t="s">
        <v>7456</v>
      </c>
      <c r="L4578" s="119"/>
      <c r="M4578" s="3"/>
    </row>
    <row r="4579" spans="1:13" s="4" customFormat="1" ht="25.5" x14ac:dyDescent="0.25">
      <c r="A4579" s="4" t="s">
        <v>7576</v>
      </c>
      <c r="B4579" s="4" t="s">
        <v>38</v>
      </c>
      <c r="C4579" s="37" t="s">
        <v>7456</v>
      </c>
      <c r="D4579" s="35">
        <v>3413</v>
      </c>
      <c r="E4579" s="4" t="s">
        <v>7577</v>
      </c>
      <c r="F4579" s="5">
        <v>39477</v>
      </c>
      <c r="G4579" s="5">
        <v>39813</v>
      </c>
      <c r="H4579" s="4" t="s">
        <v>40</v>
      </c>
      <c r="I4579" s="6">
        <v>33423.949999999997</v>
      </c>
      <c r="J4579" s="6">
        <v>33423.949999999997</v>
      </c>
      <c r="K4579" s="37" t="s">
        <v>7456</v>
      </c>
      <c r="L4579" s="119"/>
      <c r="M4579" s="3"/>
    </row>
    <row r="4580" spans="1:13" s="4" customFormat="1" ht="25.5" x14ac:dyDescent="0.25">
      <c r="A4580" s="4" t="s">
        <v>7578</v>
      </c>
      <c r="B4580" s="4" t="s">
        <v>13</v>
      </c>
      <c r="C4580" s="37" t="s">
        <v>7456</v>
      </c>
      <c r="D4580" s="35">
        <v>3414</v>
      </c>
      <c r="E4580" s="4" t="s">
        <v>7579</v>
      </c>
      <c r="F4580" s="5">
        <v>39477</v>
      </c>
      <c r="G4580" s="5">
        <v>39813</v>
      </c>
      <c r="H4580" s="4" t="s">
        <v>40</v>
      </c>
      <c r="I4580" s="6">
        <v>8000</v>
      </c>
      <c r="J4580" s="6">
        <v>8000</v>
      </c>
      <c r="K4580" s="37" t="s">
        <v>7456</v>
      </c>
      <c r="L4580" s="119"/>
      <c r="M4580" s="3"/>
    </row>
    <row r="4581" spans="1:13" s="4" customFormat="1" x14ac:dyDescent="0.25">
      <c r="A4581" s="4" t="s">
        <v>7580</v>
      </c>
      <c r="B4581" s="4" t="s">
        <v>13</v>
      </c>
      <c r="C4581" s="37" t="s">
        <v>7456</v>
      </c>
      <c r="D4581" s="35">
        <v>3416</v>
      </c>
      <c r="E4581" s="4" t="s">
        <v>7581</v>
      </c>
      <c r="F4581" s="5">
        <v>39477</v>
      </c>
      <c r="G4581" s="5">
        <v>39799</v>
      </c>
      <c r="H4581" s="4" t="s">
        <v>40</v>
      </c>
      <c r="I4581" s="6">
        <v>6316.74</v>
      </c>
      <c r="J4581" s="6">
        <v>6316.74</v>
      </c>
      <c r="K4581" s="37" t="s">
        <v>7456</v>
      </c>
      <c r="L4581" s="119"/>
      <c r="M4581" s="3"/>
    </row>
    <row r="4582" spans="1:13" s="4" customFormat="1" x14ac:dyDescent="0.25">
      <c r="A4582" s="4" t="s">
        <v>7582</v>
      </c>
      <c r="B4582" s="4" t="s">
        <v>13</v>
      </c>
      <c r="C4582" s="37" t="s">
        <v>7456</v>
      </c>
      <c r="D4582" s="35">
        <v>3417</v>
      </c>
      <c r="E4582" s="4" t="s">
        <v>7583</v>
      </c>
      <c r="F4582" s="5">
        <v>39477</v>
      </c>
      <c r="G4582" s="5">
        <v>39813</v>
      </c>
      <c r="H4582" s="4" t="s">
        <v>40</v>
      </c>
      <c r="I4582" s="6">
        <v>5510</v>
      </c>
      <c r="J4582" s="6">
        <v>5510</v>
      </c>
      <c r="K4582" s="37" t="s">
        <v>7456</v>
      </c>
      <c r="L4582" s="119"/>
      <c r="M4582" s="3"/>
    </row>
    <row r="4583" spans="1:13" s="4" customFormat="1" x14ac:dyDescent="0.25">
      <c r="A4583" s="4" t="s">
        <v>7584</v>
      </c>
      <c r="B4583" s="4" t="s">
        <v>13</v>
      </c>
      <c r="C4583" s="37" t="s">
        <v>7456</v>
      </c>
      <c r="D4583" s="35">
        <v>3419</v>
      </c>
      <c r="E4583" s="4" t="s">
        <v>7585</v>
      </c>
      <c r="F4583" s="5">
        <v>39477</v>
      </c>
      <c r="G4583" s="5">
        <v>39799</v>
      </c>
      <c r="H4583" s="4" t="s">
        <v>40</v>
      </c>
      <c r="I4583" s="6">
        <v>11004.29</v>
      </c>
      <c r="J4583" s="6">
        <v>11004.29</v>
      </c>
      <c r="K4583" s="37" t="s">
        <v>7456</v>
      </c>
      <c r="L4583" s="119"/>
      <c r="M4583" s="3"/>
    </row>
    <row r="4584" spans="1:13" s="4" customFormat="1" ht="25.5" x14ac:dyDescent="0.25">
      <c r="A4584" s="4" t="s">
        <v>7586</v>
      </c>
      <c r="B4584" s="4" t="s">
        <v>59</v>
      </c>
      <c r="C4584" s="37" t="s">
        <v>7456</v>
      </c>
      <c r="D4584" s="35">
        <v>3424</v>
      </c>
      <c r="E4584" s="4" t="s">
        <v>7518</v>
      </c>
      <c r="F4584" s="5">
        <v>39448</v>
      </c>
      <c r="G4584" s="5">
        <v>39813</v>
      </c>
      <c r="H4584" s="4" t="s">
        <v>40</v>
      </c>
      <c r="I4584" s="6">
        <v>25000</v>
      </c>
      <c r="J4584" s="6">
        <v>12500</v>
      </c>
      <c r="K4584" s="37" t="s">
        <v>7456</v>
      </c>
      <c r="L4584" s="119"/>
      <c r="M4584" s="3"/>
    </row>
    <row r="4585" spans="1:13" s="4" customFormat="1" ht="38.25" x14ac:dyDescent="0.25">
      <c r="A4585" s="4" t="s">
        <v>7587</v>
      </c>
      <c r="B4585" s="4" t="s">
        <v>11764</v>
      </c>
      <c r="C4585" s="37" t="s">
        <v>7456</v>
      </c>
      <c r="D4585" s="35">
        <v>3430</v>
      </c>
      <c r="E4585" s="4" t="s">
        <v>7588</v>
      </c>
      <c r="F4585" s="5">
        <v>39477</v>
      </c>
      <c r="G4585" s="5">
        <v>39813</v>
      </c>
      <c r="H4585" s="4" t="s">
        <v>40</v>
      </c>
      <c r="I4585" s="6">
        <v>150000</v>
      </c>
      <c r="J4585" s="6">
        <v>75000</v>
      </c>
      <c r="K4585" s="37" t="s">
        <v>7456</v>
      </c>
      <c r="L4585" s="119"/>
      <c r="M4585" s="3"/>
    </row>
    <row r="4586" spans="1:13" s="4" customFormat="1" ht="25.5" x14ac:dyDescent="0.25">
      <c r="A4586" s="4" t="s">
        <v>7589</v>
      </c>
      <c r="B4586" s="4" t="s">
        <v>59</v>
      </c>
      <c r="C4586" s="37" t="s">
        <v>7456</v>
      </c>
      <c r="D4586" s="35">
        <v>3432</v>
      </c>
      <c r="E4586" s="4" t="s">
        <v>7590</v>
      </c>
      <c r="F4586" s="5">
        <v>39589</v>
      </c>
      <c r="G4586" s="5">
        <v>40178</v>
      </c>
      <c r="H4586" s="4" t="s">
        <v>40</v>
      </c>
      <c r="I4586" s="6">
        <v>7500</v>
      </c>
      <c r="J4586" s="6">
        <v>7500</v>
      </c>
      <c r="K4586" s="37" t="s">
        <v>7456</v>
      </c>
      <c r="L4586" s="119"/>
      <c r="M4586" s="3"/>
    </row>
    <row r="4587" spans="1:13" s="4" customFormat="1" ht="25.5" x14ac:dyDescent="0.25">
      <c r="A4587" s="4" t="s">
        <v>7591</v>
      </c>
      <c r="B4587" s="4" t="s">
        <v>11764</v>
      </c>
      <c r="C4587" s="37" t="s">
        <v>7456</v>
      </c>
      <c r="D4587" s="35">
        <v>3434</v>
      </c>
      <c r="E4587" s="4" t="s">
        <v>7592</v>
      </c>
      <c r="F4587" s="5">
        <v>39589</v>
      </c>
      <c r="G4587" s="5">
        <v>39813</v>
      </c>
      <c r="H4587" s="4" t="s">
        <v>40</v>
      </c>
      <c r="I4587" s="6">
        <v>150000</v>
      </c>
      <c r="J4587" s="6">
        <v>75000</v>
      </c>
      <c r="K4587" s="37" t="s">
        <v>7456</v>
      </c>
      <c r="L4587" s="119"/>
      <c r="M4587" s="3"/>
    </row>
    <row r="4588" spans="1:13" s="4" customFormat="1" ht="25.5" x14ac:dyDescent="0.25">
      <c r="A4588" s="4" t="s">
        <v>7593</v>
      </c>
      <c r="B4588" s="4" t="s">
        <v>11764</v>
      </c>
      <c r="C4588" s="37" t="s">
        <v>7456</v>
      </c>
      <c r="D4588" s="35">
        <v>3435</v>
      </c>
      <c r="E4588" s="4" t="s">
        <v>7594</v>
      </c>
      <c r="F4588" s="5">
        <v>39561</v>
      </c>
      <c r="G4588" s="5">
        <v>39813</v>
      </c>
      <c r="H4588" s="4" t="s">
        <v>40</v>
      </c>
      <c r="I4588" s="6">
        <v>72500</v>
      </c>
      <c r="J4588" s="6">
        <v>32500</v>
      </c>
      <c r="K4588" s="37" t="s">
        <v>7456</v>
      </c>
      <c r="L4588" s="119"/>
      <c r="M4588" s="3"/>
    </row>
    <row r="4589" spans="1:13" s="4" customFormat="1" ht="25.5" x14ac:dyDescent="0.25">
      <c r="A4589" s="4" t="s">
        <v>7595</v>
      </c>
      <c r="B4589" s="4" t="s">
        <v>59</v>
      </c>
      <c r="C4589" s="37" t="s">
        <v>7456</v>
      </c>
      <c r="D4589" s="35">
        <v>3436</v>
      </c>
      <c r="E4589" s="4" t="s">
        <v>7596</v>
      </c>
      <c r="F4589" s="5">
        <v>39806</v>
      </c>
      <c r="G4589" s="5">
        <v>40170</v>
      </c>
      <c r="H4589" s="4" t="s">
        <v>40</v>
      </c>
      <c r="I4589" s="6">
        <v>15000</v>
      </c>
      <c r="J4589" s="6">
        <v>15000</v>
      </c>
      <c r="K4589" s="37" t="s">
        <v>7456</v>
      </c>
      <c r="L4589" s="119"/>
      <c r="M4589" s="3"/>
    </row>
    <row r="4590" spans="1:13" s="4" customFormat="1" ht="25.5" x14ac:dyDescent="0.25">
      <c r="A4590" s="4" t="s">
        <v>7599</v>
      </c>
      <c r="B4590" s="4" t="s">
        <v>59</v>
      </c>
      <c r="C4590" s="37" t="s">
        <v>7456</v>
      </c>
      <c r="D4590" s="35">
        <v>3448</v>
      </c>
      <c r="E4590" s="4" t="s">
        <v>7600</v>
      </c>
      <c r="F4590" s="5">
        <v>39743</v>
      </c>
      <c r="G4590" s="5">
        <v>39813</v>
      </c>
      <c r="H4590" s="4" t="s">
        <v>40</v>
      </c>
      <c r="I4590" s="6">
        <v>22500</v>
      </c>
      <c r="J4590" s="6">
        <v>22500</v>
      </c>
      <c r="K4590" s="37" t="s">
        <v>7456</v>
      </c>
      <c r="L4590" s="119"/>
      <c r="M4590" s="3"/>
    </row>
    <row r="4591" spans="1:13" s="4" customFormat="1" ht="38.25" x14ac:dyDescent="0.25">
      <c r="A4591" s="4" t="s">
        <v>7601</v>
      </c>
      <c r="B4591" s="4" t="s">
        <v>190</v>
      </c>
      <c r="C4591" s="37" t="s">
        <v>7456</v>
      </c>
      <c r="D4591" s="35">
        <v>3742</v>
      </c>
      <c r="E4591" s="4" t="s">
        <v>7602</v>
      </c>
      <c r="F4591" s="5">
        <v>39805</v>
      </c>
      <c r="H4591" s="4" t="s">
        <v>40</v>
      </c>
      <c r="I4591" s="6">
        <v>52000</v>
      </c>
      <c r="J4591" s="6">
        <v>52000</v>
      </c>
      <c r="K4591" s="37" t="s">
        <v>7456</v>
      </c>
      <c r="L4591" s="119"/>
      <c r="M4591" s="3"/>
    </row>
    <row r="4592" spans="1:13" s="4" customFormat="1" ht="38.25" x14ac:dyDescent="0.25">
      <c r="A4592" s="4" t="s">
        <v>7603</v>
      </c>
      <c r="B4592" s="4" t="s">
        <v>59</v>
      </c>
      <c r="C4592" s="37" t="s">
        <v>7456</v>
      </c>
      <c r="D4592" s="35">
        <v>3746</v>
      </c>
      <c r="E4592" s="4" t="s">
        <v>7604</v>
      </c>
      <c r="F4592" s="5">
        <v>39805</v>
      </c>
      <c r="G4592" s="5">
        <v>39813</v>
      </c>
      <c r="H4592" s="4" t="s">
        <v>40</v>
      </c>
      <c r="I4592" s="6">
        <v>7500</v>
      </c>
      <c r="J4592" s="6">
        <v>7500</v>
      </c>
      <c r="K4592" s="37" t="s">
        <v>7456</v>
      </c>
      <c r="L4592" s="119"/>
      <c r="M4592" s="3"/>
    </row>
    <row r="4593" spans="1:13" s="4" customFormat="1" x14ac:dyDescent="0.25">
      <c r="A4593" s="4" t="s">
        <v>7605</v>
      </c>
      <c r="B4593" s="4" t="s">
        <v>13</v>
      </c>
      <c r="C4593" s="37" t="s">
        <v>7456</v>
      </c>
      <c r="D4593" s="35">
        <v>3837</v>
      </c>
      <c r="E4593" s="4" t="s">
        <v>7606</v>
      </c>
      <c r="F4593" s="5">
        <v>39553</v>
      </c>
      <c r="G4593" s="5">
        <v>39568</v>
      </c>
      <c r="H4593" s="4" t="s">
        <v>40</v>
      </c>
      <c r="I4593" s="6">
        <v>1900</v>
      </c>
      <c r="J4593" s="6">
        <v>1900</v>
      </c>
      <c r="K4593" s="37" t="s">
        <v>7456</v>
      </c>
      <c r="L4593" s="119"/>
      <c r="M4593" s="3"/>
    </row>
    <row r="4594" spans="1:13" s="4" customFormat="1" ht="25.5" x14ac:dyDescent="0.25">
      <c r="A4594" s="4" t="s">
        <v>7611</v>
      </c>
      <c r="B4594" s="4" t="s">
        <v>50</v>
      </c>
      <c r="C4594" s="37" t="s">
        <v>7456</v>
      </c>
      <c r="D4594" s="35">
        <v>4546</v>
      </c>
      <c r="E4594" s="4" t="s">
        <v>7612</v>
      </c>
      <c r="F4594" s="5">
        <v>39793</v>
      </c>
      <c r="G4594" s="5">
        <v>40178</v>
      </c>
      <c r="H4594" s="4" t="s">
        <v>40</v>
      </c>
      <c r="I4594" s="6">
        <v>105570</v>
      </c>
      <c r="J4594" s="6">
        <v>52785</v>
      </c>
      <c r="K4594" s="37" t="s">
        <v>7456</v>
      </c>
      <c r="L4594" s="119"/>
      <c r="M4594" s="3"/>
    </row>
    <row r="4595" spans="1:13" s="4" customFormat="1" ht="25.5" x14ac:dyDescent="0.25">
      <c r="A4595" s="4" t="s">
        <v>7615</v>
      </c>
      <c r="B4595" s="4" t="s">
        <v>59</v>
      </c>
      <c r="C4595" s="37" t="s">
        <v>7456</v>
      </c>
      <c r="D4595" s="35">
        <v>4548</v>
      </c>
      <c r="E4595" s="4" t="s">
        <v>7616</v>
      </c>
      <c r="F4595" s="5">
        <v>39869</v>
      </c>
      <c r="G4595" s="5">
        <v>40178</v>
      </c>
      <c r="H4595" s="4" t="s">
        <v>40</v>
      </c>
      <c r="I4595" s="6">
        <v>15000</v>
      </c>
      <c r="J4595" s="6">
        <v>15000</v>
      </c>
      <c r="K4595" s="37" t="s">
        <v>7456</v>
      </c>
      <c r="L4595" s="119"/>
      <c r="M4595" s="3"/>
    </row>
    <row r="4596" spans="1:13" s="4" customFormat="1" ht="25.5" x14ac:dyDescent="0.25">
      <c r="A4596" s="4" t="s">
        <v>7617</v>
      </c>
      <c r="B4596" s="4" t="s">
        <v>90</v>
      </c>
      <c r="C4596" s="37" t="s">
        <v>7456</v>
      </c>
      <c r="D4596" s="35">
        <v>4550</v>
      </c>
      <c r="E4596" s="4" t="s">
        <v>7618</v>
      </c>
      <c r="F4596" s="5">
        <v>39931</v>
      </c>
      <c r="G4596" s="5">
        <v>39974</v>
      </c>
      <c r="H4596" s="4" t="s">
        <v>40</v>
      </c>
      <c r="I4596" s="6">
        <v>10000</v>
      </c>
      <c r="J4596" s="6">
        <v>4000</v>
      </c>
      <c r="K4596" s="37" t="s">
        <v>7456</v>
      </c>
      <c r="L4596" s="119"/>
      <c r="M4596" s="3"/>
    </row>
    <row r="4597" spans="1:13" s="4" customFormat="1" ht="25.5" x14ac:dyDescent="0.25">
      <c r="A4597" s="4" t="s">
        <v>7619</v>
      </c>
      <c r="B4597" s="4" t="s">
        <v>59</v>
      </c>
      <c r="C4597" s="37" t="s">
        <v>7456</v>
      </c>
      <c r="D4597" s="35">
        <v>4551</v>
      </c>
      <c r="E4597" s="4" t="s">
        <v>7620</v>
      </c>
      <c r="F4597" s="5">
        <v>39960</v>
      </c>
      <c r="G4597" s="5">
        <v>40543</v>
      </c>
      <c r="H4597" s="4" t="s">
        <v>40</v>
      </c>
      <c r="I4597" s="6">
        <v>7500</v>
      </c>
      <c r="J4597" s="6">
        <v>7500</v>
      </c>
      <c r="K4597" s="37" t="s">
        <v>7456</v>
      </c>
      <c r="L4597" s="119"/>
      <c r="M4597" s="3"/>
    </row>
    <row r="4598" spans="1:13" s="4" customFormat="1" ht="25.5" x14ac:dyDescent="0.25">
      <c r="A4598" s="4" t="s">
        <v>7621</v>
      </c>
      <c r="B4598" s="4" t="s">
        <v>11764</v>
      </c>
      <c r="C4598" s="37" t="s">
        <v>7456</v>
      </c>
      <c r="D4598" s="35">
        <v>4552</v>
      </c>
      <c r="E4598" s="4" t="s">
        <v>7622</v>
      </c>
      <c r="F4598" s="5">
        <v>39932</v>
      </c>
      <c r="G4598" s="5">
        <v>40178</v>
      </c>
      <c r="H4598" s="4" t="s">
        <v>40</v>
      </c>
      <c r="I4598" s="6">
        <v>80000</v>
      </c>
      <c r="J4598" s="6">
        <v>40000</v>
      </c>
      <c r="K4598" s="37" t="s">
        <v>7456</v>
      </c>
      <c r="L4598" s="119"/>
      <c r="M4598" s="3"/>
    </row>
    <row r="4599" spans="1:13" s="4" customFormat="1" x14ac:dyDescent="0.25">
      <c r="A4599" s="4" t="s">
        <v>7623</v>
      </c>
      <c r="B4599" s="4" t="s">
        <v>59</v>
      </c>
      <c r="C4599" s="37" t="s">
        <v>7456</v>
      </c>
      <c r="D4599" s="35">
        <v>4554</v>
      </c>
      <c r="E4599" s="4" t="s">
        <v>7624</v>
      </c>
      <c r="F4599" s="5">
        <v>40015</v>
      </c>
      <c r="G4599" s="5">
        <v>40219</v>
      </c>
      <c r="H4599" s="4" t="s">
        <v>40</v>
      </c>
      <c r="I4599" s="6">
        <v>7500</v>
      </c>
      <c r="J4599" s="6">
        <v>7500</v>
      </c>
      <c r="K4599" s="37" t="s">
        <v>7456</v>
      </c>
      <c r="L4599" s="119"/>
      <c r="M4599" s="3"/>
    </row>
    <row r="4600" spans="1:13" s="4" customFormat="1" ht="25.5" x14ac:dyDescent="0.25">
      <c r="A4600" s="4" t="s">
        <v>7625</v>
      </c>
      <c r="B4600" s="4" t="s">
        <v>59</v>
      </c>
      <c r="C4600" s="37" t="s">
        <v>7456</v>
      </c>
      <c r="D4600" s="35">
        <v>4555</v>
      </c>
      <c r="E4600" s="4" t="s">
        <v>7626</v>
      </c>
      <c r="F4600" s="5">
        <v>40015</v>
      </c>
      <c r="G4600" s="5">
        <v>40543</v>
      </c>
      <c r="H4600" s="4" t="s">
        <v>40</v>
      </c>
      <c r="I4600" s="6">
        <v>7500</v>
      </c>
      <c r="J4600" s="6">
        <v>7500</v>
      </c>
      <c r="K4600" s="37" t="s">
        <v>7456</v>
      </c>
      <c r="L4600" s="119"/>
      <c r="M4600" s="3"/>
    </row>
    <row r="4601" spans="1:13" s="4" customFormat="1" x14ac:dyDescent="0.25">
      <c r="A4601" s="4" t="s">
        <v>7629</v>
      </c>
      <c r="B4601" s="4" t="s">
        <v>11764</v>
      </c>
      <c r="C4601" s="37" t="s">
        <v>7456</v>
      </c>
      <c r="D4601" s="35">
        <v>4560</v>
      </c>
      <c r="E4601" s="4" t="s">
        <v>7630</v>
      </c>
      <c r="F4601" s="5">
        <v>39868</v>
      </c>
      <c r="G4601" s="5">
        <v>40178</v>
      </c>
      <c r="H4601" s="4" t="s">
        <v>40</v>
      </c>
      <c r="I4601" s="6">
        <v>60000</v>
      </c>
      <c r="J4601" s="6">
        <v>30000</v>
      </c>
      <c r="K4601" s="37" t="s">
        <v>7456</v>
      </c>
      <c r="L4601" s="119"/>
      <c r="M4601" s="3"/>
    </row>
    <row r="4602" spans="1:13" s="4" customFormat="1" ht="25.5" x14ac:dyDescent="0.25">
      <c r="A4602" s="4" t="s">
        <v>7633</v>
      </c>
      <c r="B4602" s="4" t="s">
        <v>59</v>
      </c>
      <c r="C4602" s="37" t="s">
        <v>7456</v>
      </c>
      <c r="D4602" s="35">
        <v>4563</v>
      </c>
      <c r="E4602" s="4" t="s">
        <v>7634</v>
      </c>
      <c r="F4602" s="5">
        <v>40066</v>
      </c>
      <c r="G4602" s="5">
        <v>40178</v>
      </c>
      <c r="H4602" s="4" t="s">
        <v>40</v>
      </c>
      <c r="I4602" s="6">
        <v>7500</v>
      </c>
      <c r="J4602" s="6">
        <v>7500</v>
      </c>
      <c r="K4602" s="37" t="s">
        <v>7456</v>
      </c>
      <c r="L4602" s="119"/>
      <c r="M4602" s="3"/>
    </row>
    <row r="4603" spans="1:13" s="4" customFormat="1" ht="51" x14ac:dyDescent="0.25">
      <c r="A4603" s="4" t="s">
        <v>7637</v>
      </c>
      <c r="B4603" s="4" t="s">
        <v>11764</v>
      </c>
      <c r="C4603" s="37" t="s">
        <v>7456</v>
      </c>
      <c r="D4603" s="35">
        <v>4567</v>
      </c>
      <c r="E4603" s="4" t="s">
        <v>7638</v>
      </c>
      <c r="F4603" s="5">
        <v>40015</v>
      </c>
      <c r="G4603" s="5">
        <v>40178</v>
      </c>
      <c r="H4603" s="4" t="s">
        <v>40</v>
      </c>
      <c r="I4603" s="6">
        <v>80000</v>
      </c>
      <c r="J4603" s="6">
        <v>40000</v>
      </c>
      <c r="K4603" s="37" t="s">
        <v>7456</v>
      </c>
      <c r="L4603" s="119"/>
      <c r="M4603" s="3"/>
    </row>
    <row r="4604" spans="1:13" s="4" customFormat="1" ht="25.5" x14ac:dyDescent="0.25">
      <c r="A4604" s="4" t="s">
        <v>7639</v>
      </c>
      <c r="B4604" s="4" t="s">
        <v>90</v>
      </c>
      <c r="C4604" s="37" t="s">
        <v>7456</v>
      </c>
      <c r="D4604" s="35">
        <v>4570</v>
      </c>
      <c r="E4604" s="4" t="s">
        <v>7640</v>
      </c>
      <c r="F4604" s="5">
        <v>39959</v>
      </c>
      <c r="G4604" s="5">
        <v>40144</v>
      </c>
      <c r="H4604" s="4" t="s">
        <v>40</v>
      </c>
      <c r="I4604" s="6">
        <v>10000</v>
      </c>
      <c r="J4604" s="6">
        <v>4000</v>
      </c>
      <c r="K4604" s="37" t="s">
        <v>7456</v>
      </c>
      <c r="L4604" s="119"/>
      <c r="M4604" s="3"/>
    </row>
    <row r="4605" spans="1:13" s="4" customFormat="1" ht="89.25" x14ac:dyDescent="0.25">
      <c r="A4605" s="4" t="s">
        <v>7641</v>
      </c>
      <c r="B4605" s="4" t="s">
        <v>38</v>
      </c>
      <c r="C4605" s="37" t="s">
        <v>7456</v>
      </c>
      <c r="D4605" s="35">
        <v>4913</v>
      </c>
      <c r="E4605" s="7" t="s">
        <v>7642</v>
      </c>
      <c r="F4605" s="5">
        <v>39845</v>
      </c>
      <c r="G4605" s="5">
        <v>39946</v>
      </c>
      <c r="H4605" s="4" t="s">
        <v>40</v>
      </c>
      <c r="I4605" s="6">
        <v>930.4</v>
      </c>
      <c r="J4605" s="6">
        <v>930.4</v>
      </c>
      <c r="K4605" s="37" t="s">
        <v>7456</v>
      </c>
      <c r="L4605" s="119"/>
      <c r="M4605" s="3"/>
    </row>
    <row r="4606" spans="1:13" s="4" customFormat="1" ht="25.5" x14ac:dyDescent="0.25">
      <c r="A4606" s="4" t="s">
        <v>7643</v>
      </c>
      <c r="B4606" s="4" t="s">
        <v>38</v>
      </c>
      <c r="C4606" s="37" t="s">
        <v>7456</v>
      </c>
      <c r="D4606" s="35">
        <v>4924</v>
      </c>
      <c r="E4606" s="4" t="s">
        <v>7644</v>
      </c>
      <c r="F4606" s="5">
        <v>39877</v>
      </c>
      <c r="G4606" s="5">
        <v>40151</v>
      </c>
      <c r="H4606" s="4" t="s">
        <v>40</v>
      </c>
      <c r="I4606" s="6">
        <v>510</v>
      </c>
      <c r="J4606" s="6">
        <v>510</v>
      </c>
      <c r="K4606" s="37" t="s">
        <v>7456</v>
      </c>
      <c r="L4606" s="119"/>
      <c r="M4606" s="3"/>
    </row>
    <row r="4607" spans="1:13" s="4" customFormat="1" ht="25.5" x14ac:dyDescent="0.25">
      <c r="A4607" s="4" t="s">
        <v>7645</v>
      </c>
      <c r="B4607" s="4" t="s">
        <v>38</v>
      </c>
      <c r="C4607" s="37" t="s">
        <v>7456</v>
      </c>
      <c r="D4607" s="35">
        <v>4926</v>
      </c>
      <c r="E4607" s="4" t="s">
        <v>7646</v>
      </c>
      <c r="F4607" s="5">
        <v>39855</v>
      </c>
      <c r="G4607" s="5">
        <v>40156</v>
      </c>
      <c r="H4607" s="4" t="s">
        <v>40</v>
      </c>
      <c r="I4607" s="6">
        <v>32950.93</v>
      </c>
      <c r="J4607" s="6">
        <v>32950.93</v>
      </c>
      <c r="K4607" s="37" t="s">
        <v>7456</v>
      </c>
      <c r="L4607" s="119"/>
      <c r="M4607" s="3"/>
    </row>
    <row r="4608" spans="1:13" s="4" customFormat="1" ht="25.5" x14ac:dyDescent="0.25">
      <c r="A4608" s="4" t="s">
        <v>7647</v>
      </c>
      <c r="B4608" s="4" t="s">
        <v>38</v>
      </c>
      <c r="C4608" s="37" t="s">
        <v>7456</v>
      </c>
      <c r="D4608" s="35">
        <v>4928</v>
      </c>
      <c r="E4608" s="4" t="s">
        <v>7648</v>
      </c>
      <c r="F4608" s="5">
        <v>39843</v>
      </c>
      <c r="G4608" s="5">
        <v>40177</v>
      </c>
      <c r="H4608" s="4" t="s">
        <v>40</v>
      </c>
      <c r="I4608" s="6">
        <v>53367.69</v>
      </c>
      <c r="J4608" s="6">
        <v>53367.69</v>
      </c>
      <c r="K4608" s="37" t="s">
        <v>7456</v>
      </c>
      <c r="L4608" s="119"/>
      <c r="M4608" s="3"/>
    </row>
    <row r="4609" spans="1:13" s="4" customFormat="1" ht="114.75" x14ac:dyDescent="0.25">
      <c r="A4609" s="4" t="s">
        <v>3262</v>
      </c>
      <c r="B4609" s="4" t="s">
        <v>38</v>
      </c>
      <c r="C4609" s="37" t="s">
        <v>7456</v>
      </c>
      <c r="D4609" s="35">
        <v>4934</v>
      </c>
      <c r="E4609" s="7" t="s">
        <v>7649</v>
      </c>
      <c r="F4609" s="5">
        <v>39899</v>
      </c>
      <c r="G4609" s="5">
        <v>39899</v>
      </c>
      <c r="H4609" s="4" t="s">
        <v>40</v>
      </c>
      <c r="I4609" s="6">
        <v>619.65</v>
      </c>
      <c r="J4609" s="6">
        <v>619.65</v>
      </c>
      <c r="K4609" s="37" t="s">
        <v>7456</v>
      </c>
      <c r="L4609" s="119"/>
      <c r="M4609" s="3"/>
    </row>
    <row r="4610" spans="1:13" s="4" customFormat="1" ht="25.5" x14ac:dyDescent="0.25">
      <c r="A4610" s="4" t="s">
        <v>7650</v>
      </c>
      <c r="B4610" s="4" t="s">
        <v>38</v>
      </c>
      <c r="C4610" s="37" t="s">
        <v>7456</v>
      </c>
      <c r="D4610" s="35">
        <v>4950</v>
      </c>
      <c r="E4610" s="4" t="s">
        <v>7651</v>
      </c>
      <c r="F4610" s="5">
        <v>40114</v>
      </c>
      <c r="G4610" s="5">
        <v>40168</v>
      </c>
      <c r="H4610" s="4" t="s">
        <v>40</v>
      </c>
      <c r="I4610" s="6">
        <v>836.93</v>
      </c>
      <c r="J4610" s="6">
        <v>836.93</v>
      </c>
      <c r="K4610" s="37" t="s">
        <v>7456</v>
      </c>
      <c r="L4610" s="119"/>
      <c r="M4610" s="3"/>
    </row>
    <row r="4611" spans="1:13" s="4" customFormat="1" ht="25.5" x14ac:dyDescent="0.25">
      <c r="A4611" s="4" t="s">
        <v>7652</v>
      </c>
      <c r="B4611" s="4" t="s">
        <v>38</v>
      </c>
      <c r="C4611" s="37" t="s">
        <v>7456</v>
      </c>
      <c r="D4611" s="35">
        <v>4961</v>
      </c>
      <c r="E4611" s="4" t="s">
        <v>7653</v>
      </c>
      <c r="F4611" s="5">
        <v>39819</v>
      </c>
      <c r="G4611" s="5">
        <v>39821</v>
      </c>
      <c r="H4611" s="4" t="s">
        <v>40</v>
      </c>
      <c r="I4611" s="6">
        <v>3997</v>
      </c>
      <c r="J4611" s="6">
        <v>3997</v>
      </c>
      <c r="K4611" s="37" t="s">
        <v>7456</v>
      </c>
      <c r="L4611" s="119"/>
      <c r="M4611" s="3"/>
    </row>
    <row r="4612" spans="1:13" s="4" customFormat="1" ht="25.5" x14ac:dyDescent="0.25">
      <c r="A4612" s="4" t="s">
        <v>7654</v>
      </c>
      <c r="B4612" s="4" t="s">
        <v>38</v>
      </c>
      <c r="C4612" s="37" t="s">
        <v>7456</v>
      </c>
      <c r="D4612" s="35">
        <v>4976</v>
      </c>
      <c r="E4612" s="4" t="s">
        <v>7655</v>
      </c>
      <c r="F4612" s="5">
        <v>40101</v>
      </c>
      <c r="G4612" s="5">
        <v>40161</v>
      </c>
      <c r="H4612" s="4" t="s">
        <v>40</v>
      </c>
      <c r="I4612" s="6">
        <v>387.92</v>
      </c>
      <c r="J4612" s="6">
        <v>387.92</v>
      </c>
      <c r="K4612" s="37" t="s">
        <v>7456</v>
      </c>
      <c r="L4612" s="119"/>
      <c r="M4612" s="3"/>
    </row>
    <row r="4613" spans="1:13" s="4" customFormat="1" ht="25.5" x14ac:dyDescent="0.25">
      <c r="A4613" s="4" t="s">
        <v>7656</v>
      </c>
      <c r="B4613" s="4" t="s">
        <v>38</v>
      </c>
      <c r="C4613" s="37" t="s">
        <v>7456</v>
      </c>
      <c r="D4613" s="35">
        <v>5001</v>
      </c>
      <c r="E4613" s="4" t="s">
        <v>7657</v>
      </c>
      <c r="F4613" s="5">
        <v>39975</v>
      </c>
      <c r="G4613" s="5">
        <v>39975</v>
      </c>
      <c r="H4613" s="4" t="s">
        <v>40</v>
      </c>
      <c r="I4613" s="6">
        <v>641.28</v>
      </c>
      <c r="J4613" s="6">
        <v>641.28</v>
      </c>
      <c r="K4613" s="37" t="s">
        <v>7456</v>
      </c>
      <c r="L4613" s="119"/>
      <c r="M4613" s="3"/>
    </row>
    <row r="4614" spans="1:13" s="4" customFormat="1" ht="51" x14ac:dyDescent="0.25">
      <c r="A4614" s="4" t="s">
        <v>7658</v>
      </c>
      <c r="B4614" s="4" t="s">
        <v>38</v>
      </c>
      <c r="C4614" s="37" t="s">
        <v>7456</v>
      </c>
      <c r="D4614" s="35">
        <v>5003</v>
      </c>
      <c r="E4614" s="4" t="s">
        <v>7659</v>
      </c>
      <c r="F4614" s="5">
        <v>39845</v>
      </c>
      <c r="G4614" s="5">
        <v>40001</v>
      </c>
      <c r="H4614" s="4" t="s">
        <v>40</v>
      </c>
      <c r="I4614" s="6">
        <v>5720</v>
      </c>
      <c r="J4614" s="6">
        <v>5720</v>
      </c>
      <c r="K4614" s="37" t="s">
        <v>7456</v>
      </c>
      <c r="L4614" s="119"/>
      <c r="M4614" s="3"/>
    </row>
    <row r="4615" spans="1:13" s="4" customFormat="1" ht="38.25" x14ac:dyDescent="0.25">
      <c r="A4615" s="4" t="s">
        <v>7660</v>
      </c>
      <c r="B4615" s="4" t="s">
        <v>13</v>
      </c>
      <c r="C4615" s="37" t="s">
        <v>7456</v>
      </c>
      <c r="D4615" s="35">
        <v>5007</v>
      </c>
      <c r="E4615" s="4" t="s">
        <v>7661</v>
      </c>
      <c r="F4615" s="5">
        <v>39850</v>
      </c>
      <c r="G4615" s="5">
        <v>40156</v>
      </c>
      <c r="H4615" s="4" t="s">
        <v>40</v>
      </c>
      <c r="I4615" s="6">
        <v>52328.57</v>
      </c>
      <c r="J4615" s="6">
        <v>52328.57</v>
      </c>
      <c r="K4615" s="37" t="s">
        <v>7456</v>
      </c>
      <c r="L4615" s="119"/>
      <c r="M4615" s="3"/>
    </row>
    <row r="4616" spans="1:13" s="4" customFormat="1" ht="25.5" x14ac:dyDescent="0.25">
      <c r="A4616" s="4" t="s">
        <v>7662</v>
      </c>
      <c r="B4616" s="4" t="s">
        <v>13</v>
      </c>
      <c r="C4616" s="37" t="s">
        <v>7456</v>
      </c>
      <c r="D4616" s="35">
        <v>5009</v>
      </c>
      <c r="E4616" s="4" t="s">
        <v>7663</v>
      </c>
      <c r="F4616" s="5">
        <v>40037</v>
      </c>
      <c r="G4616" s="5">
        <v>40037</v>
      </c>
      <c r="H4616" s="4" t="s">
        <v>40</v>
      </c>
      <c r="I4616" s="6">
        <v>8850</v>
      </c>
      <c r="J4616" s="6">
        <v>8850</v>
      </c>
      <c r="K4616" s="37" t="s">
        <v>7456</v>
      </c>
      <c r="L4616" s="119"/>
      <c r="M4616" s="3"/>
    </row>
    <row r="4617" spans="1:13" s="4" customFormat="1" ht="51" x14ac:dyDescent="0.25">
      <c r="A4617" s="4" t="s">
        <v>7664</v>
      </c>
      <c r="B4617" s="4" t="s">
        <v>13</v>
      </c>
      <c r="C4617" s="37" t="s">
        <v>7456</v>
      </c>
      <c r="D4617" s="35">
        <v>5010</v>
      </c>
      <c r="E4617" s="4" t="s">
        <v>7665</v>
      </c>
      <c r="F4617" s="5">
        <v>39843</v>
      </c>
      <c r="G4617" s="5">
        <v>40157</v>
      </c>
      <c r="H4617" s="4" t="s">
        <v>40</v>
      </c>
      <c r="I4617" s="6">
        <v>22341.39</v>
      </c>
      <c r="J4617" s="6">
        <v>22341.39</v>
      </c>
      <c r="K4617" s="37" t="s">
        <v>7456</v>
      </c>
      <c r="L4617" s="119"/>
      <c r="M4617" s="3"/>
    </row>
    <row r="4618" spans="1:13" s="4" customFormat="1" ht="38.25" x14ac:dyDescent="0.25">
      <c r="A4618" s="4" t="s">
        <v>7666</v>
      </c>
      <c r="B4618" s="4" t="s">
        <v>13</v>
      </c>
      <c r="C4618" s="37" t="s">
        <v>7456</v>
      </c>
      <c r="D4618" s="35">
        <v>5011</v>
      </c>
      <c r="E4618" s="4" t="s">
        <v>7667</v>
      </c>
      <c r="F4618" s="5">
        <v>40157</v>
      </c>
      <c r="G4618" s="5">
        <v>40157</v>
      </c>
      <c r="H4618" s="4" t="s">
        <v>40</v>
      </c>
      <c r="I4618" s="6">
        <v>789.75</v>
      </c>
      <c r="J4618" s="6">
        <v>789.75</v>
      </c>
      <c r="K4618" s="37" t="s">
        <v>7456</v>
      </c>
      <c r="L4618" s="119"/>
      <c r="M4618" s="3"/>
    </row>
    <row r="4619" spans="1:13" s="4" customFormat="1" ht="25.5" x14ac:dyDescent="0.25">
      <c r="A4619" s="4" t="s">
        <v>7668</v>
      </c>
      <c r="B4619" s="4" t="s">
        <v>38</v>
      </c>
      <c r="C4619" s="37" t="s">
        <v>7456</v>
      </c>
      <c r="D4619" s="35">
        <v>5013</v>
      </c>
      <c r="E4619" s="4" t="s">
        <v>7669</v>
      </c>
      <c r="F4619" s="5">
        <v>39974</v>
      </c>
      <c r="G4619" s="5">
        <v>39974</v>
      </c>
      <c r="H4619" s="4" t="s">
        <v>40</v>
      </c>
      <c r="I4619" s="6">
        <v>1371.5</v>
      </c>
      <c r="J4619" s="6">
        <v>1371.5</v>
      </c>
      <c r="K4619" s="37" t="s">
        <v>7456</v>
      </c>
      <c r="L4619" s="119"/>
      <c r="M4619" s="3"/>
    </row>
    <row r="4620" spans="1:13" s="4" customFormat="1" ht="127.5" x14ac:dyDescent="0.25">
      <c r="A4620" s="4" t="s">
        <v>7670</v>
      </c>
      <c r="B4620" s="4" t="s">
        <v>13</v>
      </c>
      <c r="C4620" s="37" t="s">
        <v>7456</v>
      </c>
      <c r="D4620" s="35">
        <v>5018</v>
      </c>
      <c r="E4620" s="7" t="s">
        <v>7671</v>
      </c>
      <c r="F4620" s="5">
        <v>39945</v>
      </c>
      <c r="G4620" s="5">
        <v>40129</v>
      </c>
      <c r="H4620" s="4" t="s">
        <v>40</v>
      </c>
      <c r="I4620" s="6">
        <v>2232.67</v>
      </c>
      <c r="J4620" s="6">
        <v>2232.67</v>
      </c>
      <c r="K4620" s="37" t="s">
        <v>7456</v>
      </c>
      <c r="L4620" s="119"/>
      <c r="M4620" s="3"/>
    </row>
    <row r="4621" spans="1:13" s="4" customFormat="1" x14ac:dyDescent="0.25">
      <c r="A4621" s="4" t="s">
        <v>7672</v>
      </c>
      <c r="B4621" s="4" t="s">
        <v>13</v>
      </c>
      <c r="C4621" s="37" t="s">
        <v>7456</v>
      </c>
      <c r="D4621" s="35">
        <v>5019</v>
      </c>
      <c r="E4621" s="4" t="s">
        <v>7673</v>
      </c>
      <c r="F4621" s="5">
        <v>39819</v>
      </c>
      <c r="G4621" s="5">
        <v>40171</v>
      </c>
      <c r="H4621" s="4" t="s">
        <v>40</v>
      </c>
      <c r="I4621" s="6">
        <v>53388.55</v>
      </c>
      <c r="J4621" s="6">
        <v>53388.55</v>
      </c>
      <c r="K4621" s="37" t="s">
        <v>7456</v>
      </c>
      <c r="L4621" s="119"/>
      <c r="M4621" s="3"/>
    </row>
    <row r="4622" spans="1:13" s="4" customFormat="1" ht="25.5" x14ac:dyDescent="0.25">
      <c r="A4622" s="4" t="s">
        <v>7674</v>
      </c>
      <c r="B4622" s="4" t="s">
        <v>13</v>
      </c>
      <c r="C4622" s="37" t="s">
        <v>7456</v>
      </c>
      <c r="D4622" s="35">
        <v>5020</v>
      </c>
      <c r="E4622" s="4" t="s">
        <v>7675</v>
      </c>
      <c r="F4622" s="5">
        <v>39832</v>
      </c>
      <c r="G4622" s="5">
        <v>39832</v>
      </c>
      <c r="H4622" s="4" t="s">
        <v>40</v>
      </c>
      <c r="I4622" s="6">
        <v>8040.87</v>
      </c>
      <c r="J4622" s="6">
        <v>8040.87</v>
      </c>
      <c r="K4622" s="37" t="s">
        <v>7456</v>
      </c>
      <c r="L4622" s="119"/>
      <c r="M4622" s="3"/>
    </row>
    <row r="4623" spans="1:13" s="4" customFormat="1" ht="89.25" x14ac:dyDescent="0.25">
      <c r="A4623" s="4" t="s">
        <v>7676</v>
      </c>
      <c r="B4623" s="4" t="s">
        <v>38</v>
      </c>
      <c r="C4623" s="37" t="s">
        <v>7456</v>
      </c>
      <c r="D4623" s="35">
        <v>5021</v>
      </c>
      <c r="E4623" s="7" t="s">
        <v>7677</v>
      </c>
      <c r="F4623" s="5">
        <v>39830</v>
      </c>
      <c r="G4623" s="5">
        <v>40147</v>
      </c>
      <c r="H4623" s="4" t="s">
        <v>40</v>
      </c>
      <c r="I4623" s="6">
        <v>112400.71</v>
      </c>
      <c r="J4623" s="6">
        <v>112400.71</v>
      </c>
      <c r="K4623" s="37" t="s">
        <v>7456</v>
      </c>
      <c r="L4623" s="119"/>
      <c r="M4623" s="3"/>
    </row>
    <row r="4624" spans="1:13" s="4" customFormat="1" ht="76.5" x14ac:dyDescent="0.25">
      <c r="A4624" s="4" t="s">
        <v>7678</v>
      </c>
      <c r="B4624" s="4" t="s">
        <v>13</v>
      </c>
      <c r="C4624" s="37" t="s">
        <v>7456</v>
      </c>
      <c r="D4624" s="35">
        <v>5023</v>
      </c>
      <c r="E4624" s="4" t="s">
        <v>7679</v>
      </c>
      <c r="F4624" s="5">
        <v>39973</v>
      </c>
      <c r="G4624" s="5">
        <v>39973</v>
      </c>
      <c r="H4624" s="4" t="s">
        <v>40</v>
      </c>
      <c r="I4624" s="6">
        <v>636.75</v>
      </c>
      <c r="J4624" s="6">
        <v>636.75</v>
      </c>
      <c r="K4624" s="37" t="s">
        <v>7456</v>
      </c>
      <c r="L4624" s="119"/>
      <c r="M4624" s="3"/>
    </row>
    <row r="4625" spans="1:13" s="4" customFormat="1" x14ac:dyDescent="0.25">
      <c r="A4625" s="4" t="s">
        <v>7680</v>
      </c>
      <c r="B4625" s="4" t="s">
        <v>13</v>
      </c>
      <c r="C4625" s="37" t="s">
        <v>7456</v>
      </c>
      <c r="D4625" s="35">
        <v>5024</v>
      </c>
      <c r="E4625" s="4" t="s">
        <v>7681</v>
      </c>
      <c r="F4625" s="5">
        <v>39821</v>
      </c>
      <c r="G4625" s="5">
        <v>39821</v>
      </c>
      <c r="H4625" s="4" t="s">
        <v>40</v>
      </c>
      <c r="I4625" s="6">
        <v>450</v>
      </c>
      <c r="J4625" s="6">
        <v>450</v>
      </c>
      <c r="K4625" s="37" t="s">
        <v>7456</v>
      </c>
      <c r="L4625" s="119"/>
      <c r="M4625" s="3"/>
    </row>
    <row r="4626" spans="1:13" s="4" customFormat="1" ht="63.75" x14ac:dyDescent="0.25">
      <c r="A4626" s="4" t="s">
        <v>7682</v>
      </c>
      <c r="B4626" s="4" t="s">
        <v>13</v>
      </c>
      <c r="C4626" s="37" t="s">
        <v>7456</v>
      </c>
      <c r="D4626" s="35">
        <v>5026</v>
      </c>
      <c r="E4626" s="4" t="s">
        <v>7683</v>
      </c>
      <c r="F4626" s="5">
        <v>39981</v>
      </c>
      <c r="G4626" s="5">
        <v>39981</v>
      </c>
      <c r="H4626" s="4" t="s">
        <v>40</v>
      </c>
      <c r="I4626" s="6">
        <v>1035</v>
      </c>
      <c r="J4626" s="6">
        <v>1035</v>
      </c>
      <c r="K4626" s="37" t="s">
        <v>7456</v>
      </c>
      <c r="L4626" s="119"/>
      <c r="M4626" s="3"/>
    </row>
    <row r="4627" spans="1:13" s="4" customFormat="1" ht="25.5" x14ac:dyDescent="0.25">
      <c r="A4627" s="4" t="s">
        <v>7684</v>
      </c>
      <c r="B4627" s="4" t="s">
        <v>59</v>
      </c>
      <c r="C4627" s="37" t="s">
        <v>7456</v>
      </c>
      <c r="D4627" s="35">
        <v>6572</v>
      </c>
      <c r="E4627" s="4" t="s">
        <v>7685</v>
      </c>
      <c r="F4627" s="5">
        <v>40093</v>
      </c>
      <c r="G4627" s="5">
        <v>40543</v>
      </c>
      <c r="H4627" s="4" t="s">
        <v>40</v>
      </c>
      <c r="I4627" s="6">
        <v>7500</v>
      </c>
      <c r="J4627" s="6">
        <v>7500</v>
      </c>
      <c r="K4627" s="37" t="s">
        <v>7456</v>
      </c>
      <c r="L4627" s="119"/>
      <c r="M4627" s="3"/>
    </row>
    <row r="4628" spans="1:13" s="4" customFormat="1" ht="38.25" x14ac:dyDescent="0.25">
      <c r="A4628" s="4" t="s">
        <v>7690</v>
      </c>
      <c r="B4628" s="4" t="s">
        <v>183</v>
      </c>
      <c r="C4628" s="37" t="s">
        <v>7456</v>
      </c>
      <c r="D4628" s="35">
        <v>6575</v>
      </c>
      <c r="E4628" s="4" t="s">
        <v>7691</v>
      </c>
      <c r="F4628" s="5">
        <v>40479</v>
      </c>
      <c r="G4628" s="5">
        <v>40543</v>
      </c>
      <c r="H4628" s="4" t="s">
        <v>40</v>
      </c>
      <c r="I4628" s="6">
        <v>3750</v>
      </c>
      <c r="J4628" s="6">
        <v>3750</v>
      </c>
      <c r="K4628" s="37" t="s">
        <v>7456</v>
      </c>
      <c r="L4628" s="119"/>
      <c r="M4628" s="3"/>
    </row>
    <row r="4629" spans="1:13" s="4" customFormat="1" ht="51" x14ac:dyDescent="0.25">
      <c r="A4629" s="4" t="s">
        <v>7692</v>
      </c>
      <c r="B4629" s="4" t="s">
        <v>59</v>
      </c>
      <c r="C4629" s="37" t="s">
        <v>7456</v>
      </c>
      <c r="D4629" s="35">
        <v>6576</v>
      </c>
      <c r="E4629" s="4" t="s">
        <v>7693</v>
      </c>
      <c r="F4629" s="5">
        <v>40489</v>
      </c>
      <c r="G4629" s="5">
        <v>40543</v>
      </c>
      <c r="H4629" s="4" t="s">
        <v>40</v>
      </c>
      <c r="I4629" s="6">
        <v>14000</v>
      </c>
      <c r="J4629" s="6">
        <v>14000</v>
      </c>
      <c r="K4629" s="37" t="s">
        <v>7456</v>
      </c>
      <c r="L4629" s="119"/>
      <c r="M4629" s="3"/>
    </row>
    <row r="4630" spans="1:13" s="4" customFormat="1" ht="38.25" x14ac:dyDescent="0.25">
      <c r="A4630" s="4" t="s">
        <v>7694</v>
      </c>
      <c r="B4630" s="4" t="s">
        <v>90</v>
      </c>
      <c r="C4630" s="37" t="s">
        <v>7456</v>
      </c>
      <c r="D4630" s="35">
        <v>6577</v>
      </c>
      <c r="E4630" s="4" t="s">
        <v>7695</v>
      </c>
      <c r="F4630" s="5">
        <v>40207</v>
      </c>
      <c r="G4630" s="5">
        <v>40388</v>
      </c>
      <c r="H4630" s="4" t="s">
        <v>40</v>
      </c>
      <c r="I4630" s="6">
        <v>8000</v>
      </c>
      <c r="J4630" s="6">
        <v>4000</v>
      </c>
      <c r="K4630" s="37" t="s">
        <v>7456</v>
      </c>
      <c r="L4630" s="119"/>
      <c r="M4630" s="3"/>
    </row>
    <row r="4631" spans="1:13" s="4" customFormat="1" ht="25.5" x14ac:dyDescent="0.25">
      <c r="A4631" s="4" t="s">
        <v>7696</v>
      </c>
      <c r="B4631" s="4" t="s">
        <v>90</v>
      </c>
      <c r="C4631" s="37" t="s">
        <v>7456</v>
      </c>
      <c r="D4631" s="35">
        <v>6578</v>
      </c>
      <c r="E4631" s="4" t="s">
        <v>7697</v>
      </c>
      <c r="F4631" s="5">
        <v>40241</v>
      </c>
      <c r="G4631" s="5">
        <v>40519</v>
      </c>
      <c r="H4631" s="4" t="s">
        <v>40</v>
      </c>
      <c r="I4631" s="6">
        <v>13500</v>
      </c>
      <c r="J4631" s="6">
        <v>6750</v>
      </c>
      <c r="K4631" s="37" t="s">
        <v>7456</v>
      </c>
      <c r="L4631" s="119"/>
      <c r="M4631" s="3"/>
    </row>
    <row r="4632" spans="1:13" s="4" customFormat="1" ht="51" x14ac:dyDescent="0.25">
      <c r="A4632" s="4" t="s">
        <v>7698</v>
      </c>
      <c r="B4632" s="4" t="s">
        <v>11764</v>
      </c>
      <c r="C4632" s="37" t="s">
        <v>7456</v>
      </c>
      <c r="D4632" s="35">
        <v>6579</v>
      </c>
      <c r="E4632" s="4" t="s">
        <v>7699</v>
      </c>
      <c r="F4632" s="5">
        <v>40520</v>
      </c>
      <c r="G4632" s="5">
        <v>40543</v>
      </c>
      <c r="H4632" s="4" t="s">
        <v>40</v>
      </c>
      <c r="I4632" s="6">
        <v>56000</v>
      </c>
      <c r="J4632" s="6">
        <v>56000</v>
      </c>
      <c r="K4632" s="37" t="s">
        <v>7456</v>
      </c>
      <c r="L4632" s="119"/>
      <c r="M4632" s="3"/>
    </row>
    <row r="4633" spans="1:13" s="4" customFormat="1" ht="25.5" x14ac:dyDescent="0.25">
      <c r="A4633" s="4" t="s">
        <v>7702</v>
      </c>
      <c r="B4633" s="4" t="s">
        <v>50</v>
      </c>
      <c r="C4633" s="37" t="s">
        <v>7456</v>
      </c>
      <c r="D4633" s="35">
        <v>6581</v>
      </c>
      <c r="E4633" s="4" t="s">
        <v>7703</v>
      </c>
      <c r="F4633" s="5">
        <v>40151</v>
      </c>
      <c r="G4633" s="5">
        <v>40543</v>
      </c>
      <c r="H4633" s="4" t="s">
        <v>40</v>
      </c>
      <c r="I4633" s="6">
        <v>20000</v>
      </c>
      <c r="J4633" s="6">
        <v>10000</v>
      </c>
      <c r="K4633" s="37" t="s">
        <v>7456</v>
      </c>
      <c r="L4633" s="119"/>
      <c r="M4633" s="3"/>
    </row>
    <row r="4634" spans="1:13" s="4" customFormat="1" ht="63.75" x14ac:dyDescent="0.25">
      <c r="A4634" s="4" t="s">
        <v>7704</v>
      </c>
      <c r="B4634" s="4" t="s">
        <v>59</v>
      </c>
      <c r="C4634" s="37" t="s">
        <v>7456</v>
      </c>
      <c r="D4634" s="35">
        <v>6972</v>
      </c>
      <c r="E4634" s="4" t="s">
        <v>7705</v>
      </c>
      <c r="F4634" s="5">
        <v>40106</v>
      </c>
      <c r="G4634" s="5">
        <v>40526</v>
      </c>
      <c r="H4634" s="4" t="s">
        <v>40</v>
      </c>
      <c r="I4634" s="6">
        <v>11020.23</v>
      </c>
      <c r="J4634" s="6">
        <v>11020.23</v>
      </c>
      <c r="K4634" s="37" t="s">
        <v>7456</v>
      </c>
      <c r="L4634" s="119"/>
      <c r="M4634" s="3"/>
    </row>
    <row r="4635" spans="1:13" s="4" customFormat="1" ht="51" x14ac:dyDescent="0.25">
      <c r="A4635" s="4" t="s">
        <v>7708</v>
      </c>
      <c r="B4635" s="4" t="s">
        <v>183</v>
      </c>
      <c r="C4635" s="37" t="s">
        <v>7456</v>
      </c>
      <c r="D4635" s="35">
        <v>6976</v>
      </c>
      <c r="E4635" s="4" t="s">
        <v>7709</v>
      </c>
      <c r="F4635" s="5">
        <v>40520</v>
      </c>
      <c r="H4635" s="4" t="s">
        <v>40</v>
      </c>
      <c r="I4635" s="6">
        <v>12000</v>
      </c>
      <c r="J4635" s="6">
        <v>12000</v>
      </c>
      <c r="K4635" s="37" t="s">
        <v>7456</v>
      </c>
      <c r="L4635" s="119"/>
      <c r="M4635" s="3"/>
    </row>
    <row r="4636" spans="1:13" s="4" customFormat="1" ht="38.25" x14ac:dyDescent="0.25">
      <c r="A4636" s="4" t="s">
        <v>7710</v>
      </c>
      <c r="B4636" s="4" t="s">
        <v>183</v>
      </c>
      <c r="C4636" s="37" t="s">
        <v>7456</v>
      </c>
      <c r="D4636" s="35">
        <v>6977</v>
      </c>
      <c r="E4636" s="4" t="s">
        <v>7711</v>
      </c>
      <c r="F4636" s="5">
        <v>40520</v>
      </c>
      <c r="H4636" s="4" t="s">
        <v>40</v>
      </c>
      <c r="I4636" s="6">
        <v>40000</v>
      </c>
      <c r="J4636" s="6">
        <v>40000</v>
      </c>
      <c r="K4636" s="37" t="s">
        <v>7456</v>
      </c>
      <c r="L4636" s="119"/>
      <c r="M4636" s="3"/>
    </row>
    <row r="4637" spans="1:13" s="4" customFormat="1" ht="25.5" x14ac:dyDescent="0.25">
      <c r="A4637" s="4" t="s">
        <v>7712</v>
      </c>
      <c r="B4637" s="4" t="s">
        <v>183</v>
      </c>
      <c r="C4637" s="37" t="s">
        <v>7456</v>
      </c>
      <c r="D4637" s="35">
        <v>6979</v>
      </c>
      <c r="E4637" s="4" t="s">
        <v>7713</v>
      </c>
      <c r="F4637" s="5">
        <v>40158</v>
      </c>
      <c r="G4637" s="5">
        <v>40523</v>
      </c>
      <c r="H4637" s="4" t="s">
        <v>40</v>
      </c>
      <c r="I4637" s="6">
        <v>7500</v>
      </c>
      <c r="J4637" s="6">
        <v>7500</v>
      </c>
      <c r="K4637" s="37" t="s">
        <v>7456</v>
      </c>
      <c r="L4637" s="119"/>
      <c r="M4637" s="3"/>
    </row>
    <row r="4638" spans="1:13" s="4" customFormat="1" ht="38.25" x14ac:dyDescent="0.25">
      <c r="A4638" s="4" t="s">
        <v>7714</v>
      </c>
      <c r="B4638" s="4" t="s">
        <v>183</v>
      </c>
      <c r="C4638" s="37" t="s">
        <v>7456</v>
      </c>
      <c r="D4638" s="35">
        <v>6981</v>
      </c>
      <c r="E4638" s="4" t="s">
        <v>7715</v>
      </c>
      <c r="F4638" s="5">
        <v>40233</v>
      </c>
      <c r="G4638" s="5">
        <v>41274</v>
      </c>
      <c r="H4638" s="4" t="s">
        <v>40</v>
      </c>
      <c r="I4638" s="6">
        <v>8000</v>
      </c>
      <c r="J4638" s="6">
        <v>8000</v>
      </c>
      <c r="K4638" s="37" t="s">
        <v>7456</v>
      </c>
      <c r="L4638" s="119"/>
      <c r="M4638" s="3"/>
    </row>
    <row r="4639" spans="1:13" s="4" customFormat="1" ht="38.25" x14ac:dyDescent="0.25">
      <c r="A4639" s="4" t="s">
        <v>7718</v>
      </c>
      <c r="B4639" s="4" t="s">
        <v>183</v>
      </c>
      <c r="C4639" s="37" t="s">
        <v>7456</v>
      </c>
      <c r="D4639" s="35">
        <v>6984</v>
      </c>
      <c r="E4639" s="4" t="s">
        <v>7719</v>
      </c>
      <c r="F4639" s="5">
        <v>40520</v>
      </c>
      <c r="H4639" s="4" t="s">
        <v>40</v>
      </c>
      <c r="I4639" s="6">
        <v>29125</v>
      </c>
      <c r="J4639" s="6">
        <v>29125</v>
      </c>
      <c r="K4639" s="37" t="s">
        <v>7456</v>
      </c>
      <c r="L4639" s="119"/>
      <c r="M4639" s="3"/>
    </row>
    <row r="4640" spans="1:13" s="4" customFormat="1" ht="38.25" x14ac:dyDescent="0.25">
      <c r="A4640" s="4" t="s">
        <v>7724</v>
      </c>
      <c r="B4640" s="4" t="s">
        <v>190</v>
      </c>
      <c r="C4640" s="37" t="s">
        <v>7456</v>
      </c>
      <c r="D4640" s="35">
        <v>6987</v>
      </c>
      <c r="E4640" s="4" t="s">
        <v>7725</v>
      </c>
      <c r="F4640" s="5">
        <v>40380</v>
      </c>
      <c r="H4640" s="4" t="s">
        <v>40</v>
      </c>
      <c r="I4640" s="6">
        <v>7500</v>
      </c>
      <c r="J4640" s="6">
        <v>7500</v>
      </c>
      <c r="K4640" s="37" t="s">
        <v>7456</v>
      </c>
      <c r="L4640" s="119"/>
      <c r="M4640" s="3"/>
    </row>
    <row r="4641" spans="1:13" s="4" customFormat="1" ht="51" x14ac:dyDescent="0.25">
      <c r="A4641" s="4" t="s">
        <v>7726</v>
      </c>
      <c r="B4641" s="4" t="s">
        <v>183</v>
      </c>
      <c r="C4641" s="37" t="s">
        <v>7456</v>
      </c>
      <c r="D4641" s="35">
        <v>6988</v>
      </c>
      <c r="E4641" s="4" t="s">
        <v>7727</v>
      </c>
      <c r="F4641" s="5">
        <v>40520</v>
      </c>
      <c r="H4641" s="4" t="s">
        <v>40</v>
      </c>
      <c r="I4641" s="6">
        <v>6750</v>
      </c>
      <c r="J4641" s="6">
        <v>6750</v>
      </c>
      <c r="K4641" s="37" t="s">
        <v>7456</v>
      </c>
      <c r="L4641" s="119"/>
      <c r="M4641" s="3"/>
    </row>
    <row r="4642" spans="1:13" s="4" customFormat="1" ht="38.25" x14ac:dyDescent="0.25">
      <c r="A4642" s="4" t="s">
        <v>7728</v>
      </c>
      <c r="B4642" s="4" t="s">
        <v>183</v>
      </c>
      <c r="C4642" s="37" t="s">
        <v>7456</v>
      </c>
      <c r="D4642" s="35">
        <v>6989</v>
      </c>
      <c r="E4642" s="4" t="s">
        <v>7729</v>
      </c>
      <c r="F4642" s="5">
        <v>40485</v>
      </c>
      <c r="H4642" s="4" t="s">
        <v>40</v>
      </c>
      <c r="I4642" s="6">
        <v>5000</v>
      </c>
      <c r="J4642" s="6">
        <v>5000</v>
      </c>
      <c r="K4642" s="37" t="s">
        <v>7456</v>
      </c>
      <c r="L4642" s="119"/>
      <c r="M4642" s="3"/>
    </row>
    <row r="4643" spans="1:13" s="4" customFormat="1" ht="51" x14ac:dyDescent="0.25">
      <c r="A4643" s="4" t="s">
        <v>7730</v>
      </c>
      <c r="B4643" s="4" t="s">
        <v>38</v>
      </c>
      <c r="C4643" s="37" t="s">
        <v>7456</v>
      </c>
      <c r="D4643" s="35">
        <v>7157</v>
      </c>
      <c r="E4643" s="4" t="s">
        <v>7731</v>
      </c>
      <c r="F4643" s="5">
        <v>40533</v>
      </c>
      <c r="G4643" s="5">
        <v>40543</v>
      </c>
      <c r="H4643" s="4" t="s">
        <v>40</v>
      </c>
      <c r="I4643" s="6">
        <v>7864.32</v>
      </c>
      <c r="J4643" s="6">
        <v>7864.32</v>
      </c>
      <c r="K4643" s="37" t="s">
        <v>7456</v>
      </c>
      <c r="L4643" s="119"/>
      <c r="M4643" s="3"/>
    </row>
    <row r="4644" spans="1:13" s="4" customFormat="1" ht="25.5" x14ac:dyDescent="0.25">
      <c r="A4644" s="4" t="s">
        <v>7732</v>
      </c>
      <c r="B4644" s="4" t="s">
        <v>38</v>
      </c>
      <c r="C4644" s="37" t="s">
        <v>7456</v>
      </c>
      <c r="D4644" s="35">
        <v>7158</v>
      </c>
      <c r="E4644" s="4" t="s">
        <v>7733</v>
      </c>
      <c r="F4644" s="5">
        <v>40207</v>
      </c>
      <c r="G4644" s="5">
        <v>40543</v>
      </c>
      <c r="H4644" s="4" t="s">
        <v>40</v>
      </c>
      <c r="I4644" s="6">
        <v>55895.51</v>
      </c>
      <c r="J4644" s="6">
        <v>55895.51</v>
      </c>
      <c r="K4644" s="37" t="s">
        <v>7456</v>
      </c>
      <c r="L4644" s="119"/>
      <c r="M4644" s="3"/>
    </row>
    <row r="4645" spans="1:13" s="4" customFormat="1" ht="25.5" x14ac:dyDescent="0.25">
      <c r="A4645" s="4" t="s">
        <v>7734</v>
      </c>
      <c r="B4645" s="4" t="s">
        <v>38</v>
      </c>
      <c r="C4645" s="37" t="s">
        <v>7456</v>
      </c>
      <c r="D4645" s="35">
        <v>7159</v>
      </c>
      <c r="E4645" s="4" t="s">
        <v>7735</v>
      </c>
      <c r="F4645" s="5">
        <v>40516</v>
      </c>
      <c r="G4645" s="5">
        <v>40516</v>
      </c>
      <c r="H4645" s="4" t="s">
        <v>40</v>
      </c>
      <c r="I4645" s="6">
        <v>240.68</v>
      </c>
      <c r="J4645" s="6">
        <v>240.68</v>
      </c>
      <c r="K4645" s="37" t="s">
        <v>7456</v>
      </c>
      <c r="L4645" s="119"/>
      <c r="M4645" s="3"/>
    </row>
    <row r="4646" spans="1:13" s="4" customFormat="1" ht="38.25" x14ac:dyDescent="0.25">
      <c r="A4646" s="4" t="s">
        <v>7736</v>
      </c>
      <c r="B4646" s="4" t="s">
        <v>38</v>
      </c>
      <c r="C4646" s="37" t="s">
        <v>7456</v>
      </c>
      <c r="D4646" s="35">
        <v>7161</v>
      </c>
      <c r="E4646" s="4" t="s">
        <v>7737</v>
      </c>
      <c r="F4646" s="5">
        <v>40248</v>
      </c>
      <c r="G4646" s="5">
        <v>40543</v>
      </c>
      <c r="H4646" s="4" t="s">
        <v>40</v>
      </c>
      <c r="I4646" s="6">
        <v>4949.2299999999996</v>
      </c>
      <c r="J4646" s="6">
        <v>4949.2299999999996</v>
      </c>
      <c r="K4646" s="37" t="s">
        <v>7456</v>
      </c>
      <c r="L4646" s="119"/>
      <c r="M4646" s="3"/>
    </row>
    <row r="4647" spans="1:13" s="4" customFormat="1" ht="25.5" x14ac:dyDescent="0.25">
      <c r="A4647" s="4" t="s">
        <v>7738</v>
      </c>
      <c r="B4647" s="4" t="s">
        <v>38</v>
      </c>
      <c r="C4647" s="37" t="s">
        <v>7456</v>
      </c>
      <c r="D4647" s="35">
        <v>7162</v>
      </c>
      <c r="E4647" s="4" t="s">
        <v>7739</v>
      </c>
      <c r="F4647" s="5">
        <v>40337</v>
      </c>
      <c r="G4647" s="5">
        <v>40543</v>
      </c>
      <c r="H4647" s="4" t="s">
        <v>40</v>
      </c>
      <c r="I4647" s="6">
        <v>5499.8</v>
      </c>
      <c r="J4647" s="6">
        <v>5499.8</v>
      </c>
      <c r="K4647" s="37" t="s">
        <v>7456</v>
      </c>
      <c r="L4647" s="119"/>
      <c r="M4647" s="3"/>
    </row>
    <row r="4648" spans="1:13" s="4" customFormat="1" ht="25.5" x14ac:dyDescent="0.25">
      <c r="A4648" s="4" t="s">
        <v>7740</v>
      </c>
      <c r="B4648" s="4" t="s">
        <v>38</v>
      </c>
      <c r="C4648" s="37" t="s">
        <v>7456</v>
      </c>
      <c r="D4648" s="35">
        <v>7163</v>
      </c>
      <c r="E4648" s="4" t="s">
        <v>7741</v>
      </c>
      <c r="F4648" s="5">
        <v>40205</v>
      </c>
      <c r="G4648" s="5">
        <v>40216</v>
      </c>
      <c r="H4648" s="4" t="s">
        <v>40</v>
      </c>
      <c r="I4648" s="6">
        <v>1255</v>
      </c>
      <c r="J4648" s="6">
        <v>1255</v>
      </c>
      <c r="K4648" s="37" t="s">
        <v>7456</v>
      </c>
      <c r="L4648" s="119"/>
      <c r="M4648" s="3"/>
    </row>
    <row r="4649" spans="1:13" s="4" customFormat="1" ht="25.5" x14ac:dyDescent="0.25">
      <c r="A4649" s="4" t="s">
        <v>7742</v>
      </c>
      <c r="B4649" s="4" t="s">
        <v>38</v>
      </c>
      <c r="C4649" s="37" t="s">
        <v>7456</v>
      </c>
      <c r="D4649" s="35">
        <v>7164</v>
      </c>
      <c r="E4649" s="4" t="s">
        <v>7565</v>
      </c>
      <c r="F4649" s="5">
        <v>40315</v>
      </c>
      <c r="G4649" s="5">
        <v>40543</v>
      </c>
      <c r="H4649" s="4" t="s">
        <v>40</v>
      </c>
      <c r="I4649" s="6">
        <v>40000</v>
      </c>
      <c r="J4649" s="6">
        <v>40000</v>
      </c>
      <c r="K4649" s="37" t="s">
        <v>7456</v>
      </c>
      <c r="L4649" s="119"/>
      <c r="M4649" s="3"/>
    </row>
    <row r="4650" spans="1:13" s="4" customFormat="1" ht="25.5" x14ac:dyDescent="0.25">
      <c r="A4650" s="4" t="s">
        <v>7535</v>
      </c>
      <c r="B4650" s="4" t="s">
        <v>13</v>
      </c>
      <c r="C4650" s="37" t="s">
        <v>7456</v>
      </c>
      <c r="D4650" s="35">
        <v>7165</v>
      </c>
      <c r="E4650" s="4" t="s">
        <v>7743</v>
      </c>
      <c r="F4650" s="5">
        <v>40413</v>
      </c>
      <c r="G4650" s="5">
        <v>40413</v>
      </c>
      <c r="H4650" s="4" t="s">
        <v>40</v>
      </c>
      <c r="I4650" s="6">
        <v>1120</v>
      </c>
      <c r="J4650" s="6">
        <v>1120</v>
      </c>
      <c r="K4650" s="37" t="s">
        <v>7456</v>
      </c>
      <c r="L4650" s="119"/>
      <c r="M4650" s="3"/>
    </row>
    <row r="4651" spans="1:13" s="4" customFormat="1" ht="38.25" x14ac:dyDescent="0.25">
      <c r="A4651" s="4" t="s">
        <v>7744</v>
      </c>
      <c r="B4651" s="4" t="s">
        <v>13</v>
      </c>
      <c r="C4651" s="37" t="s">
        <v>7456</v>
      </c>
      <c r="D4651" s="35">
        <v>7166</v>
      </c>
      <c r="E4651" s="4" t="s">
        <v>7745</v>
      </c>
      <c r="F4651" s="5">
        <v>40450</v>
      </c>
      <c r="G4651" s="5">
        <v>40450</v>
      </c>
      <c r="H4651" s="4" t="s">
        <v>40</v>
      </c>
      <c r="I4651" s="6">
        <v>8850</v>
      </c>
      <c r="J4651" s="6">
        <v>8850</v>
      </c>
      <c r="K4651" s="37" t="s">
        <v>7456</v>
      </c>
      <c r="L4651" s="119"/>
      <c r="M4651" s="3"/>
    </row>
    <row r="4652" spans="1:13" s="4" customFormat="1" ht="25.5" x14ac:dyDescent="0.25">
      <c r="A4652" s="4" t="s">
        <v>7746</v>
      </c>
      <c r="B4652" s="4" t="s">
        <v>38</v>
      </c>
      <c r="C4652" s="37" t="s">
        <v>7456</v>
      </c>
      <c r="D4652" s="35">
        <v>7168</v>
      </c>
      <c r="E4652" s="4" t="s">
        <v>7747</v>
      </c>
      <c r="F4652" s="5">
        <v>40427</v>
      </c>
      <c r="G4652" s="5">
        <v>40519</v>
      </c>
      <c r="H4652" s="4" t="s">
        <v>40</v>
      </c>
      <c r="I4652" s="6">
        <v>6904</v>
      </c>
      <c r="J4652" s="6">
        <v>6904</v>
      </c>
      <c r="K4652" s="37" t="s">
        <v>7456</v>
      </c>
      <c r="L4652" s="119"/>
      <c r="M4652" s="3"/>
    </row>
    <row r="4653" spans="1:13" s="4" customFormat="1" ht="25.5" x14ac:dyDescent="0.25">
      <c r="A4653" s="4" t="s">
        <v>7748</v>
      </c>
      <c r="B4653" s="4" t="s">
        <v>13</v>
      </c>
      <c r="C4653" s="37" t="s">
        <v>7456</v>
      </c>
      <c r="D4653" s="35">
        <v>7169</v>
      </c>
      <c r="E4653" s="4" t="s">
        <v>7749</v>
      </c>
      <c r="F4653" s="5">
        <v>40206</v>
      </c>
      <c r="G4653" s="5">
        <v>40529</v>
      </c>
      <c r="H4653" s="4" t="s">
        <v>40</v>
      </c>
      <c r="I4653" s="6">
        <v>14761.71</v>
      </c>
      <c r="J4653" s="6">
        <v>14761.71</v>
      </c>
      <c r="K4653" s="37" t="s">
        <v>7456</v>
      </c>
      <c r="L4653" s="119"/>
      <c r="M4653" s="3"/>
    </row>
    <row r="4654" spans="1:13" s="4" customFormat="1" ht="38.25" x14ac:dyDescent="0.25">
      <c r="A4654" s="4" t="s">
        <v>7750</v>
      </c>
      <c r="B4654" s="4" t="s">
        <v>13</v>
      </c>
      <c r="C4654" s="37" t="s">
        <v>7456</v>
      </c>
      <c r="D4654" s="35">
        <v>7170</v>
      </c>
      <c r="E4654" s="4" t="s">
        <v>7751</v>
      </c>
      <c r="F4654" s="5">
        <v>40205</v>
      </c>
      <c r="G4654" s="5">
        <v>40529</v>
      </c>
      <c r="H4654" s="4" t="s">
        <v>40</v>
      </c>
      <c r="I4654" s="6">
        <v>3859.86</v>
      </c>
      <c r="J4654" s="6">
        <v>3859.86</v>
      </c>
      <c r="K4654" s="37" t="s">
        <v>7456</v>
      </c>
      <c r="L4654" s="119"/>
      <c r="M4654" s="3"/>
    </row>
    <row r="4655" spans="1:13" s="4" customFormat="1" ht="89.25" x14ac:dyDescent="0.25">
      <c r="A4655" s="4" t="s">
        <v>7752</v>
      </c>
      <c r="B4655" s="4" t="s">
        <v>38</v>
      </c>
      <c r="C4655" s="37" t="s">
        <v>7456</v>
      </c>
      <c r="D4655" s="35">
        <v>7171</v>
      </c>
      <c r="E4655" s="7" t="s">
        <v>7753</v>
      </c>
      <c r="F4655" s="5">
        <v>40207</v>
      </c>
      <c r="G4655" s="5">
        <v>40499</v>
      </c>
      <c r="H4655" s="4" t="s">
        <v>40</v>
      </c>
      <c r="I4655" s="6">
        <v>77726.289999999994</v>
      </c>
      <c r="J4655" s="6">
        <v>77726.289999999994</v>
      </c>
      <c r="K4655" s="37" t="s">
        <v>7456</v>
      </c>
      <c r="L4655" s="119"/>
      <c r="M4655" s="3"/>
    </row>
    <row r="4656" spans="1:13" s="4" customFormat="1" ht="38.25" x14ac:dyDescent="0.25">
      <c r="A4656" s="4" t="s">
        <v>7754</v>
      </c>
      <c r="B4656" s="4" t="s">
        <v>190</v>
      </c>
      <c r="C4656" s="37" t="s">
        <v>7456</v>
      </c>
      <c r="D4656" s="35">
        <v>7555</v>
      </c>
      <c r="E4656" s="4" t="s">
        <v>7755</v>
      </c>
      <c r="F4656" s="5">
        <v>40520</v>
      </c>
      <c r="H4656" s="4" t="s">
        <v>40</v>
      </c>
      <c r="I4656" s="6">
        <v>7500</v>
      </c>
      <c r="J4656" s="6">
        <v>7500</v>
      </c>
      <c r="K4656" s="37" t="s">
        <v>7456</v>
      </c>
      <c r="L4656" s="119"/>
      <c r="M4656" s="3"/>
    </row>
    <row r="4657" spans="1:13" s="4" customFormat="1" ht="25.5" x14ac:dyDescent="0.25">
      <c r="A4657" s="4" t="s">
        <v>7756</v>
      </c>
      <c r="B4657" s="4" t="s">
        <v>190</v>
      </c>
      <c r="C4657" s="37" t="s">
        <v>7456</v>
      </c>
      <c r="D4657" s="35">
        <v>7706</v>
      </c>
      <c r="E4657" s="4" t="s">
        <v>7757</v>
      </c>
      <c r="F4657" s="5">
        <v>40230</v>
      </c>
      <c r="G4657" s="5">
        <v>40543</v>
      </c>
      <c r="H4657" s="4" t="s">
        <v>40</v>
      </c>
      <c r="I4657" s="6">
        <v>49500</v>
      </c>
      <c r="J4657" s="6">
        <v>37500</v>
      </c>
      <c r="K4657" s="37" t="s">
        <v>7456</v>
      </c>
      <c r="L4657" s="119"/>
      <c r="M4657" s="3"/>
    </row>
    <row r="4658" spans="1:13" s="4" customFormat="1" ht="25.5" x14ac:dyDescent="0.25">
      <c r="A4658" s="4" t="s">
        <v>7760</v>
      </c>
      <c r="B4658" s="4" t="s">
        <v>183</v>
      </c>
      <c r="C4658" s="37" t="s">
        <v>7456</v>
      </c>
      <c r="D4658" s="35">
        <v>8542</v>
      </c>
      <c r="E4658" s="4" t="s">
        <v>7761</v>
      </c>
      <c r="F4658" s="5">
        <v>40744</v>
      </c>
      <c r="G4658" s="5">
        <v>40908</v>
      </c>
      <c r="H4658" s="4" t="s">
        <v>40</v>
      </c>
      <c r="I4658" s="6">
        <v>12000</v>
      </c>
      <c r="J4658" s="6">
        <v>12000</v>
      </c>
      <c r="K4658" s="37" t="s">
        <v>7456</v>
      </c>
      <c r="L4658" s="119"/>
      <c r="M4658" s="3"/>
    </row>
    <row r="4659" spans="1:13" s="4" customFormat="1" ht="51" x14ac:dyDescent="0.25">
      <c r="A4659" s="4" t="s">
        <v>7762</v>
      </c>
      <c r="B4659" s="4" t="s">
        <v>183</v>
      </c>
      <c r="C4659" s="37" t="s">
        <v>7456</v>
      </c>
      <c r="D4659" s="35">
        <v>8543</v>
      </c>
      <c r="E4659" s="4" t="s">
        <v>7763</v>
      </c>
      <c r="F4659" s="5">
        <v>40547</v>
      </c>
      <c r="G4659" s="5">
        <v>40908</v>
      </c>
      <c r="H4659" s="4" t="s">
        <v>40</v>
      </c>
      <c r="I4659" s="6">
        <v>6750</v>
      </c>
      <c r="J4659" s="6">
        <v>6750</v>
      </c>
      <c r="K4659" s="37" t="s">
        <v>7456</v>
      </c>
      <c r="L4659" s="119"/>
      <c r="M4659" s="3"/>
    </row>
    <row r="4660" spans="1:13" s="4" customFormat="1" ht="63.75" x14ac:dyDescent="0.25">
      <c r="A4660" s="4" t="s">
        <v>7764</v>
      </c>
      <c r="B4660" s="4" t="s">
        <v>183</v>
      </c>
      <c r="C4660" s="37" t="s">
        <v>7456</v>
      </c>
      <c r="D4660" s="35">
        <v>8544</v>
      </c>
      <c r="E4660" s="4" t="s">
        <v>7765</v>
      </c>
      <c r="F4660" s="5">
        <v>40860</v>
      </c>
      <c r="G4660" s="5">
        <v>40908</v>
      </c>
      <c r="H4660" s="4" t="s">
        <v>40</v>
      </c>
      <c r="I4660" s="6">
        <v>5000</v>
      </c>
      <c r="J4660" s="6">
        <v>5000</v>
      </c>
      <c r="K4660" s="37" t="s">
        <v>7456</v>
      </c>
      <c r="L4660" s="119"/>
      <c r="M4660" s="3"/>
    </row>
    <row r="4661" spans="1:13" s="4" customFormat="1" x14ac:dyDescent="0.25">
      <c r="A4661" s="4" t="s">
        <v>7766</v>
      </c>
      <c r="B4661" s="4" t="s">
        <v>183</v>
      </c>
      <c r="C4661" s="37" t="s">
        <v>7456</v>
      </c>
      <c r="D4661" s="35">
        <v>8545</v>
      </c>
      <c r="E4661" s="4" t="s">
        <v>7767</v>
      </c>
      <c r="F4661" s="5">
        <v>40609</v>
      </c>
      <c r="G4661" s="5">
        <v>40908</v>
      </c>
      <c r="H4661" s="4" t="s">
        <v>40</v>
      </c>
      <c r="I4661" s="6">
        <v>4000</v>
      </c>
      <c r="J4661" s="6">
        <v>4000</v>
      </c>
      <c r="K4661" s="37" t="s">
        <v>7456</v>
      </c>
      <c r="L4661" s="119"/>
      <c r="M4661" s="3"/>
    </row>
    <row r="4662" spans="1:13" s="4" customFormat="1" ht="51" x14ac:dyDescent="0.25">
      <c r="A4662" s="4" t="s">
        <v>7768</v>
      </c>
      <c r="B4662" s="4" t="s">
        <v>183</v>
      </c>
      <c r="C4662" s="37" t="s">
        <v>7456</v>
      </c>
      <c r="D4662" s="35">
        <v>8546</v>
      </c>
      <c r="E4662" s="4" t="s">
        <v>7769</v>
      </c>
      <c r="F4662" s="5">
        <v>40632</v>
      </c>
      <c r="G4662" s="5">
        <v>40908</v>
      </c>
      <c r="H4662" s="4" t="s">
        <v>40</v>
      </c>
      <c r="I4662" s="6">
        <v>16000</v>
      </c>
      <c r="J4662" s="6">
        <v>16000</v>
      </c>
      <c r="K4662" s="37" t="s">
        <v>7456</v>
      </c>
      <c r="L4662" s="119"/>
      <c r="M4662" s="3"/>
    </row>
    <row r="4663" spans="1:13" s="4" customFormat="1" ht="25.5" x14ac:dyDescent="0.25">
      <c r="A4663" s="4" t="s">
        <v>7770</v>
      </c>
      <c r="B4663" s="4" t="s">
        <v>183</v>
      </c>
      <c r="C4663" s="37" t="s">
        <v>7456</v>
      </c>
      <c r="D4663" s="35">
        <v>8547</v>
      </c>
      <c r="E4663" s="4" t="s">
        <v>7771</v>
      </c>
      <c r="F4663" s="5">
        <v>40663</v>
      </c>
      <c r="G4663" s="5">
        <v>40908</v>
      </c>
      <c r="H4663" s="4" t="s">
        <v>40</v>
      </c>
      <c r="I4663" s="6">
        <v>20000</v>
      </c>
      <c r="J4663" s="6">
        <v>20000</v>
      </c>
      <c r="K4663" s="37" t="s">
        <v>7456</v>
      </c>
      <c r="L4663" s="119"/>
      <c r="M4663" s="3"/>
    </row>
    <row r="4664" spans="1:13" s="4" customFormat="1" ht="38.25" x14ac:dyDescent="0.25">
      <c r="A4664" s="4" t="s">
        <v>7772</v>
      </c>
      <c r="B4664" s="4" t="s">
        <v>190</v>
      </c>
      <c r="C4664" s="37" t="s">
        <v>7456</v>
      </c>
      <c r="D4664" s="35">
        <v>8548</v>
      </c>
      <c r="E4664" s="4" t="s">
        <v>7773</v>
      </c>
      <c r="F4664" s="5">
        <v>40547</v>
      </c>
      <c r="G4664" s="5">
        <v>40908</v>
      </c>
      <c r="H4664" s="4" t="s">
        <v>40</v>
      </c>
      <c r="I4664" s="6">
        <v>8000</v>
      </c>
      <c r="J4664" s="6">
        <v>8000</v>
      </c>
      <c r="K4664" s="37" t="s">
        <v>7456</v>
      </c>
      <c r="L4664" s="119"/>
      <c r="M4664" s="3"/>
    </row>
    <row r="4665" spans="1:13" s="4" customFormat="1" ht="25.5" x14ac:dyDescent="0.25">
      <c r="A4665" s="4" t="s">
        <v>7774</v>
      </c>
      <c r="B4665" s="4" t="s">
        <v>90</v>
      </c>
      <c r="C4665" s="37" t="s">
        <v>7456</v>
      </c>
      <c r="D4665" s="35">
        <v>8580</v>
      </c>
      <c r="E4665" s="4" t="s">
        <v>7775</v>
      </c>
      <c r="F4665" s="5">
        <v>40897</v>
      </c>
      <c r="G4665" s="5">
        <v>40908</v>
      </c>
      <c r="H4665" s="4" t="s">
        <v>40</v>
      </c>
      <c r="I4665" s="6">
        <v>30000</v>
      </c>
      <c r="J4665" s="6">
        <v>10000</v>
      </c>
      <c r="K4665" s="37" t="s">
        <v>7456</v>
      </c>
      <c r="L4665" s="119"/>
      <c r="M4665" s="3"/>
    </row>
    <row r="4666" spans="1:13" s="4" customFormat="1" ht="38.25" x14ac:dyDescent="0.25">
      <c r="A4666" s="4" t="s">
        <v>7776</v>
      </c>
      <c r="B4666" s="4" t="s">
        <v>183</v>
      </c>
      <c r="C4666" s="37" t="s">
        <v>7456</v>
      </c>
      <c r="D4666" s="35">
        <v>8584</v>
      </c>
      <c r="E4666" s="4" t="s">
        <v>7777</v>
      </c>
      <c r="F4666" s="5">
        <v>40884</v>
      </c>
      <c r="G4666" s="5">
        <v>40908</v>
      </c>
      <c r="H4666" s="4" t="s">
        <v>40</v>
      </c>
      <c r="I4666" s="6">
        <v>4000</v>
      </c>
      <c r="J4666" s="6">
        <v>4000</v>
      </c>
      <c r="K4666" s="37" t="s">
        <v>7456</v>
      </c>
      <c r="L4666" s="119"/>
      <c r="M4666" s="3"/>
    </row>
    <row r="4667" spans="1:13" s="4" customFormat="1" ht="25.5" x14ac:dyDescent="0.25">
      <c r="A4667" s="4" t="s">
        <v>7778</v>
      </c>
      <c r="B4667" s="4" t="s">
        <v>183</v>
      </c>
      <c r="C4667" s="37" t="s">
        <v>7456</v>
      </c>
      <c r="D4667" s="35">
        <v>8588</v>
      </c>
      <c r="E4667" s="4" t="s">
        <v>7779</v>
      </c>
      <c r="F4667" s="5">
        <v>40688</v>
      </c>
      <c r="G4667" s="5">
        <v>40908</v>
      </c>
      <c r="H4667" s="4" t="s">
        <v>40</v>
      </c>
      <c r="I4667" s="6">
        <v>3750</v>
      </c>
      <c r="J4667" s="6">
        <v>3750</v>
      </c>
      <c r="K4667" s="37" t="s">
        <v>7456</v>
      </c>
      <c r="L4667" s="119"/>
      <c r="M4667" s="3"/>
    </row>
    <row r="4668" spans="1:13" s="4" customFormat="1" ht="51" x14ac:dyDescent="0.25">
      <c r="A4668" s="4" t="s">
        <v>7780</v>
      </c>
      <c r="B4668" s="4" t="s">
        <v>183</v>
      </c>
      <c r="C4668" s="37" t="s">
        <v>7456</v>
      </c>
      <c r="D4668" s="35">
        <v>8592</v>
      </c>
      <c r="E4668" s="4" t="s">
        <v>7781</v>
      </c>
      <c r="F4668" s="5">
        <v>40544</v>
      </c>
      <c r="G4668" s="5">
        <v>40908</v>
      </c>
      <c r="H4668" s="4" t="s">
        <v>40</v>
      </c>
      <c r="I4668" s="6">
        <v>6000</v>
      </c>
      <c r="J4668" s="6">
        <v>6000</v>
      </c>
      <c r="K4668" s="37" t="s">
        <v>7456</v>
      </c>
      <c r="L4668" s="119"/>
      <c r="M4668" s="3"/>
    </row>
    <row r="4669" spans="1:13" s="4" customFormat="1" ht="63.75" x14ac:dyDescent="0.25">
      <c r="A4669" s="4" t="s">
        <v>7782</v>
      </c>
      <c r="B4669" s="4" t="s">
        <v>183</v>
      </c>
      <c r="C4669" s="37" t="s">
        <v>7456</v>
      </c>
      <c r="D4669" s="35">
        <v>8595</v>
      </c>
      <c r="E4669" s="4" t="s">
        <v>7783</v>
      </c>
      <c r="F4669" s="5">
        <v>40784</v>
      </c>
      <c r="G4669" s="5">
        <v>40908</v>
      </c>
      <c r="H4669" s="4" t="s">
        <v>40</v>
      </c>
      <c r="I4669" s="6">
        <v>13000</v>
      </c>
      <c r="J4669" s="6">
        <v>13000</v>
      </c>
      <c r="K4669" s="37" t="s">
        <v>7456</v>
      </c>
      <c r="L4669" s="119"/>
      <c r="M4669" s="3"/>
    </row>
    <row r="4670" spans="1:13" s="4" customFormat="1" ht="38.25" x14ac:dyDescent="0.25">
      <c r="A4670" s="4" t="s">
        <v>7690</v>
      </c>
      <c r="B4670" s="4" t="s">
        <v>183</v>
      </c>
      <c r="C4670" s="37" t="s">
        <v>7456</v>
      </c>
      <c r="D4670" s="35">
        <v>8596</v>
      </c>
      <c r="E4670" s="4" t="s">
        <v>7784</v>
      </c>
      <c r="F4670" s="5">
        <v>40261</v>
      </c>
      <c r="G4670" s="5">
        <v>40908</v>
      </c>
      <c r="H4670" s="4" t="s">
        <v>40</v>
      </c>
      <c r="I4670" s="6">
        <v>3750</v>
      </c>
      <c r="J4670" s="6">
        <v>3750</v>
      </c>
      <c r="K4670" s="37" t="s">
        <v>7456</v>
      </c>
      <c r="L4670" s="119"/>
      <c r="M4670" s="3"/>
    </row>
    <row r="4671" spans="1:13" s="4" customFormat="1" ht="25.5" x14ac:dyDescent="0.25">
      <c r="A4671" s="4" t="s">
        <v>7787</v>
      </c>
      <c r="B4671" s="4" t="s">
        <v>183</v>
      </c>
      <c r="C4671" s="37" t="s">
        <v>7456</v>
      </c>
      <c r="D4671" s="35">
        <v>8598</v>
      </c>
      <c r="E4671" s="4" t="s">
        <v>7788</v>
      </c>
      <c r="F4671" s="5">
        <v>40822</v>
      </c>
      <c r="G4671" s="5">
        <v>40908</v>
      </c>
      <c r="H4671" s="4" t="s">
        <v>40</v>
      </c>
      <c r="I4671" s="6">
        <v>13616.5</v>
      </c>
      <c r="J4671" s="6">
        <v>9308.25</v>
      </c>
      <c r="K4671" s="37" t="s">
        <v>7456</v>
      </c>
      <c r="L4671" s="119"/>
      <c r="M4671" s="3"/>
    </row>
    <row r="4672" spans="1:13" s="4" customFormat="1" ht="38.25" x14ac:dyDescent="0.25">
      <c r="A4672" s="4" t="s">
        <v>7789</v>
      </c>
      <c r="B4672" s="4" t="s">
        <v>183</v>
      </c>
      <c r="C4672" s="37" t="s">
        <v>7456</v>
      </c>
      <c r="D4672" s="35">
        <v>8599</v>
      </c>
      <c r="E4672" s="4" t="s">
        <v>7790</v>
      </c>
      <c r="F4672" s="5">
        <v>40486</v>
      </c>
      <c r="G4672" s="5">
        <v>40908</v>
      </c>
      <c r="H4672" s="4" t="s">
        <v>40</v>
      </c>
      <c r="I4672" s="6">
        <v>5000</v>
      </c>
      <c r="J4672" s="6">
        <v>5000</v>
      </c>
      <c r="K4672" s="37" t="s">
        <v>7456</v>
      </c>
      <c r="L4672" s="119"/>
      <c r="M4672" s="3"/>
    </row>
    <row r="4673" spans="1:13" s="4" customFormat="1" ht="25.5" x14ac:dyDescent="0.25">
      <c r="A4673" s="4" t="s">
        <v>7791</v>
      </c>
      <c r="B4673" s="4" t="s">
        <v>190</v>
      </c>
      <c r="C4673" s="37" t="s">
        <v>7456</v>
      </c>
      <c r="D4673" s="35">
        <v>8600</v>
      </c>
      <c r="E4673" s="4" t="s">
        <v>7792</v>
      </c>
      <c r="F4673" s="5">
        <v>40745</v>
      </c>
      <c r="G4673" s="5">
        <v>40908</v>
      </c>
      <c r="H4673" s="4" t="s">
        <v>40</v>
      </c>
      <c r="I4673" s="6">
        <v>6000</v>
      </c>
      <c r="J4673" s="6">
        <v>6000</v>
      </c>
      <c r="K4673" s="37" t="s">
        <v>7456</v>
      </c>
      <c r="L4673" s="119"/>
      <c r="M4673" s="3"/>
    </row>
    <row r="4674" spans="1:13" s="4" customFormat="1" ht="25.5" x14ac:dyDescent="0.25">
      <c r="A4674" s="4" t="s">
        <v>7793</v>
      </c>
      <c r="B4674" s="4" t="s">
        <v>183</v>
      </c>
      <c r="C4674" s="37" t="s">
        <v>7456</v>
      </c>
      <c r="D4674" s="35">
        <v>8601</v>
      </c>
      <c r="E4674" s="4" t="s">
        <v>7794</v>
      </c>
      <c r="F4674" s="5">
        <v>40570</v>
      </c>
      <c r="G4674" s="5">
        <v>40908</v>
      </c>
      <c r="H4674" s="4" t="s">
        <v>40</v>
      </c>
      <c r="I4674" s="6">
        <v>8000</v>
      </c>
      <c r="J4674" s="6">
        <v>8000</v>
      </c>
      <c r="K4674" s="37" t="s">
        <v>7456</v>
      </c>
      <c r="L4674" s="119"/>
      <c r="M4674" s="3"/>
    </row>
    <row r="4675" spans="1:13" s="4" customFormat="1" ht="25.5" x14ac:dyDescent="0.25">
      <c r="A4675" s="4" t="s">
        <v>7795</v>
      </c>
      <c r="B4675" s="4" t="s">
        <v>38</v>
      </c>
      <c r="C4675" s="37" t="s">
        <v>7456</v>
      </c>
      <c r="D4675" s="35">
        <v>8602</v>
      </c>
      <c r="E4675" s="4" t="s">
        <v>7733</v>
      </c>
      <c r="F4675" s="5">
        <v>40572</v>
      </c>
      <c r="G4675" s="5">
        <v>40908</v>
      </c>
      <c r="H4675" s="4" t="s">
        <v>40</v>
      </c>
      <c r="I4675" s="6">
        <v>52991.83</v>
      </c>
      <c r="J4675" s="6">
        <v>52991.83</v>
      </c>
      <c r="K4675" s="37" t="s">
        <v>7456</v>
      </c>
      <c r="L4675" s="119"/>
      <c r="M4675" s="3"/>
    </row>
    <row r="4676" spans="1:13" s="4" customFormat="1" ht="25.5" x14ac:dyDescent="0.25">
      <c r="A4676" s="4" t="s">
        <v>7796</v>
      </c>
      <c r="B4676" s="4" t="s">
        <v>38</v>
      </c>
      <c r="C4676" s="37" t="s">
        <v>7456</v>
      </c>
      <c r="D4676" s="35">
        <v>8603</v>
      </c>
      <c r="E4676" s="4" t="s">
        <v>7644</v>
      </c>
      <c r="F4676" s="5">
        <v>40572</v>
      </c>
      <c r="G4676" s="5">
        <v>40896</v>
      </c>
      <c r="H4676" s="4" t="s">
        <v>40</v>
      </c>
      <c r="I4676" s="6">
        <v>39791.07</v>
      </c>
      <c r="J4676" s="6">
        <v>39791.07</v>
      </c>
      <c r="K4676" s="37" t="s">
        <v>7456</v>
      </c>
      <c r="L4676" s="119"/>
      <c r="M4676" s="3"/>
    </row>
    <row r="4677" spans="1:13" s="4" customFormat="1" ht="25.5" x14ac:dyDescent="0.25">
      <c r="A4677" s="4" t="s">
        <v>7797</v>
      </c>
      <c r="B4677" s="4" t="s">
        <v>38</v>
      </c>
      <c r="C4677" s="37" t="s">
        <v>7456</v>
      </c>
      <c r="D4677" s="35">
        <v>8604</v>
      </c>
      <c r="E4677" s="4" t="s">
        <v>7648</v>
      </c>
      <c r="F4677" s="5">
        <v>40572</v>
      </c>
      <c r="G4677" s="5">
        <v>40908</v>
      </c>
      <c r="H4677" s="4" t="s">
        <v>40</v>
      </c>
      <c r="I4677" s="6">
        <v>720</v>
      </c>
      <c r="J4677" s="6">
        <v>720</v>
      </c>
      <c r="K4677" s="37" t="s">
        <v>7456</v>
      </c>
      <c r="L4677" s="119"/>
      <c r="M4677" s="3"/>
    </row>
    <row r="4678" spans="1:13" s="4" customFormat="1" ht="25.5" x14ac:dyDescent="0.25">
      <c r="A4678" s="4" t="s">
        <v>7798</v>
      </c>
      <c r="B4678" s="4" t="s">
        <v>38</v>
      </c>
      <c r="C4678" s="37" t="s">
        <v>7456</v>
      </c>
      <c r="D4678" s="35">
        <v>8605</v>
      </c>
      <c r="E4678" s="4" t="s">
        <v>7799</v>
      </c>
      <c r="F4678" s="5">
        <v>40605</v>
      </c>
      <c r="G4678" s="5">
        <v>40893</v>
      </c>
      <c r="H4678" s="4" t="s">
        <v>40</v>
      </c>
      <c r="I4678" s="6">
        <v>7658.79</v>
      </c>
      <c r="J4678" s="6">
        <v>7658.79</v>
      </c>
      <c r="K4678" s="37" t="s">
        <v>7456</v>
      </c>
      <c r="L4678" s="119"/>
      <c r="M4678" s="3"/>
    </row>
    <row r="4679" spans="1:13" s="4" customFormat="1" ht="25.5" x14ac:dyDescent="0.25">
      <c r="A4679" s="4" t="s">
        <v>7800</v>
      </c>
      <c r="B4679" s="4" t="s">
        <v>38</v>
      </c>
      <c r="C4679" s="37" t="s">
        <v>7456</v>
      </c>
      <c r="D4679" s="35">
        <v>8606</v>
      </c>
      <c r="E4679" s="4" t="s">
        <v>7801</v>
      </c>
      <c r="F4679" s="5">
        <v>40695</v>
      </c>
      <c r="G4679" s="5">
        <v>40705</v>
      </c>
      <c r="H4679" s="4" t="s">
        <v>40</v>
      </c>
      <c r="I4679" s="6">
        <v>5445.63</v>
      </c>
      <c r="J4679" s="6">
        <v>5445.63</v>
      </c>
      <c r="K4679" s="37" t="s">
        <v>7456</v>
      </c>
      <c r="L4679" s="119"/>
      <c r="M4679" s="3"/>
    </row>
    <row r="4680" spans="1:13" s="4" customFormat="1" ht="38.25" x14ac:dyDescent="0.25">
      <c r="A4680" s="4" t="s">
        <v>7802</v>
      </c>
      <c r="B4680" s="4" t="s">
        <v>38</v>
      </c>
      <c r="C4680" s="37" t="s">
        <v>7456</v>
      </c>
      <c r="D4680" s="35">
        <v>8607</v>
      </c>
      <c r="E4680" s="4" t="s">
        <v>7803</v>
      </c>
      <c r="F4680" s="5">
        <v>40817</v>
      </c>
      <c r="G4680" s="5">
        <v>40849</v>
      </c>
      <c r="H4680" s="4" t="s">
        <v>40</v>
      </c>
      <c r="I4680" s="6">
        <v>5673.39</v>
      </c>
      <c r="J4680" s="6">
        <v>5673.39</v>
      </c>
      <c r="K4680" s="37" t="s">
        <v>7456</v>
      </c>
      <c r="L4680" s="119"/>
      <c r="M4680" s="3"/>
    </row>
    <row r="4681" spans="1:13" s="4" customFormat="1" ht="38.25" x14ac:dyDescent="0.25">
      <c r="A4681" s="4" t="s">
        <v>7804</v>
      </c>
      <c r="B4681" s="4" t="s">
        <v>38</v>
      </c>
      <c r="C4681" s="37" t="s">
        <v>7456</v>
      </c>
      <c r="D4681" s="35">
        <v>8608</v>
      </c>
      <c r="E4681" s="4" t="s">
        <v>7805</v>
      </c>
      <c r="F4681" s="5">
        <v>40575</v>
      </c>
      <c r="G4681" s="5">
        <v>40830</v>
      </c>
      <c r="H4681" s="4" t="s">
        <v>40</v>
      </c>
      <c r="I4681" s="6">
        <v>5400</v>
      </c>
      <c r="J4681" s="6">
        <v>5400</v>
      </c>
      <c r="K4681" s="37" t="s">
        <v>7456</v>
      </c>
      <c r="L4681" s="119"/>
      <c r="M4681" s="3"/>
    </row>
    <row r="4682" spans="1:13" s="4" customFormat="1" ht="25.5" x14ac:dyDescent="0.25">
      <c r="A4682" s="4" t="s">
        <v>7806</v>
      </c>
      <c r="B4682" s="4" t="s">
        <v>38</v>
      </c>
      <c r="C4682" s="37" t="s">
        <v>7456</v>
      </c>
      <c r="D4682" s="35">
        <v>8609</v>
      </c>
      <c r="E4682" s="4" t="s">
        <v>7807</v>
      </c>
      <c r="F4682" s="5">
        <v>40595</v>
      </c>
      <c r="G4682" s="5">
        <v>40596</v>
      </c>
      <c r="H4682" s="4" t="s">
        <v>40</v>
      </c>
      <c r="I4682" s="6">
        <v>350</v>
      </c>
      <c r="J4682" s="6">
        <v>350</v>
      </c>
      <c r="K4682" s="37" t="s">
        <v>7456</v>
      </c>
      <c r="L4682" s="119"/>
      <c r="M4682" s="3"/>
    </row>
    <row r="4683" spans="1:13" s="4" customFormat="1" ht="25.5" x14ac:dyDescent="0.25">
      <c r="A4683" s="4" t="s">
        <v>7808</v>
      </c>
      <c r="B4683" s="4" t="s">
        <v>38</v>
      </c>
      <c r="C4683" s="37" t="s">
        <v>7456</v>
      </c>
      <c r="D4683" s="35">
        <v>8647</v>
      </c>
      <c r="E4683" s="4" t="s">
        <v>7809</v>
      </c>
      <c r="F4683" s="5">
        <v>40787</v>
      </c>
      <c r="G4683" s="5">
        <v>40908</v>
      </c>
      <c r="H4683" s="4" t="s">
        <v>40</v>
      </c>
      <c r="I4683" s="6">
        <v>7840.8</v>
      </c>
      <c r="J4683" s="6">
        <v>7840.8</v>
      </c>
      <c r="K4683" s="37" t="s">
        <v>7456</v>
      </c>
      <c r="L4683" s="119"/>
      <c r="M4683" s="3"/>
    </row>
    <row r="4684" spans="1:13" s="4" customFormat="1" ht="25.5" x14ac:dyDescent="0.25">
      <c r="A4684" s="4" t="s">
        <v>7810</v>
      </c>
      <c r="B4684" s="4" t="s">
        <v>38</v>
      </c>
      <c r="C4684" s="37" t="s">
        <v>7456</v>
      </c>
      <c r="D4684" s="35">
        <v>8648</v>
      </c>
      <c r="E4684" s="4" t="s">
        <v>7811</v>
      </c>
      <c r="F4684" s="5">
        <v>40638</v>
      </c>
      <c r="G4684" s="5">
        <v>40663</v>
      </c>
      <c r="H4684" s="4" t="s">
        <v>40</v>
      </c>
      <c r="I4684" s="6">
        <v>366.7</v>
      </c>
      <c r="J4684" s="6">
        <v>366.7</v>
      </c>
      <c r="K4684" s="37" t="s">
        <v>7456</v>
      </c>
      <c r="L4684" s="119"/>
      <c r="M4684" s="3"/>
    </row>
    <row r="4685" spans="1:13" s="4" customFormat="1" ht="38.25" x14ac:dyDescent="0.25">
      <c r="A4685" s="4" t="s">
        <v>7812</v>
      </c>
      <c r="B4685" s="4" t="s">
        <v>38</v>
      </c>
      <c r="C4685" s="37" t="s">
        <v>7456</v>
      </c>
      <c r="D4685" s="35">
        <v>8649</v>
      </c>
      <c r="E4685" s="4" t="s">
        <v>7813</v>
      </c>
      <c r="F4685" s="5">
        <v>40573</v>
      </c>
      <c r="G4685" s="5">
        <v>40690</v>
      </c>
      <c r="H4685" s="4" t="s">
        <v>40</v>
      </c>
      <c r="I4685" s="6">
        <v>1300</v>
      </c>
      <c r="J4685" s="6">
        <v>1300</v>
      </c>
      <c r="K4685" s="37" t="s">
        <v>7456</v>
      </c>
      <c r="L4685" s="119"/>
      <c r="M4685" s="3"/>
    </row>
    <row r="4686" spans="1:13" s="4" customFormat="1" ht="25.5" x14ac:dyDescent="0.25">
      <c r="A4686" s="4" t="s">
        <v>7744</v>
      </c>
      <c r="B4686" s="4" t="s">
        <v>38</v>
      </c>
      <c r="C4686" s="37" t="s">
        <v>7456</v>
      </c>
      <c r="D4686" s="35">
        <v>8650</v>
      </c>
      <c r="E4686" s="4" t="s">
        <v>7814</v>
      </c>
      <c r="F4686" s="5">
        <v>40787</v>
      </c>
      <c r="G4686" s="5">
        <v>40847</v>
      </c>
      <c r="H4686" s="4" t="s">
        <v>40</v>
      </c>
      <c r="I4686" s="6">
        <v>9150</v>
      </c>
      <c r="J4686" s="6">
        <v>9150</v>
      </c>
      <c r="K4686" s="37" t="s">
        <v>7456</v>
      </c>
      <c r="L4686" s="119"/>
      <c r="M4686" s="3"/>
    </row>
    <row r="4687" spans="1:13" s="4" customFormat="1" ht="25.5" x14ac:dyDescent="0.25">
      <c r="A4687" s="4" t="s">
        <v>7815</v>
      </c>
      <c r="B4687" s="4" t="s">
        <v>38</v>
      </c>
      <c r="C4687" s="37" t="s">
        <v>7456</v>
      </c>
      <c r="D4687" s="35">
        <v>8651</v>
      </c>
      <c r="E4687" s="4" t="s">
        <v>7816</v>
      </c>
      <c r="F4687" s="5">
        <v>40568</v>
      </c>
      <c r="G4687" s="5">
        <v>40576</v>
      </c>
      <c r="H4687" s="4" t="s">
        <v>40</v>
      </c>
      <c r="I4687" s="6">
        <v>2637.4</v>
      </c>
      <c r="J4687" s="6">
        <v>2637.4</v>
      </c>
      <c r="K4687" s="37" t="s">
        <v>7456</v>
      </c>
      <c r="L4687" s="119"/>
      <c r="M4687" s="3"/>
    </row>
    <row r="4688" spans="1:13" s="4" customFormat="1" ht="25.5" x14ac:dyDescent="0.25">
      <c r="A4688" s="4" t="s">
        <v>7817</v>
      </c>
      <c r="B4688" s="4" t="s">
        <v>38</v>
      </c>
      <c r="C4688" s="37" t="s">
        <v>7456</v>
      </c>
      <c r="D4688" s="35">
        <v>8653</v>
      </c>
      <c r="E4688" s="4" t="s">
        <v>7818</v>
      </c>
      <c r="F4688" s="5">
        <v>40568</v>
      </c>
      <c r="G4688" s="5">
        <v>40890</v>
      </c>
      <c r="H4688" s="4" t="s">
        <v>40</v>
      </c>
      <c r="I4688" s="6">
        <v>19504.55</v>
      </c>
      <c r="J4688" s="6">
        <v>19504.55</v>
      </c>
      <c r="K4688" s="37" t="s">
        <v>7456</v>
      </c>
      <c r="L4688" s="119"/>
      <c r="M4688" s="3"/>
    </row>
    <row r="4689" spans="1:13" s="4" customFormat="1" ht="38.25" x14ac:dyDescent="0.25">
      <c r="A4689" s="4" t="s">
        <v>7819</v>
      </c>
      <c r="B4689" s="4" t="s">
        <v>13</v>
      </c>
      <c r="C4689" s="37" t="s">
        <v>7456</v>
      </c>
      <c r="D4689" s="35">
        <v>8654</v>
      </c>
      <c r="E4689" s="4" t="s">
        <v>7751</v>
      </c>
      <c r="F4689" s="5">
        <v>40605</v>
      </c>
      <c r="G4689" s="5">
        <v>40896</v>
      </c>
      <c r="H4689" s="4" t="s">
        <v>40</v>
      </c>
      <c r="I4689" s="6">
        <v>13626.14</v>
      </c>
      <c r="J4689" s="6">
        <v>13626.14</v>
      </c>
      <c r="K4689" s="37" t="s">
        <v>7456</v>
      </c>
      <c r="L4689" s="119"/>
      <c r="M4689" s="3"/>
    </row>
    <row r="4690" spans="1:13" s="4" customFormat="1" ht="25.5" x14ac:dyDescent="0.25">
      <c r="A4690" s="4" t="s">
        <v>7820</v>
      </c>
      <c r="B4690" s="4" t="s">
        <v>38</v>
      </c>
      <c r="C4690" s="37" t="s">
        <v>7456</v>
      </c>
      <c r="D4690" s="35">
        <v>8656</v>
      </c>
      <c r="E4690" s="4" t="s">
        <v>7821</v>
      </c>
      <c r="F4690" s="5">
        <v>40796</v>
      </c>
      <c r="G4690" s="5">
        <v>40858</v>
      </c>
      <c r="H4690" s="4" t="s">
        <v>40</v>
      </c>
      <c r="I4690" s="6">
        <v>484</v>
      </c>
      <c r="J4690" s="6">
        <v>484</v>
      </c>
      <c r="K4690" s="37" t="s">
        <v>7456</v>
      </c>
      <c r="L4690" s="119"/>
      <c r="M4690" s="3"/>
    </row>
    <row r="4691" spans="1:13" s="4" customFormat="1" ht="89.25" x14ac:dyDescent="0.25">
      <c r="A4691" s="4" t="s">
        <v>7822</v>
      </c>
      <c r="B4691" s="4" t="s">
        <v>38</v>
      </c>
      <c r="C4691" s="37" t="s">
        <v>7456</v>
      </c>
      <c r="D4691" s="35">
        <v>8659</v>
      </c>
      <c r="E4691" s="7" t="s">
        <v>7677</v>
      </c>
      <c r="F4691" s="5">
        <v>40568</v>
      </c>
      <c r="G4691" s="5">
        <v>40574</v>
      </c>
      <c r="H4691" s="4" t="s">
        <v>40</v>
      </c>
      <c r="I4691" s="6">
        <v>98546</v>
      </c>
      <c r="J4691" s="6">
        <v>98546</v>
      </c>
      <c r="K4691" s="37" t="s">
        <v>7456</v>
      </c>
      <c r="L4691" s="119"/>
      <c r="M4691" s="3"/>
    </row>
    <row r="4692" spans="1:13" s="4" customFormat="1" ht="38.25" x14ac:dyDescent="0.25">
      <c r="A4692" s="4" t="s">
        <v>7823</v>
      </c>
      <c r="B4692" s="4" t="s">
        <v>38</v>
      </c>
      <c r="C4692" s="37" t="s">
        <v>7456</v>
      </c>
      <c r="D4692" s="35">
        <v>8660</v>
      </c>
      <c r="E4692" s="4" t="s">
        <v>7824</v>
      </c>
      <c r="F4692" s="5">
        <v>40568</v>
      </c>
      <c r="G4692" s="5">
        <v>40602</v>
      </c>
      <c r="H4692" s="4" t="s">
        <v>40</v>
      </c>
      <c r="I4692" s="6">
        <v>443.03</v>
      </c>
      <c r="J4692" s="6">
        <v>443.03</v>
      </c>
      <c r="K4692" s="37" t="s">
        <v>7456</v>
      </c>
      <c r="L4692" s="119"/>
      <c r="M4692" s="3"/>
    </row>
    <row r="4693" spans="1:13" s="4" customFormat="1" ht="25.5" x14ac:dyDescent="0.25">
      <c r="A4693" s="4" t="s">
        <v>7825</v>
      </c>
      <c r="B4693" s="4" t="s">
        <v>183</v>
      </c>
      <c r="C4693" s="37" t="s">
        <v>7456</v>
      </c>
      <c r="D4693" s="35">
        <v>8712</v>
      </c>
      <c r="E4693" s="4" t="s">
        <v>7826</v>
      </c>
      <c r="F4693" s="5">
        <v>40688</v>
      </c>
      <c r="G4693" s="5">
        <v>40908</v>
      </c>
      <c r="H4693" s="4" t="s">
        <v>40</v>
      </c>
      <c r="I4693" s="6">
        <v>4000</v>
      </c>
      <c r="J4693" s="6">
        <v>4000</v>
      </c>
      <c r="K4693" s="37" t="s">
        <v>7456</v>
      </c>
      <c r="L4693" s="119"/>
      <c r="M4693" s="3"/>
    </row>
    <row r="4694" spans="1:13" s="4" customFormat="1" ht="51" x14ac:dyDescent="0.25">
      <c r="A4694" s="4" t="s">
        <v>7827</v>
      </c>
      <c r="B4694" s="4" t="s">
        <v>183</v>
      </c>
      <c r="C4694" s="37" t="s">
        <v>7456</v>
      </c>
      <c r="D4694" s="35">
        <v>10456</v>
      </c>
      <c r="E4694" s="4" t="s">
        <v>7828</v>
      </c>
      <c r="F4694" s="5">
        <v>40912</v>
      </c>
      <c r="G4694" s="5">
        <v>41274</v>
      </c>
      <c r="H4694" s="4" t="s">
        <v>40</v>
      </c>
      <c r="I4694" s="6">
        <v>14601.74</v>
      </c>
      <c r="J4694" s="6">
        <v>11300.87</v>
      </c>
      <c r="K4694" s="37" t="s">
        <v>7456</v>
      </c>
      <c r="L4694" s="119"/>
      <c r="M4694" s="3"/>
    </row>
    <row r="4695" spans="1:13" s="4" customFormat="1" ht="25.5" x14ac:dyDescent="0.25">
      <c r="A4695" s="4" t="s">
        <v>7829</v>
      </c>
      <c r="B4695" s="4" t="s">
        <v>183</v>
      </c>
      <c r="C4695" s="37" t="s">
        <v>7456</v>
      </c>
      <c r="D4695" s="35">
        <v>10457</v>
      </c>
      <c r="E4695" s="4" t="s">
        <v>7830</v>
      </c>
      <c r="F4695" s="5">
        <v>40912</v>
      </c>
      <c r="G4695" s="5">
        <v>41274</v>
      </c>
      <c r="H4695" s="4" t="s">
        <v>40</v>
      </c>
      <c r="I4695" s="6">
        <v>6000</v>
      </c>
      <c r="J4695" s="6">
        <v>6000</v>
      </c>
      <c r="K4695" s="37" t="s">
        <v>7456</v>
      </c>
      <c r="L4695" s="119"/>
      <c r="M4695" s="3"/>
    </row>
    <row r="4696" spans="1:13" s="4" customFormat="1" ht="51" x14ac:dyDescent="0.25">
      <c r="A4696" s="4" t="s">
        <v>7831</v>
      </c>
      <c r="B4696" s="4" t="s">
        <v>183</v>
      </c>
      <c r="C4696" s="37" t="s">
        <v>7456</v>
      </c>
      <c r="D4696" s="35">
        <v>10458</v>
      </c>
      <c r="E4696" s="4" t="s">
        <v>7832</v>
      </c>
      <c r="F4696" s="5">
        <v>40942</v>
      </c>
      <c r="G4696" s="5">
        <v>41274</v>
      </c>
      <c r="H4696" s="4" t="s">
        <v>40</v>
      </c>
      <c r="I4696" s="6">
        <v>31250</v>
      </c>
      <c r="J4696" s="6">
        <v>21250</v>
      </c>
      <c r="K4696" s="37" t="s">
        <v>7456</v>
      </c>
      <c r="L4696" s="119"/>
      <c r="M4696" s="3"/>
    </row>
    <row r="4697" spans="1:13" s="4" customFormat="1" ht="51" x14ac:dyDescent="0.25">
      <c r="A4697" s="4" t="s">
        <v>7833</v>
      </c>
      <c r="B4697" s="4" t="s">
        <v>183</v>
      </c>
      <c r="C4697" s="37" t="s">
        <v>7456</v>
      </c>
      <c r="D4697" s="35">
        <v>10459</v>
      </c>
      <c r="E4697" s="4" t="s">
        <v>7834</v>
      </c>
      <c r="F4697" s="5">
        <v>40942</v>
      </c>
      <c r="G4697" s="5">
        <v>41274</v>
      </c>
      <c r="H4697" s="4" t="s">
        <v>40</v>
      </c>
      <c r="I4697" s="6">
        <v>6000</v>
      </c>
      <c r="J4697" s="6">
        <v>6000</v>
      </c>
      <c r="K4697" s="37" t="s">
        <v>7456</v>
      </c>
      <c r="L4697" s="119"/>
      <c r="M4697" s="3"/>
    </row>
    <row r="4698" spans="1:13" s="4" customFormat="1" ht="25.5" x14ac:dyDescent="0.25">
      <c r="A4698" s="4" t="s">
        <v>7835</v>
      </c>
      <c r="B4698" s="4" t="s">
        <v>183</v>
      </c>
      <c r="C4698" s="37" t="s">
        <v>7456</v>
      </c>
      <c r="D4698" s="35">
        <v>10460</v>
      </c>
      <c r="E4698" s="4" t="s">
        <v>7836</v>
      </c>
      <c r="F4698" s="5">
        <v>40946</v>
      </c>
      <c r="G4698" s="5">
        <v>41274</v>
      </c>
      <c r="H4698" s="4" t="s">
        <v>40</v>
      </c>
      <c r="I4698" s="6">
        <v>16000</v>
      </c>
      <c r="J4698" s="6">
        <v>16000</v>
      </c>
      <c r="K4698" s="37" t="s">
        <v>7456</v>
      </c>
      <c r="L4698" s="119"/>
      <c r="M4698" s="3"/>
    </row>
    <row r="4699" spans="1:13" s="4" customFormat="1" ht="25.5" x14ac:dyDescent="0.25">
      <c r="A4699" s="4" t="s">
        <v>7837</v>
      </c>
      <c r="B4699" s="4" t="s">
        <v>183</v>
      </c>
      <c r="C4699" s="37" t="s">
        <v>7456</v>
      </c>
      <c r="D4699" s="35">
        <v>10461</v>
      </c>
      <c r="E4699" s="4" t="s">
        <v>7838</v>
      </c>
      <c r="F4699" s="5">
        <v>40946</v>
      </c>
      <c r="G4699" s="5">
        <v>41274</v>
      </c>
      <c r="H4699" s="4" t="s">
        <v>40</v>
      </c>
      <c r="I4699" s="6">
        <v>5000</v>
      </c>
      <c r="J4699" s="6">
        <v>5000</v>
      </c>
      <c r="K4699" s="37" t="s">
        <v>7456</v>
      </c>
      <c r="L4699" s="119"/>
      <c r="M4699" s="3"/>
    </row>
    <row r="4700" spans="1:13" s="4" customFormat="1" ht="25.5" x14ac:dyDescent="0.25">
      <c r="A4700" s="4" t="s">
        <v>7839</v>
      </c>
      <c r="B4700" s="4" t="s">
        <v>183</v>
      </c>
      <c r="C4700" s="37" t="s">
        <v>7456</v>
      </c>
      <c r="D4700" s="35">
        <v>10462</v>
      </c>
      <c r="E4700" s="4" t="s">
        <v>7840</v>
      </c>
      <c r="F4700" s="5">
        <v>40961</v>
      </c>
      <c r="G4700" s="5">
        <v>41274</v>
      </c>
      <c r="H4700" s="4" t="s">
        <v>40</v>
      </c>
      <c r="I4700" s="6">
        <v>16000</v>
      </c>
      <c r="J4700" s="6">
        <v>16000</v>
      </c>
      <c r="K4700" s="37" t="s">
        <v>7456</v>
      </c>
      <c r="L4700" s="119"/>
      <c r="M4700" s="3"/>
    </row>
    <row r="4701" spans="1:13" s="4" customFormat="1" ht="25.5" x14ac:dyDescent="0.25">
      <c r="A4701" s="4" t="s">
        <v>7841</v>
      </c>
      <c r="B4701" s="4" t="s">
        <v>183</v>
      </c>
      <c r="C4701" s="37" t="s">
        <v>7456</v>
      </c>
      <c r="D4701" s="35">
        <v>10463</v>
      </c>
      <c r="E4701" s="4" t="s">
        <v>7842</v>
      </c>
      <c r="F4701" s="5">
        <v>40982</v>
      </c>
      <c r="G4701" s="5">
        <v>41274</v>
      </c>
      <c r="H4701" s="4" t="s">
        <v>40</v>
      </c>
      <c r="I4701" s="6">
        <v>8000</v>
      </c>
      <c r="J4701" s="6">
        <v>8000</v>
      </c>
      <c r="K4701" s="37" t="s">
        <v>7456</v>
      </c>
      <c r="L4701" s="119"/>
      <c r="M4701" s="3"/>
    </row>
    <row r="4702" spans="1:13" s="4" customFormat="1" x14ac:dyDescent="0.25">
      <c r="A4702" s="4" t="s">
        <v>7843</v>
      </c>
      <c r="B4702" s="4" t="s">
        <v>183</v>
      </c>
      <c r="C4702" s="37" t="s">
        <v>7456</v>
      </c>
      <c r="D4702" s="35">
        <v>10464</v>
      </c>
      <c r="E4702" s="4" t="s">
        <v>7844</v>
      </c>
      <c r="F4702" s="5">
        <v>40962</v>
      </c>
      <c r="G4702" s="5">
        <v>41274</v>
      </c>
      <c r="H4702" s="4" t="s">
        <v>40</v>
      </c>
      <c r="I4702" s="6">
        <v>15306</v>
      </c>
      <c r="J4702" s="6">
        <v>8253</v>
      </c>
      <c r="K4702" s="37" t="s">
        <v>7456</v>
      </c>
      <c r="L4702" s="119"/>
      <c r="M4702" s="3"/>
    </row>
    <row r="4703" spans="1:13" s="4" customFormat="1" ht="63.75" x14ac:dyDescent="0.25">
      <c r="A4703" s="4" t="s">
        <v>7847</v>
      </c>
      <c r="B4703" s="4" t="s">
        <v>90</v>
      </c>
      <c r="C4703" s="37" t="s">
        <v>7456</v>
      </c>
      <c r="D4703" s="35">
        <v>10466</v>
      </c>
      <c r="E4703" s="4" t="s">
        <v>7848</v>
      </c>
      <c r="F4703" s="5">
        <v>40911</v>
      </c>
      <c r="G4703" s="5">
        <v>41274</v>
      </c>
      <c r="H4703" s="4" t="s">
        <v>40</v>
      </c>
      <c r="I4703" s="6">
        <v>4800</v>
      </c>
      <c r="J4703" s="6">
        <v>2400</v>
      </c>
      <c r="K4703" s="37" t="s">
        <v>7456</v>
      </c>
      <c r="L4703" s="119"/>
      <c r="M4703" s="3"/>
    </row>
    <row r="4704" spans="1:13" s="4" customFormat="1" ht="63.75" x14ac:dyDescent="0.25">
      <c r="A4704" s="4" t="s">
        <v>7851</v>
      </c>
      <c r="B4704" s="4" t="s">
        <v>90</v>
      </c>
      <c r="C4704" s="37" t="s">
        <v>7456</v>
      </c>
      <c r="D4704" s="35">
        <v>10468</v>
      </c>
      <c r="E4704" s="4" t="s">
        <v>7852</v>
      </c>
      <c r="F4704" s="5">
        <v>40911</v>
      </c>
      <c r="G4704" s="5">
        <v>41274</v>
      </c>
      <c r="H4704" s="4" t="s">
        <v>40</v>
      </c>
      <c r="I4704" s="6">
        <v>20000</v>
      </c>
      <c r="J4704" s="6">
        <v>10000</v>
      </c>
      <c r="K4704" s="37" t="s">
        <v>7456</v>
      </c>
      <c r="L4704" s="119"/>
      <c r="M4704" s="3"/>
    </row>
    <row r="4705" spans="1:13" s="4" customFormat="1" ht="25.5" x14ac:dyDescent="0.25">
      <c r="A4705" s="4" t="s">
        <v>7853</v>
      </c>
      <c r="B4705" s="4" t="s">
        <v>183</v>
      </c>
      <c r="C4705" s="37" t="s">
        <v>7456</v>
      </c>
      <c r="D4705" s="35">
        <v>10469</v>
      </c>
      <c r="E4705" s="4" t="s">
        <v>7854</v>
      </c>
      <c r="F4705" s="5">
        <v>41003</v>
      </c>
      <c r="G4705" s="5">
        <v>41274</v>
      </c>
      <c r="H4705" s="4" t="s">
        <v>40</v>
      </c>
      <c r="I4705" s="6">
        <v>12000</v>
      </c>
      <c r="J4705" s="6">
        <v>12000</v>
      </c>
      <c r="K4705" s="37" t="s">
        <v>7456</v>
      </c>
      <c r="L4705" s="119"/>
      <c r="M4705" s="3"/>
    </row>
    <row r="4706" spans="1:13" s="4" customFormat="1" ht="51" x14ac:dyDescent="0.25">
      <c r="A4706" s="4" t="s">
        <v>7857</v>
      </c>
      <c r="B4706" s="4" t="s">
        <v>183</v>
      </c>
      <c r="C4706" s="37" t="s">
        <v>7456</v>
      </c>
      <c r="D4706" s="35">
        <v>10471</v>
      </c>
      <c r="E4706" s="4" t="s">
        <v>7858</v>
      </c>
      <c r="F4706" s="5">
        <v>41016</v>
      </c>
      <c r="G4706" s="5">
        <v>41274</v>
      </c>
      <c r="H4706" s="4" t="s">
        <v>40</v>
      </c>
      <c r="I4706" s="6">
        <v>8000</v>
      </c>
      <c r="J4706" s="6">
        <v>8000</v>
      </c>
      <c r="K4706" s="37" t="s">
        <v>7456</v>
      </c>
      <c r="L4706" s="119"/>
      <c r="M4706" s="3"/>
    </row>
    <row r="4707" spans="1:13" s="4" customFormat="1" ht="25.5" x14ac:dyDescent="0.25">
      <c r="A4707" s="4" t="s">
        <v>7859</v>
      </c>
      <c r="B4707" s="4" t="s">
        <v>183</v>
      </c>
      <c r="C4707" s="37" t="s">
        <v>7456</v>
      </c>
      <c r="D4707" s="35">
        <v>10472</v>
      </c>
      <c r="E4707" s="4" t="s">
        <v>7860</v>
      </c>
      <c r="F4707" s="5">
        <v>41051</v>
      </c>
      <c r="G4707" s="5">
        <v>41274</v>
      </c>
      <c r="H4707" s="4" t="s">
        <v>40</v>
      </c>
      <c r="I4707" s="6">
        <v>8000</v>
      </c>
      <c r="J4707" s="6">
        <v>8000</v>
      </c>
      <c r="K4707" s="37" t="s">
        <v>7456</v>
      </c>
      <c r="L4707" s="119"/>
      <c r="M4707" s="3"/>
    </row>
    <row r="4708" spans="1:13" s="4" customFormat="1" ht="76.5" x14ac:dyDescent="0.25">
      <c r="A4708" s="4" t="s">
        <v>7861</v>
      </c>
      <c r="B4708" s="4" t="s">
        <v>190</v>
      </c>
      <c r="C4708" s="37" t="s">
        <v>7456</v>
      </c>
      <c r="D4708" s="35">
        <v>10473</v>
      </c>
      <c r="E4708" s="4" t="s">
        <v>7862</v>
      </c>
      <c r="F4708" s="5">
        <v>41051</v>
      </c>
      <c r="G4708" s="5">
        <v>41274</v>
      </c>
      <c r="H4708" s="4" t="s">
        <v>40</v>
      </c>
      <c r="I4708" s="6">
        <v>6000</v>
      </c>
      <c r="J4708" s="6">
        <v>6000</v>
      </c>
      <c r="K4708" s="37" t="s">
        <v>7456</v>
      </c>
      <c r="L4708" s="119"/>
      <c r="M4708" s="3"/>
    </row>
    <row r="4709" spans="1:13" s="4" customFormat="1" ht="38.25" x14ac:dyDescent="0.25">
      <c r="A4709" s="4" t="s">
        <v>7863</v>
      </c>
      <c r="B4709" s="4" t="s">
        <v>183</v>
      </c>
      <c r="C4709" s="37" t="s">
        <v>7456</v>
      </c>
      <c r="D4709" s="35">
        <v>10474</v>
      </c>
      <c r="E4709" s="4" t="s">
        <v>7864</v>
      </c>
      <c r="F4709" s="5">
        <v>41051</v>
      </c>
      <c r="G4709" s="5">
        <v>41274</v>
      </c>
      <c r="H4709" s="4" t="s">
        <v>40</v>
      </c>
      <c r="I4709" s="6">
        <v>33750</v>
      </c>
      <c r="J4709" s="6">
        <v>33750</v>
      </c>
      <c r="K4709" s="37" t="s">
        <v>7456</v>
      </c>
      <c r="L4709" s="119"/>
      <c r="M4709" s="3"/>
    </row>
    <row r="4710" spans="1:13" s="4" customFormat="1" ht="63.75" x14ac:dyDescent="0.25">
      <c r="A4710" s="4" t="s">
        <v>7865</v>
      </c>
      <c r="B4710" s="4" t="s">
        <v>183</v>
      </c>
      <c r="C4710" s="37" t="s">
        <v>7456</v>
      </c>
      <c r="D4710" s="35">
        <v>10476</v>
      </c>
      <c r="E4710" s="4" t="s">
        <v>7848</v>
      </c>
      <c r="F4710" s="5">
        <v>41142</v>
      </c>
      <c r="G4710" s="5">
        <v>41274</v>
      </c>
      <c r="H4710" s="4" t="s">
        <v>40</v>
      </c>
      <c r="I4710" s="6">
        <v>22500</v>
      </c>
      <c r="J4710" s="6">
        <v>22500</v>
      </c>
      <c r="K4710" s="37" t="s">
        <v>7456</v>
      </c>
      <c r="L4710" s="119"/>
      <c r="M4710" s="3"/>
    </row>
    <row r="4711" spans="1:13" s="4" customFormat="1" ht="25.5" x14ac:dyDescent="0.25">
      <c r="A4711" s="4" t="s">
        <v>7714</v>
      </c>
      <c r="B4711" s="4" t="s">
        <v>183</v>
      </c>
      <c r="C4711" s="37" t="s">
        <v>7456</v>
      </c>
      <c r="D4711" s="35">
        <v>10481</v>
      </c>
      <c r="E4711" s="4" t="s">
        <v>7866</v>
      </c>
      <c r="F4711" s="5">
        <v>41144</v>
      </c>
      <c r="G4711" s="5">
        <v>41274</v>
      </c>
      <c r="H4711" s="4" t="s">
        <v>40</v>
      </c>
      <c r="I4711" s="6">
        <v>8000</v>
      </c>
      <c r="J4711" s="6">
        <v>8000</v>
      </c>
      <c r="K4711" s="37" t="s">
        <v>7456</v>
      </c>
      <c r="L4711" s="119"/>
      <c r="M4711" s="3"/>
    </row>
    <row r="4712" spans="1:13" s="4" customFormat="1" ht="51" x14ac:dyDescent="0.25">
      <c r="A4712" s="4" t="s">
        <v>7867</v>
      </c>
      <c r="B4712" s="4" t="s">
        <v>183</v>
      </c>
      <c r="C4712" s="37" t="s">
        <v>7456</v>
      </c>
      <c r="D4712" s="35">
        <v>10486</v>
      </c>
      <c r="E4712" s="4" t="s">
        <v>7868</v>
      </c>
      <c r="F4712" s="5">
        <v>41144</v>
      </c>
      <c r="G4712" s="5">
        <v>41274</v>
      </c>
      <c r="H4712" s="4" t="s">
        <v>40</v>
      </c>
      <c r="I4712" s="6">
        <v>31250</v>
      </c>
      <c r="J4712" s="6">
        <v>20000</v>
      </c>
      <c r="K4712" s="37" t="s">
        <v>7456</v>
      </c>
      <c r="L4712" s="119"/>
      <c r="M4712" s="3"/>
    </row>
    <row r="4713" spans="1:13" s="4" customFormat="1" ht="25.5" x14ac:dyDescent="0.25">
      <c r="A4713" s="4" t="s">
        <v>7871</v>
      </c>
      <c r="B4713" s="4" t="s">
        <v>183</v>
      </c>
      <c r="C4713" s="37" t="s">
        <v>7456</v>
      </c>
      <c r="D4713" s="35">
        <v>10491</v>
      </c>
      <c r="E4713" s="4" t="s">
        <v>7872</v>
      </c>
      <c r="F4713" s="5">
        <v>41240</v>
      </c>
      <c r="G4713" s="5">
        <v>41274</v>
      </c>
      <c r="H4713" s="4" t="s">
        <v>40</v>
      </c>
      <c r="I4713" s="6">
        <v>30000</v>
      </c>
      <c r="J4713" s="6">
        <v>30000</v>
      </c>
      <c r="K4713" s="37" t="s">
        <v>7456</v>
      </c>
      <c r="L4713" s="119"/>
      <c r="M4713" s="3"/>
    </row>
    <row r="4714" spans="1:13" s="4" customFormat="1" ht="51" x14ac:dyDescent="0.25">
      <c r="A4714" s="4" t="s">
        <v>7873</v>
      </c>
      <c r="B4714" s="4" t="s">
        <v>90</v>
      </c>
      <c r="C4714" s="37" t="s">
        <v>7456</v>
      </c>
      <c r="D4714" s="35">
        <v>10495</v>
      </c>
      <c r="E4714" s="4" t="s">
        <v>7874</v>
      </c>
      <c r="F4714" s="5">
        <v>41229</v>
      </c>
      <c r="G4714" s="5">
        <v>41274</v>
      </c>
      <c r="H4714" s="4" t="s">
        <v>40</v>
      </c>
      <c r="I4714" s="6">
        <v>19300</v>
      </c>
      <c r="J4714" s="6">
        <v>9650</v>
      </c>
      <c r="K4714" s="37" t="s">
        <v>7456</v>
      </c>
      <c r="L4714" s="119"/>
      <c r="M4714" s="3"/>
    </row>
    <row r="4715" spans="1:13" s="4" customFormat="1" ht="38.25" x14ac:dyDescent="0.25">
      <c r="A4715" s="4" t="s">
        <v>7875</v>
      </c>
      <c r="B4715" s="4" t="s">
        <v>183</v>
      </c>
      <c r="C4715" s="37" t="s">
        <v>7456</v>
      </c>
      <c r="D4715" s="35">
        <v>10496</v>
      </c>
      <c r="E4715" s="4" t="s">
        <v>7876</v>
      </c>
      <c r="F4715" s="5">
        <v>41226</v>
      </c>
      <c r="G4715" s="5">
        <v>41274</v>
      </c>
      <c r="H4715" s="4" t="s">
        <v>40</v>
      </c>
      <c r="I4715" s="6">
        <v>8000</v>
      </c>
      <c r="J4715" s="6">
        <v>8000</v>
      </c>
      <c r="K4715" s="37" t="s">
        <v>7456</v>
      </c>
      <c r="L4715" s="119"/>
      <c r="M4715" s="3"/>
    </row>
    <row r="4716" spans="1:13" s="4" customFormat="1" ht="51" x14ac:dyDescent="0.25">
      <c r="A4716" s="4" t="s">
        <v>7879</v>
      </c>
      <c r="B4716" s="4" t="s">
        <v>90</v>
      </c>
      <c r="C4716" s="37" t="s">
        <v>7456</v>
      </c>
      <c r="D4716" s="35">
        <v>10502</v>
      </c>
      <c r="E4716" s="4" t="s">
        <v>7880</v>
      </c>
      <c r="F4716" s="5">
        <v>41240</v>
      </c>
      <c r="G4716" s="5">
        <v>41274</v>
      </c>
      <c r="H4716" s="4" t="s">
        <v>40</v>
      </c>
      <c r="I4716" s="6">
        <v>10000</v>
      </c>
      <c r="J4716" s="6">
        <v>5000</v>
      </c>
      <c r="K4716" s="37" t="s">
        <v>7456</v>
      </c>
      <c r="L4716" s="119"/>
      <c r="M4716" s="3"/>
    </row>
    <row r="4717" spans="1:13" s="4" customFormat="1" ht="25.5" x14ac:dyDescent="0.25">
      <c r="A4717" s="4" t="s">
        <v>7825</v>
      </c>
      <c r="B4717" s="4" t="s">
        <v>183</v>
      </c>
      <c r="C4717" s="37" t="s">
        <v>7456</v>
      </c>
      <c r="D4717" s="35">
        <v>10510</v>
      </c>
      <c r="E4717" s="4" t="s">
        <v>7826</v>
      </c>
      <c r="F4717" s="5">
        <v>41149</v>
      </c>
      <c r="G4717" s="5">
        <v>41274</v>
      </c>
      <c r="H4717" s="4" t="s">
        <v>40</v>
      </c>
      <c r="I4717" s="6">
        <v>4000</v>
      </c>
      <c r="J4717" s="6">
        <v>4000</v>
      </c>
      <c r="K4717" s="37" t="s">
        <v>7456</v>
      </c>
      <c r="L4717" s="119"/>
      <c r="M4717" s="3"/>
    </row>
    <row r="4718" spans="1:13" s="4" customFormat="1" ht="38.25" x14ac:dyDescent="0.25">
      <c r="A4718" s="4" t="s">
        <v>7881</v>
      </c>
      <c r="B4718" s="4" t="s">
        <v>183</v>
      </c>
      <c r="C4718" s="37" t="s">
        <v>7456</v>
      </c>
      <c r="D4718" s="35">
        <v>10511</v>
      </c>
      <c r="E4718" s="4" t="s">
        <v>7882</v>
      </c>
      <c r="F4718" s="5">
        <v>41149</v>
      </c>
      <c r="G4718" s="5">
        <v>41274</v>
      </c>
      <c r="H4718" s="4" t="s">
        <v>40</v>
      </c>
      <c r="I4718" s="6">
        <v>5000</v>
      </c>
      <c r="J4718" s="6">
        <v>5000</v>
      </c>
      <c r="K4718" s="37" t="s">
        <v>7456</v>
      </c>
      <c r="L4718" s="119"/>
      <c r="M4718" s="3"/>
    </row>
    <row r="4719" spans="1:13" s="4" customFormat="1" ht="51" x14ac:dyDescent="0.25">
      <c r="A4719" s="4" t="s">
        <v>7885</v>
      </c>
      <c r="B4719" s="4" t="s">
        <v>183</v>
      </c>
      <c r="C4719" s="37" t="s">
        <v>7456</v>
      </c>
      <c r="D4719" s="35">
        <v>10513</v>
      </c>
      <c r="E4719" s="4" t="s">
        <v>7886</v>
      </c>
      <c r="F4719" s="5">
        <v>41249</v>
      </c>
      <c r="G4719" s="5">
        <v>41274</v>
      </c>
      <c r="H4719" s="4" t="s">
        <v>40</v>
      </c>
      <c r="I4719" s="6">
        <v>16000</v>
      </c>
      <c r="J4719" s="6">
        <v>16000</v>
      </c>
      <c r="K4719" s="37" t="s">
        <v>7456</v>
      </c>
      <c r="L4719" s="119"/>
      <c r="M4719" s="3"/>
    </row>
    <row r="4720" spans="1:13" s="4" customFormat="1" ht="25.5" x14ac:dyDescent="0.25">
      <c r="A4720" s="4" t="s">
        <v>7889</v>
      </c>
      <c r="B4720" s="4" t="s">
        <v>183</v>
      </c>
      <c r="C4720" s="37" t="s">
        <v>7456</v>
      </c>
      <c r="D4720" s="35">
        <v>10515</v>
      </c>
      <c r="E4720" s="4" t="s">
        <v>7890</v>
      </c>
      <c r="F4720" s="5">
        <v>41254</v>
      </c>
      <c r="G4720" s="5">
        <v>41274</v>
      </c>
      <c r="H4720" s="4" t="s">
        <v>40</v>
      </c>
      <c r="I4720" s="6">
        <v>14000</v>
      </c>
      <c r="J4720" s="6">
        <v>11000</v>
      </c>
      <c r="K4720" s="37" t="s">
        <v>7456</v>
      </c>
      <c r="L4720" s="119"/>
      <c r="M4720" s="3"/>
    </row>
    <row r="4721" spans="1:13" s="4" customFormat="1" ht="25.5" x14ac:dyDescent="0.25">
      <c r="A4721" s="4" t="s">
        <v>7891</v>
      </c>
      <c r="B4721" s="4" t="s">
        <v>183</v>
      </c>
      <c r="C4721" s="37" t="s">
        <v>7456</v>
      </c>
      <c r="D4721" s="35">
        <v>10516</v>
      </c>
      <c r="E4721" s="4" t="s">
        <v>7892</v>
      </c>
      <c r="F4721" s="5">
        <v>41256</v>
      </c>
      <c r="G4721" s="5">
        <v>41274</v>
      </c>
      <c r="H4721" s="4" t="s">
        <v>40</v>
      </c>
      <c r="I4721" s="6">
        <v>10000</v>
      </c>
      <c r="J4721" s="6">
        <v>10000</v>
      </c>
      <c r="K4721" s="37" t="s">
        <v>7456</v>
      </c>
      <c r="L4721" s="119"/>
      <c r="M4721" s="3"/>
    </row>
    <row r="4722" spans="1:13" s="4" customFormat="1" ht="38.25" x14ac:dyDescent="0.25">
      <c r="A4722" s="4" t="s">
        <v>7895</v>
      </c>
      <c r="B4722" s="4" t="s">
        <v>183</v>
      </c>
      <c r="C4722" s="37" t="s">
        <v>7456</v>
      </c>
      <c r="D4722" s="35">
        <v>10519</v>
      </c>
      <c r="E4722" s="4" t="s">
        <v>7896</v>
      </c>
      <c r="F4722" s="5">
        <v>41263</v>
      </c>
      <c r="G4722" s="5">
        <v>41274</v>
      </c>
      <c r="H4722" s="4" t="s">
        <v>40</v>
      </c>
      <c r="I4722" s="6">
        <v>8000</v>
      </c>
      <c r="J4722" s="6">
        <v>8000</v>
      </c>
      <c r="K4722" s="37" t="s">
        <v>7456</v>
      </c>
      <c r="L4722" s="119"/>
      <c r="M4722" s="3"/>
    </row>
    <row r="4723" spans="1:13" s="4" customFormat="1" ht="63.75" x14ac:dyDescent="0.25">
      <c r="A4723" s="4" t="s">
        <v>7897</v>
      </c>
      <c r="B4723" s="4" t="s">
        <v>183</v>
      </c>
      <c r="C4723" s="37" t="s">
        <v>7456</v>
      </c>
      <c r="D4723" s="35">
        <v>10521</v>
      </c>
      <c r="E4723" s="4" t="s">
        <v>7898</v>
      </c>
      <c r="F4723" s="5">
        <v>41264</v>
      </c>
      <c r="G4723" s="5">
        <v>41274</v>
      </c>
      <c r="H4723" s="4" t="s">
        <v>40</v>
      </c>
      <c r="I4723" s="6">
        <v>20000</v>
      </c>
      <c r="J4723" s="6">
        <v>20000</v>
      </c>
      <c r="K4723" s="37" t="s">
        <v>7456</v>
      </c>
      <c r="L4723" s="119"/>
      <c r="M4723" s="3"/>
    </row>
    <row r="4724" spans="1:13" s="4" customFormat="1" ht="38.25" x14ac:dyDescent="0.25">
      <c r="A4724" s="4" t="s">
        <v>7899</v>
      </c>
      <c r="B4724" s="4" t="s">
        <v>38</v>
      </c>
      <c r="C4724" s="37" t="s">
        <v>7456</v>
      </c>
      <c r="D4724" s="35">
        <v>10701</v>
      </c>
      <c r="E4724" s="4" t="s">
        <v>7805</v>
      </c>
      <c r="F4724" s="5">
        <v>41003</v>
      </c>
      <c r="G4724" s="5">
        <v>41274</v>
      </c>
      <c r="H4724" s="4" t="s">
        <v>40</v>
      </c>
      <c r="I4724" s="6">
        <v>7854.97</v>
      </c>
      <c r="J4724" s="6">
        <v>7854.97</v>
      </c>
      <c r="K4724" s="37" t="s">
        <v>7456</v>
      </c>
      <c r="L4724" s="119"/>
      <c r="M4724" s="3"/>
    </row>
    <row r="4725" spans="1:13" s="4" customFormat="1" ht="25.5" x14ac:dyDescent="0.25">
      <c r="A4725" s="4" t="s">
        <v>7900</v>
      </c>
      <c r="B4725" s="4" t="s">
        <v>38</v>
      </c>
      <c r="C4725" s="37" t="s">
        <v>7456</v>
      </c>
      <c r="D4725" s="35">
        <v>10702</v>
      </c>
      <c r="E4725" s="4" t="s">
        <v>7901</v>
      </c>
      <c r="F4725" s="5">
        <v>41178</v>
      </c>
      <c r="G4725" s="5">
        <v>41274</v>
      </c>
      <c r="H4725" s="4" t="s">
        <v>40</v>
      </c>
      <c r="I4725" s="6">
        <v>1668.33</v>
      </c>
      <c r="J4725" s="6">
        <v>1668.35</v>
      </c>
      <c r="K4725" s="37" t="s">
        <v>7456</v>
      </c>
      <c r="L4725" s="119"/>
      <c r="M4725" s="3"/>
    </row>
    <row r="4726" spans="1:13" s="4" customFormat="1" ht="25.5" x14ac:dyDescent="0.25">
      <c r="A4726" s="4" t="s">
        <v>7902</v>
      </c>
      <c r="B4726" s="4" t="s">
        <v>38</v>
      </c>
      <c r="C4726" s="37" t="s">
        <v>7456</v>
      </c>
      <c r="D4726" s="35">
        <v>10703</v>
      </c>
      <c r="E4726" s="4" t="s">
        <v>7903</v>
      </c>
      <c r="F4726" s="5">
        <v>40909</v>
      </c>
      <c r="G4726" s="5">
        <v>40909</v>
      </c>
      <c r="H4726" s="4" t="s">
        <v>40</v>
      </c>
      <c r="I4726" s="6">
        <v>425</v>
      </c>
      <c r="J4726" s="6">
        <v>425</v>
      </c>
      <c r="K4726" s="37" t="s">
        <v>7456</v>
      </c>
      <c r="L4726" s="119"/>
      <c r="M4726" s="3"/>
    </row>
    <row r="4727" spans="1:13" s="4" customFormat="1" ht="25.5" x14ac:dyDescent="0.25">
      <c r="A4727" s="4" t="s">
        <v>7904</v>
      </c>
      <c r="B4727" s="4" t="s">
        <v>38</v>
      </c>
      <c r="C4727" s="37" t="s">
        <v>7456</v>
      </c>
      <c r="D4727" s="35">
        <v>10704</v>
      </c>
      <c r="E4727" s="4" t="s">
        <v>7905</v>
      </c>
      <c r="F4727" s="5">
        <v>41144</v>
      </c>
      <c r="G4727" s="5">
        <v>41274</v>
      </c>
      <c r="H4727" s="4" t="s">
        <v>40</v>
      </c>
      <c r="I4727" s="6">
        <v>515.94000000000005</v>
      </c>
      <c r="J4727" s="6">
        <v>515.94000000000005</v>
      </c>
      <c r="K4727" s="37" t="s">
        <v>7456</v>
      </c>
      <c r="L4727" s="119"/>
      <c r="M4727" s="3"/>
    </row>
    <row r="4728" spans="1:13" s="4" customFormat="1" ht="38.25" x14ac:dyDescent="0.25">
      <c r="A4728" s="4" t="s">
        <v>7906</v>
      </c>
      <c r="B4728" s="4" t="s">
        <v>38</v>
      </c>
      <c r="C4728" s="37" t="s">
        <v>7456</v>
      </c>
      <c r="D4728" s="35">
        <v>10707</v>
      </c>
      <c r="E4728" s="4" t="s">
        <v>7907</v>
      </c>
      <c r="F4728" s="5">
        <v>40975</v>
      </c>
      <c r="G4728" s="5">
        <v>41274</v>
      </c>
      <c r="H4728" s="4" t="s">
        <v>40</v>
      </c>
      <c r="I4728" s="6">
        <v>32761.32</v>
      </c>
      <c r="J4728" s="6">
        <v>16380.66</v>
      </c>
      <c r="K4728" s="37" t="s">
        <v>7456</v>
      </c>
      <c r="L4728" s="119"/>
      <c r="M4728" s="3"/>
    </row>
    <row r="4729" spans="1:13" s="4" customFormat="1" ht="25.5" x14ac:dyDescent="0.25">
      <c r="A4729" s="4" t="s">
        <v>7908</v>
      </c>
      <c r="B4729" s="4" t="s">
        <v>38</v>
      </c>
      <c r="C4729" s="37" t="s">
        <v>7456</v>
      </c>
      <c r="D4729" s="35">
        <v>10708</v>
      </c>
      <c r="E4729" s="4" t="s">
        <v>7909</v>
      </c>
      <c r="F4729" s="5">
        <v>40933</v>
      </c>
      <c r="G4729" s="5">
        <v>41274</v>
      </c>
      <c r="H4729" s="4" t="s">
        <v>40</v>
      </c>
      <c r="I4729" s="6">
        <v>62793.94</v>
      </c>
      <c r="J4729" s="6">
        <v>62793.94</v>
      </c>
      <c r="K4729" s="37" t="s">
        <v>7456</v>
      </c>
      <c r="L4729" s="119"/>
      <c r="M4729" s="3"/>
    </row>
    <row r="4730" spans="1:13" s="4" customFormat="1" ht="25.5" x14ac:dyDescent="0.25">
      <c r="A4730" s="4" t="s">
        <v>7910</v>
      </c>
      <c r="B4730" s="4" t="s">
        <v>38</v>
      </c>
      <c r="C4730" s="37" t="s">
        <v>7456</v>
      </c>
      <c r="D4730" s="35">
        <v>10709</v>
      </c>
      <c r="E4730" s="4" t="s">
        <v>7911</v>
      </c>
      <c r="F4730" s="5">
        <v>41194</v>
      </c>
      <c r="G4730" s="5">
        <v>41274</v>
      </c>
      <c r="H4730" s="4" t="s">
        <v>40</v>
      </c>
      <c r="I4730" s="6">
        <v>533.21</v>
      </c>
      <c r="J4730" s="6">
        <v>533.77</v>
      </c>
      <c r="K4730" s="37" t="s">
        <v>7456</v>
      </c>
      <c r="L4730" s="119"/>
      <c r="M4730" s="3"/>
    </row>
    <row r="4731" spans="1:13" s="4" customFormat="1" ht="25.5" x14ac:dyDescent="0.25">
      <c r="A4731" s="4" t="s">
        <v>7912</v>
      </c>
      <c r="B4731" s="4" t="s">
        <v>38</v>
      </c>
      <c r="C4731" s="37" t="s">
        <v>7456</v>
      </c>
      <c r="D4731" s="35">
        <v>10717</v>
      </c>
      <c r="E4731" s="4" t="s">
        <v>7913</v>
      </c>
      <c r="F4731" s="5">
        <v>40933</v>
      </c>
      <c r="G4731" s="5">
        <v>40939</v>
      </c>
      <c r="H4731" s="4" t="s">
        <v>40</v>
      </c>
      <c r="I4731" s="6">
        <v>1599.04</v>
      </c>
      <c r="J4731" s="6">
        <v>1599.04</v>
      </c>
      <c r="K4731" s="37" t="s">
        <v>7456</v>
      </c>
      <c r="L4731" s="119"/>
      <c r="M4731" s="3"/>
    </row>
    <row r="4732" spans="1:13" s="4" customFormat="1" ht="25.5" x14ac:dyDescent="0.25">
      <c r="A4732" s="4" t="s">
        <v>7914</v>
      </c>
      <c r="B4732" s="4" t="s">
        <v>38</v>
      </c>
      <c r="C4732" s="37" t="s">
        <v>7456</v>
      </c>
      <c r="D4732" s="35">
        <v>10720</v>
      </c>
      <c r="E4732" s="4" t="s">
        <v>7915</v>
      </c>
      <c r="F4732" s="5">
        <v>40933</v>
      </c>
      <c r="G4732" s="5">
        <v>41274</v>
      </c>
      <c r="H4732" s="4" t="s">
        <v>40</v>
      </c>
      <c r="I4732" s="6">
        <v>1210</v>
      </c>
      <c r="J4732" s="6">
        <v>1210</v>
      </c>
      <c r="K4732" s="37" t="s">
        <v>7456</v>
      </c>
      <c r="L4732" s="119"/>
      <c r="M4732" s="3"/>
    </row>
    <row r="4733" spans="1:13" s="4" customFormat="1" ht="25.5" x14ac:dyDescent="0.25">
      <c r="A4733" s="4" t="s">
        <v>7916</v>
      </c>
      <c r="B4733" s="4" t="s">
        <v>38</v>
      </c>
      <c r="C4733" s="37" t="s">
        <v>7456</v>
      </c>
      <c r="D4733" s="35">
        <v>10722</v>
      </c>
      <c r="E4733" s="4" t="s">
        <v>7917</v>
      </c>
      <c r="F4733" s="5">
        <v>40933</v>
      </c>
      <c r="G4733" s="5">
        <v>40939</v>
      </c>
      <c r="H4733" s="4" t="s">
        <v>40</v>
      </c>
      <c r="I4733" s="6">
        <v>2192.8000000000002</v>
      </c>
      <c r="J4733" s="6">
        <v>2192.5</v>
      </c>
      <c r="K4733" s="37" t="s">
        <v>7456</v>
      </c>
      <c r="L4733" s="119"/>
      <c r="M4733" s="3"/>
    </row>
    <row r="4734" spans="1:13" s="4" customFormat="1" ht="25.5" x14ac:dyDescent="0.25">
      <c r="A4734" s="4" t="s">
        <v>7918</v>
      </c>
      <c r="B4734" s="4" t="s">
        <v>38</v>
      </c>
      <c r="C4734" s="37" t="s">
        <v>7456</v>
      </c>
      <c r="D4734" s="35">
        <v>10724</v>
      </c>
      <c r="E4734" s="4" t="s">
        <v>7919</v>
      </c>
      <c r="F4734" s="5">
        <v>40933</v>
      </c>
      <c r="G4734" s="5">
        <v>41274</v>
      </c>
      <c r="H4734" s="4" t="s">
        <v>40</v>
      </c>
      <c r="I4734" s="6">
        <v>81294.12</v>
      </c>
      <c r="J4734" s="6">
        <v>81294.12</v>
      </c>
      <c r="K4734" s="37" t="s">
        <v>7456</v>
      </c>
      <c r="L4734" s="119"/>
      <c r="M4734" s="3"/>
    </row>
    <row r="4735" spans="1:13" s="4" customFormat="1" ht="25.5" x14ac:dyDescent="0.25">
      <c r="A4735" s="4" t="s">
        <v>7920</v>
      </c>
      <c r="B4735" s="4" t="s">
        <v>38</v>
      </c>
      <c r="C4735" s="37" t="s">
        <v>7456</v>
      </c>
      <c r="D4735" s="35">
        <v>10727</v>
      </c>
      <c r="E4735" s="4" t="s">
        <v>7921</v>
      </c>
      <c r="F4735" s="5">
        <v>40982</v>
      </c>
      <c r="G4735" s="5">
        <v>41158</v>
      </c>
      <c r="H4735" s="4" t="s">
        <v>40</v>
      </c>
      <c r="I4735" s="6">
        <v>3849</v>
      </c>
      <c r="J4735" s="6">
        <v>3849</v>
      </c>
      <c r="K4735" s="37" t="s">
        <v>7456</v>
      </c>
      <c r="L4735" s="119"/>
      <c r="M4735" s="3"/>
    </row>
    <row r="4736" spans="1:13" s="4" customFormat="1" ht="25.5" x14ac:dyDescent="0.25">
      <c r="A4736" s="4" t="s">
        <v>7922</v>
      </c>
      <c r="B4736" s="4" t="s">
        <v>38</v>
      </c>
      <c r="C4736" s="37" t="s">
        <v>7456</v>
      </c>
      <c r="D4736" s="35">
        <v>10728</v>
      </c>
      <c r="E4736" s="4" t="s">
        <v>7923</v>
      </c>
      <c r="F4736" s="5">
        <v>40933</v>
      </c>
      <c r="G4736" s="5">
        <v>41274</v>
      </c>
      <c r="H4736" s="4" t="s">
        <v>40</v>
      </c>
      <c r="I4736" s="6">
        <v>98330.28</v>
      </c>
      <c r="J4736" s="6">
        <v>98330.26</v>
      </c>
      <c r="K4736" s="37" t="s">
        <v>7456</v>
      </c>
      <c r="L4736" s="119"/>
      <c r="M4736" s="3"/>
    </row>
    <row r="4737" spans="1:60" s="4" customFormat="1" ht="25.5" x14ac:dyDescent="0.25">
      <c r="A4737" s="4" t="s">
        <v>7924</v>
      </c>
      <c r="B4737" s="4" t="s">
        <v>38</v>
      </c>
      <c r="C4737" s="37" t="s">
        <v>7456</v>
      </c>
      <c r="D4737" s="35">
        <v>10729</v>
      </c>
      <c r="E4737" s="4" t="s">
        <v>7925</v>
      </c>
      <c r="F4737" s="5">
        <v>40933</v>
      </c>
      <c r="G4737" s="5">
        <v>40939</v>
      </c>
      <c r="H4737" s="4" t="s">
        <v>40</v>
      </c>
      <c r="I4737" s="6">
        <v>1527.8</v>
      </c>
      <c r="J4737" s="6">
        <v>1527.8</v>
      </c>
      <c r="K4737" s="37" t="s">
        <v>7456</v>
      </c>
      <c r="L4737" s="119"/>
      <c r="M4737" s="3"/>
    </row>
    <row r="4738" spans="1:60" s="4" customFormat="1" ht="25.5" x14ac:dyDescent="0.25">
      <c r="A4738" s="4" t="s">
        <v>7926</v>
      </c>
      <c r="B4738" s="4" t="s">
        <v>38</v>
      </c>
      <c r="C4738" s="37" t="s">
        <v>7456</v>
      </c>
      <c r="D4738" s="35">
        <v>10730</v>
      </c>
      <c r="E4738" s="4" t="s">
        <v>7927</v>
      </c>
      <c r="F4738" s="5">
        <v>40933</v>
      </c>
      <c r="G4738" s="5">
        <v>40939</v>
      </c>
      <c r="H4738" s="4" t="s">
        <v>40</v>
      </c>
      <c r="I4738" s="6">
        <v>2182</v>
      </c>
      <c r="J4738" s="6">
        <v>2182</v>
      </c>
      <c r="K4738" s="37" t="s">
        <v>7456</v>
      </c>
      <c r="L4738" s="119"/>
      <c r="M4738" s="3"/>
    </row>
    <row r="4739" spans="1:60" s="4" customFormat="1" ht="25.5" x14ac:dyDescent="0.25">
      <c r="A4739" s="4" t="s">
        <v>7766</v>
      </c>
      <c r="B4739" s="4" t="s">
        <v>183</v>
      </c>
      <c r="C4739" s="37" t="s">
        <v>7456</v>
      </c>
      <c r="D4739" s="35">
        <v>11113</v>
      </c>
      <c r="E4739" s="4" t="s">
        <v>7928</v>
      </c>
      <c r="F4739" s="5">
        <v>40982</v>
      </c>
      <c r="G4739" s="5">
        <v>41274</v>
      </c>
      <c r="H4739" s="4" t="s">
        <v>40</v>
      </c>
      <c r="I4739" s="6">
        <v>4000</v>
      </c>
      <c r="J4739" s="6">
        <v>4000</v>
      </c>
      <c r="K4739" s="37" t="s">
        <v>7456</v>
      </c>
      <c r="L4739" s="119"/>
      <c r="M4739" s="3"/>
    </row>
    <row r="4740" spans="1:60" s="4" customFormat="1" ht="63.75" x14ac:dyDescent="0.25">
      <c r="A4740" s="4" t="s">
        <v>7929</v>
      </c>
      <c r="B4740" s="4" t="s">
        <v>183</v>
      </c>
      <c r="C4740" s="37" t="s">
        <v>7456</v>
      </c>
      <c r="D4740" s="35">
        <v>11179</v>
      </c>
      <c r="E4740" s="4" t="s">
        <v>7783</v>
      </c>
      <c r="F4740" s="5">
        <v>40909</v>
      </c>
      <c r="G4740" s="5">
        <v>41274</v>
      </c>
      <c r="H4740" s="4" t="s">
        <v>40</v>
      </c>
      <c r="I4740" s="6">
        <v>13000</v>
      </c>
      <c r="J4740" s="6">
        <v>13000</v>
      </c>
      <c r="K4740" s="37" t="s">
        <v>7456</v>
      </c>
      <c r="L4740" s="119"/>
      <c r="M4740" s="3"/>
    </row>
    <row r="4741" spans="1:60" s="4" customFormat="1" ht="25.5" x14ac:dyDescent="0.25">
      <c r="A4741" s="13" t="s">
        <v>7930</v>
      </c>
      <c r="B4741" s="4" t="s">
        <v>13</v>
      </c>
      <c r="C4741" s="37" t="s">
        <v>7456</v>
      </c>
      <c r="D4741" s="35">
        <v>10193</v>
      </c>
      <c r="E4741" s="13" t="s">
        <v>7931</v>
      </c>
      <c r="F4741" s="5">
        <v>40909</v>
      </c>
      <c r="G4741" s="5">
        <v>41274</v>
      </c>
      <c r="H4741" s="4" t="s">
        <v>2027</v>
      </c>
      <c r="I4741" s="6">
        <v>116695.31</v>
      </c>
      <c r="J4741" s="6">
        <v>38849.589999999997</v>
      </c>
      <c r="K4741" s="37" t="s">
        <v>7456</v>
      </c>
      <c r="L4741" s="119"/>
      <c r="M4741" s="3"/>
    </row>
    <row r="4742" spans="1:60" s="4" customFormat="1" ht="153" x14ac:dyDescent="0.25">
      <c r="A4742" s="13" t="s">
        <v>7932</v>
      </c>
      <c r="B4742" s="4" t="s">
        <v>13</v>
      </c>
      <c r="C4742" s="37" t="s">
        <v>7456</v>
      </c>
      <c r="D4742" s="35">
        <v>10208</v>
      </c>
      <c r="E4742" s="13" t="s">
        <v>7933</v>
      </c>
      <c r="F4742" s="5">
        <v>40909</v>
      </c>
      <c r="G4742" s="5">
        <v>41274</v>
      </c>
      <c r="H4742" s="4" t="s">
        <v>2027</v>
      </c>
      <c r="I4742" s="6">
        <v>12082.86</v>
      </c>
      <c r="J4742" s="4">
        <v>5437.02</v>
      </c>
      <c r="K4742" s="37" t="s">
        <v>7456</v>
      </c>
      <c r="L4742" s="119"/>
      <c r="M4742" s="3"/>
    </row>
    <row r="4743" spans="1:60" s="4" customFormat="1" ht="140.25" x14ac:dyDescent="0.25">
      <c r="A4743" s="9" t="s">
        <v>7934</v>
      </c>
      <c r="B4743" s="4" t="s">
        <v>13</v>
      </c>
      <c r="C4743" s="112" t="s">
        <v>7456</v>
      </c>
      <c r="D4743" s="90">
        <v>4138</v>
      </c>
      <c r="E4743" s="15" t="s">
        <v>7935</v>
      </c>
      <c r="F4743" s="11">
        <v>39083</v>
      </c>
      <c r="G4743" s="11">
        <v>42369</v>
      </c>
      <c r="H4743" s="9" t="s">
        <v>2593</v>
      </c>
      <c r="I4743" s="16">
        <v>5340557.5599999996</v>
      </c>
      <c r="J4743" s="16">
        <v>5340557.5599999996</v>
      </c>
      <c r="K4743" s="112" t="s">
        <v>7456</v>
      </c>
      <c r="L4743" s="121"/>
      <c r="M4743" s="12"/>
      <c r="N4743" s="9"/>
      <c r="O4743" s="9"/>
      <c r="P4743" s="9"/>
      <c r="Q4743" s="9"/>
      <c r="R4743" s="9"/>
      <c r="S4743" s="9"/>
      <c r="T4743" s="9"/>
      <c r="U4743" s="9"/>
      <c r="V4743" s="9"/>
      <c r="W4743" s="9"/>
      <c r="X4743" s="9"/>
      <c r="Y4743" s="9"/>
      <c r="Z4743" s="9"/>
      <c r="AA4743" s="9"/>
      <c r="AB4743" s="9"/>
      <c r="AC4743" s="9"/>
      <c r="AD4743" s="9"/>
      <c r="AE4743" s="9"/>
      <c r="AF4743" s="9"/>
      <c r="AG4743" s="9"/>
      <c r="AH4743" s="9"/>
      <c r="AI4743" s="9"/>
      <c r="AJ4743" s="9"/>
      <c r="AK4743" s="9"/>
      <c r="AL4743" s="9"/>
      <c r="AM4743" s="9"/>
      <c r="AN4743" s="9"/>
      <c r="AO4743" s="9"/>
      <c r="AP4743" s="9"/>
      <c r="AQ4743" s="9"/>
      <c r="AR4743" s="9"/>
      <c r="AS4743" s="9"/>
      <c r="AT4743" s="9"/>
      <c r="AU4743" s="9"/>
      <c r="AV4743" s="9"/>
      <c r="AW4743" s="9"/>
      <c r="AX4743" s="9"/>
      <c r="AY4743" s="9"/>
      <c r="AZ4743" s="9"/>
      <c r="BA4743" s="9"/>
      <c r="BB4743" s="9"/>
      <c r="BC4743" s="9"/>
      <c r="BD4743" s="9"/>
      <c r="BE4743" s="9"/>
      <c r="BF4743" s="9"/>
      <c r="BG4743" s="9"/>
      <c r="BH4743" s="9"/>
    </row>
    <row r="4744" spans="1:60" s="4" customFormat="1" ht="153" x14ac:dyDescent="0.25">
      <c r="A4744" s="4" t="s">
        <v>7936</v>
      </c>
      <c r="B4744" s="4" t="s">
        <v>13</v>
      </c>
      <c r="C4744" s="37" t="s">
        <v>7456</v>
      </c>
      <c r="D4744" s="35">
        <v>3789</v>
      </c>
      <c r="E4744" s="7" t="s">
        <v>7937</v>
      </c>
      <c r="F4744" s="5">
        <v>39083</v>
      </c>
      <c r="G4744" s="5">
        <v>42369</v>
      </c>
      <c r="H4744" s="4" t="s">
        <v>2637</v>
      </c>
      <c r="I4744" s="17">
        <v>260000</v>
      </c>
      <c r="J4744" s="17">
        <v>260000</v>
      </c>
      <c r="K4744" s="37" t="s">
        <v>7456</v>
      </c>
      <c r="L4744" s="119"/>
      <c r="M4744" s="3"/>
      <c r="N4744" s="3"/>
    </row>
    <row r="4745" spans="1:60" s="4" customFormat="1" x14ac:dyDescent="0.25">
      <c r="C4745" s="37" t="s">
        <v>7456</v>
      </c>
      <c r="D4745" s="35"/>
      <c r="E4745" s="26" t="s">
        <v>2642</v>
      </c>
      <c r="F4745" s="28"/>
      <c r="G4745" s="28"/>
      <c r="H4745" s="26"/>
      <c r="I4745" s="27">
        <f>SUM(I4516)</f>
        <v>956630.83000000007</v>
      </c>
      <c r="J4745" s="27">
        <f>SUM(J4516)</f>
        <v>956630.83000000007</v>
      </c>
      <c r="K4745" s="37" t="s">
        <v>7456</v>
      </c>
      <c r="L4745" s="119"/>
      <c r="M4745" s="3"/>
      <c r="N4745" s="3"/>
    </row>
    <row r="4746" spans="1:60" s="4" customFormat="1" x14ac:dyDescent="0.25">
      <c r="C4746" s="37" t="s">
        <v>7456</v>
      </c>
      <c r="D4746" s="35"/>
      <c r="E4746" s="26" t="s">
        <v>351</v>
      </c>
      <c r="F4746" s="28"/>
      <c r="G4746" s="28"/>
      <c r="H4746" s="26"/>
      <c r="I4746" s="27">
        <f>SUM(I4517:I4527)</f>
        <v>611270.23</v>
      </c>
      <c r="J4746" s="27">
        <f>SUM(J4517:J4527)</f>
        <v>176157.84999999998</v>
      </c>
      <c r="K4746" s="37" t="s">
        <v>7456</v>
      </c>
      <c r="L4746" s="119"/>
      <c r="M4746" s="3"/>
      <c r="N4746" s="3"/>
    </row>
    <row r="4747" spans="1:60" s="4" customFormat="1" x14ac:dyDescent="0.25">
      <c r="C4747" s="37" t="s">
        <v>7456</v>
      </c>
      <c r="D4747" s="35"/>
      <c r="E4747" s="26" t="s">
        <v>2643</v>
      </c>
      <c r="F4747" s="28"/>
      <c r="G4747" s="28"/>
      <c r="H4747" s="26"/>
      <c r="I4747" s="27">
        <f>SUM(I4528:I4530)</f>
        <v>179232</v>
      </c>
      <c r="J4747" s="27">
        <f>SUM(J4528:J4530)</f>
        <v>179232</v>
      </c>
      <c r="K4747" s="37" t="s">
        <v>7456</v>
      </c>
      <c r="L4747" s="119"/>
      <c r="M4747" s="3"/>
      <c r="N4747" s="3"/>
    </row>
    <row r="4748" spans="1:60" s="4" customFormat="1" x14ac:dyDescent="0.25">
      <c r="C4748" s="37" t="s">
        <v>7456</v>
      </c>
      <c r="D4748" s="35"/>
      <c r="E4748" s="26" t="s">
        <v>786</v>
      </c>
      <c r="F4748" s="28"/>
      <c r="G4748" s="28"/>
      <c r="H4748" s="26"/>
      <c r="I4748" s="27">
        <f>SUM(I4531:I4539)</f>
        <v>3094440.3900000006</v>
      </c>
      <c r="J4748" s="27">
        <f>SUM(J4531:J4539)</f>
        <v>701438.82000000007</v>
      </c>
      <c r="K4748" s="37" t="s">
        <v>7456</v>
      </c>
      <c r="L4748" s="119"/>
      <c r="M4748" s="3"/>
      <c r="N4748" s="3"/>
    </row>
    <row r="4749" spans="1:60" s="4" customFormat="1" x14ac:dyDescent="0.25">
      <c r="C4749" s="37" t="s">
        <v>7456</v>
      </c>
      <c r="D4749" s="35"/>
      <c r="E4749" s="26" t="s">
        <v>352</v>
      </c>
      <c r="F4749" s="28"/>
      <c r="G4749" s="28"/>
      <c r="H4749" s="26"/>
      <c r="I4749" s="27">
        <f>SUM(I4540:I4740)</f>
        <v>4459972.3399999989</v>
      </c>
      <c r="J4749" s="27">
        <f>SUM(J4540:J4740)</f>
        <v>3490449.9899999984</v>
      </c>
      <c r="K4749" s="37" t="s">
        <v>7456</v>
      </c>
      <c r="L4749" s="119"/>
      <c r="M4749" s="3"/>
      <c r="N4749" s="3"/>
    </row>
    <row r="4750" spans="1:60" s="4" customFormat="1" x14ac:dyDescent="0.25">
      <c r="C4750" s="37" t="s">
        <v>7456</v>
      </c>
      <c r="D4750" s="35"/>
      <c r="E4750" s="26" t="s">
        <v>2028</v>
      </c>
      <c r="F4750" s="28"/>
      <c r="G4750" s="28"/>
      <c r="H4750" s="26"/>
      <c r="I4750" s="27">
        <f>SUM(I4741:I4742)</f>
        <v>128778.17</v>
      </c>
      <c r="J4750" s="27">
        <f>SUM(J4741:J4742)</f>
        <v>44286.61</v>
      </c>
      <c r="K4750" s="37" t="s">
        <v>7456</v>
      </c>
      <c r="L4750" s="119"/>
      <c r="M4750" s="3"/>
      <c r="N4750" s="3"/>
    </row>
    <row r="4751" spans="1:60" s="4" customFormat="1" x14ac:dyDescent="0.25">
      <c r="C4751" s="37" t="s">
        <v>7456</v>
      </c>
      <c r="D4751" s="35"/>
      <c r="E4751" s="26" t="s">
        <v>4030</v>
      </c>
      <c r="F4751" s="28"/>
      <c r="G4751" s="28"/>
      <c r="H4751" s="26"/>
      <c r="I4751" s="31">
        <f>SUM(I4743)</f>
        <v>5340557.5599999996</v>
      </c>
      <c r="J4751" s="31">
        <f>SUM(J4743)</f>
        <v>5340557.5599999996</v>
      </c>
      <c r="K4751" s="37" t="s">
        <v>7456</v>
      </c>
      <c r="L4751" s="119"/>
      <c r="M4751" s="3"/>
      <c r="N4751" s="3"/>
    </row>
    <row r="4752" spans="1:60" s="4" customFormat="1" x14ac:dyDescent="0.25">
      <c r="C4752" s="37" t="s">
        <v>7456</v>
      </c>
      <c r="D4752" s="35"/>
      <c r="E4752" s="26" t="s">
        <v>2646</v>
      </c>
      <c r="F4752" s="28"/>
      <c r="G4752" s="28"/>
      <c r="H4752" s="26"/>
      <c r="I4752" s="27">
        <f>SUM(I4744)</f>
        <v>260000</v>
      </c>
      <c r="J4752" s="27">
        <f>SUM(J4744)</f>
        <v>260000</v>
      </c>
      <c r="K4752" s="37" t="s">
        <v>7456</v>
      </c>
      <c r="L4752" s="119"/>
      <c r="M4752" s="3"/>
      <c r="N4752" s="3"/>
    </row>
    <row r="4753" spans="1:14" s="4" customFormat="1" x14ac:dyDescent="0.25">
      <c r="C4753" s="37" t="s">
        <v>7456</v>
      </c>
      <c r="D4753" s="35"/>
      <c r="E4753" s="26" t="s">
        <v>7938</v>
      </c>
      <c r="F4753" s="28"/>
      <c r="G4753" s="28"/>
      <c r="H4753" s="26"/>
      <c r="I4753" s="27">
        <f>SUM(I4745:I4752)</f>
        <v>15030881.52</v>
      </c>
      <c r="J4753" s="27">
        <f>SUM(J4745:J4752)</f>
        <v>11148753.659999998</v>
      </c>
      <c r="K4753" s="37" t="s">
        <v>7456</v>
      </c>
      <c r="L4753" s="119">
        <f>J4753</f>
        <v>11148753.659999998</v>
      </c>
      <c r="M4753" s="3">
        <f>SUM(J4753*0.4)</f>
        <v>4459501.4639999997</v>
      </c>
      <c r="N4753" s="3"/>
    </row>
    <row r="4754" spans="1:14" s="4" customFormat="1" x14ac:dyDescent="0.25">
      <c r="C4754" s="37"/>
      <c r="D4754" s="35"/>
      <c r="E4754" s="7"/>
      <c r="F4754" s="5"/>
      <c r="G4754" s="5"/>
      <c r="I4754" s="17"/>
      <c r="J4754" s="17"/>
      <c r="K4754" s="37"/>
      <c r="L4754" s="119"/>
      <c r="M4754" s="3"/>
      <c r="N4754" s="3"/>
    </row>
    <row r="4755" spans="1:14" s="4" customFormat="1" ht="25.5" x14ac:dyDescent="0.25">
      <c r="A4755" s="4" t="s">
        <v>7939</v>
      </c>
      <c r="B4755" s="4" t="s">
        <v>13</v>
      </c>
      <c r="C4755" s="37" t="s">
        <v>7941</v>
      </c>
      <c r="D4755" s="35">
        <v>3916</v>
      </c>
      <c r="E4755" s="4" t="s">
        <v>7940</v>
      </c>
      <c r="F4755" s="5">
        <v>39757</v>
      </c>
      <c r="G4755" s="5">
        <v>39876</v>
      </c>
      <c r="H4755" s="4" t="s">
        <v>16</v>
      </c>
      <c r="I4755" s="6">
        <v>2202.64</v>
      </c>
      <c r="J4755" s="6">
        <v>881.06</v>
      </c>
      <c r="K4755" s="37" t="s">
        <v>7941</v>
      </c>
      <c r="L4755" s="119"/>
      <c r="M4755" s="3"/>
    </row>
    <row r="4756" spans="1:14" s="4" customFormat="1" ht="25.5" x14ac:dyDescent="0.25">
      <c r="A4756" s="4" t="s">
        <v>7942</v>
      </c>
      <c r="B4756" s="4" t="s">
        <v>13</v>
      </c>
      <c r="C4756" s="37" t="s">
        <v>7941</v>
      </c>
      <c r="D4756" s="35">
        <v>4121</v>
      </c>
      <c r="E4756" s="4" t="s">
        <v>7943</v>
      </c>
      <c r="F4756" s="5">
        <v>39738</v>
      </c>
      <c r="G4756" s="5">
        <v>40424</v>
      </c>
      <c r="H4756" s="4" t="s">
        <v>16</v>
      </c>
      <c r="I4756" s="6">
        <v>915358.69</v>
      </c>
      <c r="J4756" s="6">
        <v>274607.61</v>
      </c>
      <c r="K4756" s="37" t="s">
        <v>7941</v>
      </c>
      <c r="L4756" s="119"/>
      <c r="M4756" s="3"/>
    </row>
    <row r="4757" spans="1:14" s="4" customFormat="1" ht="38.25" x14ac:dyDescent="0.25">
      <c r="A4757" s="4" t="s">
        <v>7944</v>
      </c>
      <c r="B4757" s="4" t="s">
        <v>13</v>
      </c>
      <c r="C4757" s="37" t="s">
        <v>7941</v>
      </c>
      <c r="D4757" s="35">
        <v>4124</v>
      </c>
      <c r="E4757" s="4" t="s">
        <v>7945</v>
      </c>
      <c r="F4757" s="5">
        <v>39580</v>
      </c>
      <c r="G4757" s="5">
        <v>40141</v>
      </c>
      <c r="H4757" s="4" t="s">
        <v>16</v>
      </c>
      <c r="I4757" s="6">
        <v>112500</v>
      </c>
      <c r="J4757" s="6">
        <v>33750</v>
      </c>
      <c r="K4757" s="37" t="s">
        <v>7941</v>
      </c>
      <c r="L4757" s="119"/>
      <c r="M4757" s="3"/>
    </row>
    <row r="4758" spans="1:14" s="4" customFormat="1" ht="76.5" x14ac:dyDescent="0.25">
      <c r="A4758" s="4" t="s">
        <v>7946</v>
      </c>
      <c r="B4758" s="4" t="s">
        <v>13</v>
      </c>
      <c r="C4758" s="37" t="s">
        <v>7941</v>
      </c>
      <c r="D4758" s="35">
        <v>4125</v>
      </c>
      <c r="E4758" s="7" t="s">
        <v>7947</v>
      </c>
      <c r="F4758" s="5">
        <v>39801</v>
      </c>
      <c r="G4758" s="5">
        <v>40535</v>
      </c>
      <c r="H4758" s="4" t="s">
        <v>16</v>
      </c>
      <c r="I4758" s="6">
        <v>987349.61</v>
      </c>
      <c r="J4758" s="6">
        <v>192533.17</v>
      </c>
      <c r="K4758" s="37" t="s">
        <v>7941</v>
      </c>
      <c r="L4758" s="119"/>
      <c r="M4758" s="3"/>
    </row>
    <row r="4759" spans="1:14" s="4" customFormat="1" ht="25.5" x14ac:dyDescent="0.25">
      <c r="A4759" s="4" t="s">
        <v>7948</v>
      </c>
      <c r="B4759" s="4" t="s">
        <v>13</v>
      </c>
      <c r="C4759" s="37" t="s">
        <v>7941</v>
      </c>
      <c r="D4759" s="35">
        <v>10045</v>
      </c>
      <c r="E4759" s="4" t="s">
        <v>7949</v>
      </c>
      <c r="F4759" s="5">
        <v>40470</v>
      </c>
      <c r="G4759" s="5">
        <v>40533</v>
      </c>
      <c r="H4759" s="4" t="s">
        <v>16</v>
      </c>
      <c r="I4759" s="6">
        <v>75880</v>
      </c>
      <c r="J4759" s="6">
        <v>22500</v>
      </c>
      <c r="K4759" s="37" t="s">
        <v>7941</v>
      </c>
      <c r="L4759" s="119"/>
      <c r="M4759" s="3"/>
    </row>
    <row r="4760" spans="1:14" s="4" customFormat="1" ht="25.5" x14ac:dyDescent="0.25">
      <c r="A4760" s="4" t="s">
        <v>7113</v>
      </c>
      <c r="B4760" s="4" t="s">
        <v>13</v>
      </c>
      <c r="C4760" s="37" t="s">
        <v>7941</v>
      </c>
      <c r="D4760" s="35">
        <v>10051</v>
      </c>
      <c r="E4760" s="4" t="s">
        <v>7950</v>
      </c>
      <c r="F4760" s="5">
        <v>40071</v>
      </c>
      <c r="G4760" s="5">
        <v>40269</v>
      </c>
      <c r="H4760" s="4" t="s">
        <v>16</v>
      </c>
      <c r="I4760" s="6">
        <v>6428.12</v>
      </c>
      <c r="J4760" s="6">
        <v>960</v>
      </c>
      <c r="K4760" s="37" t="s">
        <v>7941</v>
      </c>
      <c r="L4760" s="119"/>
      <c r="M4760" s="3"/>
    </row>
    <row r="4761" spans="1:14" s="4" customFormat="1" ht="25.5" x14ac:dyDescent="0.25">
      <c r="A4761" s="4" t="s">
        <v>7951</v>
      </c>
      <c r="B4761" s="4" t="s">
        <v>13</v>
      </c>
      <c r="C4761" s="37" t="s">
        <v>7941</v>
      </c>
      <c r="D4761" s="35">
        <v>10069</v>
      </c>
      <c r="E4761" s="4" t="s">
        <v>7952</v>
      </c>
      <c r="F4761" s="5">
        <v>40812</v>
      </c>
      <c r="G4761" s="5">
        <v>40897</v>
      </c>
      <c r="H4761" s="4" t="s">
        <v>392</v>
      </c>
      <c r="I4761" s="6">
        <v>76967</v>
      </c>
      <c r="J4761" s="6">
        <v>26938</v>
      </c>
      <c r="K4761" s="37" t="s">
        <v>7941</v>
      </c>
      <c r="L4761" s="119"/>
      <c r="M4761" s="3"/>
    </row>
    <row r="4762" spans="1:14" s="4" customFormat="1" ht="51" x14ac:dyDescent="0.25">
      <c r="A4762" s="4" t="s">
        <v>7953</v>
      </c>
      <c r="B4762" s="4" t="s">
        <v>13</v>
      </c>
      <c r="C4762" s="37" t="s">
        <v>7941</v>
      </c>
      <c r="D4762" s="35">
        <v>10185</v>
      </c>
      <c r="E4762" s="4" t="s">
        <v>7954</v>
      </c>
      <c r="F4762" s="5">
        <v>41107</v>
      </c>
      <c r="G4762" s="5">
        <v>41528</v>
      </c>
      <c r="H4762" s="4" t="s">
        <v>392</v>
      </c>
      <c r="I4762" s="6">
        <v>1428500</v>
      </c>
      <c r="J4762" s="6">
        <v>449977.5</v>
      </c>
      <c r="K4762" s="37" t="s">
        <v>7941</v>
      </c>
      <c r="L4762" s="119"/>
      <c r="M4762" s="3"/>
    </row>
    <row r="4763" spans="1:14" s="4" customFormat="1" ht="38.25" x14ac:dyDescent="0.25">
      <c r="A4763" s="4" t="s">
        <v>7955</v>
      </c>
      <c r="B4763" s="4" t="s">
        <v>38</v>
      </c>
      <c r="C4763" s="37" t="s">
        <v>7941</v>
      </c>
      <c r="D4763" s="35">
        <v>1895</v>
      </c>
      <c r="E4763" s="4" t="s">
        <v>7956</v>
      </c>
      <c r="F4763" s="5">
        <v>39114</v>
      </c>
      <c r="G4763" s="5">
        <v>41639</v>
      </c>
      <c r="H4763" s="4" t="s">
        <v>40</v>
      </c>
      <c r="I4763" s="6">
        <f>107099.53+23239.35</f>
        <v>130338.88</v>
      </c>
      <c r="J4763" s="6">
        <f>107099.53+23239.35</f>
        <v>130338.88</v>
      </c>
      <c r="K4763" s="37" t="s">
        <v>7941</v>
      </c>
      <c r="L4763" s="119"/>
      <c r="M4763" s="3"/>
    </row>
    <row r="4764" spans="1:14" s="4" customFormat="1" ht="25.5" x14ac:dyDescent="0.25">
      <c r="A4764" s="4" t="s">
        <v>7957</v>
      </c>
      <c r="B4764" s="4" t="s">
        <v>38</v>
      </c>
      <c r="C4764" s="37" t="s">
        <v>7941</v>
      </c>
      <c r="D4764" s="35">
        <v>1898</v>
      </c>
      <c r="E4764" s="4" t="s">
        <v>7958</v>
      </c>
      <c r="F4764" s="5">
        <v>39479</v>
      </c>
      <c r="G4764" s="5">
        <v>39813</v>
      </c>
      <c r="H4764" s="4" t="s">
        <v>40</v>
      </c>
      <c r="I4764" s="6">
        <v>15380</v>
      </c>
      <c r="J4764" s="6">
        <v>15380</v>
      </c>
      <c r="K4764" s="37" t="s">
        <v>7941</v>
      </c>
      <c r="L4764" s="119"/>
      <c r="M4764" s="3"/>
    </row>
    <row r="4765" spans="1:14" s="4" customFormat="1" ht="25.5" x14ac:dyDescent="0.25">
      <c r="A4765" s="4" t="s">
        <v>7959</v>
      </c>
      <c r="B4765" s="4" t="s">
        <v>38</v>
      </c>
      <c r="C4765" s="37" t="s">
        <v>7941</v>
      </c>
      <c r="D4765" s="35">
        <v>1902</v>
      </c>
      <c r="E4765" s="4" t="s">
        <v>7960</v>
      </c>
      <c r="F4765" s="5">
        <v>39114</v>
      </c>
      <c r="G4765" s="5">
        <v>41273</v>
      </c>
      <c r="H4765" s="4" t="s">
        <v>40</v>
      </c>
      <c r="I4765" s="6">
        <f>15250.23+2203.6</f>
        <v>17453.829999999998</v>
      </c>
      <c r="J4765" s="6">
        <f>15250.23+2203.6</f>
        <v>17453.829999999998</v>
      </c>
      <c r="K4765" s="37" t="s">
        <v>7941</v>
      </c>
      <c r="L4765" s="119"/>
      <c r="M4765" s="3"/>
    </row>
    <row r="4766" spans="1:14" s="4" customFormat="1" ht="38.25" x14ac:dyDescent="0.25">
      <c r="A4766" s="4" t="s">
        <v>7961</v>
      </c>
      <c r="B4766" s="4" t="s">
        <v>38</v>
      </c>
      <c r="C4766" s="37" t="s">
        <v>7941</v>
      </c>
      <c r="D4766" s="35">
        <v>1905</v>
      </c>
      <c r="E4766" s="4" t="s">
        <v>7962</v>
      </c>
      <c r="F4766" s="5">
        <v>39114</v>
      </c>
      <c r="G4766" s="5">
        <v>41274</v>
      </c>
      <c r="H4766" s="4" t="s">
        <v>40</v>
      </c>
      <c r="I4766" s="6">
        <f>66936.78+5015.6</f>
        <v>71952.38</v>
      </c>
      <c r="J4766" s="6">
        <f>66936.78+5015.6</f>
        <v>71952.38</v>
      </c>
      <c r="K4766" s="37" t="s">
        <v>7941</v>
      </c>
      <c r="L4766" s="119"/>
      <c r="M4766" s="3"/>
    </row>
    <row r="4767" spans="1:14" s="4" customFormat="1" ht="25.5" x14ac:dyDescent="0.25">
      <c r="A4767" s="4" t="s">
        <v>7963</v>
      </c>
      <c r="B4767" s="4" t="s">
        <v>38</v>
      </c>
      <c r="C4767" s="37" t="s">
        <v>7941</v>
      </c>
      <c r="D4767" s="35">
        <v>1921</v>
      </c>
      <c r="E4767" s="4" t="s">
        <v>7964</v>
      </c>
      <c r="F4767" s="5">
        <v>39114</v>
      </c>
      <c r="G4767" s="5">
        <v>41639</v>
      </c>
      <c r="H4767" s="4" t="s">
        <v>40</v>
      </c>
      <c r="I4767" s="6">
        <f>5757+310</f>
        <v>6067</v>
      </c>
      <c r="J4767" s="6">
        <f>5757+310</f>
        <v>6067</v>
      </c>
      <c r="K4767" s="37" t="s">
        <v>7941</v>
      </c>
      <c r="L4767" s="119"/>
      <c r="M4767" s="3"/>
    </row>
    <row r="4768" spans="1:14" s="4" customFormat="1" ht="25.5" x14ac:dyDescent="0.25">
      <c r="A4768" s="4" t="s">
        <v>7965</v>
      </c>
      <c r="B4768" s="4" t="s">
        <v>13</v>
      </c>
      <c r="C4768" s="37" t="s">
        <v>7941</v>
      </c>
      <c r="D4768" s="35">
        <v>1923</v>
      </c>
      <c r="E4768" s="4" t="s">
        <v>7966</v>
      </c>
      <c r="F4768" s="5">
        <v>39114</v>
      </c>
      <c r="G4768" s="5">
        <v>41639</v>
      </c>
      <c r="H4768" s="4" t="s">
        <v>40</v>
      </c>
      <c r="I4768" s="6">
        <v>715</v>
      </c>
      <c r="J4768" s="6">
        <v>715</v>
      </c>
      <c r="K4768" s="37" t="s">
        <v>7941</v>
      </c>
      <c r="L4768" s="119"/>
      <c r="M4768" s="3"/>
    </row>
    <row r="4769" spans="1:13" s="4" customFormat="1" ht="25.5" x14ac:dyDescent="0.25">
      <c r="A4769" s="4" t="s">
        <v>7967</v>
      </c>
      <c r="B4769" s="4" t="s">
        <v>38</v>
      </c>
      <c r="C4769" s="37" t="s">
        <v>7941</v>
      </c>
      <c r="D4769" s="35">
        <v>1953</v>
      </c>
      <c r="E4769" s="4" t="s">
        <v>7968</v>
      </c>
      <c r="F4769" s="5">
        <v>39114</v>
      </c>
      <c r="G4769" s="5">
        <v>41639</v>
      </c>
      <c r="H4769" s="4" t="s">
        <v>40</v>
      </c>
      <c r="I4769" s="6">
        <v>9362</v>
      </c>
      <c r="J4769" s="6">
        <v>9362</v>
      </c>
      <c r="K4769" s="37" t="s">
        <v>7941</v>
      </c>
      <c r="L4769" s="119"/>
      <c r="M4769" s="3"/>
    </row>
    <row r="4770" spans="1:13" s="4" customFormat="1" ht="25.5" x14ac:dyDescent="0.25">
      <c r="A4770" s="4" t="s">
        <v>7969</v>
      </c>
      <c r="B4770" s="4" t="s">
        <v>38</v>
      </c>
      <c r="C4770" s="37" t="s">
        <v>7941</v>
      </c>
      <c r="D4770" s="35">
        <v>1954</v>
      </c>
      <c r="E4770" s="4" t="s">
        <v>7970</v>
      </c>
      <c r="F4770" s="5">
        <v>39114</v>
      </c>
      <c r="G4770" s="5">
        <v>41639</v>
      </c>
      <c r="H4770" s="4" t="s">
        <v>40</v>
      </c>
      <c r="I4770" s="6">
        <f>18802+2650.6</f>
        <v>21452.6</v>
      </c>
      <c r="J4770" s="6">
        <f>18802+2650.6</f>
        <v>21452.6</v>
      </c>
      <c r="K4770" s="37" t="s">
        <v>7941</v>
      </c>
      <c r="L4770" s="119"/>
      <c r="M4770" s="3"/>
    </row>
    <row r="4771" spans="1:13" s="4" customFormat="1" ht="25.5" x14ac:dyDescent="0.25">
      <c r="A4771" s="4" t="s">
        <v>7971</v>
      </c>
      <c r="B4771" s="4" t="s">
        <v>38</v>
      </c>
      <c r="C4771" s="37" t="s">
        <v>7941</v>
      </c>
      <c r="D4771" s="35">
        <v>1955</v>
      </c>
      <c r="E4771" s="4" t="s">
        <v>7972</v>
      </c>
      <c r="F4771" s="5">
        <v>39114</v>
      </c>
      <c r="G4771" s="5">
        <v>41639</v>
      </c>
      <c r="H4771" s="4" t="s">
        <v>40</v>
      </c>
      <c r="I4771" s="6">
        <v>14419.9</v>
      </c>
      <c r="J4771" s="6">
        <v>14419.9</v>
      </c>
      <c r="K4771" s="37" t="s">
        <v>7941</v>
      </c>
      <c r="L4771" s="119"/>
      <c r="M4771" s="3"/>
    </row>
    <row r="4772" spans="1:13" s="4" customFormat="1" ht="25.5" x14ac:dyDescent="0.25">
      <c r="A4772" s="4" t="s">
        <v>7973</v>
      </c>
      <c r="B4772" s="4" t="s">
        <v>38</v>
      </c>
      <c r="C4772" s="37" t="s">
        <v>7941</v>
      </c>
      <c r="D4772" s="35">
        <v>1956</v>
      </c>
      <c r="E4772" s="4" t="s">
        <v>7974</v>
      </c>
      <c r="F4772" s="5">
        <v>39114</v>
      </c>
      <c r="G4772" s="5">
        <v>39813</v>
      </c>
      <c r="H4772" s="4" t="s">
        <v>40</v>
      </c>
      <c r="I4772" s="6">
        <v>1045</v>
      </c>
      <c r="J4772" s="6">
        <v>1045</v>
      </c>
      <c r="K4772" s="37" t="s">
        <v>7941</v>
      </c>
      <c r="L4772" s="119"/>
      <c r="M4772" s="3"/>
    </row>
    <row r="4773" spans="1:13" s="4" customFormat="1" ht="25.5" x14ac:dyDescent="0.25">
      <c r="A4773" s="4" t="s">
        <v>7975</v>
      </c>
      <c r="B4773" s="4" t="s">
        <v>38</v>
      </c>
      <c r="C4773" s="37" t="s">
        <v>7941</v>
      </c>
      <c r="D4773" s="35">
        <v>1957</v>
      </c>
      <c r="E4773" s="4" t="s">
        <v>7976</v>
      </c>
      <c r="F4773" s="5">
        <v>39114</v>
      </c>
      <c r="G4773" s="5">
        <v>41639</v>
      </c>
      <c r="H4773" s="4" t="s">
        <v>40</v>
      </c>
      <c r="I4773" s="6">
        <v>4929</v>
      </c>
      <c r="J4773" s="6">
        <v>4929</v>
      </c>
      <c r="K4773" s="37" t="s">
        <v>7941</v>
      </c>
      <c r="L4773" s="119"/>
      <c r="M4773" s="3"/>
    </row>
    <row r="4774" spans="1:13" s="4" customFormat="1" ht="25.5" x14ac:dyDescent="0.25">
      <c r="A4774" s="4" t="s">
        <v>7977</v>
      </c>
      <c r="B4774" s="4" t="s">
        <v>38</v>
      </c>
      <c r="C4774" s="37" t="s">
        <v>7941</v>
      </c>
      <c r="D4774" s="35">
        <v>1958</v>
      </c>
      <c r="E4774" s="4" t="s">
        <v>7978</v>
      </c>
      <c r="F4774" s="5">
        <v>39114</v>
      </c>
      <c r="G4774" s="5">
        <v>41639</v>
      </c>
      <c r="H4774" s="4" t="s">
        <v>40</v>
      </c>
      <c r="I4774" s="6">
        <v>1670</v>
      </c>
      <c r="J4774" s="6">
        <v>1670</v>
      </c>
      <c r="K4774" s="37" t="s">
        <v>7941</v>
      </c>
      <c r="L4774" s="119"/>
      <c r="M4774" s="3"/>
    </row>
    <row r="4775" spans="1:13" s="4" customFormat="1" ht="25.5" x14ac:dyDescent="0.25">
      <c r="A4775" s="4" t="s">
        <v>7979</v>
      </c>
      <c r="B4775" s="4" t="s">
        <v>38</v>
      </c>
      <c r="C4775" s="37" t="s">
        <v>7941</v>
      </c>
      <c r="D4775" s="35">
        <v>1959</v>
      </c>
      <c r="E4775" s="4" t="s">
        <v>7980</v>
      </c>
      <c r="F4775" s="5">
        <v>39114</v>
      </c>
      <c r="G4775" s="5">
        <v>41639</v>
      </c>
      <c r="H4775" s="4" t="s">
        <v>40</v>
      </c>
      <c r="I4775" s="6">
        <v>1063.5</v>
      </c>
      <c r="J4775" s="6">
        <v>1063.5</v>
      </c>
      <c r="K4775" s="37" t="s">
        <v>7941</v>
      </c>
      <c r="L4775" s="119"/>
      <c r="M4775" s="3"/>
    </row>
    <row r="4776" spans="1:13" s="4" customFormat="1" ht="25.5" x14ac:dyDescent="0.25">
      <c r="A4776" s="4" t="s">
        <v>7981</v>
      </c>
      <c r="B4776" s="4" t="s">
        <v>38</v>
      </c>
      <c r="C4776" s="37" t="s">
        <v>7941</v>
      </c>
      <c r="D4776" s="35">
        <v>1986</v>
      </c>
      <c r="E4776" s="4" t="s">
        <v>7982</v>
      </c>
      <c r="F4776" s="5">
        <v>39114</v>
      </c>
      <c r="G4776" s="5">
        <v>39813</v>
      </c>
      <c r="H4776" s="4" t="s">
        <v>40</v>
      </c>
      <c r="I4776" s="6">
        <v>1965</v>
      </c>
      <c r="J4776" s="6">
        <v>1965</v>
      </c>
      <c r="K4776" s="37" t="s">
        <v>7941</v>
      </c>
      <c r="L4776" s="119"/>
      <c r="M4776" s="3"/>
    </row>
    <row r="4777" spans="1:13" s="4" customFormat="1" ht="25.5" x14ac:dyDescent="0.25">
      <c r="A4777" s="4" t="s">
        <v>7983</v>
      </c>
      <c r="B4777" s="4" t="s">
        <v>38</v>
      </c>
      <c r="C4777" s="37" t="s">
        <v>7941</v>
      </c>
      <c r="D4777" s="35">
        <v>1987</v>
      </c>
      <c r="E4777" s="4" t="s">
        <v>7984</v>
      </c>
      <c r="F4777" s="5">
        <v>39114</v>
      </c>
      <c r="G4777" s="5">
        <v>41639</v>
      </c>
      <c r="H4777" s="4" t="s">
        <v>40</v>
      </c>
      <c r="I4777" s="6">
        <f>29911.05+11366.6</f>
        <v>41277.65</v>
      </c>
      <c r="J4777" s="6">
        <f>29911.05+11366.6</f>
        <v>41277.65</v>
      </c>
      <c r="K4777" s="37" t="s">
        <v>7941</v>
      </c>
      <c r="L4777" s="119"/>
      <c r="M4777" s="3"/>
    </row>
    <row r="4778" spans="1:13" s="4" customFormat="1" ht="38.25" x14ac:dyDescent="0.25">
      <c r="A4778" s="4" t="s">
        <v>7985</v>
      </c>
      <c r="B4778" s="4" t="s">
        <v>38</v>
      </c>
      <c r="C4778" s="37" t="s">
        <v>7941</v>
      </c>
      <c r="D4778" s="35">
        <v>1988</v>
      </c>
      <c r="E4778" s="4" t="s">
        <v>7986</v>
      </c>
      <c r="F4778" s="5">
        <v>39114</v>
      </c>
      <c r="G4778" s="5">
        <v>41639</v>
      </c>
      <c r="H4778" s="4" t="s">
        <v>40</v>
      </c>
      <c r="I4778" s="6">
        <f>93049.24+6617.6</f>
        <v>99666.840000000011</v>
      </c>
      <c r="J4778" s="6">
        <f>93049.24+6617.6</f>
        <v>99666.840000000011</v>
      </c>
      <c r="K4778" s="37" t="s">
        <v>7941</v>
      </c>
      <c r="L4778" s="119"/>
      <c r="M4778" s="3"/>
    </row>
    <row r="4779" spans="1:13" s="4" customFormat="1" ht="25.5" x14ac:dyDescent="0.25">
      <c r="A4779" s="4" t="s">
        <v>7987</v>
      </c>
      <c r="B4779" s="4" t="s">
        <v>38</v>
      </c>
      <c r="C4779" s="37" t="s">
        <v>7941</v>
      </c>
      <c r="D4779" s="35">
        <v>1991</v>
      </c>
      <c r="E4779" s="4" t="s">
        <v>7988</v>
      </c>
      <c r="F4779" s="5">
        <v>39114</v>
      </c>
      <c r="G4779" s="5">
        <v>39813</v>
      </c>
      <c r="H4779" s="4" t="s">
        <v>40</v>
      </c>
      <c r="I4779" s="6">
        <v>1875</v>
      </c>
      <c r="J4779" s="6">
        <v>1875</v>
      </c>
      <c r="K4779" s="37" t="s">
        <v>7941</v>
      </c>
      <c r="L4779" s="119"/>
      <c r="M4779" s="3"/>
    </row>
    <row r="4780" spans="1:13" s="4" customFormat="1" ht="25.5" x14ac:dyDescent="0.25">
      <c r="A4780" s="4" t="s">
        <v>7989</v>
      </c>
      <c r="B4780" s="4" t="s">
        <v>38</v>
      </c>
      <c r="C4780" s="37" t="s">
        <v>7941</v>
      </c>
      <c r="D4780" s="35">
        <v>1995</v>
      </c>
      <c r="E4780" s="4" t="s">
        <v>7990</v>
      </c>
      <c r="F4780" s="5">
        <v>39114</v>
      </c>
      <c r="G4780" s="5">
        <v>39813</v>
      </c>
      <c r="H4780" s="4" t="s">
        <v>40</v>
      </c>
      <c r="I4780" s="6">
        <v>1163.07</v>
      </c>
      <c r="J4780" s="6">
        <v>1163.07</v>
      </c>
      <c r="K4780" s="37" t="s">
        <v>7941</v>
      </c>
      <c r="L4780" s="119"/>
      <c r="M4780" s="3"/>
    </row>
    <row r="4781" spans="1:13" s="4" customFormat="1" ht="25.5" x14ac:dyDescent="0.25">
      <c r="A4781" s="4" t="s">
        <v>7991</v>
      </c>
      <c r="B4781" s="4" t="s">
        <v>38</v>
      </c>
      <c r="C4781" s="37" t="s">
        <v>7941</v>
      </c>
      <c r="D4781" s="35">
        <v>1998</v>
      </c>
      <c r="E4781" s="4" t="s">
        <v>7992</v>
      </c>
      <c r="F4781" s="5">
        <v>39114</v>
      </c>
      <c r="G4781" s="5">
        <v>39813</v>
      </c>
      <c r="H4781" s="4" t="s">
        <v>40</v>
      </c>
      <c r="I4781" s="6">
        <v>675</v>
      </c>
      <c r="J4781" s="6">
        <v>675</v>
      </c>
      <c r="K4781" s="37" t="s">
        <v>7941</v>
      </c>
      <c r="L4781" s="119"/>
      <c r="M4781" s="3"/>
    </row>
    <row r="4782" spans="1:13" s="4" customFormat="1" ht="25.5" x14ac:dyDescent="0.25">
      <c r="A4782" s="4" t="s">
        <v>7993</v>
      </c>
      <c r="B4782" s="4" t="s">
        <v>38</v>
      </c>
      <c r="C4782" s="37" t="s">
        <v>7941</v>
      </c>
      <c r="D4782" s="35">
        <v>2008</v>
      </c>
      <c r="E4782" s="4" t="s">
        <v>7994</v>
      </c>
      <c r="F4782" s="5">
        <v>39114</v>
      </c>
      <c r="G4782" s="5">
        <v>41639</v>
      </c>
      <c r="H4782" s="4" t="s">
        <v>40</v>
      </c>
      <c r="I4782" s="6">
        <v>2245</v>
      </c>
      <c r="J4782" s="6">
        <v>2245</v>
      </c>
      <c r="K4782" s="37" t="s">
        <v>7941</v>
      </c>
      <c r="L4782" s="119"/>
      <c r="M4782" s="3"/>
    </row>
    <row r="4783" spans="1:13" s="4" customFormat="1" ht="25.5" x14ac:dyDescent="0.25">
      <c r="A4783" s="4" t="s">
        <v>7995</v>
      </c>
      <c r="B4783" s="4" t="s">
        <v>38</v>
      </c>
      <c r="C4783" s="37" t="s">
        <v>7941</v>
      </c>
      <c r="D4783" s="35">
        <v>2035</v>
      </c>
      <c r="E4783" s="4" t="s">
        <v>7996</v>
      </c>
      <c r="F4783" s="5">
        <v>39114</v>
      </c>
      <c r="G4783" s="5">
        <v>41274</v>
      </c>
      <c r="H4783" s="4" t="s">
        <v>40</v>
      </c>
      <c r="I4783" s="6">
        <v>13962.23</v>
      </c>
      <c r="J4783" s="6">
        <v>13962.23</v>
      </c>
      <c r="K4783" s="37" t="s">
        <v>7941</v>
      </c>
      <c r="L4783" s="119"/>
      <c r="M4783" s="3"/>
    </row>
    <row r="4784" spans="1:13" s="4" customFormat="1" ht="25.5" x14ac:dyDescent="0.25">
      <c r="A4784" s="4" t="s">
        <v>7997</v>
      </c>
      <c r="B4784" s="4" t="s">
        <v>38</v>
      </c>
      <c r="C4784" s="37" t="s">
        <v>7941</v>
      </c>
      <c r="D4784" s="35">
        <v>2038</v>
      </c>
      <c r="E4784" s="4" t="s">
        <v>7998</v>
      </c>
      <c r="F4784" s="5">
        <v>39114</v>
      </c>
      <c r="G4784" s="5">
        <v>41639</v>
      </c>
      <c r="H4784" s="4" t="s">
        <v>40</v>
      </c>
      <c r="I4784" s="6">
        <v>1095.4000000000001</v>
      </c>
      <c r="J4784" s="6">
        <v>1095.4000000000001</v>
      </c>
      <c r="K4784" s="37" t="s">
        <v>7941</v>
      </c>
      <c r="L4784" s="119"/>
      <c r="M4784" s="3"/>
    </row>
    <row r="4785" spans="1:13" s="4" customFormat="1" ht="25.5" x14ac:dyDescent="0.25">
      <c r="A4785" s="4" t="s">
        <v>7999</v>
      </c>
      <c r="B4785" s="4" t="s">
        <v>38</v>
      </c>
      <c r="C4785" s="37" t="s">
        <v>7941</v>
      </c>
      <c r="D4785" s="35">
        <v>2041</v>
      </c>
      <c r="E4785" s="4" t="s">
        <v>8000</v>
      </c>
      <c r="F4785" s="5">
        <v>39114</v>
      </c>
      <c r="G4785" s="5">
        <v>41639</v>
      </c>
      <c r="H4785" s="4" t="s">
        <v>40</v>
      </c>
      <c r="I4785" s="6">
        <v>1436</v>
      </c>
      <c r="J4785" s="6">
        <v>1436</v>
      </c>
      <c r="K4785" s="37" t="s">
        <v>7941</v>
      </c>
      <c r="L4785" s="119"/>
      <c r="M4785" s="3"/>
    </row>
    <row r="4786" spans="1:13" s="4" customFormat="1" ht="25.5" x14ac:dyDescent="0.25">
      <c r="A4786" s="4" t="s">
        <v>8001</v>
      </c>
      <c r="B4786" s="4" t="s">
        <v>38</v>
      </c>
      <c r="C4786" s="37" t="s">
        <v>7941</v>
      </c>
      <c r="D4786" s="35">
        <v>2044</v>
      </c>
      <c r="E4786" s="4" t="s">
        <v>8002</v>
      </c>
      <c r="F4786" s="5">
        <v>39114</v>
      </c>
      <c r="G4786" s="5">
        <v>41639</v>
      </c>
      <c r="H4786" s="4" t="s">
        <v>40</v>
      </c>
      <c r="I4786" s="6">
        <v>2265</v>
      </c>
      <c r="J4786" s="6">
        <v>2265</v>
      </c>
      <c r="K4786" s="37" t="s">
        <v>7941</v>
      </c>
      <c r="L4786" s="119"/>
      <c r="M4786" s="3"/>
    </row>
    <row r="4787" spans="1:13" s="4" customFormat="1" ht="25.5" x14ac:dyDescent="0.25">
      <c r="A4787" s="4" t="s">
        <v>8003</v>
      </c>
      <c r="B4787" s="4" t="s">
        <v>38</v>
      </c>
      <c r="C4787" s="37" t="s">
        <v>7941</v>
      </c>
      <c r="D4787" s="35">
        <v>2047</v>
      </c>
      <c r="E4787" s="4" t="s">
        <v>8004</v>
      </c>
      <c r="F4787" s="5">
        <v>39114</v>
      </c>
      <c r="G4787" s="5">
        <v>39813</v>
      </c>
      <c r="H4787" s="4" t="s">
        <v>40</v>
      </c>
      <c r="I4787" s="6">
        <v>3403.6</v>
      </c>
      <c r="J4787" s="6">
        <v>3403.6</v>
      </c>
      <c r="K4787" s="37" t="s">
        <v>7941</v>
      </c>
      <c r="L4787" s="119"/>
      <c r="M4787" s="3"/>
    </row>
    <row r="4788" spans="1:13" s="4" customFormat="1" ht="25.5" x14ac:dyDescent="0.25">
      <c r="A4788" s="4" t="s">
        <v>8005</v>
      </c>
      <c r="B4788" s="4" t="s">
        <v>38</v>
      </c>
      <c r="C4788" s="37" t="s">
        <v>7941</v>
      </c>
      <c r="D4788" s="35">
        <v>2048</v>
      </c>
      <c r="E4788" s="4" t="s">
        <v>8006</v>
      </c>
      <c r="F4788" s="5">
        <v>39114</v>
      </c>
      <c r="G4788" s="5">
        <v>41639</v>
      </c>
      <c r="H4788" s="4" t="s">
        <v>40</v>
      </c>
      <c r="I4788" s="6">
        <v>3376</v>
      </c>
      <c r="J4788" s="6">
        <v>3376</v>
      </c>
      <c r="K4788" s="37" t="s">
        <v>7941</v>
      </c>
      <c r="L4788" s="119"/>
      <c r="M4788" s="3"/>
    </row>
    <row r="4789" spans="1:13" s="4" customFormat="1" ht="25.5" x14ac:dyDescent="0.25">
      <c r="A4789" s="4" t="s">
        <v>8007</v>
      </c>
      <c r="B4789" s="4" t="s">
        <v>38</v>
      </c>
      <c r="C4789" s="37" t="s">
        <v>7941</v>
      </c>
      <c r="D4789" s="35">
        <v>2071</v>
      </c>
      <c r="E4789" s="4" t="s">
        <v>8008</v>
      </c>
      <c r="F4789" s="5">
        <v>39114</v>
      </c>
      <c r="G4789" s="5">
        <v>41638</v>
      </c>
      <c r="H4789" s="4" t="s">
        <v>40</v>
      </c>
      <c r="I4789" s="6">
        <v>875</v>
      </c>
      <c r="J4789" s="6">
        <v>875</v>
      </c>
      <c r="K4789" s="37" t="s">
        <v>7941</v>
      </c>
      <c r="L4789" s="119"/>
      <c r="M4789" s="3"/>
    </row>
    <row r="4790" spans="1:13" s="4" customFormat="1" ht="25.5" x14ac:dyDescent="0.25">
      <c r="A4790" s="4" t="s">
        <v>8009</v>
      </c>
      <c r="B4790" s="4" t="s">
        <v>38</v>
      </c>
      <c r="C4790" s="37" t="s">
        <v>7941</v>
      </c>
      <c r="D4790" s="35">
        <v>2088</v>
      </c>
      <c r="E4790" s="4" t="s">
        <v>8010</v>
      </c>
      <c r="F4790" s="5">
        <v>39114</v>
      </c>
      <c r="G4790" s="5">
        <v>41639</v>
      </c>
      <c r="H4790" s="4" t="s">
        <v>40</v>
      </c>
      <c r="I4790" s="6">
        <v>1460</v>
      </c>
      <c r="J4790" s="6">
        <v>1460</v>
      </c>
      <c r="K4790" s="37" t="s">
        <v>7941</v>
      </c>
      <c r="L4790" s="119"/>
      <c r="M4790" s="3"/>
    </row>
    <row r="4791" spans="1:13" s="4" customFormat="1" ht="25.5" x14ac:dyDescent="0.25">
      <c r="A4791" s="4" t="s">
        <v>8011</v>
      </c>
      <c r="B4791" s="4" t="s">
        <v>38</v>
      </c>
      <c r="C4791" s="37" t="s">
        <v>7941</v>
      </c>
      <c r="D4791" s="35">
        <v>2093</v>
      </c>
      <c r="E4791" s="4" t="s">
        <v>8012</v>
      </c>
      <c r="F4791" s="5">
        <v>39114</v>
      </c>
      <c r="G4791" s="5">
        <v>41639</v>
      </c>
      <c r="H4791" s="4" t="s">
        <v>40</v>
      </c>
      <c r="I4791" s="6">
        <v>6055</v>
      </c>
      <c r="J4791" s="6">
        <v>6055</v>
      </c>
      <c r="K4791" s="37" t="s">
        <v>7941</v>
      </c>
      <c r="L4791" s="119"/>
      <c r="M4791" s="3"/>
    </row>
    <row r="4792" spans="1:13" s="4" customFormat="1" ht="25.5" x14ac:dyDescent="0.25">
      <c r="A4792" s="4" t="s">
        <v>8013</v>
      </c>
      <c r="B4792" s="4" t="s">
        <v>38</v>
      </c>
      <c r="C4792" s="37" t="s">
        <v>7941</v>
      </c>
      <c r="D4792" s="35">
        <v>2095</v>
      </c>
      <c r="E4792" s="4" t="s">
        <v>8014</v>
      </c>
      <c r="F4792" s="5">
        <v>39114</v>
      </c>
      <c r="G4792" s="5">
        <v>41638</v>
      </c>
      <c r="H4792" s="4" t="s">
        <v>40</v>
      </c>
      <c r="I4792" s="6">
        <f>205389.83+19331.2</f>
        <v>224721.03</v>
      </c>
      <c r="J4792" s="6">
        <f>205389.83+19331.2</f>
        <v>224721.03</v>
      </c>
      <c r="K4792" s="37" t="s">
        <v>7941</v>
      </c>
      <c r="L4792" s="119"/>
      <c r="M4792" s="3"/>
    </row>
    <row r="4793" spans="1:13" s="4" customFormat="1" ht="25.5" x14ac:dyDescent="0.25">
      <c r="A4793" s="4" t="s">
        <v>8015</v>
      </c>
      <c r="B4793" s="4" t="s">
        <v>38</v>
      </c>
      <c r="C4793" s="37" t="s">
        <v>7941</v>
      </c>
      <c r="D4793" s="35">
        <v>2190</v>
      </c>
      <c r="E4793" s="4" t="s">
        <v>8016</v>
      </c>
      <c r="F4793" s="5">
        <v>39114</v>
      </c>
      <c r="G4793" s="5">
        <v>41274</v>
      </c>
      <c r="H4793" s="4" t="s">
        <v>40</v>
      </c>
      <c r="I4793" s="6">
        <f>105482.7+20996.6</f>
        <v>126479.29999999999</v>
      </c>
      <c r="J4793" s="6">
        <f>105482.7+20996.6</f>
        <v>126479.29999999999</v>
      </c>
      <c r="K4793" s="37" t="s">
        <v>7941</v>
      </c>
      <c r="L4793" s="119"/>
      <c r="M4793" s="3"/>
    </row>
    <row r="4794" spans="1:13" s="4" customFormat="1" ht="25.5" x14ac:dyDescent="0.25">
      <c r="A4794" s="4" t="s">
        <v>8017</v>
      </c>
      <c r="B4794" s="4" t="s">
        <v>38</v>
      </c>
      <c r="C4794" s="37" t="s">
        <v>7941</v>
      </c>
      <c r="D4794" s="35">
        <v>2191</v>
      </c>
      <c r="E4794" s="4" t="s">
        <v>8018</v>
      </c>
      <c r="F4794" s="5">
        <v>39114</v>
      </c>
      <c r="G4794" s="5">
        <v>41639</v>
      </c>
      <c r="H4794" s="4" t="s">
        <v>40</v>
      </c>
      <c r="I4794" s="6">
        <v>16515.89</v>
      </c>
      <c r="J4794" s="6">
        <v>16515.89</v>
      </c>
      <c r="K4794" s="37" t="s">
        <v>7941</v>
      </c>
      <c r="L4794" s="119"/>
      <c r="M4794" s="3"/>
    </row>
    <row r="4795" spans="1:13" s="4" customFormat="1" ht="25.5" x14ac:dyDescent="0.25">
      <c r="A4795" s="4" t="s">
        <v>8019</v>
      </c>
      <c r="B4795" s="4" t="s">
        <v>38</v>
      </c>
      <c r="C4795" s="37" t="s">
        <v>7941</v>
      </c>
      <c r="D4795" s="35">
        <v>2192</v>
      </c>
      <c r="E4795" s="4" t="s">
        <v>8020</v>
      </c>
      <c r="F4795" s="5">
        <v>39479</v>
      </c>
      <c r="G4795" s="5">
        <v>41639</v>
      </c>
      <c r="H4795" s="4" t="s">
        <v>40</v>
      </c>
      <c r="I4795" s="6">
        <v>21905.51</v>
      </c>
      <c r="J4795" s="6">
        <v>21905.51</v>
      </c>
      <c r="K4795" s="37" t="s">
        <v>7941</v>
      </c>
      <c r="L4795" s="119"/>
      <c r="M4795" s="3"/>
    </row>
    <row r="4796" spans="1:13" s="4" customFormat="1" ht="38.25" x14ac:dyDescent="0.25">
      <c r="A4796" s="4" t="s">
        <v>8021</v>
      </c>
      <c r="B4796" s="4" t="s">
        <v>38</v>
      </c>
      <c r="C4796" s="37" t="s">
        <v>7941</v>
      </c>
      <c r="D4796" s="35">
        <v>2193</v>
      </c>
      <c r="E4796" s="4" t="s">
        <v>8022</v>
      </c>
      <c r="F4796" s="5">
        <v>39114</v>
      </c>
      <c r="G4796" s="5">
        <v>41639</v>
      </c>
      <c r="H4796" s="4" t="s">
        <v>40</v>
      </c>
      <c r="I4796" s="6">
        <v>89102.21</v>
      </c>
      <c r="J4796" s="6">
        <v>89102.21</v>
      </c>
      <c r="K4796" s="37" t="s">
        <v>7941</v>
      </c>
      <c r="L4796" s="119"/>
      <c r="M4796" s="3"/>
    </row>
    <row r="4797" spans="1:13" s="4" customFormat="1" ht="51" x14ac:dyDescent="0.25">
      <c r="A4797" s="4" t="s">
        <v>8023</v>
      </c>
      <c r="B4797" s="4" t="s">
        <v>38</v>
      </c>
      <c r="C4797" s="37" t="s">
        <v>7941</v>
      </c>
      <c r="D4797" s="35">
        <v>2194</v>
      </c>
      <c r="E4797" s="4" t="s">
        <v>8024</v>
      </c>
      <c r="F4797" s="5">
        <v>39114</v>
      </c>
      <c r="G4797" s="5">
        <v>41639</v>
      </c>
      <c r="H4797" s="4" t="s">
        <v>40</v>
      </c>
      <c r="I4797" s="6">
        <f>20026.74+297.5</f>
        <v>20324.240000000002</v>
      </c>
      <c r="J4797" s="6">
        <f>20026.74+297.5</f>
        <v>20324.240000000002</v>
      </c>
      <c r="K4797" s="37" t="s">
        <v>7941</v>
      </c>
      <c r="L4797" s="119"/>
      <c r="M4797" s="3"/>
    </row>
    <row r="4798" spans="1:13" s="4" customFormat="1" ht="25.5" x14ac:dyDescent="0.25">
      <c r="A4798" s="4" t="s">
        <v>8025</v>
      </c>
      <c r="B4798" s="4" t="s">
        <v>38</v>
      </c>
      <c r="C4798" s="37" t="s">
        <v>7941</v>
      </c>
      <c r="D4798" s="35">
        <v>2195</v>
      </c>
      <c r="E4798" s="4" t="s">
        <v>8026</v>
      </c>
      <c r="F4798" s="5">
        <v>39114</v>
      </c>
      <c r="G4798" s="5">
        <v>41639</v>
      </c>
      <c r="H4798" s="4" t="s">
        <v>40</v>
      </c>
      <c r="I4798" s="6">
        <f>6928.2</f>
        <v>6928.2</v>
      </c>
      <c r="J4798" s="6">
        <f>6928.2</f>
        <v>6928.2</v>
      </c>
      <c r="K4798" s="37" t="s">
        <v>7941</v>
      </c>
      <c r="L4798" s="119"/>
      <c r="M4798" s="3"/>
    </row>
    <row r="4799" spans="1:13" s="4" customFormat="1" ht="25.5" x14ac:dyDescent="0.25">
      <c r="A4799" s="4" t="s">
        <v>8027</v>
      </c>
      <c r="B4799" s="4" t="s">
        <v>38</v>
      </c>
      <c r="C4799" s="37" t="s">
        <v>7941</v>
      </c>
      <c r="D4799" s="35">
        <v>2196</v>
      </c>
      <c r="E4799" s="4" t="s">
        <v>8028</v>
      </c>
      <c r="F4799" s="5">
        <v>39114</v>
      </c>
      <c r="G4799" s="5">
        <v>39813</v>
      </c>
      <c r="H4799" s="4" t="s">
        <v>40</v>
      </c>
      <c r="I4799" s="6">
        <f>300+5954.95</f>
        <v>6254.95</v>
      </c>
      <c r="J4799" s="6">
        <f>300+5954.95</f>
        <v>6254.95</v>
      </c>
      <c r="K4799" s="37" t="s">
        <v>7941</v>
      </c>
      <c r="L4799" s="119"/>
      <c r="M4799" s="3"/>
    </row>
    <row r="4800" spans="1:13" s="4" customFormat="1" ht="63.75" x14ac:dyDescent="0.25">
      <c r="A4800" s="4" t="s">
        <v>8029</v>
      </c>
      <c r="B4800" s="4" t="s">
        <v>38</v>
      </c>
      <c r="C4800" s="37" t="s">
        <v>7941</v>
      </c>
      <c r="D4800" s="35">
        <v>2197</v>
      </c>
      <c r="E4800" s="4" t="s">
        <v>8030</v>
      </c>
      <c r="F4800" s="5">
        <v>39114</v>
      </c>
      <c r="G4800" s="5">
        <v>41639</v>
      </c>
      <c r="H4800" s="4" t="s">
        <v>40</v>
      </c>
      <c r="I4800" s="6">
        <v>12926.45</v>
      </c>
      <c r="J4800" s="6">
        <v>12926.45</v>
      </c>
      <c r="K4800" s="37" t="s">
        <v>7941</v>
      </c>
      <c r="L4800" s="119"/>
      <c r="M4800" s="3"/>
    </row>
    <row r="4801" spans="1:13" s="4" customFormat="1" ht="25.5" x14ac:dyDescent="0.25">
      <c r="A4801" s="4" t="s">
        <v>8031</v>
      </c>
      <c r="B4801" s="4" t="s">
        <v>38</v>
      </c>
      <c r="C4801" s="37" t="s">
        <v>7941</v>
      </c>
      <c r="D4801" s="35">
        <v>2198</v>
      </c>
      <c r="E4801" s="4" t="s">
        <v>8032</v>
      </c>
      <c r="F4801" s="5">
        <v>39479</v>
      </c>
      <c r="G4801" s="5">
        <v>41639</v>
      </c>
      <c r="H4801" s="4" t="s">
        <v>40</v>
      </c>
      <c r="I4801" s="6">
        <v>3000</v>
      </c>
      <c r="J4801" s="6">
        <v>3000</v>
      </c>
      <c r="K4801" s="37" t="s">
        <v>7941</v>
      </c>
      <c r="L4801" s="119"/>
      <c r="M4801" s="3"/>
    </row>
    <row r="4802" spans="1:13" s="4" customFormat="1" ht="25.5" x14ac:dyDescent="0.25">
      <c r="A4802" s="4" t="s">
        <v>8033</v>
      </c>
      <c r="B4802" s="4" t="s">
        <v>38</v>
      </c>
      <c r="C4802" s="37" t="s">
        <v>7941</v>
      </c>
      <c r="D4802" s="35">
        <v>2199</v>
      </c>
      <c r="E4802" s="4" t="s">
        <v>8034</v>
      </c>
      <c r="F4802" s="5">
        <v>39692</v>
      </c>
      <c r="G4802" s="5">
        <v>41274</v>
      </c>
      <c r="H4802" s="4" t="s">
        <v>40</v>
      </c>
      <c r="I4802" s="6">
        <f>15421.38+2170.7</f>
        <v>17592.079999999998</v>
      </c>
      <c r="J4802" s="6">
        <f>15421.38+2170.7</f>
        <v>17592.079999999998</v>
      </c>
      <c r="K4802" s="37" t="s">
        <v>7941</v>
      </c>
      <c r="L4802" s="119"/>
      <c r="M4802" s="3"/>
    </row>
    <row r="4803" spans="1:13" s="4" customFormat="1" ht="25.5" x14ac:dyDescent="0.25">
      <c r="A4803" s="4" t="s">
        <v>8035</v>
      </c>
      <c r="B4803" s="4" t="s">
        <v>38</v>
      </c>
      <c r="C4803" s="37" t="s">
        <v>7941</v>
      </c>
      <c r="D4803" s="35">
        <v>2201</v>
      </c>
      <c r="E4803" s="4" t="s">
        <v>8036</v>
      </c>
      <c r="F4803" s="5">
        <v>39479</v>
      </c>
      <c r="G4803" s="5">
        <v>41639</v>
      </c>
      <c r="H4803" s="4" t="s">
        <v>40</v>
      </c>
      <c r="I4803" s="6">
        <v>443</v>
      </c>
      <c r="J4803" s="6">
        <v>443</v>
      </c>
      <c r="K4803" s="37" t="s">
        <v>7941</v>
      </c>
      <c r="L4803" s="119"/>
      <c r="M4803" s="3"/>
    </row>
    <row r="4804" spans="1:13" s="4" customFormat="1" ht="25.5" x14ac:dyDescent="0.25">
      <c r="A4804" s="4" t="s">
        <v>8037</v>
      </c>
      <c r="B4804" s="4" t="s">
        <v>38</v>
      </c>
      <c r="C4804" s="37" t="s">
        <v>7941</v>
      </c>
      <c r="D4804" s="35">
        <v>2208</v>
      </c>
      <c r="E4804" s="4" t="s">
        <v>8038</v>
      </c>
      <c r="F4804" s="5">
        <v>39114</v>
      </c>
      <c r="G4804" s="5">
        <v>40907</v>
      </c>
      <c r="H4804" s="4" t="s">
        <v>40</v>
      </c>
      <c r="I4804" s="6">
        <v>13381.07</v>
      </c>
      <c r="J4804" s="6">
        <v>13381.07</v>
      </c>
      <c r="K4804" s="37" t="s">
        <v>7941</v>
      </c>
      <c r="L4804" s="119"/>
      <c r="M4804" s="3"/>
    </row>
    <row r="4805" spans="1:13" s="4" customFormat="1" ht="25.5" x14ac:dyDescent="0.25">
      <c r="A4805" s="4" t="s">
        <v>8039</v>
      </c>
      <c r="B4805" s="4" t="s">
        <v>38</v>
      </c>
      <c r="C4805" s="37" t="s">
        <v>7941</v>
      </c>
      <c r="D4805" s="35">
        <v>2210</v>
      </c>
      <c r="E4805" s="4" t="s">
        <v>8040</v>
      </c>
      <c r="F4805" s="5">
        <v>39479</v>
      </c>
      <c r="G4805" s="5">
        <v>41639</v>
      </c>
      <c r="H4805" s="4" t="s">
        <v>40</v>
      </c>
      <c r="I4805" s="6">
        <v>4964.1000000000004</v>
      </c>
      <c r="J4805" s="6">
        <v>4964.1000000000004</v>
      </c>
      <c r="K4805" s="37" t="s">
        <v>7941</v>
      </c>
      <c r="L4805" s="119"/>
      <c r="M4805" s="3"/>
    </row>
    <row r="4806" spans="1:13" s="4" customFormat="1" ht="25.5" x14ac:dyDescent="0.25">
      <c r="A4806" s="4" t="s">
        <v>8041</v>
      </c>
      <c r="B4806" s="4" t="s">
        <v>38</v>
      </c>
      <c r="C4806" s="37" t="s">
        <v>7941</v>
      </c>
      <c r="D4806" s="35">
        <v>2212</v>
      </c>
      <c r="E4806" s="4" t="s">
        <v>8042</v>
      </c>
      <c r="F4806" s="5">
        <v>39114</v>
      </c>
      <c r="G4806" s="5">
        <v>41274</v>
      </c>
      <c r="H4806" s="4" t="s">
        <v>40</v>
      </c>
      <c r="I4806" s="6">
        <f>43484.23+6054.1</f>
        <v>49538.33</v>
      </c>
      <c r="J4806" s="6">
        <f>43484.23+6054.1</f>
        <v>49538.33</v>
      </c>
      <c r="K4806" s="37" t="s">
        <v>7941</v>
      </c>
      <c r="L4806" s="119"/>
      <c r="M4806" s="3"/>
    </row>
    <row r="4807" spans="1:13" s="4" customFormat="1" ht="25.5" x14ac:dyDescent="0.25">
      <c r="A4807" s="4" t="s">
        <v>8043</v>
      </c>
      <c r="B4807" s="4" t="s">
        <v>183</v>
      </c>
      <c r="C4807" s="37" t="s">
        <v>7941</v>
      </c>
      <c r="D4807" s="35">
        <v>2213</v>
      </c>
      <c r="E4807" s="4" t="s">
        <v>8044</v>
      </c>
      <c r="F4807" s="5">
        <v>39114</v>
      </c>
      <c r="G4807" s="5">
        <v>39813</v>
      </c>
      <c r="H4807" s="4" t="s">
        <v>40</v>
      </c>
      <c r="I4807" s="6">
        <v>1517</v>
      </c>
      <c r="J4807" s="6">
        <v>1517</v>
      </c>
      <c r="K4807" s="37" t="s">
        <v>7941</v>
      </c>
      <c r="L4807" s="119"/>
      <c r="M4807" s="3"/>
    </row>
    <row r="4808" spans="1:13" s="4" customFormat="1" ht="25.5" x14ac:dyDescent="0.25">
      <c r="A4808" s="4" t="s">
        <v>2284</v>
      </c>
      <c r="B4808" s="4" t="s">
        <v>38</v>
      </c>
      <c r="C4808" s="37" t="s">
        <v>7941</v>
      </c>
      <c r="D4808" s="35">
        <v>2215</v>
      </c>
      <c r="E4808" s="4" t="s">
        <v>8045</v>
      </c>
      <c r="F4808" s="5">
        <v>39114</v>
      </c>
      <c r="G4808" s="5">
        <v>41274</v>
      </c>
      <c r="H4808" s="4" t="s">
        <v>40</v>
      </c>
      <c r="I4808" s="6">
        <f>214521.08+27877.95</f>
        <v>242399.03</v>
      </c>
      <c r="J4808" s="6">
        <f>214521.08+27877.95</f>
        <v>242399.03</v>
      </c>
      <c r="K4808" s="37" t="s">
        <v>7941</v>
      </c>
      <c r="L4808" s="119"/>
      <c r="M4808" s="3"/>
    </row>
    <row r="4809" spans="1:13" s="4" customFormat="1" ht="25.5" x14ac:dyDescent="0.25">
      <c r="A4809" s="4" t="s">
        <v>8048</v>
      </c>
      <c r="B4809" s="4" t="s">
        <v>38</v>
      </c>
      <c r="C4809" s="37" t="s">
        <v>7941</v>
      </c>
      <c r="D4809" s="35">
        <v>2221</v>
      </c>
      <c r="E4809" s="4" t="s">
        <v>8049</v>
      </c>
      <c r="F4809" s="5">
        <v>39114</v>
      </c>
      <c r="G4809" s="5">
        <v>41274</v>
      </c>
      <c r="H4809" s="4" t="s">
        <v>40</v>
      </c>
      <c r="I4809" s="6">
        <f>4960.23+350</f>
        <v>5310.23</v>
      </c>
      <c r="J4809" s="6">
        <f>4960.23+350</f>
        <v>5310.23</v>
      </c>
      <c r="K4809" s="37" t="s">
        <v>7941</v>
      </c>
      <c r="L4809" s="119"/>
      <c r="M4809" s="3"/>
    </row>
    <row r="4810" spans="1:13" s="4" customFormat="1" ht="25.5" x14ac:dyDescent="0.25">
      <c r="A4810" s="4" t="s">
        <v>6297</v>
      </c>
      <c r="B4810" s="4" t="s">
        <v>38</v>
      </c>
      <c r="C4810" s="37" t="s">
        <v>7941</v>
      </c>
      <c r="D4810" s="35">
        <v>2222</v>
      </c>
      <c r="E4810" s="4" t="s">
        <v>8050</v>
      </c>
      <c r="F4810" s="5">
        <v>39114</v>
      </c>
      <c r="G4810" s="5">
        <v>41639</v>
      </c>
      <c r="H4810" s="4" t="s">
        <v>40</v>
      </c>
      <c r="I4810" s="6">
        <v>1000</v>
      </c>
      <c r="J4810" s="6">
        <v>1000</v>
      </c>
      <c r="K4810" s="37" t="s">
        <v>7941</v>
      </c>
      <c r="L4810" s="119"/>
      <c r="M4810" s="3"/>
    </row>
    <row r="4811" spans="1:13" s="4" customFormat="1" ht="25.5" x14ac:dyDescent="0.25">
      <c r="A4811" s="4" t="s">
        <v>8051</v>
      </c>
      <c r="B4811" s="4" t="s">
        <v>183</v>
      </c>
      <c r="C4811" s="37" t="s">
        <v>7941</v>
      </c>
      <c r="D4811" s="35">
        <v>2223</v>
      </c>
      <c r="E4811" s="4" t="s">
        <v>8052</v>
      </c>
      <c r="F4811" s="5">
        <v>39114</v>
      </c>
      <c r="G4811" s="5">
        <v>41639</v>
      </c>
      <c r="H4811" s="4" t="s">
        <v>40</v>
      </c>
      <c r="I4811" s="6">
        <v>1896.55</v>
      </c>
      <c r="J4811" s="6">
        <v>1896.55</v>
      </c>
      <c r="K4811" s="37" t="s">
        <v>7941</v>
      </c>
      <c r="L4811" s="119"/>
      <c r="M4811" s="3"/>
    </row>
    <row r="4812" spans="1:13" s="4" customFormat="1" ht="25.5" x14ac:dyDescent="0.25">
      <c r="A4812" s="4" t="s">
        <v>8055</v>
      </c>
      <c r="B4812" s="4" t="s">
        <v>90</v>
      </c>
      <c r="C4812" s="37" t="s">
        <v>7941</v>
      </c>
      <c r="D4812" s="35">
        <v>2357</v>
      </c>
      <c r="E4812" s="4" t="s">
        <v>8056</v>
      </c>
      <c r="F4812" s="5">
        <v>39167</v>
      </c>
      <c r="G4812" s="5">
        <v>39351</v>
      </c>
      <c r="H4812" s="4" t="s">
        <v>40</v>
      </c>
      <c r="I4812" s="6">
        <v>10200</v>
      </c>
      <c r="J4812" s="6">
        <v>5100</v>
      </c>
      <c r="K4812" s="37" t="s">
        <v>7941</v>
      </c>
      <c r="L4812" s="119"/>
      <c r="M4812" s="3"/>
    </row>
    <row r="4813" spans="1:13" s="4" customFormat="1" ht="25.5" x14ac:dyDescent="0.25">
      <c r="A4813" s="4" t="s">
        <v>8057</v>
      </c>
      <c r="B4813" s="4" t="s">
        <v>90</v>
      </c>
      <c r="C4813" s="37" t="s">
        <v>7941</v>
      </c>
      <c r="D4813" s="35">
        <v>2358</v>
      </c>
      <c r="E4813" s="4" t="s">
        <v>8058</v>
      </c>
      <c r="F4813" s="5">
        <v>39167</v>
      </c>
      <c r="G4813" s="5">
        <v>39373</v>
      </c>
      <c r="H4813" s="4" t="s">
        <v>40</v>
      </c>
      <c r="I4813" s="6">
        <v>10200</v>
      </c>
      <c r="J4813" s="6">
        <v>5100</v>
      </c>
      <c r="K4813" s="37" t="s">
        <v>7941</v>
      </c>
      <c r="L4813" s="119"/>
      <c r="M4813" s="3"/>
    </row>
    <row r="4814" spans="1:13" s="4" customFormat="1" ht="25.5" x14ac:dyDescent="0.25">
      <c r="A4814" s="4" t="s">
        <v>8059</v>
      </c>
      <c r="B4814" s="4" t="s">
        <v>90</v>
      </c>
      <c r="C4814" s="37" t="s">
        <v>7941</v>
      </c>
      <c r="D4814" s="35">
        <v>2359</v>
      </c>
      <c r="E4814" s="4" t="s">
        <v>8060</v>
      </c>
      <c r="F4814" s="5">
        <v>39167</v>
      </c>
      <c r="G4814" s="5">
        <v>39389</v>
      </c>
      <c r="H4814" s="4" t="s">
        <v>40</v>
      </c>
      <c r="I4814" s="6">
        <v>10200</v>
      </c>
      <c r="J4814" s="6">
        <v>5100</v>
      </c>
      <c r="K4814" s="37" t="s">
        <v>7941</v>
      </c>
      <c r="L4814" s="119"/>
      <c r="M4814" s="3"/>
    </row>
    <row r="4815" spans="1:13" s="4" customFormat="1" ht="25.5" x14ac:dyDescent="0.25">
      <c r="A4815" s="4" t="s">
        <v>8061</v>
      </c>
      <c r="B4815" s="4" t="s">
        <v>38</v>
      </c>
      <c r="C4815" s="37" t="s">
        <v>7941</v>
      </c>
      <c r="D4815" s="35">
        <v>2360</v>
      </c>
      <c r="E4815" s="4" t="s">
        <v>8062</v>
      </c>
      <c r="F4815" s="5">
        <v>39167</v>
      </c>
      <c r="G4815" s="5">
        <v>39433</v>
      </c>
      <c r="H4815" s="4" t="s">
        <v>40</v>
      </c>
      <c r="I4815" s="6">
        <v>1520</v>
      </c>
      <c r="J4815" s="6">
        <v>760</v>
      </c>
      <c r="K4815" s="37" t="s">
        <v>7941</v>
      </c>
      <c r="L4815" s="119"/>
      <c r="M4815" s="3"/>
    </row>
    <row r="4816" spans="1:13" s="4" customFormat="1" ht="25.5" x14ac:dyDescent="0.25">
      <c r="A4816" s="4" t="s">
        <v>8063</v>
      </c>
      <c r="B4816" s="4" t="s">
        <v>50</v>
      </c>
      <c r="C4816" s="37" t="s">
        <v>7941</v>
      </c>
      <c r="D4816" s="35">
        <v>2361</v>
      </c>
      <c r="E4816" s="4" t="s">
        <v>8064</v>
      </c>
      <c r="F4816" s="5">
        <v>39167</v>
      </c>
      <c r="G4816" s="5">
        <v>39202</v>
      </c>
      <c r="H4816" s="4" t="s">
        <v>40</v>
      </c>
      <c r="I4816" s="6">
        <v>18000</v>
      </c>
      <c r="J4816" s="6">
        <v>9000</v>
      </c>
      <c r="K4816" s="37" t="s">
        <v>7941</v>
      </c>
      <c r="L4816" s="119"/>
      <c r="M4816" s="3"/>
    </row>
    <row r="4817" spans="1:13" s="4" customFormat="1" ht="76.5" x14ac:dyDescent="0.25">
      <c r="A4817" s="4" t="s">
        <v>8065</v>
      </c>
      <c r="B4817" s="4" t="s">
        <v>38</v>
      </c>
      <c r="C4817" s="37" t="s">
        <v>7941</v>
      </c>
      <c r="D4817" s="35">
        <v>2363</v>
      </c>
      <c r="E4817" s="7" t="s">
        <v>8066</v>
      </c>
      <c r="F4817" s="5">
        <v>39246</v>
      </c>
      <c r="G4817" s="5">
        <v>39595</v>
      </c>
      <c r="H4817" s="4" t="s">
        <v>40</v>
      </c>
      <c r="I4817" s="6">
        <v>3000</v>
      </c>
      <c r="J4817" s="6">
        <v>3000</v>
      </c>
      <c r="K4817" s="37" t="s">
        <v>7941</v>
      </c>
      <c r="L4817" s="119"/>
      <c r="M4817" s="3"/>
    </row>
    <row r="4818" spans="1:13" s="4" customFormat="1" ht="25.5" x14ac:dyDescent="0.25">
      <c r="A4818" s="4" t="s">
        <v>8069</v>
      </c>
      <c r="B4818" s="4" t="s">
        <v>90</v>
      </c>
      <c r="C4818" s="37" t="s">
        <v>7941</v>
      </c>
      <c r="D4818" s="35">
        <v>2369</v>
      </c>
      <c r="E4818" s="4" t="s">
        <v>8070</v>
      </c>
      <c r="F4818" s="5">
        <v>39230</v>
      </c>
      <c r="G4818" s="5">
        <v>39434</v>
      </c>
      <c r="H4818" s="4" t="s">
        <v>40</v>
      </c>
      <c r="I4818" s="6">
        <v>4000</v>
      </c>
      <c r="J4818" s="6">
        <v>2000</v>
      </c>
      <c r="K4818" s="37" t="s">
        <v>7941</v>
      </c>
      <c r="L4818" s="119"/>
      <c r="M4818" s="3"/>
    </row>
    <row r="4819" spans="1:13" s="4" customFormat="1" ht="25.5" x14ac:dyDescent="0.25">
      <c r="A4819" s="4" t="s">
        <v>8071</v>
      </c>
      <c r="B4819" s="4" t="s">
        <v>50</v>
      </c>
      <c r="C4819" s="37" t="s">
        <v>7941</v>
      </c>
      <c r="D4819" s="35">
        <v>2373</v>
      </c>
      <c r="E4819" s="4" t="s">
        <v>8072</v>
      </c>
      <c r="F4819" s="5">
        <v>39230</v>
      </c>
      <c r="G4819" s="5">
        <v>39435</v>
      </c>
      <c r="H4819" s="4" t="s">
        <v>40</v>
      </c>
      <c r="I4819" s="6">
        <v>41156</v>
      </c>
      <c r="J4819" s="6">
        <v>20578</v>
      </c>
      <c r="K4819" s="37" t="s">
        <v>7941</v>
      </c>
      <c r="L4819" s="119"/>
      <c r="M4819" s="3"/>
    </row>
    <row r="4820" spans="1:13" s="4" customFormat="1" ht="25.5" x14ac:dyDescent="0.25">
      <c r="A4820" s="4" t="s">
        <v>8073</v>
      </c>
      <c r="B4820" s="4" t="s">
        <v>50</v>
      </c>
      <c r="C4820" s="37" t="s">
        <v>7941</v>
      </c>
      <c r="D4820" s="35">
        <v>2381</v>
      </c>
      <c r="E4820" s="4" t="s">
        <v>8074</v>
      </c>
      <c r="F4820" s="5">
        <v>39272</v>
      </c>
      <c r="G4820" s="5">
        <v>39752</v>
      </c>
      <c r="H4820" s="4" t="s">
        <v>40</v>
      </c>
      <c r="I4820" s="6">
        <v>86623</v>
      </c>
      <c r="J4820" s="6">
        <v>43311.5</v>
      </c>
      <c r="K4820" s="37" t="s">
        <v>7941</v>
      </c>
      <c r="L4820" s="119"/>
      <c r="M4820" s="3"/>
    </row>
    <row r="4821" spans="1:13" s="4" customFormat="1" ht="25.5" x14ac:dyDescent="0.25">
      <c r="A4821" s="4" t="s">
        <v>8077</v>
      </c>
      <c r="B4821" s="4" t="s">
        <v>59</v>
      </c>
      <c r="C4821" s="37" t="s">
        <v>7941</v>
      </c>
      <c r="D4821" s="35">
        <v>2386</v>
      </c>
      <c r="E4821" s="4" t="s">
        <v>8078</v>
      </c>
      <c r="F4821" s="5">
        <v>39272</v>
      </c>
      <c r="G4821" s="5">
        <v>39304</v>
      </c>
      <c r="H4821" s="4" t="s">
        <v>40</v>
      </c>
      <c r="I4821" s="6">
        <v>6000</v>
      </c>
      <c r="J4821" s="6">
        <v>6000</v>
      </c>
      <c r="K4821" s="37" t="s">
        <v>7941</v>
      </c>
      <c r="L4821" s="119"/>
      <c r="M4821" s="3"/>
    </row>
    <row r="4822" spans="1:13" s="4" customFormat="1" ht="25.5" x14ac:dyDescent="0.25">
      <c r="A4822" s="4" t="s">
        <v>8079</v>
      </c>
      <c r="B4822" s="4" t="s">
        <v>59</v>
      </c>
      <c r="C4822" s="37" t="s">
        <v>7941</v>
      </c>
      <c r="D4822" s="35">
        <v>2388</v>
      </c>
      <c r="E4822" s="4" t="s">
        <v>8080</v>
      </c>
      <c r="F4822" s="5">
        <v>39167</v>
      </c>
      <c r="G4822" s="5">
        <v>39485</v>
      </c>
      <c r="H4822" s="4" t="s">
        <v>40</v>
      </c>
      <c r="I4822" s="6">
        <v>6000</v>
      </c>
      <c r="J4822" s="6">
        <v>6000</v>
      </c>
      <c r="K4822" s="37" t="s">
        <v>7941</v>
      </c>
      <c r="L4822" s="119"/>
      <c r="M4822" s="3"/>
    </row>
    <row r="4823" spans="1:13" s="4" customFormat="1" ht="25.5" x14ac:dyDescent="0.25">
      <c r="A4823" s="4" t="s">
        <v>8083</v>
      </c>
      <c r="B4823" s="4" t="s">
        <v>59</v>
      </c>
      <c r="C4823" s="37" t="s">
        <v>7941</v>
      </c>
      <c r="D4823" s="35">
        <v>2393</v>
      </c>
      <c r="E4823" s="4" t="s">
        <v>8084</v>
      </c>
      <c r="F4823" s="5">
        <v>39230</v>
      </c>
      <c r="G4823" s="5">
        <v>39429</v>
      </c>
      <c r="H4823" s="4" t="s">
        <v>40</v>
      </c>
      <c r="I4823" s="6">
        <v>6000</v>
      </c>
      <c r="J4823" s="6">
        <v>6000</v>
      </c>
      <c r="K4823" s="37" t="s">
        <v>7941</v>
      </c>
      <c r="L4823" s="119"/>
      <c r="M4823" s="3"/>
    </row>
    <row r="4824" spans="1:13" s="4" customFormat="1" ht="38.25" x14ac:dyDescent="0.25">
      <c r="A4824" s="4" t="s">
        <v>8089</v>
      </c>
      <c r="B4824" s="4" t="s">
        <v>90</v>
      </c>
      <c r="C4824" s="37" t="s">
        <v>7941</v>
      </c>
      <c r="D4824" s="35">
        <v>2401</v>
      </c>
      <c r="E4824" s="4" t="s">
        <v>8090</v>
      </c>
      <c r="F4824" s="5">
        <v>39426</v>
      </c>
      <c r="G4824" s="5">
        <v>39644</v>
      </c>
      <c r="H4824" s="4" t="s">
        <v>40</v>
      </c>
      <c r="I4824" s="6">
        <v>10200</v>
      </c>
      <c r="J4824" s="6">
        <v>5100</v>
      </c>
      <c r="K4824" s="37" t="s">
        <v>7941</v>
      </c>
      <c r="L4824" s="119"/>
      <c r="M4824" s="3"/>
    </row>
    <row r="4825" spans="1:13" s="4" customFormat="1" ht="25.5" x14ac:dyDescent="0.25">
      <c r="A4825" s="4" t="s">
        <v>8091</v>
      </c>
      <c r="B4825" s="4" t="s">
        <v>90</v>
      </c>
      <c r="C4825" s="37" t="s">
        <v>7941</v>
      </c>
      <c r="D4825" s="35">
        <v>2403</v>
      </c>
      <c r="E4825" s="4" t="s">
        <v>8092</v>
      </c>
      <c r="F4825" s="5">
        <v>39426</v>
      </c>
      <c r="G4825" s="5">
        <v>39617</v>
      </c>
      <c r="H4825" s="4" t="s">
        <v>40</v>
      </c>
      <c r="I4825" s="6">
        <v>10200</v>
      </c>
      <c r="J4825" s="6">
        <v>5100</v>
      </c>
      <c r="K4825" s="37" t="s">
        <v>7941</v>
      </c>
      <c r="L4825" s="119"/>
      <c r="M4825" s="3"/>
    </row>
    <row r="4826" spans="1:13" s="4" customFormat="1" ht="25.5" x14ac:dyDescent="0.25">
      <c r="A4826" s="4" t="s">
        <v>8093</v>
      </c>
      <c r="B4826" s="4" t="s">
        <v>50</v>
      </c>
      <c r="C4826" s="37" t="s">
        <v>7941</v>
      </c>
      <c r="D4826" s="35">
        <v>2411</v>
      </c>
      <c r="E4826" s="4" t="s">
        <v>8094</v>
      </c>
      <c r="F4826" s="5">
        <v>39426</v>
      </c>
      <c r="G4826" s="5">
        <v>39645</v>
      </c>
      <c r="H4826" s="4" t="s">
        <v>40</v>
      </c>
      <c r="I4826" s="6">
        <v>12000</v>
      </c>
      <c r="J4826" s="6">
        <v>6000</v>
      </c>
      <c r="K4826" s="37" t="s">
        <v>7941</v>
      </c>
      <c r="L4826" s="119"/>
      <c r="M4826" s="3"/>
    </row>
    <row r="4827" spans="1:13" s="4" customFormat="1" ht="25.5" x14ac:dyDescent="0.25">
      <c r="A4827" s="4" t="s">
        <v>8095</v>
      </c>
      <c r="B4827" s="4" t="s">
        <v>50</v>
      </c>
      <c r="C4827" s="37" t="s">
        <v>7941</v>
      </c>
      <c r="D4827" s="35">
        <v>2412</v>
      </c>
      <c r="E4827" s="4" t="s">
        <v>8096</v>
      </c>
      <c r="F4827" s="5">
        <v>39426</v>
      </c>
      <c r="G4827" s="5">
        <v>39763</v>
      </c>
      <c r="H4827" s="4" t="s">
        <v>40</v>
      </c>
      <c r="I4827" s="6">
        <v>25056.92</v>
      </c>
      <c r="J4827" s="6">
        <v>12528.46</v>
      </c>
      <c r="K4827" s="37" t="s">
        <v>7941</v>
      </c>
      <c r="L4827" s="119"/>
      <c r="M4827" s="3"/>
    </row>
    <row r="4828" spans="1:13" s="4" customFormat="1" ht="38.25" x14ac:dyDescent="0.25">
      <c r="A4828" s="4" t="s">
        <v>8097</v>
      </c>
      <c r="B4828" s="4" t="s">
        <v>90</v>
      </c>
      <c r="C4828" s="37" t="s">
        <v>7941</v>
      </c>
      <c r="D4828" s="35">
        <v>2415</v>
      </c>
      <c r="E4828" s="4" t="s">
        <v>8098</v>
      </c>
      <c r="F4828" s="5">
        <v>39272</v>
      </c>
      <c r="G4828" s="5">
        <v>39358</v>
      </c>
      <c r="H4828" s="4" t="s">
        <v>40</v>
      </c>
      <c r="I4828" s="6">
        <v>10200</v>
      </c>
      <c r="J4828" s="6">
        <v>5100</v>
      </c>
      <c r="K4828" s="37" t="s">
        <v>7941</v>
      </c>
      <c r="L4828" s="119"/>
      <c r="M4828" s="3"/>
    </row>
    <row r="4829" spans="1:13" s="4" customFormat="1" ht="51" x14ac:dyDescent="0.25">
      <c r="A4829" s="4" t="s">
        <v>8099</v>
      </c>
      <c r="B4829" s="4" t="s">
        <v>59</v>
      </c>
      <c r="C4829" s="37" t="s">
        <v>7941</v>
      </c>
      <c r="D4829" s="35">
        <v>2429</v>
      </c>
      <c r="E4829" s="4" t="s">
        <v>8100</v>
      </c>
      <c r="F4829" s="5">
        <v>39511</v>
      </c>
      <c r="G4829" s="5">
        <v>39968</v>
      </c>
      <c r="H4829" s="4" t="s">
        <v>40</v>
      </c>
      <c r="I4829" s="6">
        <v>12000</v>
      </c>
      <c r="J4829" s="6">
        <v>12000</v>
      </c>
      <c r="K4829" s="37" t="s">
        <v>7941</v>
      </c>
      <c r="L4829" s="119"/>
      <c r="M4829" s="3"/>
    </row>
    <row r="4830" spans="1:13" s="4" customFormat="1" ht="25.5" x14ac:dyDescent="0.25">
      <c r="A4830" s="4" t="s">
        <v>8101</v>
      </c>
      <c r="B4830" s="4" t="s">
        <v>59</v>
      </c>
      <c r="C4830" s="37" t="s">
        <v>7941</v>
      </c>
      <c r="D4830" s="35">
        <v>2430</v>
      </c>
      <c r="E4830" s="4" t="s">
        <v>8102</v>
      </c>
      <c r="F4830" s="5">
        <v>39784</v>
      </c>
      <c r="G4830" s="5">
        <v>41639</v>
      </c>
      <c r="H4830" s="4" t="s">
        <v>40</v>
      </c>
      <c r="I4830" s="6">
        <v>6000</v>
      </c>
      <c r="J4830" s="6">
        <v>6000</v>
      </c>
      <c r="K4830" s="37" t="s">
        <v>7941</v>
      </c>
      <c r="L4830" s="119"/>
      <c r="M4830" s="3"/>
    </row>
    <row r="4831" spans="1:13" s="4" customFormat="1" ht="25.5" x14ac:dyDescent="0.25">
      <c r="A4831" s="4" t="s">
        <v>8103</v>
      </c>
      <c r="B4831" s="4" t="s">
        <v>59</v>
      </c>
      <c r="C4831" s="37" t="s">
        <v>7941</v>
      </c>
      <c r="D4831" s="35">
        <v>2431</v>
      </c>
      <c r="E4831" s="4" t="s">
        <v>8104</v>
      </c>
      <c r="F4831" s="5">
        <v>39699</v>
      </c>
      <c r="G4831" s="5">
        <v>41639</v>
      </c>
      <c r="H4831" s="4" t="s">
        <v>40</v>
      </c>
      <c r="I4831" s="6">
        <v>6000</v>
      </c>
      <c r="J4831" s="6">
        <v>6000</v>
      </c>
      <c r="K4831" s="37" t="s">
        <v>7941</v>
      </c>
      <c r="L4831" s="119"/>
      <c r="M4831" s="3"/>
    </row>
    <row r="4832" spans="1:13" s="4" customFormat="1" ht="25.5" x14ac:dyDescent="0.25">
      <c r="A4832" s="4" t="s">
        <v>8105</v>
      </c>
      <c r="B4832" s="4" t="s">
        <v>59</v>
      </c>
      <c r="C4832" s="37" t="s">
        <v>7941</v>
      </c>
      <c r="D4832" s="35">
        <v>2432</v>
      </c>
      <c r="E4832" s="4" t="s">
        <v>8106</v>
      </c>
      <c r="F4832" s="5">
        <v>39699</v>
      </c>
      <c r="G4832" s="5">
        <v>41639</v>
      </c>
      <c r="H4832" s="4" t="s">
        <v>40</v>
      </c>
      <c r="I4832" s="6">
        <v>6000</v>
      </c>
      <c r="J4832" s="6">
        <v>6000</v>
      </c>
      <c r="K4832" s="37" t="s">
        <v>7941</v>
      </c>
      <c r="L4832" s="119"/>
      <c r="M4832" s="3"/>
    </row>
    <row r="4833" spans="1:13" s="4" customFormat="1" ht="25.5" x14ac:dyDescent="0.25">
      <c r="A4833" s="4" t="s">
        <v>8107</v>
      </c>
      <c r="B4833" s="4" t="s">
        <v>50</v>
      </c>
      <c r="C4833" s="37" t="s">
        <v>7941</v>
      </c>
      <c r="D4833" s="35">
        <v>2433</v>
      </c>
      <c r="E4833" s="4" t="s">
        <v>8108</v>
      </c>
      <c r="F4833" s="5">
        <v>39587</v>
      </c>
      <c r="G4833" s="5">
        <v>39797</v>
      </c>
      <c r="H4833" s="4" t="s">
        <v>40</v>
      </c>
      <c r="I4833" s="6">
        <v>15961.84</v>
      </c>
      <c r="J4833" s="6">
        <v>7980.92</v>
      </c>
      <c r="K4833" s="37" t="s">
        <v>7941</v>
      </c>
      <c r="L4833" s="119"/>
      <c r="M4833" s="3"/>
    </row>
    <row r="4834" spans="1:13" s="4" customFormat="1" ht="25.5" x14ac:dyDescent="0.25">
      <c r="A4834" s="4" t="s">
        <v>8109</v>
      </c>
      <c r="B4834" s="4" t="s">
        <v>90</v>
      </c>
      <c r="C4834" s="37" t="s">
        <v>7941</v>
      </c>
      <c r="D4834" s="35">
        <v>2434</v>
      </c>
      <c r="E4834" s="4" t="s">
        <v>8110</v>
      </c>
      <c r="F4834" s="5">
        <v>39587</v>
      </c>
      <c r="G4834" s="5">
        <v>39702</v>
      </c>
      <c r="H4834" s="4" t="s">
        <v>40</v>
      </c>
      <c r="I4834" s="6">
        <v>10200</v>
      </c>
      <c r="J4834" s="6">
        <v>5100</v>
      </c>
      <c r="K4834" s="37" t="s">
        <v>7941</v>
      </c>
      <c r="L4834" s="119"/>
      <c r="M4834" s="3"/>
    </row>
    <row r="4835" spans="1:13" s="4" customFormat="1" ht="51" x14ac:dyDescent="0.25">
      <c r="A4835" s="4" t="s">
        <v>8111</v>
      </c>
      <c r="B4835" s="4" t="s">
        <v>50</v>
      </c>
      <c r="C4835" s="37" t="s">
        <v>7941</v>
      </c>
      <c r="D4835" s="35">
        <v>2435</v>
      </c>
      <c r="E4835" s="4" t="s">
        <v>8112</v>
      </c>
      <c r="F4835" s="5">
        <v>39587</v>
      </c>
      <c r="G4835" s="5">
        <v>39902</v>
      </c>
      <c r="H4835" s="4" t="s">
        <v>40</v>
      </c>
      <c r="I4835" s="6">
        <v>39360</v>
      </c>
      <c r="J4835" s="6">
        <v>19680</v>
      </c>
      <c r="K4835" s="37" t="s">
        <v>7941</v>
      </c>
      <c r="L4835" s="119"/>
      <c r="M4835" s="3"/>
    </row>
    <row r="4836" spans="1:13" s="4" customFormat="1" ht="25.5" x14ac:dyDescent="0.25">
      <c r="A4836" s="4" t="s">
        <v>8119</v>
      </c>
      <c r="B4836" s="4" t="s">
        <v>90</v>
      </c>
      <c r="C4836" s="37" t="s">
        <v>7941</v>
      </c>
      <c r="D4836" s="35">
        <v>2439</v>
      </c>
      <c r="E4836" s="4" t="s">
        <v>8120</v>
      </c>
      <c r="F4836" s="5">
        <v>39587</v>
      </c>
      <c r="G4836" s="5">
        <v>39804</v>
      </c>
      <c r="H4836" s="4" t="s">
        <v>40</v>
      </c>
      <c r="I4836" s="6">
        <v>8636</v>
      </c>
      <c r="J4836" s="6">
        <v>4318</v>
      </c>
      <c r="K4836" s="37" t="s">
        <v>7941</v>
      </c>
      <c r="L4836" s="119"/>
      <c r="M4836" s="3"/>
    </row>
    <row r="4837" spans="1:13" s="4" customFormat="1" ht="25.5" x14ac:dyDescent="0.25">
      <c r="A4837" s="4" t="s">
        <v>8121</v>
      </c>
      <c r="B4837" s="4" t="s">
        <v>50</v>
      </c>
      <c r="C4837" s="37" t="s">
        <v>7941</v>
      </c>
      <c r="D4837" s="35">
        <v>2440</v>
      </c>
      <c r="E4837" s="4" t="s">
        <v>8122</v>
      </c>
      <c r="F4837" s="5">
        <v>39587</v>
      </c>
      <c r="G4837" s="5">
        <v>39669</v>
      </c>
      <c r="H4837" s="4" t="s">
        <v>40</v>
      </c>
      <c r="I4837" s="6">
        <v>18250</v>
      </c>
      <c r="J4837" s="6">
        <v>9125</v>
      </c>
      <c r="K4837" s="37" t="s">
        <v>7941</v>
      </c>
      <c r="L4837" s="119"/>
      <c r="M4837" s="3"/>
    </row>
    <row r="4838" spans="1:13" s="4" customFormat="1" ht="38.25" x14ac:dyDescent="0.25">
      <c r="A4838" s="4" t="s">
        <v>8129</v>
      </c>
      <c r="B4838" s="4" t="s">
        <v>59</v>
      </c>
      <c r="C4838" s="37" t="s">
        <v>7941</v>
      </c>
      <c r="D4838" s="35">
        <v>2444</v>
      </c>
      <c r="E4838" s="4" t="s">
        <v>8130</v>
      </c>
      <c r="F4838" s="5">
        <v>39587</v>
      </c>
      <c r="G4838" s="5">
        <v>41639</v>
      </c>
      <c r="H4838" s="4" t="s">
        <v>40</v>
      </c>
      <c r="I4838" s="6">
        <v>3000</v>
      </c>
      <c r="J4838" s="6">
        <v>3000</v>
      </c>
      <c r="K4838" s="37" t="s">
        <v>7941</v>
      </c>
      <c r="L4838" s="119"/>
      <c r="M4838" s="3"/>
    </row>
    <row r="4839" spans="1:13" s="4" customFormat="1" ht="25.5" x14ac:dyDescent="0.25">
      <c r="A4839" s="4" t="s">
        <v>8131</v>
      </c>
      <c r="B4839" s="4" t="s">
        <v>50</v>
      </c>
      <c r="C4839" s="37" t="s">
        <v>7941</v>
      </c>
      <c r="D4839" s="35">
        <v>2445</v>
      </c>
      <c r="E4839" s="4" t="s">
        <v>8132</v>
      </c>
      <c r="F4839" s="5">
        <v>39584</v>
      </c>
      <c r="G4839" s="5">
        <v>39729</v>
      </c>
      <c r="H4839" s="4" t="s">
        <v>40</v>
      </c>
      <c r="I4839" s="6">
        <v>116692</v>
      </c>
      <c r="J4839" s="6">
        <v>58346</v>
      </c>
      <c r="K4839" s="37" t="s">
        <v>7941</v>
      </c>
      <c r="L4839" s="119"/>
      <c r="M4839" s="3"/>
    </row>
    <row r="4840" spans="1:13" s="4" customFormat="1" ht="25.5" x14ac:dyDescent="0.25">
      <c r="A4840" s="4" t="s">
        <v>8133</v>
      </c>
      <c r="B4840" s="4" t="s">
        <v>59</v>
      </c>
      <c r="C4840" s="37" t="s">
        <v>7941</v>
      </c>
      <c r="D4840" s="35">
        <v>2446</v>
      </c>
      <c r="E4840" s="4" t="s">
        <v>8134</v>
      </c>
      <c r="F4840" s="5">
        <v>39699</v>
      </c>
      <c r="G4840" s="5">
        <v>41639</v>
      </c>
      <c r="H4840" s="4" t="s">
        <v>40</v>
      </c>
      <c r="I4840" s="6">
        <v>6000</v>
      </c>
      <c r="J4840" s="6">
        <v>6000</v>
      </c>
      <c r="K4840" s="37" t="s">
        <v>7941</v>
      </c>
      <c r="L4840" s="119"/>
      <c r="M4840" s="3"/>
    </row>
    <row r="4841" spans="1:13" s="4" customFormat="1" ht="25.5" x14ac:dyDescent="0.25">
      <c r="A4841" s="4" t="s">
        <v>8137</v>
      </c>
      <c r="B4841" s="4" t="s">
        <v>38</v>
      </c>
      <c r="C4841" s="37" t="s">
        <v>7941</v>
      </c>
      <c r="D4841" s="35">
        <v>2535</v>
      </c>
      <c r="E4841" s="4" t="s">
        <v>8138</v>
      </c>
      <c r="F4841" s="5">
        <v>39479</v>
      </c>
      <c r="G4841" s="5">
        <v>41274</v>
      </c>
      <c r="H4841" s="4" t="s">
        <v>40</v>
      </c>
      <c r="I4841" s="6">
        <v>1590</v>
      </c>
      <c r="J4841" s="6">
        <v>1590</v>
      </c>
      <c r="K4841" s="37" t="s">
        <v>7941</v>
      </c>
      <c r="L4841" s="119"/>
      <c r="M4841" s="3"/>
    </row>
    <row r="4842" spans="1:13" s="4" customFormat="1" ht="25.5" x14ac:dyDescent="0.25">
      <c r="A4842" s="4" t="s">
        <v>8139</v>
      </c>
      <c r="B4842" s="4" t="s">
        <v>38</v>
      </c>
      <c r="C4842" s="37" t="s">
        <v>7941</v>
      </c>
      <c r="D4842" s="35">
        <v>2536</v>
      </c>
      <c r="E4842" s="4" t="s">
        <v>8140</v>
      </c>
      <c r="F4842" s="5">
        <v>39479</v>
      </c>
      <c r="G4842" s="5">
        <v>39813</v>
      </c>
      <c r="H4842" s="4" t="s">
        <v>40</v>
      </c>
      <c r="I4842" s="6">
        <v>12212</v>
      </c>
      <c r="J4842" s="6">
        <v>12212</v>
      </c>
      <c r="K4842" s="37" t="s">
        <v>7941</v>
      </c>
      <c r="L4842" s="119"/>
      <c r="M4842" s="3"/>
    </row>
    <row r="4843" spans="1:13" s="4" customFormat="1" ht="25.5" x14ac:dyDescent="0.25">
      <c r="A4843" s="4" t="s">
        <v>3739</v>
      </c>
      <c r="B4843" s="4" t="s">
        <v>38</v>
      </c>
      <c r="C4843" s="37" t="s">
        <v>7941</v>
      </c>
      <c r="D4843" s="35">
        <v>3320</v>
      </c>
      <c r="E4843" s="4" t="s">
        <v>8141</v>
      </c>
      <c r="F4843" s="5">
        <v>39083</v>
      </c>
      <c r="G4843" s="5">
        <v>41639</v>
      </c>
      <c r="H4843" s="4" t="s">
        <v>40</v>
      </c>
      <c r="I4843" s="6">
        <v>229829.69</v>
      </c>
      <c r="J4843" s="6">
        <v>229829.69</v>
      </c>
      <c r="K4843" s="37" t="s">
        <v>7941</v>
      </c>
      <c r="L4843" s="119"/>
      <c r="M4843" s="3"/>
    </row>
    <row r="4844" spans="1:13" s="4" customFormat="1" ht="51" x14ac:dyDescent="0.25">
      <c r="A4844" s="4" t="s">
        <v>8142</v>
      </c>
      <c r="B4844" s="4" t="s">
        <v>38</v>
      </c>
      <c r="C4844" s="37" t="s">
        <v>7941</v>
      </c>
      <c r="D4844" s="35">
        <v>4762</v>
      </c>
      <c r="E4844" s="4" t="s">
        <v>8143</v>
      </c>
      <c r="F4844" s="5">
        <v>39814</v>
      </c>
      <c r="G4844" s="5">
        <v>41274</v>
      </c>
      <c r="H4844" s="4" t="s">
        <v>40</v>
      </c>
      <c r="I4844" s="6">
        <v>11453.83</v>
      </c>
      <c r="J4844" s="6">
        <f>5586.23+5867.6</f>
        <v>11453.83</v>
      </c>
      <c r="K4844" s="37" t="s">
        <v>7941</v>
      </c>
      <c r="L4844" s="119"/>
      <c r="M4844" s="3"/>
    </row>
    <row r="4845" spans="1:13" s="4" customFormat="1" ht="25.5" x14ac:dyDescent="0.25">
      <c r="A4845" s="4" t="s">
        <v>8144</v>
      </c>
      <c r="B4845" s="4" t="s">
        <v>38</v>
      </c>
      <c r="C4845" s="37" t="s">
        <v>7941</v>
      </c>
      <c r="D4845" s="35">
        <v>4808</v>
      </c>
      <c r="E4845" s="4" t="s">
        <v>8145</v>
      </c>
      <c r="F4845" s="5">
        <v>39814</v>
      </c>
      <c r="G4845" s="5">
        <v>40178</v>
      </c>
      <c r="H4845" s="4" t="s">
        <v>40</v>
      </c>
      <c r="I4845" s="6">
        <v>1437.25</v>
      </c>
      <c r="J4845" s="6">
        <v>1437.25</v>
      </c>
      <c r="K4845" s="37" t="s">
        <v>7941</v>
      </c>
      <c r="L4845" s="119"/>
      <c r="M4845" s="3"/>
    </row>
    <row r="4846" spans="1:13" s="4" customFormat="1" ht="25.5" x14ac:dyDescent="0.25">
      <c r="A4846" s="4" t="s">
        <v>8146</v>
      </c>
      <c r="B4846" s="4" t="s">
        <v>38</v>
      </c>
      <c r="C4846" s="37" t="s">
        <v>7941</v>
      </c>
      <c r="D4846" s="35">
        <v>4811</v>
      </c>
      <c r="E4846" s="4" t="s">
        <v>8147</v>
      </c>
      <c r="F4846" s="5">
        <v>39814</v>
      </c>
      <c r="G4846" s="5">
        <v>40178</v>
      </c>
      <c r="H4846" s="4" t="s">
        <v>40</v>
      </c>
      <c r="I4846" s="6">
        <v>1260</v>
      </c>
      <c r="J4846" s="6">
        <v>1260</v>
      </c>
      <c r="K4846" s="37" t="s">
        <v>7941</v>
      </c>
      <c r="L4846" s="119"/>
      <c r="M4846" s="3"/>
    </row>
    <row r="4847" spans="1:13" s="4" customFormat="1" ht="25.5" x14ac:dyDescent="0.25">
      <c r="A4847" s="4" t="s">
        <v>8148</v>
      </c>
      <c r="B4847" s="4" t="s">
        <v>38</v>
      </c>
      <c r="C4847" s="37" t="s">
        <v>7941</v>
      </c>
      <c r="D4847" s="35">
        <v>4813</v>
      </c>
      <c r="E4847" s="4" t="s">
        <v>8149</v>
      </c>
      <c r="F4847" s="5">
        <v>39814</v>
      </c>
      <c r="G4847" s="5">
        <v>40178</v>
      </c>
      <c r="H4847" s="4" t="s">
        <v>40</v>
      </c>
      <c r="I4847" s="6">
        <v>320</v>
      </c>
      <c r="J4847" s="6">
        <v>320</v>
      </c>
      <c r="K4847" s="37" t="s">
        <v>7941</v>
      </c>
      <c r="L4847" s="119"/>
      <c r="M4847" s="3"/>
    </row>
    <row r="4848" spans="1:13" s="4" customFormat="1" ht="25.5" x14ac:dyDescent="0.25">
      <c r="A4848" s="4" t="s">
        <v>8150</v>
      </c>
      <c r="B4848" s="4" t="s">
        <v>38</v>
      </c>
      <c r="C4848" s="37" t="s">
        <v>7941</v>
      </c>
      <c r="D4848" s="35">
        <v>4816</v>
      </c>
      <c r="E4848" s="4" t="s">
        <v>8151</v>
      </c>
      <c r="F4848" s="5">
        <v>39814</v>
      </c>
      <c r="G4848" s="5">
        <v>40178</v>
      </c>
      <c r="H4848" s="4" t="s">
        <v>40</v>
      </c>
      <c r="I4848" s="6">
        <v>631.85</v>
      </c>
      <c r="J4848" s="6">
        <v>631.85</v>
      </c>
      <c r="K4848" s="37" t="s">
        <v>7941</v>
      </c>
      <c r="L4848" s="119"/>
      <c r="M4848" s="3"/>
    </row>
    <row r="4849" spans="1:13" s="4" customFormat="1" ht="38.25" x14ac:dyDescent="0.25">
      <c r="A4849" s="4" t="s">
        <v>8152</v>
      </c>
      <c r="B4849" s="4" t="s">
        <v>38</v>
      </c>
      <c r="C4849" s="37" t="s">
        <v>7941</v>
      </c>
      <c r="D4849" s="35">
        <v>4826</v>
      </c>
      <c r="E4849" s="4" t="s">
        <v>8153</v>
      </c>
      <c r="F4849" s="5">
        <v>39814</v>
      </c>
      <c r="G4849" s="5">
        <v>41274</v>
      </c>
      <c r="H4849" s="4" t="s">
        <v>40</v>
      </c>
      <c r="I4849" s="6">
        <v>6998</v>
      </c>
      <c r="J4849" s="6">
        <v>6998</v>
      </c>
      <c r="K4849" s="37" t="s">
        <v>7941</v>
      </c>
      <c r="L4849" s="119"/>
      <c r="M4849" s="3"/>
    </row>
    <row r="4850" spans="1:13" s="4" customFormat="1" ht="25.5" x14ac:dyDescent="0.25">
      <c r="A4850" s="4" t="s">
        <v>8154</v>
      </c>
      <c r="B4850" s="4" t="s">
        <v>38</v>
      </c>
      <c r="C4850" s="37" t="s">
        <v>7941</v>
      </c>
      <c r="D4850" s="35">
        <v>4828</v>
      </c>
      <c r="E4850" s="4" t="s">
        <v>8155</v>
      </c>
      <c r="F4850" s="5">
        <v>39814</v>
      </c>
      <c r="G4850" s="5">
        <v>41639</v>
      </c>
      <c r="H4850" s="4" t="s">
        <v>40</v>
      </c>
      <c r="I4850" s="6">
        <v>11548.84</v>
      </c>
      <c r="J4850" s="6">
        <f>10216.24+1332.6</f>
        <v>11548.84</v>
      </c>
      <c r="K4850" s="37" t="s">
        <v>7941</v>
      </c>
      <c r="L4850" s="119"/>
      <c r="M4850" s="3"/>
    </row>
    <row r="4851" spans="1:13" s="4" customFormat="1" ht="25.5" x14ac:dyDescent="0.25">
      <c r="A4851" s="4" t="s">
        <v>8156</v>
      </c>
      <c r="B4851" s="4" t="s">
        <v>90</v>
      </c>
      <c r="C4851" s="37" t="s">
        <v>7941</v>
      </c>
      <c r="D4851" s="35">
        <v>4864</v>
      </c>
      <c r="E4851" s="4" t="s">
        <v>8157</v>
      </c>
      <c r="F4851" s="5">
        <v>39587</v>
      </c>
      <c r="G4851" s="5">
        <v>39952</v>
      </c>
      <c r="H4851" s="4" t="s">
        <v>40</v>
      </c>
      <c r="I4851" s="6">
        <v>5314</v>
      </c>
      <c r="J4851" s="6">
        <v>2657</v>
      </c>
      <c r="K4851" s="37" t="s">
        <v>7941</v>
      </c>
      <c r="L4851" s="119"/>
      <c r="M4851" s="3"/>
    </row>
    <row r="4852" spans="1:13" s="4" customFormat="1" ht="25.5" x14ac:dyDescent="0.25">
      <c r="A4852" s="4" t="s">
        <v>8158</v>
      </c>
      <c r="B4852" s="4" t="s">
        <v>59</v>
      </c>
      <c r="C4852" s="37" t="s">
        <v>7941</v>
      </c>
      <c r="D4852" s="35">
        <v>4866</v>
      </c>
      <c r="E4852" s="4" t="s">
        <v>8159</v>
      </c>
      <c r="F4852" s="5">
        <v>39919</v>
      </c>
      <c r="G4852" s="5">
        <v>40284</v>
      </c>
      <c r="H4852" s="4" t="s">
        <v>40</v>
      </c>
      <c r="I4852" s="6">
        <v>3000</v>
      </c>
      <c r="J4852" s="6">
        <v>3000</v>
      </c>
      <c r="K4852" s="37" t="s">
        <v>7941</v>
      </c>
      <c r="L4852" s="119"/>
      <c r="M4852" s="3"/>
    </row>
    <row r="4853" spans="1:13" s="4" customFormat="1" ht="25.5" x14ac:dyDescent="0.25">
      <c r="A4853" s="4" t="s">
        <v>8162</v>
      </c>
      <c r="B4853" s="4" t="s">
        <v>59</v>
      </c>
      <c r="C4853" s="37" t="s">
        <v>7941</v>
      </c>
      <c r="D4853" s="35">
        <v>4873</v>
      </c>
      <c r="E4853" s="4" t="s">
        <v>8163</v>
      </c>
      <c r="F4853" s="5">
        <v>39699</v>
      </c>
      <c r="G4853" s="5">
        <v>40178</v>
      </c>
      <c r="H4853" s="4" t="s">
        <v>40</v>
      </c>
      <c r="I4853" s="6">
        <v>6000</v>
      </c>
      <c r="J4853" s="6">
        <v>6000</v>
      </c>
      <c r="K4853" s="37" t="s">
        <v>7941</v>
      </c>
      <c r="L4853" s="119"/>
      <c r="M4853" s="3"/>
    </row>
    <row r="4854" spans="1:13" s="4" customFormat="1" ht="38.25" x14ac:dyDescent="0.25">
      <c r="A4854" s="4" t="s">
        <v>8164</v>
      </c>
      <c r="B4854" s="4" t="s">
        <v>50</v>
      </c>
      <c r="C4854" s="37" t="s">
        <v>7941</v>
      </c>
      <c r="D4854" s="35">
        <v>4876</v>
      </c>
      <c r="E4854" s="4" t="s">
        <v>8165</v>
      </c>
      <c r="F4854" s="5">
        <v>39919</v>
      </c>
      <c r="G4854" s="5">
        <v>40284</v>
      </c>
      <c r="H4854" s="4" t="s">
        <v>40</v>
      </c>
      <c r="I4854" s="6">
        <v>11000</v>
      </c>
      <c r="J4854" s="6">
        <v>5500</v>
      </c>
      <c r="K4854" s="37" t="s">
        <v>7941</v>
      </c>
      <c r="L4854" s="119"/>
      <c r="M4854" s="3"/>
    </row>
    <row r="4855" spans="1:13" s="4" customFormat="1" ht="38.25" x14ac:dyDescent="0.25">
      <c r="A4855" s="4" t="s">
        <v>8164</v>
      </c>
      <c r="B4855" s="4" t="s">
        <v>50</v>
      </c>
      <c r="C4855" s="37" t="s">
        <v>7941</v>
      </c>
      <c r="D4855" s="35">
        <v>4877</v>
      </c>
      <c r="E4855" s="4" t="s">
        <v>8166</v>
      </c>
      <c r="F4855" s="5">
        <v>40007</v>
      </c>
      <c r="G4855" s="5">
        <v>40372</v>
      </c>
      <c r="H4855" s="4" t="s">
        <v>40</v>
      </c>
      <c r="I4855" s="6">
        <v>11000</v>
      </c>
      <c r="J4855" s="6">
        <v>5500</v>
      </c>
      <c r="K4855" s="37" t="s">
        <v>7941</v>
      </c>
      <c r="L4855" s="119"/>
      <c r="M4855" s="3"/>
    </row>
    <row r="4856" spans="1:13" s="4" customFormat="1" ht="38.25" x14ac:dyDescent="0.25">
      <c r="A4856" s="4" t="s">
        <v>8167</v>
      </c>
      <c r="B4856" s="4" t="s">
        <v>90</v>
      </c>
      <c r="C4856" s="37" t="s">
        <v>7941</v>
      </c>
      <c r="D4856" s="35">
        <v>4878</v>
      </c>
      <c r="E4856" s="4" t="s">
        <v>8168</v>
      </c>
      <c r="F4856" s="5">
        <v>39587</v>
      </c>
      <c r="G4856" s="5">
        <v>39952</v>
      </c>
      <c r="H4856" s="4" t="s">
        <v>40</v>
      </c>
      <c r="I4856" s="6">
        <v>10200</v>
      </c>
      <c r="J4856" s="6">
        <v>5100</v>
      </c>
      <c r="K4856" s="37" t="s">
        <v>7941</v>
      </c>
      <c r="L4856" s="119"/>
      <c r="M4856" s="3"/>
    </row>
    <row r="4857" spans="1:13" s="4" customFormat="1" ht="38.25" x14ac:dyDescent="0.25">
      <c r="A4857" s="4" t="s">
        <v>8169</v>
      </c>
      <c r="B4857" s="4" t="s">
        <v>59</v>
      </c>
      <c r="C4857" s="37" t="s">
        <v>7941</v>
      </c>
      <c r="D4857" s="35">
        <v>4879</v>
      </c>
      <c r="E4857" s="4" t="s">
        <v>8170</v>
      </c>
      <c r="F4857" s="5">
        <v>39951</v>
      </c>
      <c r="G4857" s="5">
        <v>40316</v>
      </c>
      <c r="H4857" s="4" t="s">
        <v>40</v>
      </c>
      <c r="I4857" s="6">
        <v>6000</v>
      </c>
      <c r="J4857" s="6">
        <v>6000</v>
      </c>
      <c r="K4857" s="37" t="s">
        <v>7941</v>
      </c>
      <c r="L4857" s="119"/>
      <c r="M4857" s="3"/>
    </row>
    <row r="4858" spans="1:13" s="4" customFormat="1" ht="25.5" x14ac:dyDescent="0.25">
      <c r="A4858" s="4" t="s">
        <v>8171</v>
      </c>
      <c r="B4858" s="4" t="s">
        <v>90</v>
      </c>
      <c r="C4858" s="37" t="s">
        <v>7941</v>
      </c>
      <c r="D4858" s="35">
        <v>4880</v>
      </c>
      <c r="E4858" s="4" t="s">
        <v>8172</v>
      </c>
      <c r="F4858" s="5">
        <v>39951</v>
      </c>
      <c r="G4858" s="5">
        <v>40316</v>
      </c>
      <c r="H4858" s="4" t="s">
        <v>40</v>
      </c>
      <c r="I4858" s="6">
        <v>10200</v>
      </c>
      <c r="J4858" s="6">
        <v>5100</v>
      </c>
      <c r="K4858" s="37" t="s">
        <v>7941</v>
      </c>
      <c r="L4858" s="119"/>
      <c r="M4858" s="3"/>
    </row>
    <row r="4859" spans="1:13" s="4" customFormat="1" ht="38.25" x14ac:dyDescent="0.25">
      <c r="A4859" s="4" t="s">
        <v>8179</v>
      </c>
      <c r="B4859" s="4" t="s">
        <v>50</v>
      </c>
      <c r="C4859" s="37" t="s">
        <v>7941</v>
      </c>
      <c r="D4859" s="35">
        <v>4884</v>
      </c>
      <c r="E4859" s="4" t="s">
        <v>8180</v>
      </c>
      <c r="F4859" s="5">
        <v>40007</v>
      </c>
      <c r="G4859" s="5">
        <v>40372</v>
      </c>
      <c r="H4859" s="4" t="s">
        <v>40</v>
      </c>
      <c r="I4859" s="6">
        <v>62000</v>
      </c>
      <c r="J4859" s="6">
        <v>31000</v>
      </c>
      <c r="K4859" s="37" t="s">
        <v>7941</v>
      </c>
      <c r="L4859" s="119"/>
      <c r="M4859" s="3"/>
    </row>
    <row r="4860" spans="1:13" s="4" customFormat="1" ht="51" x14ac:dyDescent="0.25">
      <c r="A4860" s="4" t="s">
        <v>8181</v>
      </c>
      <c r="B4860" s="4" t="s">
        <v>59</v>
      </c>
      <c r="C4860" s="37" t="s">
        <v>7941</v>
      </c>
      <c r="D4860" s="35">
        <v>4885</v>
      </c>
      <c r="E4860" s="4" t="s">
        <v>8182</v>
      </c>
      <c r="F4860" s="5">
        <v>40105</v>
      </c>
      <c r="G4860" s="5">
        <v>40470</v>
      </c>
      <c r="H4860" s="4" t="s">
        <v>40</v>
      </c>
      <c r="I4860" s="6">
        <v>6000</v>
      </c>
      <c r="J4860" s="6">
        <v>6000</v>
      </c>
      <c r="K4860" s="37" t="s">
        <v>7941</v>
      </c>
      <c r="L4860" s="119"/>
      <c r="M4860" s="3"/>
    </row>
    <row r="4861" spans="1:13" s="4" customFormat="1" ht="25.5" x14ac:dyDescent="0.25">
      <c r="A4861" s="4" t="s">
        <v>8183</v>
      </c>
      <c r="B4861" s="4" t="s">
        <v>59</v>
      </c>
      <c r="C4861" s="37" t="s">
        <v>7941</v>
      </c>
      <c r="D4861" s="35">
        <v>4886</v>
      </c>
      <c r="E4861" s="4" t="s">
        <v>8184</v>
      </c>
      <c r="F4861" s="5">
        <v>40105</v>
      </c>
      <c r="G4861" s="5">
        <v>40470</v>
      </c>
      <c r="H4861" s="4" t="s">
        <v>40</v>
      </c>
      <c r="I4861" s="6">
        <v>6000</v>
      </c>
      <c r="J4861" s="6">
        <v>6000</v>
      </c>
      <c r="K4861" s="37" t="s">
        <v>7941</v>
      </c>
      <c r="L4861" s="119"/>
      <c r="M4861" s="3"/>
    </row>
    <row r="4862" spans="1:13" s="4" customFormat="1" ht="38.25" x14ac:dyDescent="0.25">
      <c r="A4862" s="4" t="s">
        <v>8185</v>
      </c>
      <c r="B4862" s="4" t="s">
        <v>59</v>
      </c>
      <c r="C4862" s="37" t="s">
        <v>7941</v>
      </c>
      <c r="D4862" s="35">
        <v>4887</v>
      </c>
      <c r="E4862" s="4" t="s">
        <v>8186</v>
      </c>
      <c r="F4862" s="5">
        <v>40105</v>
      </c>
      <c r="G4862" s="5">
        <v>40470</v>
      </c>
      <c r="H4862" s="4" t="s">
        <v>40</v>
      </c>
      <c r="I4862" s="6">
        <v>6000</v>
      </c>
      <c r="J4862" s="6">
        <v>6000</v>
      </c>
      <c r="K4862" s="37" t="s">
        <v>7941</v>
      </c>
      <c r="L4862" s="119"/>
      <c r="M4862" s="3"/>
    </row>
    <row r="4863" spans="1:13" s="4" customFormat="1" ht="25.5" x14ac:dyDescent="0.25">
      <c r="A4863" s="4" t="s">
        <v>8187</v>
      </c>
      <c r="B4863" s="4" t="s">
        <v>59</v>
      </c>
      <c r="C4863" s="37" t="s">
        <v>7941</v>
      </c>
      <c r="D4863" s="35">
        <v>4888</v>
      </c>
      <c r="E4863" s="4" t="s">
        <v>8188</v>
      </c>
      <c r="F4863" s="5">
        <v>40105</v>
      </c>
      <c r="G4863" s="5">
        <v>40470</v>
      </c>
      <c r="H4863" s="4" t="s">
        <v>40</v>
      </c>
      <c r="I4863" s="6">
        <v>1500</v>
      </c>
      <c r="J4863" s="6">
        <v>1500</v>
      </c>
      <c r="K4863" s="37" t="s">
        <v>7941</v>
      </c>
      <c r="L4863" s="119"/>
      <c r="M4863" s="3"/>
    </row>
    <row r="4864" spans="1:13" s="4" customFormat="1" ht="38.25" x14ac:dyDescent="0.25">
      <c r="A4864" s="4" t="s">
        <v>8189</v>
      </c>
      <c r="B4864" s="4" t="s">
        <v>59</v>
      </c>
      <c r="C4864" s="37" t="s">
        <v>7941</v>
      </c>
      <c r="D4864" s="35">
        <v>4889</v>
      </c>
      <c r="E4864" s="4" t="s">
        <v>8190</v>
      </c>
      <c r="F4864" s="5">
        <v>39951</v>
      </c>
      <c r="G4864" s="5">
        <v>40316</v>
      </c>
      <c r="H4864" s="4" t="s">
        <v>40</v>
      </c>
      <c r="I4864" s="6">
        <v>6000</v>
      </c>
      <c r="J4864" s="6">
        <v>6000</v>
      </c>
      <c r="K4864" s="37" t="s">
        <v>7941</v>
      </c>
      <c r="L4864" s="119"/>
      <c r="M4864" s="3"/>
    </row>
    <row r="4865" spans="1:13" s="4" customFormat="1" ht="25.5" x14ac:dyDescent="0.25">
      <c r="A4865" s="4" t="s">
        <v>8191</v>
      </c>
      <c r="B4865" s="4" t="s">
        <v>50</v>
      </c>
      <c r="C4865" s="37" t="s">
        <v>7941</v>
      </c>
      <c r="D4865" s="35">
        <v>4890</v>
      </c>
      <c r="E4865" s="4" t="s">
        <v>8192</v>
      </c>
      <c r="F4865" s="5">
        <v>40007</v>
      </c>
      <c r="G4865" s="5">
        <v>40372</v>
      </c>
      <c r="H4865" s="4" t="s">
        <v>40</v>
      </c>
      <c r="I4865" s="6">
        <v>98684</v>
      </c>
      <c r="J4865" s="6">
        <v>49342</v>
      </c>
      <c r="K4865" s="37" t="s">
        <v>7941</v>
      </c>
      <c r="L4865" s="119"/>
      <c r="M4865" s="3"/>
    </row>
    <row r="4866" spans="1:13" s="4" customFormat="1" ht="25.5" x14ac:dyDescent="0.25">
      <c r="A4866" s="4" t="s">
        <v>8191</v>
      </c>
      <c r="B4866" s="4" t="s">
        <v>50</v>
      </c>
      <c r="C4866" s="37" t="s">
        <v>7941</v>
      </c>
      <c r="D4866" s="35">
        <v>4891</v>
      </c>
      <c r="E4866" s="4" t="s">
        <v>8193</v>
      </c>
      <c r="F4866" s="5">
        <v>40105</v>
      </c>
      <c r="G4866" s="5">
        <v>40470</v>
      </c>
      <c r="H4866" s="4" t="s">
        <v>40</v>
      </c>
      <c r="I4866" s="6">
        <v>51316</v>
      </c>
      <c r="J4866" s="6">
        <v>25658</v>
      </c>
      <c r="K4866" s="37" t="s">
        <v>7941</v>
      </c>
      <c r="L4866" s="119"/>
      <c r="M4866" s="3"/>
    </row>
    <row r="4867" spans="1:13" s="4" customFormat="1" ht="25.5" x14ac:dyDescent="0.25">
      <c r="A4867" s="4" t="s">
        <v>8194</v>
      </c>
      <c r="B4867" s="4" t="s">
        <v>59</v>
      </c>
      <c r="C4867" s="37" t="s">
        <v>7941</v>
      </c>
      <c r="D4867" s="35">
        <v>4892</v>
      </c>
      <c r="E4867" s="4" t="s">
        <v>8195</v>
      </c>
      <c r="F4867" s="5">
        <v>40007</v>
      </c>
      <c r="G4867" s="5">
        <v>40372</v>
      </c>
      <c r="H4867" s="4" t="s">
        <v>40</v>
      </c>
      <c r="I4867" s="6">
        <v>6000</v>
      </c>
      <c r="J4867" s="6">
        <v>6000</v>
      </c>
      <c r="K4867" s="37" t="s">
        <v>7941</v>
      </c>
      <c r="L4867" s="119"/>
      <c r="M4867" s="3"/>
    </row>
    <row r="4868" spans="1:13" s="4" customFormat="1" ht="25.5" x14ac:dyDescent="0.25">
      <c r="A4868" s="4" t="s">
        <v>8196</v>
      </c>
      <c r="B4868" s="4" t="s">
        <v>90</v>
      </c>
      <c r="C4868" s="37" t="s">
        <v>7941</v>
      </c>
      <c r="D4868" s="35">
        <v>4893</v>
      </c>
      <c r="E4868" s="4" t="s">
        <v>8197</v>
      </c>
      <c r="F4868" s="5">
        <v>39951</v>
      </c>
      <c r="G4868" s="5">
        <v>40316</v>
      </c>
      <c r="H4868" s="4" t="s">
        <v>40</v>
      </c>
      <c r="I4868" s="6">
        <v>9396.64</v>
      </c>
      <c r="J4868" s="6">
        <v>4698.32</v>
      </c>
      <c r="K4868" s="37" t="s">
        <v>7941</v>
      </c>
      <c r="L4868" s="119"/>
      <c r="M4868" s="3"/>
    </row>
    <row r="4869" spans="1:13" s="4" customFormat="1" ht="25.5" x14ac:dyDescent="0.25">
      <c r="A4869" s="4" t="s">
        <v>8198</v>
      </c>
      <c r="B4869" s="4" t="s">
        <v>50</v>
      </c>
      <c r="C4869" s="37" t="s">
        <v>7941</v>
      </c>
      <c r="D4869" s="35">
        <v>4894</v>
      </c>
      <c r="E4869" s="4" t="s">
        <v>8199</v>
      </c>
      <c r="F4869" s="5">
        <v>40007</v>
      </c>
      <c r="G4869" s="5">
        <v>40372</v>
      </c>
      <c r="H4869" s="4" t="s">
        <v>40</v>
      </c>
      <c r="I4869" s="6">
        <v>30000</v>
      </c>
      <c r="J4869" s="6">
        <v>15000</v>
      </c>
      <c r="K4869" s="37" t="s">
        <v>7941</v>
      </c>
      <c r="L4869" s="119"/>
      <c r="M4869" s="3"/>
    </row>
    <row r="4870" spans="1:13" s="4" customFormat="1" ht="25.5" x14ac:dyDescent="0.25">
      <c r="A4870" s="4" t="s">
        <v>8200</v>
      </c>
      <c r="B4870" s="4" t="s">
        <v>50</v>
      </c>
      <c r="C4870" s="37" t="s">
        <v>7941</v>
      </c>
      <c r="D4870" s="35">
        <v>4895</v>
      </c>
      <c r="E4870" s="4" t="s">
        <v>8201</v>
      </c>
      <c r="F4870" s="5">
        <v>39784</v>
      </c>
      <c r="G4870" s="5">
        <v>40149</v>
      </c>
      <c r="H4870" s="4" t="s">
        <v>40</v>
      </c>
      <c r="I4870" s="6">
        <v>7000</v>
      </c>
      <c r="J4870" s="6">
        <v>3500</v>
      </c>
      <c r="K4870" s="37" t="s">
        <v>7941</v>
      </c>
      <c r="L4870" s="119"/>
      <c r="M4870" s="3"/>
    </row>
    <row r="4871" spans="1:13" s="4" customFormat="1" ht="38.25" x14ac:dyDescent="0.25">
      <c r="A4871" s="4" t="s">
        <v>8204</v>
      </c>
      <c r="B4871" s="4" t="s">
        <v>90</v>
      </c>
      <c r="C4871" s="37" t="s">
        <v>7941</v>
      </c>
      <c r="D4871" s="35">
        <v>4897</v>
      </c>
      <c r="E4871" s="4" t="s">
        <v>8205</v>
      </c>
      <c r="F4871" s="5">
        <v>39919</v>
      </c>
      <c r="G4871" s="5">
        <v>40284</v>
      </c>
      <c r="H4871" s="4" t="s">
        <v>40</v>
      </c>
      <c r="I4871" s="6">
        <v>8288.7999999999993</v>
      </c>
      <c r="J4871" s="6">
        <v>4144</v>
      </c>
      <c r="K4871" s="37" t="s">
        <v>7941</v>
      </c>
      <c r="L4871" s="119"/>
      <c r="M4871" s="3"/>
    </row>
    <row r="4872" spans="1:13" s="4" customFormat="1" ht="63.75" x14ac:dyDescent="0.25">
      <c r="A4872" s="4" t="s">
        <v>8208</v>
      </c>
      <c r="B4872" s="4" t="s">
        <v>38</v>
      </c>
      <c r="C4872" s="37" t="s">
        <v>7941</v>
      </c>
      <c r="D4872" s="35">
        <v>4902</v>
      </c>
      <c r="E4872" s="4" t="s">
        <v>8209</v>
      </c>
      <c r="F4872" s="5">
        <v>39814</v>
      </c>
      <c r="G4872" s="5">
        <v>40178</v>
      </c>
      <c r="H4872" s="4" t="s">
        <v>40</v>
      </c>
      <c r="I4872" s="6">
        <v>10000</v>
      </c>
      <c r="J4872" s="6">
        <v>10000</v>
      </c>
      <c r="K4872" s="37" t="s">
        <v>7941</v>
      </c>
      <c r="L4872" s="119"/>
      <c r="M4872" s="3"/>
    </row>
    <row r="4873" spans="1:13" s="4" customFormat="1" ht="38.25" x14ac:dyDescent="0.25">
      <c r="A4873" s="4" t="s">
        <v>8210</v>
      </c>
      <c r="B4873" s="4" t="s">
        <v>38</v>
      </c>
      <c r="C4873" s="37" t="s">
        <v>7941</v>
      </c>
      <c r="D4873" s="35">
        <v>4903</v>
      </c>
      <c r="E4873" s="4" t="s">
        <v>8211</v>
      </c>
      <c r="F4873" s="5">
        <v>39814</v>
      </c>
      <c r="G4873" s="5">
        <v>40178</v>
      </c>
      <c r="H4873" s="4" t="s">
        <v>40</v>
      </c>
      <c r="I4873" s="6">
        <v>2960</v>
      </c>
      <c r="J4873" s="6">
        <v>2960</v>
      </c>
      <c r="K4873" s="37" t="s">
        <v>7941</v>
      </c>
      <c r="L4873" s="119"/>
      <c r="M4873" s="3"/>
    </row>
    <row r="4874" spans="1:13" s="4" customFormat="1" ht="51" x14ac:dyDescent="0.25">
      <c r="A4874" s="4" t="s">
        <v>8212</v>
      </c>
      <c r="B4874" s="4" t="s">
        <v>38</v>
      </c>
      <c r="C4874" s="37" t="s">
        <v>7941</v>
      </c>
      <c r="D4874" s="35">
        <v>4905</v>
      </c>
      <c r="E4874" s="4" t="s">
        <v>8213</v>
      </c>
      <c r="F4874" s="5">
        <v>39814</v>
      </c>
      <c r="G4874" s="5">
        <v>40178</v>
      </c>
      <c r="H4874" s="4" t="s">
        <v>40</v>
      </c>
      <c r="I4874" s="6">
        <v>1000</v>
      </c>
      <c r="J4874" s="6">
        <v>1000</v>
      </c>
      <c r="K4874" s="37" t="s">
        <v>7941</v>
      </c>
      <c r="L4874" s="119"/>
      <c r="M4874" s="3"/>
    </row>
    <row r="4875" spans="1:13" s="4" customFormat="1" ht="25.5" x14ac:dyDescent="0.25">
      <c r="A4875" s="4" t="s">
        <v>8214</v>
      </c>
      <c r="B4875" s="4" t="s">
        <v>38</v>
      </c>
      <c r="C4875" s="37" t="s">
        <v>7941</v>
      </c>
      <c r="D4875" s="35">
        <v>4906</v>
      </c>
      <c r="E4875" s="4" t="s">
        <v>8215</v>
      </c>
      <c r="F4875" s="5">
        <v>39814</v>
      </c>
      <c r="G4875" s="5">
        <v>40178</v>
      </c>
      <c r="H4875" s="4" t="s">
        <v>40</v>
      </c>
      <c r="I4875" s="6">
        <v>2615</v>
      </c>
      <c r="J4875" s="6">
        <v>2615</v>
      </c>
      <c r="K4875" s="37" t="s">
        <v>7941</v>
      </c>
      <c r="L4875" s="119"/>
      <c r="M4875" s="3"/>
    </row>
    <row r="4876" spans="1:13" s="4" customFormat="1" ht="25.5" x14ac:dyDescent="0.25">
      <c r="A4876" s="4" t="s">
        <v>8216</v>
      </c>
      <c r="B4876" s="4" t="s">
        <v>38</v>
      </c>
      <c r="C4876" s="37" t="s">
        <v>7941</v>
      </c>
      <c r="D4876" s="35">
        <v>5231</v>
      </c>
      <c r="E4876" s="4" t="s">
        <v>8217</v>
      </c>
      <c r="F4876" s="5">
        <v>39448</v>
      </c>
      <c r="G4876" s="5">
        <v>41639</v>
      </c>
      <c r="H4876" s="4" t="s">
        <v>40</v>
      </c>
      <c r="I4876" s="6">
        <v>1000</v>
      </c>
      <c r="J4876" s="6">
        <v>1000</v>
      </c>
      <c r="K4876" s="37" t="s">
        <v>7941</v>
      </c>
      <c r="L4876" s="119"/>
      <c r="M4876" s="3"/>
    </row>
    <row r="4877" spans="1:13" s="4" customFormat="1" ht="25.5" x14ac:dyDescent="0.25">
      <c r="A4877" s="4" t="s">
        <v>8218</v>
      </c>
      <c r="B4877" s="4" t="s">
        <v>38</v>
      </c>
      <c r="C4877" s="37" t="s">
        <v>7941</v>
      </c>
      <c r="D4877" s="35">
        <v>6895</v>
      </c>
      <c r="E4877" s="4" t="s">
        <v>8219</v>
      </c>
      <c r="F4877" s="5">
        <v>40472</v>
      </c>
      <c r="G4877" s="5">
        <v>41217</v>
      </c>
      <c r="H4877" s="4" t="s">
        <v>40</v>
      </c>
      <c r="I4877" s="6">
        <v>1829.23</v>
      </c>
      <c r="J4877" s="6">
        <v>1829.23</v>
      </c>
      <c r="K4877" s="37" t="s">
        <v>7941</v>
      </c>
      <c r="L4877" s="119"/>
      <c r="M4877" s="3"/>
    </row>
    <row r="4878" spans="1:13" s="4" customFormat="1" ht="38.25" x14ac:dyDescent="0.25">
      <c r="A4878" s="4" t="s">
        <v>8220</v>
      </c>
      <c r="B4878" s="4" t="s">
        <v>38</v>
      </c>
      <c r="C4878" s="37" t="s">
        <v>7941</v>
      </c>
      <c r="D4878" s="35">
        <v>6897</v>
      </c>
      <c r="E4878" s="4" t="s">
        <v>8221</v>
      </c>
      <c r="F4878" s="5">
        <v>40479</v>
      </c>
      <c r="G4878" s="5">
        <v>40501</v>
      </c>
      <c r="H4878" s="4" t="s">
        <v>40</v>
      </c>
      <c r="I4878" s="6">
        <v>1500</v>
      </c>
      <c r="J4878" s="6">
        <v>1500</v>
      </c>
      <c r="K4878" s="37" t="s">
        <v>7941</v>
      </c>
      <c r="L4878" s="119"/>
      <c r="M4878" s="3"/>
    </row>
    <row r="4879" spans="1:13" s="4" customFormat="1" ht="25.5" x14ac:dyDescent="0.25">
      <c r="A4879" s="4" t="s">
        <v>8222</v>
      </c>
      <c r="B4879" s="4" t="s">
        <v>38</v>
      </c>
      <c r="C4879" s="37" t="s">
        <v>7941</v>
      </c>
      <c r="D4879" s="35">
        <v>6899</v>
      </c>
      <c r="E4879" s="4" t="s">
        <v>8223</v>
      </c>
      <c r="F4879" s="5">
        <v>40233</v>
      </c>
      <c r="G4879" s="5">
        <v>40262</v>
      </c>
      <c r="H4879" s="4" t="s">
        <v>40</v>
      </c>
      <c r="I4879" s="6">
        <v>1390</v>
      </c>
      <c r="J4879" s="6">
        <v>1390</v>
      </c>
      <c r="K4879" s="37" t="s">
        <v>7941</v>
      </c>
      <c r="L4879" s="119"/>
      <c r="M4879" s="3"/>
    </row>
    <row r="4880" spans="1:13" s="4" customFormat="1" ht="38.25" x14ac:dyDescent="0.25">
      <c r="A4880" s="4" t="s">
        <v>8224</v>
      </c>
      <c r="B4880" s="4" t="s">
        <v>38</v>
      </c>
      <c r="C4880" s="37" t="s">
        <v>7941</v>
      </c>
      <c r="D4880" s="35">
        <v>6901</v>
      </c>
      <c r="E4880" s="4" t="s">
        <v>8225</v>
      </c>
      <c r="F4880" s="5">
        <v>40204</v>
      </c>
      <c r="G4880" s="5">
        <v>40204</v>
      </c>
      <c r="H4880" s="4" t="s">
        <v>40</v>
      </c>
      <c r="I4880" s="6">
        <v>500</v>
      </c>
      <c r="J4880" s="6">
        <v>500</v>
      </c>
      <c r="K4880" s="37" t="s">
        <v>7941</v>
      </c>
      <c r="L4880" s="119"/>
      <c r="M4880" s="3"/>
    </row>
    <row r="4881" spans="1:13" s="4" customFormat="1" ht="38.25" x14ac:dyDescent="0.25">
      <c r="A4881" s="4" t="s">
        <v>8226</v>
      </c>
      <c r="B4881" s="4" t="s">
        <v>38</v>
      </c>
      <c r="C4881" s="37" t="s">
        <v>7941</v>
      </c>
      <c r="D4881" s="35">
        <v>6903</v>
      </c>
      <c r="E4881" s="4" t="s">
        <v>8227</v>
      </c>
      <c r="F4881" s="5">
        <v>40260</v>
      </c>
      <c r="G4881" s="5">
        <v>40323</v>
      </c>
      <c r="H4881" s="4" t="s">
        <v>40</v>
      </c>
      <c r="I4881" s="6">
        <f>45390.41-0.8</f>
        <v>45389.61</v>
      </c>
      <c r="J4881" s="6">
        <f>24440.5+20949.91</f>
        <v>45390.41</v>
      </c>
      <c r="K4881" s="37" t="s">
        <v>7941</v>
      </c>
      <c r="L4881" s="119"/>
      <c r="M4881" s="3"/>
    </row>
    <row r="4882" spans="1:13" s="4" customFormat="1" ht="38.25" x14ac:dyDescent="0.25">
      <c r="A4882" s="4" t="s">
        <v>8228</v>
      </c>
      <c r="B4882" s="4" t="s">
        <v>38</v>
      </c>
      <c r="C4882" s="37" t="s">
        <v>7941</v>
      </c>
      <c r="D4882" s="35">
        <v>6905</v>
      </c>
      <c r="E4882" s="4" t="s">
        <v>8229</v>
      </c>
      <c r="F4882" s="5">
        <v>40227</v>
      </c>
      <c r="G4882" s="5">
        <v>41011</v>
      </c>
      <c r="H4882" s="4" t="s">
        <v>40</v>
      </c>
      <c r="I4882" s="6">
        <v>15105.86</v>
      </c>
      <c r="J4882" s="6">
        <f>11944.11+3161.75</f>
        <v>15105.86</v>
      </c>
      <c r="K4882" s="37" t="s">
        <v>7941</v>
      </c>
      <c r="L4882" s="119"/>
      <c r="M4882" s="3"/>
    </row>
    <row r="4883" spans="1:13" s="4" customFormat="1" ht="51" x14ac:dyDescent="0.25">
      <c r="A4883" s="4" t="s">
        <v>8230</v>
      </c>
      <c r="B4883" s="4" t="s">
        <v>38</v>
      </c>
      <c r="C4883" s="37" t="s">
        <v>7941</v>
      </c>
      <c r="D4883" s="35">
        <v>6908</v>
      </c>
      <c r="E4883" s="4" t="s">
        <v>8231</v>
      </c>
      <c r="F4883" s="5">
        <v>40226</v>
      </c>
      <c r="G4883" s="5">
        <v>40240</v>
      </c>
      <c r="H4883" s="4" t="s">
        <v>40</v>
      </c>
      <c r="I4883" s="6">
        <v>990</v>
      </c>
      <c r="J4883" s="6">
        <v>990</v>
      </c>
      <c r="K4883" s="37" t="s">
        <v>7941</v>
      </c>
      <c r="L4883" s="119"/>
      <c r="M4883" s="3"/>
    </row>
    <row r="4884" spans="1:13" s="4" customFormat="1" ht="51" x14ac:dyDescent="0.25">
      <c r="A4884" s="4" t="s">
        <v>2250</v>
      </c>
      <c r="B4884" s="4" t="s">
        <v>38</v>
      </c>
      <c r="C4884" s="37" t="s">
        <v>7941</v>
      </c>
      <c r="D4884" s="35">
        <v>6910</v>
      </c>
      <c r="E4884" s="4" t="s">
        <v>8232</v>
      </c>
      <c r="F4884" s="5">
        <v>40330</v>
      </c>
      <c r="G4884" s="5">
        <v>40482</v>
      </c>
      <c r="H4884" s="4" t="s">
        <v>40</v>
      </c>
      <c r="I4884" s="6">
        <v>11550</v>
      </c>
      <c r="J4884" s="6">
        <v>11550</v>
      </c>
      <c r="K4884" s="37" t="s">
        <v>7941</v>
      </c>
      <c r="L4884" s="119"/>
      <c r="M4884" s="3"/>
    </row>
    <row r="4885" spans="1:13" s="4" customFormat="1" ht="25.5" x14ac:dyDescent="0.25">
      <c r="A4885" s="4" t="s">
        <v>8233</v>
      </c>
      <c r="B4885" s="4" t="s">
        <v>38</v>
      </c>
      <c r="C4885" s="37" t="s">
        <v>7941</v>
      </c>
      <c r="D4885" s="35">
        <v>6912</v>
      </c>
      <c r="E4885" s="4" t="s">
        <v>8234</v>
      </c>
      <c r="F4885" s="5">
        <v>40323</v>
      </c>
      <c r="G4885" s="5">
        <v>40323</v>
      </c>
      <c r="H4885" s="4" t="s">
        <v>40</v>
      </c>
      <c r="I4885" s="6">
        <v>1789.59</v>
      </c>
      <c r="J4885" s="6">
        <v>1789.59</v>
      </c>
      <c r="K4885" s="37" t="s">
        <v>7941</v>
      </c>
      <c r="L4885" s="119"/>
      <c r="M4885" s="3"/>
    </row>
    <row r="4886" spans="1:13" s="4" customFormat="1" ht="51" x14ac:dyDescent="0.25">
      <c r="A4886" s="4" t="s">
        <v>8235</v>
      </c>
      <c r="B4886" s="4" t="s">
        <v>38</v>
      </c>
      <c r="C4886" s="37" t="s">
        <v>7941</v>
      </c>
      <c r="D4886" s="35">
        <v>6990</v>
      </c>
      <c r="E4886" s="4" t="s">
        <v>8236</v>
      </c>
      <c r="F4886" s="5">
        <v>40179</v>
      </c>
      <c r="G4886" s="5">
        <v>40543</v>
      </c>
      <c r="H4886" s="4" t="s">
        <v>40</v>
      </c>
      <c r="I4886" s="6">
        <v>1000</v>
      </c>
      <c r="J4886" s="6">
        <v>1000</v>
      </c>
      <c r="K4886" s="37" t="s">
        <v>7941</v>
      </c>
      <c r="L4886" s="119"/>
      <c r="M4886" s="3"/>
    </row>
    <row r="4887" spans="1:13" s="4" customFormat="1" ht="25.5" x14ac:dyDescent="0.25">
      <c r="A4887" s="4" t="s">
        <v>8237</v>
      </c>
      <c r="B4887" s="4" t="s">
        <v>183</v>
      </c>
      <c r="C4887" s="37" t="s">
        <v>7941</v>
      </c>
      <c r="D4887" s="35">
        <v>7078</v>
      </c>
      <c r="E4887" s="4" t="s">
        <v>8238</v>
      </c>
      <c r="F4887" s="5">
        <v>40329</v>
      </c>
      <c r="G4887" s="5">
        <v>40694</v>
      </c>
      <c r="H4887" s="4" t="s">
        <v>40</v>
      </c>
      <c r="I4887" s="6">
        <v>16000</v>
      </c>
      <c r="J4887" s="6">
        <v>12000</v>
      </c>
      <c r="K4887" s="37" t="s">
        <v>7941</v>
      </c>
      <c r="L4887" s="119"/>
      <c r="M4887" s="3"/>
    </row>
    <row r="4888" spans="1:13" s="4" customFormat="1" ht="38.25" x14ac:dyDescent="0.25">
      <c r="A4888" s="4" t="s">
        <v>8239</v>
      </c>
      <c r="B4888" s="4" t="s">
        <v>183</v>
      </c>
      <c r="C4888" s="37" t="s">
        <v>7941</v>
      </c>
      <c r="D4888" s="35">
        <v>7085</v>
      </c>
      <c r="E4888" s="4" t="s">
        <v>8240</v>
      </c>
      <c r="F4888" s="5">
        <v>40526</v>
      </c>
      <c r="G4888" s="5">
        <v>40908</v>
      </c>
      <c r="H4888" s="4" t="s">
        <v>40</v>
      </c>
      <c r="I4888" s="6">
        <v>12598</v>
      </c>
      <c r="J4888" s="6">
        <v>10299</v>
      </c>
      <c r="K4888" s="37" t="s">
        <v>7941</v>
      </c>
      <c r="L4888" s="119"/>
      <c r="M4888" s="3"/>
    </row>
    <row r="4889" spans="1:13" s="4" customFormat="1" ht="38.25" x14ac:dyDescent="0.25">
      <c r="A4889" s="4" t="s">
        <v>8241</v>
      </c>
      <c r="B4889" s="4" t="s">
        <v>183</v>
      </c>
      <c r="C4889" s="37" t="s">
        <v>7941</v>
      </c>
      <c r="D4889" s="35">
        <v>7088</v>
      </c>
      <c r="E4889" s="4" t="s">
        <v>8242</v>
      </c>
      <c r="F4889" s="5">
        <v>40259</v>
      </c>
      <c r="G4889" s="5">
        <v>40623</v>
      </c>
      <c r="H4889" s="4" t="s">
        <v>40</v>
      </c>
      <c r="I4889" s="6">
        <v>8000</v>
      </c>
      <c r="J4889" s="6">
        <v>8000</v>
      </c>
      <c r="K4889" s="37" t="s">
        <v>7941</v>
      </c>
      <c r="L4889" s="119"/>
      <c r="M4889" s="3"/>
    </row>
    <row r="4890" spans="1:13" s="4" customFormat="1" ht="25.5" x14ac:dyDescent="0.25">
      <c r="A4890" s="4" t="s">
        <v>8243</v>
      </c>
      <c r="B4890" s="4" t="s">
        <v>38</v>
      </c>
      <c r="C4890" s="37" t="s">
        <v>7941</v>
      </c>
      <c r="D4890" s="35">
        <v>7102</v>
      </c>
      <c r="E4890" s="4" t="s">
        <v>8244</v>
      </c>
      <c r="F4890" s="5">
        <v>40238</v>
      </c>
      <c r="G4890" s="5">
        <v>40890</v>
      </c>
      <c r="H4890" s="4" t="s">
        <v>40</v>
      </c>
      <c r="I4890" s="6">
        <v>9000</v>
      </c>
      <c r="J4890" s="6">
        <v>8500</v>
      </c>
      <c r="K4890" s="37" t="s">
        <v>7941</v>
      </c>
      <c r="L4890" s="119"/>
      <c r="M4890" s="3"/>
    </row>
    <row r="4891" spans="1:13" s="4" customFormat="1" ht="51" x14ac:dyDescent="0.25">
      <c r="A4891" s="4" t="s">
        <v>8247</v>
      </c>
      <c r="B4891" s="4" t="s">
        <v>183</v>
      </c>
      <c r="C4891" s="37" t="s">
        <v>7941</v>
      </c>
      <c r="D4891" s="35">
        <v>7104</v>
      </c>
      <c r="E4891" s="4" t="s">
        <v>8248</v>
      </c>
      <c r="F4891" s="5">
        <v>40329</v>
      </c>
      <c r="G4891" s="5">
        <v>40693</v>
      </c>
      <c r="H4891" s="4" t="s">
        <v>40</v>
      </c>
      <c r="I4891" s="6">
        <v>8000</v>
      </c>
      <c r="J4891" s="6">
        <v>8000</v>
      </c>
      <c r="K4891" s="37" t="s">
        <v>7941</v>
      </c>
      <c r="L4891" s="119"/>
      <c r="M4891" s="3"/>
    </row>
    <row r="4892" spans="1:13" s="4" customFormat="1" ht="25.5" x14ac:dyDescent="0.25">
      <c r="A4892" s="4" t="s">
        <v>8251</v>
      </c>
      <c r="B4892" s="4" t="s">
        <v>190</v>
      </c>
      <c r="C4892" s="37" t="s">
        <v>7941</v>
      </c>
      <c r="D4892" s="35">
        <v>7106</v>
      </c>
      <c r="E4892" s="4" t="s">
        <v>8252</v>
      </c>
      <c r="F4892" s="5">
        <v>39814</v>
      </c>
      <c r="G4892" s="5">
        <v>40543</v>
      </c>
      <c r="H4892" s="4" t="s">
        <v>40</v>
      </c>
      <c r="I4892" s="6">
        <v>10600</v>
      </c>
      <c r="J4892" s="6">
        <v>5300</v>
      </c>
      <c r="K4892" s="37" t="s">
        <v>7941</v>
      </c>
      <c r="L4892" s="119"/>
      <c r="M4892" s="3"/>
    </row>
    <row r="4893" spans="1:13" s="4" customFormat="1" ht="51" x14ac:dyDescent="0.25">
      <c r="A4893" s="4" t="s">
        <v>8255</v>
      </c>
      <c r="B4893" s="4" t="s">
        <v>183</v>
      </c>
      <c r="C4893" s="37" t="s">
        <v>7941</v>
      </c>
      <c r="D4893" s="35">
        <v>7108</v>
      </c>
      <c r="E4893" s="4" t="s">
        <v>8256</v>
      </c>
      <c r="F4893" s="5">
        <v>40833</v>
      </c>
      <c r="G4893" s="5">
        <v>40908</v>
      </c>
      <c r="H4893" s="4" t="s">
        <v>40</v>
      </c>
      <c r="I4893" s="6">
        <v>17000</v>
      </c>
      <c r="J4893" s="6">
        <v>12500</v>
      </c>
      <c r="K4893" s="37" t="s">
        <v>7941</v>
      </c>
      <c r="L4893" s="119"/>
      <c r="M4893" s="3"/>
    </row>
    <row r="4894" spans="1:13" s="4" customFormat="1" ht="25.5" x14ac:dyDescent="0.25">
      <c r="A4894" s="4" t="s">
        <v>8257</v>
      </c>
      <c r="B4894" s="4" t="s">
        <v>190</v>
      </c>
      <c r="C4894" s="37" t="s">
        <v>7941</v>
      </c>
      <c r="D4894" s="35">
        <v>7109</v>
      </c>
      <c r="E4894" s="4" t="s">
        <v>8258</v>
      </c>
      <c r="F4894" s="5">
        <v>40329</v>
      </c>
      <c r="G4894" s="5">
        <v>40694</v>
      </c>
      <c r="H4894" s="4" t="s">
        <v>40</v>
      </c>
      <c r="I4894" s="6">
        <v>28590</v>
      </c>
      <c r="J4894" s="6">
        <v>14295</v>
      </c>
      <c r="K4894" s="37" t="s">
        <v>7941</v>
      </c>
      <c r="L4894" s="119"/>
      <c r="M4894" s="3"/>
    </row>
    <row r="4895" spans="1:13" s="4" customFormat="1" ht="25.5" x14ac:dyDescent="0.25">
      <c r="A4895" s="4" t="s">
        <v>8259</v>
      </c>
      <c r="B4895" s="4" t="s">
        <v>90</v>
      </c>
      <c r="C4895" s="37" t="s">
        <v>7941</v>
      </c>
      <c r="D4895" s="35">
        <v>7111</v>
      </c>
      <c r="E4895" s="4" t="s">
        <v>8260</v>
      </c>
      <c r="F4895" s="5">
        <v>40105</v>
      </c>
      <c r="G4895" s="5">
        <v>40470</v>
      </c>
      <c r="H4895" s="4" t="s">
        <v>40</v>
      </c>
      <c r="I4895" s="6">
        <v>10000</v>
      </c>
      <c r="J4895" s="6">
        <v>5000</v>
      </c>
      <c r="K4895" s="37" t="s">
        <v>7941</v>
      </c>
      <c r="L4895" s="119"/>
      <c r="M4895" s="3"/>
    </row>
    <row r="4896" spans="1:13" s="4" customFormat="1" ht="38.25" x14ac:dyDescent="0.25">
      <c r="A4896" s="4" t="s">
        <v>8261</v>
      </c>
      <c r="B4896" s="4" t="s">
        <v>50</v>
      </c>
      <c r="C4896" s="37" t="s">
        <v>7941</v>
      </c>
      <c r="D4896" s="35">
        <v>7112</v>
      </c>
      <c r="E4896" s="4" t="s">
        <v>8262</v>
      </c>
      <c r="F4896" s="5">
        <v>40105</v>
      </c>
      <c r="G4896" s="5">
        <v>41639</v>
      </c>
      <c r="H4896" s="4" t="s">
        <v>40</v>
      </c>
      <c r="I4896" s="6">
        <v>32330</v>
      </c>
      <c r="J4896" s="6">
        <v>16165</v>
      </c>
      <c r="K4896" s="37" t="s">
        <v>7941</v>
      </c>
      <c r="L4896" s="119"/>
      <c r="M4896" s="3"/>
    </row>
    <row r="4897" spans="1:13" s="4" customFormat="1" ht="38.25" x14ac:dyDescent="0.25">
      <c r="A4897" s="4" t="s">
        <v>8263</v>
      </c>
      <c r="B4897" s="4" t="s">
        <v>190</v>
      </c>
      <c r="C4897" s="37" t="s">
        <v>7941</v>
      </c>
      <c r="D4897" s="35">
        <v>7177</v>
      </c>
      <c r="E4897" s="4" t="s">
        <v>8264</v>
      </c>
      <c r="F4897" s="5">
        <v>40232</v>
      </c>
      <c r="G4897" s="5">
        <v>40908</v>
      </c>
      <c r="H4897" s="4" t="s">
        <v>40</v>
      </c>
      <c r="I4897" s="6">
        <v>24318</v>
      </c>
      <c r="J4897" s="6">
        <v>12159</v>
      </c>
      <c r="K4897" s="37" t="s">
        <v>7941</v>
      </c>
      <c r="L4897" s="119"/>
      <c r="M4897" s="3"/>
    </row>
    <row r="4898" spans="1:13" s="4" customFormat="1" ht="51" x14ac:dyDescent="0.25">
      <c r="A4898" s="4" t="s">
        <v>8265</v>
      </c>
      <c r="B4898" s="4" t="s">
        <v>90</v>
      </c>
      <c r="C4898" s="37" t="s">
        <v>7941</v>
      </c>
      <c r="D4898" s="35">
        <v>7192</v>
      </c>
      <c r="E4898" s="4" t="s">
        <v>8266</v>
      </c>
      <c r="F4898" s="5">
        <v>40259</v>
      </c>
      <c r="G4898" s="5">
        <v>40908</v>
      </c>
      <c r="H4898" s="4" t="s">
        <v>40</v>
      </c>
      <c r="I4898" s="6">
        <v>40000</v>
      </c>
      <c r="J4898" s="6">
        <v>20000</v>
      </c>
      <c r="K4898" s="37" t="s">
        <v>7941</v>
      </c>
      <c r="L4898" s="119"/>
      <c r="M4898" s="3"/>
    </row>
    <row r="4899" spans="1:13" s="4" customFormat="1" ht="25.5" x14ac:dyDescent="0.25">
      <c r="A4899" s="4" t="s">
        <v>8267</v>
      </c>
      <c r="B4899" s="4" t="s">
        <v>90</v>
      </c>
      <c r="C4899" s="37" t="s">
        <v>7941</v>
      </c>
      <c r="D4899" s="35">
        <v>7336</v>
      </c>
      <c r="E4899" s="4" t="s">
        <v>8268</v>
      </c>
      <c r="F4899" s="5">
        <v>40329</v>
      </c>
      <c r="G4899" s="5">
        <v>40543</v>
      </c>
      <c r="H4899" s="4" t="s">
        <v>40</v>
      </c>
      <c r="I4899" s="6">
        <v>5000</v>
      </c>
      <c r="J4899" s="6">
        <v>2500</v>
      </c>
      <c r="K4899" s="37" t="s">
        <v>7941</v>
      </c>
      <c r="L4899" s="119"/>
      <c r="M4899" s="3"/>
    </row>
    <row r="4900" spans="1:13" s="4" customFormat="1" ht="38.25" x14ac:dyDescent="0.25">
      <c r="A4900" s="4" t="s">
        <v>8271</v>
      </c>
      <c r="B4900" s="4" t="s">
        <v>190</v>
      </c>
      <c r="C4900" s="37" t="s">
        <v>7941</v>
      </c>
      <c r="D4900" s="35">
        <v>8629</v>
      </c>
      <c r="E4900" s="4" t="s">
        <v>8272</v>
      </c>
      <c r="F4900" s="5">
        <v>40848</v>
      </c>
      <c r="G4900" s="5">
        <v>41274</v>
      </c>
      <c r="H4900" s="4" t="s">
        <v>40</v>
      </c>
      <c r="I4900" s="6">
        <v>9248</v>
      </c>
      <c r="J4900" s="6">
        <v>4624</v>
      </c>
      <c r="K4900" s="37" t="s">
        <v>7941</v>
      </c>
      <c r="L4900" s="119"/>
      <c r="M4900" s="3"/>
    </row>
    <row r="4901" spans="1:13" s="4" customFormat="1" ht="38.25" x14ac:dyDescent="0.25">
      <c r="A4901" s="4" t="s">
        <v>8273</v>
      </c>
      <c r="B4901" s="4" t="s">
        <v>190</v>
      </c>
      <c r="C4901" s="37" t="s">
        <v>7941</v>
      </c>
      <c r="D4901" s="35">
        <v>8630</v>
      </c>
      <c r="E4901" s="4" t="s">
        <v>8274</v>
      </c>
      <c r="F4901" s="5">
        <v>40693</v>
      </c>
      <c r="G4901" s="5">
        <v>40908</v>
      </c>
      <c r="H4901" s="4" t="s">
        <v>40</v>
      </c>
      <c r="I4901" s="6">
        <v>8000</v>
      </c>
      <c r="J4901" s="6">
        <v>8000</v>
      </c>
      <c r="K4901" s="37" t="s">
        <v>7941</v>
      </c>
      <c r="L4901" s="119"/>
      <c r="M4901" s="3"/>
    </row>
    <row r="4902" spans="1:13" s="4" customFormat="1" ht="25.5" x14ac:dyDescent="0.25">
      <c r="A4902" s="4" t="s">
        <v>8275</v>
      </c>
      <c r="B4902" s="4" t="s">
        <v>183</v>
      </c>
      <c r="C4902" s="37" t="s">
        <v>7941</v>
      </c>
      <c r="D4902" s="35">
        <v>8631</v>
      </c>
      <c r="E4902" s="4" t="s">
        <v>8276</v>
      </c>
      <c r="F4902" s="5">
        <v>40623</v>
      </c>
      <c r="G4902" s="5">
        <v>40908</v>
      </c>
      <c r="H4902" s="4" t="s">
        <v>40</v>
      </c>
      <c r="I4902" s="6">
        <v>4000</v>
      </c>
      <c r="J4902" s="6">
        <v>4000</v>
      </c>
      <c r="K4902" s="37" t="s">
        <v>7941</v>
      </c>
      <c r="L4902" s="119"/>
      <c r="M4902" s="3"/>
    </row>
    <row r="4903" spans="1:13" s="4" customFormat="1" ht="38.25" x14ac:dyDescent="0.25">
      <c r="A4903" s="4" t="s">
        <v>8277</v>
      </c>
      <c r="B4903" s="4" t="s">
        <v>90</v>
      </c>
      <c r="C4903" s="37" t="s">
        <v>7941</v>
      </c>
      <c r="D4903" s="35">
        <v>8632</v>
      </c>
      <c r="E4903" s="4" t="s">
        <v>8278</v>
      </c>
      <c r="F4903" s="5">
        <v>40544</v>
      </c>
      <c r="G4903" s="5">
        <v>40908</v>
      </c>
      <c r="H4903" s="4" t="s">
        <v>40</v>
      </c>
      <c r="I4903" s="6">
        <v>40000</v>
      </c>
      <c r="J4903" s="6">
        <v>20000</v>
      </c>
      <c r="K4903" s="37" t="s">
        <v>7941</v>
      </c>
      <c r="L4903" s="119"/>
      <c r="M4903" s="3"/>
    </row>
    <row r="4904" spans="1:13" s="4" customFormat="1" ht="38.25" x14ac:dyDescent="0.25">
      <c r="A4904" s="4" t="s">
        <v>8281</v>
      </c>
      <c r="B4904" s="4" t="s">
        <v>190</v>
      </c>
      <c r="C4904" s="37" t="s">
        <v>7941</v>
      </c>
      <c r="D4904" s="35">
        <v>8634</v>
      </c>
      <c r="E4904" s="4" t="s">
        <v>8282</v>
      </c>
      <c r="F4904" s="5">
        <v>40833</v>
      </c>
      <c r="G4904" s="5">
        <v>41274</v>
      </c>
      <c r="H4904" s="4" t="s">
        <v>40</v>
      </c>
      <c r="I4904" s="6">
        <v>8000</v>
      </c>
      <c r="J4904" s="6">
        <v>8000</v>
      </c>
      <c r="K4904" s="37" t="s">
        <v>7941</v>
      </c>
      <c r="L4904" s="119"/>
      <c r="M4904" s="3"/>
    </row>
    <row r="4905" spans="1:13" s="4" customFormat="1" ht="76.5" x14ac:dyDescent="0.25">
      <c r="A4905" s="4" t="s">
        <v>8285</v>
      </c>
      <c r="B4905" s="4" t="s">
        <v>190</v>
      </c>
      <c r="C4905" s="37" t="s">
        <v>7941</v>
      </c>
      <c r="D4905" s="35">
        <v>8636</v>
      </c>
      <c r="E4905" s="4" t="s">
        <v>8286</v>
      </c>
      <c r="F4905" s="5">
        <v>40833</v>
      </c>
      <c r="G4905" s="5">
        <v>40908</v>
      </c>
      <c r="H4905" s="4" t="s">
        <v>40</v>
      </c>
      <c r="I4905" s="6">
        <v>40000</v>
      </c>
      <c r="J4905" s="6">
        <v>20000</v>
      </c>
      <c r="K4905" s="37" t="s">
        <v>7941</v>
      </c>
      <c r="L4905" s="119"/>
      <c r="M4905" s="3"/>
    </row>
    <row r="4906" spans="1:13" s="4" customFormat="1" ht="51" x14ac:dyDescent="0.25">
      <c r="A4906" s="4" t="s">
        <v>8289</v>
      </c>
      <c r="B4906" s="4" t="s">
        <v>90</v>
      </c>
      <c r="C4906" s="37" t="s">
        <v>7941</v>
      </c>
      <c r="D4906" s="35">
        <v>8642</v>
      </c>
      <c r="E4906" s="4" t="s">
        <v>8290</v>
      </c>
      <c r="F4906" s="5">
        <v>40693</v>
      </c>
      <c r="G4906" s="5">
        <v>40908</v>
      </c>
      <c r="H4906" s="4" t="s">
        <v>40</v>
      </c>
      <c r="I4906" s="6">
        <v>11816</v>
      </c>
      <c r="J4906" s="6">
        <v>5908</v>
      </c>
      <c r="K4906" s="37" t="s">
        <v>7941</v>
      </c>
      <c r="L4906" s="119"/>
      <c r="M4906" s="3"/>
    </row>
    <row r="4907" spans="1:13" s="4" customFormat="1" ht="51" x14ac:dyDescent="0.25">
      <c r="A4907" s="4" t="s">
        <v>8293</v>
      </c>
      <c r="B4907" s="4" t="s">
        <v>38</v>
      </c>
      <c r="C4907" s="37" t="s">
        <v>7941</v>
      </c>
      <c r="D4907" s="35">
        <v>8789</v>
      </c>
      <c r="E4907" s="4" t="s">
        <v>8294</v>
      </c>
      <c r="F4907" s="5">
        <v>40544</v>
      </c>
      <c r="G4907" s="5">
        <v>41274</v>
      </c>
      <c r="H4907" s="4" t="s">
        <v>40</v>
      </c>
      <c r="I4907" s="6">
        <v>2460.23</v>
      </c>
      <c r="J4907" s="6">
        <v>2460.23</v>
      </c>
      <c r="K4907" s="37" t="s">
        <v>7941</v>
      </c>
      <c r="L4907" s="119"/>
      <c r="M4907" s="3"/>
    </row>
    <row r="4908" spans="1:13" s="4" customFormat="1" ht="76.5" x14ac:dyDescent="0.25">
      <c r="A4908" s="4" t="s">
        <v>8295</v>
      </c>
      <c r="B4908" s="4" t="s">
        <v>38</v>
      </c>
      <c r="C4908" s="37" t="s">
        <v>7941</v>
      </c>
      <c r="D4908" s="35">
        <v>8793</v>
      </c>
      <c r="E4908" s="4" t="s">
        <v>8296</v>
      </c>
      <c r="F4908" s="5">
        <v>40544</v>
      </c>
      <c r="G4908" s="5">
        <v>41274</v>
      </c>
      <c r="H4908" s="4" t="s">
        <v>40</v>
      </c>
      <c r="I4908" s="6">
        <v>3823.53</v>
      </c>
      <c r="J4908" s="6">
        <v>3823.53</v>
      </c>
      <c r="K4908" s="37" t="s">
        <v>7941</v>
      </c>
      <c r="L4908" s="119"/>
      <c r="M4908" s="3"/>
    </row>
    <row r="4909" spans="1:13" s="4" customFormat="1" ht="25.5" x14ac:dyDescent="0.25">
      <c r="A4909" s="4" t="s">
        <v>8297</v>
      </c>
      <c r="B4909" s="4" t="s">
        <v>190</v>
      </c>
      <c r="C4909" s="37" t="s">
        <v>7941</v>
      </c>
      <c r="D4909" s="35">
        <v>10410</v>
      </c>
      <c r="E4909" s="4" t="s">
        <v>8298</v>
      </c>
      <c r="F4909" s="5">
        <v>40974</v>
      </c>
      <c r="G4909" s="5">
        <v>41339</v>
      </c>
      <c r="H4909" s="4" t="s">
        <v>40</v>
      </c>
      <c r="I4909" s="6">
        <v>11200</v>
      </c>
      <c r="J4909" s="6">
        <v>11200</v>
      </c>
      <c r="K4909" s="37" t="s">
        <v>7941</v>
      </c>
      <c r="L4909" s="119"/>
      <c r="M4909" s="3"/>
    </row>
    <row r="4910" spans="1:13" s="4" customFormat="1" ht="38.25" x14ac:dyDescent="0.25">
      <c r="A4910" s="4" t="s">
        <v>8299</v>
      </c>
      <c r="B4910" s="4" t="s">
        <v>183</v>
      </c>
      <c r="C4910" s="37" t="s">
        <v>7941</v>
      </c>
      <c r="D4910" s="35">
        <v>10414</v>
      </c>
      <c r="E4910" s="4" t="s">
        <v>8300</v>
      </c>
      <c r="F4910" s="5">
        <v>41037</v>
      </c>
      <c r="G4910" s="5">
        <v>41402</v>
      </c>
      <c r="H4910" s="4" t="s">
        <v>40</v>
      </c>
      <c r="I4910" s="6">
        <v>8492</v>
      </c>
      <c r="J4910" s="6">
        <f>3060+1186</f>
        <v>4246</v>
      </c>
      <c r="K4910" s="37" t="s">
        <v>7941</v>
      </c>
      <c r="L4910" s="119"/>
      <c r="M4910" s="3"/>
    </row>
    <row r="4911" spans="1:13" s="4" customFormat="1" ht="38.25" x14ac:dyDescent="0.25">
      <c r="A4911" s="4" t="s">
        <v>8301</v>
      </c>
      <c r="B4911" s="4" t="s">
        <v>190</v>
      </c>
      <c r="C4911" s="37" t="s">
        <v>7941</v>
      </c>
      <c r="D4911" s="35">
        <v>10427</v>
      </c>
      <c r="E4911" s="4" t="s">
        <v>8302</v>
      </c>
      <c r="F4911" s="5">
        <v>41037</v>
      </c>
      <c r="G4911" s="5">
        <v>41402</v>
      </c>
      <c r="H4911" s="4" t="s">
        <v>40</v>
      </c>
      <c r="I4911" s="6">
        <v>54398</v>
      </c>
      <c r="J4911" s="6">
        <v>32799</v>
      </c>
      <c r="K4911" s="37" t="s">
        <v>7941</v>
      </c>
      <c r="L4911" s="119"/>
      <c r="M4911" s="3"/>
    </row>
    <row r="4912" spans="1:13" s="4" customFormat="1" ht="25.5" x14ac:dyDescent="0.25">
      <c r="A4912" s="4" t="s">
        <v>8303</v>
      </c>
      <c r="B4912" s="4" t="s">
        <v>190</v>
      </c>
      <c r="C4912" s="37" t="s">
        <v>7941</v>
      </c>
      <c r="D4912" s="35">
        <v>10438</v>
      </c>
      <c r="E4912" s="4" t="s">
        <v>8304</v>
      </c>
      <c r="F4912" s="5">
        <v>40833</v>
      </c>
      <c r="G4912" s="5">
        <v>41016</v>
      </c>
      <c r="H4912" s="4" t="s">
        <v>40</v>
      </c>
      <c r="I4912" s="6">
        <v>10000</v>
      </c>
      <c r="J4912" s="6">
        <v>5000</v>
      </c>
      <c r="K4912" s="37" t="s">
        <v>7941</v>
      </c>
      <c r="L4912" s="119"/>
      <c r="M4912" s="3"/>
    </row>
    <row r="4913" spans="1:13" s="4" customFormat="1" ht="38.25" x14ac:dyDescent="0.25">
      <c r="A4913" s="4" t="s">
        <v>8305</v>
      </c>
      <c r="B4913" s="4" t="s">
        <v>190</v>
      </c>
      <c r="C4913" s="37" t="s">
        <v>7941</v>
      </c>
      <c r="D4913" s="35">
        <v>10439</v>
      </c>
      <c r="E4913" s="4" t="s">
        <v>8306</v>
      </c>
      <c r="F4913" s="5">
        <v>41205</v>
      </c>
      <c r="G4913" s="5">
        <v>41570</v>
      </c>
      <c r="H4913" s="4" t="s">
        <v>40</v>
      </c>
      <c r="I4913" s="6">
        <v>8000</v>
      </c>
      <c r="J4913" s="6">
        <v>8000</v>
      </c>
      <c r="K4913" s="37" t="s">
        <v>7941</v>
      </c>
      <c r="L4913" s="119"/>
      <c r="M4913" s="3"/>
    </row>
    <row r="4914" spans="1:13" s="4" customFormat="1" ht="25.5" x14ac:dyDescent="0.25">
      <c r="A4914" s="4" t="s">
        <v>8307</v>
      </c>
      <c r="B4914" s="4" t="s">
        <v>90</v>
      </c>
      <c r="C4914" s="37" t="s">
        <v>7941</v>
      </c>
      <c r="D4914" s="35">
        <v>10440</v>
      </c>
      <c r="E4914" s="4" t="s">
        <v>8308</v>
      </c>
      <c r="F4914" s="5">
        <v>41066</v>
      </c>
      <c r="G4914" s="5">
        <v>41280</v>
      </c>
      <c r="H4914" s="4" t="s">
        <v>40</v>
      </c>
      <c r="I4914" s="6">
        <v>6000</v>
      </c>
      <c r="J4914" s="6">
        <v>3000</v>
      </c>
      <c r="K4914" s="37" t="s">
        <v>7941</v>
      </c>
      <c r="L4914" s="119"/>
      <c r="M4914" s="3"/>
    </row>
    <row r="4915" spans="1:13" s="4" customFormat="1" ht="38.25" x14ac:dyDescent="0.25">
      <c r="A4915" s="4" t="s">
        <v>8309</v>
      </c>
      <c r="B4915" s="4" t="s">
        <v>190</v>
      </c>
      <c r="C4915" s="37" t="s">
        <v>7941</v>
      </c>
      <c r="D4915" s="35">
        <v>10441</v>
      </c>
      <c r="E4915" s="4" t="s">
        <v>8310</v>
      </c>
      <c r="F4915" s="5">
        <v>41205</v>
      </c>
      <c r="G4915" s="5">
        <v>41570</v>
      </c>
      <c r="H4915" s="4" t="s">
        <v>40</v>
      </c>
      <c r="I4915" s="6">
        <v>100000</v>
      </c>
      <c r="J4915" s="6">
        <v>50000</v>
      </c>
      <c r="K4915" s="37" t="s">
        <v>7941</v>
      </c>
      <c r="L4915" s="119"/>
      <c r="M4915" s="3"/>
    </row>
    <row r="4916" spans="1:13" s="4" customFormat="1" ht="38.25" x14ac:dyDescent="0.25">
      <c r="A4916" s="4" t="s">
        <v>8311</v>
      </c>
      <c r="B4916" s="4" t="s">
        <v>183</v>
      </c>
      <c r="C4916" s="37" t="s">
        <v>7941</v>
      </c>
      <c r="D4916" s="35">
        <v>10443</v>
      </c>
      <c r="E4916" s="4" t="s">
        <v>8312</v>
      </c>
      <c r="F4916" s="5">
        <v>40974</v>
      </c>
      <c r="G4916" s="5">
        <v>41339</v>
      </c>
      <c r="H4916" s="4" t="s">
        <v>40</v>
      </c>
      <c r="I4916" s="6">
        <v>10000</v>
      </c>
      <c r="J4916" s="6">
        <v>9000</v>
      </c>
      <c r="K4916" s="37" t="s">
        <v>7941</v>
      </c>
      <c r="L4916" s="119"/>
      <c r="M4916" s="3"/>
    </row>
    <row r="4917" spans="1:13" s="4" customFormat="1" ht="25.5" x14ac:dyDescent="0.25">
      <c r="A4917" s="4" t="s">
        <v>8315</v>
      </c>
      <c r="B4917" s="4" t="s">
        <v>190</v>
      </c>
      <c r="C4917" s="37" t="s">
        <v>7941</v>
      </c>
      <c r="D4917" s="35">
        <v>10477</v>
      </c>
      <c r="E4917" s="4" t="s">
        <v>8316</v>
      </c>
      <c r="F4917" s="5">
        <v>41037</v>
      </c>
      <c r="G4917" s="5">
        <v>41402</v>
      </c>
      <c r="H4917" s="4" t="s">
        <v>40</v>
      </c>
      <c r="I4917" s="6">
        <v>43810</v>
      </c>
      <c r="J4917" s="6">
        <v>21905</v>
      </c>
      <c r="K4917" s="37" t="s">
        <v>7941</v>
      </c>
      <c r="L4917" s="119"/>
      <c r="M4917" s="3"/>
    </row>
    <row r="4918" spans="1:13" s="4" customFormat="1" ht="38.25" x14ac:dyDescent="0.25">
      <c r="A4918" s="4" t="s">
        <v>8317</v>
      </c>
      <c r="B4918" s="4" t="s">
        <v>190</v>
      </c>
      <c r="C4918" s="37" t="s">
        <v>7941</v>
      </c>
      <c r="D4918" s="35">
        <v>10479</v>
      </c>
      <c r="E4918" s="4" t="s">
        <v>8318</v>
      </c>
      <c r="F4918" s="5">
        <v>41205</v>
      </c>
      <c r="G4918" s="5">
        <v>41570</v>
      </c>
      <c r="H4918" s="4" t="s">
        <v>40</v>
      </c>
      <c r="I4918" s="6">
        <v>8812</v>
      </c>
      <c r="J4918" s="6">
        <f>2407+1999</f>
        <v>4406</v>
      </c>
      <c r="K4918" s="37" t="s">
        <v>7941</v>
      </c>
      <c r="L4918" s="119"/>
      <c r="M4918" s="3"/>
    </row>
    <row r="4919" spans="1:13" s="4" customFormat="1" ht="51" x14ac:dyDescent="0.25">
      <c r="A4919" s="4" t="s">
        <v>8319</v>
      </c>
      <c r="B4919" s="4" t="s">
        <v>190</v>
      </c>
      <c r="C4919" s="37" t="s">
        <v>7941</v>
      </c>
      <c r="D4919" s="35">
        <v>10480</v>
      </c>
      <c r="E4919" s="4" t="s">
        <v>8320</v>
      </c>
      <c r="F4919" s="5">
        <v>41205</v>
      </c>
      <c r="G4919" s="5">
        <v>41570</v>
      </c>
      <c r="H4919" s="4" t="s">
        <v>40</v>
      </c>
      <c r="I4919" s="6">
        <v>9426</v>
      </c>
      <c r="J4919" s="6">
        <f>4000+4713</f>
        <v>8713</v>
      </c>
      <c r="K4919" s="37" t="s">
        <v>7941</v>
      </c>
      <c r="L4919" s="119"/>
      <c r="M4919" s="3"/>
    </row>
    <row r="4920" spans="1:13" s="4" customFormat="1" ht="38.25" x14ac:dyDescent="0.25">
      <c r="A4920" s="4" t="s">
        <v>8321</v>
      </c>
      <c r="B4920" s="4" t="s">
        <v>183</v>
      </c>
      <c r="C4920" s="37" t="s">
        <v>7941</v>
      </c>
      <c r="D4920" s="35">
        <v>10482</v>
      </c>
      <c r="E4920" s="4" t="s">
        <v>8322</v>
      </c>
      <c r="F4920" s="5">
        <v>40974</v>
      </c>
      <c r="G4920" s="5">
        <v>41339</v>
      </c>
      <c r="H4920" s="4" t="s">
        <v>40</v>
      </c>
      <c r="I4920" s="6">
        <v>23734</v>
      </c>
      <c r="J4920" s="6">
        <f>13071+2796</f>
        <v>15867</v>
      </c>
      <c r="K4920" s="37" t="s">
        <v>7941</v>
      </c>
      <c r="L4920" s="119"/>
      <c r="M4920" s="3"/>
    </row>
    <row r="4921" spans="1:13" s="4" customFormat="1" ht="25.5" x14ac:dyDescent="0.25">
      <c r="A4921" s="4" t="s">
        <v>8323</v>
      </c>
      <c r="B4921" s="4" t="s">
        <v>190</v>
      </c>
      <c r="C4921" s="37" t="s">
        <v>7941</v>
      </c>
      <c r="D4921" s="35">
        <v>10484</v>
      </c>
      <c r="E4921" s="4" t="s">
        <v>8324</v>
      </c>
      <c r="F4921" s="5">
        <v>40974</v>
      </c>
      <c r="G4921" s="5">
        <v>41339</v>
      </c>
      <c r="H4921" s="4" t="s">
        <v>40</v>
      </c>
      <c r="I4921" s="6">
        <v>16000</v>
      </c>
      <c r="J4921" s="6">
        <v>16000</v>
      </c>
      <c r="K4921" s="37" t="s">
        <v>7941</v>
      </c>
      <c r="L4921" s="119"/>
      <c r="M4921" s="3"/>
    </row>
    <row r="4922" spans="1:13" s="4" customFormat="1" ht="51" x14ac:dyDescent="0.25">
      <c r="A4922" s="4" t="s">
        <v>8325</v>
      </c>
      <c r="B4922" s="4" t="s">
        <v>183</v>
      </c>
      <c r="C4922" s="37" t="s">
        <v>7941</v>
      </c>
      <c r="D4922" s="35">
        <v>10485</v>
      </c>
      <c r="E4922" s="4" t="s">
        <v>8326</v>
      </c>
      <c r="F4922" s="5">
        <v>41037</v>
      </c>
      <c r="G4922" s="5">
        <v>41402</v>
      </c>
      <c r="H4922" s="4" t="s">
        <v>40</v>
      </c>
      <c r="I4922" s="6">
        <v>9974</v>
      </c>
      <c r="J4922" s="6">
        <v>8987</v>
      </c>
      <c r="K4922" s="37" t="s">
        <v>7941</v>
      </c>
      <c r="L4922" s="119"/>
      <c r="M4922" s="3"/>
    </row>
    <row r="4923" spans="1:13" s="4" customFormat="1" ht="25.5" x14ac:dyDescent="0.25">
      <c r="A4923" s="4" t="s">
        <v>8327</v>
      </c>
      <c r="B4923" s="4" t="s">
        <v>183</v>
      </c>
      <c r="C4923" s="37" t="s">
        <v>7941</v>
      </c>
      <c r="D4923" s="35">
        <v>10487</v>
      </c>
      <c r="E4923" s="4" t="s">
        <v>8328</v>
      </c>
      <c r="F4923" s="5">
        <v>40974</v>
      </c>
      <c r="G4923" s="5">
        <v>41339</v>
      </c>
      <c r="H4923" s="4" t="s">
        <v>40</v>
      </c>
      <c r="I4923" s="6">
        <v>13334</v>
      </c>
      <c r="J4923" s="6">
        <v>8667</v>
      </c>
      <c r="K4923" s="37" t="s">
        <v>7941</v>
      </c>
      <c r="L4923" s="119"/>
      <c r="M4923" s="3"/>
    </row>
    <row r="4924" spans="1:13" s="4" customFormat="1" ht="38.25" x14ac:dyDescent="0.25">
      <c r="A4924" s="4" t="s">
        <v>8329</v>
      </c>
      <c r="B4924" s="4" t="s">
        <v>38</v>
      </c>
      <c r="C4924" s="37" t="s">
        <v>7941</v>
      </c>
      <c r="D4924" s="35">
        <v>10612</v>
      </c>
      <c r="E4924" s="4" t="s">
        <v>8330</v>
      </c>
      <c r="F4924" s="5">
        <v>40909</v>
      </c>
      <c r="G4924" s="5">
        <v>41273</v>
      </c>
      <c r="H4924" s="4" t="s">
        <v>40</v>
      </c>
      <c r="I4924" s="6">
        <v>13826.58</v>
      </c>
      <c r="J4924" s="6">
        <f>3434.73+10391.85</f>
        <v>13826.58</v>
      </c>
      <c r="K4924" s="37" t="s">
        <v>7941</v>
      </c>
      <c r="L4924" s="119"/>
      <c r="M4924" s="3"/>
    </row>
    <row r="4925" spans="1:13" s="4" customFormat="1" ht="38.25" x14ac:dyDescent="0.25">
      <c r="A4925" s="4" t="s">
        <v>8331</v>
      </c>
      <c r="B4925" s="4" t="s">
        <v>38</v>
      </c>
      <c r="C4925" s="37" t="s">
        <v>7941</v>
      </c>
      <c r="D4925" s="35">
        <v>10617</v>
      </c>
      <c r="E4925" s="4" t="s">
        <v>8332</v>
      </c>
      <c r="F4925" s="5">
        <v>40909</v>
      </c>
      <c r="G4925" s="5">
        <v>41273</v>
      </c>
      <c r="H4925" s="4" t="s">
        <v>40</v>
      </c>
      <c r="I4925" s="6">
        <v>9892.2199999999993</v>
      </c>
      <c r="J4925" s="6">
        <v>9892.2199999999993</v>
      </c>
      <c r="K4925" s="37" t="s">
        <v>7941</v>
      </c>
      <c r="L4925" s="119"/>
      <c r="M4925" s="3"/>
    </row>
    <row r="4926" spans="1:13" s="4" customFormat="1" ht="38.25" x14ac:dyDescent="0.25">
      <c r="A4926" s="4" t="s">
        <v>8333</v>
      </c>
      <c r="B4926" s="4" t="s">
        <v>13</v>
      </c>
      <c r="C4926" s="37" t="s">
        <v>7941</v>
      </c>
      <c r="D4926" s="35">
        <v>10618</v>
      </c>
      <c r="E4926" s="4" t="s">
        <v>8334</v>
      </c>
      <c r="F4926" s="5">
        <v>40909</v>
      </c>
      <c r="G4926" s="5">
        <v>41273</v>
      </c>
      <c r="H4926" s="4" t="s">
        <v>40</v>
      </c>
      <c r="I4926" s="6">
        <v>1721.47</v>
      </c>
      <c r="J4926" s="6">
        <f>1510.47+211</f>
        <v>1721.47</v>
      </c>
      <c r="K4926" s="37" t="s">
        <v>7941</v>
      </c>
      <c r="L4926" s="119"/>
      <c r="M4926" s="3"/>
    </row>
    <row r="4927" spans="1:13" s="4" customFormat="1" ht="38.25" x14ac:dyDescent="0.25">
      <c r="A4927" s="4" t="s">
        <v>8335</v>
      </c>
      <c r="B4927" s="4" t="s">
        <v>38</v>
      </c>
      <c r="C4927" s="37" t="s">
        <v>7941</v>
      </c>
      <c r="D4927" s="35">
        <v>10619</v>
      </c>
      <c r="E4927" s="4" t="s">
        <v>8336</v>
      </c>
      <c r="F4927" s="5">
        <v>40909</v>
      </c>
      <c r="G4927" s="5">
        <v>41273</v>
      </c>
      <c r="H4927" s="4" t="s">
        <v>40</v>
      </c>
      <c r="I4927" s="6">
        <v>1613.74</v>
      </c>
      <c r="J4927" s="6">
        <f>731.14+882.6</f>
        <v>1613.74</v>
      </c>
      <c r="K4927" s="37" t="s">
        <v>7941</v>
      </c>
      <c r="L4927" s="119"/>
      <c r="M4927" s="3"/>
    </row>
    <row r="4928" spans="1:13" s="4" customFormat="1" ht="51" x14ac:dyDescent="0.25">
      <c r="A4928" s="4" t="s">
        <v>8337</v>
      </c>
      <c r="B4928" s="4" t="s">
        <v>13</v>
      </c>
      <c r="C4928" s="37" t="s">
        <v>7941</v>
      </c>
      <c r="D4928" s="35">
        <v>10621</v>
      </c>
      <c r="E4928" s="4" t="s">
        <v>8338</v>
      </c>
      <c r="F4928" s="5">
        <v>40909</v>
      </c>
      <c r="G4928" s="5">
        <v>41273</v>
      </c>
      <c r="H4928" s="4" t="s">
        <v>40</v>
      </c>
      <c r="I4928" s="6">
        <v>1919.23</v>
      </c>
      <c r="J4928" s="6">
        <f>1919.23</f>
        <v>1919.23</v>
      </c>
      <c r="K4928" s="37" t="s">
        <v>7941</v>
      </c>
      <c r="L4928" s="119"/>
      <c r="M4928" s="3"/>
    </row>
    <row r="4929" spans="1:13" s="4" customFormat="1" ht="76.5" x14ac:dyDescent="0.25">
      <c r="A4929" s="4" t="s">
        <v>8339</v>
      </c>
      <c r="B4929" s="4" t="s">
        <v>38</v>
      </c>
      <c r="C4929" s="37" t="s">
        <v>7941</v>
      </c>
      <c r="D4929" s="35">
        <v>10622</v>
      </c>
      <c r="E4929" s="4" t="s">
        <v>8340</v>
      </c>
      <c r="F4929" s="5">
        <v>40909</v>
      </c>
      <c r="G4929" s="5">
        <v>41273</v>
      </c>
      <c r="H4929" s="4" t="s">
        <v>40</v>
      </c>
      <c r="I4929" s="6">
        <v>971.74</v>
      </c>
      <c r="J4929" s="6">
        <v>971.74</v>
      </c>
      <c r="K4929" s="37" t="s">
        <v>7941</v>
      </c>
      <c r="L4929" s="119"/>
      <c r="M4929" s="3"/>
    </row>
    <row r="4930" spans="1:13" s="4" customFormat="1" ht="25.5" x14ac:dyDescent="0.25">
      <c r="A4930" s="4" t="s">
        <v>8341</v>
      </c>
      <c r="B4930" s="4" t="s">
        <v>38</v>
      </c>
      <c r="C4930" s="37" t="s">
        <v>7941</v>
      </c>
      <c r="D4930" s="35">
        <v>10623</v>
      </c>
      <c r="E4930" s="4" t="s">
        <v>8342</v>
      </c>
      <c r="F4930" s="5">
        <v>40909</v>
      </c>
      <c r="G4930" s="5">
        <v>41273</v>
      </c>
      <c r="H4930" s="4" t="s">
        <v>40</v>
      </c>
      <c r="I4930" s="6">
        <v>1482.35</v>
      </c>
      <c r="J4930" s="6">
        <v>1482.35</v>
      </c>
      <c r="K4930" s="37" t="s">
        <v>7941</v>
      </c>
      <c r="L4930" s="119"/>
      <c r="M4930" s="3"/>
    </row>
    <row r="4931" spans="1:13" s="4" customFormat="1" ht="38.25" x14ac:dyDescent="0.25">
      <c r="A4931" s="4" t="s">
        <v>8343</v>
      </c>
      <c r="B4931" s="4" t="s">
        <v>38</v>
      </c>
      <c r="C4931" s="37" t="s">
        <v>7941</v>
      </c>
      <c r="D4931" s="35">
        <v>10666</v>
      </c>
      <c r="E4931" s="4" t="s">
        <v>8344</v>
      </c>
      <c r="F4931" s="5">
        <v>40909</v>
      </c>
      <c r="G4931" s="5">
        <v>41274</v>
      </c>
      <c r="H4931" s="4" t="s">
        <v>40</v>
      </c>
      <c r="I4931" s="6">
        <v>9771.7999999999993</v>
      </c>
      <c r="J4931" s="6">
        <f>4101+784.9</f>
        <v>4885.8999999999996</v>
      </c>
      <c r="K4931" s="37" t="s">
        <v>7941</v>
      </c>
      <c r="L4931" s="119"/>
      <c r="M4931" s="3"/>
    </row>
    <row r="4932" spans="1:13" ht="38.25" x14ac:dyDescent="0.25">
      <c r="A4932" s="13" t="s">
        <v>11117</v>
      </c>
      <c r="B4932" s="13" t="s">
        <v>38</v>
      </c>
      <c r="C4932" s="20" t="s">
        <v>7941</v>
      </c>
      <c r="D4932" s="19">
        <v>12178</v>
      </c>
      <c r="E4932" s="13" t="s">
        <v>11118</v>
      </c>
      <c r="F4932" s="14">
        <v>41275</v>
      </c>
      <c r="G4932" s="14">
        <v>42003</v>
      </c>
      <c r="H4932" s="13" t="s">
        <v>651</v>
      </c>
      <c r="I4932" s="18">
        <v>18942.400000000001</v>
      </c>
      <c r="J4932" s="18">
        <v>18942.400000000001</v>
      </c>
      <c r="K4932" s="20" t="s">
        <v>7941</v>
      </c>
    </row>
    <row r="4933" spans="1:13" ht="25.5" x14ac:dyDescent="0.25">
      <c r="A4933" s="13" t="s">
        <v>11119</v>
      </c>
      <c r="B4933" s="13" t="s">
        <v>38</v>
      </c>
      <c r="C4933" s="20" t="s">
        <v>7941</v>
      </c>
      <c r="D4933" s="19">
        <v>12179</v>
      </c>
      <c r="E4933" s="13" t="s">
        <v>11120</v>
      </c>
      <c r="F4933" s="14">
        <v>41275</v>
      </c>
      <c r="G4933" s="14">
        <v>41638</v>
      </c>
      <c r="H4933" s="13" t="s">
        <v>651</v>
      </c>
      <c r="I4933" s="18">
        <v>4512.1000000000004</v>
      </c>
      <c r="J4933" s="18">
        <v>4512.1000000000004</v>
      </c>
      <c r="K4933" s="20" t="s">
        <v>7941</v>
      </c>
    </row>
    <row r="4934" spans="1:13" ht="25.5" x14ac:dyDescent="0.25">
      <c r="A4934" s="13" t="s">
        <v>11121</v>
      </c>
      <c r="B4934" s="13" t="s">
        <v>38</v>
      </c>
      <c r="C4934" s="20" t="s">
        <v>7941</v>
      </c>
      <c r="D4934" s="19">
        <v>12180</v>
      </c>
      <c r="E4934" s="13" t="s">
        <v>11122</v>
      </c>
      <c r="F4934" s="14">
        <v>41275</v>
      </c>
      <c r="G4934" s="14">
        <v>41638</v>
      </c>
      <c r="H4934" s="13" t="s">
        <v>651</v>
      </c>
      <c r="I4934" s="18">
        <v>2945.53</v>
      </c>
      <c r="J4934" s="18">
        <v>2945.53</v>
      </c>
      <c r="K4934" s="20" t="s">
        <v>7941</v>
      </c>
    </row>
    <row r="4935" spans="1:13" ht="25.5" x14ac:dyDescent="0.25">
      <c r="A4935" s="13" t="s">
        <v>11123</v>
      </c>
      <c r="B4935" s="13" t="s">
        <v>38</v>
      </c>
      <c r="C4935" s="20" t="s">
        <v>7941</v>
      </c>
      <c r="D4935" s="19">
        <v>12181</v>
      </c>
      <c r="E4935" s="13" t="s">
        <v>11124</v>
      </c>
      <c r="F4935" s="14">
        <v>41275</v>
      </c>
      <c r="G4935" s="14">
        <v>41639</v>
      </c>
      <c r="H4935" s="13" t="s">
        <v>651</v>
      </c>
      <c r="I4935" s="18">
        <v>2695</v>
      </c>
      <c r="J4935" s="18">
        <v>2695</v>
      </c>
      <c r="K4935" s="20" t="s">
        <v>7941</v>
      </c>
    </row>
    <row r="4936" spans="1:13" ht="25.5" x14ac:dyDescent="0.25">
      <c r="A4936" s="13" t="s">
        <v>11125</v>
      </c>
      <c r="B4936" s="13" t="s">
        <v>38</v>
      </c>
      <c r="C4936" s="20" t="s">
        <v>7941</v>
      </c>
      <c r="D4936" s="19">
        <v>12182</v>
      </c>
      <c r="E4936" s="13" t="s">
        <v>11126</v>
      </c>
      <c r="F4936" s="14">
        <v>41275</v>
      </c>
      <c r="G4936" s="14">
        <v>41639</v>
      </c>
      <c r="H4936" s="13" t="s">
        <v>651</v>
      </c>
      <c r="I4936" s="18">
        <v>3216.8</v>
      </c>
      <c r="J4936" s="18">
        <v>3216.8</v>
      </c>
      <c r="K4936" s="20" t="s">
        <v>7941</v>
      </c>
    </row>
    <row r="4937" spans="1:13" ht="25.5" x14ac:dyDescent="0.25">
      <c r="A4937" s="13" t="s">
        <v>11380</v>
      </c>
      <c r="B4937" s="13" t="s">
        <v>13</v>
      </c>
      <c r="C4937" s="20" t="s">
        <v>7941</v>
      </c>
      <c r="D4937" s="19">
        <v>12239</v>
      </c>
      <c r="E4937" s="13" t="s">
        <v>11381</v>
      </c>
      <c r="F4937" s="14">
        <v>41275</v>
      </c>
      <c r="G4937" s="14">
        <v>42004</v>
      </c>
      <c r="H4937" s="13" t="s">
        <v>651</v>
      </c>
      <c r="I4937" s="18">
        <v>1914</v>
      </c>
      <c r="J4937" s="18">
        <v>957</v>
      </c>
      <c r="K4937" s="20" t="s">
        <v>7941</v>
      </c>
    </row>
    <row r="4938" spans="1:13" ht="25.5" x14ac:dyDescent="0.25">
      <c r="A4938" s="13" t="s">
        <v>11129</v>
      </c>
      <c r="B4938" s="13" t="s">
        <v>10195</v>
      </c>
      <c r="C4938" s="20" t="s">
        <v>7941</v>
      </c>
      <c r="D4938" s="19">
        <v>12253</v>
      </c>
      <c r="E4938" s="13" t="s">
        <v>11130</v>
      </c>
      <c r="F4938" s="14">
        <v>41589</v>
      </c>
      <c r="G4938" s="14">
        <v>41954</v>
      </c>
      <c r="H4938" s="13" t="s">
        <v>651</v>
      </c>
      <c r="I4938" s="18">
        <v>4000</v>
      </c>
      <c r="J4938" s="18">
        <v>4000</v>
      </c>
      <c r="K4938" s="20" t="s">
        <v>7941</v>
      </c>
    </row>
    <row r="4939" spans="1:13" ht="51" x14ac:dyDescent="0.25">
      <c r="A4939" s="13" t="s">
        <v>11131</v>
      </c>
      <c r="B4939" s="13" t="s">
        <v>10195</v>
      </c>
      <c r="C4939" s="20" t="s">
        <v>7941</v>
      </c>
      <c r="D4939" s="19">
        <v>12254</v>
      </c>
      <c r="E4939" s="13" t="s">
        <v>11132</v>
      </c>
      <c r="F4939" s="14">
        <v>41275</v>
      </c>
      <c r="G4939" s="14">
        <v>41729</v>
      </c>
      <c r="H4939" s="13" t="s">
        <v>651</v>
      </c>
      <c r="I4939" s="18">
        <v>28400</v>
      </c>
      <c r="J4939" s="18">
        <v>14200</v>
      </c>
      <c r="K4939" s="20" t="s">
        <v>7941</v>
      </c>
    </row>
    <row r="4940" spans="1:13" ht="25.5" x14ac:dyDescent="0.25">
      <c r="A4940" s="13" t="s">
        <v>11133</v>
      </c>
      <c r="B4940" s="13" t="s">
        <v>10220</v>
      </c>
      <c r="C4940" s="20" t="s">
        <v>7941</v>
      </c>
      <c r="D4940" s="19">
        <v>12255</v>
      </c>
      <c r="E4940" s="13" t="s">
        <v>11134</v>
      </c>
      <c r="F4940" s="14">
        <v>41275</v>
      </c>
      <c r="G4940" s="14">
        <v>41639</v>
      </c>
      <c r="H4940" s="13" t="s">
        <v>651</v>
      </c>
      <c r="I4940" s="18">
        <v>37776</v>
      </c>
      <c r="J4940" s="18">
        <v>18888</v>
      </c>
      <c r="K4940" s="20" t="s">
        <v>7941</v>
      </c>
    </row>
    <row r="4941" spans="1:13" ht="38.25" x14ac:dyDescent="0.25">
      <c r="A4941" s="13" t="s">
        <v>11135</v>
      </c>
      <c r="B4941" s="13" t="s">
        <v>10195</v>
      </c>
      <c r="C4941" s="20" t="s">
        <v>7941</v>
      </c>
      <c r="D4941" s="19">
        <v>12256</v>
      </c>
      <c r="E4941" s="13" t="s">
        <v>11136</v>
      </c>
      <c r="F4941" s="14">
        <v>41159</v>
      </c>
      <c r="G4941" s="14">
        <v>41601</v>
      </c>
      <c r="H4941" s="13" t="s">
        <v>651</v>
      </c>
      <c r="I4941" s="18">
        <v>13218</v>
      </c>
      <c r="J4941" s="18">
        <v>6609</v>
      </c>
      <c r="K4941" s="20" t="s">
        <v>7941</v>
      </c>
    </row>
    <row r="4942" spans="1:13" ht="25.5" x14ac:dyDescent="0.25">
      <c r="A4942" s="13" t="s">
        <v>11137</v>
      </c>
      <c r="B4942" s="13" t="s">
        <v>10195</v>
      </c>
      <c r="C4942" s="20" t="s">
        <v>7941</v>
      </c>
      <c r="D4942" s="19">
        <v>12257</v>
      </c>
      <c r="E4942" s="13" t="s">
        <v>11138</v>
      </c>
      <c r="F4942" s="14">
        <v>41311</v>
      </c>
      <c r="G4942" s="14">
        <v>41710</v>
      </c>
      <c r="H4942" s="13" t="s">
        <v>651</v>
      </c>
      <c r="I4942" s="18">
        <v>25442</v>
      </c>
      <c r="J4942" s="18">
        <v>14721</v>
      </c>
      <c r="K4942" s="20" t="s">
        <v>7941</v>
      </c>
    </row>
    <row r="4943" spans="1:13" ht="25.5" x14ac:dyDescent="0.25">
      <c r="A4943" s="13" t="s">
        <v>11139</v>
      </c>
      <c r="B4943" s="13" t="s">
        <v>10195</v>
      </c>
      <c r="C4943" s="20" t="s">
        <v>7941</v>
      </c>
      <c r="D4943" s="19">
        <v>12258</v>
      </c>
      <c r="E4943" s="13" t="s">
        <v>11140</v>
      </c>
      <c r="F4943" s="14">
        <v>41313</v>
      </c>
      <c r="G4943" s="14">
        <v>41710</v>
      </c>
      <c r="H4943" s="13" t="s">
        <v>651</v>
      </c>
      <c r="I4943" s="18">
        <v>4000</v>
      </c>
      <c r="J4943" s="18">
        <v>4000</v>
      </c>
      <c r="K4943" s="20" t="s">
        <v>7941</v>
      </c>
    </row>
    <row r="4944" spans="1:13" ht="25.5" x14ac:dyDescent="0.25">
      <c r="A4944" s="13" t="s">
        <v>11141</v>
      </c>
      <c r="B4944" s="13" t="s">
        <v>10192</v>
      </c>
      <c r="C4944" s="20" t="s">
        <v>7941</v>
      </c>
      <c r="D4944" s="19">
        <v>12259</v>
      </c>
      <c r="E4944" s="13" t="s">
        <v>11142</v>
      </c>
      <c r="F4944" s="14">
        <v>41589</v>
      </c>
      <c r="G4944" s="14">
        <v>41954</v>
      </c>
      <c r="H4944" s="13" t="s">
        <v>651</v>
      </c>
      <c r="I4944" s="18">
        <v>8000</v>
      </c>
      <c r="J4944" s="18">
        <v>8000</v>
      </c>
      <c r="K4944" s="20" t="s">
        <v>7941</v>
      </c>
    </row>
    <row r="4945" spans="1:13" ht="38.25" x14ac:dyDescent="0.25">
      <c r="A4945" s="13" t="s">
        <v>11143</v>
      </c>
      <c r="B4945" s="13" t="s">
        <v>10192</v>
      </c>
      <c r="C4945" s="20" t="s">
        <v>7941</v>
      </c>
      <c r="D4945" s="19">
        <v>12260</v>
      </c>
      <c r="E4945" s="13" t="s">
        <v>11144</v>
      </c>
      <c r="F4945" s="14">
        <v>41156</v>
      </c>
      <c r="G4945" s="14">
        <v>41570</v>
      </c>
      <c r="H4945" s="13" t="s">
        <v>651</v>
      </c>
      <c r="I4945" s="18">
        <v>8580</v>
      </c>
      <c r="J4945" s="18">
        <v>5290</v>
      </c>
      <c r="K4945" s="20" t="s">
        <v>7941</v>
      </c>
    </row>
    <row r="4946" spans="1:13" s="4" customFormat="1" ht="25.5" x14ac:dyDescent="0.25">
      <c r="C4946" s="20" t="s">
        <v>7941</v>
      </c>
      <c r="D4946" s="35"/>
      <c r="E4946" s="26" t="s">
        <v>351</v>
      </c>
      <c r="F4946" s="28"/>
      <c r="G4946" s="28"/>
      <c r="H4946" s="26"/>
      <c r="I4946" s="27">
        <f>SUM(I4755:I4760)</f>
        <v>2099719.06</v>
      </c>
      <c r="J4946" s="27">
        <f>SUM(J4755:J4760)</f>
        <v>525231.84</v>
      </c>
      <c r="K4946" s="20" t="s">
        <v>7941</v>
      </c>
      <c r="L4946" s="119"/>
      <c r="M4946" s="3"/>
    </row>
    <row r="4947" spans="1:13" s="4" customFormat="1" ht="25.5" x14ac:dyDescent="0.25">
      <c r="C4947" s="20" t="s">
        <v>7941</v>
      </c>
      <c r="D4947" s="35"/>
      <c r="E4947" s="26" t="s">
        <v>786</v>
      </c>
      <c r="F4947" s="28"/>
      <c r="G4947" s="28"/>
      <c r="H4947" s="26"/>
      <c r="I4947" s="27">
        <f>SUM(I4761:I4762)</f>
        <v>1505467</v>
      </c>
      <c r="J4947" s="27">
        <f>SUM(J4761:J4762)</f>
        <v>476915.5</v>
      </c>
      <c r="K4947" s="20" t="s">
        <v>7941</v>
      </c>
      <c r="L4947" s="119"/>
      <c r="M4947" s="3"/>
    </row>
    <row r="4948" spans="1:13" s="4" customFormat="1" ht="25.5" x14ac:dyDescent="0.25">
      <c r="C4948" s="20" t="s">
        <v>7941</v>
      </c>
      <c r="D4948" s="35"/>
      <c r="E4948" s="26" t="s">
        <v>352</v>
      </c>
      <c r="F4948" s="28"/>
      <c r="G4948" s="28"/>
      <c r="H4948" s="26"/>
      <c r="I4948" s="27">
        <f>SUM(I4763:I4945)</f>
        <v>3487104.7199999997</v>
      </c>
      <c r="J4948" s="27">
        <f>SUM(J4763:J4945)</f>
        <v>2778386.62</v>
      </c>
      <c r="K4948" s="20" t="s">
        <v>7941</v>
      </c>
      <c r="L4948" s="119"/>
      <c r="M4948" s="3"/>
    </row>
    <row r="4949" spans="1:13" s="4" customFormat="1" ht="25.5" x14ac:dyDescent="0.25">
      <c r="C4949" s="20" t="s">
        <v>7941</v>
      </c>
      <c r="D4949" s="35"/>
      <c r="E4949" s="26" t="s">
        <v>8345</v>
      </c>
      <c r="F4949" s="28"/>
      <c r="G4949" s="28"/>
      <c r="H4949" s="26"/>
      <c r="I4949" s="27">
        <f>SUM(I4946:I4948)</f>
        <v>7092290.7799999993</v>
      </c>
      <c r="J4949" s="27">
        <f>SUM(J4946:J4948)</f>
        <v>3780533.96</v>
      </c>
      <c r="K4949" s="20" t="s">
        <v>7941</v>
      </c>
      <c r="L4949" s="119">
        <f>J4949</f>
        <v>3780533.96</v>
      </c>
      <c r="M4949" s="3">
        <f>SUM(J4949*0.4)</f>
        <v>1512213.584</v>
      </c>
    </row>
    <row r="4950" spans="1:13" s="4" customFormat="1" x14ac:dyDescent="0.25">
      <c r="C4950" s="37"/>
      <c r="D4950" s="35"/>
      <c r="F4950" s="5"/>
      <c r="G4950" s="5"/>
      <c r="I4950" s="6"/>
      <c r="J4950" s="6"/>
      <c r="K4950" s="37"/>
      <c r="L4950" s="119"/>
      <c r="M4950" s="3"/>
    </row>
    <row r="4951" spans="1:13" s="4" customFormat="1" ht="38.25" x14ac:dyDescent="0.25">
      <c r="A4951" s="4" t="s">
        <v>8346</v>
      </c>
      <c r="B4951" s="4" t="s">
        <v>13</v>
      </c>
      <c r="C4951" s="38" t="s">
        <v>8348</v>
      </c>
      <c r="D4951" s="35">
        <v>4941</v>
      </c>
      <c r="E4951" s="4" t="s">
        <v>8347</v>
      </c>
      <c r="F4951" s="5">
        <v>39639</v>
      </c>
      <c r="G4951" s="5">
        <v>41152</v>
      </c>
      <c r="H4951" s="4" t="s">
        <v>2032</v>
      </c>
      <c r="I4951" s="6">
        <v>710059.75</v>
      </c>
      <c r="J4951" s="6">
        <v>710059.75</v>
      </c>
      <c r="K4951" s="38" t="s">
        <v>8348</v>
      </c>
      <c r="L4951" s="119"/>
      <c r="M4951" s="3"/>
    </row>
    <row r="4952" spans="1:13" s="32" customFormat="1" ht="51" x14ac:dyDescent="0.25">
      <c r="A4952" s="13" t="s">
        <v>11516</v>
      </c>
      <c r="B4952" s="32" t="s">
        <v>13</v>
      </c>
      <c r="C4952" s="38" t="s">
        <v>8348</v>
      </c>
      <c r="D4952" s="33">
        <v>11573</v>
      </c>
      <c r="E4952" s="13" t="s">
        <v>11517</v>
      </c>
      <c r="F4952" s="34">
        <v>40787</v>
      </c>
      <c r="G4952" s="34">
        <v>41152</v>
      </c>
      <c r="H4952" s="4" t="s">
        <v>2032</v>
      </c>
      <c r="I4952" s="94">
        <v>125869.1</v>
      </c>
      <c r="J4952" s="94">
        <v>125869.1</v>
      </c>
      <c r="K4952" s="38" t="s">
        <v>8348</v>
      </c>
      <c r="L4952" s="122"/>
    </row>
    <row r="4953" spans="1:13" s="4" customFormat="1" x14ac:dyDescent="0.25">
      <c r="A4953" s="4" t="s">
        <v>8349</v>
      </c>
      <c r="B4953" s="4" t="s">
        <v>13</v>
      </c>
      <c r="C4953" s="38" t="s">
        <v>8348</v>
      </c>
      <c r="D4953" s="35">
        <v>3875</v>
      </c>
      <c r="E4953" s="4" t="s">
        <v>8350</v>
      </c>
      <c r="F4953" s="5">
        <v>39455</v>
      </c>
      <c r="G4953" s="5">
        <v>39752</v>
      </c>
      <c r="H4953" s="4" t="s">
        <v>16</v>
      </c>
      <c r="I4953" s="6">
        <v>74400</v>
      </c>
      <c r="J4953" s="6">
        <v>22320</v>
      </c>
      <c r="K4953" s="38" t="s">
        <v>8348</v>
      </c>
      <c r="L4953" s="119"/>
      <c r="M4953" s="3"/>
    </row>
    <row r="4954" spans="1:13" s="4" customFormat="1" ht="25.5" x14ac:dyDescent="0.25">
      <c r="A4954" s="4" t="s">
        <v>8351</v>
      </c>
      <c r="B4954" s="4" t="s">
        <v>13</v>
      </c>
      <c r="C4954" s="38" t="s">
        <v>8348</v>
      </c>
      <c r="D4954" s="35">
        <v>3880</v>
      </c>
      <c r="E4954" s="4" t="s">
        <v>8352</v>
      </c>
      <c r="F4954" s="5">
        <v>39596</v>
      </c>
      <c r="G4954" s="5">
        <v>40087</v>
      </c>
      <c r="H4954" s="4" t="s">
        <v>16</v>
      </c>
      <c r="I4954" s="6">
        <v>7950</v>
      </c>
      <c r="J4954" s="6">
        <v>2385</v>
      </c>
      <c r="K4954" s="38" t="s">
        <v>8348</v>
      </c>
      <c r="L4954" s="119"/>
      <c r="M4954" s="3"/>
    </row>
    <row r="4955" spans="1:13" s="4" customFormat="1" x14ac:dyDescent="0.25">
      <c r="A4955" s="4" t="s">
        <v>8353</v>
      </c>
      <c r="B4955" s="4" t="s">
        <v>13</v>
      </c>
      <c r="C4955" s="38" t="s">
        <v>8348</v>
      </c>
      <c r="D4955" s="35">
        <v>3881</v>
      </c>
      <c r="E4955" s="4" t="s">
        <v>8354</v>
      </c>
      <c r="F4955" s="5">
        <v>39860</v>
      </c>
      <c r="G4955" s="5">
        <v>40332</v>
      </c>
      <c r="H4955" s="4" t="s">
        <v>16</v>
      </c>
      <c r="I4955" s="6">
        <v>213300</v>
      </c>
      <c r="J4955" s="6">
        <v>63000</v>
      </c>
      <c r="K4955" s="38" t="s">
        <v>8348</v>
      </c>
      <c r="L4955" s="119"/>
      <c r="M4955" s="3"/>
    </row>
    <row r="4956" spans="1:13" s="4" customFormat="1" x14ac:dyDescent="0.25">
      <c r="A4956" s="4" t="s">
        <v>8355</v>
      </c>
      <c r="B4956" s="4" t="s">
        <v>13</v>
      </c>
      <c r="C4956" s="38" t="s">
        <v>8348</v>
      </c>
      <c r="D4956" s="35">
        <v>4129</v>
      </c>
      <c r="E4956" s="4" t="s">
        <v>8356</v>
      </c>
      <c r="F4956" s="5">
        <v>39514</v>
      </c>
      <c r="G4956" s="5">
        <v>40256</v>
      </c>
      <c r="H4956" s="4" t="s">
        <v>16</v>
      </c>
      <c r="I4956" s="6">
        <v>149799.43</v>
      </c>
      <c r="J4956" s="6">
        <v>29133</v>
      </c>
      <c r="K4956" s="38" t="s">
        <v>8348</v>
      </c>
      <c r="L4956" s="119"/>
      <c r="M4956" s="3"/>
    </row>
    <row r="4957" spans="1:13" s="4" customFormat="1" ht="25.5" x14ac:dyDescent="0.25">
      <c r="A4957" s="4" t="s">
        <v>8357</v>
      </c>
      <c r="B4957" s="4" t="s">
        <v>13</v>
      </c>
      <c r="C4957" s="38" t="s">
        <v>8348</v>
      </c>
      <c r="D4957" s="35">
        <v>4404</v>
      </c>
      <c r="E4957" s="4" t="s">
        <v>8358</v>
      </c>
      <c r="F4957" s="5">
        <v>39326</v>
      </c>
      <c r="G4957" s="5">
        <v>40056</v>
      </c>
      <c r="H4957" s="4" t="s">
        <v>2039</v>
      </c>
      <c r="I4957" s="6">
        <v>105063.41</v>
      </c>
      <c r="J4957" s="6">
        <v>105063.41</v>
      </c>
      <c r="K4957" s="38" t="s">
        <v>8348</v>
      </c>
      <c r="L4957" s="119"/>
      <c r="M4957" s="3"/>
    </row>
    <row r="4958" spans="1:13" s="4" customFormat="1" ht="25.5" x14ac:dyDescent="0.25">
      <c r="A4958" s="4" t="s">
        <v>8359</v>
      </c>
      <c r="B4958" s="4" t="s">
        <v>13</v>
      </c>
      <c r="C4958" s="38" t="s">
        <v>8348</v>
      </c>
      <c r="D4958" s="35">
        <v>4408</v>
      </c>
      <c r="E4958" s="4" t="s">
        <v>8360</v>
      </c>
      <c r="F4958" s="5">
        <v>39601</v>
      </c>
      <c r="G4958" s="5">
        <v>39965</v>
      </c>
      <c r="H4958" s="4" t="s">
        <v>2039</v>
      </c>
      <c r="I4958" s="6">
        <v>87903.98</v>
      </c>
      <c r="J4958" s="6">
        <v>87903.98</v>
      </c>
      <c r="K4958" s="38" t="s">
        <v>8348</v>
      </c>
      <c r="L4958" s="119"/>
      <c r="M4958" s="3"/>
    </row>
    <row r="4959" spans="1:13" s="4" customFormat="1" ht="25.5" x14ac:dyDescent="0.25">
      <c r="A4959" s="4" t="s">
        <v>8361</v>
      </c>
      <c r="B4959" s="4" t="s">
        <v>13</v>
      </c>
      <c r="C4959" s="38" t="s">
        <v>8348</v>
      </c>
      <c r="D4959" s="35">
        <v>4938</v>
      </c>
      <c r="E4959" s="4" t="s">
        <v>8361</v>
      </c>
      <c r="F4959" s="5">
        <v>39753</v>
      </c>
      <c r="G4959" s="5">
        <v>40162</v>
      </c>
      <c r="H4959" s="4" t="s">
        <v>2039</v>
      </c>
      <c r="I4959" s="6">
        <v>55523.43</v>
      </c>
      <c r="J4959" s="6">
        <v>55523.43</v>
      </c>
      <c r="K4959" s="38" t="s">
        <v>8348</v>
      </c>
      <c r="L4959" s="119"/>
      <c r="M4959" s="3"/>
    </row>
    <row r="4960" spans="1:13" s="4" customFormat="1" ht="25.5" x14ac:dyDescent="0.25">
      <c r="A4960" s="4" t="s">
        <v>8362</v>
      </c>
      <c r="B4960" s="4" t="s">
        <v>13</v>
      </c>
      <c r="C4960" s="38" t="s">
        <v>8348</v>
      </c>
      <c r="D4960" s="35">
        <v>4943</v>
      </c>
      <c r="E4960" s="4" t="s">
        <v>8363</v>
      </c>
      <c r="F4960" s="5">
        <v>39934</v>
      </c>
      <c r="G4960" s="5">
        <v>40497</v>
      </c>
      <c r="H4960" s="4" t="s">
        <v>2039</v>
      </c>
      <c r="I4960" s="6">
        <v>74611.740000000005</v>
      </c>
      <c r="J4960" s="6">
        <v>74611.740000000005</v>
      </c>
      <c r="K4960" s="38" t="s">
        <v>8348</v>
      </c>
      <c r="L4960" s="119"/>
      <c r="M4960" s="3"/>
    </row>
    <row r="4961" spans="1:13" s="4" customFormat="1" ht="25.5" x14ac:dyDescent="0.25">
      <c r="A4961" s="4" t="s">
        <v>8364</v>
      </c>
      <c r="B4961" s="4" t="s">
        <v>13</v>
      </c>
      <c r="C4961" s="38" t="s">
        <v>8348</v>
      </c>
      <c r="D4961" s="35">
        <v>4944</v>
      </c>
      <c r="E4961" s="4" t="s">
        <v>8364</v>
      </c>
      <c r="F4961" s="5">
        <v>39965</v>
      </c>
      <c r="G4961" s="5">
        <v>40329</v>
      </c>
      <c r="H4961" s="4" t="s">
        <v>2039</v>
      </c>
      <c r="I4961" s="6">
        <v>97950.81</v>
      </c>
      <c r="J4961" s="6">
        <v>97950.81</v>
      </c>
      <c r="K4961" s="38" t="s">
        <v>8348</v>
      </c>
      <c r="L4961" s="119"/>
      <c r="M4961" s="3"/>
    </row>
    <row r="4962" spans="1:13" s="4" customFormat="1" ht="51" x14ac:dyDescent="0.25">
      <c r="A4962" s="4" t="s">
        <v>8365</v>
      </c>
      <c r="B4962" s="4" t="s">
        <v>13</v>
      </c>
      <c r="C4962" s="38" t="s">
        <v>8348</v>
      </c>
      <c r="D4962" s="35">
        <v>4945</v>
      </c>
      <c r="E4962" s="4" t="s">
        <v>8366</v>
      </c>
      <c r="F4962" s="5">
        <v>40148</v>
      </c>
      <c r="G4962" s="5">
        <v>40512</v>
      </c>
      <c r="H4962" s="4" t="s">
        <v>2039</v>
      </c>
      <c r="I4962" s="6">
        <v>79500.23</v>
      </c>
      <c r="J4962" s="6">
        <v>79500.23</v>
      </c>
      <c r="K4962" s="38" t="s">
        <v>8348</v>
      </c>
      <c r="L4962" s="119"/>
      <c r="M4962" s="3"/>
    </row>
    <row r="4963" spans="1:13" s="4" customFormat="1" ht="25.5" x14ac:dyDescent="0.25">
      <c r="A4963" s="4" t="s">
        <v>8367</v>
      </c>
      <c r="B4963" s="4" t="s">
        <v>13</v>
      </c>
      <c r="C4963" s="38" t="s">
        <v>8348</v>
      </c>
      <c r="D4963" s="35">
        <v>4947</v>
      </c>
      <c r="E4963" s="4" t="s">
        <v>8368</v>
      </c>
      <c r="F4963" s="5">
        <v>40087</v>
      </c>
      <c r="G4963" s="5">
        <v>40451</v>
      </c>
      <c r="H4963" s="4" t="s">
        <v>2039</v>
      </c>
      <c r="I4963" s="6">
        <v>76105.240000000005</v>
      </c>
      <c r="J4963" s="6">
        <v>76105.240000000005</v>
      </c>
      <c r="K4963" s="38" t="s">
        <v>8348</v>
      </c>
      <c r="L4963" s="119"/>
      <c r="M4963" s="3"/>
    </row>
    <row r="4964" spans="1:13" s="4" customFormat="1" ht="51" x14ac:dyDescent="0.25">
      <c r="A4964" s="4" t="s">
        <v>8369</v>
      </c>
      <c r="B4964" s="4" t="s">
        <v>13</v>
      </c>
      <c r="C4964" s="38" t="s">
        <v>8348</v>
      </c>
      <c r="D4964" s="35">
        <v>4948</v>
      </c>
      <c r="E4964" s="4" t="s">
        <v>8370</v>
      </c>
      <c r="F4964" s="5">
        <v>40087</v>
      </c>
      <c r="G4964" s="5">
        <v>40451</v>
      </c>
      <c r="H4964" s="4" t="s">
        <v>2039</v>
      </c>
      <c r="I4964" s="6">
        <v>84311.99</v>
      </c>
      <c r="J4964" s="6">
        <v>84311.99</v>
      </c>
      <c r="K4964" s="38" t="s">
        <v>8348</v>
      </c>
      <c r="L4964" s="119"/>
      <c r="M4964" s="3"/>
    </row>
    <row r="4965" spans="1:13" s="4" customFormat="1" ht="25.5" x14ac:dyDescent="0.25">
      <c r="A4965" s="4" t="s">
        <v>8371</v>
      </c>
      <c r="B4965" s="4" t="s">
        <v>13</v>
      </c>
      <c r="C4965" s="38" t="s">
        <v>8348</v>
      </c>
      <c r="D4965" s="35">
        <v>4949</v>
      </c>
      <c r="E4965" s="4" t="s">
        <v>8372</v>
      </c>
      <c r="F4965" s="5">
        <v>39264</v>
      </c>
      <c r="G4965" s="5">
        <v>39629</v>
      </c>
      <c r="H4965" s="4" t="s">
        <v>2039</v>
      </c>
      <c r="I4965" s="6">
        <v>91668.32</v>
      </c>
      <c r="J4965" s="6">
        <v>91668.32</v>
      </c>
      <c r="K4965" s="38" t="s">
        <v>8348</v>
      </c>
      <c r="L4965" s="119"/>
      <c r="M4965" s="3"/>
    </row>
    <row r="4966" spans="1:13" s="4" customFormat="1" ht="25.5" x14ac:dyDescent="0.25">
      <c r="A4966" s="4" t="s">
        <v>8373</v>
      </c>
      <c r="B4966" s="4" t="s">
        <v>13</v>
      </c>
      <c r="C4966" s="38" t="s">
        <v>8348</v>
      </c>
      <c r="D4966" s="35">
        <v>4951</v>
      </c>
      <c r="E4966" s="4" t="s">
        <v>8374</v>
      </c>
      <c r="F4966" s="5">
        <v>39234</v>
      </c>
      <c r="G4966" s="5">
        <v>39813</v>
      </c>
      <c r="H4966" s="4" t="s">
        <v>2039</v>
      </c>
      <c r="I4966" s="6">
        <v>85184.86</v>
      </c>
      <c r="J4966" s="6">
        <v>85184.86</v>
      </c>
      <c r="K4966" s="38" t="s">
        <v>8348</v>
      </c>
      <c r="L4966" s="119"/>
      <c r="M4966" s="3"/>
    </row>
    <row r="4967" spans="1:13" s="4" customFormat="1" ht="25.5" x14ac:dyDescent="0.25">
      <c r="A4967" s="4" t="s">
        <v>8375</v>
      </c>
      <c r="B4967" s="4" t="s">
        <v>13</v>
      </c>
      <c r="C4967" s="38" t="s">
        <v>8348</v>
      </c>
      <c r="D4967" s="35">
        <v>4952</v>
      </c>
      <c r="E4967" s="4" t="s">
        <v>8375</v>
      </c>
      <c r="F4967" s="5">
        <v>39356</v>
      </c>
      <c r="G4967" s="5">
        <v>39844</v>
      </c>
      <c r="H4967" s="4" t="s">
        <v>2039</v>
      </c>
      <c r="I4967" s="6">
        <v>82596.87</v>
      </c>
      <c r="J4967" s="6">
        <v>82596.87</v>
      </c>
      <c r="K4967" s="38" t="s">
        <v>8348</v>
      </c>
      <c r="L4967" s="119"/>
      <c r="M4967" s="3"/>
    </row>
    <row r="4968" spans="1:13" s="4" customFormat="1" ht="25.5" x14ac:dyDescent="0.25">
      <c r="A4968" s="4" t="s">
        <v>8376</v>
      </c>
      <c r="B4968" s="4" t="s">
        <v>13</v>
      </c>
      <c r="C4968" s="38" t="s">
        <v>8348</v>
      </c>
      <c r="D4968" s="35">
        <v>4954</v>
      </c>
      <c r="E4968" s="4" t="s">
        <v>8376</v>
      </c>
      <c r="F4968" s="5">
        <v>39417</v>
      </c>
      <c r="G4968" s="5">
        <v>39782</v>
      </c>
      <c r="H4968" s="4" t="s">
        <v>2039</v>
      </c>
      <c r="I4968" s="6">
        <v>80372.22</v>
      </c>
      <c r="J4968" s="6">
        <v>80372.22</v>
      </c>
      <c r="K4968" s="38" t="s">
        <v>8348</v>
      </c>
      <c r="L4968" s="119"/>
      <c r="M4968" s="3"/>
    </row>
    <row r="4969" spans="1:13" s="4" customFormat="1" ht="25.5" x14ac:dyDescent="0.25">
      <c r="A4969" s="4" t="s">
        <v>8377</v>
      </c>
      <c r="B4969" s="4" t="s">
        <v>13</v>
      </c>
      <c r="C4969" s="38" t="s">
        <v>8348</v>
      </c>
      <c r="D4969" s="35">
        <v>4957</v>
      </c>
      <c r="E4969" s="4" t="s">
        <v>8378</v>
      </c>
      <c r="F4969" s="5">
        <v>39234</v>
      </c>
      <c r="G4969" s="5">
        <v>39964</v>
      </c>
      <c r="H4969" s="4" t="s">
        <v>2039</v>
      </c>
      <c r="I4969" s="6">
        <v>349626</v>
      </c>
      <c r="J4969" s="6">
        <v>349626</v>
      </c>
      <c r="K4969" s="38" t="s">
        <v>8348</v>
      </c>
      <c r="L4969" s="119"/>
      <c r="M4969" s="3"/>
    </row>
    <row r="4970" spans="1:13" s="4" customFormat="1" ht="25.5" x14ac:dyDescent="0.25">
      <c r="A4970" s="4" t="s">
        <v>8379</v>
      </c>
      <c r="B4970" s="4" t="s">
        <v>13</v>
      </c>
      <c r="C4970" s="38" t="s">
        <v>8348</v>
      </c>
      <c r="D4970" s="35">
        <v>4960</v>
      </c>
      <c r="E4970" s="4" t="s">
        <v>8380</v>
      </c>
      <c r="F4970" s="5">
        <v>39356</v>
      </c>
      <c r="G4970" s="5">
        <v>40268</v>
      </c>
      <c r="H4970" s="4" t="s">
        <v>2039</v>
      </c>
      <c r="I4970" s="6">
        <v>361788.49</v>
      </c>
      <c r="J4970" s="6">
        <v>361788.49</v>
      </c>
      <c r="K4970" s="38" t="s">
        <v>8348</v>
      </c>
      <c r="L4970" s="119"/>
      <c r="M4970" s="3"/>
    </row>
    <row r="4971" spans="1:13" s="4" customFormat="1" ht="25.5" x14ac:dyDescent="0.25">
      <c r="A4971" s="4" t="s">
        <v>8381</v>
      </c>
      <c r="B4971" s="4" t="s">
        <v>13</v>
      </c>
      <c r="C4971" s="38" t="s">
        <v>8348</v>
      </c>
      <c r="D4971" s="35">
        <v>4965</v>
      </c>
      <c r="E4971" s="4" t="s">
        <v>8382</v>
      </c>
      <c r="F4971" s="5">
        <v>39387</v>
      </c>
      <c r="G4971" s="5">
        <v>40117</v>
      </c>
      <c r="H4971" s="4" t="s">
        <v>2039</v>
      </c>
      <c r="I4971" s="6">
        <f>376417.36+1.83</f>
        <v>376419.19</v>
      </c>
      <c r="J4971" s="6">
        <v>376419.19</v>
      </c>
      <c r="K4971" s="38" t="s">
        <v>8348</v>
      </c>
      <c r="L4971" s="119"/>
      <c r="M4971" s="3"/>
    </row>
    <row r="4972" spans="1:13" s="4" customFormat="1" ht="25.5" x14ac:dyDescent="0.25">
      <c r="A4972" s="4" t="s">
        <v>8383</v>
      </c>
      <c r="B4972" s="4" t="s">
        <v>13</v>
      </c>
      <c r="C4972" s="38" t="s">
        <v>8348</v>
      </c>
      <c r="D4972" s="35">
        <v>4967</v>
      </c>
      <c r="E4972" s="4" t="s">
        <v>8383</v>
      </c>
      <c r="F4972" s="5">
        <v>39448</v>
      </c>
      <c r="G4972" s="5">
        <v>40178</v>
      </c>
      <c r="H4972" s="4" t="s">
        <v>2039</v>
      </c>
      <c r="I4972" s="6">
        <v>405673.49</v>
      </c>
      <c r="J4972" s="6">
        <v>405673.49</v>
      </c>
      <c r="K4972" s="38" t="s">
        <v>8348</v>
      </c>
      <c r="L4972" s="119"/>
      <c r="M4972" s="3"/>
    </row>
    <row r="4973" spans="1:13" s="4" customFormat="1" ht="25.5" x14ac:dyDescent="0.25">
      <c r="A4973" s="4" t="s">
        <v>8384</v>
      </c>
      <c r="B4973" s="4" t="s">
        <v>13</v>
      </c>
      <c r="C4973" s="38" t="s">
        <v>8348</v>
      </c>
      <c r="D4973" s="35">
        <v>4969</v>
      </c>
      <c r="E4973" s="4" t="s">
        <v>8385</v>
      </c>
      <c r="F4973" s="5">
        <v>39600</v>
      </c>
      <c r="G4973" s="5">
        <v>40329</v>
      </c>
      <c r="H4973" s="4" t="s">
        <v>2039</v>
      </c>
      <c r="I4973" s="6">
        <v>437740.37</v>
      </c>
      <c r="J4973" s="6">
        <v>437740.37</v>
      </c>
      <c r="K4973" s="38" t="s">
        <v>8348</v>
      </c>
      <c r="L4973" s="119"/>
      <c r="M4973" s="3"/>
    </row>
    <row r="4974" spans="1:13" s="4" customFormat="1" ht="25.5" x14ac:dyDescent="0.25">
      <c r="A4974" s="4" t="s">
        <v>8386</v>
      </c>
      <c r="B4974" s="4" t="s">
        <v>13</v>
      </c>
      <c r="C4974" s="38" t="s">
        <v>8348</v>
      </c>
      <c r="D4974" s="35">
        <v>4978</v>
      </c>
      <c r="E4974" s="4" t="s">
        <v>8387</v>
      </c>
      <c r="F4974" s="5">
        <v>39569</v>
      </c>
      <c r="G4974" s="5">
        <v>40328</v>
      </c>
      <c r="H4974" s="4" t="s">
        <v>2039</v>
      </c>
      <c r="I4974" s="6">
        <v>402810.77</v>
      </c>
      <c r="J4974" s="6">
        <v>402810.77</v>
      </c>
      <c r="K4974" s="38" t="s">
        <v>8348</v>
      </c>
      <c r="L4974" s="119"/>
      <c r="M4974" s="3"/>
    </row>
    <row r="4975" spans="1:13" s="4" customFormat="1" ht="25.5" x14ac:dyDescent="0.25">
      <c r="A4975" s="4" t="s">
        <v>8388</v>
      </c>
      <c r="B4975" s="4" t="s">
        <v>13</v>
      </c>
      <c r="C4975" s="38" t="s">
        <v>8348</v>
      </c>
      <c r="D4975" s="35">
        <v>4982</v>
      </c>
      <c r="E4975" s="4" t="s">
        <v>8389</v>
      </c>
      <c r="F4975" s="5">
        <v>39479</v>
      </c>
      <c r="G4975" s="5">
        <v>40848</v>
      </c>
      <c r="H4975" s="4" t="s">
        <v>2039</v>
      </c>
      <c r="I4975" s="6">
        <v>219145.13</v>
      </c>
      <c r="J4975" s="6">
        <v>219145.13</v>
      </c>
      <c r="K4975" s="38" t="s">
        <v>8348</v>
      </c>
      <c r="L4975" s="119"/>
      <c r="M4975" s="3"/>
    </row>
    <row r="4976" spans="1:13" s="4" customFormat="1" ht="25.5" x14ac:dyDescent="0.25">
      <c r="A4976" s="4" t="s">
        <v>8390</v>
      </c>
      <c r="B4976" s="4" t="s">
        <v>13</v>
      </c>
      <c r="C4976" s="38" t="s">
        <v>8348</v>
      </c>
      <c r="D4976" s="35">
        <v>4985</v>
      </c>
      <c r="E4976" s="4" t="s">
        <v>8390</v>
      </c>
      <c r="F4976" s="5">
        <v>40087</v>
      </c>
      <c r="G4976" s="5">
        <v>40816</v>
      </c>
      <c r="H4976" s="4" t="s">
        <v>2039</v>
      </c>
      <c r="I4976" s="6">
        <v>326011.15000000002</v>
      </c>
      <c r="J4976" s="6">
        <v>326011.15000000002</v>
      </c>
      <c r="K4976" s="38" t="s">
        <v>8348</v>
      </c>
      <c r="L4976" s="119"/>
      <c r="M4976" s="3"/>
    </row>
    <row r="4977" spans="1:13" s="4" customFormat="1" ht="25.5" x14ac:dyDescent="0.25">
      <c r="A4977" s="4" t="s">
        <v>8391</v>
      </c>
      <c r="B4977" s="4" t="s">
        <v>13</v>
      </c>
      <c r="C4977" s="38" t="s">
        <v>8348</v>
      </c>
      <c r="D4977" s="35">
        <v>4987</v>
      </c>
      <c r="E4977" s="4" t="s">
        <v>8391</v>
      </c>
      <c r="F4977" s="5">
        <v>40057</v>
      </c>
      <c r="G4977" s="5">
        <v>40786</v>
      </c>
      <c r="H4977" s="4" t="s">
        <v>2039</v>
      </c>
      <c r="I4977" s="6">
        <v>264707.15000000002</v>
      </c>
      <c r="J4977" s="6">
        <v>264707.15000000002</v>
      </c>
      <c r="K4977" s="38" t="s">
        <v>8348</v>
      </c>
      <c r="L4977" s="119"/>
      <c r="M4977" s="3"/>
    </row>
    <row r="4978" spans="1:13" s="4" customFormat="1" ht="25.5" x14ac:dyDescent="0.25">
      <c r="A4978" s="4" t="s">
        <v>8392</v>
      </c>
      <c r="B4978" s="4" t="s">
        <v>13</v>
      </c>
      <c r="C4978" s="38" t="s">
        <v>8348</v>
      </c>
      <c r="D4978" s="35">
        <v>4989</v>
      </c>
      <c r="E4978" s="4" t="s">
        <v>8392</v>
      </c>
      <c r="F4978" s="5">
        <v>40087</v>
      </c>
      <c r="G4978" s="5">
        <v>40816</v>
      </c>
      <c r="H4978" s="4" t="s">
        <v>2039</v>
      </c>
      <c r="I4978" s="6">
        <v>311236.24</v>
      </c>
      <c r="J4978" s="6">
        <v>311236.24</v>
      </c>
      <c r="K4978" s="38" t="s">
        <v>8348</v>
      </c>
      <c r="L4978" s="119"/>
      <c r="M4978" s="3"/>
    </row>
    <row r="4979" spans="1:13" s="4" customFormat="1" ht="25.5" x14ac:dyDescent="0.25">
      <c r="A4979" s="4" t="s">
        <v>8393</v>
      </c>
      <c r="B4979" s="4" t="s">
        <v>13</v>
      </c>
      <c r="C4979" s="38" t="s">
        <v>8348</v>
      </c>
      <c r="D4979" s="35">
        <v>4992</v>
      </c>
      <c r="E4979" s="4" t="s">
        <v>8394</v>
      </c>
      <c r="F4979" s="5">
        <v>39295</v>
      </c>
      <c r="G4979" s="5">
        <v>39568</v>
      </c>
      <c r="H4979" s="4" t="s">
        <v>2039</v>
      </c>
      <c r="I4979" s="6">
        <v>89603.5</v>
      </c>
      <c r="J4979" s="6">
        <v>89603.5</v>
      </c>
      <c r="K4979" s="38" t="s">
        <v>8348</v>
      </c>
      <c r="L4979" s="119"/>
      <c r="M4979" s="3"/>
    </row>
    <row r="4980" spans="1:13" s="4" customFormat="1" ht="25.5" x14ac:dyDescent="0.25">
      <c r="A4980" s="4" t="s">
        <v>8395</v>
      </c>
      <c r="B4980" s="4" t="s">
        <v>13</v>
      </c>
      <c r="C4980" s="38" t="s">
        <v>8348</v>
      </c>
      <c r="D4980" s="35">
        <v>6540</v>
      </c>
      <c r="E4980" s="4" t="s">
        <v>8395</v>
      </c>
      <c r="F4980" s="5">
        <v>40360</v>
      </c>
      <c r="G4980" s="5">
        <v>41152</v>
      </c>
      <c r="H4980" s="4" t="s">
        <v>2039</v>
      </c>
      <c r="I4980" s="6">
        <v>172249.73</v>
      </c>
      <c r="J4980" s="6">
        <v>172249.73</v>
      </c>
      <c r="K4980" s="38" t="s">
        <v>8348</v>
      </c>
      <c r="L4980" s="119"/>
    </row>
    <row r="4981" spans="1:13" s="4" customFormat="1" ht="51" x14ac:dyDescent="0.25">
      <c r="A4981" s="13" t="s">
        <v>8396</v>
      </c>
      <c r="B4981" s="4" t="s">
        <v>13</v>
      </c>
      <c r="C4981" s="38" t="s">
        <v>8348</v>
      </c>
      <c r="D4981" s="35">
        <v>11574</v>
      </c>
      <c r="E4981" s="13" t="s">
        <v>8397</v>
      </c>
      <c r="F4981" s="14">
        <v>40544</v>
      </c>
      <c r="G4981" s="14">
        <v>40755</v>
      </c>
      <c r="H4981" s="4" t="s">
        <v>2039</v>
      </c>
      <c r="I4981" s="6">
        <v>16553.88</v>
      </c>
      <c r="J4981" s="6">
        <v>16553.88</v>
      </c>
      <c r="K4981" s="38" t="s">
        <v>8348</v>
      </c>
      <c r="L4981" s="119"/>
      <c r="M4981" s="3"/>
    </row>
    <row r="4982" spans="1:13" s="4" customFormat="1" ht="38.25" x14ac:dyDescent="0.25">
      <c r="A4982" s="13" t="s">
        <v>8398</v>
      </c>
      <c r="B4982" s="4" t="s">
        <v>13</v>
      </c>
      <c r="C4982" s="38" t="s">
        <v>8348</v>
      </c>
      <c r="D4982" s="35">
        <v>11575</v>
      </c>
      <c r="E4982" s="13" t="s">
        <v>8399</v>
      </c>
      <c r="F4982" s="14">
        <v>40787</v>
      </c>
      <c r="G4982" s="14">
        <v>40999</v>
      </c>
      <c r="H4982" s="4" t="s">
        <v>2039</v>
      </c>
      <c r="I4982" s="6">
        <f>15424.68+9891.59</f>
        <v>25316.27</v>
      </c>
      <c r="J4982" s="6">
        <f>15424.68+9891.59</f>
        <v>25316.27</v>
      </c>
      <c r="K4982" s="38" t="s">
        <v>8348</v>
      </c>
      <c r="L4982" s="119"/>
      <c r="M4982" s="3"/>
    </row>
    <row r="4983" spans="1:13" s="32" customFormat="1" ht="51" x14ac:dyDescent="0.25">
      <c r="A4983" s="13" t="s">
        <v>11506</v>
      </c>
      <c r="B4983" s="32" t="s">
        <v>13</v>
      </c>
      <c r="C4983" s="38" t="s">
        <v>8348</v>
      </c>
      <c r="D4983" s="33">
        <v>12981</v>
      </c>
      <c r="E4983" s="13" t="s">
        <v>11507</v>
      </c>
      <c r="F4983" s="34">
        <v>40909</v>
      </c>
      <c r="G4983" s="34">
        <v>41155</v>
      </c>
      <c r="H4983" s="4" t="s">
        <v>2039</v>
      </c>
      <c r="I4983" s="94">
        <v>47880.95</v>
      </c>
      <c r="J4983" s="94">
        <v>47880.95</v>
      </c>
      <c r="K4983" s="38" t="s">
        <v>8348</v>
      </c>
      <c r="L4983" s="119"/>
    </row>
    <row r="4984" spans="1:13" s="32" customFormat="1" ht="38.25" x14ac:dyDescent="0.25">
      <c r="A4984" s="13" t="s">
        <v>11508</v>
      </c>
      <c r="B4984" s="32" t="s">
        <v>13</v>
      </c>
      <c r="C4984" s="38" t="s">
        <v>8348</v>
      </c>
      <c r="D4984" s="33">
        <v>12982</v>
      </c>
      <c r="E4984" s="13" t="s">
        <v>11509</v>
      </c>
      <c r="F4984" s="34">
        <v>40878</v>
      </c>
      <c r="G4984" s="34">
        <v>41671</v>
      </c>
      <c r="H4984" s="4" t="s">
        <v>2039</v>
      </c>
      <c r="I4984" s="94">
        <v>155181.32</v>
      </c>
      <c r="J4984" s="94">
        <v>155181.32</v>
      </c>
      <c r="K4984" s="38" t="s">
        <v>8348</v>
      </c>
      <c r="L4984" s="119"/>
    </row>
    <row r="4985" spans="1:13" s="32" customFormat="1" ht="38.25" x14ac:dyDescent="0.25">
      <c r="A4985" s="13" t="s">
        <v>11614</v>
      </c>
      <c r="B4985" s="32" t="s">
        <v>13</v>
      </c>
      <c r="C4985" s="38" t="s">
        <v>8348</v>
      </c>
      <c r="D4985" s="33">
        <v>12983</v>
      </c>
      <c r="E4985" s="13" t="s">
        <v>11615</v>
      </c>
      <c r="F4985" s="34">
        <v>40911</v>
      </c>
      <c r="G4985" s="34">
        <v>41458</v>
      </c>
      <c r="H4985" s="4" t="s">
        <v>2039</v>
      </c>
      <c r="I4985" s="94">
        <v>101962.43</v>
      </c>
      <c r="J4985" s="94">
        <v>101962.43</v>
      </c>
      <c r="K4985" s="38" t="s">
        <v>8348</v>
      </c>
      <c r="L4985" s="119"/>
    </row>
    <row r="4986" spans="1:13" s="32" customFormat="1" ht="38.25" x14ac:dyDescent="0.25">
      <c r="A4986" s="13" t="s">
        <v>11510</v>
      </c>
      <c r="B4986" s="32" t="s">
        <v>13</v>
      </c>
      <c r="C4986" s="38" t="s">
        <v>8348</v>
      </c>
      <c r="D4986" s="33">
        <v>12984</v>
      </c>
      <c r="E4986" s="13" t="s">
        <v>11511</v>
      </c>
      <c r="F4986" s="34">
        <v>40909</v>
      </c>
      <c r="G4986" s="34">
        <v>41456</v>
      </c>
      <c r="H4986" s="4" t="s">
        <v>2039</v>
      </c>
      <c r="I4986" s="94">
        <v>60298.38</v>
      </c>
      <c r="J4986" s="94">
        <v>60298.38</v>
      </c>
      <c r="K4986" s="38" t="s">
        <v>8348</v>
      </c>
      <c r="L4986" s="119"/>
    </row>
    <row r="4987" spans="1:13" s="32" customFormat="1" ht="51" x14ac:dyDescent="0.25">
      <c r="A4987" s="13" t="s">
        <v>11512</v>
      </c>
      <c r="B4987" s="32" t="s">
        <v>13</v>
      </c>
      <c r="C4987" s="38" t="s">
        <v>8348</v>
      </c>
      <c r="D4987" s="33">
        <v>12985</v>
      </c>
      <c r="E4987" s="13" t="s">
        <v>11513</v>
      </c>
      <c r="F4987" s="34">
        <v>40909</v>
      </c>
      <c r="G4987" s="34">
        <v>41486</v>
      </c>
      <c r="H4987" s="4" t="s">
        <v>2039</v>
      </c>
      <c r="I4987" s="94">
        <v>58436.5</v>
      </c>
      <c r="J4987" s="94">
        <v>58436.5</v>
      </c>
      <c r="K4987" s="38" t="s">
        <v>8348</v>
      </c>
      <c r="L4987" s="119"/>
    </row>
    <row r="4988" spans="1:13" s="32" customFormat="1" ht="38.25" x14ac:dyDescent="0.25">
      <c r="A4988" s="13" t="s">
        <v>11514</v>
      </c>
      <c r="B4988" s="32" t="s">
        <v>13</v>
      </c>
      <c r="C4988" s="38" t="s">
        <v>8348</v>
      </c>
      <c r="D4988" s="33">
        <v>12986</v>
      </c>
      <c r="E4988" s="13" t="s">
        <v>11515</v>
      </c>
      <c r="F4988" s="34">
        <v>40878</v>
      </c>
      <c r="G4988" s="34">
        <v>41653</v>
      </c>
      <c r="H4988" s="4" t="s">
        <v>2039</v>
      </c>
      <c r="I4988" s="94">
        <v>35092.6</v>
      </c>
      <c r="J4988" s="94">
        <v>35092.6</v>
      </c>
      <c r="K4988" s="38" t="s">
        <v>8348</v>
      </c>
      <c r="L4988" s="119"/>
    </row>
    <row r="4989" spans="1:13" s="4" customFormat="1" x14ac:dyDescent="0.25">
      <c r="A4989" s="4" t="s">
        <v>8402</v>
      </c>
      <c r="B4989" s="4" t="s">
        <v>59</v>
      </c>
      <c r="C4989" s="38" t="s">
        <v>8348</v>
      </c>
      <c r="D4989" s="35">
        <v>412</v>
      </c>
      <c r="E4989" s="4" t="s">
        <v>8403</v>
      </c>
      <c r="F4989" s="5">
        <v>39259</v>
      </c>
      <c r="G4989" s="5">
        <v>39450</v>
      </c>
      <c r="H4989" s="4" t="s">
        <v>40</v>
      </c>
      <c r="I4989" s="6">
        <v>14000</v>
      </c>
      <c r="J4989" s="6">
        <v>14000</v>
      </c>
      <c r="K4989" s="38" t="s">
        <v>8348</v>
      </c>
      <c r="L4989" s="119"/>
      <c r="M4989" s="3"/>
    </row>
    <row r="4990" spans="1:13" s="4" customFormat="1" ht="25.5" x14ac:dyDescent="0.25">
      <c r="A4990" s="4" t="s">
        <v>8408</v>
      </c>
      <c r="B4990" s="4" t="s">
        <v>38</v>
      </c>
      <c r="C4990" s="38" t="s">
        <v>8348</v>
      </c>
      <c r="D4990" s="35">
        <v>415</v>
      </c>
      <c r="E4990" s="4" t="s">
        <v>8409</v>
      </c>
      <c r="F4990" s="5">
        <v>39140</v>
      </c>
      <c r="G4990" s="5">
        <v>39339</v>
      </c>
      <c r="H4990" s="4" t="s">
        <v>40</v>
      </c>
      <c r="I4990" s="6">
        <v>3750</v>
      </c>
      <c r="J4990" s="6">
        <v>3750</v>
      </c>
      <c r="K4990" s="38" t="s">
        <v>8348</v>
      </c>
      <c r="L4990" s="119"/>
      <c r="M4990" s="3"/>
    </row>
    <row r="4991" spans="1:13" s="4" customFormat="1" x14ac:dyDescent="0.25">
      <c r="A4991" s="4" t="s">
        <v>8410</v>
      </c>
      <c r="B4991" s="4" t="s">
        <v>59</v>
      </c>
      <c r="C4991" s="38" t="s">
        <v>8348</v>
      </c>
      <c r="D4991" s="35">
        <v>416</v>
      </c>
      <c r="E4991" s="4" t="s">
        <v>8411</v>
      </c>
      <c r="F4991" s="5">
        <v>39358</v>
      </c>
      <c r="G4991" s="5">
        <v>39721</v>
      </c>
      <c r="H4991" s="4" t="s">
        <v>40</v>
      </c>
      <c r="I4991" s="6">
        <v>16500</v>
      </c>
      <c r="J4991" s="6">
        <v>16500</v>
      </c>
      <c r="K4991" s="38" t="s">
        <v>8348</v>
      </c>
      <c r="L4991" s="119"/>
      <c r="M4991" s="3"/>
    </row>
    <row r="4992" spans="1:13" s="4" customFormat="1" ht="25.5" x14ac:dyDescent="0.25">
      <c r="A4992" s="4" t="s">
        <v>8412</v>
      </c>
      <c r="B4992" s="4" t="s">
        <v>50</v>
      </c>
      <c r="C4992" s="38" t="s">
        <v>8348</v>
      </c>
      <c r="D4992" s="35">
        <v>417</v>
      </c>
      <c r="E4992" s="4" t="s">
        <v>8413</v>
      </c>
      <c r="F4992" s="5">
        <v>39358</v>
      </c>
      <c r="G4992" s="5">
        <v>39826</v>
      </c>
      <c r="H4992" s="4" t="s">
        <v>40</v>
      </c>
      <c r="I4992" s="6">
        <v>100388.64</v>
      </c>
      <c r="J4992" s="6">
        <v>50194.32</v>
      </c>
      <c r="K4992" s="38" t="s">
        <v>8348</v>
      </c>
      <c r="L4992" s="119"/>
      <c r="M4992" s="3"/>
    </row>
    <row r="4993" spans="1:13" s="4" customFormat="1" x14ac:dyDescent="0.25">
      <c r="A4993" s="4" t="s">
        <v>8414</v>
      </c>
      <c r="B4993" s="4" t="s">
        <v>50</v>
      </c>
      <c r="C4993" s="38" t="s">
        <v>8348</v>
      </c>
      <c r="D4993" s="35">
        <v>418</v>
      </c>
      <c r="E4993" s="4" t="s">
        <v>8415</v>
      </c>
      <c r="F4993" s="5">
        <v>39358</v>
      </c>
      <c r="G4993" s="5">
        <v>39379</v>
      </c>
      <c r="H4993" s="4" t="s">
        <v>40</v>
      </c>
      <c r="I4993" s="6">
        <v>7890</v>
      </c>
      <c r="J4993" s="6">
        <v>3945</v>
      </c>
      <c r="K4993" s="38" t="s">
        <v>8348</v>
      </c>
      <c r="L4993" s="119"/>
      <c r="M4993" s="3"/>
    </row>
    <row r="4994" spans="1:13" s="4" customFormat="1" x14ac:dyDescent="0.25">
      <c r="A4994" s="4" t="s">
        <v>8416</v>
      </c>
      <c r="B4994" s="4" t="s">
        <v>59</v>
      </c>
      <c r="C4994" s="38" t="s">
        <v>8348</v>
      </c>
      <c r="D4994" s="35">
        <v>419</v>
      </c>
      <c r="E4994" s="4" t="s">
        <v>8417</v>
      </c>
      <c r="F4994" s="5">
        <v>39197</v>
      </c>
      <c r="G4994" s="5">
        <v>39388</v>
      </c>
      <c r="H4994" s="4" t="s">
        <v>40</v>
      </c>
      <c r="I4994" s="6">
        <v>3750</v>
      </c>
      <c r="J4994" s="6">
        <v>3750</v>
      </c>
      <c r="K4994" s="38" t="s">
        <v>8348</v>
      </c>
      <c r="L4994" s="119"/>
      <c r="M4994" s="3"/>
    </row>
    <row r="4995" spans="1:13" s="4" customFormat="1" x14ac:dyDescent="0.25">
      <c r="A4995" s="4" t="s">
        <v>8420</v>
      </c>
      <c r="B4995" s="4" t="s">
        <v>50</v>
      </c>
      <c r="C4995" s="38" t="s">
        <v>8348</v>
      </c>
      <c r="D4995" s="35">
        <v>421</v>
      </c>
      <c r="E4995" s="4" t="s">
        <v>8421</v>
      </c>
      <c r="F4995" s="5">
        <v>39260</v>
      </c>
      <c r="G4995" s="5">
        <v>39615</v>
      </c>
      <c r="H4995" s="4" t="s">
        <v>40</v>
      </c>
      <c r="I4995" s="6">
        <v>49015.62</v>
      </c>
      <c r="J4995" s="6">
        <v>24507.81</v>
      </c>
      <c r="K4995" s="38" t="s">
        <v>8348</v>
      </c>
      <c r="L4995" s="119"/>
      <c r="M4995" s="3"/>
    </row>
    <row r="4996" spans="1:13" s="4" customFormat="1" x14ac:dyDescent="0.25">
      <c r="A4996" s="4" t="s">
        <v>8422</v>
      </c>
      <c r="B4996" s="4" t="s">
        <v>50</v>
      </c>
      <c r="C4996" s="38" t="s">
        <v>8348</v>
      </c>
      <c r="D4996" s="35">
        <v>422</v>
      </c>
      <c r="E4996" s="4" t="s">
        <v>8423</v>
      </c>
      <c r="F4996" s="5">
        <v>39140</v>
      </c>
      <c r="G4996" s="5">
        <v>39204</v>
      </c>
      <c r="H4996" s="4" t="s">
        <v>40</v>
      </c>
      <c r="I4996" s="6">
        <v>28308</v>
      </c>
      <c r="J4996" s="6">
        <v>14154</v>
      </c>
      <c r="K4996" s="38" t="s">
        <v>8348</v>
      </c>
      <c r="L4996" s="119"/>
      <c r="M4996" s="3"/>
    </row>
    <row r="4997" spans="1:13" s="4" customFormat="1" x14ac:dyDescent="0.25">
      <c r="A4997" s="4" t="s">
        <v>8424</v>
      </c>
      <c r="B4997" s="4" t="s">
        <v>59</v>
      </c>
      <c r="C4997" s="38" t="s">
        <v>8348</v>
      </c>
      <c r="D4997" s="35">
        <v>423</v>
      </c>
      <c r="E4997" s="4" t="s">
        <v>8425</v>
      </c>
      <c r="F4997" s="5">
        <v>39260</v>
      </c>
      <c r="G4997" s="5">
        <v>39657</v>
      </c>
      <c r="H4997" s="4" t="s">
        <v>40</v>
      </c>
      <c r="I4997" s="6">
        <v>10000</v>
      </c>
      <c r="J4997" s="6">
        <v>10000</v>
      </c>
      <c r="K4997" s="38" t="s">
        <v>8348</v>
      </c>
      <c r="L4997" s="119"/>
      <c r="M4997" s="3"/>
    </row>
    <row r="4998" spans="1:13" s="4" customFormat="1" x14ac:dyDescent="0.25">
      <c r="A4998" s="4" t="s">
        <v>8426</v>
      </c>
      <c r="B4998" s="4" t="s">
        <v>90</v>
      </c>
      <c r="C4998" s="38" t="s">
        <v>8348</v>
      </c>
      <c r="D4998" s="35">
        <v>424</v>
      </c>
      <c r="E4998" s="4" t="s">
        <v>8425</v>
      </c>
      <c r="F4998" s="5">
        <v>39259</v>
      </c>
      <c r="G4998" s="5">
        <v>39624</v>
      </c>
      <c r="H4998" s="4" t="s">
        <v>40</v>
      </c>
      <c r="I4998" s="6">
        <v>1300</v>
      </c>
      <c r="J4998" s="6">
        <v>650</v>
      </c>
      <c r="K4998" s="38" t="s">
        <v>8348</v>
      </c>
      <c r="L4998" s="119"/>
      <c r="M4998" s="3"/>
    </row>
    <row r="4999" spans="1:13" s="4" customFormat="1" x14ac:dyDescent="0.25">
      <c r="A4999" s="4" t="s">
        <v>8429</v>
      </c>
      <c r="B4999" s="4" t="s">
        <v>50</v>
      </c>
      <c r="C4999" s="38" t="s">
        <v>8348</v>
      </c>
      <c r="D4999" s="35">
        <v>426</v>
      </c>
      <c r="E4999" s="4" t="s">
        <v>8430</v>
      </c>
      <c r="F4999" s="5">
        <v>39358</v>
      </c>
      <c r="G4999" s="5">
        <v>39777</v>
      </c>
      <c r="H4999" s="4" t="s">
        <v>40</v>
      </c>
      <c r="I4999" s="6">
        <v>27520</v>
      </c>
      <c r="J4999" s="6">
        <v>13760</v>
      </c>
      <c r="K4999" s="38" t="s">
        <v>8348</v>
      </c>
      <c r="L4999" s="119"/>
      <c r="M4999" s="3"/>
    </row>
    <row r="5000" spans="1:13" s="4" customFormat="1" x14ac:dyDescent="0.25">
      <c r="A5000" s="4" t="s">
        <v>8431</v>
      </c>
      <c r="B5000" s="4" t="s">
        <v>50</v>
      </c>
      <c r="C5000" s="38" t="s">
        <v>8348</v>
      </c>
      <c r="D5000" s="35">
        <v>427</v>
      </c>
      <c r="E5000" s="4" t="s">
        <v>8432</v>
      </c>
      <c r="F5000" s="5">
        <v>39358</v>
      </c>
      <c r="G5000" s="5">
        <v>39615</v>
      </c>
      <c r="H5000" s="4" t="s">
        <v>40</v>
      </c>
      <c r="I5000" s="6">
        <v>200000</v>
      </c>
      <c r="J5000" s="6">
        <v>50000</v>
      </c>
      <c r="K5000" s="38" t="s">
        <v>8348</v>
      </c>
      <c r="L5000" s="119"/>
      <c r="M5000" s="3"/>
    </row>
    <row r="5001" spans="1:13" s="4" customFormat="1" x14ac:dyDescent="0.25">
      <c r="A5001" s="4" t="s">
        <v>8433</v>
      </c>
      <c r="B5001" s="4" t="s">
        <v>90</v>
      </c>
      <c r="C5001" s="38" t="s">
        <v>8348</v>
      </c>
      <c r="D5001" s="35">
        <v>428</v>
      </c>
      <c r="E5001" s="4" t="s">
        <v>8434</v>
      </c>
      <c r="F5001" s="5">
        <v>39430</v>
      </c>
      <c r="G5001" s="5">
        <v>39588</v>
      </c>
      <c r="H5001" s="4" t="s">
        <v>40</v>
      </c>
      <c r="I5001" s="6">
        <v>7316.62</v>
      </c>
      <c r="J5001" s="6">
        <v>3658.31</v>
      </c>
      <c r="K5001" s="38" t="s">
        <v>8348</v>
      </c>
      <c r="L5001" s="119"/>
      <c r="M5001" s="3"/>
    </row>
    <row r="5002" spans="1:13" s="4" customFormat="1" ht="25.5" x14ac:dyDescent="0.25">
      <c r="A5002" s="4" t="s">
        <v>8435</v>
      </c>
      <c r="B5002" s="4" t="s">
        <v>50</v>
      </c>
      <c r="C5002" s="38" t="s">
        <v>8348</v>
      </c>
      <c r="D5002" s="35">
        <v>429</v>
      </c>
      <c r="E5002" s="4" t="s">
        <v>8436</v>
      </c>
      <c r="F5002" s="5">
        <v>39505</v>
      </c>
      <c r="G5002" s="5">
        <v>40129</v>
      </c>
      <c r="H5002" s="4" t="s">
        <v>40</v>
      </c>
      <c r="I5002" s="6">
        <v>4655.6400000000003</v>
      </c>
      <c r="J5002" s="6">
        <v>2327.8200000000002</v>
      </c>
      <c r="K5002" s="38" t="s">
        <v>8348</v>
      </c>
      <c r="L5002" s="119"/>
      <c r="M5002" s="3"/>
    </row>
    <row r="5003" spans="1:13" s="4" customFormat="1" x14ac:dyDescent="0.25">
      <c r="A5003" s="4" t="s">
        <v>8437</v>
      </c>
      <c r="B5003" s="4" t="s">
        <v>3197</v>
      </c>
      <c r="C5003" s="38" t="s">
        <v>8348</v>
      </c>
      <c r="D5003" s="35">
        <v>430</v>
      </c>
      <c r="E5003" s="4" t="s">
        <v>8438</v>
      </c>
      <c r="F5003" s="5">
        <v>39505</v>
      </c>
      <c r="G5003" s="5">
        <v>39652</v>
      </c>
      <c r="H5003" s="4" t="s">
        <v>40</v>
      </c>
      <c r="I5003" s="6">
        <v>6900</v>
      </c>
      <c r="J5003" s="6">
        <v>3450</v>
      </c>
      <c r="K5003" s="38" t="s">
        <v>8348</v>
      </c>
      <c r="L5003" s="119"/>
      <c r="M5003" s="3"/>
    </row>
    <row r="5004" spans="1:13" s="4" customFormat="1" x14ac:dyDescent="0.25">
      <c r="A5004" s="4" t="s">
        <v>8439</v>
      </c>
      <c r="B5004" s="4" t="s">
        <v>50</v>
      </c>
      <c r="C5004" s="38" t="s">
        <v>8348</v>
      </c>
      <c r="D5004" s="35">
        <v>431</v>
      </c>
      <c r="E5004" s="4" t="s">
        <v>8440</v>
      </c>
      <c r="F5004" s="5">
        <v>39505</v>
      </c>
      <c r="G5004" s="5">
        <v>39798</v>
      </c>
      <c r="H5004" s="4" t="s">
        <v>40</v>
      </c>
      <c r="I5004" s="6">
        <v>16000</v>
      </c>
      <c r="J5004" s="6">
        <v>8000</v>
      </c>
      <c r="K5004" s="38" t="s">
        <v>8348</v>
      </c>
      <c r="L5004" s="119"/>
      <c r="M5004" s="3"/>
    </row>
    <row r="5005" spans="1:13" s="4" customFormat="1" x14ac:dyDescent="0.25">
      <c r="A5005" s="4" t="s">
        <v>8441</v>
      </c>
      <c r="B5005" s="4" t="s">
        <v>59</v>
      </c>
      <c r="C5005" s="38" t="s">
        <v>8348</v>
      </c>
      <c r="D5005" s="35">
        <v>432</v>
      </c>
      <c r="E5005" s="4" t="s">
        <v>8442</v>
      </c>
      <c r="F5005" s="5">
        <v>39505</v>
      </c>
      <c r="G5005" s="5">
        <v>39759</v>
      </c>
      <c r="H5005" s="4" t="s">
        <v>40</v>
      </c>
      <c r="I5005" s="6">
        <v>5000</v>
      </c>
      <c r="J5005" s="6">
        <v>5000</v>
      </c>
      <c r="K5005" s="38" t="s">
        <v>8348</v>
      </c>
      <c r="L5005" s="119"/>
      <c r="M5005" s="3"/>
    </row>
    <row r="5006" spans="1:13" s="4" customFormat="1" x14ac:dyDescent="0.25">
      <c r="A5006" s="4" t="s">
        <v>8443</v>
      </c>
      <c r="B5006" s="4" t="s">
        <v>90</v>
      </c>
      <c r="C5006" s="38" t="s">
        <v>8348</v>
      </c>
      <c r="D5006" s="35">
        <v>433</v>
      </c>
      <c r="E5006" s="4" t="s">
        <v>8444</v>
      </c>
      <c r="F5006" s="5">
        <v>39505</v>
      </c>
      <c r="G5006" s="5">
        <v>39715</v>
      </c>
      <c r="H5006" s="4" t="s">
        <v>40</v>
      </c>
      <c r="I5006" s="6">
        <v>6708.6</v>
      </c>
      <c r="J5006" s="6">
        <v>3354.3</v>
      </c>
      <c r="K5006" s="38" t="s">
        <v>8348</v>
      </c>
      <c r="L5006" s="119"/>
      <c r="M5006" s="3"/>
    </row>
    <row r="5007" spans="1:13" s="4" customFormat="1" x14ac:dyDescent="0.25">
      <c r="A5007" s="4" t="s">
        <v>8445</v>
      </c>
      <c r="B5007" s="4" t="s">
        <v>50</v>
      </c>
      <c r="C5007" s="38" t="s">
        <v>8348</v>
      </c>
      <c r="D5007" s="35">
        <v>434</v>
      </c>
      <c r="E5007" s="4" t="s">
        <v>8446</v>
      </c>
      <c r="F5007" s="5">
        <v>39505</v>
      </c>
      <c r="G5007" s="5">
        <v>39567</v>
      </c>
      <c r="H5007" s="4" t="s">
        <v>40</v>
      </c>
      <c r="I5007" s="6">
        <v>16000</v>
      </c>
      <c r="J5007" s="6">
        <v>8000</v>
      </c>
      <c r="K5007" s="38" t="s">
        <v>8348</v>
      </c>
      <c r="L5007" s="119"/>
      <c r="M5007" s="3"/>
    </row>
    <row r="5008" spans="1:13" s="4" customFormat="1" x14ac:dyDescent="0.25">
      <c r="A5008" s="4" t="s">
        <v>8447</v>
      </c>
      <c r="B5008" s="4" t="s">
        <v>50</v>
      </c>
      <c r="C5008" s="38" t="s">
        <v>8348</v>
      </c>
      <c r="D5008" s="35">
        <v>435</v>
      </c>
      <c r="E5008" s="4" t="s">
        <v>8448</v>
      </c>
      <c r="F5008" s="5">
        <v>39577</v>
      </c>
      <c r="G5008" s="5">
        <v>39659</v>
      </c>
      <c r="H5008" s="4" t="s">
        <v>40</v>
      </c>
      <c r="I5008" s="6">
        <v>733.84</v>
      </c>
      <c r="J5008" s="6">
        <v>366.9</v>
      </c>
      <c r="K5008" s="38" t="s">
        <v>8348</v>
      </c>
      <c r="L5008" s="119"/>
      <c r="M5008" s="3"/>
    </row>
    <row r="5009" spans="1:13" s="4" customFormat="1" x14ac:dyDescent="0.25">
      <c r="A5009" s="4" t="s">
        <v>8449</v>
      </c>
      <c r="B5009" s="4" t="s">
        <v>50</v>
      </c>
      <c r="C5009" s="38" t="s">
        <v>8348</v>
      </c>
      <c r="D5009" s="35">
        <v>436</v>
      </c>
      <c r="E5009" s="4" t="s">
        <v>3256</v>
      </c>
      <c r="F5009" s="5">
        <v>39624</v>
      </c>
      <c r="G5009" s="5">
        <v>39721</v>
      </c>
      <c r="H5009" s="4" t="s">
        <v>40</v>
      </c>
      <c r="I5009" s="6">
        <v>90000</v>
      </c>
      <c r="J5009" s="6">
        <v>45000</v>
      </c>
      <c r="K5009" s="38" t="s">
        <v>8348</v>
      </c>
      <c r="L5009" s="119"/>
      <c r="M5009" s="3"/>
    </row>
    <row r="5010" spans="1:13" s="4" customFormat="1" x14ac:dyDescent="0.25">
      <c r="A5010" s="4" t="s">
        <v>8450</v>
      </c>
      <c r="B5010" s="4" t="s">
        <v>59</v>
      </c>
      <c r="C5010" s="38" t="s">
        <v>8348</v>
      </c>
      <c r="D5010" s="35">
        <v>437</v>
      </c>
      <c r="E5010" s="4" t="s">
        <v>8451</v>
      </c>
      <c r="F5010" s="5">
        <v>39624</v>
      </c>
      <c r="G5010" s="5">
        <v>39868</v>
      </c>
      <c r="H5010" s="4" t="s">
        <v>40</v>
      </c>
      <c r="I5010" s="6">
        <v>7500</v>
      </c>
      <c r="J5010" s="6">
        <v>7500</v>
      </c>
      <c r="K5010" s="38" t="s">
        <v>8348</v>
      </c>
      <c r="L5010" s="119"/>
      <c r="M5010" s="3"/>
    </row>
    <row r="5011" spans="1:13" s="4" customFormat="1" x14ac:dyDescent="0.25">
      <c r="A5011" s="4" t="s">
        <v>8452</v>
      </c>
      <c r="B5011" s="4" t="s">
        <v>59</v>
      </c>
      <c r="C5011" s="38" t="s">
        <v>8348</v>
      </c>
      <c r="D5011" s="35">
        <v>439</v>
      </c>
      <c r="E5011" s="4" t="s">
        <v>8453</v>
      </c>
      <c r="F5011" s="5">
        <v>39624</v>
      </c>
      <c r="G5011" s="5">
        <v>39814</v>
      </c>
      <c r="H5011" s="4" t="s">
        <v>40</v>
      </c>
      <c r="I5011" s="6">
        <v>7500</v>
      </c>
      <c r="J5011" s="6">
        <v>7500</v>
      </c>
      <c r="K5011" s="38" t="s">
        <v>8348</v>
      </c>
      <c r="L5011" s="119"/>
      <c r="M5011" s="3"/>
    </row>
    <row r="5012" spans="1:13" s="4" customFormat="1" x14ac:dyDescent="0.25">
      <c r="A5012" s="4" t="s">
        <v>8454</v>
      </c>
      <c r="B5012" s="4" t="s">
        <v>59</v>
      </c>
      <c r="C5012" s="38" t="s">
        <v>8348</v>
      </c>
      <c r="D5012" s="35">
        <v>440</v>
      </c>
      <c r="E5012" s="4" t="s">
        <v>8455</v>
      </c>
      <c r="F5012" s="5">
        <v>39659</v>
      </c>
      <c r="G5012" s="5">
        <v>39891</v>
      </c>
      <c r="H5012" s="4" t="s">
        <v>40</v>
      </c>
      <c r="I5012" s="6">
        <v>7500</v>
      </c>
      <c r="J5012" s="6">
        <v>7500</v>
      </c>
      <c r="K5012" s="38" t="s">
        <v>8348</v>
      </c>
      <c r="L5012" s="119"/>
      <c r="M5012" s="3"/>
    </row>
    <row r="5013" spans="1:13" s="4" customFormat="1" x14ac:dyDescent="0.25">
      <c r="A5013" s="4" t="s">
        <v>8456</v>
      </c>
      <c r="B5013" s="4" t="s">
        <v>59</v>
      </c>
      <c r="C5013" s="38" t="s">
        <v>8348</v>
      </c>
      <c r="D5013" s="35">
        <v>441</v>
      </c>
      <c r="E5013" s="4" t="s">
        <v>8457</v>
      </c>
      <c r="F5013" s="5">
        <v>39659</v>
      </c>
      <c r="G5013" s="5">
        <v>39897</v>
      </c>
      <c r="H5013" s="4" t="s">
        <v>40</v>
      </c>
      <c r="I5013" s="6">
        <v>7500</v>
      </c>
      <c r="J5013" s="6">
        <v>7500</v>
      </c>
      <c r="K5013" s="38" t="s">
        <v>8348</v>
      </c>
      <c r="L5013" s="119"/>
      <c r="M5013" s="3"/>
    </row>
    <row r="5014" spans="1:13" s="4" customFormat="1" x14ac:dyDescent="0.25">
      <c r="A5014" s="4" t="s">
        <v>8458</v>
      </c>
      <c r="B5014" s="4" t="s">
        <v>59</v>
      </c>
      <c r="C5014" s="38" t="s">
        <v>8348</v>
      </c>
      <c r="D5014" s="35">
        <v>442</v>
      </c>
      <c r="E5014" s="4" t="s">
        <v>8459</v>
      </c>
      <c r="F5014" s="5">
        <v>39659</v>
      </c>
      <c r="G5014" s="5">
        <v>39883</v>
      </c>
      <c r="H5014" s="4" t="s">
        <v>40</v>
      </c>
      <c r="I5014" s="6">
        <v>7500</v>
      </c>
      <c r="J5014" s="6">
        <v>7500</v>
      </c>
      <c r="K5014" s="38" t="s">
        <v>8348</v>
      </c>
      <c r="L5014" s="119"/>
      <c r="M5014" s="3"/>
    </row>
    <row r="5015" spans="1:13" s="4" customFormat="1" ht="25.5" x14ac:dyDescent="0.25">
      <c r="A5015" s="4" t="s">
        <v>8460</v>
      </c>
      <c r="B5015" s="4" t="s">
        <v>90</v>
      </c>
      <c r="C5015" s="38" t="s">
        <v>8348</v>
      </c>
      <c r="D5015" s="35">
        <v>443</v>
      </c>
      <c r="E5015" s="4" t="s">
        <v>8461</v>
      </c>
      <c r="F5015" s="5">
        <v>39814</v>
      </c>
      <c r="G5015" s="5">
        <v>39867</v>
      </c>
      <c r="H5015" s="4" t="s">
        <v>40</v>
      </c>
      <c r="I5015" s="6">
        <v>5130.3999999999996</v>
      </c>
      <c r="J5015" s="6">
        <v>2565.1999999999998</v>
      </c>
      <c r="K5015" s="38" t="s">
        <v>8348</v>
      </c>
      <c r="L5015" s="119"/>
      <c r="M5015" s="3"/>
    </row>
    <row r="5016" spans="1:13" s="4" customFormat="1" ht="25.5" x14ac:dyDescent="0.25">
      <c r="A5016" s="4" t="s">
        <v>4075</v>
      </c>
      <c r="B5016" s="4" t="s">
        <v>38</v>
      </c>
      <c r="C5016" s="38" t="s">
        <v>8348</v>
      </c>
      <c r="D5016" s="35">
        <v>454</v>
      </c>
      <c r="E5016" s="4" t="s">
        <v>8464</v>
      </c>
      <c r="F5016" s="5">
        <v>39083</v>
      </c>
      <c r="G5016" s="5">
        <v>39813</v>
      </c>
      <c r="H5016" s="4" t="s">
        <v>40</v>
      </c>
      <c r="I5016" s="6">
        <v>115946.86</v>
      </c>
      <c r="J5016" s="6">
        <v>57973.43</v>
      </c>
      <c r="K5016" s="38" t="s">
        <v>8348</v>
      </c>
      <c r="L5016" s="119"/>
      <c r="M5016" s="3"/>
    </row>
    <row r="5017" spans="1:13" s="4" customFormat="1" ht="25.5" x14ac:dyDescent="0.25">
      <c r="A5017" s="4" t="s">
        <v>8465</v>
      </c>
      <c r="B5017" s="4" t="s">
        <v>38</v>
      </c>
      <c r="C5017" s="38" t="s">
        <v>8348</v>
      </c>
      <c r="D5017" s="35">
        <v>455</v>
      </c>
      <c r="E5017" s="4" t="s">
        <v>8466</v>
      </c>
      <c r="F5017" s="5">
        <v>39083</v>
      </c>
      <c r="G5017" s="5">
        <v>39813</v>
      </c>
      <c r="H5017" s="4" t="s">
        <v>40</v>
      </c>
      <c r="I5017" s="6">
        <v>16144.64</v>
      </c>
      <c r="J5017" s="6">
        <v>16144.64</v>
      </c>
      <c r="K5017" s="38" t="s">
        <v>8348</v>
      </c>
      <c r="L5017" s="119"/>
      <c r="M5017" s="3"/>
    </row>
    <row r="5018" spans="1:13" s="4" customFormat="1" ht="25.5" x14ac:dyDescent="0.25">
      <c r="A5018" s="4" t="s">
        <v>3252</v>
      </c>
      <c r="B5018" s="4" t="s">
        <v>38</v>
      </c>
      <c r="C5018" s="38" t="s">
        <v>8348</v>
      </c>
      <c r="D5018" s="35">
        <v>456</v>
      </c>
      <c r="E5018" s="4" t="s">
        <v>8467</v>
      </c>
      <c r="F5018" s="5">
        <v>39083</v>
      </c>
      <c r="G5018" s="5">
        <v>39813</v>
      </c>
      <c r="H5018" s="4" t="s">
        <v>40</v>
      </c>
      <c r="I5018" s="6">
        <v>16531.46</v>
      </c>
      <c r="J5018" s="6">
        <v>16531.46</v>
      </c>
      <c r="K5018" s="38" t="s">
        <v>8348</v>
      </c>
      <c r="L5018" s="119"/>
      <c r="M5018" s="3"/>
    </row>
    <row r="5019" spans="1:13" s="4" customFormat="1" ht="25.5" x14ac:dyDescent="0.25">
      <c r="A5019" s="4" t="s">
        <v>8468</v>
      </c>
      <c r="B5019" s="4" t="s">
        <v>38</v>
      </c>
      <c r="C5019" s="38" t="s">
        <v>8348</v>
      </c>
      <c r="D5019" s="35">
        <v>457</v>
      </c>
      <c r="E5019" s="4" t="s">
        <v>8469</v>
      </c>
      <c r="F5019" s="5">
        <v>39083</v>
      </c>
      <c r="G5019" s="5">
        <v>39813</v>
      </c>
      <c r="H5019" s="4" t="s">
        <v>40</v>
      </c>
      <c r="I5019" s="6">
        <v>6724.04</v>
      </c>
      <c r="J5019" s="6">
        <v>3362.02</v>
      </c>
      <c r="K5019" s="38" t="s">
        <v>8348</v>
      </c>
      <c r="L5019" s="119"/>
      <c r="M5019" s="3"/>
    </row>
    <row r="5020" spans="1:13" s="4" customFormat="1" ht="25.5" x14ac:dyDescent="0.25">
      <c r="A5020" s="4" t="s">
        <v>8470</v>
      </c>
      <c r="B5020" s="4" t="s">
        <v>38</v>
      </c>
      <c r="C5020" s="38" t="s">
        <v>8348</v>
      </c>
      <c r="D5020" s="35">
        <v>458</v>
      </c>
      <c r="E5020" s="4" t="s">
        <v>8471</v>
      </c>
      <c r="F5020" s="5">
        <v>39083</v>
      </c>
      <c r="G5020" s="5">
        <v>39813</v>
      </c>
      <c r="H5020" s="4" t="s">
        <v>40</v>
      </c>
      <c r="I5020" s="6">
        <v>22470</v>
      </c>
      <c r="J5020" s="6">
        <v>22470</v>
      </c>
      <c r="K5020" s="38" t="s">
        <v>8348</v>
      </c>
      <c r="L5020" s="119"/>
      <c r="M5020" s="3"/>
    </row>
    <row r="5021" spans="1:13" s="4" customFormat="1" ht="25.5" x14ac:dyDescent="0.25">
      <c r="A5021" s="4" t="s">
        <v>8472</v>
      </c>
      <c r="B5021" s="4" t="s">
        <v>38</v>
      </c>
      <c r="C5021" s="38" t="s">
        <v>8348</v>
      </c>
      <c r="D5021" s="35">
        <v>459</v>
      </c>
      <c r="E5021" s="4" t="s">
        <v>8473</v>
      </c>
      <c r="F5021" s="5">
        <v>39083</v>
      </c>
      <c r="G5021" s="5">
        <v>39813</v>
      </c>
      <c r="H5021" s="4" t="s">
        <v>40</v>
      </c>
      <c r="I5021" s="6">
        <v>85041.2</v>
      </c>
      <c r="J5021" s="6">
        <v>85041.2</v>
      </c>
      <c r="K5021" s="38" t="s">
        <v>8348</v>
      </c>
      <c r="L5021" s="119"/>
      <c r="M5021" s="3"/>
    </row>
    <row r="5022" spans="1:13" s="4" customFormat="1" ht="25.5" x14ac:dyDescent="0.25">
      <c r="A5022" s="4" t="s">
        <v>8474</v>
      </c>
      <c r="B5022" s="4" t="s">
        <v>38</v>
      </c>
      <c r="C5022" s="38" t="s">
        <v>8348</v>
      </c>
      <c r="D5022" s="35">
        <v>460</v>
      </c>
      <c r="E5022" s="4" t="s">
        <v>8475</v>
      </c>
      <c r="F5022" s="5">
        <v>39083</v>
      </c>
      <c r="G5022" s="5">
        <v>39813</v>
      </c>
      <c r="H5022" s="4" t="s">
        <v>40</v>
      </c>
      <c r="I5022" s="6">
        <v>12278.5</v>
      </c>
      <c r="J5022" s="6">
        <v>12278.5</v>
      </c>
      <c r="K5022" s="38" t="s">
        <v>8348</v>
      </c>
      <c r="L5022" s="119"/>
      <c r="M5022" s="3"/>
    </row>
    <row r="5023" spans="1:13" s="4" customFormat="1" ht="25.5" x14ac:dyDescent="0.25">
      <c r="A5023" s="4" t="s">
        <v>8476</v>
      </c>
      <c r="B5023" s="4" t="s">
        <v>38</v>
      </c>
      <c r="C5023" s="38" t="s">
        <v>8348</v>
      </c>
      <c r="D5023" s="35">
        <v>461</v>
      </c>
      <c r="E5023" s="4" t="s">
        <v>8477</v>
      </c>
      <c r="F5023" s="5">
        <v>39083</v>
      </c>
      <c r="G5023" s="5">
        <v>39447</v>
      </c>
      <c r="H5023" s="4" t="s">
        <v>40</v>
      </c>
      <c r="I5023" s="6">
        <v>1500.4</v>
      </c>
      <c r="J5023" s="6">
        <v>1500.4</v>
      </c>
      <c r="K5023" s="38" t="s">
        <v>8348</v>
      </c>
      <c r="L5023" s="119"/>
      <c r="M5023" s="3"/>
    </row>
    <row r="5024" spans="1:13" s="4" customFormat="1" ht="25.5" x14ac:dyDescent="0.25">
      <c r="A5024" s="4" t="s">
        <v>8478</v>
      </c>
      <c r="B5024" s="4" t="s">
        <v>38</v>
      </c>
      <c r="C5024" s="38" t="s">
        <v>8348</v>
      </c>
      <c r="D5024" s="35">
        <v>462</v>
      </c>
      <c r="E5024" s="4" t="s">
        <v>8479</v>
      </c>
      <c r="F5024" s="5">
        <v>39448</v>
      </c>
      <c r="G5024" s="5">
        <v>39813</v>
      </c>
      <c r="H5024" s="4" t="s">
        <v>40</v>
      </c>
      <c r="I5024" s="6">
        <v>900</v>
      </c>
      <c r="J5024" s="6">
        <v>900</v>
      </c>
      <c r="K5024" s="38" t="s">
        <v>8348</v>
      </c>
      <c r="L5024" s="119"/>
      <c r="M5024" s="3"/>
    </row>
    <row r="5025" spans="1:13" s="4" customFormat="1" ht="25.5" x14ac:dyDescent="0.25">
      <c r="A5025" s="4" t="s">
        <v>8480</v>
      </c>
      <c r="B5025" s="4" t="s">
        <v>38</v>
      </c>
      <c r="C5025" s="38" t="s">
        <v>8348</v>
      </c>
      <c r="D5025" s="35">
        <v>463</v>
      </c>
      <c r="E5025" s="4" t="s">
        <v>8481</v>
      </c>
      <c r="F5025" s="5">
        <v>39448</v>
      </c>
      <c r="G5025" s="5">
        <v>39813</v>
      </c>
      <c r="H5025" s="4" t="s">
        <v>40</v>
      </c>
      <c r="I5025" s="6">
        <v>6269.5</v>
      </c>
      <c r="J5025" s="6">
        <v>6269.5</v>
      </c>
      <c r="K5025" s="38" t="s">
        <v>8348</v>
      </c>
      <c r="L5025" s="119"/>
      <c r="M5025" s="3"/>
    </row>
    <row r="5026" spans="1:13" s="4" customFormat="1" ht="25.5" x14ac:dyDescent="0.25">
      <c r="A5026" s="4" t="s">
        <v>8482</v>
      </c>
      <c r="B5026" s="4" t="s">
        <v>38</v>
      </c>
      <c r="C5026" s="38" t="s">
        <v>8348</v>
      </c>
      <c r="D5026" s="35">
        <v>464</v>
      </c>
      <c r="E5026" s="4" t="s">
        <v>8483</v>
      </c>
      <c r="F5026" s="5">
        <v>39448</v>
      </c>
      <c r="G5026" s="5">
        <v>39813</v>
      </c>
      <c r="H5026" s="4" t="s">
        <v>40</v>
      </c>
      <c r="I5026" s="6">
        <v>7941</v>
      </c>
      <c r="J5026" s="6">
        <v>7941</v>
      </c>
      <c r="K5026" s="38" t="s">
        <v>8348</v>
      </c>
      <c r="L5026" s="119"/>
      <c r="M5026" s="3"/>
    </row>
    <row r="5027" spans="1:13" s="4" customFormat="1" ht="38.25" x14ac:dyDescent="0.25">
      <c r="A5027" s="4" t="s">
        <v>8484</v>
      </c>
      <c r="B5027" s="4" t="s">
        <v>38</v>
      </c>
      <c r="C5027" s="38" t="s">
        <v>8348</v>
      </c>
      <c r="D5027" s="35">
        <v>465</v>
      </c>
      <c r="E5027" s="4" t="s">
        <v>8485</v>
      </c>
      <c r="F5027" s="5">
        <v>39083</v>
      </c>
      <c r="G5027" s="5">
        <v>39813</v>
      </c>
      <c r="H5027" s="4" t="s">
        <v>40</v>
      </c>
      <c r="I5027" s="6">
        <v>10100</v>
      </c>
      <c r="J5027" s="6">
        <v>10100</v>
      </c>
      <c r="K5027" s="38" t="s">
        <v>8348</v>
      </c>
      <c r="L5027" s="119"/>
      <c r="M5027" s="3"/>
    </row>
    <row r="5028" spans="1:13" s="4" customFormat="1" ht="25.5" x14ac:dyDescent="0.25">
      <c r="A5028" s="4" t="s">
        <v>8486</v>
      </c>
      <c r="B5028" s="4" t="s">
        <v>38</v>
      </c>
      <c r="C5028" s="38" t="s">
        <v>8348</v>
      </c>
      <c r="D5028" s="35">
        <v>466</v>
      </c>
      <c r="E5028" s="4" t="s">
        <v>8487</v>
      </c>
      <c r="F5028" s="5">
        <v>39083</v>
      </c>
      <c r="G5028" s="5">
        <v>39813</v>
      </c>
      <c r="H5028" s="4" t="s">
        <v>40</v>
      </c>
      <c r="I5028" s="6">
        <v>29987</v>
      </c>
      <c r="J5028" s="6">
        <v>29987</v>
      </c>
      <c r="K5028" s="38" t="s">
        <v>8348</v>
      </c>
      <c r="L5028" s="119"/>
      <c r="M5028" s="3"/>
    </row>
    <row r="5029" spans="1:13" s="4" customFormat="1" ht="25.5" x14ac:dyDescent="0.25">
      <c r="A5029" s="4" t="s">
        <v>8488</v>
      </c>
      <c r="B5029" s="4" t="s">
        <v>38</v>
      </c>
      <c r="C5029" s="38" t="s">
        <v>8348</v>
      </c>
      <c r="D5029" s="35">
        <v>467</v>
      </c>
      <c r="E5029" s="4" t="s">
        <v>8489</v>
      </c>
      <c r="F5029" s="5">
        <v>39083</v>
      </c>
      <c r="G5029" s="5">
        <v>39813</v>
      </c>
      <c r="H5029" s="4" t="s">
        <v>40</v>
      </c>
      <c r="I5029" s="6">
        <v>14413.85</v>
      </c>
      <c r="J5029" s="6">
        <v>14413.85</v>
      </c>
      <c r="K5029" s="38" t="s">
        <v>8348</v>
      </c>
      <c r="L5029" s="119"/>
      <c r="M5029" s="3"/>
    </row>
    <row r="5030" spans="1:13" s="4" customFormat="1" ht="25.5" x14ac:dyDescent="0.25">
      <c r="A5030" s="4" t="s">
        <v>5240</v>
      </c>
      <c r="B5030" s="4" t="s">
        <v>38</v>
      </c>
      <c r="C5030" s="38" t="s">
        <v>8348</v>
      </c>
      <c r="D5030" s="35">
        <v>468</v>
      </c>
      <c r="E5030" s="4" t="s">
        <v>8490</v>
      </c>
      <c r="F5030" s="5">
        <v>39083</v>
      </c>
      <c r="G5030" s="5">
        <v>39813</v>
      </c>
      <c r="H5030" s="4" t="s">
        <v>40</v>
      </c>
      <c r="I5030" s="6">
        <v>18573.97</v>
      </c>
      <c r="J5030" s="6">
        <v>18573.97</v>
      </c>
      <c r="K5030" s="38" t="s">
        <v>8348</v>
      </c>
      <c r="L5030" s="119"/>
      <c r="M5030" s="3"/>
    </row>
    <row r="5031" spans="1:13" s="4" customFormat="1" ht="25.5" x14ac:dyDescent="0.25">
      <c r="A5031" s="4" t="s">
        <v>8491</v>
      </c>
      <c r="B5031" s="4" t="s">
        <v>38</v>
      </c>
      <c r="C5031" s="38" t="s">
        <v>8348</v>
      </c>
      <c r="D5031" s="35">
        <v>469</v>
      </c>
      <c r="E5031" s="4" t="s">
        <v>8492</v>
      </c>
      <c r="F5031" s="5">
        <v>39448</v>
      </c>
      <c r="G5031" s="5">
        <v>39813</v>
      </c>
      <c r="H5031" s="4" t="s">
        <v>40</v>
      </c>
      <c r="I5031" s="6">
        <v>3150</v>
      </c>
      <c r="J5031" s="6">
        <v>3150</v>
      </c>
      <c r="K5031" s="38" t="s">
        <v>8348</v>
      </c>
      <c r="L5031" s="119"/>
      <c r="M5031" s="3"/>
    </row>
    <row r="5032" spans="1:13" s="4" customFormat="1" ht="25.5" x14ac:dyDescent="0.25">
      <c r="A5032" s="4" t="s">
        <v>8493</v>
      </c>
      <c r="B5032" s="4" t="s">
        <v>38</v>
      </c>
      <c r="C5032" s="38" t="s">
        <v>8348</v>
      </c>
      <c r="D5032" s="35">
        <v>470</v>
      </c>
      <c r="E5032" s="4" t="s">
        <v>8494</v>
      </c>
      <c r="F5032" s="5">
        <v>39083</v>
      </c>
      <c r="G5032" s="5">
        <v>39447</v>
      </c>
      <c r="H5032" s="4" t="s">
        <v>40</v>
      </c>
      <c r="I5032" s="6">
        <v>11026.95</v>
      </c>
      <c r="J5032" s="6">
        <v>11026.95</v>
      </c>
      <c r="K5032" s="38" t="s">
        <v>8348</v>
      </c>
      <c r="L5032" s="119"/>
      <c r="M5032" s="3"/>
    </row>
    <row r="5033" spans="1:13" s="4" customFormat="1" ht="25.5" x14ac:dyDescent="0.25">
      <c r="A5033" s="4" t="s">
        <v>8495</v>
      </c>
      <c r="B5033" s="4" t="s">
        <v>38</v>
      </c>
      <c r="C5033" s="38" t="s">
        <v>8348</v>
      </c>
      <c r="D5033" s="35">
        <v>471</v>
      </c>
      <c r="E5033" s="4" t="s">
        <v>8496</v>
      </c>
      <c r="F5033" s="5">
        <v>39083</v>
      </c>
      <c r="G5033" s="5">
        <v>39447</v>
      </c>
      <c r="H5033" s="4" t="s">
        <v>40</v>
      </c>
      <c r="I5033" s="6">
        <v>10850</v>
      </c>
      <c r="J5033" s="6">
        <v>10850</v>
      </c>
      <c r="K5033" s="38" t="s">
        <v>8348</v>
      </c>
      <c r="L5033" s="119"/>
      <c r="M5033" s="3"/>
    </row>
    <row r="5034" spans="1:13" s="4" customFormat="1" ht="25.5" x14ac:dyDescent="0.25">
      <c r="A5034" s="4" t="s">
        <v>8497</v>
      </c>
      <c r="B5034" s="4" t="s">
        <v>38</v>
      </c>
      <c r="C5034" s="38" t="s">
        <v>8348</v>
      </c>
      <c r="D5034" s="35">
        <v>472</v>
      </c>
      <c r="E5034" s="4" t="s">
        <v>8498</v>
      </c>
      <c r="F5034" s="5">
        <v>39083</v>
      </c>
      <c r="G5034" s="5">
        <v>39813</v>
      </c>
      <c r="H5034" s="4" t="s">
        <v>40</v>
      </c>
      <c r="I5034" s="6">
        <v>4969.63</v>
      </c>
      <c r="J5034" s="6">
        <v>4969.63</v>
      </c>
      <c r="K5034" s="38" t="s">
        <v>8348</v>
      </c>
      <c r="L5034" s="119"/>
      <c r="M5034" s="3"/>
    </row>
    <row r="5035" spans="1:13" s="4" customFormat="1" ht="25.5" x14ac:dyDescent="0.25">
      <c r="A5035" s="4" t="s">
        <v>8499</v>
      </c>
      <c r="B5035" s="4" t="s">
        <v>38</v>
      </c>
      <c r="C5035" s="38" t="s">
        <v>8348</v>
      </c>
      <c r="D5035" s="35">
        <v>473</v>
      </c>
      <c r="E5035" s="4" t="s">
        <v>8500</v>
      </c>
      <c r="F5035" s="5">
        <v>39083</v>
      </c>
      <c r="G5035" s="5">
        <v>39813</v>
      </c>
      <c r="H5035" s="4" t="s">
        <v>40</v>
      </c>
      <c r="I5035" s="6">
        <v>4000</v>
      </c>
      <c r="J5035" s="6">
        <v>4000</v>
      </c>
      <c r="K5035" s="38" t="s">
        <v>8348</v>
      </c>
      <c r="L5035" s="119"/>
      <c r="M5035" s="3"/>
    </row>
    <row r="5036" spans="1:13" s="4" customFormat="1" ht="25.5" x14ac:dyDescent="0.25">
      <c r="A5036" s="4" t="s">
        <v>8501</v>
      </c>
      <c r="B5036" s="4" t="s">
        <v>38</v>
      </c>
      <c r="C5036" s="38" t="s">
        <v>8348</v>
      </c>
      <c r="D5036" s="35">
        <v>474</v>
      </c>
      <c r="E5036" s="4" t="s">
        <v>8502</v>
      </c>
      <c r="F5036" s="5">
        <v>39083</v>
      </c>
      <c r="G5036" s="5">
        <v>39813</v>
      </c>
      <c r="H5036" s="4" t="s">
        <v>40</v>
      </c>
      <c r="I5036" s="6">
        <v>12935</v>
      </c>
      <c r="J5036" s="6">
        <v>12935</v>
      </c>
      <c r="K5036" s="38" t="s">
        <v>8348</v>
      </c>
      <c r="L5036" s="119"/>
      <c r="M5036" s="3"/>
    </row>
    <row r="5037" spans="1:13" s="4" customFormat="1" ht="25.5" x14ac:dyDescent="0.25">
      <c r="A5037" s="4" t="s">
        <v>8503</v>
      </c>
      <c r="B5037" s="4" t="s">
        <v>38</v>
      </c>
      <c r="C5037" s="38" t="s">
        <v>8348</v>
      </c>
      <c r="D5037" s="35">
        <v>475</v>
      </c>
      <c r="E5037" s="4" t="s">
        <v>8504</v>
      </c>
      <c r="F5037" s="5">
        <v>39083</v>
      </c>
      <c r="G5037" s="5">
        <v>39813</v>
      </c>
      <c r="H5037" s="4" t="s">
        <v>40</v>
      </c>
      <c r="I5037" s="6">
        <v>4122.5</v>
      </c>
      <c r="J5037" s="6">
        <v>4122.5</v>
      </c>
      <c r="K5037" s="38" t="s">
        <v>8348</v>
      </c>
      <c r="L5037" s="119"/>
      <c r="M5037" s="3"/>
    </row>
    <row r="5038" spans="1:13" s="4" customFormat="1" ht="25.5" x14ac:dyDescent="0.25">
      <c r="A5038" s="4" t="s">
        <v>8505</v>
      </c>
      <c r="B5038" s="4" t="s">
        <v>38</v>
      </c>
      <c r="C5038" s="38" t="s">
        <v>8348</v>
      </c>
      <c r="D5038" s="35">
        <v>477</v>
      </c>
      <c r="E5038" s="4" t="s">
        <v>8505</v>
      </c>
      <c r="F5038" s="5">
        <v>39083</v>
      </c>
      <c r="G5038" s="5">
        <v>39447</v>
      </c>
      <c r="H5038" s="4" t="s">
        <v>40</v>
      </c>
      <c r="I5038" s="6">
        <v>2204.25</v>
      </c>
      <c r="J5038" s="6">
        <v>2204.25</v>
      </c>
      <c r="K5038" s="38" t="s">
        <v>8348</v>
      </c>
      <c r="L5038" s="119"/>
      <c r="M5038" s="3"/>
    </row>
    <row r="5039" spans="1:13" s="4" customFormat="1" ht="25.5" x14ac:dyDescent="0.25">
      <c r="A5039" s="4" t="s">
        <v>8506</v>
      </c>
      <c r="B5039" s="4" t="s">
        <v>38</v>
      </c>
      <c r="C5039" s="38" t="s">
        <v>8348</v>
      </c>
      <c r="D5039" s="35">
        <v>478</v>
      </c>
      <c r="E5039" s="4" t="s">
        <v>8506</v>
      </c>
      <c r="F5039" s="5">
        <v>39083</v>
      </c>
      <c r="G5039" s="5">
        <v>39447</v>
      </c>
      <c r="H5039" s="4" t="s">
        <v>40</v>
      </c>
      <c r="I5039" s="6">
        <v>350</v>
      </c>
      <c r="J5039" s="6">
        <v>350</v>
      </c>
      <c r="K5039" s="38" t="s">
        <v>8348</v>
      </c>
      <c r="L5039" s="119"/>
      <c r="M5039" s="3"/>
    </row>
    <row r="5040" spans="1:13" s="4" customFormat="1" ht="25.5" x14ac:dyDescent="0.25">
      <c r="A5040" s="4" t="s">
        <v>8507</v>
      </c>
      <c r="B5040" s="4" t="s">
        <v>38</v>
      </c>
      <c r="C5040" s="38" t="s">
        <v>8348</v>
      </c>
      <c r="D5040" s="35">
        <v>479</v>
      </c>
      <c r="E5040" s="4" t="s">
        <v>8508</v>
      </c>
      <c r="F5040" s="5">
        <v>39083</v>
      </c>
      <c r="G5040" s="5">
        <v>39813</v>
      </c>
      <c r="H5040" s="4" t="s">
        <v>40</v>
      </c>
      <c r="I5040" s="6">
        <v>3811.5</v>
      </c>
      <c r="J5040" s="6">
        <v>3811.5</v>
      </c>
      <c r="K5040" s="38" t="s">
        <v>8348</v>
      </c>
      <c r="L5040" s="119"/>
      <c r="M5040" s="3"/>
    </row>
    <row r="5041" spans="1:13" s="4" customFormat="1" ht="25.5" x14ac:dyDescent="0.25">
      <c r="A5041" s="4" t="s">
        <v>8509</v>
      </c>
      <c r="B5041" s="4" t="s">
        <v>38</v>
      </c>
      <c r="C5041" s="38" t="s">
        <v>8348</v>
      </c>
      <c r="D5041" s="35">
        <v>480</v>
      </c>
      <c r="E5041" s="4" t="s">
        <v>8510</v>
      </c>
      <c r="F5041" s="5">
        <v>39083</v>
      </c>
      <c r="G5041" s="5">
        <v>39813</v>
      </c>
      <c r="H5041" s="4" t="s">
        <v>40</v>
      </c>
      <c r="I5041" s="6">
        <v>5172.75</v>
      </c>
      <c r="J5041" s="6">
        <v>5172.75</v>
      </c>
      <c r="K5041" s="38" t="s">
        <v>8348</v>
      </c>
      <c r="L5041" s="119"/>
      <c r="M5041" s="3"/>
    </row>
    <row r="5042" spans="1:13" s="4" customFormat="1" ht="76.5" x14ac:dyDescent="0.25">
      <c r="A5042" s="4" t="s">
        <v>8511</v>
      </c>
      <c r="B5042" s="4" t="s">
        <v>38</v>
      </c>
      <c r="C5042" s="38" t="s">
        <v>8348</v>
      </c>
      <c r="D5042" s="35">
        <v>481</v>
      </c>
      <c r="E5042" s="4" t="s">
        <v>8512</v>
      </c>
      <c r="F5042" s="5">
        <v>39083</v>
      </c>
      <c r="G5042" s="5">
        <v>39813</v>
      </c>
      <c r="H5042" s="4" t="s">
        <v>40</v>
      </c>
      <c r="I5042" s="6">
        <v>13700.49</v>
      </c>
      <c r="J5042" s="6">
        <v>13700.49</v>
      </c>
      <c r="K5042" s="38" t="s">
        <v>8348</v>
      </c>
      <c r="L5042" s="119"/>
      <c r="M5042" s="3"/>
    </row>
    <row r="5043" spans="1:13" s="4" customFormat="1" ht="25.5" x14ac:dyDescent="0.25">
      <c r="A5043" s="4" t="s">
        <v>8515</v>
      </c>
      <c r="B5043" s="4" t="s">
        <v>38</v>
      </c>
      <c r="C5043" s="38" t="s">
        <v>8348</v>
      </c>
      <c r="D5043" s="35">
        <v>483</v>
      </c>
      <c r="E5043" s="4" t="s">
        <v>8516</v>
      </c>
      <c r="F5043" s="5">
        <v>39083</v>
      </c>
      <c r="G5043" s="5">
        <v>39813</v>
      </c>
      <c r="H5043" s="4" t="s">
        <v>40</v>
      </c>
      <c r="I5043" s="6">
        <v>2500</v>
      </c>
      <c r="J5043" s="6">
        <v>2500</v>
      </c>
      <c r="K5043" s="38" t="s">
        <v>8348</v>
      </c>
      <c r="L5043" s="119"/>
      <c r="M5043" s="3"/>
    </row>
    <row r="5044" spans="1:13" s="4" customFormat="1" ht="51" x14ac:dyDescent="0.25">
      <c r="A5044" s="4" t="s">
        <v>8517</v>
      </c>
      <c r="B5044" s="4" t="s">
        <v>38</v>
      </c>
      <c r="C5044" s="38" t="s">
        <v>8348</v>
      </c>
      <c r="D5044" s="35">
        <v>484</v>
      </c>
      <c r="E5044" s="4" t="s">
        <v>8518</v>
      </c>
      <c r="F5044" s="5">
        <v>39083</v>
      </c>
      <c r="G5044" s="5">
        <v>39813</v>
      </c>
      <c r="H5044" s="4" t="s">
        <v>40</v>
      </c>
      <c r="I5044" s="6">
        <v>19811.810000000001</v>
      </c>
      <c r="J5044" s="6">
        <v>19811.810000000001</v>
      </c>
      <c r="K5044" s="38" t="s">
        <v>8348</v>
      </c>
      <c r="L5044" s="119"/>
      <c r="M5044" s="3"/>
    </row>
    <row r="5045" spans="1:13" s="4" customFormat="1" ht="140.25" x14ac:dyDescent="0.25">
      <c r="A5045" s="4" t="s">
        <v>8519</v>
      </c>
      <c r="B5045" s="4" t="s">
        <v>38</v>
      </c>
      <c r="C5045" s="38" t="s">
        <v>8348</v>
      </c>
      <c r="D5045" s="35">
        <v>485</v>
      </c>
      <c r="E5045" s="7" t="s">
        <v>8520</v>
      </c>
      <c r="F5045" s="5">
        <v>39083</v>
      </c>
      <c r="G5045" s="5">
        <v>39813</v>
      </c>
      <c r="H5045" s="4" t="s">
        <v>40</v>
      </c>
      <c r="I5045" s="6">
        <v>15380.31</v>
      </c>
      <c r="J5045" s="6">
        <v>15380.31</v>
      </c>
      <c r="K5045" s="38" t="s">
        <v>8348</v>
      </c>
      <c r="L5045" s="119"/>
      <c r="M5045" s="3"/>
    </row>
    <row r="5046" spans="1:13" s="4" customFormat="1" ht="25.5" x14ac:dyDescent="0.25">
      <c r="A5046" s="4" t="s">
        <v>8521</v>
      </c>
      <c r="B5046" s="4" t="s">
        <v>38</v>
      </c>
      <c r="C5046" s="38" t="s">
        <v>8348</v>
      </c>
      <c r="D5046" s="35">
        <v>486</v>
      </c>
      <c r="E5046" s="4" t="s">
        <v>8522</v>
      </c>
      <c r="F5046" s="5">
        <v>39083</v>
      </c>
      <c r="G5046" s="5">
        <v>39813</v>
      </c>
      <c r="H5046" s="4" t="s">
        <v>40</v>
      </c>
      <c r="I5046" s="6">
        <v>27522.42</v>
      </c>
      <c r="J5046" s="6">
        <v>27522.42</v>
      </c>
      <c r="K5046" s="38" t="s">
        <v>8348</v>
      </c>
      <c r="L5046" s="119"/>
      <c r="M5046" s="3"/>
    </row>
    <row r="5047" spans="1:13" s="4" customFormat="1" ht="38.25" x14ac:dyDescent="0.25">
      <c r="A5047" s="4" t="s">
        <v>8523</v>
      </c>
      <c r="B5047" s="4" t="s">
        <v>38</v>
      </c>
      <c r="C5047" s="38" t="s">
        <v>8348</v>
      </c>
      <c r="D5047" s="35">
        <v>487</v>
      </c>
      <c r="E5047" s="4" t="s">
        <v>8524</v>
      </c>
      <c r="F5047" s="5">
        <v>39083</v>
      </c>
      <c r="G5047" s="5">
        <v>39813</v>
      </c>
      <c r="H5047" s="4" t="s">
        <v>40</v>
      </c>
      <c r="I5047" s="6">
        <v>15196.24</v>
      </c>
      <c r="J5047" s="6">
        <v>7598.12</v>
      </c>
      <c r="K5047" s="38" t="s">
        <v>8348</v>
      </c>
      <c r="L5047" s="119"/>
      <c r="M5047" s="3"/>
    </row>
    <row r="5048" spans="1:13" s="4" customFormat="1" ht="25.5" x14ac:dyDescent="0.25">
      <c r="A5048" s="4" t="s">
        <v>8525</v>
      </c>
      <c r="B5048" s="4" t="s">
        <v>38</v>
      </c>
      <c r="C5048" s="38" t="s">
        <v>8348</v>
      </c>
      <c r="D5048" s="35">
        <v>488</v>
      </c>
      <c r="E5048" s="4" t="s">
        <v>8526</v>
      </c>
      <c r="F5048" s="5">
        <v>39448</v>
      </c>
      <c r="G5048" s="5">
        <v>39813</v>
      </c>
      <c r="H5048" s="4" t="s">
        <v>40</v>
      </c>
      <c r="I5048" s="6">
        <v>30000</v>
      </c>
      <c r="J5048" s="6">
        <v>30000</v>
      </c>
      <c r="K5048" s="38" t="s">
        <v>8348</v>
      </c>
      <c r="L5048" s="119"/>
      <c r="M5048" s="3"/>
    </row>
    <row r="5049" spans="1:13" s="4" customFormat="1" ht="25.5" x14ac:dyDescent="0.25">
      <c r="A5049" s="4" t="s">
        <v>8527</v>
      </c>
      <c r="B5049" s="4" t="s">
        <v>38</v>
      </c>
      <c r="C5049" s="38" t="s">
        <v>8348</v>
      </c>
      <c r="D5049" s="35">
        <v>489</v>
      </c>
      <c r="E5049" s="4" t="s">
        <v>8528</v>
      </c>
      <c r="F5049" s="5">
        <v>39448</v>
      </c>
      <c r="G5049" s="5">
        <v>39813</v>
      </c>
      <c r="H5049" s="4" t="s">
        <v>40</v>
      </c>
      <c r="I5049" s="6">
        <v>2200</v>
      </c>
      <c r="J5049" s="6">
        <v>2200</v>
      </c>
      <c r="K5049" s="38" t="s">
        <v>8348</v>
      </c>
      <c r="L5049" s="119"/>
      <c r="M5049" s="3"/>
    </row>
    <row r="5050" spans="1:13" s="4" customFormat="1" ht="25.5" x14ac:dyDescent="0.25">
      <c r="A5050" s="4" t="s">
        <v>8529</v>
      </c>
      <c r="B5050" s="4" t="s">
        <v>38</v>
      </c>
      <c r="C5050" s="38" t="s">
        <v>8348</v>
      </c>
      <c r="D5050" s="35">
        <v>490</v>
      </c>
      <c r="E5050" s="4" t="s">
        <v>8530</v>
      </c>
      <c r="F5050" s="5">
        <v>39448</v>
      </c>
      <c r="G5050" s="5">
        <v>39813</v>
      </c>
      <c r="H5050" s="4" t="s">
        <v>40</v>
      </c>
      <c r="I5050" s="6">
        <v>689.6</v>
      </c>
      <c r="J5050" s="6">
        <v>689.6</v>
      </c>
      <c r="K5050" s="38" t="s">
        <v>8348</v>
      </c>
      <c r="L5050" s="119"/>
      <c r="M5050" s="3"/>
    </row>
    <row r="5051" spans="1:13" s="4" customFormat="1" ht="63.75" x14ac:dyDescent="0.25">
      <c r="A5051" s="4" t="s">
        <v>8531</v>
      </c>
      <c r="B5051" s="4" t="s">
        <v>38</v>
      </c>
      <c r="C5051" s="38" t="s">
        <v>8348</v>
      </c>
      <c r="D5051" s="35">
        <v>491</v>
      </c>
      <c r="E5051" s="4" t="s">
        <v>8532</v>
      </c>
      <c r="F5051" s="5">
        <v>39448</v>
      </c>
      <c r="G5051" s="5">
        <v>39813</v>
      </c>
      <c r="H5051" s="4" t="s">
        <v>40</v>
      </c>
      <c r="I5051" s="6">
        <v>1415</v>
      </c>
      <c r="J5051" s="6">
        <v>1415</v>
      </c>
      <c r="K5051" s="38" t="s">
        <v>8348</v>
      </c>
      <c r="L5051" s="119"/>
      <c r="M5051" s="3"/>
    </row>
    <row r="5052" spans="1:13" s="4" customFormat="1" ht="25.5" x14ac:dyDescent="0.25">
      <c r="A5052" s="4" t="s">
        <v>8533</v>
      </c>
      <c r="B5052" s="4" t="s">
        <v>38</v>
      </c>
      <c r="C5052" s="38" t="s">
        <v>8348</v>
      </c>
      <c r="D5052" s="35">
        <v>492</v>
      </c>
      <c r="E5052" s="4" t="s">
        <v>8533</v>
      </c>
      <c r="F5052" s="5">
        <v>39448</v>
      </c>
      <c r="G5052" s="5">
        <v>39813</v>
      </c>
      <c r="H5052" s="4" t="s">
        <v>40</v>
      </c>
      <c r="I5052" s="6">
        <v>730</v>
      </c>
      <c r="J5052" s="6">
        <v>730</v>
      </c>
      <c r="K5052" s="38" t="s">
        <v>8348</v>
      </c>
      <c r="L5052" s="119"/>
      <c r="M5052" s="3"/>
    </row>
    <row r="5053" spans="1:13" s="4" customFormat="1" ht="25.5" x14ac:dyDescent="0.25">
      <c r="A5053" s="4" t="s">
        <v>8534</v>
      </c>
      <c r="B5053" s="4" t="s">
        <v>38</v>
      </c>
      <c r="C5053" s="38" t="s">
        <v>8348</v>
      </c>
      <c r="D5053" s="35">
        <v>493</v>
      </c>
      <c r="E5053" s="4" t="s">
        <v>8534</v>
      </c>
      <c r="F5053" s="5">
        <v>39448</v>
      </c>
      <c r="G5053" s="5">
        <v>39813</v>
      </c>
      <c r="H5053" s="4" t="s">
        <v>40</v>
      </c>
      <c r="I5053" s="6">
        <v>1800</v>
      </c>
      <c r="J5053" s="6">
        <v>1800</v>
      </c>
      <c r="K5053" s="38" t="s">
        <v>8348</v>
      </c>
      <c r="L5053" s="119"/>
      <c r="M5053" s="3"/>
    </row>
    <row r="5054" spans="1:13" s="4" customFormat="1" ht="25.5" x14ac:dyDescent="0.25">
      <c r="A5054" s="4" t="s">
        <v>8535</v>
      </c>
      <c r="B5054" s="4" t="s">
        <v>38</v>
      </c>
      <c r="C5054" s="38" t="s">
        <v>8348</v>
      </c>
      <c r="D5054" s="35">
        <v>494</v>
      </c>
      <c r="E5054" s="4" t="s">
        <v>8536</v>
      </c>
      <c r="F5054" s="5">
        <v>39448</v>
      </c>
      <c r="G5054" s="5">
        <v>39813</v>
      </c>
      <c r="H5054" s="4" t="s">
        <v>40</v>
      </c>
      <c r="I5054" s="6">
        <v>255.53</v>
      </c>
      <c r="J5054" s="6">
        <v>255.53</v>
      </c>
      <c r="K5054" s="38" t="s">
        <v>8348</v>
      </c>
      <c r="L5054" s="119"/>
      <c r="M5054" s="3"/>
    </row>
    <row r="5055" spans="1:13" s="4" customFormat="1" ht="25.5" x14ac:dyDescent="0.25">
      <c r="A5055" s="4" t="s">
        <v>8537</v>
      </c>
      <c r="B5055" s="4" t="s">
        <v>38</v>
      </c>
      <c r="C5055" s="38" t="s">
        <v>8348</v>
      </c>
      <c r="D5055" s="35">
        <v>495</v>
      </c>
      <c r="E5055" s="4" t="s">
        <v>8537</v>
      </c>
      <c r="F5055" s="5">
        <v>39448</v>
      </c>
      <c r="G5055" s="5">
        <v>39813</v>
      </c>
      <c r="H5055" s="4" t="s">
        <v>40</v>
      </c>
      <c r="I5055" s="6">
        <v>2600</v>
      </c>
      <c r="J5055" s="6">
        <v>2600</v>
      </c>
      <c r="K5055" s="38" t="s">
        <v>8348</v>
      </c>
      <c r="L5055" s="119"/>
      <c r="M5055" s="3"/>
    </row>
    <row r="5056" spans="1:13" s="4" customFormat="1" x14ac:dyDescent="0.25">
      <c r="A5056" s="4" t="s">
        <v>8540</v>
      </c>
      <c r="B5056" s="4" t="s">
        <v>59</v>
      </c>
      <c r="C5056" s="38" t="s">
        <v>8348</v>
      </c>
      <c r="D5056" s="35">
        <v>4929</v>
      </c>
      <c r="E5056" s="4" t="s">
        <v>8451</v>
      </c>
      <c r="F5056" s="5">
        <v>39902</v>
      </c>
      <c r="G5056" s="5">
        <v>40073</v>
      </c>
      <c r="H5056" s="4" t="s">
        <v>40</v>
      </c>
      <c r="I5056" s="6">
        <v>5000</v>
      </c>
      <c r="J5056" s="6">
        <v>5000</v>
      </c>
      <c r="K5056" s="38" t="s">
        <v>8348</v>
      </c>
      <c r="L5056" s="119"/>
      <c r="M5056" s="3"/>
    </row>
    <row r="5057" spans="1:13" s="4" customFormat="1" x14ac:dyDescent="0.25">
      <c r="A5057" s="4" t="s">
        <v>8541</v>
      </c>
      <c r="B5057" s="4" t="s">
        <v>59</v>
      </c>
      <c r="C5057" s="38" t="s">
        <v>8348</v>
      </c>
      <c r="D5057" s="35">
        <v>4932</v>
      </c>
      <c r="E5057" s="4" t="s">
        <v>8542</v>
      </c>
      <c r="F5057" s="5">
        <v>39941</v>
      </c>
      <c r="G5057" s="5">
        <v>40107</v>
      </c>
      <c r="H5057" s="4" t="s">
        <v>40</v>
      </c>
      <c r="I5057" s="6">
        <v>7500</v>
      </c>
      <c r="J5057" s="6">
        <v>7500</v>
      </c>
      <c r="K5057" s="38" t="s">
        <v>8348</v>
      </c>
      <c r="L5057" s="119"/>
      <c r="M5057" s="3"/>
    </row>
    <row r="5058" spans="1:13" s="4" customFormat="1" x14ac:dyDescent="0.25">
      <c r="A5058" s="4" t="s">
        <v>8543</v>
      </c>
      <c r="B5058" s="4" t="s">
        <v>59</v>
      </c>
      <c r="C5058" s="38" t="s">
        <v>8348</v>
      </c>
      <c r="D5058" s="35">
        <v>4935</v>
      </c>
      <c r="E5058" s="4" t="s">
        <v>8544</v>
      </c>
      <c r="F5058" s="5">
        <v>39933</v>
      </c>
      <c r="G5058" s="5">
        <v>40116</v>
      </c>
      <c r="H5058" s="4" t="s">
        <v>40</v>
      </c>
      <c r="I5058" s="6">
        <v>7500</v>
      </c>
      <c r="J5058" s="6">
        <v>7500</v>
      </c>
      <c r="K5058" s="38" t="s">
        <v>8348</v>
      </c>
      <c r="L5058" s="119"/>
      <c r="M5058" s="3"/>
    </row>
    <row r="5059" spans="1:13" s="4" customFormat="1" x14ac:dyDescent="0.25">
      <c r="A5059" s="4" t="s">
        <v>8545</v>
      </c>
      <c r="B5059" s="4" t="s">
        <v>59</v>
      </c>
      <c r="C5059" s="38" t="s">
        <v>8348</v>
      </c>
      <c r="D5059" s="35">
        <v>4937</v>
      </c>
      <c r="E5059" s="4" t="s">
        <v>3202</v>
      </c>
      <c r="F5059" s="5">
        <v>39960</v>
      </c>
      <c r="G5059" s="5">
        <v>40144</v>
      </c>
      <c r="H5059" s="4" t="s">
        <v>40</v>
      </c>
      <c r="I5059" s="6">
        <v>7500</v>
      </c>
      <c r="J5059" s="6">
        <v>7500</v>
      </c>
      <c r="K5059" s="38" t="s">
        <v>8348</v>
      </c>
      <c r="L5059" s="119"/>
      <c r="M5059" s="3"/>
    </row>
    <row r="5060" spans="1:13" s="4" customFormat="1" x14ac:dyDescent="0.25">
      <c r="A5060" s="4" t="s">
        <v>8546</v>
      </c>
      <c r="B5060" s="4" t="s">
        <v>59</v>
      </c>
      <c r="C5060" s="38" t="s">
        <v>8348</v>
      </c>
      <c r="D5060" s="35">
        <v>4940</v>
      </c>
      <c r="E5060" s="4" t="s">
        <v>8547</v>
      </c>
      <c r="F5060" s="5">
        <v>39976</v>
      </c>
      <c r="G5060" s="5">
        <v>40262</v>
      </c>
      <c r="H5060" s="4" t="s">
        <v>40</v>
      </c>
      <c r="I5060" s="6">
        <v>7500</v>
      </c>
      <c r="J5060" s="6">
        <v>7500</v>
      </c>
      <c r="K5060" s="38" t="s">
        <v>8348</v>
      </c>
      <c r="L5060" s="119"/>
      <c r="M5060" s="3"/>
    </row>
    <row r="5061" spans="1:13" s="4" customFormat="1" x14ac:dyDescent="0.25">
      <c r="A5061" s="4" t="s">
        <v>8548</v>
      </c>
      <c r="B5061" s="4" t="s">
        <v>59</v>
      </c>
      <c r="C5061" s="38" t="s">
        <v>8348</v>
      </c>
      <c r="D5061" s="35">
        <v>5002</v>
      </c>
      <c r="E5061" s="4" t="s">
        <v>8549</v>
      </c>
      <c r="F5061" s="5">
        <v>40079</v>
      </c>
      <c r="G5061" s="5">
        <v>40287</v>
      </c>
      <c r="H5061" s="4" t="s">
        <v>40</v>
      </c>
      <c r="I5061" s="6">
        <v>7500</v>
      </c>
      <c r="J5061" s="6">
        <v>7500</v>
      </c>
      <c r="K5061" s="38" t="s">
        <v>8348</v>
      </c>
      <c r="L5061" s="119"/>
      <c r="M5061" s="3"/>
    </row>
    <row r="5062" spans="1:13" s="4" customFormat="1" x14ac:dyDescent="0.25">
      <c r="A5062" s="4" t="s">
        <v>8550</v>
      </c>
      <c r="B5062" s="4" t="s">
        <v>59</v>
      </c>
      <c r="C5062" s="38" t="s">
        <v>8348</v>
      </c>
      <c r="D5062" s="35">
        <v>5006</v>
      </c>
      <c r="E5062" s="4" t="s">
        <v>8551</v>
      </c>
      <c r="F5062" s="5">
        <v>40077</v>
      </c>
      <c r="G5062" s="5">
        <v>40303</v>
      </c>
      <c r="H5062" s="4" t="s">
        <v>40</v>
      </c>
      <c r="I5062" s="6">
        <v>9000</v>
      </c>
      <c r="J5062" s="6">
        <v>9000</v>
      </c>
      <c r="K5062" s="38" t="s">
        <v>8348</v>
      </c>
      <c r="L5062" s="119"/>
      <c r="M5062" s="3"/>
    </row>
    <row r="5063" spans="1:13" s="4" customFormat="1" x14ac:dyDescent="0.25">
      <c r="A5063" s="4" t="s">
        <v>8552</v>
      </c>
      <c r="B5063" s="4" t="s">
        <v>90</v>
      </c>
      <c r="C5063" s="38" t="s">
        <v>8348</v>
      </c>
      <c r="D5063" s="35">
        <v>5008</v>
      </c>
      <c r="E5063" s="4" t="s">
        <v>8553</v>
      </c>
      <c r="F5063" s="5">
        <v>40037</v>
      </c>
      <c r="G5063" s="5">
        <v>40037</v>
      </c>
      <c r="H5063" s="4" t="s">
        <v>40</v>
      </c>
      <c r="I5063" s="6">
        <v>1857.38</v>
      </c>
      <c r="J5063" s="6">
        <v>928.69</v>
      </c>
      <c r="K5063" s="38" t="s">
        <v>8348</v>
      </c>
      <c r="L5063" s="119"/>
      <c r="M5063" s="3"/>
    </row>
    <row r="5064" spans="1:13" s="4" customFormat="1" x14ac:dyDescent="0.25">
      <c r="A5064" s="4" t="s">
        <v>8554</v>
      </c>
      <c r="B5064" s="4" t="s">
        <v>50</v>
      </c>
      <c r="C5064" s="38" t="s">
        <v>8348</v>
      </c>
      <c r="D5064" s="35">
        <v>5012</v>
      </c>
      <c r="E5064" s="4" t="s">
        <v>8555</v>
      </c>
      <c r="F5064" s="5">
        <v>40070</v>
      </c>
      <c r="G5064" s="5">
        <v>40262</v>
      </c>
      <c r="H5064" s="4" t="s">
        <v>40</v>
      </c>
      <c r="I5064" s="6">
        <v>43546.8</v>
      </c>
      <c r="J5064" s="6">
        <v>21773.4</v>
      </c>
      <c r="K5064" s="38" t="s">
        <v>8348</v>
      </c>
      <c r="L5064" s="119"/>
      <c r="M5064" s="3"/>
    </row>
    <row r="5065" spans="1:13" s="4" customFormat="1" x14ac:dyDescent="0.25">
      <c r="A5065" s="4" t="s">
        <v>8556</v>
      </c>
      <c r="B5065" s="4" t="s">
        <v>90</v>
      </c>
      <c r="C5065" s="38" t="s">
        <v>8348</v>
      </c>
      <c r="D5065" s="35">
        <v>5014</v>
      </c>
      <c r="E5065" s="4" t="s">
        <v>8557</v>
      </c>
      <c r="F5065" s="5">
        <v>40050</v>
      </c>
      <c r="G5065" s="5">
        <v>40050</v>
      </c>
      <c r="H5065" s="4" t="s">
        <v>40</v>
      </c>
      <c r="I5065" s="6">
        <v>10504</v>
      </c>
      <c r="J5065" s="6">
        <v>5000</v>
      </c>
      <c r="K5065" s="38" t="s">
        <v>8348</v>
      </c>
      <c r="L5065" s="119"/>
      <c r="M5065" s="3"/>
    </row>
    <row r="5066" spans="1:13" s="4" customFormat="1" x14ac:dyDescent="0.25">
      <c r="A5066" s="4" t="s">
        <v>8558</v>
      </c>
      <c r="B5066" s="4" t="s">
        <v>90</v>
      </c>
      <c r="C5066" s="38" t="s">
        <v>8348</v>
      </c>
      <c r="D5066" s="35">
        <v>5015</v>
      </c>
      <c r="E5066" s="4" t="s">
        <v>8559</v>
      </c>
      <c r="F5066" s="5">
        <v>40056</v>
      </c>
      <c r="G5066" s="5">
        <v>40056</v>
      </c>
      <c r="H5066" s="4" t="s">
        <v>40</v>
      </c>
      <c r="I5066" s="6">
        <v>10000</v>
      </c>
      <c r="J5066" s="6">
        <v>2500</v>
      </c>
      <c r="K5066" s="38" t="s">
        <v>8348</v>
      </c>
      <c r="L5066" s="119"/>
      <c r="M5066" s="3"/>
    </row>
    <row r="5067" spans="1:13" s="4" customFormat="1" x14ac:dyDescent="0.25">
      <c r="A5067" s="4" t="s">
        <v>8562</v>
      </c>
      <c r="B5067" s="4" t="s">
        <v>59</v>
      </c>
      <c r="C5067" s="38" t="s">
        <v>8348</v>
      </c>
      <c r="D5067" s="35">
        <v>5036</v>
      </c>
      <c r="E5067" s="4" t="s">
        <v>8563</v>
      </c>
      <c r="F5067" s="5">
        <v>40092</v>
      </c>
      <c r="G5067" s="5">
        <v>40262</v>
      </c>
      <c r="H5067" s="4" t="s">
        <v>40</v>
      </c>
      <c r="I5067" s="6">
        <v>15000.09</v>
      </c>
      <c r="J5067" s="6">
        <v>15000.09</v>
      </c>
      <c r="K5067" s="38" t="s">
        <v>8348</v>
      </c>
      <c r="L5067" s="119"/>
      <c r="M5067" s="3"/>
    </row>
    <row r="5068" spans="1:13" s="4" customFormat="1" ht="38.25" x14ac:dyDescent="0.25">
      <c r="A5068" s="4" t="s">
        <v>8414</v>
      </c>
      <c r="B5068" s="4" t="s">
        <v>50</v>
      </c>
      <c r="C5068" s="38" t="s">
        <v>8348</v>
      </c>
      <c r="D5068" s="35">
        <v>5039</v>
      </c>
      <c r="E5068" s="4" t="s">
        <v>8564</v>
      </c>
      <c r="F5068" s="5">
        <v>40123</v>
      </c>
      <c r="G5068" s="5">
        <v>40123</v>
      </c>
      <c r="H5068" s="4" t="s">
        <v>40</v>
      </c>
      <c r="I5068" s="6">
        <v>6666.68</v>
      </c>
      <c r="J5068" s="6">
        <v>3333.34</v>
      </c>
      <c r="K5068" s="38" t="s">
        <v>8348</v>
      </c>
      <c r="L5068" s="119"/>
      <c r="M5068" s="3"/>
    </row>
    <row r="5069" spans="1:13" s="4" customFormat="1" x14ac:dyDescent="0.25">
      <c r="A5069" s="4" t="s">
        <v>8565</v>
      </c>
      <c r="B5069" s="4" t="s">
        <v>59</v>
      </c>
      <c r="C5069" s="38" t="s">
        <v>8348</v>
      </c>
      <c r="D5069" s="35">
        <v>5040</v>
      </c>
      <c r="E5069" s="4" t="s">
        <v>8549</v>
      </c>
      <c r="F5069" s="5">
        <v>40128</v>
      </c>
      <c r="G5069" s="5">
        <v>40318</v>
      </c>
      <c r="H5069" s="4" t="s">
        <v>40</v>
      </c>
      <c r="I5069" s="6">
        <v>3750</v>
      </c>
      <c r="J5069" s="6">
        <v>3750</v>
      </c>
      <c r="K5069" s="38" t="s">
        <v>8348</v>
      </c>
      <c r="L5069" s="119"/>
      <c r="M5069" s="3"/>
    </row>
    <row r="5070" spans="1:13" s="4" customFormat="1" x14ac:dyDescent="0.25">
      <c r="A5070" s="4" t="s">
        <v>8566</v>
      </c>
      <c r="B5070" s="4" t="s">
        <v>90</v>
      </c>
      <c r="C5070" s="38" t="s">
        <v>8348</v>
      </c>
      <c r="D5070" s="35">
        <v>5041</v>
      </c>
      <c r="E5070" s="4" t="s">
        <v>8567</v>
      </c>
      <c r="F5070" s="5">
        <v>40126</v>
      </c>
      <c r="G5070" s="5">
        <v>40529</v>
      </c>
      <c r="H5070" s="4" t="s">
        <v>40</v>
      </c>
      <c r="I5070" s="6">
        <v>8186.88</v>
      </c>
      <c r="J5070" s="6">
        <v>1528.07</v>
      </c>
      <c r="K5070" s="38" t="s">
        <v>8348</v>
      </c>
      <c r="L5070" s="119"/>
      <c r="M5070" s="3"/>
    </row>
    <row r="5071" spans="1:13" s="4" customFormat="1" x14ac:dyDescent="0.25">
      <c r="A5071" s="4" t="s">
        <v>8568</v>
      </c>
      <c r="B5071" s="4" t="s">
        <v>59</v>
      </c>
      <c r="C5071" s="38" t="s">
        <v>8348</v>
      </c>
      <c r="D5071" s="35">
        <v>5053</v>
      </c>
      <c r="E5071" s="4" t="s">
        <v>8569</v>
      </c>
      <c r="F5071" s="5">
        <v>40161</v>
      </c>
      <c r="G5071" s="5">
        <v>40318</v>
      </c>
      <c r="H5071" s="4" t="s">
        <v>40</v>
      </c>
      <c r="I5071" s="6">
        <v>7500</v>
      </c>
      <c r="J5071" s="6">
        <v>7500</v>
      </c>
      <c r="K5071" s="38" t="s">
        <v>8348</v>
      </c>
      <c r="L5071" s="119"/>
      <c r="M5071" s="3"/>
    </row>
    <row r="5072" spans="1:13" s="4" customFormat="1" x14ac:dyDescent="0.25">
      <c r="A5072" s="4" t="s">
        <v>8570</v>
      </c>
      <c r="B5072" s="4" t="s">
        <v>59</v>
      </c>
      <c r="C5072" s="38" t="s">
        <v>8348</v>
      </c>
      <c r="D5072" s="35">
        <v>5054</v>
      </c>
      <c r="E5072" s="4" t="s">
        <v>8571</v>
      </c>
      <c r="F5072" s="5">
        <v>40143</v>
      </c>
      <c r="G5072" s="5">
        <v>40430</v>
      </c>
      <c r="H5072" s="4" t="s">
        <v>40</v>
      </c>
      <c r="I5072" s="6">
        <v>11666.67</v>
      </c>
      <c r="J5072" s="6">
        <v>11666.67</v>
      </c>
      <c r="K5072" s="38" t="s">
        <v>8348</v>
      </c>
      <c r="L5072" s="119"/>
      <c r="M5072" s="3"/>
    </row>
    <row r="5073" spans="1:13" s="4" customFormat="1" ht="38.25" x14ac:dyDescent="0.25">
      <c r="A5073" s="4" t="s">
        <v>8572</v>
      </c>
      <c r="B5073" s="4" t="s">
        <v>50</v>
      </c>
      <c r="C5073" s="38" t="s">
        <v>8348</v>
      </c>
      <c r="D5073" s="35">
        <v>5059</v>
      </c>
      <c r="E5073" s="4" t="s">
        <v>8573</v>
      </c>
      <c r="F5073" s="5">
        <v>40130</v>
      </c>
      <c r="G5073" s="5">
        <v>40130</v>
      </c>
      <c r="H5073" s="4" t="s">
        <v>40</v>
      </c>
      <c r="I5073" s="6">
        <v>7000</v>
      </c>
      <c r="J5073" s="6">
        <v>3500</v>
      </c>
      <c r="K5073" s="38" t="s">
        <v>8348</v>
      </c>
      <c r="L5073" s="119"/>
      <c r="M5073" s="3"/>
    </row>
    <row r="5074" spans="1:13" s="4" customFormat="1" ht="89.25" x14ac:dyDescent="0.25">
      <c r="A5074" s="4" t="s">
        <v>8576</v>
      </c>
      <c r="B5074" s="4" t="s">
        <v>90</v>
      </c>
      <c r="C5074" s="38" t="s">
        <v>8348</v>
      </c>
      <c r="D5074" s="35">
        <v>5064</v>
      </c>
      <c r="E5074" s="7" t="s">
        <v>8577</v>
      </c>
      <c r="F5074" s="5">
        <v>40084</v>
      </c>
      <c r="G5074" s="5">
        <v>40084</v>
      </c>
      <c r="H5074" s="4" t="s">
        <v>40</v>
      </c>
      <c r="I5074" s="6">
        <v>10200</v>
      </c>
      <c r="J5074" s="6">
        <v>5100</v>
      </c>
      <c r="K5074" s="38" t="s">
        <v>8348</v>
      </c>
      <c r="L5074" s="119"/>
      <c r="M5074" s="3"/>
    </row>
    <row r="5075" spans="1:13" s="4" customFormat="1" ht="25.5" x14ac:dyDescent="0.25">
      <c r="A5075" s="4" t="s">
        <v>8578</v>
      </c>
      <c r="B5075" s="4" t="s">
        <v>38</v>
      </c>
      <c r="C5075" s="38" t="s">
        <v>8348</v>
      </c>
      <c r="D5075" s="35">
        <v>5091</v>
      </c>
      <c r="E5075" s="4" t="s">
        <v>8579</v>
      </c>
      <c r="F5075" s="5">
        <v>39873</v>
      </c>
      <c r="G5075" s="5">
        <v>39903</v>
      </c>
      <c r="H5075" s="4" t="s">
        <v>40</v>
      </c>
      <c r="I5075" s="6">
        <v>2500</v>
      </c>
      <c r="J5075" s="6">
        <v>2500</v>
      </c>
      <c r="K5075" s="38" t="s">
        <v>8348</v>
      </c>
      <c r="L5075" s="119"/>
      <c r="M5075" s="3"/>
    </row>
    <row r="5076" spans="1:13" s="4" customFormat="1" ht="25.5" x14ac:dyDescent="0.25">
      <c r="A5076" s="4" t="s">
        <v>8515</v>
      </c>
      <c r="B5076" s="4" t="s">
        <v>38</v>
      </c>
      <c r="C5076" s="38" t="s">
        <v>8348</v>
      </c>
      <c r="D5076" s="35">
        <v>5139</v>
      </c>
      <c r="E5076" s="4" t="s">
        <v>8516</v>
      </c>
      <c r="F5076" s="5">
        <v>39873</v>
      </c>
      <c r="G5076" s="5">
        <v>39903</v>
      </c>
      <c r="H5076" s="4" t="s">
        <v>40</v>
      </c>
      <c r="I5076" s="6">
        <v>1500</v>
      </c>
      <c r="J5076" s="6">
        <v>1500</v>
      </c>
      <c r="K5076" s="38" t="s">
        <v>8348</v>
      </c>
      <c r="L5076" s="119"/>
      <c r="M5076" s="3"/>
    </row>
    <row r="5077" spans="1:13" s="4" customFormat="1" ht="25.5" x14ac:dyDescent="0.25">
      <c r="A5077" s="4" t="s">
        <v>8580</v>
      </c>
      <c r="B5077" s="4" t="s">
        <v>38</v>
      </c>
      <c r="C5077" s="38" t="s">
        <v>8348</v>
      </c>
      <c r="D5077" s="35">
        <v>5141</v>
      </c>
      <c r="E5077" s="4" t="s">
        <v>8581</v>
      </c>
      <c r="F5077" s="5">
        <v>40057</v>
      </c>
      <c r="G5077" s="5">
        <v>40178</v>
      </c>
      <c r="H5077" s="4" t="s">
        <v>40</v>
      </c>
      <c r="I5077" s="6">
        <v>530</v>
      </c>
      <c r="J5077" s="6">
        <v>530</v>
      </c>
      <c r="K5077" s="38" t="s">
        <v>8348</v>
      </c>
      <c r="L5077" s="119"/>
      <c r="M5077" s="3"/>
    </row>
    <row r="5078" spans="1:13" s="4" customFormat="1" ht="25.5" x14ac:dyDescent="0.25">
      <c r="A5078" s="4" t="s">
        <v>8582</v>
      </c>
      <c r="B5078" s="4" t="s">
        <v>38</v>
      </c>
      <c r="C5078" s="38" t="s">
        <v>8348</v>
      </c>
      <c r="D5078" s="35">
        <v>5145</v>
      </c>
      <c r="E5078" s="4" t="s">
        <v>8583</v>
      </c>
      <c r="F5078" s="5">
        <v>40057</v>
      </c>
      <c r="G5078" s="5">
        <v>40178</v>
      </c>
      <c r="H5078" s="4" t="s">
        <v>40</v>
      </c>
      <c r="I5078" s="6">
        <v>101.5</v>
      </c>
      <c r="J5078" s="6">
        <v>101.5</v>
      </c>
      <c r="K5078" s="38" t="s">
        <v>8348</v>
      </c>
      <c r="L5078" s="119"/>
      <c r="M5078" s="3"/>
    </row>
    <row r="5079" spans="1:13" s="4" customFormat="1" ht="25.5" x14ac:dyDescent="0.25">
      <c r="A5079" s="4" t="s">
        <v>8584</v>
      </c>
      <c r="B5079" s="4" t="s">
        <v>38</v>
      </c>
      <c r="C5079" s="38" t="s">
        <v>8348</v>
      </c>
      <c r="D5079" s="35">
        <v>5147</v>
      </c>
      <c r="E5079" s="4" t="s">
        <v>8585</v>
      </c>
      <c r="F5079" s="5">
        <v>40057</v>
      </c>
      <c r="G5079" s="5">
        <v>40071</v>
      </c>
      <c r="H5079" s="4" t="s">
        <v>40</v>
      </c>
      <c r="I5079" s="6">
        <v>191.7</v>
      </c>
      <c r="J5079" s="6">
        <v>191.7</v>
      </c>
      <c r="K5079" s="38" t="s">
        <v>8348</v>
      </c>
      <c r="L5079" s="119"/>
      <c r="M5079" s="3"/>
    </row>
    <row r="5080" spans="1:13" s="4" customFormat="1" ht="25.5" x14ac:dyDescent="0.25">
      <c r="A5080" s="4" t="s">
        <v>8586</v>
      </c>
      <c r="B5080" s="4" t="s">
        <v>38</v>
      </c>
      <c r="C5080" s="38" t="s">
        <v>8348</v>
      </c>
      <c r="D5080" s="35">
        <v>5150</v>
      </c>
      <c r="E5080" s="4" t="s">
        <v>8587</v>
      </c>
      <c r="F5080" s="5">
        <v>39814</v>
      </c>
      <c r="G5080" s="5">
        <v>40543</v>
      </c>
      <c r="H5080" s="4" t="s">
        <v>40</v>
      </c>
      <c r="I5080" s="6">
        <v>174939.22</v>
      </c>
      <c r="J5080" s="6">
        <v>87469.61</v>
      </c>
      <c r="K5080" s="38" t="s">
        <v>8348</v>
      </c>
      <c r="L5080" s="119"/>
      <c r="M5080" s="3"/>
    </row>
    <row r="5081" spans="1:13" s="4" customFormat="1" ht="25.5" x14ac:dyDescent="0.25">
      <c r="A5081" s="4" t="s">
        <v>6297</v>
      </c>
      <c r="B5081" s="4" t="s">
        <v>38</v>
      </c>
      <c r="C5081" s="38" t="s">
        <v>8348</v>
      </c>
      <c r="D5081" s="35">
        <v>5154</v>
      </c>
      <c r="E5081" s="4" t="s">
        <v>8588</v>
      </c>
      <c r="F5081" s="5">
        <v>40118</v>
      </c>
      <c r="G5081" s="5">
        <v>40512</v>
      </c>
      <c r="H5081" s="4" t="s">
        <v>40</v>
      </c>
      <c r="I5081" s="6">
        <v>1982.37</v>
      </c>
      <c r="J5081" s="6">
        <v>1982.37</v>
      </c>
      <c r="K5081" s="38" t="s">
        <v>8348</v>
      </c>
      <c r="L5081" s="119"/>
      <c r="M5081" s="3"/>
    </row>
    <row r="5082" spans="1:13" s="4" customFormat="1" ht="25.5" x14ac:dyDescent="0.25">
      <c r="A5082" s="4" t="s">
        <v>3252</v>
      </c>
      <c r="B5082" s="4" t="s">
        <v>38</v>
      </c>
      <c r="C5082" s="38" t="s">
        <v>8348</v>
      </c>
      <c r="D5082" s="35">
        <v>5156</v>
      </c>
      <c r="E5082" s="4" t="s">
        <v>8589</v>
      </c>
      <c r="F5082" s="5">
        <v>40087</v>
      </c>
      <c r="G5082" s="5">
        <v>40117</v>
      </c>
      <c r="H5082" s="4" t="s">
        <v>40</v>
      </c>
      <c r="I5082" s="6">
        <v>427</v>
      </c>
      <c r="J5082" s="6">
        <v>427</v>
      </c>
      <c r="K5082" s="38" t="s">
        <v>8348</v>
      </c>
      <c r="L5082" s="119"/>
      <c r="M5082" s="3"/>
    </row>
    <row r="5083" spans="1:13" s="4" customFormat="1" ht="25.5" x14ac:dyDescent="0.25">
      <c r="A5083" s="4" t="s">
        <v>8590</v>
      </c>
      <c r="B5083" s="4" t="s">
        <v>38</v>
      </c>
      <c r="C5083" s="38" t="s">
        <v>8348</v>
      </c>
      <c r="D5083" s="35">
        <v>5158</v>
      </c>
      <c r="E5083" s="4" t="s">
        <v>8591</v>
      </c>
      <c r="F5083" s="5">
        <v>39873</v>
      </c>
      <c r="G5083" s="5">
        <v>40178</v>
      </c>
      <c r="H5083" s="4" t="s">
        <v>40</v>
      </c>
      <c r="I5083" s="6">
        <v>5085.75</v>
      </c>
      <c r="J5083" s="6">
        <v>5085.75</v>
      </c>
      <c r="K5083" s="38" t="s">
        <v>8348</v>
      </c>
      <c r="L5083" s="119"/>
      <c r="M5083" s="3"/>
    </row>
    <row r="5084" spans="1:13" s="4" customFormat="1" ht="25.5" x14ac:dyDescent="0.25">
      <c r="A5084" s="4" t="s">
        <v>8592</v>
      </c>
      <c r="B5084" s="4" t="s">
        <v>38</v>
      </c>
      <c r="C5084" s="38" t="s">
        <v>8348</v>
      </c>
      <c r="D5084" s="35">
        <v>5159</v>
      </c>
      <c r="E5084" s="4" t="s">
        <v>8593</v>
      </c>
      <c r="F5084" s="5">
        <v>39814</v>
      </c>
      <c r="G5084" s="5">
        <v>40543</v>
      </c>
      <c r="H5084" s="4" t="s">
        <v>40</v>
      </c>
      <c r="I5084" s="6">
        <v>26001.919999999998</v>
      </c>
      <c r="J5084" s="6">
        <v>13000.96</v>
      </c>
      <c r="K5084" s="38" t="s">
        <v>8348</v>
      </c>
      <c r="L5084" s="119"/>
      <c r="M5084" s="3"/>
    </row>
    <row r="5085" spans="1:13" s="4" customFormat="1" ht="25.5" x14ac:dyDescent="0.25">
      <c r="A5085" s="4" t="s">
        <v>8594</v>
      </c>
      <c r="B5085" s="4" t="s">
        <v>38</v>
      </c>
      <c r="C5085" s="38" t="s">
        <v>8348</v>
      </c>
      <c r="D5085" s="35">
        <v>5161</v>
      </c>
      <c r="E5085" s="4" t="s">
        <v>8595</v>
      </c>
      <c r="F5085" s="5">
        <v>39814</v>
      </c>
      <c r="G5085" s="5">
        <v>40086</v>
      </c>
      <c r="H5085" s="4" t="s">
        <v>40</v>
      </c>
      <c r="I5085" s="6">
        <v>1668.75</v>
      </c>
      <c r="J5085" s="6">
        <v>1668.75</v>
      </c>
      <c r="K5085" s="38" t="s">
        <v>8348</v>
      </c>
      <c r="L5085" s="119"/>
      <c r="M5085" s="3"/>
    </row>
    <row r="5086" spans="1:13" s="4" customFormat="1" ht="25.5" x14ac:dyDescent="0.25">
      <c r="A5086" s="4" t="s">
        <v>8596</v>
      </c>
      <c r="B5086" s="4" t="s">
        <v>38</v>
      </c>
      <c r="C5086" s="38" t="s">
        <v>8348</v>
      </c>
      <c r="D5086" s="35">
        <v>5163</v>
      </c>
      <c r="E5086" s="4" t="s">
        <v>8597</v>
      </c>
      <c r="F5086" s="5">
        <v>40057</v>
      </c>
      <c r="G5086" s="5">
        <v>40178</v>
      </c>
      <c r="H5086" s="4" t="s">
        <v>40</v>
      </c>
      <c r="I5086" s="6">
        <v>1353</v>
      </c>
      <c r="J5086" s="6">
        <v>1353</v>
      </c>
      <c r="K5086" s="38" t="s">
        <v>8348</v>
      </c>
      <c r="L5086" s="119"/>
      <c r="M5086" s="3"/>
    </row>
    <row r="5087" spans="1:13" s="4" customFormat="1" ht="25.5" x14ac:dyDescent="0.25">
      <c r="A5087" s="4" t="s">
        <v>8598</v>
      </c>
      <c r="B5087" s="4" t="s">
        <v>38</v>
      </c>
      <c r="C5087" s="38" t="s">
        <v>8348</v>
      </c>
      <c r="D5087" s="35">
        <v>5166</v>
      </c>
      <c r="E5087" s="4" t="s">
        <v>8599</v>
      </c>
      <c r="F5087" s="5">
        <v>40067</v>
      </c>
      <c r="G5087" s="5">
        <v>40067</v>
      </c>
      <c r="H5087" s="4" t="s">
        <v>40</v>
      </c>
      <c r="I5087" s="6">
        <v>6736.79</v>
      </c>
      <c r="J5087" s="6">
        <v>6736.79</v>
      </c>
      <c r="K5087" s="38" t="s">
        <v>8348</v>
      </c>
      <c r="L5087" s="119"/>
      <c r="M5087" s="3"/>
    </row>
    <row r="5088" spans="1:13" s="4" customFormat="1" ht="25.5" x14ac:dyDescent="0.25">
      <c r="A5088" s="4" t="s">
        <v>8600</v>
      </c>
      <c r="B5088" s="4" t="s">
        <v>38</v>
      </c>
      <c r="C5088" s="38" t="s">
        <v>8348</v>
      </c>
      <c r="D5088" s="35">
        <v>5168</v>
      </c>
      <c r="E5088" s="4" t="s">
        <v>8601</v>
      </c>
      <c r="F5088" s="5">
        <v>40057</v>
      </c>
      <c r="G5088" s="5">
        <v>40542</v>
      </c>
      <c r="H5088" s="4" t="s">
        <v>40</v>
      </c>
      <c r="I5088" s="6">
        <v>6103.68</v>
      </c>
      <c r="J5088" s="6">
        <v>6103.68</v>
      </c>
      <c r="K5088" s="38" t="s">
        <v>8348</v>
      </c>
      <c r="L5088" s="119"/>
      <c r="M5088" s="3"/>
    </row>
    <row r="5089" spans="1:13" s="4" customFormat="1" ht="25.5" x14ac:dyDescent="0.25">
      <c r="A5089" s="4" t="s">
        <v>8602</v>
      </c>
      <c r="B5089" s="4" t="s">
        <v>38</v>
      </c>
      <c r="C5089" s="38" t="s">
        <v>8348</v>
      </c>
      <c r="D5089" s="35">
        <v>5169</v>
      </c>
      <c r="E5089" s="4" t="s">
        <v>8603</v>
      </c>
      <c r="F5089" s="5">
        <v>40057</v>
      </c>
      <c r="G5089" s="5">
        <v>40178</v>
      </c>
      <c r="H5089" s="4" t="s">
        <v>40</v>
      </c>
      <c r="I5089" s="6">
        <v>320</v>
      </c>
      <c r="J5089" s="6">
        <v>320</v>
      </c>
      <c r="K5089" s="38" t="s">
        <v>8348</v>
      </c>
      <c r="L5089" s="119"/>
      <c r="M5089" s="3"/>
    </row>
    <row r="5090" spans="1:13" s="4" customFormat="1" ht="25.5" x14ac:dyDescent="0.25">
      <c r="A5090" s="4" t="s">
        <v>8604</v>
      </c>
      <c r="B5090" s="4" t="s">
        <v>38</v>
      </c>
      <c r="C5090" s="38" t="s">
        <v>8348</v>
      </c>
      <c r="D5090" s="35">
        <v>5174</v>
      </c>
      <c r="E5090" s="4" t="s">
        <v>8605</v>
      </c>
      <c r="F5090" s="5">
        <v>40057</v>
      </c>
      <c r="G5090" s="5">
        <v>40178</v>
      </c>
      <c r="H5090" s="4" t="s">
        <v>40</v>
      </c>
      <c r="I5090" s="6">
        <v>779.7</v>
      </c>
      <c r="J5090" s="6">
        <v>779.7</v>
      </c>
      <c r="K5090" s="38" t="s">
        <v>8348</v>
      </c>
      <c r="L5090" s="119"/>
      <c r="M5090" s="3"/>
    </row>
    <row r="5091" spans="1:13" s="4" customFormat="1" ht="25.5" x14ac:dyDescent="0.25">
      <c r="A5091" s="4" t="s">
        <v>8606</v>
      </c>
      <c r="B5091" s="4" t="s">
        <v>38</v>
      </c>
      <c r="C5091" s="38" t="s">
        <v>8348</v>
      </c>
      <c r="D5091" s="35">
        <v>5175</v>
      </c>
      <c r="E5091" s="4" t="s">
        <v>8607</v>
      </c>
      <c r="F5091" s="5">
        <v>39995</v>
      </c>
      <c r="G5091" s="5">
        <v>40178</v>
      </c>
      <c r="H5091" s="4" t="s">
        <v>40</v>
      </c>
      <c r="I5091" s="6">
        <v>6559.6</v>
      </c>
      <c r="J5091" s="6">
        <v>6559.6</v>
      </c>
      <c r="K5091" s="38" t="s">
        <v>8348</v>
      </c>
      <c r="L5091" s="119"/>
      <c r="M5091" s="3"/>
    </row>
    <row r="5092" spans="1:13" s="4" customFormat="1" ht="25.5" x14ac:dyDescent="0.25">
      <c r="A5092" s="4" t="s">
        <v>8608</v>
      </c>
      <c r="B5092" s="4" t="s">
        <v>38</v>
      </c>
      <c r="C5092" s="38" t="s">
        <v>8348</v>
      </c>
      <c r="D5092" s="35">
        <v>5176</v>
      </c>
      <c r="E5092" s="4" t="s">
        <v>8609</v>
      </c>
      <c r="F5092" s="5">
        <v>39873</v>
      </c>
      <c r="G5092" s="5">
        <v>40543</v>
      </c>
      <c r="H5092" s="4" t="s">
        <v>40</v>
      </c>
      <c r="I5092" s="6">
        <f>20056.56-0.18</f>
        <v>20056.38</v>
      </c>
      <c r="J5092" s="6">
        <v>20056.560000000001</v>
      </c>
      <c r="K5092" s="38" t="s">
        <v>8348</v>
      </c>
      <c r="L5092" s="119"/>
      <c r="M5092" s="3"/>
    </row>
    <row r="5093" spans="1:13" s="4" customFormat="1" ht="25.5" x14ac:dyDescent="0.25">
      <c r="A5093" s="4" t="s">
        <v>8610</v>
      </c>
      <c r="B5093" s="4" t="s">
        <v>38</v>
      </c>
      <c r="C5093" s="38" t="s">
        <v>8348</v>
      </c>
      <c r="D5093" s="35">
        <v>5177</v>
      </c>
      <c r="E5093" s="4" t="s">
        <v>8611</v>
      </c>
      <c r="F5093" s="5">
        <v>39814</v>
      </c>
      <c r="G5093" s="5">
        <v>40543</v>
      </c>
      <c r="H5093" s="4" t="s">
        <v>40</v>
      </c>
      <c r="I5093" s="6">
        <v>20001.7</v>
      </c>
      <c r="J5093" s="6">
        <v>20001.7</v>
      </c>
      <c r="K5093" s="38" t="s">
        <v>8348</v>
      </c>
      <c r="L5093" s="119"/>
      <c r="M5093" s="3"/>
    </row>
    <row r="5094" spans="1:13" s="4" customFormat="1" ht="25.5" x14ac:dyDescent="0.25">
      <c r="A5094" s="4" t="s">
        <v>8612</v>
      </c>
      <c r="B5094" s="4" t="s">
        <v>38</v>
      </c>
      <c r="C5094" s="38" t="s">
        <v>8348</v>
      </c>
      <c r="D5094" s="35">
        <v>5178</v>
      </c>
      <c r="E5094" s="4" t="s">
        <v>8613</v>
      </c>
      <c r="F5094" s="5">
        <v>40057</v>
      </c>
      <c r="G5094" s="5">
        <v>40178</v>
      </c>
      <c r="H5094" s="4" t="s">
        <v>40</v>
      </c>
      <c r="I5094" s="6">
        <v>1511.79</v>
      </c>
      <c r="J5094" s="6">
        <v>1511.79</v>
      </c>
      <c r="K5094" s="38" t="s">
        <v>8348</v>
      </c>
      <c r="L5094" s="119"/>
      <c r="M5094" s="3"/>
    </row>
    <row r="5095" spans="1:13" s="4" customFormat="1" ht="25.5" x14ac:dyDescent="0.25">
      <c r="A5095" s="4" t="s">
        <v>8614</v>
      </c>
      <c r="B5095" s="4" t="s">
        <v>38</v>
      </c>
      <c r="C5095" s="38" t="s">
        <v>8348</v>
      </c>
      <c r="D5095" s="35">
        <v>5179</v>
      </c>
      <c r="E5095" s="4" t="s">
        <v>8615</v>
      </c>
      <c r="F5095" s="5">
        <v>39814</v>
      </c>
      <c r="G5095" s="5">
        <v>40543</v>
      </c>
      <c r="H5095" s="4" t="s">
        <v>40</v>
      </c>
      <c r="I5095" s="6">
        <v>94704.63</v>
      </c>
      <c r="J5095" s="6">
        <v>94704.63</v>
      </c>
      <c r="K5095" s="38" t="s">
        <v>8348</v>
      </c>
      <c r="L5095" s="119"/>
      <c r="M5095" s="3"/>
    </row>
    <row r="5096" spans="1:13" s="4" customFormat="1" ht="25.5" x14ac:dyDescent="0.25">
      <c r="A5096" s="4" t="s">
        <v>8616</v>
      </c>
      <c r="B5096" s="4" t="s">
        <v>38</v>
      </c>
      <c r="C5096" s="38" t="s">
        <v>8348</v>
      </c>
      <c r="D5096" s="35">
        <v>5180</v>
      </c>
      <c r="E5096" s="4" t="s">
        <v>8617</v>
      </c>
      <c r="F5096" s="5">
        <v>39934</v>
      </c>
      <c r="G5096" s="5">
        <v>39964</v>
      </c>
      <c r="H5096" s="4" t="s">
        <v>40</v>
      </c>
      <c r="I5096" s="6">
        <v>1250</v>
      </c>
      <c r="J5096" s="6">
        <v>1250</v>
      </c>
      <c r="K5096" s="38" t="s">
        <v>8348</v>
      </c>
      <c r="L5096" s="119"/>
      <c r="M5096" s="3"/>
    </row>
    <row r="5097" spans="1:13" s="4" customFormat="1" ht="25.5" x14ac:dyDescent="0.25">
      <c r="A5097" s="4" t="s">
        <v>8618</v>
      </c>
      <c r="B5097" s="4" t="s">
        <v>38</v>
      </c>
      <c r="C5097" s="38" t="s">
        <v>8348</v>
      </c>
      <c r="D5097" s="35">
        <v>5181</v>
      </c>
      <c r="E5097" s="4" t="s">
        <v>8619</v>
      </c>
      <c r="F5097" s="5">
        <v>40057</v>
      </c>
      <c r="G5097" s="5">
        <v>40543</v>
      </c>
      <c r="H5097" s="4" t="s">
        <v>40</v>
      </c>
      <c r="I5097" s="6">
        <v>465.75</v>
      </c>
      <c r="J5097" s="6">
        <v>465.75</v>
      </c>
      <c r="K5097" s="38" t="s">
        <v>8348</v>
      </c>
      <c r="L5097" s="119"/>
      <c r="M5097" s="3"/>
    </row>
    <row r="5098" spans="1:13" s="4" customFormat="1" ht="25.5" x14ac:dyDescent="0.25">
      <c r="A5098" s="4" t="s">
        <v>8620</v>
      </c>
      <c r="B5098" s="4" t="s">
        <v>38</v>
      </c>
      <c r="C5098" s="38" t="s">
        <v>8348</v>
      </c>
      <c r="D5098" s="35">
        <v>5182</v>
      </c>
      <c r="E5098" s="4" t="s">
        <v>8621</v>
      </c>
      <c r="F5098" s="5">
        <v>39814</v>
      </c>
      <c r="G5098" s="5">
        <v>40178</v>
      </c>
      <c r="H5098" s="4" t="s">
        <v>40</v>
      </c>
      <c r="I5098" s="6">
        <v>8421.17</v>
      </c>
      <c r="J5098" s="6">
        <v>8421.17</v>
      </c>
      <c r="K5098" s="38" t="s">
        <v>8348</v>
      </c>
      <c r="L5098" s="119"/>
      <c r="M5098" s="3"/>
    </row>
    <row r="5099" spans="1:13" s="4" customFormat="1" ht="76.5" x14ac:dyDescent="0.25">
      <c r="A5099" s="4" t="s">
        <v>8622</v>
      </c>
      <c r="B5099" s="4" t="s">
        <v>38</v>
      </c>
      <c r="C5099" s="38" t="s">
        <v>8348</v>
      </c>
      <c r="D5099" s="35">
        <v>5183</v>
      </c>
      <c r="E5099" s="4" t="s">
        <v>8623</v>
      </c>
      <c r="F5099" s="5">
        <v>39814</v>
      </c>
      <c r="G5099" s="5">
        <v>40543</v>
      </c>
      <c r="H5099" s="4" t="s">
        <v>40</v>
      </c>
      <c r="I5099" s="6">
        <v>6141.68</v>
      </c>
      <c r="J5099" s="6">
        <v>6141.68</v>
      </c>
      <c r="K5099" s="38" t="s">
        <v>8348</v>
      </c>
      <c r="L5099" s="119"/>
      <c r="M5099" s="3"/>
    </row>
    <row r="5100" spans="1:13" s="4" customFormat="1" ht="38.25" x14ac:dyDescent="0.25">
      <c r="A5100" s="4" t="s">
        <v>8624</v>
      </c>
      <c r="B5100" s="4" t="s">
        <v>38</v>
      </c>
      <c r="C5100" s="38" t="s">
        <v>8348</v>
      </c>
      <c r="D5100" s="35">
        <v>5184</v>
      </c>
      <c r="E5100" s="4" t="s">
        <v>8625</v>
      </c>
      <c r="F5100" s="5">
        <v>40057</v>
      </c>
      <c r="G5100" s="5">
        <v>40543</v>
      </c>
      <c r="H5100" s="4" t="s">
        <v>40</v>
      </c>
      <c r="I5100" s="6">
        <v>395</v>
      </c>
      <c r="J5100" s="6">
        <v>395</v>
      </c>
      <c r="K5100" s="38" t="s">
        <v>8348</v>
      </c>
      <c r="L5100" s="119"/>
      <c r="M5100" s="3"/>
    </row>
    <row r="5101" spans="1:13" s="4" customFormat="1" ht="25.5" x14ac:dyDescent="0.25">
      <c r="A5101" s="4" t="s">
        <v>8626</v>
      </c>
      <c r="B5101" s="4" t="s">
        <v>38</v>
      </c>
      <c r="C5101" s="38" t="s">
        <v>8348</v>
      </c>
      <c r="D5101" s="35">
        <v>5185</v>
      </c>
      <c r="E5101" s="4" t="s">
        <v>8626</v>
      </c>
      <c r="F5101" s="5">
        <v>40057</v>
      </c>
      <c r="G5101" s="5">
        <v>40178</v>
      </c>
      <c r="H5101" s="4" t="s">
        <v>40</v>
      </c>
      <c r="I5101" s="6">
        <v>50.75</v>
      </c>
      <c r="J5101" s="6">
        <v>50.75</v>
      </c>
      <c r="K5101" s="38" t="s">
        <v>8348</v>
      </c>
      <c r="L5101" s="119"/>
      <c r="M5101" s="3"/>
    </row>
    <row r="5102" spans="1:13" s="4" customFormat="1" ht="25.5" x14ac:dyDescent="0.25">
      <c r="A5102" s="4" t="s">
        <v>8627</v>
      </c>
      <c r="B5102" s="4" t="s">
        <v>38</v>
      </c>
      <c r="C5102" s="38" t="s">
        <v>8348</v>
      </c>
      <c r="D5102" s="35">
        <v>5186</v>
      </c>
      <c r="E5102" s="4" t="s">
        <v>8628</v>
      </c>
      <c r="F5102" s="5">
        <v>39995</v>
      </c>
      <c r="G5102" s="5">
        <v>40025</v>
      </c>
      <c r="H5102" s="4" t="s">
        <v>40</v>
      </c>
      <c r="I5102" s="6">
        <v>688.5</v>
      </c>
      <c r="J5102" s="6">
        <v>688.5</v>
      </c>
      <c r="K5102" s="38" t="s">
        <v>8348</v>
      </c>
      <c r="L5102" s="119"/>
      <c r="M5102" s="3"/>
    </row>
    <row r="5103" spans="1:13" s="4" customFormat="1" ht="38.25" x14ac:dyDescent="0.25">
      <c r="A5103" s="4" t="s">
        <v>8629</v>
      </c>
      <c r="B5103" s="4" t="s">
        <v>38</v>
      </c>
      <c r="C5103" s="38" t="s">
        <v>8348</v>
      </c>
      <c r="D5103" s="35">
        <v>5187</v>
      </c>
      <c r="E5103" s="4" t="s">
        <v>8630</v>
      </c>
      <c r="F5103" s="5">
        <v>39814</v>
      </c>
      <c r="G5103" s="5">
        <v>40542</v>
      </c>
      <c r="H5103" s="4" t="s">
        <v>40</v>
      </c>
      <c r="I5103" s="6">
        <v>4178.7700000000004</v>
      </c>
      <c r="J5103" s="6">
        <v>4178.7700000000004</v>
      </c>
      <c r="K5103" s="38" t="s">
        <v>8348</v>
      </c>
      <c r="L5103" s="119"/>
      <c r="M5103" s="3"/>
    </row>
    <row r="5104" spans="1:13" s="4" customFormat="1" ht="51" x14ac:dyDescent="0.25">
      <c r="A5104" s="4" t="s">
        <v>8631</v>
      </c>
      <c r="B5104" s="4" t="s">
        <v>38</v>
      </c>
      <c r="C5104" s="38" t="s">
        <v>8348</v>
      </c>
      <c r="D5104" s="35">
        <v>5189</v>
      </c>
      <c r="E5104" s="4" t="s">
        <v>8632</v>
      </c>
      <c r="F5104" s="5">
        <v>40071</v>
      </c>
      <c r="G5104" s="5">
        <v>40437</v>
      </c>
      <c r="H5104" s="4" t="s">
        <v>40</v>
      </c>
      <c r="I5104" s="6">
        <v>5372.13</v>
      </c>
      <c r="J5104" s="6">
        <v>5372.13</v>
      </c>
      <c r="K5104" s="38" t="s">
        <v>8348</v>
      </c>
      <c r="L5104" s="119"/>
      <c r="M5104" s="3"/>
    </row>
    <row r="5105" spans="1:13" s="4" customFormat="1" ht="114.75" x14ac:dyDescent="0.25">
      <c r="A5105" s="4" t="s">
        <v>8486</v>
      </c>
      <c r="B5105" s="4" t="s">
        <v>38</v>
      </c>
      <c r="C5105" s="38" t="s">
        <v>8348</v>
      </c>
      <c r="D5105" s="35">
        <v>5190</v>
      </c>
      <c r="E5105" s="7" t="s">
        <v>8633</v>
      </c>
      <c r="F5105" s="5">
        <v>39814</v>
      </c>
      <c r="G5105" s="5">
        <v>40543</v>
      </c>
      <c r="H5105" s="4" t="s">
        <v>40</v>
      </c>
      <c r="I5105" s="6">
        <v>22434.560000000001</v>
      </c>
      <c r="J5105" s="6">
        <v>22434.560000000001</v>
      </c>
      <c r="K5105" s="38" t="s">
        <v>8348</v>
      </c>
      <c r="L5105" s="119"/>
      <c r="M5105" s="3"/>
    </row>
    <row r="5106" spans="1:13" s="4" customFormat="1" ht="25.5" x14ac:dyDescent="0.25">
      <c r="A5106" s="4" t="s">
        <v>8634</v>
      </c>
      <c r="B5106" s="4" t="s">
        <v>38</v>
      </c>
      <c r="C5106" s="38" t="s">
        <v>8348</v>
      </c>
      <c r="D5106" s="35">
        <v>5191</v>
      </c>
      <c r="E5106" s="4" t="s">
        <v>8635</v>
      </c>
      <c r="F5106" s="5">
        <v>39814</v>
      </c>
      <c r="G5106" s="5">
        <v>40056</v>
      </c>
      <c r="H5106" s="4" t="s">
        <v>40</v>
      </c>
      <c r="I5106" s="6">
        <v>1600</v>
      </c>
      <c r="J5106" s="6">
        <v>1600</v>
      </c>
      <c r="K5106" s="38" t="s">
        <v>8348</v>
      </c>
      <c r="L5106" s="119"/>
      <c r="M5106" s="3"/>
    </row>
    <row r="5107" spans="1:13" s="4" customFormat="1" ht="38.25" x14ac:dyDescent="0.25">
      <c r="A5107" s="4" t="s">
        <v>8636</v>
      </c>
      <c r="B5107" s="4" t="s">
        <v>38</v>
      </c>
      <c r="C5107" s="38" t="s">
        <v>8348</v>
      </c>
      <c r="D5107" s="35">
        <v>5193</v>
      </c>
      <c r="E5107" s="4" t="s">
        <v>8637</v>
      </c>
      <c r="F5107" s="5">
        <v>39995</v>
      </c>
      <c r="G5107" s="5">
        <v>40178</v>
      </c>
      <c r="H5107" s="4" t="s">
        <v>40</v>
      </c>
      <c r="I5107" s="6">
        <v>4626.7</v>
      </c>
      <c r="J5107" s="6">
        <v>4626.7</v>
      </c>
      <c r="K5107" s="38" t="s">
        <v>8348</v>
      </c>
      <c r="L5107" s="119"/>
      <c r="M5107" s="3"/>
    </row>
    <row r="5108" spans="1:13" s="4" customFormat="1" ht="25.5" x14ac:dyDescent="0.25">
      <c r="A5108" s="4" t="s">
        <v>8638</v>
      </c>
      <c r="B5108" s="4" t="s">
        <v>38</v>
      </c>
      <c r="C5108" s="38" t="s">
        <v>8348</v>
      </c>
      <c r="D5108" s="35">
        <v>5194</v>
      </c>
      <c r="E5108" s="4" t="s">
        <v>8639</v>
      </c>
      <c r="F5108" s="5">
        <v>39873</v>
      </c>
      <c r="G5108" s="5">
        <v>40543</v>
      </c>
      <c r="H5108" s="4" t="s">
        <v>40</v>
      </c>
      <c r="I5108" s="6">
        <v>1690</v>
      </c>
      <c r="J5108" s="6">
        <v>1690</v>
      </c>
      <c r="K5108" s="38" t="s">
        <v>8348</v>
      </c>
      <c r="L5108" s="119"/>
      <c r="M5108" s="3"/>
    </row>
    <row r="5109" spans="1:13" s="4" customFormat="1" ht="25.5" x14ac:dyDescent="0.25">
      <c r="A5109" s="4" t="s">
        <v>5232</v>
      </c>
      <c r="B5109" s="4" t="s">
        <v>38</v>
      </c>
      <c r="C5109" s="38" t="s">
        <v>8348</v>
      </c>
      <c r="D5109" s="35">
        <v>5195</v>
      </c>
      <c r="E5109" s="4" t="s">
        <v>8640</v>
      </c>
      <c r="F5109" s="5">
        <v>39814</v>
      </c>
      <c r="G5109" s="5">
        <v>40543</v>
      </c>
      <c r="H5109" s="4" t="s">
        <v>40</v>
      </c>
      <c r="I5109" s="6">
        <v>48065.83</v>
      </c>
      <c r="J5109" s="6">
        <v>48065.83</v>
      </c>
      <c r="K5109" s="38" t="s">
        <v>8348</v>
      </c>
      <c r="L5109" s="119"/>
      <c r="M5109" s="3"/>
    </row>
    <row r="5110" spans="1:13" s="4" customFormat="1" ht="25.5" x14ac:dyDescent="0.25">
      <c r="A5110" s="4" t="s">
        <v>8641</v>
      </c>
      <c r="B5110" s="4" t="s">
        <v>38</v>
      </c>
      <c r="C5110" s="38" t="s">
        <v>8348</v>
      </c>
      <c r="D5110" s="35">
        <v>5196</v>
      </c>
      <c r="E5110" s="4" t="s">
        <v>8642</v>
      </c>
      <c r="F5110" s="5">
        <v>39814</v>
      </c>
      <c r="G5110" s="5">
        <v>40543</v>
      </c>
      <c r="H5110" s="4" t="s">
        <v>40</v>
      </c>
      <c r="I5110" s="6">
        <v>22775.31</v>
      </c>
      <c r="J5110" s="6">
        <v>22775.31</v>
      </c>
      <c r="K5110" s="38" t="s">
        <v>8348</v>
      </c>
      <c r="L5110" s="119"/>
      <c r="M5110" s="3"/>
    </row>
    <row r="5111" spans="1:13" s="4" customFormat="1" ht="51" x14ac:dyDescent="0.25">
      <c r="A5111" s="4" t="s">
        <v>8643</v>
      </c>
      <c r="B5111" s="4" t="s">
        <v>38</v>
      </c>
      <c r="C5111" s="38" t="s">
        <v>8348</v>
      </c>
      <c r="D5111" s="35">
        <v>5197</v>
      </c>
      <c r="E5111" s="4" t="s">
        <v>8644</v>
      </c>
      <c r="F5111" s="5">
        <v>40057</v>
      </c>
      <c r="G5111" s="5">
        <v>40086</v>
      </c>
      <c r="H5111" s="4" t="s">
        <v>40</v>
      </c>
      <c r="I5111" s="6">
        <v>625</v>
      </c>
      <c r="J5111" s="6">
        <v>625</v>
      </c>
      <c r="K5111" s="38" t="s">
        <v>8348</v>
      </c>
      <c r="L5111" s="119"/>
      <c r="M5111" s="3"/>
    </row>
    <row r="5112" spans="1:13" s="4" customFormat="1" ht="63.75" x14ac:dyDescent="0.25">
      <c r="A5112" s="4" t="s">
        <v>8645</v>
      </c>
      <c r="B5112" s="4" t="s">
        <v>38</v>
      </c>
      <c r="C5112" s="38" t="s">
        <v>8348</v>
      </c>
      <c r="D5112" s="35">
        <v>5198</v>
      </c>
      <c r="E5112" s="4" t="s">
        <v>8646</v>
      </c>
      <c r="F5112" s="5">
        <v>40057</v>
      </c>
      <c r="G5112" s="5">
        <v>40178</v>
      </c>
      <c r="H5112" s="4" t="s">
        <v>40</v>
      </c>
      <c r="I5112" s="6">
        <v>101</v>
      </c>
      <c r="J5112" s="6">
        <v>101</v>
      </c>
      <c r="K5112" s="38" t="s">
        <v>8348</v>
      </c>
      <c r="L5112" s="119"/>
      <c r="M5112" s="3"/>
    </row>
    <row r="5113" spans="1:13" s="4" customFormat="1" ht="25.5" x14ac:dyDescent="0.25">
      <c r="A5113" s="4" t="s">
        <v>8647</v>
      </c>
      <c r="B5113" s="4" t="s">
        <v>38</v>
      </c>
      <c r="C5113" s="38" t="s">
        <v>8348</v>
      </c>
      <c r="D5113" s="35">
        <v>5199</v>
      </c>
      <c r="E5113" s="4" t="s">
        <v>8648</v>
      </c>
      <c r="F5113" s="5">
        <v>39873</v>
      </c>
      <c r="G5113" s="5">
        <v>39994</v>
      </c>
      <c r="H5113" s="4" t="s">
        <v>40</v>
      </c>
      <c r="I5113" s="6">
        <v>644.5</v>
      </c>
      <c r="J5113" s="6">
        <v>644.5</v>
      </c>
      <c r="K5113" s="38" t="s">
        <v>8348</v>
      </c>
      <c r="L5113" s="119"/>
      <c r="M5113" s="3"/>
    </row>
    <row r="5114" spans="1:13" s="4" customFormat="1" ht="25.5" x14ac:dyDescent="0.25">
      <c r="A5114" s="4" t="s">
        <v>8649</v>
      </c>
      <c r="B5114" s="4" t="s">
        <v>38</v>
      </c>
      <c r="C5114" s="38" t="s">
        <v>8348</v>
      </c>
      <c r="D5114" s="35">
        <v>5205</v>
      </c>
      <c r="E5114" s="4" t="s">
        <v>8650</v>
      </c>
      <c r="F5114" s="5">
        <v>39904</v>
      </c>
      <c r="G5114" s="5">
        <v>40298</v>
      </c>
      <c r="H5114" s="4" t="s">
        <v>40</v>
      </c>
      <c r="I5114" s="6">
        <v>3142.9</v>
      </c>
      <c r="J5114" s="6">
        <v>3142.9</v>
      </c>
      <c r="K5114" s="38" t="s">
        <v>8348</v>
      </c>
      <c r="L5114" s="119"/>
      <c r="M5114" s="3"/>
    </row>
    <row r="5115" spans="1:13" s="4" customFormat="1" ht="38.25" x14ac:dyDescent="0.25">
      <c r="A5115" s="4" t="s">
        <v>8651</v>
      </c>
      <c r="B5115" s="4" t="s">
        <v>38</v>
      </c>
      <c r="C5115" s="38" t="s">
        <v>8348</v>
      </c>
      <c r="D5115" s="35">
        <v>5206</v>
      </c>
      <c r="E5115" s="4" t="s">
        <v>8652</v>
      </c>
      <c r="F5115" s="5">
        <v>39934</v>
      </c>
      <c r="G5115" s="5">
        <v>39964</v>
      </c>
      <c r="H5115" s="4" t="s">
        <v>40</v>
      </c>
      <c r="I5115" s="6">
        <v>113.5</v>
      </c>
      <c r="J5115" s="6">
        <v>113.5</v>
      </c>
      <c r="K5115" s="38" t="s">
        <v>8348</v>
      </c>
      <c r="L5115" s="119"/>
      <c r="M5115" s="3"/>
    </row>
    <row r="5116" spans="1:13" s="4" customFormat="1" ht="51" x14ac:dyDescent="0.25">
      <c r="A5116" s="4" t="s">
        <v>8653</v>
      </c>
      <c r="B5116" s="4" t="s">
        <v>38</v>
      </c>
      <c r="C5116" s="38" t="s">
        <v>8348</v>
      </c>
      <c r="D5116" s="35">
        <v>5207</v>
      </c>
      <c r="E5116" s="4" t="s">
        <v>8654</v>
      </c>
      <c r="F5116" s="5">
        <v>39814</v>
      </c>
      <c r="G5116" s="5">
        <v>40178</v>
      </c>
      <c r="H5116" s="4" t="s">
        <v>40</v>
      </c>
      <c r="I5116" s="6">
        <v>4009.5</v>
      </c>
      <c r="J5116" s="6">
        <v>4009.5</v>
      </c>
      <c r="K5116" s="38" t="s">
        <v>8348</v>
      </c>
      <c r="L5116" s="119"/>
      <c r="M5116" s="3"/>
    </row>
    <row r="5117" spans="1:13" s="4" customFormat="1" ht="51" x14ac:dyDescent="0.25">
      <c r="A5117" s="4" t="s">
        <v>8655</v>
      </c>
      <c r="B5117" s="4" t="s">
        <v>38</v>
      </c>
      <c r="C5117" s="38" t="s">
        <v>8348</v>
      </c>
      <c r="D5117" s="35">
        <v>5208</v>
      </c>
      <c r="E5117" s="4" t="s">
        <v>8656</v>
      </c>
      <c r="F5117" s="5">
        <v>39814</v>
      </c>
      <c r="G5117" s="5">
        <v>40178</v>
      </c>
      <c r="H5117" s="4" t="s">
        <v>40</v>
      </c>
      <c r="I5117" s="6">
        <v>8219.48</v>
      </c>
      <c r="J5117" s="6">
        <v>8219.48</v>
      </c>
      <c r="K5117" s="38" t="s">
        <v>8348</v>
      </c>
      <c r="L5117" s="119"/>
      <c r="M5117" s="3"/>
    </row>
    <row r="5118" spans="1:13" s="4" customFormat="1" ht="25.5" x14ac:dyDescent="0.25">
      <c r="A5118" s="4" t="s">
        <v>8657</v>
      </c>
      <c r="B5118" s="4" t="s">
        <v>38</v>
      </c>
      <c r="C5118" s="38" t="s">
        <v>8348</v>
      </c>
      <c r="D5118" s="35">
        <v>5209</v>
      </c>
      <c r="E5118" s="4" t="s">
        <v>8658</v>
      </c>
      <c r="F5118" s="5">
        <v>39814</v>
      </c>
      <c r="G5118" s="5">
        <v>40543</v>
      </c>
      <c r="H5118" s="4" t="s">
        <v>40</v>
      </c>
      <c r="I5118" s="6">
        <v>4843.5</v>
      </c>
      <c r="J5118" s="6">
        <v>4843.5</v>
      </c>
      <c r="K5118" s="38" t="s">
        <v>8348</v>
      </c>
      <c r="L5118" s="119"/>
      <c r="M5118" s="3"/>
    </row>
    <row r="5119" spans="1:13" s="4" customFormat="1" ht="38.25" x14ac:dyDescent="0.25">
      <c r="A5119" s="4" t="s">
        <v>8659</v>
      </c>
      <c r="B5119" s="4" t="s">
        <v>183</v>
      </c>
      <c r="C5119" s="38" t="s">
        <v>8348</v>
      </c>
      <c r="D5119" s="35">
        <v>6882</v>
      </c>
      <c r="E5119" s="4" t="s">
        <v>8660</v>
      </c>
      <c r="F5119" s="5">
        <v>40389</v>
      </c>
      <c r="G5119" s="5">
        <v>40522</v>
      </c>
      <c r="H5119" s="4" t="s">
        <v>40</v>
      </c>
      <c r="I5119" s="6">
        <v>31437.5</v>
      </c>
      <c r="J5119" s="6">
        <v>15718.75</v>
      </c>
      <c r="K5119" s="38" t="s">
        <v>8348</v>
      </c>
      <c r="L5119" s="119"/>
      <c r="M5119" s="3"/>
    </row>
    <row r="5120" spans="1:13" s="4" customFormat="1" ht="38.25" x14ac:dyDescent="0.25">
      <c r="A5120" s="4" t="s">
        <v>8663</v>
      </c>
      <c r="B5120" s="4" t="s">
        <v>183</v>
      </c>
      <c r="C5120" s="38" t="s">
        <v>8348</v>
      </c>
      <c r="D5120" s="35">
        <v>6886</v>
      </c>
      <c r="E5120" s="4" t="s">
        <v>8664</v>
      </c>
      <c r="F5120" s="5">
        <v>40238</v>
      </c>
      <c r="G5120" s="5">
        <v>40639</v>
      </c>
      <c r="H5120" s="4" t="s">
        <v>40</v>
      </c>
      <c r="I5120" s="6">
        <v>3750</v>
      </c>
      <c r="J5120" s="6">
        <v>3750</v>
      </c>
      <c r="K5120" s="38" t="s">
        <v>8348</v>
      </c>
      <c r="L5120" s="119"/>
      <c r="M5120" s="3"/>
    </row>
    <row r="5121" spans="1:13" s="4" customFormat="1" ht="76.5" x14ac:dyDescent="0.25">
      <c r="A5121" s="4" t="s">
        <v>8665</v>
      </c>
      <c r="B5121" s="4" t="s">
        <v>183</v>
      </c>
      <c r="C5121" s="38" t="s">
        <v>8348</v>
      </c>
      <c r="D5121" s="35">
        <v>6888</v>
      </c>
      <c r="E5121" s="4" t="s">
        <v>8666</v>
      </c>
      <c r="F5121" s="5">
        <v>40179</v>
      </c>
      <c r="G5121" s="5">
        <v>40231</v>
      </c>
      <c r="H5121" s="4" t="s">
        <v>40</v>
      </c>
      <c r="I5121" s="6">
        <v>43761.599999999999</v>
      </c>
      <c r="J5121" s="6">
        <v>23401.7</v>
      </c>
      <c r="K5121" s="38" t="s">
        <v>8348</v>
      </c>
      <c r="L5121" s="119"/>
      <c r="M5121" s="3"/>
    </row>
    <row r="5122" spans="1:13" s="4" customFormat="1" ht="25.5" x14ac:dyDescent="0.25">
      <c r="A5122" s="4" t="s">
        <v>8667</v>
      </c>
      <c r="B5122" s="4" t="s">
        <v>183</v>
      </c>
      <c r="C5122" s="38" t="s">
        <v>8348</v>
      </c>
      <c r="D5122" s="35">
        <v>6889</v>
      </c>
      <c r="E5122" s="4" t="s">
        <v>8668</v>
      </c>
      <c r="F5122" s="5">
        <v>40389</v>
      </c>
      <c r="G5122" s="5">
        <v>40522</v>
      </c>
      <c r="H5122" s="4" t="s">
        <v>40</v>
      </c>
      <c r="I5122" s="6">
        <v>15000</v>
      </c>
      <c r="J5122" s="6">
        <v>11500</v>
      </c>
      <c r="K5122" s="38" t="s">
        <v>8348</v>
      </c>
      <c r="L5122" s="119"/>
      <c r="M5122" s="3"/>
    </row>
    <row r="5123" spans="1:13" s="4" customFormat="1" ht="38.25" x14ac:dyDescent="0.25">
      <c r="A5123" s="4" t="s">
        <v>8669</v>
      </c>
      <c r="B5123" s="4" t="s">
        <v>38</v>
      </c>
      <c r="C5123" s="38" t="s">
        <v>8348</v>
      </c>
      <c r="D5123" s="35">
        <v>6896</v>
      </c>
      <c r="E5123" s="4" t="s">
        <v>8670</v>
      </c>
      <c r="F5123" s="5">
        <v>40238</v>
      </c>
      <c r="G5123" s="5">
        <v>40450</v>
      </c>
      <c r="H5123" s="4" t="s">
        <v>40</v>
      </c>
      <c r="I5123" s="6">
        <v>6000</v>
      </c>
      <c r="J5123" s="6">
        <v>3000</v>
      </c>
      <c r="K5123" s="38" t="s">
        <v>8348</v>
      </c>
      <c r="L5123" s="119"/>
      <c r="M5123" s="3"/>
    </row>
    <row r="5124" spans="1:13" s="4" customFormat="1" ht="63.75" x14ac:dyDescent="0.25">
      <c r="A5124" s="4" t="s">
        <v>8673</v>
      </c>
      <c r="B5124" s="4" t="s">
        <v>183</v>
      </c>
      <c r="C5124" s="38" t="s">
        <v>8348</v>
      </c>
      <c r="D5124" s="35">
        <v>6900</v>
      </c>
      <c r="E5124" s="4" t="s">
        <v>8674</v>
      </c>
      <c r="F5124" s="5">
        <v>40164</v>
      </c>
      <c r="G5124" s="5">
        <v>40654</v>
      </c>
      <c r="H5124" s="4" t="s">
        <v>40</v>
      </c>
      <c r="I5124" s="6">
        <v>21852.959999999999</v>
      </c>
      <c r="J5124" s="6">
        <v>12051.48</v>
      </c>
      <c r="K5124" s="38" t="s">
        <v>8348</v>
      </c>
      <c r="L5124" s="119"/>
      <c r="M5124" s="3"/>
    </row>
    <row r="5125" spans="1:13" s="4" customFormat="1" ht="25.5" x14ac:dyDescent="0.25">
      <c r="A5125" s="4" t="s">
        <v>8675</v>
      </c>
      <c r="B5125" s="4" t="s">
        <v>183</v>
      </c>
      <c r="C5125" s="38" t="s">
        <v>8348</v>
      </c>
      <c r="D5125" s="35">
        <v>7454</v>
      </c>
      <c r="E5125" s="4" t="s">
        <v>8676</v>
      </c>
      <c r="F5125" s="5">
        <v>40207</v>
      </c>
      <c r="G5125" s="5">
        <v>40401</v>
      </c>
      <c r="H5125" s="4" t="s">
        <v>40</v>
      </c>
      <c r="I5125" s="6">
        <v>5000</v>
      </c>
      <c r="J5125" s="6">
        <v>5000</v>
      </c>
      <c r="K5125" s="38" t="s">
        <v>8348</v>
      </c>
      <c r="L5125" s="119"/>
      <c r="M5125" s="3"/>
    </row>
    <row r="5126" spans="1:13" s="4" customFormat="1" ht="25.5" x14ac:dyDescent="0.25">
      <c r="A5126" s="4" t="s">
        <v>8677</v>
      </c>
      <c r="B5126" s="4" t="s">
        <v>183</v>
      </c>
      <c r="C5126" s="38" t="s">
        <v>8348</v>
      </c>
      <c r="D5126" s="35">
        <v>7455</v>
      </c>
      <c r="E5126" s="4" t="s">
        <v>8678</v>
      </c>
      <c r="F5126" s="5">
        <v>40293</v>
      </c>
      <c r="G5126" s="5">
        <v>40344</v>
      </c>
      <c r="H5126" s="4" t="s">
        <v>40</v>
      </c>
      <c r="I5126" s="6">
        <v>45000.02</v>
      </c>
      <c r="J5126" s="6">
        <v>22500.01</v>
      </c>
      <c r="K5126" s="38" t="s">
        <v>8348</v>
      </c>
      <c r="L5126" s="119"/>
      <c r="M5126" s="3"/>
    </row>
    <row r="5127" spans="1:13" s="4" customFormat="1" ht="89.25" x14ac:dyDescent="0.25">
      <c r="A5127" s="4" t="s">
        <v>8679</v>
      </c>
      <c r="B5127" s="4" t="s">
        <v>183</v>
      </c>
      <c r="C5127" s="38" t="s">
        <v>8348</v>
      </c>
      <c r="D5127" s="35">
        <v>7649</v>
      </c>
      <c r="E5127" s="7" t="s">
        <v>8680</v>
      </c>
      <c r="F5127" s="5">
        <v>40296</v>
      </c>
      <c r="G5127" s="5">
        <v>40522</v>
      </c>
      <c r="H5127" s="4" t="s">
        <v>40</v>
      </c>
      <c r="I5127" s="6">
        <v>4000</v>
      </c>
      <c r="J5127" s="6">
        <v>4000</v>
      </c>
      <c r="K5127" s="38" t="s">
        <v>8348</v>
      </c>
      <c r="L5127" s="119"/>
      <c r="M5127" s="3"/>
    </row>
    <row r="5128" spans="1:13" s="4" customFormat="1" ht="25.5" x14ac:dyDescent="0.25">
      <c r="A5128" s="4" t="s">
        <v>8681</v>
      </c>
      <c r="B5128" s="4" t="s">
        <v>183</v>
      </c>
      <c r="C5128" s="38" t="s">
        <v>8348</v>
      </c>
      <c r="D5128" s="35">
        <v>7650</v>
      </c>
      <c r="E5128" s="4" t="s">
        <v>8682</v>
      </c>
      <c r="F5128" s="5">
        <v>40456</v>
      </c>
      <c r="G5128" s="5">
        <v>40543</v>
      </c>
      <c r="H5128" s="4" t="s">
        <v>40</v>
      </c>
      <c r="I5128" s="6">
        <v>18000</v>
      </c>
      <c r="J5128" s="6">
        <v>9000</v>
      </c>
      <c r="K5128" s="38" t="s">
        <v>8348</v>
      </c>
      <c r="L5128" s="119"/>
      <c r="M5128" s="3"/>
    </row>
    <row r="5129" spans="1:13" s="4" customFormat="1" ht="63.75" x14ac:dyDescent="0.25">
      <c r="A5129" s="4" t="s">
        <v>8683</v>
      </c>
      <c r="B5129" s="4" t="s">
        <v>190</v>
      </c>
      <c r="C5129" s="38" t="s">
        <v>8348</v>
      </c>
      <c r="D5129" s="35">
        <v>7651</v>
      </c>
      <c r="E5129" s="4" t="s">
        <v>8684</v>
      </c>
      <c r="F5129" s="5">
        <v>40535</v>
      </c>
      <c r="G5129" s="5">
        <v>40851</v>
      </c>
      <c r="H5129" s="4" t="s">
        <v>40</v>
      </c>
      <c r="I5129" s="6">
        <v>44688.22</v>
      </c>
      <c r="J5129" s="6">
        <v>22344.11</v>
      </c>
      <c r="K5129" s="38" t="s">
        <v>8348</v>
      </c>
      <c r="L5129" s="119"/>
      <c r="M5129" s="3"/>
    </row>
    <row r="5130" spans="1:13" s="4" customFormat="1" ht="25.5" x14ac:dyDescent="0.25">
      <c r="A5130" s="4" t="s">
        <v>8689</v>
      </c>
      <c r="B5130" s="4" t="s">
        <v>38</v>
      </c>
      <c r="C5130" s="38" t="s">
        <v>8348</v>
      </c>
      <c r="D5130" s="35">
        <v>7656</v>
      </c>
      <c r="E5130" s="4" t="s">
        <v>8690</v>
      </c>
      <c r="F5130" s="5">
        <v>40360</v>
      </c>
      <c r="G5130" s="5">
        <v>40389</v>
      </c>
      <c r="H5130" s="4" t="s">
        <v>40</v>
      </c>
      <c r="I5130" s="6">
        <v>2333.6</v>
      </c>
      <c r="J5130" s="6">
        <v>1166.8</v>
      </c>
      <c r="K5130" s="38" t="s">
        <v>8348</v>
      </c>
      <c r="L5130" s="119"/>
      <c r="M5130" s="3"/>
    </row>
    <row r="5131" spans="1:13" s="4" customFormat="1" x14ac:dyDescent="0.25">
      <c r="A5131" s="4" t="s">
        <v>8693</v>
      </c>
      <c r="B5131" s="4" t="s">
        <v>183</v>
      </c>
      <c r="C5131" s="38" t="s">
        <v>8348</v>
      </c>
      <c r="D5131" s="35">
        <v>7658</v>
      </c>
      <c r="E5131" s="4" t="s">
        <v>8694</v>
      </c>
      <c r="F5131" s="5">
        <v>40532</v>
      </c>
      <c r="G5131" s="5">
        <v>40701</v>
      </c>
      <c r="H5131" s="4" t="s">
        <v>40</v>
      </c>
      <c r="I5131" s="6">
        <v>37029.599999999999</v>
      </c>
      <c r="J5131" s="6">
        <v>18514.8</v>
      </c>
      <c r="K5131" s="38" t="s">
        <v>8348</v>
      </c>
      <c r="L5131" s="119"/>
      <c r="M5131" s="3"/>
    </row>
    <row r="5132" spans="1:13" s="4" customFormat="1" ht="63.75" x14ac:dyDescent="0.25">
      <c r="A5132" s="4" t="s">
        <v>8697</v>
      </c>
      <c r="B5132" s="4" t="s">
        <v>38</v>
      </c>
      <c r="C5132" s="38" t="s">
        <v>8348</v>
      </c>
      <c r="D5132" s="35">
        <v>7674</v>
      </c>
      <c r="E5132" s="4" t="s">
        <v>8698</v>
      </c>
      <c r="F5132" s="5">
        <v>40179</v>
      </c>
      <c r="G5132" s="5">
        <v>40543</v>
      </c>
      <c r="H5132" s="4" t="s">
        <v>40</v>
      </c>
      <c r="I5132" s="6">
        <v>3474</v>
      </c>
      <c r="J5132" s="6">
        <v>3474</v>
      </c>
      <c r="K5132" s="38" t="s">
        <v>8348</v>
      </c>
      <c r="L5132" s="119"/>
      <c r="M5132" s="3"/>
    </row>
    <row r="5133" spans="1:13" s="4" customFormat="1" ht="25.5" x14ac:dyDescent="0.25">
      <c r="A5133" s="4" t="s">
        <v>8699</v>
      </c>
      <c r="B5133" s="4" t="s">
        <v>38</v>
      </c>
      <c r="C5133" s="38" t="s">
        <v>8348</v>
      </c>
      <c r="D5133" s="35">
        <v>7675</v>
      </c>
      <c r="E5133" s="4" t="s">
        <v>8700</v>
      </c>
      <c r="F5133" s="5">
        <v>40179</v>
      </c>
      <c r="G5133" s="5">
        <v>40543</v>
      </c>
      <c r="H5133" s="4" t="s">
        <v>40</v>
      </c>
      <c r="I5133" s="6">
        <v>890</v>
      </c>
      <c r="J5133" s="6">
        <v>890</v>
      </c>
      <c r="K5133" s="38" t="s">
        <v>8348</v>
      </c>
      <c r="L5133" s="119"/>
      <c r="M5133" s="3"/>
    </row>
    <row r="5134" spans="1:13" s="4" customFormat="1" ht="25.5" x14ac:dyDescent="0.25">
      <c r="A5134" s="4" t="s">
        <v>8701</v>
      </c>
      <c r="B5134" s="4" t="s">
        <v>38</v>
      </c>
      <c r="C5134" s="38" t="s">
        <v>8348</v>
      </c>
      <c r="D5134" s="35">
        <v>7676</v>
      </c>
      <c r="E5134" s="4" t="s">
        <v>8702</v>
      </c>
      <c r="F5134" s="5">
        <v>40179</v>
      </c>
      <c r="G5134" s="5">
        <v>40543</v>
      </c>
      <c r="H5134" s="4" t="s">
        <v>40</v>
      </c>
      <c r="I5134" s="6">
        <v>500</v>
      </c>
      <c r="J5134" s="6">
        <v>500</v>
      </c>
      <c r="K5134" s="38" t="s">
        <v>8348</v>
      </c>
      <c r="L5134" s="119"/>
      <c r="M5134" s="3"/>
    </row>
    <row r="5135" spans="1:13" s="4" customFormat="1" ht="38.25" x14ac:dyDescent="0.25">
      <c r="A5135" s="4" t="s">
        <v>8703</v>
      </c>
      <c r="B5135" s="4" t="s">
        <v>38</v>
      </c>
      <c r="C5135" s="38" t="s">
        <v>8348</v>
      </c>
      <c r="D5135" s="35">
        <v>7678</v>
      </c>
      <c r="E5135" s="4" t="s">
        <v>8704</v>
      </c>
      <c r="F5135" s="5">
        <v>40179</v>
      </c>
      <c r="G5135" s="5">
        <v>40543</v>
      </c>
      <c r="H5135" s="4" t="s">
        <v>40</v>
      </c>
      <c r="I5135" s="6">
        <v>600</v>
      </c>
      <c r="J5135" s="6">
        <v>600</v>
      </c>
      <c r="K5135" s="38" t="s">
        <v>8348</v>
      </c>
      <c r="L5135" s="119"/>
      <c r="M5135" s="3"/>
    </row>
    <row r="5136" spans="1:13" s="4" customFormat="1" ht="51" x14ac:dyDescent="0.25">
      <c r="A5136" s="4" t="s">
        <v>8705</v>
      </c>
      <c r="B5136" s="4" t="s">
        <v>38</v>
      </c>
      <c r="C5136" s="38" t="s">
        <v>8348</v>
      </c>
      <c r="D5136" s="35">
        <v>7679</v>
      </c>
      <c r="E5136" s="4" t="s">
        <v>8706</v>
      </c>
      <c r="F5136" s="5">
        <v>40179</v>
      </c>
      <c r="G5136" s="5">
        <v>40543</v>
      </c>
      <c r="H5136" s="4" t="s">
        <v>40</v>
      </c>
      <c r="I5136" s="6">
        <v>320</v>
      </c>
      <c r="J5136" s="6">
        <v>320</v>
      </c>
      <c r="K5136" s="38" t="s">
        <v>8348</v>
      </c>
      <c r="L5136" s="119"/>
      <c r="M5136" s="3"/>
    </row>
    <row r="5137" spans="1:13" s="4" customFormat="1" ht="38.25" x14ac:dyDescent="0.25">
      <c r="A5137" s="4" t="s">
        <v>8707</v>
      </c>
      <c r="B5137" s="4" t="s">
        <v>38</v>
      </c>
      <c r="C5137" s="38" t="s">
        <v>8348</v>
      </c>
      <c r="D5137" s="35">
        <v>7682</v>
      </c>
      <c r="E5137" s="4" t="s">
        <v>8708</v>
      </c>
      <c r="F5137" s="5">
        <v>40462</v>
      </c>
      <c r="G5137" s="5">
        <v>40532</v>
      </c>
      <c r="H5137" s="4" t="s">
        <v>40</v>
      </c>
      <c r="I5137" s="6">
        <v>2427.19</v>
      </c>
      <c r="J5137" s="6">
        <v>2427.19</v>
      </c>
      <c r="K5137" s="38" t="s">
        <v>8348</v>
      </c>
      <c r="L5137" s="119"/>
      <c r="M5137" s="3"/>
    </row>
    <row r="5138" spans="1:13" s="4" customFormat="1" ht="25.5" x14ac:dyDescent="0.25">
      <c r="A5138" s="4" t="s">
        <v>8709</v>
      </c>
      <c r="B5138" s="4" t="s">
        <v>38</v>
      </c>
      <c r="C5138" s="38" t="s">
        <v>8348</v>
      </c>
      <c r="D5138" s="35">
        <v>7683</v>
      </c>
      <c r="E5138" s="4" t="s">
        <v>8710</v>
      </c>
      <c r="F5138" s="5">
        <v>40231</v>
      </c>
      <c r="G5138" s="5">
        <v>40485</v>
      </c>
      <c r="H5138" s="4" t="s">
        <v>40</v>
      </c>
      <c r="I5138" s="6">
        <v>2400</v>
      </c>
      <c r="J5138" s="6">
        <v>2400</v>
      </c>
      <c r="K5138" s="38" t="s">
        <v>8348</v>
      </c>
      <c r="L5138" s="119"/>
      <c r="M5138" s="3"/>
    </row>
    <row r="5139" spans="1:13" s="4" customFormat="1" ht="25.5" x14ac:dyDescent="0.25">
      <c r="A5139" s="4" t="s">
        <v>8711</v>
      </c>
      <c r="B5139" s="4" t="s">
        <v>38</v>
      </c>
      <c r="C5139" s="38" t="s">
        <v>8348</v>
      </c>
      <c r="D5139" s="35">
        <v>7684</v>
      </c>
      <c r="E5139" s="4" t="s">
        <v>8712</v>
      </c>
      <c r="F5139" s="5">
        <v>40480</v>
      </c>
      <c r="G5139" s="5">
        <v>40525</v>
      </c>
      <c r="H5139" s="4" t="s">
        <v>40</v>
      </c>
      <c r="I5139" s="6">
        <v>2085.6</v>
      </c>
      <c r="J5139" s="6">
        <v>2085.6</v>
      </c>
      <c r="K5139" s="38" t="s">
        <v>8348</v>
      </c>
      <c r="L5139" s="119"/>
      <c r="M5139" s="3"/>
    </row>
    <row r="5140" spans="1:13" s="4" customFormat="1" ht="38.25" x14ac:dyDescent="0.25">
      <c r="A5140" s="4" t="s">
        <v>8713</v>
      </c>
      <c r="B5140" s="4" t="s">
        <v>38</v>
      </c>
      <c r="C5140" s="38" t="s">
        <v>8348</v>
      </c>
      <c r="D5140" s="35">
        <v>7685</v>
      </c>
      <c r="E5140" s="4" t="s">
        <v>8714</v>
      </c>
      <c r="F5140" s="5">
        <v>40224</v>
      </c>
      <c r="G5140" s="5">
        <v>40224</v>
      </c>
      <c r="H5140" s="4" t="s">
        <v>40</v>
      </c>
      <c r="I5140" s="6">
        <v>1330.43</v>
      </c>
      <c r="J5140" s="6">
        <v>1330.43</v>
      </c>
      <c r="K5140" s="38" t="s">
        <v>8348</v>
      </c>
      <c r="L5140" s="119"/>
      <c r="M5140" s="3"/>
    </row>
    <row r="5141" spans="1:13" s="4" customFormat="1" ht="38.25" x14ac:dyDescent="0.25">
      <c r="A5141" s="4" t="s">
        <v>8715</v>
      </c>
      <c r="B5141" s="4" t="s">
        <v>38</v>
      </c>
      <c r="C5141" s="38" t="s">
        <v>8348</v>
      </c>
      <c r="D5141" s="35">
        <v>7686</v>
      </c>
      <c r="E5141" s="4" t="s">
        <v>8716</v>
      </c>
      <c r="F5141" s="5">
        <v>40330</v>
      </c>
      <c r="G5141" s="5">
        <v>40528</v>
      </c>
      <c r="H5141" s="4" t="s">
        <v>40</v>
      </c>
      <c r="I5141" s="6">
        <v>6450.96</v>
      </c>
      <c r="J5141" s="6">
        <v>6450.96</v>
      </c>
      <c r="K5141" s="38" t="s">
        <v>8348</v>
      </c>
      <c r="L5141" s="119"/>
      <c r="M5141" s="3"/>
    </row>
    <row r="5142" spans="1:13" s="4" customFormat="1" ht="38.25" x14ac:dyDescent="0.25">
      <c r="A5142" s="4" t="s">
        <v>8717</v>
      </c>
      <c r="B5142" s="4" t="s">
        <v>38</v>
      </c>
      <c r="C5142" s="38" t="s">
        <v>8348</v>
      </c>
      <c r="D5142" s="35">
        <v>7687</v>
      </c>
      <c r="E5142" s="4" t="s">
        <v>8718</v>
      </c>
      <c r="F5142" s="5">
        <v>40179</v>
      </c>
      <c r="G5142" s="5">
        <v>40543</v>
      </c>
      <c r="H5142" s="4" t="s">
        <v>40</v>
      </c>
      <c r="I5142" s="6">
        <v>27284</v>
      </c>
      <c r="J5142" s="6">
        <v>27284</v>
      </c>
      <c r="K5142" s="38" t="s">
        <v>8348</v>
      </c>
      <c r="L5142" s="119"/>
      <c r="M5142" s="3"/>
    </row>
    <row r="5143" spans="1:13" s="4" customFormat="1" ht="25.5" x14ac:dyDescent="0.25">
      <c r="A5143" s="4" t="s">
        <v>8719</v>
      </c>
      <c r="B5143" s="4" t="s">
        <v>38</v>
      </c>
      <c r="C5143" s="38" t="s">
        <v>8348</v>
      </c>
      <c r="D5143" s="35">
        <v>7688</v>
      </c>
      <c r="E5143" s="4" t="s">
        <v>8720</v>
      </c>
      <c r="F5143" s="5">
        <v>40235</v>
      </c>
      <c r="G5143" s="5">
        <v>40351</v>
      </c>
      <c r="H5143" s="4" t="s">
        <v>40</v>
      </c>
      <c r="I5143" s="6">
        <v>2590</v>
      </c>
      <c r="J5143" s="6">
        <v>2590</v>
      </c>
      <c r="K5143" s="38" t="s">
        <v>8348</v>
      </c>
      <c r="L5143" s="119"/>
      <c r="M5143" s="3"/>
    </row>
    <row r="5144" spans="1:13" s="4" customFormat="1" ht="25.5" x14ac:dyDescent="0.25">
      <c r="A5144" s="4" t="s">
        <v>8721</v>
      </c>
      <c r="B5144" s="4" t="s">
        <v>38</v>
      </c>
      <c r="C5144" s="38" t="s">
        <v>8348</v>
      </c>
      <c r="D5144" s="35">
        <v>7689</v>
      </c>
      <c r="E5144" s="4" t="s">
        <v>8722</v>
      </c>
      <c r="F5144" s="5">
        <v>40487</v>
      </c>
      <c r="G5144" s="5">
        <v>40543</v>
      </c>
      <c r="H5144" s="4" t="s">
        <v>40</v>
      </c>
      <c r="I5144" s="6">
        <v>1478.75</v>
      </c>
      <c r="J5144" s="6">
        <v>1478.75</v>
      </c>
      <c r="K5144" s="38" t="s">
        <v>8348</v>
      </c>
      <c r="L5144" s="119"/>
      <c r="M5144" s="3"/>
    </row>
    <row r="5145" spans="1:13" s="4" customFormat="1" ht="25.5" x14ac:dyDescent="0.25">
      <c r="A5145" s="4" t="s">
        <v>8723</v>
      </c>
      <c r="B5145" s="4" t="s">
        <v>38</v>
      </c>
      <c r="C5145" s="38" t="s">
        <v>8348</v>
      </c>
      <c r="D5145" s="35">
        <v>7690</v>
      </c>
      <c r="E5145" s="4" t="s">
        <v>8724</v>
      </c>
      <c r="F5145" s="5">
        <v>40238</v>
      </c>
      <c r="G5145" s="5">
        <v>40375</v>
      </c>
      <c r="H5145" s="4" t="s">
        <v>40</v>
      </c>
      <c r="I5145" s="6">
        <v>637.5</v>
      </c>
      <c r="J5145" s="6">
        <v>637.5</v>
      </c>
      <c r="K5145" s="38" t="s">
        <v>8348</v>
      </c>
      <c r="L5145" s="119"/>
      <c r="M5145" s="3"/>
    </row>
    <row r="5146" spans="1:13" s="4" customFormat="1" ht="25.5" x14ac:dyDescent="0.25">
      <c r="A5146" s="4" t="s">
        <v>8725</v>
      </c>
      <c r="B5146" s="4" t="s">
        <v>38</v>
      </c>
      <c r="C5146" s="38" t="s">
        <v>8348</v>
      </c>
      <c r="D5146" s="35">
        <v>7691</v>
      </c>
      <c r="E5146" s="4" t="s">
        <v>8726</v>
      </c>
      <c r="F5146" s="5">
        <v>40483</v>
      </c>
      <c r="G5146" s="5">
        <v>40521</v>
      </c>
      <c r="H5146" s="4" t="s">
        <v>40</v>
      </c>
      <c r="I5146" s="6">
        <v>184</v>
      </c>
      <c r="J5146" s="6">
        <v>184</v>
      </c>
      <c r="K5146" s="38" t="s">
        <v>8348</v>
      </c>
      <c r="L5146" s="119"/>
      <c r="M5146" s="3"/>
    </row>
    <row r="5147" spans="1:13" s="4" customFormat="1" ht="25.5" x14ac:dyDescent="0.25">
      <c r="A5147" s="4" t="s">
        <v>8727</v>
      </c>
      <c r="B5147" s="4" t="s">
        <v>38</v>
      </c>
      <c r="C5147" s="38" t="s">
        <v>8348</v>
      </c>
      <c r="D5147" s="35">
        <v>7692</v>
      </c>
      <c r="E5147" s="4" t="s">
        <v>8728</v>
      </c>
      <c r="F5147" s="5">
        <v>40189</v>
      </c>
      <c r="G5147" s="5">
        <v>40189</v>
      </c>
      <c r="H5147" s="4" t="s">
        <v>40</v>
      </c>
      <c r="I5147" s="6">
        <v>410</v>
      </c>
      <c r="J5147" s="6">
        <v>410</v>
      </c>
      <c r="K5147" s="38" t="s">
        <v>8348</v>
      </c>
      <c r="L5147" s="119"/>
      <c r="M5147" s="3"/>
    </row>
    <row r="5148" spans="1:13" s="4" customFormat="1" ht="25.5" x14ac:dyDescent="0.25">
      <c r="A5148" s="4" t="s">
        <v>8729</v>
      </c>
      <c r="B5148" s="4" t="s">
        <v>38</v>
      </c>
      <c r="C5148" s="38" t="s">
        <v>8348</v>
      </c>
      <c r="D5148" s="35">
        <v>7693</v>
      </c>
      <c r="E5148" s="4" t="s">
        <v>8730</v>
      </c>
      <c r="F5148" s="5">
        <v>40526</v>
      </c>
      <c r="G5148" s="5">
        <v>40543</v>
      </c>
      <c r="H5148" s="4" t="s">
        <v>40</v>
      </c>
      <c r="I5148" s="6">
        <v>4036.56</v>
      </c>
      <c r="J5148" s="6">
        <v>4036.56</v>
      </c>
      <c r="K5148" s="38" t="s">
        <v>8348</v>
      </c>
      <c r="L5148" s="119"/>
      <c r="M5148" s="3"/>
    </row>
    <row r="5149" spans="1:13" s="4" customFormat="1" ht="25.5" x14ac:dyDescent="0.25">
      <c r="A5149" s="4" t="s">
        <v>8731</v>
      </c>
      <c r="B5149" s="4" t="s">
        <v>38</v>
      </c>
      <c r="C5149" s="38" t="s">
        <v>8348</v>
      </c>
      <c r="D5149" s="35">
        <v>7694</v>
      </c>
      <c r="E5149" s="4" t="s">
        <v>8732</v>
      </c>
      <c r="F5149" s="5">
        <v>40246</v>
      </c>
      <c r="G5149" s="5">
        <v>40535</v>
      </c>
      <c r="H5149" s="4" t="s">
        <v>40</v>
      </c>
      <c r="I5149" s="6">
        <v>2173</v>
      </c>
      <c r="J5149" s="6">
        <v>2173</v>
      </c>
      <c r="K5149" s="38" t="s">
        <v>8348</v>
      </c>
      <c r="L5149" s="119"/>
      <c r="M5149" s="3"/>
    </row>
    <row r="5150" spans="1:13" s="4" customFormat="1" ht="25.5" x14ac:dyDescent="0.25">
      <c r="A5150" s="4" t="s">
        <v>8733</v>
      </c>
      <c r="B5150" s="4" t="s">
        <v>38</v>
      </c>
      <c r="C5150" s="38" t="s">
        <v>8348</v>
      </c>
      <c r="D5150" s="35">
        <v>7695</v>
      </c>
      <c r="E5150" s="4" t="s">
        <v>8734</v>
      </c>
      <c r="F5150" s="5">
        <v>40422</v>
      </c>
      <c r="G5150" s="5">
        <v>40534</v>
      </c>
      <c r="H5150" s="4" t="s">
        <v>40</v>
      </c>
      <c r="I5150" s="6">
        <v>7500</v>
      </c>
      <c r="J5150" s="6">
        <v>7500</v>
      </c>
      <c r="K5150" s="38" t="s">
        <v>8348</v>
      </c>
      <c r="L5150" s="119"/>
      <c r="M5150" s="3"/>
    </row>
    <row r="5151" spans="1:13" s="4" customFormat="1" ht="127.5" x14ac:dyDescent="0.25">
      <c r="A5151" s="4" t="s">
        <v>8735</v>
      </c>
      <c r="B5151" s="4" t="s">
        <v>38</v>
      </c>
      <c r="C5151" s="38" t="s">
        <v>8348</v>
      </c>
      <c r="D5151" s="35">
        <v>7696</v>
      </c>
      <c r="E5151" s="7" t="s">
        <v>8736</v>
      </c>
      <c r="F5151" s="5">
        <v>40513</v>
      </c>
      <c r="G5151" s="5">
        <v>40543</v>
      </c>
      <c r="H5151" s="4" t="s">
        <v>40</v>
      </c>
      <c r="I5151" s="6">
        <v>6587.8</v>
      </c>
      <c r="J5151" s="6">
        <v>6587.8</v>
      </c>
      <c r="K5151" s="38" t="s">
        <v>8348</v>
      </c>
      <c r="L5151" s="119"/>
      <c r="M5151" s="3"/>
    </row>
    <row r="5152" spans="1:13" s="4" customFormat="1" ht="38.25" x14ac:dyDescent="0.25">
      <c r="A5152" s="4" t="s">
        <v>8737</v>
      </c>
      <c r="B5152" s="4" t="s">
        <v>190</v>
      </c>
      <c r="C5152" s="38" t="s">
        <v>8348</v>
      </c>
      <c r="D5152" s="35">
        <v>9140</v>
      </c>
      <c r="E5152" s="4" t="s">
        <v>8738</v>
      </c>
      <c r="F5152" s="5">
        <v>40568</v>
      </c>
      <c r="G5152" s="5">
        <v>40737</v>
      </c>
      <c r="H5152" s="4" t="s">
        <v>40</v>
      </c>
      <c r="I5152" s="6">
        <v>6000</v>
      </c>
      <c r="J5152" s="6">
        <v>6000</v>
      </c>
      <c r="K5152" s="38" t="s">
        <v>8348</v>
      </c>
      <c r="L5152" s="119"/>
      <c r="M5152" s="3"/>
    </row>
    <row r="5153" spans="1:13" s="4" customFormat="1" ht="25.5" x14ac:dyDescent="0.25">
      <c r="A5153" s="4" t="s">
        <v>8739</v>
      </c>
      <c r="B5153" s="4" t="s">
        <v>190</v>
      </c>
      <c r="C5153" s="38" t="s">
        <v>8348</v>
      </c>
      <c r="D5153" s="35">
        <v>9141</v>
      </c>
      <c r="E5153" s="4" t="s">
        <v>8740</v>
      </c>
      <c r="F5153" s="5">
        <v>40890</v>
      </c>
      <c r="G5153" s="5">
        <v>41052</v>
      </c>
      <c r="H5153" s="4" t="s">
        <v>40</v>
      </c>
      <c r="I5153" s="6">
        <v>30393.69</v>
      </c>
      <c r="J5153" s="6">
        <v>14162.63</v>
      </c>
      <c r="K5153" s="38" t="s">
        <v>8348</v>
      </c>
      <c r="L5153" s="119"/>
      <c r="M5153" s="3"/>
    </row>
    <row r="5154" spans="1:13" s="4" customFormat="1" ht="38.25" x14ac:dyDescent="0.25">
      <c r="A5154" s="4" t="s">
        <v>8741</v>
      </c>
      <c r="B5154" s="4" t="s">
        <v>190</v>
      </c>
      <c r="C5154" s="38" t="s">
        <v>8348</v>
      </c>
      <c r="D5154" s="35">
        <v>9142</v>
      </c>
      <c r="E5154" s="4" t="s">
        <v>8742</v>
      </c>
      <c r="F5154" s="5">
        <v>40506</v>
      </c>
      <c r="G5154" s="5">
        <v>41026</v>
      </c>
      <c r="H5154" s="4" t="s">
        <v>40</v>
      </c>
      <c r="I5154" s="6">
        <v>7400</v>
      </c>
      <c r="J5154" s="6">
        <v>7400</v>
      </c>
      <c r="K5154" s="38" t="s">
        <v>8348</v>
      </c>
      <c r="L5154" s="119"/>
      <c r="M5154" s="3"/>
    </row>
    <row r="5155" spans="1:13" s="4" customFormat="1" ht="38.25" x14ac:dyDescent="0.25">
      <c r="A5155" s="4" t="s">
        <v>8743</v>
      </c>
      <c r="B5155" s="4" t="s">
        <v>190</v>
      </c>
      <c r="C5155" s="38" t="s">
        <v>8348</v>
      </c>
      <c r="D5155" s="35">
        <v>9143</v>
      </c>
      <c r="E5155" s="4" t="s">
        <v>8744</v>
      </c>
      <c r="F5155" s="5">
        <v>40660</v>
      </c>
      <c r="G5155" s="5">
        <v>40862</v>
      </c>
      <c r="H5155" s="4" t="s">
        <v>40</v>
      </c>
      <c r="I5155" s="6">
        <v>8000</v>
      </c>
      <c r="J5155" s="6">
        <v>8000</v>
      </c>
      <c r="K5155" s="38" t="s">
        <v>8348</v>
      </c>
      <c r="L5155" s="119"/>
      <c r="M5155" s="3"/>
    </row>
    <row r="5156" spans="1:13" s="4" customFormat="1" ht="63.75" x14ac:dyDescent="0.25">
      <c r="A5156" s="4" t="s">
        <v>8745</v>
      </c>
      <c r="B5156" s="4" t="s">
        <v>190</v>
      </c>
      <c r="C5156" s="38" t="s">
        <v>8348</v>
      </c>
      <c r="D5156" s="35">
        <v>9144</v>
      </c>
      <c r="E5156" s="4" t="s">
        <v>8746</v>
      </c>
      <c r="F5156" s="5">
        <v>40597</v>
      </c>
      <c r="G5156" s="5">
        <v>40679</v>
      </c>
      <c r="H5156" s="4" t="s">
        <v>40</v>
      </c>
      <c r="I5156" s="6">
        <v>9925</v>
      </c>
      <c r="J5156" s="6">
        <v>4000</v>
      </c>
      <c r="K5156" s="38" t="s">
        <v>8348</v>
      </c>
      <c r="L5156" s="119"/>
      <c r="M5156" s="3"/>
    </row>
    <row r="5157" spans="1:13" s="4" customFormat="1" ht="38.25" x14ac:dyDescent="0.25">
      <c r="A5157" s="4" t="s">
        <v>8747</v>
      </c>
      <c r="B5157" s="4" t="s">
        <v>183</v>
      </c>
      <c r="C5157" s="38" t="s">
        <v>8348</v>
      </c>
      <c r="D5157" s="35">
        <v>9145</v>
      </c>
      <c r="E5157" s="4" t="s">
        <v>8748</v>
      </c>
      <c r="F5157" s="5">
        <v>40688</v>
      </c>
      <c r="G5157" s="5">
        <v>40908</v>
      </c>
      <c r="H5157" s="4" t="s">
        <v>40</v>
      </c>
      <c r="I5157" s="6">
        <v>3600</v>
      </c>
      <c r="J5157" s="6">
        <v>3600</v>
      </c>
      <c r="K5157" s="38" t="s">
        <v>8348</v>
      </c>
      <c r="L5157" s="119"/>
      <c r="M5157" s="3"/>
    </row>
    <row r="5158" spans="1:13" s="4" customFormat="1" x14ac:dyDescent="0.25">
      <c r="A5158" s="4" t="s">
        <v>8749</v>
      </c>
      <c r="B5158" s="4" t="s">
        <v>183</v>
      </c>
      <c r="C5158" s="38" t="s">
        <v>8348</v>
      </c>
      <c r="D5158" s="35">
        <v>9146</v>
      </c>
      <c r="E5158" s="4" t="s">
        <v>8750</v>
      </c>
      <c r="F5158" s="5">
        <v>40553</v>
      </c>
      <c r="G5158" s="5">
        <v>40774</v>
      </c>
      <c r="H5158" s="4" t="s">
        <v>40</v>
      </c>
      <c r="I5158" s="6">
        <v>14400</v>
      </c>
      <c r="J5158" s="6">
        <v>14400</v>
      </c>
      <c r="K5158" s="38" t="s">
        <v>8348</v>
      </c>
      <c r="L5158" s="119"/>
      <c r="M5158" s="3"/>
    </row>
    <row r="5159" spans="1:13" s="4" customFormat="1" x14ac:dyDescent="0.25">
      <c r="A5159" s="4" t="s">
        <v>8751</v>
      </c>
      <c r="B5159" s="4" t="s">
        <v>183</v>
      </c>
      <c r="C5159" s="38" t="s">
        <v>8348</v>
      </c>
      <c r="D5159" s="35">
        <v>9147</v>
      </c>
      <c r="E5159" s="4" t="s">
        <v>8752</v>
      </c>
      <c r="F5159" s="5">
        <v>40688</v>
      </c>
      <c r="G5159" s="5">
        <v>40842</v>
      </c>
      <c r="H5159" s="4" t="s">
        <v>40</v>
      </c>
      <c r="I5159" s="6">
        <v>20375</v>
      </c>
      <c r="J5159" s="6">
        <v>10000</v>
      </c>
      <c r="K5159" s="38" t="s">
        <v>8348</v>
      </c>
      <c r="L5159" s="119"/>
      <c r="M5159" s="3"/>
    </row>
    <row r="5160" spans="1:13" s="4" customFormat="1" ht="25.5" x14ac:dyDescent="0.25">
      <c r="A5160" s="4" t="s">
        <v>8755</v>
      </c>
      <c r="B5160" s="4" t="s">
        <v>190</v>
      </c>
      <c r="C5160" s="38" t="s">
        <v>8348</v>
      </c>
      <c r="D5160" s="35">
        <v>9149</v>
      </c>
      <c r="E5160" s="4" t="s">
        <v>8756</v>
      </c>
      <c r="F5160" s="5">
        <v>40737</v>
      </c>
      <c r="G5160" s="5">
        <v>40970</v>
      </c>
      <c r="H5160" s="4" t="s">
        <v>40</v>
      </c>
      <c r="I5160" s="6">
        <v>6000</v>
      </c>
      <c r="J5160" s="6">
        <v>6000</v>
      </c>
      <c r="K5160" s="38" t="s">
        <v>8348</v>
      </c>
      <c r="L5160" s="119"/>
      <c r="M5160" s="3"/>
    </row>
    <row r="5161" spans="1:13" s="4" customFormat="1" ht="38.25" x14ac:dyDescent="0.25">
      <c r="A5161" s="4" t="s">
        <v>8759</v>
      </c>
      <c r="B5161" s="4" t="s">
        <v>183</v>
      </c>
      <c r="C5161" s="38" t="s">
        <v>8348</v>
      </c>
      <c r="D5161" s="35">
        <v>9152</v>
      </c>
      <c r="E5161" s="4" t="s">
        <v>8760</v>
      </c>
      <c r="F5161" s="5">
        <v>40668</v>
      </c>
      <c r="G5161" s="5">
        <v>40900</v>
      </c>
      <c r="H5161" s="4" t="s">
        <v>40</v>
      </c>
      <c r="I5161" s="6">
        <v>8117.5</v>
      </c>
      <c r="J5161" s="6">
        <v>4250</v>
      </c>
      <c r="K5161" s="38" t="s">
        <v>8348</v>
      </c>
      <c r="L5161" s="119"/>
      <c r="M5161" s="3"/>
    </row>
    <row r="5162" spans="1:13" s="4" customFormat="1" ht="38.25" x14ac:dyDescent="0.25">
      <c r="A5162" s="4" t="s">
        <v>8761</v>
      </c>
      <c r="B5162" s="4" t="s">
        <v>90</v>
      </c>
      <c r="C5162" s="38" t="s">
        <v>8348</v>
      </c>
      <c r="D5162" s="35">
        <v>9153</v>
      </c>
      <c r="E5162" s="4" t="s">
        <v>8762</v>
      </c>
      <c r="F5162" s="5">
        <v>40668</v>
      </c>
      <c r="G5162" s="5">
        <v>40865</v>
      </c>
      <c r="H5162" s="4" t="s">
        <v>40</v>
      </c>
      <c r="I5162" s="6">
        <v>18775.240000000002</v>
      </c>
      <c r="J5162" s="6">
        <v>9389.1200000000008</v>
      </c>
      <c r="K5162" s="38" t="s">
        <v>8348</v>
      </c>
      <c r="L5162" s="119"/>
      <c r="M5162" s="3"/>
    </row>
    <row r="5163" spans="1:13" s="4" customFormat="1" ht="25.5" x14ac:dyDescent="0.25">
      <c r="A5163" s="4" t="s">
        <v>8763</v>
      </c>
      <c r="B5163" s="4" t="s">
        <v>183</v>
      </c>
      <c r="C5163" s="38" t="s">
        <v>8348</v>
      </c>
      <c r="D5163" s="35">
        <v>9154</v>
      </c>
      <c r="E5163" s="4" t="s">
        <v>8764</v>
      </c>
      <c r="F5163" s="5">
        <v>40668</v>
      </c>
      <c r="G5163" s="5">
        <v>40843</v>
      </c>
      <c r="H5163" s="4" t="s">
        <v>40</v>
      </c>
      <c r="I5163" s="6">
        <v>6000</v>
      </c>
      <c r="J5163" s="6">
        <v>6000</v>
      </c>
      <c r="K5163" s="38" t="s">
        <v>8348</v>
      </c>
      <c r="L5163" s="119"/>
      <c r="M5163" s="3"/>
    </row>
    <row r="5164" spans="1:13" s="4" customFormat="1" ht="51" x14ac:dyDescent="0.25">
      <c r="A5164" s="4" t="s">
        <v>8765</v>
      </c>
      <c r="B5164" s="4" t="s">
        <v>183</v>
      </c>
      <c r="C5164" s="38" t="s">
        <v>8348</v>
      </c>
      <c r="D5164" s="35">
        <v>9155</v>
      </c>
      <c r="E5164" s="4" t="s">
        <v>8766</v>
      </c>
      <c r="F5164" s="5">
        <v>40597</v>
      </c>
      <c r="G5164" s="5">
        <v>40862</v>
      </c>
      <c r="H5164" s="4" t="s">
        <v>40</v>
      </c>
      <c r="I5164" s="6">
        <v>6750.02</v>
      </c>
      <c r="J5164" s="6">
        <v>4125.01</v>
      </c>
      <c r="K5164" s="38" t="s">
        <v>8348</v>
      </c>
      <c r="L5164" s="119"/>
      <c r="M5164" s="3"/>
    </row>
    <row r="5165" spans="1:13" s="4" customFormat="1" ht="38.25" x14ac:dyDescent="0.25">
      <c r="A5165" s="4" t="s">
        <v>8767</v>
      </c>
      <c r="B5165" s="4" t="s">
        <v>183</v>
      </c>
      <c r="C5165" s="38" t="s">
        <v>8348</v>
      </c>
      <c r="D5165" s="35">
        <v>9156</v>
      </c>
      <c r="E5165" s="4" t="s">
        <v>8768</v>
      </c>
      <c r="F5165" s="5">
        <v>40814</v>
      </c>
      <c r="G5165" s="5">
        <v>41019</v>
      </c>
      <c r="H5165" s="4" t="s">
        <v>40</v>
      </c>
      <c r="I5165" s="6">
        <v>10000</v>
      </c>
      <c r="J5165" s="6">
        <v>10000</v>
      </c>
      <c r="K5165" s="38" t="s">
        <v>8348</v>
      </c>
      <c r="L5165" s="119"/>
      <c r="M5165" s="3"/>
    </row>
    <row r="5166" spans="1:13" s="4" customFormat="1" ht="38.25" x14ac:dyDescent="0.25">
      <c r="A5166" s="4" t="s">
        <v>8769</v>
      </c>
      <c r="B5166" s="4" t="s">
        <v>183</v>
      </c>
      <c r="C5166" s="38" t="s">
        <v>8348</v>
      </c>
      <c r="D5166" s="35">
        <v>9157</v>
      </c>
      <c r="E5166" s="4" t="s">
        <v>8770</v>
      </c>
      <c r="F5166" s="5">
        <v>40737</v>
      </c>
      <c r="G5166" s="5">
        <v>41047</v>
      </c>
      <c r="H5166" s="4" t="s">
        <v>40</v>
      </c>
      <c r="I5166" s="6">
        <v>69999.8</v>
      </c>
      <c r="J5166" s="6">
        <v>35000</v>
      </c>
      <c r="K5166" s="38" t="s">
        <v>8348</v>
      </c>
      <c r="L5166" s="119"/>
      <c r="M5166" s="3"/>
    </row>
    <row r="5167" spans="1:13" s="4" customFormat="1" ht="89.25" x14ac:dyDescent="0.25">
      <c r="A5167" s="4" t="s">
        <v>8773</v>
      </c>
      <c r="B5167" s="4" t="s">
        <v>183</v>
      </c>
      <c r="C5167" s="38" t="s">
        <v>8348</v>
      </c>
      <c r="D5167" s="35">
        <v>9159</v>
      </c>
      <c r="E5167" s="7" t="s">
        <v>8774</v>
      </c>
      <c r="F5167" s="5">
        <v>40688</v>
      </c>
      <c r="G5167" s="5">
        <v>40890</v>
      </c>
      <c r="H5167" s="4" t="s">
        <v>40</v>
      </c>
      <c r="I5167" s="6">
        <v>2600</v>
      </c>
      <c r="J5167" s="6">
        <v>2600</v>
      </c>
      <c r="K5167" s="38" t="s">
        <v>8348</v>
      </c>
      <c r="L5167" s="119"/>
      <c r="M5167" s="3"/>
    </row>
    <row r="5168" spans="1:13" s="4" customFormat="1" ht="38.25" x14ac:dyDescent="0.25">
      <c r="A5168" s="4" t="s">
        <v>8775</v>
      </c>
      <c r="B5168" s="4" t="s">
        <v>183</v>
      </c>
      <c r="C5168" s="38" t="s">
        <v>8348</v>
      </c>
      <c r="D5168" s="35">
        <v>9160</v>
      </c>
      <c r="E5168" s="4" t="s">
        <v>8776</v>
      </c>
      <c r="F5168" s="5">
        <v>40814</v>
      </c>
      <c r="G5168" s="5">
        <v>41019</v>
      </c>
      <c r="H5168" s="4" t="s">
        <v>40</v>
      </c>
      <c r="I5168" s="6">
        <v>4625</v>
      </c>
      <c r="J5168" s="6">
        <v>4625</v>
      </c>
      <c r="K5168" s="38" t="s">
        <v>8348</v>
      </c>
      <c r="L5168" s="119"/>
      <c r="M5168" s="3"/>
    </row>
    <row r="5169" spans="1:13" s="4" customFormat="1" ht="51" x14ac:dyDescent="0.25">
      <c r="A5169" s="4" t="s">
        <v>8777</v>
      </c>
      <c r="B5169" s="4" t="s">
        <v>183</v>
      </c>
      <c r="C5169" s="38" t="s">
        <v>8348</v>
      </c>
      <c r="D5169" s="35">
        <v>9161</v>
      </c>
      <c r="E5169" s="4" t="s">
        <v>8778</v>
      </c>
      <c r="F5169" s="5">
        <v>40688</v>
      </c>
      <c r="G5169" s="5">
        <v>40735</v>
      </c>
      <c r="H5169" s="4" t="s">
        <v>40</v>
      </c>
      <c r="I5169" s="6">
        <v>3600</v>
      </c>
      <c r="J5169" s="6">
        <v>3600</v>
      </c>
      <c r="K5169" s="38" t="s">
        <v>8348</v>
      </c>
      <c r="L5169" s="119"/>
      <c r="M5169" s="3"/>
    </row>
    <row r="5170" spans="1:13" s="4" customFormat="1" ht="51" x14ac:dyDescent="0.25">
      <c r="A5170" s="4" t="s">
        <v>8779</v>
      </c>
      <c r="B5170" s="4" t="s">
        <v>183</v>
      </c>
      <c r="C5170" s="38" t="s">
        <v>8348</v>
      </c>
      <c r="D5170" s="35">
        <v>9162</v>
      </c>
      <c r="E5170" s="4" t="s">
        <v>8780</v>
      </c>
      <c r="F5170" s="5">
        <v>40737</v>
      </c>
      <c r="G5170" s="5">
        <v>40939</v>
      </c>
      <c r="H5170" s="4" t="s">
        <v>40</v>
      </c>
      <c r="I5170" s="6">
        <v>4500</v>
      </c>
      <c r="J5170" s="6">
        <v>4500</v>
      </c>
      <c r="K5170" s="38" t="s">
        <v>8348</v>
      </c>
      <c r="L5170" s="119"/>
      <c r="M5170" s="3"/>
    </row>
    <row r="5171" spans="1:13" s="4" customFormat="1" ht="63.75" x14ac:dyDescent="0.25">
      <c r="A5171" s="4" t="s">
        <v>8783</v>
      </c>
      <c r="B5171" s="4" t="s">
        <v>38</v>
      </c>
      <c r="C5171" s="38" t="s">
        <v>8348</v>
      </c>
      <c r="D5171" s="35">
        <v>9164</v>
      </c>
      <c r="E5171" s="4" t="s">
        <v>8784</v>
      </c>
      <c r="F5171" s="5">
        <v>40492</v>
      </c>
      <c r="G5171" s="5">
        <v>40672</v>
      </c>
      <c r="H5171" s="4" t="s">
        <v>40</v>
      </c>
      <c r="I5171" s="6">
        <v>13435.58</v>
      </c>
      <c r="J5171" s="6">
        <v>4898.3900000000003</v>
      </c>
      <c r="K5171" s="38" t="s">
        <v>8348</v>
      </c>
      <c r="L5171" s="119"/>
      <c r="M5171" s="3"/>
    </row>
    <row r="5172" spans="1:13" s="4" customFormat="1" ht="63.75" x14ac:dyDescent="0.25">
      <c r="A5172" s="4" t="s">
        <v>8785</v>
      </c>
      <c r="B5172" s="4" t="s">
        <v>38</v>
      </c>
      <c r="C5172" s="38" t="s">
        <v>8348</v>
      </c>
      <c r="D5172" s="35">
        <v>9165</v>
      </c>
      <c r="E5172" s="4" t="s">
        <v>8786</v>
      </c>
      <c r="F5172" s="5">
        <v>40544</v>
      </c>
      <c r="G5172" s="5">
        <v>40908</v>
      </c>
      <c r="H5172" s="4" t="s">
        <v>40</v>
      </c>
      <c r="I5172" s="6">
        <v>6043.95</v>
      </c>
      <c r="J5172" s="6">
        <v>6043.95</v>
      </c>
      <c r="K5172" s="38" t="s">
        <v>8348</v>
      </c>
      <c r="L5172" s="119"/>
      <c r="M5172" s="3"/>
    </row>
    <row r="5173" spans="1:13" s="4" customFormat="1" ht="38.25" x14ac:dyDescent="0.25">
      <c r="A5173" s="4" t="s">
        <v>8787</v>
      </c>
      <c r="B5173" s="4" t="s">
        <v>38</v>
      </c>
      <c r="C5173" s="38" t="s">
        <v>8348</v>
      </c>
      <c r="D5173" s="35">
        <v>9166</v>
      </c>
      <c r="E5173" s="4" t="s">
        <v>8788</v>
      </c>
      <c r="F5173" s="5">
        <v>40704</v>
      </c>
      <c r="G5173" s="5">
        <v>40908</v>
      </c>
      <c r="H5173" s="4" t="s">
        <v>40</v>
      </c>
      <c r="I5173" s="6">
        <v>1210</v>
      </c>
      <c r="J5173" s="6">
        <v>1210</v>
      </c>
      <c r="K5173" s="38" t="s">
        <v>8348</v>
      </c>
      <c r="L5173" s="119"/>
      <c r="M5173" s="3"/>
    </row>
    <row r="5174" spans="1:13" s="4" customFormat="1" ht="25.5" x14ac:dyDescent="0.25">
      <c r="A5174" s="4" t="s">
        <v>8789</v>
      </c>
      <c r="B5174" s="4" t="s">
        <v>38</v>
      </c>
      <c r="C5174" s="38" t="s">
        <v>8348</v>
      </c>
      <c r="D5174" s="35">
        <v>9167</v>
      </c>
      <c r="E5174" s="4" t="s">
        <v>8790</v>
      </c>
      <c r="F5174" s="5">
        <v>40848</v>
      </c>
      <c r="G5174" s="5">
        <v>40884</v>
      </c>
      <c r="H5174" s="4" t="s">
        <v>40</v>
      </c>
      <c r="I5174" s="6">
        <v>814.5</v>
      </c>
      <c r="J5174" s="6">
        <v>814.5</v>
      </c>
      <c r="K5174" s="38" t="s">
        <v>8348</v>
      </c>
      <c r="L5174" s="119"/>
      <c r="M5174" s="3"/>
    </row>
    <row r="5175" spans="1:13" s="4" customFormat="1" ht="38.25" x14ac:dyDescent="0.25">
      <c r="A5175" s="4" t="s">
        <v>8791</v>
      </c>
      <c r="B5175" s="4" t="s">
        <v>38</v>
      </c>
      <c r="C5175" s="38" t="s">
        <v>8348</v>
      </c>
      <c r="D5175" s="35">
        <v>9168</v>
      </c>
      <c r="E5175" s="4" t="s">
        <v>8792</v>
      </c>
      <c r="F5175" s="5">
        <v>40812</v>
      </c>
      <c r="G5175" s="5">
        <v>41264</v>
      </c>
      <c r="H5175" s="4" t="s">
        <v>40</v>
      </c>
      <c r="I5175" s="6">
        <v>15404</v>
      </c>
      <c r="J5175" s="6">
        <v>15404</v>
      </c>
      <c r="K5175" s="38" t="s">
        <v>8348</v>
      </c>
      <c r="L5175" s="119"/>
      <c r="M5175" s="3"/>
    </row>
    <row r="5176" spans="1:13" s="4" customFormat="1" ht="25.5" x14ac:dyDescent="0.25">
      <c r="A5176" s="4" t="s">
        <v>8793</v>
      </c>
      <c r="B5176" s="4" t="s">
        <v>38</v>
      </c>
      <c r="C5176" s="38" t="s">
        <v>8348</v>
      </c>
      <c r="D5176" s="35">
        <v>9169</v>
      </c>
      <c r="E5176" s="4" t="s">
        <v>8794</v>
      </c>
      <c r="F5176" s="5">
        <v>40840</v>
      </c>
      <c r="G5176" s="5">
        <v>40891</v>
      </c>
      <c r="H5176" s="4" t="s">
        <v>40</v>
      </c>
      <c r="I5176" s="6">
        <v>360</v>
      </c>
      <c r="J5176" s="6">
        <v>360</v>
      </c>
      <c r="K5176" s="38" t="s">
        <v>8348</v>
      </c>
      <c r="L5176" s="119"/>
      <c r="M5176" s="3"/>
    </row>
    <row r="5177" spans="1:13" s="4" customFormat="1" ht="38.25" x14ac:dyDescent="0.25">
      <c r="A5177" s="4" t="s">
        <v>8795</v>
      </c>
      <c r="B5177" s="4" t="s">
        <v>38</v>
      </c>
      <c r="C5177" s="38" t="s">
        <v>8348</v>
      </c>
      <c r="D5177" s="35">
        <v>9170</v>
      </c>
      <c r="E5177" s="4" t="s">
        <v>8718</v>
      </c>
      <c r="F5177" s="5">
        <v>40561</v>
      </c>
      <c r="G5177" s="5">
        <v>41274</v>
      </c>
      <c r="H5177" s="4" t="s">
        <v>40</v>
      </c>
      <c r="I5177" s="6">
        <v>2914</v>
      </c>
      <c r="J5177" s="6">
        <v>2914</v>
      </c>
      <c r="K5177" s="38" t="s">
        <v>8348</v>
      </c>
      <c r="L5177" s="119"/>
      <c r="M5177" s="3"/>
    </row>
    <row r="5178" spans="1:13" s="4" customFormat="1" ht="63.75" x14ac:dyDescent="0.25">
      <c r="A5178" s="4" t="s">
        <v>8796</v>
      </c>
      <c r="B5178" s="4" t="s">
        <v>38</v>
      </c>
      <c r="C5178" s="38" t="s">
        <v>8348</v>
      </c>
      <c r="D5178" s="35">
        <v>9172</v>
      </c>
      <c r="E5178" s="4" t="s">
        <v>8797</v>
      </c>
      <c r="F5178" s="5">
        <v>40544</v>
      </c>
      <c r="G5178" s="5">
        <v>41274</v>
      </c>
      <c r="H5178" s="4" t="s">
        <v>40</v>
      </c>
      <c r="I5178" s="6">
        <v>61000</v>
      </c>
      <c r="J5178" s="6">
        <v>61000</v>
      </c>
      <c r="K5178" s="38" t="s">
        <v>8348</v>
      </c>
      <c r="L5178" s="119"/>
      <c r="M5178" s="3"/>
    </row>
    <row r="5179" spans="1:13" s="4" customFormat="1" ht="25.5" x14ac:dyDescent="0.25">
      <c r="A5179" s="4" t="s">
        <v>6297</v>
      </c>
      <c r="B5179" s="4" t="s">
        <v>38</v>
      </c>
      <c r="C5179" s="38" t="s">
        <v>8348</v>
      </c>
      <c r="D5179" s="35">
        <v>9173</v>
      </c>
      <c r="E5179" s="4" t="s">
        <v>8798</v>
      </c>
      <c r="F5179" s="5">
        <v>40799</v>
      </c>
      <c r="G5179" s="5">
        <v>40893</v>
      </c>
      <c r="H5179" s="4" t="s">
        <v>40</v>
      </c>
      <c r="I5179" s="6">
        <v>2823</v>
      </c>
      <c r="J5179" s="6">
        <v>2823</v>
      </c>
      <c r="K5179" s="38" t="s">
        <v>8348</v>
      </c>
      <c r="L5179" s="119"/>
      <c r="M5179" s="3"/>
    </row>
    <row r="5180" spans="1:13" s="4" customFormat="1" ht="38.25" x14ac:dyDescent="0.25">
      <c r="A5180" s="4" t="s">
        <v>8799</v>
      </c>
      <c r="B5180" s="4" t="s">
        <v>38</v>
      </c>
      <c r="C5180" s="38" t="s">
        <v>8348</v>
      </c>
      <c r="D5180" s="35">
        <v>9174</v>
      </c>
      <c r="E5180" s="4" t="s">
        <v>8800</v>
      </c>
      <c r="F5180" s="5">
        <v>40544</v>
      </c>
      <c r="G5180" s="5">
        <v>40908</v>
      </c>
      <c r="H5180" s="4" t="s">
        <v>40</v>
      </c>
      <c r="I5180" s="6">
        <v>15931.75</v>
      </c>
      <c r="J5180" s="6">
        <v>15931.75</v>
      </c>
      <c r="K5180" s="38" t="s">
        <v>8348</v>
      </c>
      <c r="L5180" s="119"/>
      <c r="M5180" s="3"/>
    </row>
    <row r="5181" spans="1:13" s="4" customFormat="1" ht="51" x14ac:dyDescent="0.25">
      <c r="A5181" s="4" t="s">
        <v>8801</v>
      </c>
      <c r="B5181" s="4" t="s">
        <v>38</v>
      </c>
      <c r="C5181" s="38" t="s">
        <v>8348</v>
      </c>
      <c r="D5181" s="35">
        <v>9175</v>
      </c>
      <c r="E5181" s="4" t="s">
        <v>8802</v>
      </c>
      <c r="F5181" s="5">
        <v>40544</v>
      </c>
      <c r="G5181" s="5">
        <v>41274</v>
      </c>
      <c r="H5181" s="4" t="s">
        <v>40</v>
      </c>
      <c r="I5181" s="6">
        <v>13231.92</v>
      </c>
      <c r="J5181" s="6">
        <v>6615.96</v>
      </c>
      <c r="K5181" s="38" t="s">
        <v>8348</v>
      </c>
      <c r="L5181" s="119"/>
      <c r="M5181" s="3"/>
    </row>
    <row r="5182" spans="1:13" s="4" customFormat="1" ht="25.5" x14ac:dyDescent="0.25">
      <c r="A5182" s="4" t="s">
        <v>8803</v>
      </c>
      <c r="B5182" s="4" t="s">
        <v>38</v>
      </c>
      <c r="C5182" s="38" t="s">
        <v>8348</v>
      </c>
      <c r="D5182" s="35">
        <v>9176</v>
      </c>
      <c r="E5182" s="4" t="s">
        <v>8804</v>
      </c>
      <c r="F5182" s="5">
        <v>40878</v>
      </c>
      <c r="G5182" s="5">
        <v>40891</v>
      </c>
      <c r="H5182" s="4" t="s">
        <v>40</v>
      </c>
      <c r="I5182" s="6">
        <v>500</v>
      </c>
      <c r="J5182" s="6">
        <v>500</v>
      </c>
      <c r="K5182" s="38" t="s">
        <v>8348</v>
      </c>
      <c r="L5182" s="119"/>
      <c r="M5182" s="3"/>
    </row>
    <row r="5183" spans="1:13" s="4" customFormat="1" ht="76.5" x14ac:dyDescent="0.25">
      <c r="A5183" s="4" t="s">
        <v>8805</v>
      </c>
      <c r="B5183" s="4" t="s">
        <v>38</v>
      </c>
      <c r="C5183" s="38" t="s">
        <v>8348</v>
      </c>
      <c r="D5183" s="35">
        <v>9177</v>
      </c>
      <c r="E5183" s="4" t="s">
        <v>8806</v>
      </c>
      <c r="F5183" s="5">
        <v>40695</v>
      </c>
      <c r="G5183" s="5">
        <v>40730</v>
      </c>
      <c r="H5183" s="4" t="s">
        <v>40</v>
      </c>
      <c r="I5183" s="6">
        <v>6570.07</v>
      </c>
      <c r="J5183" s="6">
        <v>6570.07</v>
      </c>
      <c r="K5183" s="38" t="s">
        <v>8348</v>
      </c>
      <c r="L5183" s="119"/>
      <c r="M5183" s="3"/>
    </row>
    <row r="5184" spans="1:13" s="4" customFormat="1" ht="25.5" x14ac:dyDescent="0.25">
      <c r="A5184" s="4" t="s">
        <v>8807</v>
      </c>
      <c r="B5184" s="4" t="s">
        <v>38</v>
      </c>
      <c r="C5184" s="38" t="s">
        <v>8348</v>
      </c>
      <c r="D5184" s="35">
        <v>9178</v>
      </c>
      <c r="E5184" s="4" t="s">
        <v>8808</v>
      </c>
      <c r="F5184" s="5">
        <v>40634</v>
      </c>
      <c r="G5184" s="5">
        <v>40908</v>
      </c>
      <c r="H5184" s="4" t="s">
        <v>40</v>
      </c>
      <c r="I5184" s="6">
        <v>1950.4</v>
      </c>
      <c r="J5184" s="6">
        <v>1950.4</v>
      </c>
      <c r="K5184" s="38" t="s">
        <v>8348</v>
      </c>
      <c r="L5184" s="119"/>
      <c r="M5184" s="3"/>
    </row>
    <row r="5185" spans="1:13" s="4" customFormat="1" ht="25.5" x14ac:dyDescent="0.25">
      <c r="A5185" s="4" t="s">
        <v>8809</v>
      </c>
      <c r="B5185" s="4" t="s">
        <v>38</v>
      </c>
      <c r="C5185" s="38" t="s">
        <v>8348</v>
      </c>
      <c r="D5185" s="35">
        <v>9179</v>
      </c>
      <c r="E5185" s="4" t="s">
        <v>8810</v>
      </c>
      <c r="F5185" s="5">
        <v>40575</v>
      </c>
      <c r="G5185" s="5">
        <v>40595</v>
      </c>
      <c r="H5185" s="4" t="s">
        <v>40</v>
      </c>
      <c r="I5185" s="6">
        <v>3469.55</v>
      </c>
      <c r="J5185" s="6">
        <v>3469.55</v>
      </c>
      <c r="K5185" s="38" t="s">
        <v>8348</v>
      </c>
      <c r="L5185" s="119"/>
      <c r="M5185" s="3"/>
    </row>
    <row r="5186" spans="1:13" s="4" customFormat="1" ht="25.5" x14ac:dyDescent="0.25">
      <c r="A5186" s="4" t="s">
        <v>8811</v>
      </c>
      <c r="B5186" s="4" t="s">
        <v>38</v>
      </c>
      <c r="C5186" s="38" t="s">
        <v>8348</v>
      </c>
      <c r="D5186" s="35">
        <v>9181</v>
      </c>
      <c r="E5186" s="4" t="s">
        <v>8812</v>
      </c>
      <c r="F5186" s="5">
        <v>40722</v>
      </c>
      <c r="G5186" s="5">
        <v>40991</v>
      </c>
      <c r="H5186" s="4" t="s">
        <v>40</v>
      </c>
      <c r="I5186" s="6">
        <v>4002.45</v>
      </c>
      <c r="J5186" s="6">
        <v>4002.45</v>
      </c>
      <c r="K5186" s="38" t="s">
        <v>8348</v>
      </c>
      <c r="L5186" s="119"/>
      <c r="M5186" s="3"/>
    </row>
    <row r="5187" spans="1:13" s="4" customFormat="1" ht="25.5" x14ac:dyDescent="0.25">
      <c r="A5187" s="4" t="s">
        <v>8600</v>
      </c>
      <c r="B5187" s="4" t="s">
        <v>38</v>
      </c>
      <c r="C5187" s="38" t="s">
        <v>8348</v>
      </c>
      <c r="D5187" s="35">
        <v>9182</v>
      </c>
      <c r="E5187" s="4" t="s">
        <v>8601</v>
      </c>
      <c r="F5187" s="5">
        <v>40787</v>
      </c>
      <c r="G5187" s="5">
        <v>40816</v>
      </c>
      <c r="H5187" s="4" t="s">
        <v>40</v>
      </c>
      <c r="I5187" s="6">
        <v>1730.3</v>
      </c>
      <c r="J5187" s="6">
        <v>1730.3</v>
      </c>
      <c r="K5187" s="38" t="s">
        <v>8348</v>
      </c>
      <c r="L5187" s="119"/>
      <c r="M5187" s="3"/>
    </row>
    <row r="5188" spans="1:13" s="4" customFormat="1" ht="76.5" x14ac:dyDescent="0.25">
      <c r="A5188" s="4" t="s">
        <v>8813</v>
      </c>
      <c r="B5188" s="4" t="s">
        <v>38</v>
      </c>
      <c r="C5188" s="38" t="s">
        <v>8348</v>
      </c>
      <c r="D5188" s="35">
        <v>9183</v>
      </c>
      <c r="E5188" s="4" t="s">
        <v>8814</v>
      </c>
      <c r="F5188" s="5">
        <v>40544</v>
      </c>
      <c r="G5188" s="5">
        <v>41274</v>
      </c>
      <c r="H5188" s="4" t="s">
        <v>40</v>
      </c>
      <c r="I5188" s="6">
        <v>49226.8</v>
      </c>
      <c r="J5188" s="6">
        <v>24613.4</v>
      </c>
      <c r="K5188" s="38" t="s">
        <v>8348</v>
      </c>
      <c r="L5188" s="119"/>
      <c r="M5188" s="3"/>
    </row>
    <row r="5189" spans="1:13" s="4" customFormat="1" ht="63.75" x14ac:dyDescent="0.25">
      <c r="A5189" s="4" t="s">
        <v>8815</v>
      </c>
      <c r="B5189" s="4" t="s">
        <v>38</v>
      </c>
      <c r="C5189" s="38" t="s">
        <v>8348</v>
      </c>
      <c r="D5189" s="35">
        <v>9184</v>
      </c>
      <c r="E5189" s="4" t="s">
        <v>8816</v>
      </c>
      <c r="F5189" s="5">
        <v>40544</v>
      </c>
      <c r="G5189" s="5">
        <v>41274</v>
      </c>
      <c r="H5189" s="4" t="s">
        <v>40</v>
      </c>
      <c r="I5189" s="6">
        <v>7360</v>
      </c>
      <c r="J5189" s="6">
        <v>7360</v>
      </c>
      <c r="K5189" s="38" t="s">
        <v>8348</v>
      </c>
      <c r="L5189" s="119"/>
      <c r="M5189" s="3"/>
    </row>
    <row r="5190" spans="1:13" s="4" customFormat="1" ht="25.5" x14ac:dyDescent="0.25">
      <c r="A5190" s="4" t="s">
        <v>2284</v>
      </c>
      <c r="B5190" s="4" t="s">
        <v>38</v>
      </c>
      <c r="C5190" s="38" t="s">
        <v>8348</v>
      </c>
      <c r="D5190" s="35">
        <v>9185</v>
      </c>
      <c r="E5190" s="4" t="s">
        <v>8817</v>
      </c>
      <c r="F5190" s="5">
        <v>40544</v>
      </c>
      <c r="G5190" s="5">
        <v>41274</v>
      </c>
      <c r="H5190" s="4" t="s">
        <v>40</v>
      </c>
      <c r="I5190" s="6">
        <v>83299.66</v>
      </c>
      <c r="J5190" s="6">
        <v>83299.66</v>
      </c>
      <c r="K5190" s="38" t="s">
        <v>8348</v>
      </c>
      <c r="L5190" s="119"/>
      <c r="M5190" s="3"/>
    </row>
    <row r="5191" spans="1:13" s="4" customFormat="1" ht="25.5" x14ac:dyDescent="0.25">
      <c r="A5191" s="4" t="s">
        <v>8818</v>
      </c>
      <c r="B5191" s="4" t="s">
        <v>38</v>
      </c>
      <c r="C5191" s="38" t="s">
        <v>8348</v>
      </c>
      <c r="D5191" s="35">
        <v>9186</v>
      </c>
      <c r="E5191" s="4" t="s">
        <v>8819</v>
      </c>
      <c r="F5191" s="5">
        <v>40680</v>
      </c>
      <c r="G5191" s="5">
        <v>40693</v>
      </c>
      <c r="H5191" s="4" t="s">
        <v>40</v>
      </c>
      <c r="I5191" s="6">
        <v>500</v>
      </c>
      <c r="J5191" s="6">
        <v>500</v>
      </c>
      <c r="K5191" s="38" t="s">
        <v>8348</v>
      </c>
      <c r="L5191" s="119"/>
      <c r="M5191" s="3"/>
    </row>
    <row r="5192" spans="1:13" s="4" customFormat="1" ht="38.25" x14ac:dyDescent="0.25">
      <c r="A5192" s="4" t="s">
        <v>8820</v>
      </c>
      <c r="B5192" s="4" t="s">
        <v>38</v>
      </c>
      <c r="C5192" s="38" t="s">
        <v>8348</v>
      </c>
      <c r="D5192" s="35">
        <v>9187</v>
      </c>
      <c r="E5192" s="4" t="s">
        <v>8821</v>
      </c>
      <c r="F5192" s="5">
        <v>40544</v>
      </c>
      <c r="G5192" s="5">
        <v>41274</v>
      </c>
      <c r="H5192" s="4" t="s">
        <v>40</v>
      </c>
      <c r="I5192" s="6">
        <v>8051</v>
      </c>
      <c r="J5192" s="6">
        <v>8051</v>
      </c>
      <c r="K5192" s="38" t="s">
        <v>8348</v>
      </c>
      <c r="L5192" s="119"/>
      <c r="M5192" s="3"/>
    </row>
    <row r="5193" spans="1:13" s="4" customFormat="1" ht="38.25" x14ac:dyDescent="0.25">
      <c r="A5193" s="4" t="s">
        <v>8822</v>
      </c>
      <c r="B5193" s="4" t="s">
        <v>38</v>
      </c>
      <c r="C5193" s="38" t="s">
        <v>8348</v>
      </c>
      <c r="D5193" s="35">
        <v>9188</v>
      </c>
      <c r="E5193" s="4" t="s">
        <v>8823</v>
      </c>
      <c r="F5193" s="5">
        <v>40544</v>
      </c>
      <c r="G5193" s="5">
        <v>40908</v>
      </c>
      <c r="H5193" s="4" t="s">
        <v>40</v>
      </c>
      <c r="I5193" s="6">
        <v>3224.9</v>
      </c>
      <c r="J5193" s="6">
        <v>3224.9</v>
      </c>
      <c r="K5193" s="38" t="s">
        <v>8348</v>
      </c>
      <c r="L5193" s="119"/>
      <c r="M5193" s="3"/>
    </row>
    <row r="5194" spans="1:13" s="4" customFormat="1" ht="25.5" x14ac:dyDescent="0.25">
      <c r="A5194" s="4" t="s">
        <v>8824</v>
      </c>
      <c r="B5194" s="4" t="s">
        <v>38</v>
      </c>
      <c r="C5194" s="38" t="s">
        <v>8348</v>
      </c>
      <c r="D5194" s="35">
        <v>9189</v>
      </c>
      <c r="E5194" s="4" t="s">
        <v>8825</v>
      </c>
      <c r="F5194" s="5">
        <v>40695</v>
      </c>
      <c r="G5194" s="5">
        <v>40708</v>
      </c>
      <c r="H5194" s="4" t="s">
        <v>40</v>
      </c>
      <c r="I5194" s="6">
        <v>1750</v>
      </c>
      <c r="J5194" s="6">
        <v>1750</v>
      </c>
      <c r="K5194" s="38" t="s">
        <v>8348</v>
      </c>
      <c r="L5194" s="119"/>
      <c r="M5194" s="3"/>
    </row>
    <row r="5195" spans="1:13" s="4" customFormat="1" ht="76.5" x14ac:dyDescent="0.25">
      <c r="A5195" s="4" t="s">
        <v>8826</v>
      </c>
      <c r="B5195" s="4" t="s">
        <v>38</v>
      </c>
      <c r="C5195" s="38" t="s">
        <v>8348</v>
      </c>
      <c r="D5195" s="35">
        <v>9190</v>
      </c>
      <c r="E5195" s="4" t="s">
        <v>8827</v>
      </c>
      <c r="F5195" s="5">
        <v>40544</v>
      </c>
      <c r="G5195" s="5">
        <v>40908</v>
      </c>
      <c r="H5195" s="4" t="s">
        <v>40</v>
      </c>
      <c r="I5195" s="6">
        <v>2069.48</v>
      </c>
      <c r="J5195" s="6">
        <v>2069.48</v>
      </c>
      <c r="K5195" s="38" t="s">
        <v>8348</v>
      </c>
      <c r="L5195" s="119"/>
      <c r="M5195" s="3"/>
    </row>
    <row r="5196" spans="1:13" s="4" customFormat="1" ht="114.75" x14ac:dyDescent="0.25">
      <c r="A5196" s="4" t="s">
        <v>8828</v>
      </c>
      <c r="B5196" s="4" t="s">
        <v>38</v>
      </c>
      <c r="C5196" s="38" t="s">
        <v>8348</v>
      </c>
      <c r="D5196" s="35">
        <v>9191</v>
      </c>
      <c r="E5196" s="7" t="s">
        <v>8633</v>
      </c>
      <c r="F5196" s="5">
        <v>40544</v>
      </c>
      <c r="G5196" s="5">
        <v>41274</v>
      </c>
      <c r="H5196" s="4" t="s">
        <v>40</v>
      </c>
      <c r="I5196" s="6">
        <v>53900</v>
      </c>
      <c r="J5196" s="6">
        <v>53900</v>
      </c>
      <c r="K5196" s="38" t="s">
        <v>8348</v>
      </c>
      <c r="L5196" s="119"/>
      <c r="M5196" s="3"/>
    </row>
    <row r="5197" spans="1:13" s="4" customFormat="1" ht="25.5" x14ac:dyDescent="0.25">
      <c r="A5197" s="4" t="s">
        <v>8829</v>
      </c>
      <c r="B5197" s="4" t="s">
        <v>38</v>
      </c>
      <c r="C5197" s="38" t="s">
        <v>8348</v>
      </c>
      <c r="D5197" s="35">
        <v>9192</v>
      </c>
      <c r="E5197" s="4" t="s">
        <v>8640</v>
      </c>
      <c r="F5197" s="5">
        <v>40544</v>
      </c>
      <c r="G5197" s="5">
        <v>41274</v>
      </c>
      <c r="H5197" s="4" t="s">
        <v>40</v>
      </c>
      <c r="I5197" s="6">
        <v>12492.67</v>
      </c>
      <c r="J5197" s="6">
        <v>12492.67</v>
      </c>
      <c r="K5197" s="38" t="s">
        <v>8348</v>
      </c>
      <c r="L5197" s="119"/>
      <c r="M5197" s="3"/>
    </row>
    <row r="5198" spans="1:13" s="4" customFormat="1" ht="63.75" x14ac:dyDescent="0.25">
      <c r="A5198" s="4" t="s">
        <v>8830</v>
      </c>
      <c r="B5198" s="4" t="s">
        <v>38</v>
      </c>
      <c r="C5198" s="38" t="s">
        <v>8348</v>
      </c>
      <c r="D5198" s="35">
        <v>9193</v>
      </c>
      <c r="E5198" s="4" t="s">
        <v>8831</v>
      </c>
      <c r="F5198" s="5">
        <v>40544</v>
      </c>
      <c r="G5198" s="5">
        <v>40908</v>
      </c>
      <c r="H5198" s="4" t="s">
        <v>40</v>
      </c>
      <c r="I5198" s="6">
        <v>9771.98</v>
      </c>
      <c r="J5198" s="6">
        <v>4885.99</v>
      </c>
      <c r="K5198" s="38" t="s">
        <v>8348</v>
      </c>
      <c r="L5198" s="119"/>
      <c r="M5198" s="3"/>
    </row>
    <row r="5199" spans="1:13" s="4" customFormat="1" ht="38.25" x14ac:dyDescent="0.25">
      <c r="A5199" s="4" t="s">
        <v>8832</v>
      </c>
      <c r="B5199" s="4" t="s">
        <v>38</v>
      </c>
      <c r="C5199" s="38" t="s">
        <v>8348</v>
      </c>
      <c r="D5199" s="35">
        <v>9194</v>
      </c>
      <c r="E5199" s="4" t="s">
        <v>8833</v>
      </c>
      <c r="F5199" s="5">
        <v>40544</v>
      </c>
      <c r="G5199" s="5">
        <v>40908</v>
      </c>
      <c r="H5199" s="4" t="s">
        <v>40</v>
      </c>
      <c r="I5199" s="6">
        <v>587.29999999999995</v>
      </c>
      <c r="J5199" s="6">
        <v>293.64999999999998</v>
      </c>
      <c r="K5199" s="38" t="s">
        <v>8348</v>
      </c>
      <c r="L5199" s="119"/>
      <c r="M5199" s="3"/>
    </row>
    <row r="5200" spans="1:13" s="4" customFormat="1" ht="25.5" x14ac:dyDescent="0.25">
      <c r="A5200" s="4" t="s">
        <v>8834</v>
      </c>
      <c r="B5200" s="4" t="s">
        <v>38</v>
      </c>
      <c r="C5200" s="38" t="s">
        <v>8348</v>
      </c>
      <c r="D5200" s="35">
        <v>9195</v>
      </c>
      <c r="E5200" s="4" t="s">
        <v>8835</v>
      </c>
      <c r="F5200" s="5">
        <v>40603</v>
      </c>
      <c r="G5200" s="5">
        <v>40714</v>
      </c>
      <c r="H5200" s="4" t="s">
        <v>40</v>
      </c>
      <c r="I5200" s="6">
        <v>968</v>
      </c>
      <c r="J5200" s="6">
        <v>484</v>
      </c>
      <c r="K5200" s="38" t="s">
        <v>8348</v>
      </c>
      <c r="L5200" s="119"/>
      <c r="M5200" s="3"/>
    </row>
    <row r="5201" spans="1:13" s="4" customFormat="1" ht="25.5" x14ac:dyDescent="0.25">
      <c r="A5201" s="4" t="s">
        <v>8836</v>
      </c>
      <c r="B5201" s="4" t="s">
        <v>38</v>
      </c>
      <c r="C5201" s="38" t="s">
        <v>8348</v>
      </c>
      <c r="D5201" s="35">
        <v>9196</v>
      </c>
      <c r="E5201" s="4" t="s">
        <v>8837</v>
      </c>
      <c r="F5201" s="5">
        <v>40787</v>
      </c>
      <c r="G5201" s="5">
        <v>40908</v>
      </c>
      <c r="H5201" s="4" t="s">
        <v>40</v>
      </c>
      <c r="I5201" s="6">
        <v>2470</v>
      </c>
      <c r="J5201" s="6">
        <v>2470</v>
      </c>
      <c r="K5201" s="38" t="s">
        <v>8348</v>
      </c>
      <c r="L5201" s="119"/>
      <c r="M5201" s="3"/>
    </row>
    <row r="5202" spans="1:13" s="4" customFormat="1" ht="51" x14ac:dyDescent="0.25">
      <c r="A5202" s="4" t="s">
        <v>8838</v>
      </c>
      <c r="B5202" s="4" t="s">
        <v>38</v>
      </c>
      <c r="C5202" s="38" t="s">
        <v>8348</v>
      </c>
      <c r="D5202" s="35">
        <v>9197</v>
      </c>
      <c r="E5202" s="4" t="s">
        <v>8839</v>
      </c>
      <c r="F5202" s="5">
        <v>40544</v>
      </c>
      <c r="G5202" s="5">
        <v>41274</v>
      </c>
      <c r="H5202" s="4" t="s">
        <v>40</v>
      </c>
      <c r="I5202" s="6">
        <v>56267.22</v>
      </c>
      <c r="J5202" s="6">
        <v>28133.61</v>
      </c>
      <c r="K5202" s="38" t="s">
        <v>8348</v>
      </c>
      <c r="L5202" s="119"/>
      <c r="M5202" s="3"/>
    </row>
    <row r="5203" spans="1:13" s="4" customFormat="1" ht="38.25" x14ac:dyDescent="0.25">
      <c r="A5203" s="4" t="s">
        <v>8840</v>
      </c>
      <c r="B5203" s="4" t="s">
        <v>38</v>
      </c>
      <c r="C5203" s="38" t="s">
        <v>8348</v>
      </c>
      <c r="D5203" s="35">
        <v>9198</v>
      </c>
      <c r="E5203" s="4" t="s">
        <v>8841</v>
      </c>
      <c r="F5203" s="5">
        <v>40544</v>
      </c>
      <c r="G5203" s="5">
        <v>41274</v>
      </c>
      <c r="H5203" s="4" t="s">
        <v>40</v>
      </c>
      <c r="I5203" s="6">
        <v>4783.5</v>
      </c>
      <c r="J5203" s="6">
        <v>4783.5</v>
      </c>
      <c r="K5203" s="38" t="s">
        <v>8348</v>
      </c>
      <c r="L5203" s="119"/>
      <c r="M5203" s="3"/>
    </row>
    <row r="5204" spans="1:13" s="4" customFormat="1" ht="76.5" x14ac:dyDescent="0.25">
      <c r="A5204" s="4" t="s">
        <v>8842</v>
      </c>
      <c r="B5204" s="4" t="s">
        <v>183</v>
      </c>
      <c r="C5204" s="38" t="s">
        <v>8348</v>
      </c>
      <c r="D5204" s="35">
        <v>10494</v>
      </c>
      <c r="E5204" s="7" t="s">
        <v>8843</v>
      </c>
      <c r="F5204" s="5">
        <v>40917</v>
      </c>
      <c r="G5204" s="5">
        <v>41172</v>
      </c>
      <c r="H5204" s="4" t="s">
        <v>40</v>
      </c>
      <c r="I5204" s="6">
        <v>8000</v>
      </c>
      <c r="J5204" s="6">
        <v>8000</v>
      </c>
      <c r="K5204" s="38" t="s">
        <v>8348</v>
      </c>
      <c r="L5204" s="119"/>
      <c r="M5204" s="3"/>
    </row>
    <row r="5205" spans="1:13" s="4" customFormat="1" ht="51" x14ac:dyDescent="0.25">
      <c r="A5205" s="4" t="s">
        <v>8844</v>
      </c>
      <c r="B5205" s="4" t="s">
        <v>183</v>
      </c>
      <c r="C5205" s="38" t="s">
        <v>8348</v>
      </c>
      <c r="D5205" s="35">
        <v>10498</v>
      </c>
      <c r="E5205" s="4" t="s">
        <v>8845</v>
      </c>
      <c r="F5205" s="5">
        <v>40896</v>
      </c>
      <c r="G5205" s="5">
        <v>41082</v>
      </c>
      <c r="H5205" s="4" t="s">
        <v>40</v>
      </c>
      <c r="I5205" s="6">
        <v>4000</v>
      </c>
      <c r="J5205" s="6">
        <v>4000</v>
      </c>
      <c r="K5205" s="38" t="s">
        <v>8348</v>
      </c>
      <c r="L5205" s="119"/>
      <c r="M5205" s="3"/>
    </row>
    <row r="5206" spans="1:13" s="4" customFormat="1" ht="38.25" x14ac:dyDescent="0.25">
      <c r="A5206" s="4" t="s">
        <v>8755</v>
      </c>
      <c r="B5206" s="4" t="s">
        <v>190</v>
      </c>
      <c r="C5206" s="38" t="s">
        <v>8348</v>
      </c>
      <c r="D5206" s="35">
        <v>10501</v>
      </c>
      <c r="E5206" s="4" t="s">
        <v>8846</v>
      </c>
      <c r="F5206" s="5">
        <v>40912</v>
      </c>
      <c r="G5206" s="5">
        <v>41145</v>
      </c>
      <c r="H5206" s="4" t="s">
        <v>40</v>
      </c>
      <c r="I5206" s="6">
        <v>30349</v>
      </c>
      <c r="J5206" s="6">
        <v>15174.61</v>
      </c>
      <c r="K5206" s="38" t="s">
        <v>8348</v>
      </c>
      <c r="L5206" s="119"/>
      <c r="M5206" s="3"/>
    </row>
    <row r="5207" spans="1:13" s="4" customFormat="1" ht="51" x14ac:dyDescent="0.25">
      <c r="A5207" s="4" t="s">
        <v>8847</v>
      </c>
      <c r="B5207" s="4" t="s">
        <v>190</v>
      </c>
      <c r="C5207" s="38" t="s">
        <v>8348</v>
      </c>
      <c r="D5207" s="35">
        <v>10504</v>
      </c>
      <c r="E5207" s="4" t="s">
        <v>8848</v>
      </c>
      <c r="F5207" s="5">
        <v>41092</v>
      </c>
      <c r="G5207" s="5">
        <v>41137</v>
      </c>
      <c r="H5207" s="4" t="s">
        <v>40</v>
      </c>
      <c r="I5207" s="6">
        <v>8000</v>
      </c>
      <c r="J5207" s="6">
        <v>8000</v>
      </c>
      <c r="K5207" s="38" t="s">
        <v>8348</v>
      </c>
      <c r="L5207" s="119"/>
      <c r="M5207" s="3"/>
    </row>
    <row r="5208" spans="1:13" s="4" customFormat="1" ht="114.75" x14ac:dyDescent="0.25">
      <c r="A5208" s="4" t="s">
        <v>8849</v>
      </c>
      <c r="B5208" s="4" t="s">
        <v>183</v>
      </c>
      <c r="C5208" s="38" t="s">
        <v>8348</v>
      </c>
      <c r="D5208" s="35">
        <v>10506</v>
      </c>
      <c r="E5208" s="7" t="s">
        <v>8850</v>
      </c>
      <c r="F5208" s="5">
        <v>41087</v>
      </c>
      <c r="G5208" s="5">
        <v>41185</v>
      </c>
      <c r="H5208" s="4" t="s">
        <v>40</v>
      </c>
      <c r="I5208" s="6">
        <v>14000</v>
      </c>
      <c r="J5208" s="6">
        <v>14000</v>
      </c>
      <c r="K5208" s="38" t="s">
        <v>8348</v>
      </c>
      <c r="L5208" s="119"/>
      <c r="M5208" s="3"/>
    </row>
    <row r="5209" spans="1:13" s="4" customFormat="1" ht="76.5" x14ac:dyDescent="0.25">
      <c r="A5209" s="4" t="s">
        <v>8853</v>
      </c>
      <c r="B5209" s="4" t="s">
        <v>183</v>
      </c>
      <c r="C5209" s="38" t="s">
        <v>8348</v>
      </c>
      <c r="D5209" s="35">
        <v>10523</v>
      </c>
      <c r="E5209" s="4" t="s">
        <v>8854</v>
      </c>
      <c r="F5209" s="5">
        <v>40912</v>
      </c>
      <c r="G5209" s="5">
        <v>41145</v>
      </c>
      <c r="H5209" s="4" t="s">
        <v>40</v>
      </c>
      <c r="I5209" s="6">
        <v>43000</v>
      </c>
      <c r="J5209" s="6">
        <v>8600</v>
      </c>
      <c r="K5209" s="38" t="s">
        <v>8348</v>
      </c>
      <c r="L5209" s="119"/>
      <c r="M5209" s="3"/>
    </row>
    <row r="5210" spans="1:13" s="4" customFormat="1" ht="38.25" x14ac:dyDescent="0.25">
      <c r="A5210" s="4" t="s">
        <v>8861</v>
      </c>
      <c r="B5210" s="4" t="s">
        <v>183</v>
      </c>
      <c r="C5210" s="38" t="s">
        <v>8348</v>
      </c>
      <c r="D5210" s="35">
        <v>10543</v>
      </c>
      <c r="E5210" s="4" t="s">
        <v>8862</v>
      </c>
      <c r="F5210" s="5">
        <v>41001</v>
      </c>
      <c r="G5210" s="5">
        <v>41047</v>
      </c>
      <c r="H5210" s="4" t="s">
        <v>40</v>
      </c>
      <c r="I5210" s="6">
        <v>1000</v>
      </c>
      <c r="J5210" s="6">
        <v>1000</v>
      </c>
      <c r="K5210" s="38" t="s">
        <v>8348</v>
      </c>
      <c r="L5210" s="119"/>
      <c r="M5210" s="3"/>
    </row>
    <row r="5211" spans="1:13" s="4" customFormat="1" ht="63.75" x14ac:dyDescent="0.25">
      <c r="A5211" s="4" t="s">
        <v>8863</v>
      </c>
      <c r="B5211" s="4" t="s">
        <v>183</v>
      </c>
      <c r="C5211" s="38" t="s">
        <v>8348</v>
      </c>
      <c r="D5211" s="35">
        <v>10544</v>
      </c>
      <c r="E5211" s="4" t="s">
        <v>8864</v>
      </c>
      <c r="F5211" s="5">
        <v>40961</v>
      </c>
      <c r="G5211" s="5">
        <v>41172</v>
      </c>
      <c r="H5211" s="4" t="s">
        <v>40</v>
      </c>
      <c r="I5211" s="6">
        <v>8000</v>
      </c>
      <c r="J5211" s="6">
        <v>8000</v>
      </c>
      <c r="K5211" s="38" t="s">
        <v>8348</v>
      </c>
      <c r="L5211" s="119"/>
      <c r="M5211" s="3"/>
    </row>
    <row r="5212" spans="1:13" s="4" customFormat="1" ht="38.25" x14ac:dyDescent="0.25">
      <c r="A5212" s="4" t="s">
        <v>8865</v>
      </c>
      <c r="B5212" s="4" t="s">
        <v>190</v>
      </c>
      <c r="C5212" s="38" t="s">
        <v>8348</v>
      </c>
      <c r="D5212" s="35">
        <v>10545</v>
      </c>
      <c r="E5212" s="4" t="s">
        <v>8866</v>
      </c>
      <c r="F5212" s="5">
        <v>40912</v>
      </c>
      <c r="G5212" s="5">
        <v>40980</v>
      </c>
      <c r="H5212" s="4" t="s">
        <v>40</v>
      </c>
      <c r="I5212" s="6">
        <v>14333.41</v>
      </c>
      <c r="J5212" s="6">
        <v>5016.6899999999996</v>
      </c>
      <c r="K5212" s="38" t="s">
        <v>8348</v>
      </c>
      <c r="L5212" s="119"/>
      <c r="M5212" s="3"/>
    </row>
    <row r="5213" spans="1:13" s="4" customFormat="1" ht="63.75" x14ac:dyDescent="0.25">
      <c r="A5213" s="4" t="s">
        <v>8871</v>
      </c>
      <c r="B5213" s="4" t="s">
        <v>38</v>
      </c>
      <c r="C5213" s="38" t="s">
        <v>8348</v>
      </c>
      <c r="D5213" s="35">
        <v>10556</v>
      </c>
      <c r="E5213" s="4" t="s">
        <v>8872</v>
      </c>
      <c r="F5213" s="5">
        <v>41172</v>
      </c>
      <c r="G5213" s="5">
        <v>41193</v>
      </c>
      <c r="H5213" s="4" t="s">
        <v>40</v>
      </c>
      <c r="I5213" s="6">
        <v>270</v>
      </c>
      <c r="J5213" s="6">
        <v>270</v>
      </c>
      <c r="K5213" s="38" t="s">
        <v>8348</v>
      </c>
      <c r="L5213" s="119"/>
      <c r="M5213" s="3"/>
    </row>
    <row r="5214" spans="1:13" s="4" customFormat="1" ht="38.25" x14ac:dyDescent="0.25">
      <c r="A5214" s="4" t="s">
        <v>8873</v>
      </c>
      <c r="B5214" s="4" t="s">
        <v>38</v>
      </c>
      <c r="C5214" s="38" t="s">
        <v>8348</v>
      </c>
      <c r="D5214" s="35">
        <v>10557</v>
      </c>
      <c r="E5214" s="4" t="s">
        <v>8874</v>
      </c>
      <c r="F5214" s="5">
        <v>40991</v>
      </c>
      <c r="G5214" s="5">
        <v>41264</v>
      </c>
      <c r="H5214" s="4" t="s">
        <v>40</v>
      </c>
      <c r="I5214" s="6">
        <v>1065.5</v>
      </c>
      <c r="J5214" s="6">
        <v>1065.5</v>
      </c>
      <c r="K5214" s="38" t="s">
        <v>8348</v>
      </c>
      <c r="L5214" s="119"/>
      <c r="M5214" s="3"/>
    </row>
    <row r="5215" spans="1:13" s="4" customFormat="1" ht="76.5" x14ac:dyDescent="0.25">
      <c r="A5215" s="4" t="s">
        <v>8875</v>
      </c>
      <c r="B5215" s="4" t="s">
        <v>38</v>
      </c>
      <c r="C5215" s="38" t="s">
        <v>8348</v>
      </c>
      <c r="D5215" s="35">
        <v>10558</v>
      </c>
      <c r="E5215" s="4" t="s">
        <v>8876</v>
      </c>
      <c r="F5215" s="5">
        <v>40909</v>
      </c>
      <c r="G5215" s="5">
        <v>41274</v>
      </c>
      <c r="H5215" s="4" t="s">
        <v>40</v>
      </c>
      <c r="I5215" s="6">
        <v>2410</v>
      </c>
      <c r="J5215" s="6">
        <v>2410</v>
      </c>
      <c r="K5215" s="38" t="s">
        <v>8348</v>
      </c>
      <c r="L5215" s="119"/>
      <c r="M5215" s="3"/>
    </row>
    <row r="5216" spans="1:13" s="4" customFormat="1" ht="63.75" x14ac:dyDescent="0.25">
      <c r="A5216" s="4" t="s">
        <v>8877</v>
      </c>
      <c r="B5216" s="4" t="s">
        <v>38</v>
      </c>
      <c r="C5216" s="38" t="s">
        <v>8348</v>
      </c>
      <c r="D5216" s="35">
        <v>10559</v>
      </c>
      <c r="E5216" s="4" t="s">
        <v>8878</v>
      </c>
      <c r="F5216" s="5">
        <v>40909</v>
      </c>
      <c r="G5216" s="5">
        <v>41274</v>
      </c>
      <c r="H5216" s="4" t="s">
        <v>40</v>
      </c>
      <c r="I5216" s="6">
        <v>24631.919999999998</v>
      </c>
      <c r="J5216" s="6">
        <v>24631.919999999998</v>
      </c>
      <c r="K5216" s="38" t="s">
        <v>8348</v>
      </c>
      <c r="L5216" s="119"/>
      <c r="M5216" s="3"/>
    </row>
    <row r="5217" spans="1:13" s="4" customFormat="1" ht="63.75" x14ac:dyDescent="0.25">
      <c r="A5217" s="4" t="s">
        <v>8879</v>
      </c>
      <c r="B5217" s="4" t="s">
        <v>38</v>
      </c>
      <c r="C5217" s="38" t="s">
        <v>8348</v>
      </c>
      <c r="D5217" s="35">
        <v>10560</v>
      </c>
      <c r="E5217" s="4" t="s">
        <v>8880</v>
      </c>
      <c r="F5217" s="5">
        <v>41183</v>
      </c>
      <c r="G5217" s="5">
        <v>41235</v>
      </c>
      <c r="H5217" s="4" t="s">
        <v>40</v>
      </c>
      <c r="I5217" s="6">
        <v>405</v>
      </c>
      <c r="J5217" s="6">
        <v>405</v>
      </c>
      <c r="K5217" s="38" t="s">
        <v>8348</v>
      </c>
      <c r="L5217" s="119"/>
      <c r="M5217" s="3"/>
    </row>
    <row r="5218" spans="1:13" s="4" customFormat="1" ht="63.75" x14ac:dyDescent="0.25">
      <c r="A5218" s="4" t="s">
        <v>8881</v>
      </c>
      <c r="B5218" s="4" t="s">
        <v>38</v>
      </c>
      <c r="C5218" s="38" t="s">
        <v>8348</v>
      </c>
      <c r="D5218" s="35">
        <v>10561</v>
      </c>
      <c r="E5218" s="4" t="s">
        <v>8882</v>
      </c>
      <c r="F5218" s="5">
        <v>41061</v>
      </c>
      <c r="G5218" s="5">
        <v>41185</v>
      </c>
      <c r="H5218" s="4" t="s">
        <v>40</v>
      </c>
      <c r="I5218" s="6">
        <v>285</v>
      </c>
      <c r="J5218" s="6">
        <v>285</v>
      </c>
      <c r="K5218" s="38" t="s">
        <v>8348</v>
      </c>
      <c r="L5218" s="119"/>
      <c r="M5218" s="3"/>
    </row>
    <row r="5219" spans="1:13" s="4" customFormat="1" ht="63.75" x14ac:dyDescent="0.25">
      <c r="A5219" s="4" t="s">
        <v>8883</v>
      </c>
      <c r="B5219" s="4" t="s">
        <v>38</v>
      </c>
      <c r="C5219" s="38" t="s">
        <v>8348</v>
      </c>
      <c r="D5219" s="35">
        <v>10562</v>
      </c>
      <c r="E5219" s="4" t="s">
        <v>8884</v>
      </c>
      <c r="F5219" s="5">
        <v>41061</v>
      </c>
      <c r="G5219" s="5">
        <v>41274</v>
      </c>
      <c r="H5219" s="4" t="s">
        <v>40</v>
      </c>
      <c r="I5219" s="6">
        <v>3616.2</v>
      </c>
      <c r="J5219" s="6">
        <v>3616.2</v>
      </c>
      <c r="K5219" s="38" t="s">
        <v>8348</v>
      </c>
      <c r="L5219" s="119"/>
      <c r="M5219" s="3"/>
    </row>
    <row r="5220" spans="1:13" s="4" customFormat="1" ht="63.75" x14ac:dyDescent="0.25">
      <c r="A5220" s="4" t="s">
        <v>8885</v>
      </c>
      <c r="B5220" s="4" t="s">
        <v>38</v>
      </c>
      <c r="C5220" s="38" t="s">
        <v>8348</v>
      </c>
      <c r="D5220" s="35">
        <v>10563</v>
      </c>
      <c r="E5220" s="4" t="s">
        <v>8886</v>
      </c>
      <c r="F5220" s="5">
        <v>40909</v>
      </c>
      <c r="G5220" s="5">
        <v>41274</v>
      </c>
      <c r="H5220" s="4" t="s">
        <v>40</v>
      </c>
      <c r="I5220" s="6">
        <v>900.5</v>
      </c>
      <c r="J5220" s="6">
        <v>900.5</v>
      </c>
      <c r="K5220" s="38" t="s">
        <v>8348</v>
      </c>
      <c r="L5220" s="119"/>
      <c r="M5220" s="3"/>
    </row>
    <row r="5221" spans="1:13" s="4" customFormat="1" ht="63.75" x14ac:dyDescent="0.25">
      <c r="A5221" s="4" t="s">
        <v>8887</v>
      </c>
      <c r="B5221" s="4" t="s">
        <v>38</v>
      </c>
      <c r="C5221" s="38" t="s">
        <v>8348</v>
      </c>
      <c r="D5221" s="35">
        <v>10564</v>
      </c>
      <c r="E5221" s="4" t="s">
        <v>8888</v>
      </c>
      <c r="F5221" s="5">
        <v>41214</v>
      </c>
      <c r="G5221" s="5">
        <v>41274</v>
      </c>
      <c r="H5221" s="4" t="s">
        <v>40</v>
      </c>
      <c r="I5221" s="6">
        <v>640.20000000000005</v>
      </c>
      <c r="J5221" s="6">
        <v>640.20000000000005</v>
      </c>
      <c r="K5221" s="38" t="s">
        <v>8348</v>
      </c>
      <c r="L5221" s="119"/>
      <c r="M5221" s="3"/>
    </row>
    <row r="5222" spans="1:13" s="4" customFormat="1" ht="51" x14ac:dyDescent="0.25">
      <c r="A5222" s="4" t="s">
        <v>8889</v>
      </c>
      <c r="B5222" s="4" t="s">
        <v>38</v>
      </c>
      <c r="C5222" s="38" t="s">
        <v>8348</v>
      </c>
      <c r="D5222" s="35">
        <v>10565</v>
      </c>
      <c r="E5222" s="4" t="s">
        <v>8890</v>
      </c>
      <c r="F5222" s="5">
        <v>41153</v>
      </c>
      <c r="G5222" s="5">
        <v>41182</v>
      </c>
      <c r="H5222" s="4" t="s">
        <v>40</v>
      </c>
      <c r="I5222" s="6">
        <v>2693.74</v>
      </c>
      <c r="J5222" s="6">
        <v>2693.64</v>
      </c>
      <c r="K5222" s="38" t="s">
        <v>8348</v>
      </c>
      <c r="L5222" s="119"/>
      <c r="M5222" s="3"/>
    </row>
    <row r="5223" spans="1:13" s="4" customFormat="1" ht="114.75" x14ac:dyDescent="0.25">
      <c r="A5223" s="4" t="s">
        <v>8891</v>
      </c>
      <c r="B5223" s="4" t="s">
        <v>38</v>
      </c>
      <c r="C5223" s="38" t="s">
        <v>8348</v>
      </c>
      <c r="D5223" s="35">
        <v>10566</v>
      </c>
      <c r="E5223" s="7" t="s">
        <v>8892</v>
      </c>
      <c r="F5223" s="5">
        <v>40988</v>
      </c>
      <c r="G5223" s="5">
        <v>40995</v>
      </c>
      <c r="H5223" s="4" t="s">
        <v>40</v>
      </c>
      <c r="I5223" s="6">
        <v>1177.8</v>
      </c>
      <c r="J5223" s="6">
        <v>1177.8</v>
      </c>
      <c r="K5223" s="38" t="s">
        <v>8348</v>
      </c>
      <c r="L5223" s="119"/>
      <c r="M5223" s="3"/>
    </row>
    <row r="5224" spans="1:13" s="4" customFormat="1" ht="63.75" x14ac:dyDescent="0.25">
      <c r="A5224" s="4" t="s">
        <v>8893</v>
      </c>
      <c r="B5224" s="4" t="s">
        <v>38</v>
      </c>
      <c r="C5224" s="38" t="s">
        <v>8348</v>
      </c>
      <c r="D5224" s="35">
        <v>10567</v>
      </c>
      <c r="E5224" s="4" t="s">
        <v>8894</v>
      </c>
      <c r="F5224" s="5">
        <v>40909</v>
      </c>
      <c r="G5224" s="5">
        <v>41274</v>
      </c>
      <c r="H5224" s="4" t="s">
        <v>40</v>
      </c>
      <c r="I5224" s="6">
        <v>2919.16</v>
      </c>
      <c r="J5224" s="6">
        <v>2919.16</v>
      </c>
      <c r="K5224" s="38" t="s">
        <v>8348</v>
      </c>
      <c r="L5224" s="119"/>
      <c r="M5224" s="3"/>
    </row>
    <row r="5225" spans="1:13" s="4" customFormat="1" ht="38.25" x14ac:dyDescent="0.25">
      <c r="A5225" s="4" t="s">
        <v>8895</v>
      </c>
      <c r="B5225" s="4" t="s">
        <v>38</v>
      </c>
      <c r="C5225" s="38" t="s">
        <v>8348</v>
      </c>
      <c r="D5225" s="35">
        <v>10569</v>
      </c>
      <c r="E5225" s="4" t="s">
        <v>8896</v>
      </c>
      <c r="F5225" s="5">
        <v>41244</v>
      </c>
      <c r="G5225" s="5">
        <v>41274</v>
      </c>
      <c r="H5225" s="4" t="s">
        <v>40</v>
      </c>
      <c r="I5225" s="6">
        <v>5963.7</v>
      </c>
      <c r="J5225" s="6">
        <v>5963.7</v>
      </c>
      <c r="K5225" s="38" t="s">
        <v>8348</v>
      </c>
      <c r="L5225" s="119"/>
      <c r="M5225" s="3"/>
    </row>
    <row r="5226" spans="1:13" ht="51" x14ac:dyDescent="0.25">
      <c r="A5226" s="13" t="s">
        <v>11378</v>
      </c>
      <c r="B5226" s="13" t="s">
        <v>13</v>
      </c>
      <c r="C5226" s="38" t="s">
        <v>8348</v>
      </c>
      <c r="D5226" s="19">
        <v>12554</v>
      </c>
      <c r="E5226" s="13" t="s">
        <v>11379</v>
      </c>
      <c r="F5226" s="14">
        <v>41571</v>
      </c>
      <c r="G5226" s="14">
        <v>41639</v>
      </c>
      <c r="H5226" s="13" t="s">
        <v>651</v>
      </c>
      <c r="I5226" s="18">
        <v>19500</v>
      </c>
      <c r="J5226" s="18">
        <v>9750</v>
      </c>
      <c r="K5226" s="38" t="s">
        <v>8348</v>
      </c>
    </row>
    <row r="5227" spans="1:13" ht="25.5" x14ac:dyDescent="0.25">
      <c r="A5227" s="13" t="s">
        <v>11152</v>
      </c>
      <c r="B5227" s="13" t="s">
        <v>10192</v>
      </c>
      <c r="C5227" s="38" t="s">
        <v>8348</v>
      </c>
      <c r="D5227" s="19">
        <v>12555</v>
      </c>
      <c r="E5227" s="13" t="s">
        <v>11153</v>
      </c>
      <c r="F5227" s="14">
        <v>41414</v>
      </c>
      <c r="G5227" s="14">
        <v>41414</v>
      </c>
      <c r="H5227" s="13" t="s">
        <v>651</v>
      </c>
      <c r="I5227" s="18">
        <v>2500</v>
      </c>
      <c r="J5227" s="18">
        <v>2500</v>
      </c>
      <c r="K5227" s="38" t="s">
        <v>8348</v>
      </c>
    </row>
    <row r="5228" spans="1:13" ht="38.25" x14ac:dyDescent="0.25">
      <c r="A5228" s="13" t="s">
        <v>11154</v>
      </c>
      <c r="B5228" s="13" t="s">
        <v>10192</v>
      </c>
      <c r="C5228" s="38" t="s">
        <v>8348</v>
      </c>
      <c r="D5228" s="19">
        <v>12556</v>
      </c>
      <c r="E5228" s="13" t="s">
        <v>11155</v>
      </c>
      <c r="F5228" s="14">
        <v>41423</v>
      </c>
      <c r="G5228" s="14">
        <v>41423</v>
      </c>
      <c r="H5228" s="13" t="s">
        <v>651</v>
      </c>
      <c r="I5228" s="18">
        <v>90000</v>
      </c>
      <c r="J5228" s="18">
        <v>45000</v>
      </c>
      <c r="K5228" s="38" t="s">
        <v>8348</v>
      </c>
    </row>
    <row r="5229" spans="1:13" ht="51" x14ac:dyDescent="0.25">
      <c r="A5229" s="13" t="s">
        <v>11156</v>
      </c>
      <c r="B5229" s="13" t="s">
        <v>10192</v>
      </c>
      <c r="C5229" s="38" t="s">
        <v>8348</v>
      </c>
      <c r="D5229" s="19">
        <v>12558</v>
      </c>
      <c r="E5229" s="13" t="s">
        <v>11157</v>
      </c>
      <c r="F5229" s="14">
        <v>41515</v>
      </c>
      <c r="G5229" s="14">
        <v>41639</v>
      </c>
      <c r="H5229" s="13" t="s">
        <v>651</v>
      </c>
      <c r="I5229" s="18">
        <v>4000</v>
      </c>
      <c r="J5229" s="18">
        <v>4000</v>
      </c>
      <c r="K5229" s="38" t="s">
        <v>8348</v>
      </c>
    </row>
    <row r="5230" spans="1:13" ht="63.75" x14ac:dyDescent="0.25">
      <c r="A5230" s="13" t="s">
        <v>11158</v>
      </c>
      <c r="B5230" s="13" t="s">
        <v>10192</v>
      </c>
      <c r="C5230" s="38" t="s">
        <v>8348</v>
      </c>
      <c r="D5230" s="19">
        <v>12559</v>
      </c>
      <c r="E5230" s="13" t="s">
        <v>11159</v>
      </c>
      <c r="F5230" s="14">
        <v>41565</v>
      </c>
      <c r="G5230" s="14">
        <v>41639</v>
      </c>
      <c r="H5230" s="13" t="s">
        <v>651</v>
      </c>
      <c r="I5230" s="18">
        <v>4000</v>
      </c>
      <c r="J5230" s="18">
        <v>4000</v>
      </c>
      <c r="K5230" s="38" t="s">
        <v>8348</v>
      </c>
    </row>
    <row r="5231" spans="1:13" ht="51" x14ac:dyDescent="0.25">
      <c r="A5231" s="13" t="s">
        <v>11160</v>
      </c>
      <c r="B5231" s="13" t="s">
        <v>10625</v>
      </c>
      <c r="C5231" s="38" t="s">
        <v>8348</v>
      </c>
      <c r="D5231" s="19">
        <v>12560</v>
      </c>
      <c r="E5231" s="13" t="s">
        <v>11161</v>
      </c>
      <c r="F5231" s="14">
        <v>41571</v>
      </c>
      <c r="G5231" s="14">
        <v>41639</v>
      </c>
      <c r="H5231" s="13" t="s">
        <v>651</v>
      </c>
      <c r="I5231" s="18">
        <v>10594</v>
      </c>
      <c r="J5231" s="18">
        <v>5297</v>
      </c>
      <c r="K5231" s="38" t="s">
        <v>8348</v>
      </c>
    </row>
    <row r="5232" spans="1:13" ht="51" x14ac:dyDescent="0.25">
      <c r="A5232" s="13" t="s">
        <v>11163</v>
      </c>
      <c r="B5232" s="13" t="s">
        <v>10192</v>
      </c>
      <c r="C5232" s="38" t="s">
        <v>8348</v>
      </c>
      <c r="D5232" s="19">
        <v>12562</v>
      </c>
      <c r="E5232" s="13" t="s">
        <v>11164</v>
      </c>
      <c r="F5232" s="14">
        <v>41277</v>
      </c>
      <c r="G5232" s="14">
        <v>41277</v>
      </c>
      <c r="H5232" s="13" t="s">
        <v>651</v>
      </c>
      <c r="I5232" s="18">
        <v>160000</v>
      </c>
      <c r="J5232" s="18">
        <v>80000</v>
      </c>
      <c r="K5232" s="38" t="s">
        <v>8348</v>
      </c>
    </row>
    <row r="5233" spans="1:11" ht="89.25" x14ac:dyDescent="0.25">
      <c r="A5233" s="13" t="s">
        <v>11165</v>
      </c>
      <c r="B5233" s="13" t="s">
        <v>10195</v>
      </c>
      <c r="C5233" s="38" t="s">
        <v>8348</v>
      </c>
      <c r="D5233" s="19">
        <v>12563</v>
      </c>
      <c r="E5233" s="13" t="s">
        <v>11166</v>
      </c>
      <c r="F5233" s="14">
        <v>41550</v>
      </c>
      <c r="G5233" s="14">
        <v>41550</v>
      </c>
      <c r="H5233" s="13" t="s">
        <v>651</v>
      </c>
      <c r="I5233" s="18">
        <v>65686.73</v>
      </c>
      <c r="J5233" s="18">
        <v>32842.9</v>
      </c>
      <c r="K5233" s="38" t="s">
        <v>8348</v>
      </c>
    </row>
    <row r="5234" spans="1:11" ht="63.75" x14ac:dyDescent="0.25">
      <c r="A5234" s="13" t="s">
        <v>11167</v>
      </c>
      <c r="B5234" s="13" t="s">
        <v>10192</v>
      </c>
      <c r="C5234" s="38" t="s">
        <v>8348</v>
      </c>
      <c r="D5234" s="19">
        <v>12564</v>
      </c>
      <c r="E5234" s="13" t="s">
        <v>11168</v>
      </c>
      <c r="F5234" s="14">
        <v>41571</v>
      </c>
      <c r="G5234" s="14">
        <v>41639</v>
      </c>
      <c r="H5234" s="13" t="s">
        <v>651</v>
      </c>
      <c r="I5234" s="18">
        <v>4000</v>
      </c>
      <c r="J5234" s="18">
        <v>4000</v>
      </c>
      <c r="K5234" s="38" t="s">
        <v>8348</v>
      </c>
    </row>
    <row r="5235" spans="1:11" ht="63.75" x14ac:dyDescent="0.25">
      <c r="A5235" s="13" t="s">
        <v>11169</v>
      </c>
      <c r="B5235" s="13" t="s">
        <v>10192</v>
      </c>
      <c r="C5235" s="38" t="s">
        <v>8348</v>
      </c>
      <c r="D5235" s="19">
        <v>12565</v>
      </c>
      <c r="E5235" s="13" t="s">
        <v>11170</v>
      </c>
      <c r="F5235" s="14">
        <v>41550</v>
      </c>
      <c r="G5235" s="14">
        <v>41639</v>
      </c>
      <c r="H5235" s="13" t="s">
        <v>651</v>
      </c>
      <c r="I5235" s="18">
        <v>8000</v>
      </c>
      <c r="J5235" s="18">
        <v>8000</v>
      </c>
      <c r="K5235" s="38" t="s">
        <v>8348</v>
      </c>
    </row>
    <row r="5236" spans="1:11" ht="63.75" x14ac:dyDescent="0.25">
      <c r="A5236" s="13" t="s">
        <v>11171</v>
      </c>
      <c r="B5236" s="13" t="s">
        <v>38</v>
      </c>
      <c r="C5236" s="38" t="s">
        <v>8348</v>
      </c>
      <c r="D5236" s="19">
        <v>12567</v>
      </c>
      <c r="E5236" s="13" t="s">
        <v>8827</v>
      </c>
      <c r="F5236" s="14">
        <v>41275</v>
      </c>
      <c r="G5236" s="14">
        <v>41639</v>
      </c>
      <c r="H5236" s="13" t="s">
        <v>651</v>
      </c>
      <c r="I5236" s="18">
        <v>3199.63</v>
      </c>
      <c r="J5236" s="18">
        <v>3199.63</v>
      </c>
      <c r="K5236" s="38" t="s">
        <v>8348</v>
      </c>
    </row>
    <row r="5237" spans="1:11" ht="25.5" x14ac:dyDescent="0.25">
      <c r="A5237" s="13" t="s">
        <v>11172</v>
      </c>
      <c r="B5237" s="13" t="s">
        <v>38</v>
      </c>
      <c r="C5237" s="38" t="s">
        <v>8348</v>
      </c>
      <c r="D5237" s="19">
        <v>12568</v>
      </c>
      <c r="E5237" s="13" t="s">
        <v>11173</v>
      </c>
      <c r="F5237" s="14">
        <v>41472</v>
      </c>
      <c r="G5237" s="14">
        <v>41547</v>
      </c>
      <c r="H5237" s="13" t="s">
        <v>651</v>
      </c>
      <c r="I5237" s="18">
        <v>4920</v>
      </c>
      <c r="J5237" s="18">
        <v>4920</v>
      </c>
      <c r="K5237" s="38" t="s">
        <v>8348</v>
      </c>
    </row>
    <row r="5238" spans="1:11" ht="38.25" x14ac:dyDescent="0.25">
      <c r="A5238" s="13" t="s">
        <v>8468</v>
      </c>
      <c r="B5238" s="13" t="s">
        <v>38</v>
      </c>
      <c r="C5238" s="38" t="s">
        <v>8348</v>
      </c>
      <c r="D5238" s="19">
        <v>12569</v>
      </c>
      <c r="E5238" s="13" t="s">
        <v>8802</v>
      </c>
      <c r="F5238" s="14">
        <v>41275</v>
      </c>
      <c r="G5238" s="14">
        <v>41639</v>
      </c>
      <c r="H5238" s="13" t="s">
        <v>651</v>
      </c>
      <c r="I5238" s="18">
        <v>9272.4599999999991</v>
      </c>
      <c r="J5238" s="18">
        <v>4636.2299999999996</v>
      </c>
      <c r="K5238" s="38" t="s">
        <v>8348</v>
      </c>
    </row>
    <row r="5239" spans="1:11" ht="25.5" x14ac:dyDescent="0.25">
      <c r="A5239" s="13" t="s">
        <v>11174</v>
      </c>
      <c r="B5239" s="13" t="s">
        <v>38</v>
      </c>
      <c r="C5239" s="38" t="s">
        <v>8348</v>
      </c>
      <c r="D5239" s="19">
        <v>12570</v>
      </c>
      <c r="E5239" s="13" t="s">
        <v>11175</v>
      </c>
      <c r="F5239" s="14">
        <v>41275</v>
      </c>
      <c r="G5239" s="14">
        <v>41639</v>
      </c>
      <c r="H5239" s="13" t="s">
        <v>651</v>
      </c>
      <c r="I5239" s="18">
        <v>4565</v>
      </c>
      <c r="J5239" s="18">
        <v>4565</v>
      </c>
      <c r="K5239" s="38" t="s">
        <v>8348</v>
      </c>
    </row>
    <row r="5240" spans="1:11" ht="25.5" x14ac:dyDescent="0.25">
      <c r="A5240" s="13" t="s">
        <v>7605</v>
      </c>
      <c r="B5240" s="13" t="s">
        <v>38</v>
      </c>
      <c r="C5240" s="38" t="s">
        <v>8348</v>
      </c>
      <c r="D5240" s="19">
        <v>12571</v>
      </c>
      <c r="E5240" s="13" t="s">
        <v>11176</v>
      </c>
      <c r="F5240" s="14">
        <v>41275</v>
      </c>
      <c r="G5240" s="14">
        <v>41639</v>
      </c>
      <c r="H5240" s="13" t="s">
        <v>651</v>
      </c>
      <c r="I5240" s="18">
        <v>1265</v>
      </c>
      <c r="J5240" s="18">
        <v>1265</v>
      </c>
      <c r="K5240" s="38" t="s">
        <v>8348</v>
      </c>
    </row>
    <row r="5241" spans="1:11" ht="51" x14ac:dyDescent="0.25">
      <c r="A5241" s="13" t="s">
        <v>11177</v>
      </c>
      <c r="B5241" s="13" t="s">
        <v>38</v>
      </c>
      <c r="C5241" s="38" t="s">
        <v>8348</v>
      </c>
      <c r="D5241" s="19">
        <v>12572</v>
      </c>
      <c r="E5241" s="13" t="s">
        <v>11178</v>
      </c>
      <c r="F5241" s="14">
        <v>41426</v>
      </c>
      <c r="G5241" s="14">
        <v>41639</v>
      </c>
      <c r="H5241" s="13" t="s">
        <v>651</v>
      </c>
      <c r="I5241" s="18">
        <v>12763.7</v>
      </c>
      <c r="J5241" s="18">
        <v>12763.7</v>
      </c>
      <c r="K5241" s="38" t="s">
        <v>8348</v>
      </c>
    </row>
    <row r="5242" spans="1:11" ht="38.25" x14ac:dyDescent="0.25">
      <c r="A5242" s="13" t="s">
        <v>9231</v>
      </c>
      <c r="B5242" s="13" t="s">
        <v>38</v>
      </c>
      <c r="C5242" s="38" t="s">
        <v>8348</v>
      </c>
      <c r="D5242" s="19">
        <v>12573</v>
      </c>
      <c r="E5242" s="13" t="s">
        <v>8800</v>
      </c>
      <c r="F5242" s="14">
        <v>41275</v>
      </c>
      <c r="G5242" s="14">
        <v>41639</v>
      </c>
      <c r="H5242" s="13" t="s">
        <v>651</v>
      </c>
      <c r="I5242" s="18">
        <v>8136.06</v>
      </c>
      <c r="J5242" s="18">
        <v>8136.06</v>
      </c>
      <c r="K5242" s="38" t="s">
        <v>8348</v>
      </c>
    </row>
    <row r="5243" spans="1:11" ht="25.5" x14ac:dyDescent="0.25">
      <c r="A5243" s="13" t="s">
        <v>8809</v>
      </c>
      <c r="B5243" s="13" t="s">
        <v>38</v>
      </c>
      <c r="C5243" s="38" t="s">
        <v>8348</v>
      </c>
      <c r="D5243" s="19">
        <v>12574</v>
      </c>
      <c r="E5243" s="13" t="s">
        <v>8810</v>
      </c>
      <c r="F5243" s="14">
        <v>41416</v>
      </c>
      <c r="G5243" s="14">
        <v>41455</v>
      </c>
      <c r="H5243" s="13" t="s">
        <v>651</v>
      </c>
      <c r="I5243" s="18">
        <v>4548.5200000000004</v>
      </c>
      <c r="J5243" s="18">
        <v>4548.5200000000004</v>
      </c>
      <c r="K5243" s="38" t="s">
        <v>8348</v>
      </c>
    </row>
    <row r="5244" spans="1:11" ht="76.5" x14ac:dyDescent="0.25">
      <c r="A5244" s="13" t="s">
        <v>11179</v>
      </c>
      <c r="B5244" s="13" t="s">
        <v>38</v>
      </c>
      <c r="C5244" s="38" t="s">
        <v>8348</v>
      </c>
      <c r="D5244" s="19">
        <v>12575</v>
      </c>
      <c r="E5244" s="13" t="s">
        <v>11180</v>
      </c>
      <c r="F5244" s="14">
        <v>41518</v>
      </c>
      <c r="G5244" s="14">
        <v>41549</v>
      </c>
      <c r="H5244" s="13" t="s">
        <v>651</v>
      </c>
      <c r="I5244" s="18">
        <v>4018.53</v>
      </c>
      <c r="J5244" s="18">
        <v>4018.53</v>
      </c>
      <c r="K5244" s="38" t="s">
        <v>8348</v>
      </c>
    </row>
    <row r="5245" spans="1:11" ht="38.25" x14ac:dyDescent="0.25">
      <c r="A5245" s="13" t="s">
        <v>8600</v>
      </c>
      <c r="B5245" s="13" t="s">
        <v>38</v>
      </c>
      <c r="C5245" s="38" t="s">
        <v>8348</v>
      </c>
      <c r="D5245" s="19">
        <v>12576</v>
      </c>
      <c r="E5245" s="13" t="s">
        <v>11181</v>
      </c>
      <c r="F5245" s="14">
        <v>41275</v>
      </c>
      <c r="G5245" s="14">
        <v>41639</v>
      </c>
      <c r="H5245" s="13" t="s">
        <v>651</v>
      </c>
      <c r="I5245" s="18">
        <v>2000</v>
      </c>
      <c r="J5245" s="18">
        <v>2000</v>
      </c>
      <c r="K5245" s="38" t="s">
        <v>8348</v>
      </c>
    </row>
    <row r="5246" spans="1:11" ht="38.25" x14ac:dyDescent="0.25">
      <c r="A5246" s="13" t="s">
        <v>11182</v>
      </c>
      <c r="B5246" s="13" t="s">
        <v>38</v>
      </c>
      <c r="C5246" s="38" t="s">
        <v>8348</v>
      </c>
      <c r="D5246" s="19">
        <v>12577</v>
      </c>
      <c r="E5246" s="13" t="s">
        <v>11183</v>
      </c>
      <c r="F5246" s="14">
        <v>41526</v>
      </c>
      <c r="G5246" s="14">
        <v>41584</v>
      </c>
      <c r="H5246" s="13" t="s">
        <v>651</v>
      </c>
      <c r="I5246" s="18">
        <v>3307.45</v>
      </c>
      <c r="J5246" s="18">
        <v>3307.45</v>
      </c>
      <c r="K5246" s="38" t="s">
        <v>8348</v>
      </c>
    </row>
    <row r="5247" spans="1:11" ht="38.25" x14ac:dyDescent="0.25">
      <c r="A5247" s="13" t="s">
        <v>11184</v>
      </c>
      <c r="B5247" s="13" t="s">
        <v>38</v>
      </c>
      <c r="C5247" s="38" t="s">
        <v>8348</v>
      </c>
      <c r="D5247" s="19">
        <v>12730</v>
      </c>
      <c r="E5247" s="13" t="s">
        <v>11185</v>
      </c>
      <c r="F5247" s="14">
        <v>41488</v>
      </c>
      <c r="G5247" s="14">
        <v>41639</v>
      </c>
      <c r="H5247" s="13" t="s">
        <v>651</v>
      </c>
      <c r="I5247" s="18">
        <v>20644.09</v>
      </c>
      <c r="J5247" s="18">
        <v>20644.09</v>
      </c>
      <c r="K5247" s="38" t="s">
        <v>8348</v>
      </c>
    </row>
    <row r="5248" spans="1:11" ht="76.5" x14ac:dyDescent="0.25">
      <c r="A5248" s="13" t="s">
        <v>11186</v>
      </c>
      <c r="B5248" s="13" t="s">
        <v>38</v>
      </c>
      <c r="C5248" s="38" t="s">
        <v>8348</v>
      </c>
      <c r="D5248" s="19">
        <v>12731</v>
      </c>
      <c r="E5248" s="13" t="s">
        <v>11187</v>
      </c>
      <c r="F5248" s="14">
        <v>41536</v>
      </c>
      <c r="G5248" s="14">
        <v>41536</v>
      </c>
      <c r="H5248" s="13" t="s">
        <v>651</v>
      </c>
      <c r="I5248" s="18">
        <v>1000</v>
      </c>
      <c r="J5248" s="18">
        <v>1000</v>
      </c>
      <c r="K5248" s="38" t="s">
        <v>8348</v>
      </c>
    </row>
    <row r="5249" spans="1:13" ht="76.5" x14ac:dyDescent="0.25">
      <c r="A5249" s="13" t="s">
        <v>11188</v>
      </c>
      <c r="B5249" s="13" t="s">
        <v>38</v>
      </c>
      <c r="C5249" s="38" t="s">
        <v>8348</v>
      </c>
      <c r="D5249" s="19">
        <v>12732</v>
      </c>
      <c r="E5249" s="13" t="s">
        <v>8814</v>
      </c>
      <c r="F5249" s="14">
        <v>41275</v>
      </c>
      <c r="G5249" s="14">
        <v>41639</v>
      </c>
      <c r="H5249" s="13" t="s">
        <v>651</v>
      </c>
      <c r="I5249" s="18">
        <v>21208.48</v>
      </c>
      <c r="J5249" s="18">
        <v>10604.24</v>
      </c>
      <c r="K5249" s="38" t="s">
        <v>8348</v>
      </c>
    </row>
    <row r="5250" spans="1:13" ht="63.75" x14ac:dyDescent="0.25">
      <c r="A5250" s="13" t="s">
        <v>11189</v>
      </c>
      <c r="B5250" s="13" t="s">
        <v>38</v>
      </c>
      <c r="C5250" s="38" t="s">
        <v>8348</v>
      </c>
      <c r="D5250" s="19">
        <v>12733</v>
      </c>
      <c r="E5250" s="13" t="s">
        <v>8532</v>
      </c>
      <c r="F5250" s="14">
        <v>41275</v>
      </c>
      <c r="G5250" s="14">
        <v>41639</v>
      </c>
      <c r="H5250" s="13" t="s">
        <v>651</v>
      </c>
      <c r="I5250" s="18">
        <v>1365</v>
      </c>
      <c r="J5250" s="18">
        <v>1365</v>
      </c>
      <c r="K5250" s="38" t="s">
        <v>8348</v>
      </c>
    </row>
    <row r="5251" spans="1:13" ht="25.5" x14ac:dyDescent="0.25">
      <c r="A5251" s="13" t="s">
        <v>2285</v>
      </c>
      <c r="B5251" s="13" t="s">
        <v>38</v>
      </c>
      <c r="C5251" s="38" t="s">
        <v>8348</v>
      </c>
      <c r="D5251" s="19">
        <v>12734</v>
      </c>
      <c r="E5251" s="13" t="s">
        <v>8817</v>
      </c>
      <c r="F5251" s="14">
        <v>41275</v>
      </c>
      <c r="G5251" s="14">
        <v>41639</v>
      </c>
      <c r="H5251" s="13" t="s">
        <v>651</v>
      </c>
      <c r="I5251" s="18">
        <v>24744.17</v>
      </c>
      <c r="J5251" s="18">
        <v>24744.17</v>
      </c>
      <c r="K5251" s="38" t="s">
        <v>8348</v>
      </c>
    </row>
    <row r="5252" spans="1:13" ht="114.75" x14ac:dyDescent="0.25">
      <c r="A5252" s="13" t="s">
        <v>9913</v>
      </c>
      <c r="B5252" s="13" t="s">
        <v>38</v>
      </c>
      <c r="C5252" s="38" t="s">
        <v>8348</v>
      </c>
      <c r="D5252" s="19">
        <v>12735</v>
      </c>
      <c r="E5252" s="13" t="s">
        <v>11190</v>
      </c>
      <c r="F5252" s="14">
        <v>41275</v>
      </c>
      <c r="G5252" s="14">
        <v>41639</v>
      </c>
      <c r="H5252" s="13" t="s">
        <v>651</v>
      </c>
      <c r="I5252" s="18">
        <v>23770</v>
      </c>
      <c r="J5252" s="18">
        <v>23770</v>
      </c>
      <c r="K5252" s="38" t="s">
        <v>8348</v>
      </c>
    </row>
    <row r="5253" spans="1:13" ht="51" x14ac:dyDescent="0.25">
      <c r="A5253" s="13" t="s">
        <v>11191</v>
      </c>
      <c r="B5253" s="13" t="s">
        <v>38</v>
      </c>
      <c r="C5253" s="38" t="s">
        <v>8348</v>
      </c>
      <c r="D5253" s="19">
        <v>12736</v>
      </c>
      <c r="E5253" s="13" t="s">
        <v>11192</v>
      </c>
      <c r="F5253" s="14">
        <v>41579</v>
      </c>
      <c r="G5253" s="14">
        <v>41608</v>
      </c>
      <c r="H5253" s="13" t="s">
        <v>651</v>
      </c>
      <c r="I5253" s="18">
        <v>1599.67</v>
      </c>
      <c r="J5253" s="18">
        <v>1599.67</v>
      </c>
      <c r="K5253" s="38" t="s">
        <v>8348</v>
      </c>
    </row>
    <row r="5254" spans="1:13" ht="38.25" x14ac:dyDescent="0.25">
      <c r="A5254" s="13" t="s">
        <v>11193</v>
      </c>
      <c r="B5254" s="13" t="s">
        <v>38</v>
      </c>
      <c r="C5254" s="38" t="s">
        <v>8348</v>
      </c>
      <c r="D5254" s="19">
        <v>12737</v>
      </c>
      <c r="E5254" s="13" t="s">
        <v>11194</v>
      </c>
      <c r="F5254" s="14">
        <v>41609</v>
      </c>
      <c r="G5254" s="14">
        <v>41639</v>
      </c>
      <c r="H5254" s="13" t="s">
        <v>651</v>
      </c>
      <c r="I5254" s="18">
        <v>2718.65</v>
      </c>
      <c r="J5254" s="18">
        <v>2718.65</v>
      </c>
      <c r="K5254" s="38" t="s">
        <v>8348</v>
      </c>
    </row>
    <row r="5255" spans="1:13" ht="25.5" x14ac:dyDescent="0.25">
      <c r="A5255" s="13" t="s">
        <v>8640</v>
      </c>
      <c r="B5255" s="13" t="s">
        <v>38</v>
      </c>
      <c r="C5255" s="38" t="s">
        <v>8348</v>
      </c>
      <c r="D5255" s="19">
        <v>12738</v>
      </c>
      <c r="E5255" s="13" t="s">
        <v>8640</v>
      </c>
      <c r="F5255" s="14">
        <v>41275</v>
      </c>
      <c r="G5255" s="14">
        <v>41639</v>
      </c>
      <c r="H5255" s="13" t="s">
        <v>651</v>
      </c>
      <c r="I5255" s="18">
        <v>9234.5</v>
      </c>
      <c r="J5255" s="18">
        <v>9234.5</v>
      </c>
      <c r="K5255" s="38" t="s">
        <v>8348</v>
      </c>
    </row>
    <row r="5256" spans="1:13" ht="63.75" x14ac:dyDescent="0.25">
      <c r="A5256" s="13" t="s">
        <v>11195</v>
      </c>
      <c r="B5256" s="13" t="s">
        <v>38</v>
      </c>
      <c r="C5256" s="38" t="s">
        <v>8348</v>
      </c>
      <c r="D5256" s="19">
        <v>12739</v>
      </c>
      <c r="E5256" s="13" t="s">
        <v>8831</v>
      </c>
      <c r="F5256" s="14">
        <v>41275</v>
      </c>
      <c r="G5256" s="14">
        <v>41639</v>
      </c>
      <c r="H5256" s="13" t="s">
        <v>651</v>
      </c>
      <c r="I5256" s="18">
        <v>3965.92</v>
      </c>
      <c r="J5256" s="18">
        <v>1982.96</v>
      </c>
      <c r="K5256" s="38" t="s">
        <v>8348</v>
      </c>
    </row>
    <row r="5257" spans="1:13" ht="63.75" x14ac:dyDescent="0.25">
      <c r="A5257" s="13" t="s">
        <v>11196</v>
      </c>
      <c r="B5257" s="13" t="s">
        <v>38</v>
      </c>
      <c r="C5257" s="38" t="s">
        <v>8348</v>
      </c>
      <c r="D5257" s="19">
        <v>12740</v>
      </c>
      <c r="E5257" s="13" t="s">
        <v>8894</v>
      </c>
      <c r="F5257" s="14">
        <v>41275</v>
      </c>
      <c r="G5257" s="14">
        <v>41639</v>
      </c>
      <c r="H5257" s="13" t="s">
        <v>651</v>
      </c>
      <c r="I5257" s="18">
        <f>2138.91+3.35</f>
        <v>2142.2599999999998</v>
      </c>
      <c r="J5257" s="18">
        <v>2138.91</v>
      </c>
      <c r="K5257" s="38" t="s">
        <v>8348</v>
      </c>
    </row>
    <row r="5258" spans="1:13" ht="51" x14ac:dyDescent="0.25">
      <c r="A5258" s="13" t="s">
        <v>11197</v>
      </c>
      <c r="B5258" s="13" t="s">
        <v>38</v>
      </c>
      <c r="C5258" s="38" t="s">
        <v>8348</v>
      </c>
      <c r="D5258" s="19">
        <v>12741</v>
      </c>
      <c r="E5258" s="13" t="s">
        <v>11198</v>
      </c>
      <c r="F5258" s="14">
        <v>41275</v>
      </c>
      <c r="G5258" s="14">
        <v>41639</v>
      </c>
      <c r="H5258" s="13" t="s">
        <v>651</v>
      </c>
      <c r="I5258" s="18">
        <v>40006</v>
      </c>
      <c r="J5258" s="18">
        <v>20003</v>
      </c>
      <c r="K5258" s="38" t="s">
        <v>8348</v>
      </c>
    </row>
    <row r="5259" spans="1:13" ht="38.25" x14ac:dyDescent="0.25">
      <c r="A5259" s="13" t="s">
        <v>11199</v>
      </c>
      <c r="B5259" s="13" t="s">
        <v>38</v>
      </c>
      <c r="C5259" s="38" t="s">
        <v>8348</v>
      </c>
      <c r="D5259" s="19">
        <v>12742</v>
      </c>
      <c r="E5259" s="13" t="s">
        <v>8841</v>
      </c>
      <c r="F5259" s="14">
        <v>41275</v>
      </c>
      <c r="G5259" s="14">
        <v>41639</v>
      </c>
      <c r="H5259" s="13" t="s">
        <v>651</v>
      </c>
      <c r="I5259" s="18">
        <v>2075</v>
      </c>
      <c r="J5259" s="18">
        <v>2075</v>
      </c>
      <c r="K5259" s="38" t="s">
        <v>8348</v>
      </c>
    </row>
    <row r="5260" spans="1:13" ht="51" x14ac:dyDescent="0.25">
      <c r="A5260" s="13" t="s">
        <v>11200</v>
      </c>
      <c r="B5260" s="13" t="s">
        <v>38</v>
      </c>
      <c r="C5260" s="38" t="s">
        <v>8348</v>
      </c>
      <c r="D5260" s="19">
        <v>12743</v>
      </c>
      <c r="E5260" s="13" t="s">
        <v>11201</v>
      </c>
      <c r="F5260" s="14">
        <v>41604</v>
      </c>
      <c r="G5260" s="14">
        <v>41632</v>
      </c>
      <c r="H5260" s="13" t="s">
        <v>651</v>
      </c>
      <c r="I5260" s="18">
        <v>1421.2</v>
      </c>
      <c r="J5260" s="18">
        <v>1421.2</v>
      </c>
      <c r="K5260" s="38" t="s">
        <v>8348</v>
      </c>
    </row>
    <row r="5261" spans="1:13" ht="38.25" x14ac:dyDescent="0.25">
      <c r="A5261" s="13" t="s">
        <v>11202</v>
      </c>
      <c r="B5261" s="13" t="s">
        <v>38</v>
      </c>
      <c r="C5261" s="38" t="s">
        <v>8348</v>
      </c>
      <c r="D5261" s="19">
        <v>12744</v>
      </c>
      <c r="E5261" s="13" t="s">
        <v>8821</v>
      </c>
      <c r="F5261" s="14">
        <v>41275</v>
      </c>
      <c r="G5261" s="14">
        <v>41639</v>
      </c>
      <c r="H5261" s="13" t="s">
        <v>651</v>
      </c>
      <c r="I5261" s="18">
        <v>226</v>
      </c>
      <c r="J5261" s="18">
        <v>226.5</v>
      </c>
      <c r="K5261" s="38" t="s">
        <v>8348</v>
      </c>
    </row>
    <row r="5262" spans="1:13" s="32" customFormat="1" ht="63.75" x14ac:dyDescent="0.25">
      <c r="A5262" s="13" t="s">
        <v>11603</v>
      </c>
      <c r="B5262" s="32" t="s">
        <v>13</v>
      </c>
      <c r="C5262" s="38" t="s">
        <v>8348</v>
      </c>
      <c r="D5262" s="33">
        <v>13034</v>
      </c>
      <c r="E5262" s="13" t="s">
        <v>11539</v>
      </c>
      <c r="F5262" s="34">
        <v>40544</v>
      </c>
      <c r="G5262" s="34">
        <v>42825</v>
      </c>
      <c r="H5262" s="32" t="s">
        <v>3587</v>
      </c>
      <c r="I5262" s="94">
        <f>295289.2+78817.33</f>
        <v>374106.53</v>
      </c>
      <c r="J5262" s="94">
        <f>295289.2+78817.33</f>
        <v>374106.53</v>
      </c>
      <c r="K5262" s="38" t="s">
        <v>8348</v>
      </c>
      <c r="L5262" s="122"/>
    </row>
    <row r="5263" spans="1:13" s="4" customFormat="1" ht="140.25" x14ac:dyDescent="0.25">
      <c r="A5263" s="4" t="s">
        <v>8897</v>
      </c>
      <c r="B5263" s="4" t="s">
        <v>13</v>
      </c>
      <c r="C5263" s="38" t="s">
        <v>8348</v>
      </c>
      <c r="D5263" s="35">
        <v>3682</v>
      </c>
      <c r="E5263" s="7" t="s">
        <v>8898</v>
      </c>
      <c r="F5263" s="5">
        <v>39083</v>
      </c>
      <c r="G5263" s="5">
        <v>42369</v>
      </c>
      <c r="H5263" s="4" t="s">
        <v>2637</v>
      </c>
      <c r="I5263" s="17">
        <v>432192.81</v>
      </c>
      <c r="J5263" s="17">
        <v>432192.81</v>
      </c>
      <c r="K5263" s="38" t="s">
        <v>8348</v>
      </c>
      <c r="L5263" s="119"/>
      <c r="M5263" s="3"/>
    </row>
    <row r="5264" spans="1:13" s="4" customFormat="1" ht="140.25" x14ac:dyDescent="0.25">
      <c r="A5264" s="13" t="s">
        <v>8899</v>
      </c>
      <c r="B5264" s="4" t="s">
        <v>13</v>
      </c>
      <c r="C5264" s="38" t="s">
        <v>8348</v>
      </c>
      <c r="D5264" s="35">
        <v>6515</v>
      </c>
      <c r="E5264" s="13" t="s">
        <v>8900</v>
      </c>
      <c r="F5264" s="5">
        <v>39083</v>
      </c>
      <c r="G5264" s="5">
        <v>42369</v>
      </c>
      <c r="H5264" s="4" t="s">
        <v>8901</v>
      </c>
      <c r="I5264" s="104">
        <v>4669738.33</v>
      </c>
      <c r="J5264" s="104">
        <v>4669738.33</v>
      </c>
      <c r="K5264" s="38" t="s">
        <v>8348</v>
      </c>
      <c r="L5264" s="119"/>
      <c r="M5264" s="3"/>
    </row>
    <row r="5265" spans="1:13" s="4" customFormat="1" x14ac:dyDescent="0.25">
      <c r="A5265" s="13"/>
      <c r="C5265" s="38" t="s">
        <v>8348</v>
      </c>
      <c r="D5265" s="35"/>
      <c r="E5265" s="26" t="s">
        <v>2642</v>
      </c>
      <c r="F5265" s="28"/>
      <c r="G5265" s="28"/>
      <c r="H5265" s="26"/>
      <c r="I5265" s="27">
        <f>SUM(I4951+I4952)</f>
        <v>835928.85</v>
      </c>
      <c r="J5265" s="27">
        <f>SUM(J4951+J4952)</f>
        <v>835928.85</v>
      </c>
      <c r="K5265" s="38" t="s">
        <v>8348</v>
      </c>
      <c r="L5265" s="119"/>
      <c r="M5265" s="3"/>
    </row>
    <row r="5266" spans="1:13" s="4" customFormat="1" x14ac:dyDescent="0.25">
      <c r="A5266" s="13"/>
      <c r="C5266" s="38" t="s">
        <v>8348</v>
      </c>
      <c r="D5266" s="35"/>
      <c r="E5266" s="26" t="s">
        <v>351</v>
      </c>
      <c r="F5266" s="28"/>
      <c r="G5266" s="28"/>
      <c r="H5266" s="26"/>
      <c r="I5266" s="27">
        <f>SUM(I4953:I4956)</f>
        <v>445449.43</v>
      </c>
      <c r="J5266" s="27">
        <f>SUM(J4953:J4956)</f>
        <v>116838</v>
      </c>
      <c r="K5266" s="38" t="s">
        <v>8348</v>
      </c>
      <c r="L5266" s="119"/>
      <c r="M5266" s="3"/>
    </row>
    <row r="5267" spans="1:13" s="4" customFormat="1" x14ac:dyDescent="0.25">
      <c r="A5267" s="13"/>
      <c r="C5267" s="38" t="s">
        <v>8348</v>
      </c>
      <c r="D5267" s="35"/>
      <c r="E5267" s="26" t="s">
        <v>2643</v>
      </c>
      <c r="F5267" s="28"/>
      <c r="G5267" s="28"/>
      <c r="H5267" s="26"/>
      <c r="I5267" s="27">
        <f>SUM(I4957:I4988)</f>
        <v>5218526.6399999987</v>
      </c>
      <c r="J5267" s="27">
        <f>SUM(J4957:J4988)</f>
        <v>5218526.6399999987</v>
      </c>
      <c r="K5267" s="38" t="s">
        <v>8348</v>
      </c>
      <c r="L5267" s="119"/>
      <c r="M5267" s="3"/>
    </row>
    <row r="5268" spans="1:13" s="4" customFormat="1" x14ac:dyDescent="0.25">
      <c r="A5268" s="13"/>
      <c r="C5268" s="38" t="s">
        <v>8348</v>
      </c>
      <c r="D5268" s="35"/>
      <c r="E5268" s="26" t="s">
        <v>352</v>
      </c>
      <c r="F5268" s="28"/>
      <c r="G5268" s="28"/>
      <c r="H5268" s="26"/>
      <c r="I5268" s="27">
        <f>SUM(I4989:I5261)</f>
        <v>3730320.94</v>
      </c>
      <c r="J5268" s="27">
        <f>SUM(J4989:J5261)</f>
        <v>2620794.5799999996</v>
      </c>
      <c r="K5268" s="38" t="s">
        <v>8348</v>
      </c>
      <c r="L5268" s="119"/>
      <c r="M5268" s="3"/>
    </row>
    <row r="5269" spans="1:13" s="4" customFormat="1" x14ac:dyDescent="0.25">
      <c r="A5269" s="13"/>
      <c r="C5269" s="38" t="s">
        <v>8348</v>
      </c>
      <c r="D5269" s="35"/>
      <c r="E5269" s="26" t="s">
        <v>3587</v>
      </c>
      <c r="F5269" s="28"/>
      <c r="G5269" s="28"/>
      <c r="H5269" s="26"/>
      <c r="I5269" s="27">
        <f t="shared" ref="I5269:J5271" si="1">SUM(I5262)</f>
        <v>374106.53</v>
      </c>
      <c r="J5269" s="27">
        <f t="shared" si="1"/>
        <v>374106.53</v>
      </c>
      <c r="K5269" s="38" t="s">
        <v>8348</v>
      </c>
      <c r="L5269" s="119"/>
      <c r="M5269" s="3"/>
    </row>
    <row r="5270" spans="1:13" s="4" customFormat="1" x14ac:dyDescent="0.25">
      <c r="A5270" s="13"/>
      <c r="C5270" s="38" t="s">
        <v>8348</v>
      </c>
      <c r="D5270" s="35"/>
      <c r="E5270" s="26" t="s">
        <v>2646</v>
      </c>
      <c r="F5270" s="28"/>
      <c r="G5270" s="28"/>
      <c r="H5270" s="26"/>
      <c r="I5270" s="27">
        <f t="shared" si="1"/>
        <v>432192.81</v>
      </c>
      <c r="J5270" s="27">
        <f t="shared" si="1"/>
        <v>432192.81</v>
      </c>
      <c r="K5270" s="38" t="s">
        <v>8348</v>
      </c>
      <c r="L5270" s="119"/>
      <c r="M5270" s="3"/>
    </row>
    <row r="5271" spans="1:13" s="4" customFormat="1" x14ac:dyDescent="0.25">
      <c r="A5271" s="13"/>
      <c r="C5271" s="38" t="s">
        <v>8348</v>
      </c>
      <c r="D5271" s="35"/>
      <c r="E5271" s="26" t="s">
        <v>3608</v>
      </c>
      <c r="F5271" s="28"/>
      <c r="G5271" s="28"/>
      <c r="H5271" s="26"/>
      <c r="I5271" s="27">
        <f t="shared" si="1"/>
        <v>4669738.33</v>
      </c>
      <c r="J5271" s="27">
        <f t="shared" si="1"/>
        <v>4669738.33</v>
      </c>
      <c r="K5271" s="38" t="s">
        <v>8348</v>
      </c>
      <c r="L5271" s="119"/>
      <c r="M5271" s="3"/>
    </row>
    <row r="5272" spans="1:13" s="4" customFormat="1" x14ac:dyDescent="0.25">
      <c r="A5272" s="13"/>
      <c r="C5272" s="38" t="s">
        <v>8348</v>
      </c>
      <c r="D5272" s="35"/>
      <c r="E5272" s="26" t="s">
        <v>8902</v>
      </c>
      <c r="F5272" s="28"/>
      <c r="G5272" s="28"/>
      <c r="H5272" s="26"/>
      <c r="I5272" s="27">
        <f>SUM(I5265:I5271)</f>
        <v>15706263.529999999</v>
      </c>
      <c r="J5272" s="27">
        <f>SUM(J5265:J5271)</f>
        <v>14268125.739999998</v>
      </c>
      <c r="K5272" s="38" t="s">
        <v>8348</v>
      </c>
      <c r="L5272" s="119">
        <f>J5272</f>
        <v>14268125.739999998</v>
      </c>
      <c r="M5272" s="3">
        <f>SUM(J5272*0.4)</f>
        <v>5707250.2960000001</v>
      </c>
    </row>
    <row r="5273" spans="1:13" s="4" customFormat="1" x14ac:dyDescent="0.25">
      <c r="A5273" s="13"/>
      <c r="C5273" s="37"/>
      <c r="D5273" s="35"/>
      <c r="E5273" s="13"/>
      <c r="F5273" s="5"/>
      <c r="G5273" s="5"/>
      <c r="I5273" s="17"/>
      <c r="J5273" s="17"/>
      <c r="K5273" s="37"/>
      <c r="L5273" s="119"/>
      <c r="M5273" s="3"/>
    </row>
    <row r="5274" spans="1:13" s="4" customFormat="1" ht="25.5" x14ac:dyDescent="0.25">
      <c r="A5274" s="4" t="s">
        <v>8903</v>
      </c>
      <c r="B5274" s="4" t="s">
        <v>13</v>
      </c>
      <c r="C5274" s="37" t="s">
        <v>8905</v>
      </c>
      <c r="D5274" s="35">
        <v>3869</v>
      </c>
      <c r="E5274" s="4" t="s">
        <v>8904</v>
      </c>
      <c r="F5274" s="5">
        <v>40017</v>
      </c>
      <c r="G5274" s="5">
        <v>40269</v>
      </c>
      <c r="H5274" s="4" t="s">
        <v>16</v>
      </c>
      <c r="I5274" s="6">
        <v>14664.59</v>
      </c>
      <c r="J5274" s="6">
        <v>3986.4</v>
      </c>
      <c r="K5274" s="37" t="s">
        <v>8905</v>
      </c>
      <c r="L5274" s="119"/>
      <c r="M5274" s="3"/>
    </row>
    <row r="5275" spans="1:13" s="4" customFormat="1" ht="38.25" x14ac:dyDescent="0.25">
      <c r="A5275" s="4" t="s">
        <v>8906</v>
      </c>
      <c r="B5275" s="4" t="s">
        <v>13</v>
      </c>
      <c r="C5275" s="37" t="s">
        <v>8905</v>
      </c>
      <c r="D5275" s="35">
        <v>3870</v>
      </c>
      <c r="E5275" s="4" t="s">
        <v>8907</v>
      </c>
      <c r="F5275" s="5">
        <v>39694</v>
      </c>
      <c r="G5275" s="5">
        <v>40086</v>
      </c>
      <c r="H5275" s="4" t="s">
        <v>16</v>
      </c>
      <c r="I5275" s="6">
        <v>150653.93</v>
      </c>
      <c r="J5275" s="6">
        <v>42000</v>
      </c>
      <c r="K5275" s="37" t="s">
        <v>8905</v>
      </c>
      <c r="L5275" s="119"/>
      <c r="M5275" s="3"/>
    </row>
    <row r="5276" spans="1:13" s="4" customFormat="1" ht="38.25" x14ac:dyDescent="0.25">
      <c r="A5276" s="4" t="s">
        <v>8908</v>
      </c>
      <c r="B5276" s="4" t="s">
        <v>13</v>
      </c>
      <c r="C5276" s="37" t="s">
        <v>8905</v>
      </c>
      <c r="D5276" s="35">
        <v>3871</v>
      </c>
      <c r="E5276" s="4" t="s">
        <v>8909</v>
      </c>
      <c r="F5276" s="5">
        <v>39770</v>
      </c>
      <c r="G5276" s="5">
        <v>39871</v>
      </c>
      <c r="H5276" s="4" t="s">
        <v>16</v>
      </c>
      <c r="I5276" s="6">
        <v>4700</v>
      </c>
      <c r="J5276" s="6">
        <v>1410</v>
      </c>
      <c r="K5276" s="37" t="s">
        <v>8905</v>
      </c>
      <c r="L5276" s="119"/>
      <c r="M5276" s="3"/>
    </row>
    <row r="5277" spans="1:13" s="4" customFormat="1" ht="76.5" x14ac:dyDescent="0.25">
      <c r="A5277" s="4" t="s">
        <v>8910</v>
      </c>
      <c r="B5277" s="4" t="s">
        <v>13</v>
      </c>
      <c r="C5277" s="37" t="s">
        <v>8905</v>
      </c>
      <c r="D5277" s="35">
        <v>3872</v>
      </c>
      <c r="E5277" s="4" t="s">
        <v>8911</v>
      </c>
      <c r="F5277" s="5">
        <v>39455</v>
      </c>
      <c r="G5277" s="5">
        <v>39689</v>
      </c>
      <c r="H5277" s="4" t="s">
        <v>16</v>
      </c>
      <c r="I5277" s="6">
        <v>90628</v>
      </c>
      <c r="J5277" s="6">
        <v>22500</v>
      </c>
      <c r="K5277" s="37" t="s">
        <v>8905</v>
      </c>
      <c r="L5277" s="119"/>
      <c r="M5277" s="3"/>
    </row>
    <row r="5278" spans="1:13" s="4" customFormat="1" ht="25.5" x14ac:dyDescent="0.25">
      <c r="A5278" s="4" t="s">
        <v>8912</v>
      </c>
      <c r="B5278" s="4" t="s">
        <v>13</v>
      </c>
      <c r="C5278" s="37" t="s">
        <v>8905</v>
      </c>
      <c r="D5278" s="35">
        <v>3873</v>
      </c>
      <c r="E5278" s="4" t="s">
        <v>8913</v>
      </c>
      <c r="F5278" s="5">
        <v>39862</v>
      </c>
      <c r="G5278" s="5">
        <v>40087</v>
      </c>
      <c r="H5278" s="4" t="s">
        <v>16</v>
      </c>
      <c r="I5278" s="6">
        <v>11088</v>
      </c>
      <c r="J5278" s="6">
        <v>2186</v>
      </c>
      <c r="K5278" s="37" t="s">
        <v>8905</v>
      </c>
      <c r="L5278" s="119"/>
      <c r="M5278" s="3"/>
    </row>
    <row r="5279" spans="1:13" s="4" customFormat="1" ht="38.25" x14ac:dyDescent="0.25">
      <c r="A5279" s="4" t="s">
        <v>8914</v>
      </c>
      <c r="B5279" s="4" t="s">
        <v>13</v>
      </c>
      <c r="C5279" s="37" t="s">
        <v>8905</v>
      </c>
      <c r="D5279" s="35">
        <v>3874</v>
      </c>
      <c r="E5279" s="4" t="s">
        <v>8915</v>
      </c>
      <c r="F5279" s="5">
        <v>39694</v>
      </c>
      <c r="G5279" s="5">
        <v>39812</v>
      </c>
      <c r="H5279" s="4" t="s">
        <v>16</v>
      </c>
      <c r="I5279" s="6">
        <v>60425</v>
      </c>
      <c r="J5279" s="6">
        <v>16500</v>
      </c>
      <c r="K5279" s="37" t="s">
        <v>8905</v>
      </c>
      <c r="L5279" s="119"/>
      <c r="M5279" s="3"/>
    </row>
    <row r="5280" spans="1:13" s="4" customFormat="1" ht="76.5" x14ac:dyDescent="0.25">
      <c r="A5280" s="4" t="s">
        <v>8910</v>
      </c>
      <c r="B5280" s="4" t="s">
        <v>13</v>
      </c>
      <c r="C5280" s="37" t="s">
        <v>8905</v>
      </c>
      <c r="D5280" s="35">
        <v>3877</v>
      </c>
      <c r="E5280" s="4" t="s">
        <v>8916</v>
      </c>
      <c r="F5280" s="5">
        <v>39455</v>
      </c>
      <c r="G5280" s="5">
        <v>39689</v>
      </c>
      <c r="H5280" s="4" t="s">
        <v>16</v>
      </c>
      <c r="I5280" s="6">
        <v>19200</v>
      </c>
      <c r="J5280" s="6">
        <v>5280</v>
      </c>
      <c r="K5280" s="37" t="s">
        <v>8905</v>
      </c>
      <c r="L5280" s="119"/>
      <c r="M5280" s="3"/>
    </row>
    <row r="5281" spans="1:13" s="4" customFormat="1" ht="76.5" x14ac:dyDescent="0.25">
      <c r="A5281" s="4" t="s">
        <v>2648</v>
      </c>
      <c r="B5281" s="4" t="s">
        <v>13</v>
      </c>
      <c r="C5281" s="37" t="s">
        <v>8905</v>
      </c>
      <c r="D5281" s="35">
        <v>4130</v>
      </c>
      <c r="E5281" s="7" t="s">
        <v>8917</v>
      </c>
      <c r="F5281" s="5">
        <v>39694</v>
      </c>
      <c r="G5281" s="5">
        <v>40471</v>
      </c>
      <c r="H5281" s="4" t="s">
        <v>16</v>
      </c>
      <c r="I5281" s="6">
        <v>93730</v>
      </c>
      <c r="J5281" s="6">
        <v>28119</v>
      </c>
      <c r="K5281" s="37" t="s">
        <v>8905</v>
      </c>
      <c r="L5281" s="119"/>
      <c r="M5281" s="3"/>
    </row>
    <row r="5282" spans="1:13" s="4" customFormat="1" ht="25.5" x14ac:dyDescent="0.25">
      <c r="A5282" s="4" t="s">
        <v>8918</v>
      </c>
      <c r="B5282" s="4" t="s">
        <v>13</v>
      </c>
      <c r="C5282" s="37" t="s">
        <v>8905</v>
      </c>
      <c r="D5282" s="35">
        <v>10053</v>
      </c>
      <c r="E5282" s="4" t="s">
        <v>8919</v>
      </c>
      <c r="F5282" s="5">
        <v>40197</v>
      </c>
      <c r="G5282" s="5">
        <v>40332</v>
      </c>
      <c r="H5282" s="4" t="s">
        <v>16</v>
      </c>
      <c r="I5282" s="6">
        <v>7030.84</v>
      </c>
      <c r="J5282" s="6">
        <v>1824</v>
      </c>
      <c r="K5282" s="37" t="s">
        <v>8905</v>
      </c>
      <c r="L5282" s="119"/>
    </row>
    <row r="5283" spans="1:13" s="4" customFormat="1" ht="25.5" x14ac:dyDescent="0.25">
      <c r="A5283" s="4" t="s">
        <v>8920</v>
      </c>
      <c r="B5283" s="4" t="s">
        <v>13</v>
      </c>
      <c r="C5283" s="37" t="s">
        <v>8905</v>
      </c>
      <c r="D5283" s="35">
        <v>10139</v>
      </c>
      <c r="E5283" s="4" t="s">
        <v>8921</v>
      </c>
      <c r="F5283" s="5">
        <v>40364</v>
      </c>
      <c r="G5283" s="5">
        <v>40452</v>
      </c>
      <c r="H5283" s="4" t="s">
        <v>16</v>
      </c>
      <c r="I5283" s="6">
        <v>46058.96</v>
      </c>
      <c r="J5283" s="6">
        <v>13817.69</v>
      </c>
      <c r="K5283" s="37" t="s">
        <v>8905</v>
      </c>
      <c r="L5283" s="119"/>
      <c r="M5283" s="3"/>
    </row>
    <row r="5284" spans="1:13" s="4" customFormat="1" ht="38.25" x14ac:dyDescent="0.25">
      <c r="A5284" s="4" t="s">
        <v>8922</v>
      </c>
      <c r="B5284" s="4" t="s">
        <v>13</v>
      </c>
      <c r="C5284" s="37" t="s">
        <v>8905</v>
      </c>
      <c r="D5284" s="35">
        <v>9460</v>
      </c>
      <c r="E5284" s="4" t="s">
        <v>8923</v>
      </c>
      <c r="F5284" s="5">
        <v>39324</v>
      </c>
      <c r="G5284" s="5">
        <v>39446</v>
      </c>
      <c r="H5284" s="4" t="s">
        <v>389</v>
      </c>
      <c r="I5284" s="6">
        <v>35171.339999999997</v>
      </c>
      <c r="J5284" s="6">
        <v>14068.54</v>
      </c>
      <c r="K5284" s="37" t="s">
        <v>8905</v>
      </c>
      <c r="L5284" s="119"/>
      <c r="M5284" s="3"/>
    </row>
    <row r="5285" spans="1:13" s="4" customFormat="1" ht="89.25" x14ac:dyDescent="0.25">
      <c r="A5285" s="4" t="s">
        <v>8924</v>
      </c>
      <c r="B5285" s="4" t="s">
        <v>13</v>
      </c>
      <c r="C5285" s="37" t="s">
        <v>8905</v>
      </c>
      <c r="D5285" s="35">
        <v>9915</v>
      </c>
      <c r="E5285" s="7" t="s">
        <v>8925</v>
      </c>
      <c r="F5285" s="5">
        <v>40836</v>
      </c>
      <c r="G5285" s="5">
        <v>40898</v>
      </c>
      <c r="H5285" s="4" t="s">
        <v>389</v>
      </c>
      <c r="I5285" s="6">
        <v>146924</v>
      </c>
      <c r="J5285" s="6">
        <v>51423.4</v>
      </c>
      <c r="K5285" s="37" t="s">
        <v>8905</v>
      </c>
      <c r="L5285" s="119"/>
      <c r="M5285" s="3"/>
    </row>
    <row r="5286" spans="1:13" s="4" customFormat="1" ht="63.75" x14ac:dyDescent="0.25">
      <c r="A5286" s="4" t="s">
        <v>8926</v>
      </c>
      <c r="B5286" s="4" t="s">
        <v>13</v>
      </c>
      <c r="C5286" s="37" t="s">
        <v>8905</v>
      </c>
      <c r="D5286" s="35">
        <v>10034</v>
      </c>
      <c r="E5286" s="4" t="s">
        <v>8927</v>
      </c>
      <c r="F5286" s="5">
        <v>40394</v>
      </c>
      <c r="G5286" s="5">
        <v>40543</v>
      </c>
      <c r="H5286" s="4" t="s">
        <v>389</v>
      </c>
      <c r="I5286" s="6">
        <v>205751.8</v>
      </c>
      <c r="J5286" s="6">
        <v>72013</v>
      </c>
      <c r="K5286" s="37" t="s">
        <v>8905</v>
      </c>
      <c r="L5286" s="119"/>
      <c r="M5286" s="3"/>
    </row>
    <row r="5287" spans="1:13" s="4" customFormat="1" ht="51" x14ac:dyDescent="0.25">
      <c r="A5287" s="4" t="s">
        <v>8928</v>
      </c>
      <c r="B5287" s="4" t="s">
        <v>13</v>
      </c>
      <c r="C5287" s="37" t="s">
        <v>8905</v>
      </c>
      <c r="D5287" s="35">
        <v>10068</v>
      </c>
      <c r="E5287" s="4" t="s">
        <v>8929</v>
      </c>
      <c r="F5287" s="5">
        <v>40757</v>
      </c>
      <c r="G5287" s="5">
        <v>40900</v>
      </c>
      <c r="H5287" s="4" t="s">
        <v>389</v>
      </c>
      <c r="I5287" s="6">
        <v>565199.97</v>
      </c>
      <c r="J5287" s="6">
        <v>183819.99</v>
      </c>
      <c r="K5287" s="37" t="s">
        <v>8905</v>
      </c>
      <c r="L5287" s="119"/>
      <c r="M5287" s="3"/>
    </row>
    <row r="5288" spans="1:13" s="4" customFormat="1" ht="25.5" x14ac:dyDescent="0.25">
      <c r="A5288" s="4" t="s">
        <v>8932</v>
      </c>
      <c r="B5288" s="4" t="s">
        <v>50</v>
      </c>
      <c r="C5288" s="37" t="s">
        <v>8905</v>
      </c>
      <c r="D5288" s="35">
        <v>1738</v>
      </c>
      <c r="E5288" s="4" t="s">
        <v>8933</v>
      </c>
      <c r="F5288" s="5">
        <v>39125</v>
      </c>
      <c r="G5288" s="5">
        <v>39490</v>
      </c>
      <c r="H5288" s="4" t="s">
        <v>40</v>
      </c>
      <c r="I5288" s="6">
        <v>20000</v>
      </c>
      <c r="J5288" s="6">
        <v>10000</v>
      </c>
      <c r="K5288" s="37" t="s">
        <v>8905</v>
      </c>
      <c r="L5288" s="120"/>
      <c r="M5288" s="3"/>
    </row>
    <row r="5289" spans="1:13" s="4" customFormat="1" ht="25.5" x14ac:dyDescent="0.25">
      <c r="A5289" s="4" t="s">
        <v>8934</v>
      </c>
      <c r="B5289" s="4" t="s">
        <v>59</v>
      </c>
      <c r="C5289" s="37" t="s">
        <v>8905</v>
      </c>
      <c r="D5289" s="35">
        <v>1774</v>
      </c>
      <c r="E5289" s="4" t="s">
        <v>8935</v>
      </c>
      <c r="F5289" s="5">
        <v>39125</v>
      </c>
      <c r="H5289" s="4" t="s">
        <v>40</v>
      </c>
      <c r="I5289" s="6">
        <v>7500</v>
      </c>
      <c r="J5289" s="6">
        <v>7500</v>
      </c>
      <c r="K5289" s="37" t="s">
        <v>8905</v>
      </c>
      <c r="L5289" s="120"/>
      <c r="M5289" s="3"/>
    </row>
    <row r="5290" spans="1:13" s="4" customFormat="1" ht="25.5" x14ac:dyDescent="0.25">
      <c r="A5290" s="4" t="s">
        <v>8936</v>
      </c>
      <c r="B5290" s="4" t="s">
        <v>50</v>
      </c>
      <c r="C5290" s="37" t="s">
        <v>8905</v>
      </c>
      <c r="D5290" s="35">
        <v>1784</v>
      </c>
      <c r="E5290" s="4" t="s">
        <v>8937</v>
      </c>
      <c r="F5290" s="5">
        <v>39125</v>
      </c>
      <c r="G5290" s="5">
        <v>39275</v>
      </c>
      <c r="H5290" s="4" t="s">
        <v>40</v>
      </c>
      <c r="I5290" s="6">
        <v>103.84</v>
      </c>
      <c r="J5290" s="6">
        <v>51.92</v>
      </c>
      <c r="K5290" s="37" t="s">
        <v>8905</v>
      </c>
      <c r="L5290" s="120"/>
      <c r="M5290" s="3"/>
    </row>
    <row r="5291" spans="1:13" s="4" customFormat="1" ht="25.5" x14ac:dyDescent="0.25">
      <c r="A5291" s="4" t="s">
        <v>8938</v>
      </c>
      <c r="B5291" s="4" t="s">
        <v>90</v>
      </c>
      <c r="C5291" s="37" t="s">
        <v>8905</v>
      </c>
      <c r="D5291" s="35">
        <v>1787</v>
      </c>
      <c r="E5291" s="4" t="s">
        <v>8939</v>
      </c>
      <c r="F5291" s="5">
        <v>39188</v>
      </c>
      <c r="G5291" s="5">
        <v>39379</v>
      </c>
      <c r="H5291" s="4" t="s">
        <v>40</v>
      </c>
      <c r="I5291" s="6">
        <v>10000</v>
      </c>
      <c r="J5291" s="6">
        <v>5000</v>
      </c>
      <c r="K5291" s="37" t="s">
        <v>8905</v>
      </c>
      <c r="L5291" s="120"/>
      <c r="M5291" s="3"/>
    </row>
    <row r="5292" spans="1:13" s="4" customFormat="1" ht="25.5" x14ac:dyDescent="0.25">
      <c r="A5292" s="4" t="s">
        <v>8940</v>
      </c>
      <c r="B5292" s="4" t="s">
        <v>59</v>
      </c>
      <c r="C5292" s="37" t="s">
        <v>8905</v>
      </c>
      <c r="D5292" s="35">
        <v>1805</v>
      </c>
      <c r="E5292" s="4" t="s">
        <v>8941</v>
      </c>
      <c r="F5292" s="5">
        <v>39335</v>
      </c>
      <c r="G5292" s="5">
        <v>39577</v>
      </c>
      <c r="H5292" s="4" t="s">
        <v>40</v>
      </c>
      <c r="I5292" s="6">
        <v>7500</v>
      </c>
      <c r="J5292" s="6">
        <v>7500</v>
      </c>
      <c r="K5292" s="37" t="s">
        <v>8905</v>
      </c>
      <c r="L5292" s="120"/>
      <c r="M5292" s="3"/>
    </row>
    <row r="5293" spans="1:13" s="4" customFormat="1" ht="25.5" x14ac:dyDescent="0.25">
      <c r="A5293" s="4" t="s">
        <v>8944</v>
      </c>
      <c r="B5293" s="4" t="s">
        <v>50</v>
      </c>
      <c r="C5293" s="37" t="s">
        <v>8905</v>
      </c>
      <c r="D5293" s="35">
        <v>1810</v>
      </c>
      <c r="E5293" s="4" t="s">
        <v>8945</v>
      </c>
      <c r="F5293" s="5">
        <v>39244</v>
      </c>
      <c r="G5293" s="5">
        <v>39813</v>
      </c>
      <c r="H5293" s="4" t="s">
        <v>40</v>
      </c>
      <c r="I5293" s="6">
        <v>15366.92</v>
      </c>
      <c r="J5293" s="6">
        <v>7683.46</v>
      </c>
      <c r="K5293" s="37" t="s">
        <v>8905</v>
      </c>
      <c r="L5293" s="120"/>
      <c r="M5293" s="3"/>
    </row>
    <row r="5294" spans="1:13" s="4" customFormat="1" ht="25.5" x14ac:dyDescent="0.25">
      <c r="A5294" s="4" t="s">
        <v>8948</v>
      </c>
      <c r="B5294" s="4" t="s">
        <v>50</v>
      </c>
      <c r="C5294" s="37" t="s">
        <v>8905</v>
      </c>
      <c r="D5294" s="35">
        <v>1831</v>
      </c>
      <c r="E5294" s="4" t="s">
        <v>8949</v>
      </c>
      <c r="F5294" s="5">
        <v>39188</v>
      </c>
      <c r="G5294" s="5">
        <v>39422</v>
      </c>
      <c r="H5294" s="4" t="s">
        <v>40</v>
      </c>
      <c r="I5294" s="6">
        <v>66000</v>
      </c>
      <c r="J5294" s="6">
        <v>33000</v>
      </c>
      <c r="K5294" s="37" t="s">
        <v>8905</v>
      </c>
      <c r="L5294" s="120"/>
      <c r="M5294" s="3"/>
    </row>
    <row r="5295" spans="1:13" s="4" customFormat="1" ht="25.5" x14ac:dyDescent="0.25">
      <c r="A5295" s="4" t="s">
        <v>8950</v>
      </c>
      <c r="B5295" s="4" t="s">
        <v>50</v>
      </c>
      <c r="C5295" s="37" t="s">
        <v>8905</v>
      </c>
      <c r="D5295" s="35">
        <v>1834</v>
      </c>
      <c r="E5295" s="4" t="s">
        <v>8951</v>
      </c>
      <c r="F5295" s="5">
        <v>39335</v>
      </c>
      <c r="G5295" s="5">
        <v>39422</v>
      </c>
      <c r="H5295" s="4" t="s">
        <v>40</v>
      </c>
      <c r="I5295" s="6">
        <v>12000</v>
      </c>
      <c r="J5295" s="6">
        <v>6000</v>
      </c>
      <c r="K5295" s="37" t="s">
        <v>8905</v>
      </c>
      <c r="L5295" s="120"/>
      <c r="M5295" s="3"/>
    </row>
    <row r="5296" spans="1:13" s="4" customFormat="1" ht="25.5" x14ac:dyDescent="0.25">
      <c r="A5296" s="4" t="s">
        <v>8952</v>
      </c>
      <c r="B5296" s="4" t="s">
        <v>50</v>
      </c>
      <c r="C5296" s="37" t="s">
        <v>8905</v>
      </c>
      <c r="D5296" s="35">
        <v>1837</v>
      </c>
      <c r="E5296" s="4" t="s">
        <v>8953</v>
      </c>
      <c r="F5296" s="5">
        <v>39244</v>
      </c>
      <c r="G5296" s="5">
        <v>39813</v>
      </c>
      <c r="H5296" s="4" t="s">
        <v>40</v>
      </c>
      <c r="I5296" s="6">
        <v>13735.38</v>
      </c>
      <c r="J5296" s="6">
        <v>6867.69</v>
      </c>
      <c r="K5296" s="37" t="s">
        <v>8905</v>
      </c>
      <c r="L5296" s="120"/>
      <c r="M5296" s="3"/>
    </row>
    <row r="5297" spans="1:13" s="4" customFormat="1" ht="25.5" x14ac:dyDescent="0.25">
      <c r="A5297" s="4" t="s">
        <v>8954</v>
      </c>
      <c r="B5297" s="4" t="s">
        <v>3116</v>
      </c>
      <c r="C5297" s="37" t="s">
        <v>8905</v>
      </c>
      <c r="D5297" s="35">
        <v>1841</v>
      </c>
      <c r="E5297" s="4" t="s">
        <v>8955</v>
      </c>
      <c r="F5297" s="5">
        <v>39188</v>
      </c>
      <c r="G5297" s="5">
        <v>39218</v>
      </c>
      <c r="H5297" s="4" t="s">
        <v>40</v>
      </c>
      <c r="I5297" s="6">
        <v>72000</v>
      </c>
      <c r="J5297" s="6">
        <v>36000</v>
      </c>
      <c r="K5297" s="37" t="s">
        <v>8905</v>
      </c>
      <c r="L5297" s="120"/>
      <c r="M5297" s="3"/>
    </row>
    <row r="5298" spans="1:13" s="4" customFormat="1" ht="25.5" x14ac:dyDescent="0.25">
      <c r="A5298" s="4" t="s">
        <v>8956</v>
      </c>
      <c r="B5298" s="4" t="s">
        <v>50</v>
      </c>
      <c r="C5298" s="37" t="s">
        <v>8905</v>
      </c>
      <c r="D5298" s="35">
        <v>1843</v>
      </c>
      <c r="E5298" s="4" t="s">
        <v>8957</v>
      </c>
      <c r="F5298" s="5">
        <v>39606</v>
      </c>
      <c r="G5298" s="5">
        <v>39679</v>
      </c>
      <c r="H5298" s="4" t="s">
        <v>40</v>
      </c>
      <c r="I5298" s="6">
        <v>38000</v>
      </c>
      <c r="J5298" s="6">
        <v>19000</v>
      </c>
      <c r="K5298" s="37" t="s">
        <v>8905</v>
      </c>
      <c r="L5298" s="120"/>
      <c r="M5298" s="3"/>
    </row>
    <row r="5299" spans="1:13" s="4" customFormat="1" ht="38.25" x14ac:dyDescent="0.25">
      <c r="A5299" s="4" t="s">
        <v>8958</v>
      </c>
      <c r="B5299" s="4" t="s">
        <v>50</v>
      </c>
      <c r="C5299" s="37" t="s">
        <v>8905</v>
      </c>
      <c r="D5299" s="35">
        <v>1845</v>
      </c>
      <c r="E5299" s="4" t="s">
        <v>8959</v>
      </c>
      <c r="F5299" s="5">
        <v>39552</v>
      </c>
      <c r="G5299" s="5">
        <v>40178</v>
      </c>
      <c r="H5299" s="4" t="s">
        <v>40</v>
      </c>
      <c r="I5299" s="6">
        <v>24787.14</v>
      </c>
      <c r="J5299" s="6">
        <v>12393.57</v>
      </c>
      <c r="K5299" s="37" t="s">
        <v>8905</v>
      </c>
      <c r="L5299" s="120"/>
      <c r="M5299" s="3"/>
    </row>
    <row r="5300" spans="1:13" s="4" customFormat="1" ht="25.5" x14ac:dyDescent="0.25">
      <c r="A5300" s="4" t="s">
        <v>8960</v>
      </c>
      <c r="B5300" s="4" t="s">
        <v>50</v>
      </c>
      <c r="C5300" s="37" t="s">
        <v>8905</v>
      </c>
      <c r="D5300" s="35">
        <v>1847</v>
      </c>
      <c r="E5300" s="4" t="s">
        <v>8961</v>
      </c>
      <c r="F5300" s="5">
        <v>39496</v>
      </c>
      <c r="G5300" s="5">
        <v>39749</v>
      </c>
      <c r="H5300" s="4" t="s">
        <v>40</v>
      </c>
      <c r="I5300" s="6">
        <v>60000</v>
      </c>
      <c r="J5300" s="6">
        <v>30000</v>
      </c>
      <c r="K5300" s="37" t="s">
        <v>8905</v>
      </c>
      <c r="L5300" s="120"/>
      <c r="M5300" s="3"/>
    </row>
    <row r="5301" spans="1:13" s="4" customFormat="1" ht="25.5" x14ac:dyDescent="0.25">
      <c r="A5301" s="4" t="s">
        <v>8962</v>
      </c>
      <c r="B5301" s="4" t="s">
        <v>90</v>
      </c>
      <c r="C5301" s="37" t="s">
        <v>8905</v>
      </c>
      <c r="D5301" s="35">
        <v>1849</v>
      </c>
      <c r="E5301" s="4" t="s">
        <v>8963</v>
      </c>
      <c r="F5301" s="5">
        <v>39244</v>
      </c>
      <c r="G5301" s="5">
        <v>39749</v>
      </c>
      <c r="H5301" s="4" t="s">
        <v>40</v>
      </c>
      <c r="I5301" s="6">
        <v>10000</v>
      </c>
      <c r="J5301" s="6">
        <v>5000</v>
      </c>
      <c r="K5301" s="37" t="s">
        <v>8905</v>
      </c>
      <c r="L5301" s="120"/>
      <c r="M5301" s="3"/>
    </row>
    <row r="5302" spans="1:13" s="4" customFormat="1" ht="25.5" x14ac:dyDescent="0.25">
      <c r="A5302" s="4" t="s">
        <v>8964</v>
      </c>
      <c r="B5302" s="4" t="s">
        <v>50</v>
      </c>
      <c r="C5302" s="37" t="s">
        <v>8905</v>
      </c>
      <c r="D5302" s="35">
        <v>1852</v>
      </c>
      <c r="E5302" s="4" t="s">
        <v>8965</v>
      </c>
      <c r="F5302" s="5">
        <v>39496</v>
      </c>
      <c r="G5302" s="5">
        <v>39813</v>
      </c>
      <c r="H5302" s="4" t="s">
        <v>40</v>
      </c>
      <c r="I5302" s="6">
        <v>28460.22</v>
      </c>
      <c r="J5302" s="6">
        <v>14230.11</v>
      </c>
      <c r="K5302" s="37" t="s">
        <v>8905</v>
      </c>
      <c r="L5302" s="120"/>
      <c r="M5302" s="3"/>
    </row>
    <row r="5303" spans="1:13" s="4" customFormat="1" ht="25.5" x14ac:dyDescent="0.25">
      <c r="A5303" s="4" t="s">
        <v>8966</v>
      </c>
      <c r="B5303" s="4" t="s">
        <v>50</v>
      </c>
      <c r="C5303" s="37" t="s">
        <v>8905</v>
      </c>
      <c r="D5303" s="35">
        <v>1855</v>
      </c>
      <c r="E5303" s="4" t="s">
        <v>8967</v>
      </c>
      <c r="F5303" s="5">
        <v>39492</v>
      </c>
      <c r="G5303" s="5">
        <v>39758</v>
      </c>
      <c r="H5303" s="4" t="s">
        <v>40</v>
      </c>
      <c r="I5303" s="6">
        <v>13084</v>
      </c>
      <c r="J5303" s="6">
        <v>6542</v>
      </c>
      <c r="K5303" s="37" t="s">
        <v>8905</v>
      </c>
      <c r="L5303" s="120"/>
      <c r="M5303" s="3"/>
    </row>
    <row r="5304" spans="1:13" s="4" customFormat="1" ht="38.25" x14ac:dyDescent="0.25">
      <c r="A5304" s="4" t="s">
        <v>8968</v>
      </c>
      <c r="B5304" s="4" t="s">
        <v>50</v>
      </c>
      <c r="C5304" s="37" t="s">
        <v>8905</v>
      </c>
      <c r="D5304" s="35">
        <v>1858</v>
      </c>
      <c r="E5304" s="4" t="s">
        <v>8969</v>
      </c>
      <c r="F5304" s="5">
        <v>39496</v>
      </c>
      <c r="G5304" s="5">
        <v>40178</v>
      </c>
      <c r="H5304" s="4" t="s">
        <v>40</v>
      </c>
      <c r="I5304" s="6">
        <v>66114.880000000005</v>
      </c>
      <c r="J5304" s="6">
        <v>33057.440000000002</v>
      </c>
      <c r="K5304" s="37" t="s">
        <v>8905</v>
      </c>
      <c r="L5304" s="120"/>
      <c r="M5304" s="3"/>
    </row>
    <row r="5305" spans="1:13" s="4" customFormat="1" ht="25.5" x14ac:dyDescent="0.25">
      <c r="A5305" s="4" t="s">
        <v>8970</v>
      </c>
      <c r="B5305" s="4" t="s">
        <v>50</v>
      </c>
      <c r="C5305" s="37" t="s">
        <v>8905</v>
      </c>
      <c r="D5305" s="35">
        <v>1860</v>
      </c>
      <c r="E5305" s="4" t="s">
        <v>8971</v>
      </c>
      <c r="F5305" s="5">
        <v>39188</v>
      </c>
      <c r="G5305" s="5">
        <v>39813</v>
      </c>
      <c r="H5305" s="4" t="s">
        <v>40</v>
      </c>
      <c r="I5305" s="6">
        <v>21640</v>
      </c>
      <c r="J5305" s="6">
        <v>10820</v>
      </c>
      <c r="K5305" s="37" t="s">
        <v>8905</v>
      </c>
      <c r="L5305" s="120"/>
      <c r="M5305" s="3"/>
    </row>
    <row r="5306" spans="1:13" s="4" customFormat="1" ht="25.5" x14ac:dyDescent="0.25">
      <c r="A5306" s="4" t="s">
        <v>8972</v>
      </c>
      <c r="B5306" s="4" t="s">
        <v>50</v>
      </c>
      <c r="C5306" s="37" t="s">
        <v>8905</v>
      </c>
      <c r="D5306" s="35">
        <v>1862</v>
      </c>
      <c r="E5306" s="4" t="s">
        <v>8973</v>
      </c>
      <c r="F5306" s="5">
        <v>39552</v>
      </c>
      <c r="G5306" s="5">
        <v>40178</v>
      </c>
      <c r="H5306" s="4" t="s">
        <v>40</v>
      </c>
      <c r="I5306" s="6">
        <v>28848.38</v>
      </c>
      <c r="J5306" s="6">
        <v>14422.19</v>
      </c>
      <c r="K5306" s="37" t="s">
        <v>8905</v>
      </c>
      <c r="L5306" s="120"/>
      <c r="M5306" s="3"/>
    </row>
    <row r="5307" spans="1:13" s="4" customFormat="1" ht="25.5" x14ac:dyDescent="0.25">
      <c r="A5307" s="4" t="s">
        <v>2491</v>
      </c>
      <c r="B5307" s="4" t="s">
        <v>38</v>
      </c>
      <c r="C5307" s="37" t="s">
        <v>8905</v>
      </c>
      <c r="D5307" s="35">
        <v>3093</v>
      </c>
      <c r="E5307" s="4" t="s">
        <v>8976</v>
      </c>
      <c r="F5307" s="5">
        <v>39462</v>
      </c>
      <c r="G5307" s="5">
        <v>39838</v>
      </c>
      <c r="H5307" s="4" t="s">
        <v>40</v>
      </c>
      <c r="I5307" s="6">
        <f>3333.64+5316.98+11.12</f>
        <v>8661.74</v>
      </c>
      <c r="J5307" s="6">
        <v>8661.74</v>
      </c>
      <c r="K5307" s="37" t="s">
        <v>8905</v>
      </c>
      <c r="L5307" s="120"/>
      <c r="M5307" s="3"/>
    </row>
    <row r="5308" spans="1:13" s="4" customFormat="1" ht="38.25" x14ac:dyDescent="0.25">
      <c r="A5308" s="4" t="s">
        <v>8977</v>
      </c>
      <c r="B5308" s="4" t="s">
        <v>38</v>
      </c>
      <c r="C5308" s="37" t="s">
        <v>8905</v>
      </c>
      <c r="D5308" s="35">
        <v>3094</v>
      </c>
      <c r="E5308" s="4" t="s">
        <v>8978</v>
      </c>
      <c r="F5308" s="5">
        <v>39083</v>
      </c>
      <c r="G5308" s="5">
        <v>40178</v>
      </c>
      <c r="H5308" s="4" t="s">
        <v>40</v>
      </c>
      <c r="I5308" s="6">
        <v>38344.35</v>
      </c>
      <c r="J5308" s="6">
        <v>29812.81</v>
      </c>
      <c r="K5308" s="37" t="s">
        <v>8905</v>
      </c>
      <c r="L5308" s="120"/>
      <c r="M5308" s="3"/>
    </row>
    <row r="5309" spans="1:13" s="4" customFormat="1" ht="25.5" x14ac:dyDescent="0.25">
      <c r="A5309" s="4" t="s">
        <v>2282</v>
      </c>
      <c r="B5309" s="4" t="s">
        <v>38</v>
      </c>
      <c r="C5309" s="37" t="s">
        <v>8905</v>
      </c>
      <c r="D5309" s="35">
        <v>3095</v>
      </c>
      <c r="E5309" s="4" t="s">
        <v>8979</v>
      </c>
      <c r="F5309" s="5">
        <v>39083</v>
      </c>
      <c r="H5309" s="4" t="s">
        <v>40</v>
      </c>
      <c r="I5309" s="6">
        <f>26125.37+17070.56+12396.93+10822.94+10592.94</f>
        <v>77008.740000000005</v>
      </c>
      <c r="J5309" s="6">
        <f>66185.8+10822.94</f>
        <v>77008.740000000005</v>
      </c>
      <c r="K5309" s="37" t="s">
        <v>8905</v>
      </c>
      <c r="L5309" s="120"/>
      <c r="M5309" s="3"/>
    </row>
    <row r="5310" spans="1:13" s="4" customFormat="1" ht="25.5" x14ac:dyDescent="0.25">
      <c r="A5310" s="4" t="s">
        <v>8980</v>
      </c>
      <c r="B5310" s="4" t="s">
        <v>38</v>
      </c>
      <c r="C5310" s="37" t="s">
        <v>8905</v>
      </c>
      <c r="D5310" s="35">
        <v>3096</v>
      </c>
      <c r="E5310" s="4" t="s">
        <v>8981</v>
      </c>
      <c r="F5310" s="5">
        <v>39083</v>
      </c>
      <c r="G5310" s="5">
        <v>40178</v>
      </c>
      <c r="H5310" s="4" t="s">
        <v>40</v>
      </c>
      <c r="I5310" s="6">
        <v>24721.18</v>
      </c>
      <c r="J5310" s="6">
        <v>24721.18</v>
      </c>
      <c r="K5310" s="37" t="s">
        <v>8905</v>
      </c>
      <c r="L5310" s="120"/>
      <c r="M5310" s="3"/>
    </row>
    <row r="5311" spans="1:13" s="4" customFormat="1" ht="51" x14ac:dyDescent="0.25">
      <c r="A5311" s="4" t="s">
        <v>2284</v>
      </c>
      <c r="B5311" s="4" t="s">
        <v>38</v>
      </c>
      <c r="C5311" s="37" t="s">
        <v>8905</v>
      </c>
      <c r="D5311" s="35">
        <v>3097</v>
      </c>
      <c r="E5311" s="4" t="s">
        <v>8982</v>
      </c>
      <c r="F5311" s="5">
        <v>39083</v>
      </c>
      <c r="H5311" s="4" t="s">
        <v>40</v>
      </c>
      <c r="I5311" s="6">
        <f>72349.1+126003.42+58680.09+83905.58+85778.78</f>
        <v>426716.97</v>
      </c>
      <c r="J5311" s="6">
        <f>368036.88+58680.09</f>
        <v>426716.97</v>
      </c>
      <c r="K5311" s="37" t="s">
        <v>8905</v>
      </c>
      <c r="L5311" s="120"/>
      <c r="M5311" s="3"/>
    </row>
    <row r="5312" spans="1:13" s="4" customFormat="1" ht="51" x14ac:dyDescent="0.25">
      <c r="A5312" s="4" t="s">
        <v>8983</v>
      </c>
      <c r="B5312" s="4" t="s">
        <v>38</v>
      </c>
      <c r="C5312" s="37" t="s">
        <v>8905</v>
      </c>
      <c r="D5312" s="35">
        <v>3098</v>
      </c>
      <c r="E5312" s="4" t="s">
        <v>8984</v>
      </c>
      <c r="F5312" s="5">
        <v>39083</v>
      </c>
      <c r="H5312" s="4" t="s">
        <v>40</v>
      </c>
      <c r="I5312" s="6">
        <f>6022.83+4712+6722.73+8092.65</f>
        <v>25550.21</v>
      </c>
      <c r="J5312" s="6">
        <v>20752.21</v>
      </c>
      <c r="K5312" s="37" t="s">
        <v>8905</v>
      </c>
      <c r="L5312" s="120"/>
      <c r="M5312" s="3"/>
    </row>
    <row r="5313" spans="1:13" s="4" customFormat="1" ht="38.25" x14ac:dyDescent="0.25">
      <c r="A5313" s="4" t="s">
        <v>8985</v>
      </c>
      <c r="B5313" s="4" t="s">
        <v>38</v>
      </c>
      <c r="C5313" s="37" t="s">
        <v>8905</v>
      </c>
      <c r="D5313" s="35">
        <v>3099</v>
      </c>
      <c r="E5313" s="4" t="s">
        <v>8986</v>
      </c>
      <c r="F5313" s="5">
        <v>39083</v>
      </c>
      <c r="G5313" s="5">
        <v>40178</v>
      </c>
      <c r="H5313" s="4" t="s">
        <v>40</v>
      </c>
      <c r="I5313" s="6">
        <v>144507.16</v>
      </c>
      <c r="J5313" s="6">
        <v>144507.16</v>
      </c>
      <c r="K5313" s="37" t="s">
        <v>8905</v>
      </c>
      <c r="L5313" s="120"/>
      <c r="M5313" s="3"/>
    </row>
    <row r="5314" spans="1:13" s="4" customFormat="1" ht="25.5" x14ac:dyDescent="0.25">
      <c r="A5314" s="4" t="s">
        <v>8987</v>
      </c>
      <c r="B5314" s="4" t="s">
        <v>38</v>
      </c>
      <c r="C5314" s="37" t="s">
        <v>8905</v>
      </c>
      <c r="D5314" s="35">
        <v>3100</v>
      </c>
      <c r="E5314" s="4" t="s">
        <v>8988</v>
      </c>
      <c r="F5314" s="5">
        <v>39083</v>
      </c>
      <c r="G5314" s="5">
        <v>39813</v>
      </c>
      <c r="H5314" s="4" t="s">
        <v>40</v>
      </c>
      <c r="I5314" s="6">
        <v>4100</v>
      </c>
      <c r="J5314" s="6">
        <v>4100</v>
      </c>
      <c r="K5314" s="37" t="s">
        <v>8905</v>
      </c>
      <c r="L5314" s="120"/>
      <c r="M5314" s="3"/>
    </row>
    <row r="5315" spans="1:13" s="4" customFormat="1" ht="38.25" x14ac:dyDescent="0.25">
      <c r="A5315" s="4" t="s">
        <v>8989</v>
      </c>
      <c r="B5315" s="4" t="s">
        <v>38</v>
      </c>
      <c r="C5315" s="37" t="s">
        <v>8905</v>
      </c>
      <c r="D5315" s="35">
        <v>3101</v>
      </c>
      <c r="E5315" s="4" t="s">
        <v>8990</v>
      </c>
      <c r="F5315" s="5">
        <v>39083</v>
      </c>
      <c r="G5315" s="5">
        <v>40543</v>
      </c>
      <c r="H5315" s="4" t="s">
        <v>40</v>
      </c>
      <c r="I5315" s="6">
        <v>26658.67</v>
      </c>
      <c r="J5315" s="6">
        <v>26658.67</v>
      </c>
      <c r="K5315" s="37" t="s">
        <v>8905</v>
      </c>
      <c r="L5315" s="120"/>
      <c r="M5315" s="3"/>
    </row>
    <row r="5316" spans="1:13" s="4" customFormat="1" ht="51" x14ac:dyDescent="0.25">
      <c r="A5316" s="4" t="s">
        <v>8991</v>
      </c>
      <c r="B5316" s="4" t="s">
        <v>38</v>
      </c>
      <c r="C5316" s="37" t="s">
        <v>8905</v>
      </c>
      <c r="D5316" s="35">
        <v>3102</v>
      </c>
      <c r="E5316" s="4" t="s">
        <v>8992</v>
      </c>
      <c r="F5316" s="5">
        <v>39083</v>
      </c>
      <c r="H5316" s="4" t="s">
        <v>40</v>
      </c>
      <c r="I5316" s="6">
        <v>6016.74</v>
      </c>
      <c r="J5316" s="6">
        <v>6016.74</v>
      </c>
      <c r="K5316" s="37" t="s">
        <v>8905</v>
      </c>
      <c r="L5316" s="120"/>
      <c r="M5316" s="3"/>
    </row>
    <row r="5317" spans="1:13" s="4" customFormat="1" ht="38.25" x14ac:dyDescent="0.25">
      <c r="A5317" s="4" t="s">
        <v>8993</v>
      </c>
      <c r="B5317" s="4" t="s">
        <v>38</v>
      </c>
      <c r="C5317" s="37" t="s">
        <v>8905</v>
      </c>
      <c r="D5317" s="35">
        <v>3103</v>
      </c>
      <c r="E5317" s="4" t="s">
        <v>8994</v>
      </c>
      <c r="F5317" s="5">
        <v>39083</v>
      </c>
      <c r="G5317" s="5">
        <v>39813</v>
      </c>
      <c r="H5317" s="4" t="s">
        <v>40</v>
      </c>
      <c r="I5317" s="6">
        <f>13622.75+27877.46+5968.5+12477.89</f>
        <v>59946.6</v>
      </c>
      <c r="J5317" s="6">
        <f>38775.14+3600</f>
        <v>42375.14</v>
      </c>
      <c r="K5317" s="37" t="s">
        <v>8905</v>
      </c>
      <c r="L5317" s="120"/>
      <c r="M5317" s="3"/>
    </row>
    <row r="5318" spans="1:13" s="4" customFormat="1" ht="25.5" x14ac:dyDescent="0.25">
      <c r="A5318" s="4" t="s">
        <v>8019</v>
      </c>
      <c r="B5318" s="4" t="s">
        <v>38</v>
      </c>
      <c r="C5318" s="37" t="s">
        <v>8905</v>
      </c>
      <c r="D5318" s="35">
        <v>3104</v>
      </c>
      <c r="E5318" s="4" t="s">
        <v>8995</v>
      </c>
      <c r="F5318" s="5">
        <v>39083</v>
      </c>
      <c r="H5318" s="4" t="s">
        <v>40</v>
      </c>
      <c r="I5318" s="6">
        <v>61109.86</v>
      </c>
      <c r="J5318" s="6">
        <f>55613.86+5496</f>
        <v>61109.86</v>
      </c>
      <c r="K5318" s="37" t="s">
        <v>8905</v>
      </c>
      <c r="L5318" s="120"/>
      <c r="M5318" s="3"/>
    </row>
    <row r="5319" spans="1:13" s="4" customFormat="1" ht="25.5" x14ac:dyDescent="0.25">
      <c r="A5319" s="4" t="s">
        <v>8996</v>
      </c>
      <c r="B5319" s="4" t="s">
        <v>38</v>
      </c>
      <c r="C5319" s="37" t="s">
        <v>8905</v>
      </c>
      <c r="D5319" s="35">
        <v>3105</v>
      </c>
      <c r="E5319" s="4" t="s">
        <v>8997</v>
      </c>
      <c r="F5319" s="5">
        <v>39083</v>
      </c>
      <c r="G5319" s="5">
        <v>39813</v>
      </c>
      <c r="H5319" s="4" t="s">
        <v>40</v>
      </c>
      <c r="I5319" s="6">
        <v>1554.9</v>
      </c>
      <c r="J5319" s="6">
        <v>1554.9</v>
      </c>
      <c r="K5319" s="37" t="s">
        <v>8905</v>
      </c>
      <c r="L5319" s="120"/>
      <c r="M5319" s="3"/>
    </row>
    <row r="5320" spans="1:13" s="4" customFormat="1" ht="25.5" x14ac:dyDescent="0.25">
      <c r="A5320" s="4" t="s">
        <v>8998</v>
      </c>
      <c r="B5320" s="4" t="s">
        <v>38</v>
      </c>
      <c r="C5320" s="37" t="s">
        <v>8905</v>
      </c>
      <c r="D5320" s="35">
        <v>3106</v>
      </c>
      <c r="E5320" s="4" t="s">
        <v>8999</v>
      </c>
      <c r="F5320" s="5">
        <v>39083</v>
      </c>
      <c r="H5320" s="4" t="s">
        <v>40</v>
      </c>
      <c r="I5320" s="6">
        <v>7750</v>
      </c>
      <c r="J5320" s="6">
        <v>7750</v>
      </c>
      <c r="K5320" s="37" t="s">
        <v>8905</v>
      </c>
      <c r="L5320" s="120"/>
      <c r="M5320" s="3"/>
    </row>
    <row r="5321" spans="1:13" s="4" customFormat="1" ht="25.5" x14ac:dyDescent="0.25">
      <c r="A5321" s="4" t="s">
        <v>9000</v>
      </c>
      <c r="B5321" s="4" t="s">
        <v>38</v>
      </c>
      <c r="C5321" s="37" t="s">
        <v>8905</v>
      </c>
      <c r="D5321" s="35">
        <v>3107</v>
      </c>
      <c r="E5321" s="4" t="s">
        <v>9001</v>
      </c>
      <c r="F5321" s="5">
        <v>39083</v>
      </c>
      <c r="G5321" s="5">
        <v>39113</v>
      </c>
      <c r="H5321" s="4" t="s">
        <v>40</v>
      </c>
      <c r="I5321" s="6">
        <v>1224.4000000000001</v>
      </c>
      <c r="J5321" s="6">
        <v>1224.4000000000001</v>
      </c>
      <c r="K5321" s="37" t="s">
        <v>8905</v>
      </c>
      <c r="L5321" s="120"/>
      <c r="M5321" s="3"/>
    </row>
    <row r="5322" spans="1:13" s="4" customFormat="1" ht="25.5" x14ac:dyDescent="0.25">
      <c r="A5322" s="4" t="s">
        <v>9002</v>
      </c>
      <c r="B5322" s="4" t="s">
        <v>38</v>
      </c>
      <c r="C5322" s="37" t="s">
        <v>8905</v>
      </c>
      <c r="D5322" s="35">
        <v>3108</v>
      </c>
      <c r="E5322" s="4" t="s">
        <v>9003</v>
      </c>
      <c r="F5322" s="5">
        <v>39083</v>
      </c>
      <c r="G5322" s="5">
        <v>39447</v>
      </c>
      <c r="H5322" s="4" t="s">
        <v>40</v>
      </c>
      <c r="I5322" s="6">
        <v>3000</v>
      </c>
      <c r="J5322" s="6">
        <v>3000</v>
      </c>
      <c r="K5322" s="37" t="s">
        <v>8905</v>
      </c>
      <c r="L5322" s="120"/>
      <c r="M5322" s="3"/>
    </row>
    <row r="5323" spans="1:13" s="4" customFormat="1" ht="25.5" x14ac:dyDescent="0.25">
      <c r="A5323" s="4" t="s">
        <v>9004</v>
      </c>
      <c r="B5323" s="4" t="s">
        <v>38</v>
      </c>
      <c r="C5323" s="37" t="s">
        <v>8905</v>
      </c>
      <c r="D5323" s="35">
        <v>3109</v>
      </c>
      <c r="E5323" s="4" t="s">
        <v>9004</v>
      </c>
      <c r="F5323" s="5">
        <v>39083</v>
      </c>
      <c r="G5323" s="5">
        <v>39447</v>
      </c>
      <c r="H5323" s="4" t="s">
        <v>40</v>
      </c>
      <c r="I5323" s="6">
        <v>5121.87</v>
      </c>
      <c r="J5323" s="6">
        <v>5121.87</v>
      </c>
      <c r="K5323" s="37" t="s">
        <v>8905</v>
      </c>
      <c r="L5323" s="120"/>
      <c r="M5323" s="3"/>
    </row>
    <row r="5324" spans="1:13" s="4" customFormat="1" ht="38.25" x14ac:dyDescent="0.25">
      <c r="A5324" s="4" t="s">
        <v>9005</v>
      </c>
      <c r="B5324" s="4" t="s">
        <v>38</v>
      </c>
      <c r="C5324" s="37" t="s">
        <v>8905</v>
      </c>
      <c r="D5324" s="35">
        <v>3110</v>
      </c>
      <c r="E5324" s="4" t="s">
        <v>9006</v>
      </c>
      <c r="F5324" s="5">
        <v>39083</v>
      </c>
      <c r="G5324" s="5">
        <v>39813</v>
      </c>
      <c r="H5324" s="4" t="s">
        <v>40</v>
      </c>
      <c r="I5324" s="6">
        <v>1089.8</v>
      </c>
      <c r="J5324" s="6">
        <v>1089.8</v>
      </c>
      <c r="K5324" s="37" t="s">
        <v>8905</v>
      </c>
      <c r="L5324" s="120"/>
      <c r="M5324" s="3"/>
    </row>
    <row r="5325" spans="1:13" s="4" customFormat="1" ht="25.5" x14ac:dyDescent="0.25">
      <c r="A5325" s="4" t="s">
        <v>9007</v>
      </c>
      <c r="B5325" s="4" t="s">
        <v>38</v>
      </c>
      <c r="C5325" s="37" t="s">
        <v>8905</v>
      </c>
      <c r="D5325" s="35">
        <v>3111</v>
      </c>
      <c r="E5325" s="4" t="s">
        <v>9008</v>
      </c>
      <c r="F5325" s="5">
        <v>39083</v>
      </c>
      <c r="H5325" s="4" t="s">
        <v>40</v>
      </c>
      <c r="I5325" s="6">
        <v>12010</v>
      </c>
      <c r="J5325" s="6">
        <v>12010</v>
      </c>
      <c r="K5325" s="37" t="s">
        <v>8905</v>
      </c>
      <c r="L5325" s="120"/>
      <c r="M5325" s="3"/>
    </row>
    <row r="5326" spans="1:13" s="4" customFormat="1" ht="63.75" x14ac:dyDescent="0.25">
      <c r="A5326" s="4" t="s">
        <v>9009</v>
      </c>
      <c r="B5326" s="4" t="s">
        <v>38</v>
      </c>
      <c r="C5326" s="37" t="s">
        <v>8905</v>
      </c>
      <c r="D5326" s="35">
        <v>3112</v>
      </c>
      <c r="E5326" s="4" t="s">
        <v>9010</v>
      </c>
      <c r="F5326" s="5">
        <v>39083</v>
      </c>
      <c r="G5326" s="5">
        <v>40178</v>
      </c>
      <c r="H5326" s="4" t="s">
        <v>40</v>
      </c>
      <c r="I5326" s="6">
        <v>9877.26</v>
      </c>
      <c r="J5326" s="6">
        <v>9877.26</v>
      </c>
      <c r="K5326" s="37" t="s">
        <v>8905</v>
      </c>
      <c r="L5326" s="120"/>
      <c r="M5326" s="3"/>
    </row>
    <row r="5327" spans="1:13" s="4" customFormat="1" ht="25.5" x14ac:dyDescent="0.25">
      <c r="A5327" s="4" t="s">
        <v>9011</v>
      </c>
      <c r="B5327" s="4" t="s">
        <v>38</v>
      </c>
      <c r="C5327" s="37" t="s">
        <v>8905</v>
      </c>
      <c r="D5327" s="35">
        <v>3113</v>
      </c>
      <c r="E5327" s="4" t="s">
        <v>9012</v>
      </c>
      <c r="F5327" s="5">
        <v>39083</v>
      </c>
      <c r="G5327" s="5">
        <v>39813</v>
      </c>
      <c r="H5327" s="4" t="s">
        <v>40</v>
      </c>
      <c r="I5327" s="6">
        <v>2018.75</v>
      </c>
      <c r="J5327" s="6">
        <v>2018.75</v>
      </c>
      <c r="K5327" s="37" t="s">
        <v>8905</v>
      </c>
      <c r="L5327" s="120"/>
      <c r="M5327" s="3"/>
    </row>
    <row r="5328" spans="1:13" s="4" customFormat="1" ht="25.5" x14ac:dyDescent="0.25">
      <c r="A5328" s="4" t="s">
        <v>6255</v>
      </c>
      <c r="B5328" s="4" t="s">
        <v>38</v>
      </c>
      <c r="C5328" s="37" t="s">
        <v>8905</v>
      </c>
      <c r="D5328" s="35">
        <v>3114</v>
      </c>
      <c r="E5328" s="4" t="s">
        <v>9013</v>
      </c>
      <c r="F5328" s="5">
        <v>39083</v>
      </c>
      <c r="G5328" s="5">
        <v>39813</v>
      </c>
      <c r="H5328" s="4" t="s">
        <v>40</v>
      </c>
      <c r="I5328" s="6">
        <v>115.8</v>
      </c>
      <c r="J5328" s="6">
        <v>115.8</v>
      </c>
      <c r="K5328" s="37" t="s">
        <v>8905</v>
      </c>
      <c r="L5328" s="120"/>
      <c r="M5328" s="3"/>
    </row>
    <row r="5329" spans="1:13" s="4" customFormat="1" ht="25.5" x14ac:dyDescent="0.25">
      <c r="A5329" s="4" t="s">
        <v>9014</v>
      </c>
      <c r="B5329" s="4" t="s">
        <v>38</v>
      </c>
      <c r="C5329" s="37" t="s">
        <v>8905</v>
      </c>
      <c r="D5329" s="35">
        <v>3115</v>
      </c>
      <c r="E5329" s="4" t="s">
        <v>9014</v>
      </c>
      <c r="F5329" s="5">
        <v>39083</v>
      </c>
      <c r="G5329" s="5">
        <v>39813</v>
      </c>
      <c r="H5329" s="4" t="s">
        <v>40</v>
      </c>
      <c r="I5329" s="6">
        <v>5353.8</v>
      </c>
      <c r="J5329" s="6">
        <v>5353.8</v>
      </c>
      <c r="K5329" s="37" t="s">
        <v>8905</v>
      </c>
      <c r="L5329" s="120"/>
      <c r="M5329" s="3"/>
    </row>
    <row r="5330" spans="1:13" s="4" customFormat="1" ht="25.5" x14ac:dyDescent="0.25">
      <c r="A5330" s="4" t="s">
        <v>9015</v>
      </c>
      <c r="B5330" s="4" t="s">
        <v>38</v>
      </c>
      <c r="C5330" s="37" t="s">
        <v>8905</v>
      </c>
      <c r="D5330" s="35">
        <v>3116</v>
      </c>
      <c r="E5330" s="4" t="s">
        <v>9016</v>
      </c>
      <c r="F5330" s="5">
        <v>39083</v>
      </c>
      <c r="G5330" s="5">
        <v>39447</v>
      </c>
      <c r="H5330" s="4" t="s">
        <v>40</v>
      </c>
      <c r="I5330" s="6">
        <v>210</v>
      </c>
      <c r="J5330" s="6">
        <v>210</v>
      </c>
      <c r="K5330" s="37" t="s">
        <v>8905</v>
      </c>
      <c r="L5330" s="120"/>
      <c r="M5330" s="3"/>
    </row>
    <row r="5331" spans="1:13" s="4" customFormat="1" ht="63.75" x14ac:dyDescent="0.25">
      <c r="A5331" s="4" t="s">
        <v>9017</v>
      </c>
      <c r="B5331" s="4" t="s">
        <v>13</v>
      </c>
      <c r="C5331" s="37" t="s">
        <v>8905</v>
      </c>
      <c r="D5331" s="35">
        <v>3117</v>
      </c>
      <c r="E5331" s="4" t="s">
        <v>9018</v>
      </c>
      <c r="F5331" s="5">
        <v>39083</v>
      </c>
      <c r="G5331" s="5">
        <v>39447</v>
      </c>
      <c r="H5331" s="4" t="s">
        <v>40</v>
      </c>
      <c r="I5331" s="6">
        <v>6085.6</v>
      </c>
      <c r="J5331" s="6">
        <v>6085.6</v>
      </c>
      <c r="K5331" s="37" t="s">
        <v>8905</v>
      </c>
      <c r="L5331" s="120"/>
      <c r="M5331" s="3"/>
    </row>
    <row r="5332" spans="1:13" s="4" customFormat="1" ht="25.5" x14ac:dyDescent="0.25">
      <c r="A5332" s="4" t="s">
        <v>9019</v>
      </c>
      <c r="B5332" s="4" t="s">
        <v>38</v>
      </c>
      <c r="C5332" s="37" t="s">
        <v>8905</v>
      </c>
      <c r="D5332" s="35">
        <v>3118</v>
      </c>
      <c r="E5332" s="4" t="s">
        <v>9020</v>
      </c>
      <c r="F5332" s="5">
        <v>39083</v>
      </c>
      <c r="G5332" s="5">
        <v>40178</v>
      </c>
      <c r="H5332" s="4" t="s">
        <v>40</v>
      </c>
      <c r="I5332" s="6">
        <v>31188.93</v>
      </c>
      <c r="J5332" s="6">
        <v>31188.93</v>
      </c>
      <c r="K5332" s="37" t="s">
        <v>8905</v>
      </c>
      <c r="L5332" s="120"/>
      <c r="M5332" s="3"/>
    </row>
    <row r="5333" spans="1:13" s="4" customFormat="1" ht="25.5" x14ac:dyDescent="0.25">
      <c r="A5333" s="4" t="s">
        <v>9021</v>
      </c>
      <c r="B5333" s="4" t="s">
        <v>38</v>
      </c>
      <c r="C5333" s="37" t="s">
        <v>8905</v>
      </c>
      <c r="D5333" s="35">
        <v>3119</v>
      </c>
      <c r="E5333" s="4" t="s">
        <v>9022</v>
      </c>
      <c r="F5333" s="5">
        <v>39083</v>
      </c>
      <c r="G5333" s="5">
        <v>39813</v>
      </c>
      <c r="H5333" s="4" t="s">
        <v>40</v>
      </c>
      <c r="I5333" s="6">
        <v>10890</v>
      </c>
      <c r="J5333" s="6">
        <v>10890</v>
      </c>
      <c r="K5333" s="37" t="s">
        <v>8905</v>
      </c>
      <c r="L5333" s="120"/>
      <c r="M5333" s="3"/>
    </row>
    <row r="5334" spans="1:13" s="4" customFormat="1" ht="38.25" x14ac:dyDescent="0.25">
      <c r="A5334" s="4" t="s">
        <v>9023</v>
      </c>
      <c r="B5334" s="4" t="s">
        <v>38</v>
      </c>
      <c r="C5334" s="37" t="s">
        <v>8905</v>
      </c>
      <c r="D5334" s="35">
        <v>3120</v>
      </c>
      <c r="E5334" s="4" t="s">
        <v>9024</v>
      </c>
      <c r="F5334" s="5">
        <v>39083</v>
      </c>
      <c r="G5334" s="5">
        <v>39813</v>
      </c>
      <c r="H5334" s="4" t="s">
        <v>40</v>
      </c>
      <c r="I5334" s="6">
        <v>207891.67</v>
      </c>
      <c r="J5334" s="6">
        <v>207891.67</v>
      </c>
      <c r="K5334" s="37" t="s">
        <v>8905</v>
      </c>
      <c r="L5334" s="120"/>
      <c r="M5334" s="3"/>
    </row>
    <row r="5335" spans="1:13" s="4" customFormat="1" ht="25.5" x14ac:dyDescent="0.25">
      <c r="A5335" s="4" t="s">
        <v>9025</v>
      </c>
      <c r="B5335" s="4" t="s">
        <v>38</v>
      </c>
      <c r="C5335" s="37" t="s">
        <v>8905</v>
      </c>
      <c r="D5335" s="35">
        <v>3121</v>
      </c>
      <c r="E5335" s="4" t="s">
        <v>9026</v>
      </c>
      <c r="F5335" s="5">
        <v>39083</v>
      </c>
      <c r="G5335" s="5">
        <v>39447</v>
      </c>
      <c r="H5335" s="4" t="s">
        <v>40</v>
      </c>
      <c r="I5335" s="6">
        <v>12000</v>
      </c>
      <c r="J5335" s="6">
        <v>12000</v>
      </c>
      <c r="K5335" s="37" t="s">
        <v>8905</v>
      </c>
      <c r="L5335" s="120"/>
      <c r="M5335" s="3"/>
    </row>
    <row r="5336" spans="1:13" s="4" customFormat="1" ht="25.5" x14ac:dyDescent="0.25">
      <c r="A5336" s="4" t="s">
        <v>9027</v>
      </c>
      <c r="B5336" s="4" t="s">
        <v>38</v>
      </c>
      <c r="C5336" s="37" t="s">
        <v>8905</v>
      </c>
      <c r="D5336" s="35">
        <v>3122</v>
      </c>
      <c r="E5336" s="4" t="s">
        <v>9028</v>
      </c>
      <c r="F5336" s="5">
        <v>39448</v>
      </c>
      <c r="G5336" s="5">
        <v>39813</v>
      </c>
      <c r="H5336" s="4" t="s">
        <v>40</v>
      </c>
      <c r="I5336" s="6">
        <v>1863.52</v>
      </c>
      <c r="J5336" s="6">
        <v>1863.52</v>
      </c>
      <c r="K5336" s="37" t="s">
        <v>8905</v>
      </c>
      <c r="L5336" s="120"/>
      <c r="M5336" s="3"/>
    </row>
    <row r="5337" spans="1:13" s="4" customFormat="1" ht="51" x14ac:dyDescent="0.25">
      <c r="A5337" s="4" t="s">
        <v>9029</v>
      </c>
      <c r="B5337" s="4" t="s">
        <v>38</v>
      </c>
      <c r="C5337" s="37" t="s">
        <v>8905</v>
      </c>
      <c r="D5337" s="35">
        <v>3123</v>
      </c>
      <c r="E5337" s="4" t="s">
        <v>9030</v>
      </c>
      <c r="F5337" s="5">
        <v>39448</v>
      </c>
      <c r="H5337" s="4" t="s">
        <v>40</v>
      </c>
      <c r="I5337" s="6">
        <f>35495.28-5000</f>
        <v>30495.279999999999</v>
      </c>
      <c r="J5337" s="6">
        <f>29495.28+6000-5000</f>
        <v>30495.279999999999</v>
      </c>
      <c r="K5337" s="37" t="s">
        <v>8905</v>
      </c>
      <c r="L5337" s="120"/>
      <c r="M5337" s="3"/>
    </row>
    <row r="5338" spans="1:13" s="4" customFormat="1" ht="25.5" x14ac:dyDescent="0.25">
      <c r="A5338" s="4" t="s">
        <v>9031</v>
      </c>
      <c r="B5338" s="4" t="s">
        <v>38</v>
      </c>
      <c r="C5338" s="37" t="s">
        <v>8905</v>
      </c>
      <c r="D5338" s="35">
        <v>3124</v>
      </c>
      <c r="E5338" s="4" t="s">
        <v>9032</v>
      </c>
      <c r="F5338" s="5">
        <v>39448</v>
      </c>
      <c r="G5338" s="5">
        <v>40178</v>
      </c>
      <c r="H5338" s="4" t="s">
        <v>40</v>
      </c>
      <c r="I5338" s="6">
        <f>34645-2628.8</f>
        <v>32016.2</v>
      </c>
      <c r="J5338" s="6">
        <f>34645-1314.39</f>
        <v>33330.61</v>
      </c>
      <c r="K5338" s="37" t="s">
        <v>8905</v>
      </c>
      <c r="L5338" s="120"/>
      <c r="M5338" s="3"/>
    </row>
    <row r="5339" spans="1:13" s="4" customFormat="1" ht="25.5" x14ac:dyDescent="0.25">
      <c r="A5339" s="4" t="s">
        <v>9033</v>
      </c>
      <c r="B5339" s="4" t="s">
        <v>38</v>
      </c>
      <c r="C5339" s="37" t="s">
        <v>8905</v>
      </c>
      <c r="D5339" s="35">
        <v>3125</v>
      </c>
      <c r="E5339" s="4" t="s">
        <v>9034</v>
      </c>
      <c r="F5339" s="5">
        <v>39448</v>
      </c>
      <c r="G5339" s="5">
        <v>39813</v>
      </c>
      <c r="H5339" s="4" t="s">
        <v>40</v>
      </c>
      <c r="I5339" s="6">
        <v>27953.84</v>
      </c>
      <c r="J5339" s="6">
        <v>27953.84</v>
      </c>
      <c r="K5339" s="37" t="s">
        <v>8905</v>
      </c>
      <c r="L5339" s="120"/>
      <c r="M5339" s="3"/>
    </row>
    <row r="5340" spans="1:13" s="4" customFormat="1" ht="25.5" x14ac:dyDescent="0.25">
      <c r="A5340" s="4" t="s">
        <v>9035</v>
      </c>
      <c r="B5340" s="4" t="s">
        <v>38</v>
      </c>
      <c r="C5340" s="37" t="s">
        <v>8905</v>
      </c>
      <c r="D5340" s="35">
        <v>3128</v>
      </c>
      <c r="E5340" s="4" t="s">
        <v>9036</v>
      </c>
      <c r="F5340" s="5">
        <v>39083</v>
      </c>
      <c r="H5340" s="4" t="s">
        <v>40</v>
      </c>
      <c r="I5340" s="6">
        <v>53158.9</v>
      </c>
      <c r="J5340" s="6">
        <v>53158.9</v>
      </c>
      <c r="K5340" s="37" t="s">
        <v>8905</v>
      </c>
      <c r="L5340" s="120"/>
      <c r="M5340" s="3"/>
    </row>
    <row r="5341" spans="1:13" s="4" customFormat="1" ht="25.5" x14ac:dyDescent="0.25">
      <c r="A5341" s="4" t="s">
        <v>9037</v>
      </c>
      <c r="B5341" s="4" t="s">
        <v>38</v>
      </c>
      <c r="C5341" s="37" t="s">
        <v>8905</v>
      </c>
      <c r="D5341" s="35">
        <v>3129</v>
      </c>
      <c r="E5341" s="4" t="s">
        <v>9038</v>
      </c>
      <c r="F5341" s="5">
        <v>39083</v>
      </c>
      <c r="G5341" s="5">
        <v>39813</v>
      </c>
      <c r="H5341" s="4" t="s">
        <v>40</v>
      </c>
      <c r="I5341" s="6">
        <v>2800</v>
      </c>
      <c r="J5341" s="6">
        <v>2800</v>
      </c>
      <c r="K5341" s="37" t="s">
        <v>8905</v>
      </c>
      <c r="L5341" s="120"/>
      <c r="M5341" s="3"/>
    </row>
    <row r="5342" spans="1:13" s="4" customFormat="1" ht="25.5" x14ac:dyDescent="0.25">
      <c r="A5342" s="4" t="s">
        <v>3252</v>
      </c>
      <c r="B5342" s="4" t="s">
        <v>38</v>
      </c>
      <c r="C5342" s="37" t="s">
        <v>8905</v>
      </c>
      <c r="D5342" s="35">
        <v>3130</v>
      </c>
      <c r="E5342" s="4" t="s">
        <v>9039</v>
      </c>
      <c r="F5342" s="5">
        <v>39083</v>
      </c>
      <c r="G5342" s="5">
        <v>39447</v>
      </c>
      <c r="H5342" s="4" t="s">
        <v>40</v>
      </c>
      <c r="I5342" s="6">
        <f>2719.93-2500</f>
        <v>219.92999999999984</v>
      </c>
      <c r="J5342" s="6">
        <f>2719.93-2500</f>
        <v>219.92999999999984</v>
      </c>
      <c r="K5342" s="37" t="s">
        <v>8905</v>
      </c>
      <c r="L5342" s="120"/>
      <c r="M5342" s="3"/>
    </row>
    <row r="5343" spans="1:13" s="4" customFormat="1" ht="25.5" x14ac:dyDescent="0.25">
      <c r="A5343" s="4" t="s">
        <v>9040</v>
      </c>
      <c r="B5343" s="4" t="s">
        <v>50</v>
      </c>
      <c r="C5343" s="37" t="s">
        <v>8905</v>
      </c>
      <c r="D5343" s="35">
        <v>3131</v>
      </c>
      <c r="E5343" s="4" t="s">
        <v>8935</v>
      </c>
      <c r="F5343" s="5">
        <v>39559</v>
      </c>
      <c r="G5343" s="5">
        <v>39813</v>
      </c>
      <c r="H5343" s="4" t="s">
        <v>40</v>
      </c>
      <c r="I5343" s="6">
        <v>17300</v>
      </c>
      <c r="J5343" s="6">
        <v>8650</v>
      </c>
      <c r="K5343" s="37" t="s">
        <v>8905</v>
      </c>
      <c r="L5343" s="120"/>
      <c r="M5343" s="3"/>
    </row>
    <row r="5344" spans="1:13" s="4" customFormat="1" ht="25.5" x14ac:dyDescent="0.25">
      <c r="A5344" s="4" t="s">
        <v>9041</v>
      </c>
      <c r="B5344" s="4" t="s">
        <v>50</v>
      </c>
      <c r="C5344" s="37" t="s">
        <v>8905</v>
      </c>
      <c r="D5344" s="35">
        <v>5721</v>
      </c>
      <c r="E5344" s="4" t="s">
        <v>9042</v>
      </c>
      <c r="F5344" s="5">
        <v>39342</v>
      </c>
      <c r="G5344" s="5">
        <v>40178</v>
      </c>
      <c r="H5344" s="4" t="s">
        <v>40</v>
      </c>
      <c r="I5344" s="6">
        <v>2800.6</v>
      </c>
      <c r="J5344" s="6">
        <v>1400.3</v>
      </c>
      <c r="K5344" s="37" t="s">
        <v>8905</v>
      </c>
      <c r="L5344" s="120"/>
      <c r="M5344" s="3"/>
    </row>
    <row r="5345" spans="1:13" s="4" customFormat="1" ht="25.5" x14ac:dyDescent="0.25">
      <c r="A5345" s="4" t="s">
        <v>9043</v>
      </c>
      <c r="B5345" s="4" t="s">
        <v>59</v>
      </c>
      <c r="C5345" s="37" t="s">
        <v>8905</v>
      </c>
      <c r="D5345" s="35">
        <v>5722</v>
      </c>
      <c r="E5345" s="4" t="s">
        <v>9044</v>
      </c>
      <c r="F5345" s="5">
        <v>39722</v>
      </c>
      <c r="G5345" s="5">
        <v>40178</v>
      </c>
      <c r="H5345" s="4" t="s">
        <v>40</v>
      </c>
      <c r="I5345" s="6">
        <v>3750</v>
      </c>
      <c r="J5345" s="6">
        <v>3750</v>
      </c>
      <c r="K5345" s="37" t="s">
        <v>8905</v>
      </c>
      <c r="L5345" s="120"/>
      <c r="M5345" s="3"/>
    </row>
    <row r="5346" spans="1:13" s="4" customFormat="1" ht="25.5" x14ac:dyDescent="0.25">
      <c r="A5346" s="4" t="s">
        <v>9051</v>
      </c>
      <c r="B5346" s="4" t="s">
        <v>50</v>
      </c>
      <c r="C5346" s="37" t="s">
        <v>8905</v>
      </c>
      <c r="D5346" s="35">
        <v>5726</v>
      </c>
      <c r="E5346" s="4" t="s">
        <v>9052</v>
      </c>
      <c r="F5346" s="5">
        <v>39814</v>
      </c>
      <c r="G5346" s="5">
        <v>40543</v>
      </c>
      <c r="H5346" s="4" t="s">
        <v>40</v>
      </c>
      <c r="I5346" s="6">
        <v>47671.24</v>
      </c>
      <c r="J5346" s="6">
        <v>23835.62</v>
      </c>
      <c r="K5346" s="37" t="s">
        <v>8905</v>
      </c>
      <c r="L5346" s="120"/>
      <c r="M5346" s="3"/>
    </row>
    <row r="5347" spans="1:13" s="4" customFormat="1" ht="25.5" x14ac:dyDescent="0.25">
      <c r="A5347" s="4" t="s">
        <v>9053</v>
      </c>
      <c r="B5347" s="4" t="s">
        <v>50</v>
      </c>
      <c r="C5347" s="37" t="s">
        <v>8905</v>
      </c>
      <c r="D5347" s="35">
        <v>5727</v>
      </c>
      <c r="E5347" s="4" t="s">
        <v>9054</v>
      </c>
      <c r="F5347" s="5">
        <v>39860</v>
      </c>
      <c r="G5347" s="5">
        <v>40178</v>
      </c>
      <c r="H5347" s="4" t="s">
        <v>40</v>
      </c>
      <c r="I5347" s="6">
        <v>60000</v>
      </c>
      <c r="J5347" s="6">
        <v>30000</v>
      </c>
      <c r="K5347" s="37" t="s">
        <v>8905</v>
      </c>
      <c r="L5347" s="120"/>
      <c r="M5347" s="3"/>
    </row>
    <row r="5348" spans="1:13" s="4" customFormat="1" ht="25.5" x14ac:dyDescent="0.25">
      <c r="A5348" s="4" t="s">
        <v>9055</v>
      </c>
      <c r="B5348" s="4" t="s">
        <v>50</v>
      </c>
      <c r="C5348" s="37" t="s">
        <v>8905</v>
      </c>
      <c r="D5348" s="35">
        <v>5728</v>
      </c>
      <c r="E5348" s="4" t="s">
        <v>9056</v>
      </c>
      <c r="F5348" s="5">
        <v>39860</v>
      </c>
      <c r="G5348" s="5">
        <v>40178</v>
      </c>
      <c r="H5348" s="4" t="s">
        <v>40</v>
      </c>
      <c r="I5348" s="6">
        <v>61887.42</v>
      </c>
      <c r="J5348" s="6">
        <v>30943.71</v>
      </c>
      <c r="K5348" s="37" t="s">
        <v>8905</v>
      </c>
      <c r="L5348" s="120"/>
      <c r="M5348" s="3"/>
    </row>
    <row r="5349" spans="1:13" s="4" customFormat="1" ht="25.5" x14ac:dyDescent="0.25">
      <c r="A5349" s="4" t="s">
        <v>9057</v>
      </c>
      <c r="B5349" s="4" t="s">
        <v>59</v>
      </c>
      <c r="C5349" s="37" t="s">
        <v>8905</v>
      </c>
      <c r="D5349" s="35">
        <v>5729</v>
      </c>
      <c r="E5349" s="4" t="s">
        <v>9058</v>
      </c>
      <c r="F5349" s="5">
        <v>39860</v>
      </c>
      <c r="G5349" s="5">
        <v>40178</v>
      </c>
      <c r="H5349" s="4" t="s">
        <v>40</v>
      </c>
      <c r="I5349" s="6">
        <v>11250</v>
      </c>
      <c r="J5349" s="6">
        <v>11250</v>
      </c>
      <c r="K5349" s="37" t="s">
        <v>8905</v>
      </c>
      <c r="L5349" s="120"/>
      <c r="M5349" s="3"/>
    </row>
    <row r="5350" spans="1:13" s="4" customFormat="1" ht="25.5" x14ac:dyDescent="0.25">
      <c r="A5350" s="4" t="s">
        <v>9061</v>
      </c>
      <c r="B5350" s="4" t="s">
        <v>50</v>
      </c>
      <c r="C5350" s="37" t="s">
        <v>8905</v>
      </c>
      <c r="D5350" s="35">
        <v>5731</v>
      </c>
      <c r="E5350" s="4" t="s">
        <v>9062</v>
      </c>
      <c r="F5350" s="5">
        <v>39990</v>
      </c>
      <c r="G5350" s="5">
        <v>40178</v>
      </c>
      <c r="H5350" s="4" t="s">
        <v>40</v>
      </c>
      <c r="I5350" s="6">
        <v>19500</v>
      </c>
      <c r="J5350" s="6">
        <v>9750</v>
      </c>
      <c r="K5350" s="37" t="s">
        <v>8905</v>
      </c>
      <c r="L5350" s="120"/>
      <c r="M5350" s="3"/>
    </row>
    <row r="5351" spans="1:13" s="4" customFormat="1" ht="25.5" x14ac:dyDescent="0.25">
      <c r="A5351" s="4" t="s">
        <v>9063</v>
      </c>
      <c r="B5351" s="4" t="s">
        <v>59</v>
      </c>
      <c r="C5351" s="37" t="s">
        <v>8905</v>
      </c>
      <c r="D5351" s="35">
        <v>5732</v>
      </c>
      <c r="E5351" s="4" t="s">
        <v>9064</v>
      </c>
      <c r="F5351" s="5">
        <v>39986</v>
      </c>
      <c r="G5351" s="5">
        <v>40178</v>
      </c>
      <c r="H5351" s="4" t="s">
        <v>40</v>
      </c>
      <c r="I5351" s="6">
        <v>3750</v>
      </c>
      <c r="J5351" s="6">
        <v>3750</v>
      </c>
      <c r="K5351" s="37" t="s">
        <v>8905</v>
      </c>
      <c r="L5351" s="120"/>
      <c r="M5351" s="3"/>
    </row>
    <row r="5352" spans="1:13" s="4" customFormat="1" ht="25.5" x14ac:dyDescent="0.25">
      <c r="A5352" s="4" t="s">
        <v>9067</v>
      </c>
      <c r="B5352" s="4" t="s">
        <v>59</v>
      </c>
      <c r="C5352" s="37" t="s">
        <v>8905</v>
      </c>
      <c r="D5352" s="35">
        <v>5735</v>
      </c>
      <c r="E5352" s="4" t="s">
        <v>9068</v>
      </c>
      <c r="F5352" s="5">
        <v>40070</v>
      </c>
      <c r="G5352" s="5">
        <v>40178</v>
      </c>
      <c r="H5352" s="4" t="s">
        <v>40</v>
      </c>
      <c r="I5352" s="6">
        <v>3750</v>
      </c>
      <c r="J5352" s="6">
        <v>3750</v>
      </c>
      <c r="K5352" s="37" t="s">
        <v>8905</v>
      </c>
      <c r="L5352" s="120"/>
      <c r="M5352" s="3"/>
    </row>
    <row r="5353" spans="1:13" s="4" customFormat="1" ht="25.5" x14ac:dyDescent="0.25">
      <c r="A5353" s="4" t="s">
        <v>9069</v>
      </c>
      <c r="B5353" s="4" t="s">
        <v>50</v>
      </c>
      <c r="C5353" s="37" t="s">
        <v>8905</v>
      </c>
      <c r="D5353" s="35">
        <v>5736</v>
      </c>
      <c r="E5353" s="4" t="s">
        <v>9070</v>
      </c>
      <c r="F5353" s="5">
        <v>40077</v>
      </c>
      <c r="G5353" s="5">
        <v>40178</v>
      </c>
      <c r="H5353" s="4" t="s">
        <v>40</v>
      </c>
      <c r="I5353" s="6">
        <v>18800</v>
      </c>
      <c r="J5353" s="6">
        <v>9400</v>
      </c>
      <c r="K5353" s="37" t="s">
        <v>8905</v>
      </c>
      <c r="L5353" s="120"/>
      <c r="M5353" s="3"/>
    </row>
    <row r="5354" spans="1:13" s="4" customFormat="1" ht="25.5" x14ac:dyDescent="0.25">
      <c r="A5354" s="4" t="s">
        <v>9071</v>
      </c>
      <c r="B5354" s="4" t="s">
        <v>59</v>
      </c>
      <c r="C5354" s="37" t="s">
        <v>8905</v>
      </c>
      <c r="D5354" s="35">
        <v>5737</v>
      </c>
      <c r="E5354" s="4" t="s">
        <v>9072</v>
      </c>
      <c r="F5354" s="5">
        <v>40077</v>
      </c>
      <c r="G5354" s="5">
        <v>40178</v>
      </c>
      <c r="H5354" s="4" t="s">
        <v>40</v>
      </c>
      <c r="I5354" s="6">
        <v>6000</v>
      </c>
      <c r="J5354" s="6">
        <v>6000</v>
      </c>
      <c r="K5354" s="37" t="s">
        <v>8905</v>
      </c>
      <c r="L5354" s="120"/>
      <c r="M5354" s="3"/>
    </row>
    <row r="5355" spans="1:13" s="4" customFormat="1" ht="25.5" x14ac:dyDescent="0.25">
      <c r="A5355" s="4" t="s">
        <v>9073</v>
      </c>
      <c r="B5355" s="4" t="s">
        <v>59</v>
      </c>
      <c r="C5355" s="37" t="s">
        <v>8905</v>
      </c>
      <c r="D5355" s="35">
        <v>5738</v>
      </c>
      <c r="E5355" s="4" t="s">
        <v>9074</v>
      </c>
      <c r="F5355" s="5">
        <v>40077</v>
      </c>
      <c r="G5355" s="5">
        <v>40178</v>
      </c>
      <c r="H5355" s="4" t="s">
        <v>40</v>
      </c>
      <c r="I5355" s="6">
        <v>7500</v>
      </c>
      <c r="J5355" s="6">
        <v>7500</v>
      </c>
      <c r="K5355" s="37" t="s">
        <v>8905</v>
      </c>
      <c r="L5355" s="120"/>
      <c r="M5355" s="3"/>
    </row>
    <row r="5356" spans="1:13" s="4" customFormat="1" ht="38.25" x14ac:dyDescent="0.25">
      <c r="A5356" s="4" t="s">
        <v>9075</v>
      </c>
      <c r="B5356" s="4" t="s">
        <v>38</v>
      </c>
      <c r="C5356" s="37" t="s">
        <v>8905</v>
      </c>
      <c r="D5356" s="35">
        <v>5779</v>
      </c>
      <c r="E5356" s="4" t="s">
        <v>9076</v>
      </c>
      <c r="F5356" s="5">
        <v>39814</v>
      </c>
      <c r="H5356" s="4" t="s">
        <v>40</v>
      </c>
      <c r="I5356" s="6">
        <v>49394.15</v>
      </c>
      <c r="J5356" s="6">
        <v>49394.15</v>
      </c>
      <c r="K5356" s="37" t="s">
        <v>8905</v>
      </c>
      <c r="L5356" s="120"/>
      <c r="M5356" s="3"/>
    </row>
    <row r="5357" spans="1:13" s="4" customFormat="1" ht="51" x14ac:dyDescent="0.25">
      <c r="A5357" s="4" t="s">
        <v>9077</v>
      </c>
      <c r="B5357" s="4" t="s">
        <v>38</v>
      </c>
      <c r="C5357" s="37" t="s">
        <v>8905</v>
      </c>
      <c r="D5357" s="35">
        <v>5780</v>
      </c>
      <c r="E5357" s="4" t="s">
        <v>9078</v>
      </c>
      <c r="F5357" s="5">
        <v>39934</v>
      </c>
      <c r="G5357" s="5">
        <v>40178</v>
      </c>
      <c r="H5357" s="4" t="s">
        <v>40</v>
      </c>
      <c r="I5357" s="6">
        <v>2351.0300000000002</v>
      </c>
      <c r="J5357" s="6">
        <v>2351.0300000000002</v>
      </c>
      <c r="K5357" s="37" t="s">
        <v>8905</v>
      </c>
      <c r="L5357" s="120"/>
      <c r="M5357" s="3"/>
    </row>
    <row r="5358" spans="1:13" s="4" customFormat="1" ht="25.5" x14ac:dyDescent="0.25">
      <c r="A5358" s="4" t="s">
        <v>9079</v>
      </c>
      <c r="B5358" s="4" t="s">
        <v>38</v>
      </c>
      <c r="C5358" s="37" t="s">
        <v>8905</v>
      </c>
      <c r="D5358" s="35">
        <v>5782</v>
      </c>
      <c r="E5358" s="4" t="s">
        <v>9080</v>
      </c>
      <c r="F5358" s="5">
        <v>39965</v>
      </c>
      <c r="G5358" s="5">
        <v>40178</v>
      </c>
      <c r="H5358" s="4" t="s">
        <v>40</v>
      </c>
      <c r="I5358" s="6">
        <v>500</v>
      </c>
      <c r="J5358" s="6">
        <v>500</v>
      </c>
      <c r="K5358" s="37" t="s">
        <v>8905</v>
      </c>
      <c r="L5358" s="120"/>
      <c r="M5358" s="3"/>
    </row>
    <row r="5359" spans="1:13" s="4" customFormat="1" ht="25.5" x14ac:dyDescent="0.25">
      <c r="A5359" s="4" t="s">
        <v>9081</v>
      </c>
      <c r="B5359" s="4" t="s">
        <v>38</v>
      </c>
      <c r="C5359" s="37" t="s">
        <v>8905</v>
      </c>
      <c r="D5359" s="35">
        <v>5783</v>
      </c>
      <c r="E5359" s="4" t="s">
        <v>9082</v>
      </c>
      <c r="F5359" s="5">
        <v>39814</v>
      </c>
      <c r="G5359" s="5">
        <v>40178</v>
      </c>
      <c r="H5359" s="4" t="s">
        <v>40</v>
      </c>
      <c r="I5359" s="6">
        <v>10603.2</v>
      </c>
      <c r="J5359" s="6">
        <v>10603.2</v>
      </c>
      <c r="K5359" s="37" t="s">
        <v>8905</v>
      </c>
      <c r="L5359" s="120"/>
      <c r="M5359" s="3"/>
    </row>
    <row r="5360" spans="1:13" s="4" customFormat="1" ht="38.25" x14ac:dyDescent="0.25">
      <c r="A5360" s="4" t="s">
        <v>9083</v>
      </c>
      <c r="B5360" s="4" t="s">
        <v>38</v>
      </c>
      <c r="C5360" s="37" t="s">
        <v>8905</v>
      </c>
      <c r="D5360" s="35">
        <v>5785</v>
      </c>
      <c r="E5360" s="4" t="s">
        <v>9084</v>
      </c>
      <c r="F5360" s="5">
        <v>39814</v>
      </c>
      <c r="G5360" s="5">
        <v>40178</v>
      </c>
      <c r="H5360" s="4" t="s">
        <v>40</v>
      </c>
      <c r="I5360" s="6">
        <v>3401.59</v>
      </c>
      <c r="J5360" s="6">
        <v>3401.59</v>
      </c>
      <c r="K5360" s="37" t="s">
        <v>8905</v>
      </c>
      <c r="L5360" s="120"/>
      <c r="M5360" s="3"/>
    </row>
    <row r="5361" spans="1:13" s="4" customFormat="1" ht="51" x14ac:dyDescent="0.25">
      <c r="A5361" s="4" t="s">
        <v>9085</v>
      </c>
      <c r="B5361" s="4" t="s">
        <v>38</v>
      </c>
      <c r="C5361" s="37" t="s">
        <v>8905</v>
      </c>
      <c r="D5361" s="35">
        <v>5786</v>
      </c>
      <c r="E5361" s="4" t="s">
        <v>9086</v>
      </c>
      <c r="F5361" s="5">
        <v>40026</v>
      </c>
      <c r="G5361" s="5">
        <v>40178</v>
      </c>
      <c r="H5361" s="4" t="s">
        <v>40</v>
      </c>
      <c r="I5361" s="6">
        <v>2972.31</v>
      </c>
      <c r="J5361" s="6">
        <v>2972.31</v>
      </c>
      <c r="K5361" s="37" t="s">
        <v>8905</v>
      </c>
      <c r="L5361" s="120"/>
      <c r="M5361" s="3"/>
    </row>
    <row r="5362" spans="1:13" s="4" customFormat="1" ht="25.5" x14ac:dyDescent="0.25">
      <c r="A5362" s="4" t="s">
        <v>9087</v>
      </c>
      <c r="B5362" s="4" t="s">
        <v>38</v>
      </c>
      <c r="C5362" s="37" t="s">
        <v>8905</v>
      </c>
      <c r="D5362" s="35">
        <v>5788</v>
      </c>
      <c r="E5362" s="4" t="s">
        <v>9088</v>
      </c>
      <c r="F5362" s="5">
        <v>39814</v>
      </c>
      <c r="G5362" s="5">
        <v>40543</v>
      </c>
      <c r="H5362" s="4" t="s">
        <v>40</v>
      </c>
      <c r="I5362" s="6">
        <v>4133.3</v>
      </c>
      <c r="J5362" s="6">
        <v>4133.3</v>
      </c>
      <c r="K5362" s="37" t="s">
        <v>8905</v>
      </c>
      <c r="L5362" s="120"/>
      <c r="M5362" s="3"/>
    </row>
    <row r="5363" spans="1:13" s="4" customFormat="1" ht="25.5" x14ac:dyDescent="0.25">
      <c r="A5363" s="4" t="s">
        <v>9089</v>
      </c>
      <c r="B5363" s="4" t="s">
        <v>38</v>
      </c>
      <c r="C5363" s="37" t="s">
        <v>8905</v>
      </c>
      <c r="D5363" s="35">
        <v>5789</v>
      </c>
      <c r="E5363" s="4" t="s">
        <v>9090</v>
      </c>
      <c r="F5363" s="5">
        <v>39814</v>
      </c>
      <c r="G5363" s="5">
        <v>40178</v>
      </c>
      <c r="H5363" s="4" t="s">
        <v>40</v>
      </c>
      <c r="I5363" s="6">
        <v>6000</v>
      </c>
      <c r="J5363" s="6">
        <v>6000</v>
      </c>
      <c r="K5363" s="37" t="s">
        <v>8905</v>
      </c>
      <c r="L5363" s="120"/>
      <c r="M5363" s="3"/>
    </row>
    <row r="5364" spans="1:13" s="4" customFormat="1" ht="25.5" x14ac:dyDescent="0.25">
      <c r="A5364" s="4" t="s">
        <v>9091</v>
      </c>
      <c r="B5364" s="4" t="s">
        <v>50</v>
      </c>
      <c r="C5364" s="37" t="s">
        <v>8905</v>
      </c>
      <c r="D5364" s="35">
        <v>7335</v>
      </c>
      <c r="E5364" s="4" t="s">
        <v>9092</v>
      </c>
      <c r="F5364" s="5">
        <v>40179</v>
      </c>
      <c r="G5364" s="5">
        <v>40543</v>
      </c>
      <c r="H5364" s="4" t="s">
        <v>40</v>
      </c>
      <c r="I5364" s="6">
        <v>15000</v>
      </c>
      <c r="J5364" s="6">
        <v>7500</v>
      </c>
      <c r="K5364" s="37" t="s">
        <v>8905</v>
      </c>
      <c r="L5364" s="120"/>
      <c r="M5364" s="3"/>
    </row>
    <row r="5365" spans="1:13" s="4" customFormat="1" ht="25.5" x14ac:dyDescent="0.25">
      <c r="A5365" s="4" t="s">
        <v>9093</v>
      </c>
      <c r="B5365" s="4" t="s">
        <v>59</v>
      </c>
      <c r="C5365" s="37" t="s">
        <v>8905</v>
      </c>
      <c r="D5365" s="35">
        <v>7338</v>
      </c>
      <c r="E5365" s="4" t="s">
        <v>9094</v>
      </c>
      <c r="F5365" s="5">
        <v>40147</v>
      </c>
      <c r="H5365" s="4" t="s">
        <v>40</v>
      </c>
      <c r="I5365" s="6">
        <v>7500</v>
      </c>
      <c r="J5365" s="6">
        <v>7500</v>
      </c>
      <c r="K5365" s="37" t="s">
        <v>8905</v>
      </c>
      <c r="L5365" s="120"/>
      <c r="M5365" s="3"/>
    </row>
    <row r="5366" spans="1:13" s="4" customFormat="1" ht="25.5" x14ac:dyDescent="0.25">
      <c r="A5366" s="4" t="s">
        <v>9095</v>
      </c>
      <c r="B5366" s="4" t="s">
        <v>50</v>
      </c>
      <c r="C5366" s="37" t="s">
        <v>8905</v>
      </c>
      <c r="D5366" s="35">
        <v>7339</v>
      </c>
      <c r="E5366" s="4" t="s">
        <v>9094</v>
      </c>
      <c r="F5366" s="5">
        <v>40140</v>
      </c>
      <c r="G5366" s="5">
        <v>40543</v>
      </c>
      <c r="H5366" s="4" t="s">
        <v>40</v>
      </c>
      <c r="I5366" s="6">
        <v>18679.84</v>
      </c>
      <c r="J5366" s="6">
        <v>9339.92</v>
      </c>
      <c r="K5366" s="37" t="s">
        <v>8905</v>
      </c>
      <c r="L5366" s="120"/>
      <c r="M5366" s="3"/>
    </row>
    <row r="5367" spans="1:13" s="4" customFormat="1" ht="38.25" x14ac:dyDescent="0.25">
      <c r="A5367" s="4" t="s">
        <v>9096</v>
      </c>
      <c r="B5367" s="4" t="s">
        <v>183</v>
      </c>
      <c r="C5367" s="37" t="s">
        <v>8905</v>
      </c>
      <c r="D5367" s="35">
        <v>7340</v>
      </c>
      <c r="E5367" s="4" t="s">
        <v>9097</v>
      </c>
      <c r="F5367" s="5">
        <v>40224</v>
      </c>
      <c r="G5367" s="5">
        <v>40543</v>
      </c>
      <c r="H5367" s="4" t="s">
        <v>40</v>
      </c>
      <c r="I5367" s="6">
        <v>7500</v>
      </c>
      <c r="J5367" s="6">
        <v>7500</v>
      </c>
      <c r="K5367" s="37" t="s">
        <v>8905</v>
      </c>
      <c r="L5367" s="120"/>
      <c r="M5367" s="3"/>
    </row>
    <row r="5368" spans="1:13" s="4" customFormat="1" ht="25.5" x14ac:dyDescent="0.25">
      <c r="A5368" s="4" t="s">
        <v>9098</v>
      </c>
      <c r="B5368" s="4" t="s">
        <v>183</v>
      </c>
      <c r="C5368" s="37" t="s">
        <v>8905</v>
      </c>
      <c r="D5368" s="35">
        <v>7341</v>
      </c>
      <c r="E5368" s="4" t="s">
        <v>9099</v>
      </c>
      <c r="F5368" s="5">
        <v>40441</v>
      </c>
      <c r="G5368" s="5">
        <v>40682</v>
      </c>
      <c r="H5368" s="4" t="s">
        <v>40</v>
      </c>
      <c r="I5368" s="6">
        <v>7500</v>
      </c>
      <c r="J5368" s="6">
        <v>7500</v>
      </c>
      <c r="K5368" s="37" t="s">
        <v>8905</v>
      </c>
      <c r="L5368" s="120"/>
      <c r="M5368" s="3"/>
    </row>
    <row r="5369" spans="1:13" s="4" customFormat="1" ht="25.5" x14ac:dyDescent="0.25">
      <c r="A5369" s="4" t="s">
        <v>9100</v>
      </c>
      <c r="B5369" s="4" t="s">
        <v>190</v>
      </c>
      <c r="C5369" s="37" t="s">
        <v>8905</v>
      </c>
      <c r="D5369" s="35">
        <v>7343</v>
      </c>
      <c r="E5369" s="4" t="s">
        <v>9101</v>
      </c>
      <c r="F5369" s="5">
        <v>40228</v>
      </c>
      <c r="H5369" s="4" t="s">
        <v>40</v>
      </c>
      <c r="I5369" s="6">
        <v>13531.96</v>
      </c>
      <c r="J5369" s="6">
        <v>8640.98</v>
      </c>
      <c r="K5369" s="37" t="s">
        <v>8905</v>
      </c>
      <c r="L5369" s="120"/>
      <c r="M5369" s="3"/>
    </row>
    <row r="5370" spans="1:13" s="4" customFormat="1" ht="38.25" x14ac:dyDescent="0.25">
      <c r="A5370" s="4" t="s">
        <v>9102</v>
      </c>
      <c r="B5370" s="4" t="s">
        <v>183</v>
      </c>
      <c r="C5370" s="37" t="s">
        <v>8905</v>
      </c>
      <c r="D5370" s="35">
        <v>7344</v>
      </c>
      <c r="E5370" s="4" t="s">
        <v>9103</v>
      </c>
      <c r="F5370" s="5">
        <v>40350</v>
      </c>
      <c r="H5370" s="4" t="s">
        <v>40</v>
      </c>
      <c r="I5370" s="6">
        <v>49331.58</v>
      </c>
      <c r="J5370" s="6">
        <v>24667</v>
      </c>
      <c r="K5370" s="37" t="s">
        <v>8905</v>
      </c>
      <c r="L5370" s="120"/>
      <c r="M5370" s="3"/>
    </row>
    <row r="5371" spans="1:13" s="4" customFormat="1" ht="25.5" x14ac:dyDescent="0.25">
      <c r="A5371" s="4" t="s">
        <v>9104</v>
      </c>
      <c r="B5371" s="4" t="s">
        <v>183</v>
      </c>
      <c r="C5371" s="37" t="s">
        <v>8905</v>
      </c>
      <c r="D5371" s="35">
        <v>7345</v>
      </c>
      <c r="E5371" s="4" t="s">
        <v>9105</v>
      </c>
      <c r="F5371" s="5">
        <v>40350</v>
      </c>
      <c r="H5371" s="4" t="s">
        <v>40</v>
      </c>
      <c r="I5371" s="6">
        <v>7500</v>
      </c>
      <c r="J5371" s="6">
        <v>7500</v>
      </c>
      <c r="K5371" s="37" t="s">
        <v>8905</v>
      </c>
      <c r="L5371" s="120"/>
      <c r="M5371" s="3"/>
    </row>
    <row r="5372" spans="1:13" s="4" customFormat="1" ht="25.5" x14ac:dyDescent="0.25">
      <c r="A5372" s="4" t="s">
        <v>9106</v>
      </c>
      <c r="B5372" s="4" t="s">
        <v>183</v>
      </c>
      <c r="C5372" s="37" t="s">
        <v>8905</v>
      </c>
      <c r="D5372" s="35">
        <v>7346</v>
      </c>
      <c r="E5372" s="4" t="s">
        <v>9107</v>
      </c>
      <c r="F5372" s="5">
        <v>40224</v>
      </c>
      <c r="H5372" s="4" t="s">
        <v>40</v>
      </c>
      <c r="I5372" s="6">
        <v>7500</v>
      </c>
      <c r="J5372" s="6">
        <v>7500</v>
      </c>
      <c r="K5372" s="37" t="s">
        <v>8905</v>
      </c>
      <c r="L5372" s="120"/>
      <c r="M5372" s="3"/>
    </row>
    <row r="5373" spans="1:13" s="4" customFormat="1" ht="25.5" x14ac:dyDescent="0.25">
      <c r="A5373" s="4" t="s">
        <v>9110</v>
      </c>
      <c r="B5373" s="4" t="s">
        <v>183</v>
      </c>
      <c r="C5373" s="37" t="s">
        <v>8905</v>
      </c>
      <c r="D5373" s="35">
        <v>7348</v>
      </c>
      <c r="E5373" s="4" t="s">
        <v>9111</v>
      </c>
      <c r="F5373" s="5">
        <v>40441</v>
      </c>
      <c r="H5373" s="4" t="s">
        <v>40</v>
      </c>
      <c r="I5373" s="6">
        <v>7500</v>
      </c>
      <c r="J5373" s="6">
        <v>7500</v>
      </c>
      <c r="K5373" s="37" t="s">
        <v>8905</v>
      </c>
      <c r="L5373" s="120"/>
      <c r="M5373" s="3"/>
    </row>
    <row r="5374" spans="1:13" s="4" customFormat="1" ht="25.5" x14ac:dyDescent="0.25">
      <c r="A5374" s="4" t="s">
        <v>9112</v>
      </c>
      <c r="B5374" s="4" t="s">
        <v>183</v>
      </c>
      <c r="C5374" s="37" t="s">
        <v>8905</v>
      </c>
      <c r="D5374" s="35">
        <v>7349</v>
      </c>
      <c r="E5374" s="4" t="s">
        <v>9113</v>
      </c>
      <c r="F5374" s="5">
        <v>40441</v>
      </c>
      <c r="H5374" s="4" t="s">
        <v>40</v>
      </c>
      <c r="I5374" s="6">
        <v>3750</v>
      </c>
      <c r="J5374" s="6">
        <v>3750</v>
      </c>
      <c r="K5374" s="37" t="s">
        <v>8905</v>
      </c>
      <c r="L5374" s="120"/>
      <c r="M5374" s="3"/>
    </row>
    <row r="5375" spans="1:13" s="4" customFormat="1" ht="38.25" x14ac:dyDescent="0.25">
      <c r="A5375" s="4" t="s">
        <v>9114</v>
      </c>
      <c r="B5375" s="4" t="s">
        <v>183</v>
      </c>
      <c r="C5375" s="37" t="s">
        <v>8905</v>
      </c>
      <c r="D5375" s="35">
        <v>7350</v>
      </c>
      <c r="E5375" s="4" t="s">
        <v>9115</v>
      </c>
      <c r="F5375" s="5">
        <v>40140</v>
      </c>
      <c r="H5375" s="4" t="s">
        <v>40</v>
      </c>
      <c r="I5375" s="6">
        <v>9200</v>
      </c>
      <c r="J5375" s="6">
        <v>4600</v>
      </c>
      <c r="K5375" s="37" t="s">
        <v>8905</v>
      </c>
      <c r="L5375" s="120"/>
      <c r="M5375" s="3"/>
    </row>
    <row r="5376" spans="1:13" s="4" customFormat="1" ht="25.5" x14ac:dyDescent="0.25">
      <c r="A5376" s="4" t="s">
        <v>9116</v>
      </c>
      <c r="B5376" s="4" t="s">
        <v>183</v>
      </c>
      <c r="C5376" s="37" t="s">
        <v>8905</v>
      </c>
      <c r="D5376" s="35">
        <v>7352</v>
      </c>
      <c r="E5376" s="4" t="s">
        <v>9117</v>
      </c>
      <c r="F5376" s="5">
        <v>40287</v>
      </c>
      <c r="H5376" s="4" t="s">
        <v>40</v>
      </c>
      <c r="I5376" s="6">
        <v>8708.36</v>
      </c>
      <c r="J5376" s="6">
        <v>4354.18</v>
      </c>
      <c r="K5376" s="37" t="s">
        <v>8905</v>
      </c>
      <c r="L5376" s="120"/>
      <c r="M5376" s="3"/>
    </row>
    <row r="5377" spans="1:13" s="4" customFormat="1" ht="63.75" x14ac:dyDescent="0.25">
      <c r="A5377" s="4" t="s">
        <v>9118</v>
      </c>
      <c r="B5377" s="4" t="s">
        <v>190</v>
      </c>
      <c r="C5377" s="37" t="s">
        <v>8905</v>
      </c>
      <c r="D5377" s="35">
        <v>7353</v>
      </c>
      <c r="E5377" s="4" t="s">
        <v>9119</v>
      </c>
      <c r="F5377" s="5">
        <v>40070</v>
      </c>
      <c r="H5377" s="4" t="s">
        <v>40</v>
      </c>
      <c r="I5377" s="6">
        <v>56250</v>
      </c>
      <c r="J5377" s="6">
        <f>41250+15000</f>
        <v>56250</v>
      </c>
      <c r="K5377" s="37" t="s">
        <v>8905</v>
      </c>
      <c r="L5377" s="120"/>
      <c r="M5377" s="3"/>
    </row>
    <row r="5378" spans="1:13" s="4" customFormat="1" ht="38.25" x14ac:dyDescent="0.25">
      <c r="A5378" s="4" t="s">
        <v>9120</v>
      </c>
      <c r="B5378" s="4" t="s">
        <v>183</v>
      </c>
      <c r="C5378" s="37" t="s">
        <v>8905</v>
      </c>
      <c r="D5378" s="35">
        <v>7354</v>
      </c>
      <c r="E5378" s="4" t="s">
        <v>9121</v>
      </c>
      <c r="F5378" s="5">
        <v>40287</v>
      </c>
      <c r="H5378" s="4" t="s">
        <v>40</v>
      </c>
      <c r="I5378" s="6">
        <v>7500</v>
      </c>
      <c r="J5378" s="6">
        <v>7500</v>
      </c>
      <c r="K5378" s="37" t="s">
        <v>8905</v>
      </c>
      <c r="L5378" s="120"/>
      <c r="M5378" s="3"/>
    </row>
    <row r="5379" spans="1:13" s="4" customFormat="1" ht="63.75" x14ac:dyDescent="0.25">
      <c r="A5379" s="4" t="s">
        <v>9122</v>
      </c>
      <c r="B5379" s="4" t="s">
        <v>183</v>
      </c>
      <c r="C5379" s="37" t="s">
        <v>8905</v>
      </c>
      <c r="D5379" s="35">
        <v>7355</v>
      </c>
      <c r="E5379" s="4" t="s">
        <v>9123</v>
      </c>
      <c r="F5379" s="5">
        <v>40441</v>
      </c>
      <c r="H5379" s="4" t="s">
        <v>40</v>
      </c>
      <c r="I5379" s="6">
        <f>35418.46+47850+11250+11250</f>
        <v>105768.45999999999</v>
      </c>
      <c r="J5379" s="6">
        <f>43959.23+29550</f>
        <v>73509.23000000001</v>
      </c>
      <c r="K5379" s="37" t="s">
        <v>8905</v>
      </c>
      <c r="L5379" s="120"/>
      <c r="M5379" s="3"/>
    </row>
    <row r="5380" spans="1:13" s="4" customFormat="1" ht="76.5" x14ac:dyDescent="0.25">
      <c r="A5380" s="4" t="s">
        <v>9124</v>
      </c>
      <c r="B5380" s="4" t="s">
        <v>38</v>
      </c>
      <c r="C5380" s="37" t="s">
        <v>8905</v>
      </c>
      <c r="D5380" s="35">
        <v>7603</v>
      </c>
      <c r="E5380" s="4" t="s">
        <v>9125</v>
      </c>
      <c r="F5380" s="5">
        <v>39814</v>
      </c>
      <c r="H5380" s="4" t="s">
        <v>40</v>
      </c>
      <c r="I5380" s="6">
        <v>4000</v>
      </c>
      <c r="J5380" s="6">
        <v>4000</v>
      </c>
      <c r="K5380" s="37" t="s">
        <v>8905</v>
      </c>
      <c r="L5380" s="120"/>
      <c r="M5380" s="3"/>
    </row>
    <row r="5381" spans="1:13" s="4" customFormat="1" ht="51" x14ac:dyDescent="0.25">
      <c r="A5381" s="4" t="s">
        <v>9126</v>
      </c>
      <c r="B5381" s="4" t="s">
        <v>38</v>
      </c>
      <c r="C5381" s="37" t="s">
        <v>8905</v>
      </c>
      <c r="D5381" s="35">
        <v>7604</v>
      </c>
      <c r="E5381" s="4" t="s">
        <v>9127</v>
      </c>
      <c r="F5381" s="5">
        <v>40179</v>
      </c>
      <c r="H5381" s="4" t="s">
        <v>40</v>
      </c>
      <c r="I5381" s="6">
        <v>6130.35</v>
      </c>
      <c r="J5381" s="6">
        <v>6130.35</v>
      </c>
      <c r="K5381" s="37" t="s">
        <v>8905</v>
      </c>
      <c r="L5381" s="120"/>
      <c r="M5381" s="3"/>
    </row>
    <row r="5382" spans="1:13" s="4" customFormat="1" ht="51" x14ac:dyDescent="0.25">
      <c r="A5382" s="4" t="s">
        <v>9128</v>
      </c>
      <c r="B5382" s="4" t="s">
        <v>38</v>
      </c>
      <c r="C5382" s="37" t="s">
        <v>8905</v>
      </c>
      <c r="D5382" s="35">
        <v>7605</v>
      </c>
      <c r="E5382" s="4" t="s">
        <v>9129</v>
      </c>
      <c r="F5382" s="5">
        <v>40179</v>
      </c>
      <c r="H5382" s="4" t="s">
        <v>40</v>
      </c>
      <c r="I5382" s="6">
        <f>2428.4+3750+1600</f>
        <v>7778.4</v>
      </c>
      <c r="J5382" s="6">
        <v>7778.4</v>
      </c>
      <c r="K5382" s="37" t="s">
        <v>8905</v>
      </c>
      <c r="L5382" s="120"/>
      <c r="M5382" s="3"/>
    </row>
    <row r="5383" spans="1:13" s="4" customFormat="1" ht="51" x14ac:dyDescent="0.25">
      <c r="A5383" s="4" t="s">
        <v>9130</v>
      </c>
      <c r="B5383" s="4" t="s">
        <v>38</v>
      </c>
      <c r="C5383" s="37" t="s">
        <v>8905</v>
      </c>
      <c r="D5383" s="35">
        <v>7606</v>
      </c>
      <c r="E5383" s="4" t="s">
        <v>9131</v>
      </c>
      <c r="F5383" s="5">
        <v>40179</v>
      </c>
      <c r="G5383" s="5">
        <v>40543</v>
      </c>
      <c r="H5383" s="4" t="s">
        <v>40</v>
      </c>
      <c r="I5383" s="6">
        <v>899.65</v>
      </c>
      <c r="J5383" s="6">
        <v>899.65</v>
      </c>
      <c r="K5383" s="37" t="s">
        <v>8905</v>
      </c>
      <c r="L5383" s="120"/>
      <c r="M5383" s="3"/>
    </row>
    <row r="5384" spans="1:13" s="4" customFormat="1" ht="76.5" x14ac:dyDescent="0.25">
      <c r="A5384" s="4" t="s">
        <v>9132</v>
      </c>
      <c r="B5384" s="4" t="s">
        <v>38</v>
      </c>
      <c r="C5384" s="37" t="s">
        <v>8905</v>
      </c>
      <c r="D5384" s="35">
        <v>7607</v>
      </c>
      <c r="E5384" s="4" t="s">
        <v>9133</v>
      </c>
      <c r="F5384" s="5">
        <v>40179</v>
      </c>
      <c r="H5384" s="4" t="s">
        <v>40</v>
      </c>
      <c r="I5384" s="6">
        <v>11295.75</v>
      </c>
      <c r="J5384" s="6">
        <v>11295.75</v>
      </c>
      <c r="K5384" s="37" t="s">
        <v>8905</v>
      </c>
      <c r="L5384" s="120"/>
      <c r="M5384" s="3"/>
    </row>
    <row r="5385" spans="1:13" s="4" customFormat="1" ht="38.25" x14ac:dyDescent="0.25">
      <c r="A5385" s="4" t="s">
        <v>9134</v>
      </c>
      <c r="B5385" s="4" t="s">
        <v>183</v>
      </c>
      <c r="C5385" s="37" t="s">
        <v>8905</v>
      </c>
      <c r="D5385" s="35">
        <v>8487</v>
      </c>
      <c r="E5385" s="4" t="s">
        <v>9135</v>
      </c>
      <c r="F5385" s="5">
        <v>40595</v>
      </c>
      <c r="H5385" s="4" t="s">
        <v>40</v>
      </c>
      <c r="I5385" s="6">
        <v>45000</v>
      </c>
      <c r="J5385" s="6">
        <v>45000</v>
      </c>
      <c r="K5385" s="37" t="s">
        <v>8905</v>
      </c>
      <c r="L5385" s="120"/>
      <c r="M5385" s="3"/>
    </row>
    <row r="5386" spans="1:13" s="4" customFormat="1" ht="25.5" x14ac:dyDescent="0.25">
      <c r="A5386" s="4" t="s">
        <v>9138</v>
      </c>
      <c r="B5386" s="4" t="s">
        <v>183</v>
      </c>
      <c r="C5386" s="37" t="s">
        <v>8905</v>
      </c>
      <c r="D5386" s="35">
        <v>8489</v>
      </c>
      <c r="E5386" s="4" t="s">
        <v>9139</v>
      </c>
      <c r="F5386" s="5">
        <v>40350</v>
      </c>
      <c r="H5386" s="4" t="s">
        <v>40</v>
      </c>
      <c r="I5386" s="6">
        <v>3750</v>
      </c>
      <c r="J5386" s="6">
        <v>3750</v>
      </c>
      <c r="K5386" s="37" t="s">
        <v>8905</v>
      </c>
      <c r="L5386" s="120"/>
      <c r="M5386" s="3"/>
    </row>
    <row r="5387" spans="1:13" s="4" customFormat="1" ht="25.5" x14ac:dyDescent="0.25">
      <c r="A5387" s="4" t="s">
        <v>9140</v>
      </c>
      <c r="B5387" s="4" t="s">
        <v>183</v>
      </c>
      <c r="C5387" s="37" t="s">
        <v>8905</v>
      </c>
      <c r="D5387" s="35">
        <v>8490</v>
      </c>
      <c r="E5387" s="4" t="s">
        <v>9141</v>
      </c>
      <c r="F5387" s="5">
        <v>40504</v>
      </c>
      <c r="G5387" s="5">
        <v>40758</v>
      </c>
      <c r="H5387" s="4" t="s">
        <v>40</v>
      </c>
      <c r="I5387" s="6">
        <v>7600.74</v>
      </c>
      <c r="J5387" s="6">
        <v>3800.37</v>
      </c>
      <c r="K5387" s="37" t="s">
        <v>8905</v>
      </c>
      <c r="L5387" s="120"/>
      <c r="M5387" s="3"/>
    </row>
    <row r="5388" spans="1:13" s="4" customFormat="1" ht="25.5" x14ac:dyDescent="0.25">
      <c r="A5388" s="4" t="s">
        <v>9142</v>
      </c>
      <c r="B5388" s="4" t="s">
        <v>59</v>
      </c>
      <c r="C5388" s="37" t="s">
        <v>8905</v>
      </c>
      <c r="D5388" s="35">
        <v>8491</v>
      </c>
      <c r="E5388" s="4" t="s">
        <v>9143</v>
      </c>
      <c r="F5388" s="5">
        <v>40504</v>
      </c>
      <c r="G5388" s="5">
        <v>40737</v>
      </c>
      <c r="H5388" s="4" t="s">
        <v>40</v>
      </c>
      <c r="I5388" s="6">
        <v>7500</v>
      </c>
      <c r="J5388" s="6">
        <v>7500</v>
      </c>
      <c r="K5388" s="37" t="s">
        <v>8905</v>
      </c>
      <c r="L5388" s="120"/>
      <c r="M5388" s="3"/>
    </row>
    <row r="5389" spans="1:13" s="4" customFormat="1" ht="25.5" x14ac:dyDescent="0.25">
      <c r="A5389" s="4" t="s">
        <v>9144</v>
      </c>
      <c r="B5389" s="4" t="s">
        <v>50</v>
      </c>
      <c r="C5389" s="37" t="s">
        <v>8905</v>
      </c>
      <c r="D5389" s="35">
        <v>8492</v>
      </c>
      <c r="E5389" s="4" t="s">
        <v>9145</v>
      </c>
      <c r="F5389" s="5">
        <v>40728</v>
      </c>
      <c r="G5389" s="5">
        <v>40737</v>
      </c>
      <c r="H5389" s="4" t="s">
        <v>40</v>
      </c>
      <c r="I5389" s="6">
        <v>2475</v>
      </c>
      <c r="J5389" s="6">
        <v>1237.5</v>
      </c>
      <c r="K5389" s="37" t="s">
        <v>8905</v>
      </c>
      <c r="L5389" s="120"/>
      <c r="M5389" s="3"/>
    </row>
    <row r="5390" spans="1:13" s="4" customFormat="1" ht="63.75" x14ac:dyDescent="0.25">
      <c r="A5390" s="4" t="s">
        <v>9146</v>
      </c>
      <c r="B5390" s="4" t="s">
        <v>183</v>
      </c>
      <c r="C5390" s="37" t="s">
        <v>8905</v>
      </c>
      <c r="D5390" s="35">
        <v>8493</v>
      </c>
      <c r="E5390" s="4" t="s">
        <v>9147</v>
      </c>
      <c r="F5390" s="5">
        <v>40868</v>
      </c>
      <c r="H5390" s="4" t="s">
        <v>40</v>
      </c>
      <c r="I5390" s="6">
        <v>18750</v>
      </c>
      <c r="J5390" s="6">
        <v>18750</v>
      </c>
      <c r="K5390" s="37" t="s">
        <v>8905</v>
      </c>
      <c r="L5390" s="120"/>
      <c r="M5390" s="3"/>
    </row>
    <row r="5391" spans="1:13" s="4" customFormat="1" ht="25.5" x14ac:dyDescent="0.25">
      <c r="A5391" s="4" t="s">
        <v>9148</v>
      </c>
      <c r="B5391" s="4" t="s">
        <v>183</v>
      </c>
      <c r="C5391" s="37" t="s">
        <v>8905</v>
      </c>
      <c r="D5391" s="35">
        <v>8494</v>
      </c>
      <c r="E5391" s="4" t="s">
        <v>9149</v>
      </c>
      <c r="F5391" s="5">
        <v>40504</v>
      </c>
      <c r="H5391" s="4" t="s">
        <v>40</v>
      </c>
      <c r="I5391" s="6">
        <v>8450</v>
      </c>
      <c r="J5391" s="6">
        <v>2112.5</v>
      </c>
      <c r="K5391" s="37" t="s">
        <v>8905</v>
      </c>
      <c r="L5391" s="120"/>
      <c r="M5391" s="3"/>
    </row>
    <row r="5392" spans="1:13" s="4" customFormat="1" ht="38.25" x14ac:dyDescent="0.25">
      <c r="A5392" s="4" t="s">
        <v>9150</v>
      </c>
      <c r="B5392" s="4" t="s">
        <v>59</v>
      </c>
      <c r="C5392" s="37" t="s">
        <v>8905</v>
      </c>
      <c r="D5392" s="35">
        <v>8495</v>
      </c>
      <c r="E5392" s="4" t="s">
        <v>9151</v>
      </c>
      <c r="F5392" s="5">
        <v>40869</v>
      </c>
      <c r="H5392" s="4" t="s">
        <v>40</v>
      </c>
      <c r="I5392" s="6">
        <f>3750+6203.92+6250</f>
        <v>16203.92</v>
      </c>
      <c r="J5392" s="6">
        <f>8113.48+6250</f>
        <v>14363.48</v>
      </c>
      <c r="K5392" s="37" t="s">
        <v>8905</v>
      </c>
      <c r="L5392" s="120"/>
      <c r="M5392" s="3"/>
    </row>
    <row r="5393" spans="1:13" s="4" customFormat="1" ht="25.5" x14ac:dyDescent="0.25">
      <c r="A5393" s="4" t="s">
        <v>9152</v>
      </c>
      <c r="B5393" s="4" t="s">
        <v>50</v>
      </c>
      <c r="C5393" s="37" t="s">
        <v>8905</v>
      </c>
      <c r="D5393" s="35">
        <v>8496</v>
      </c>
      <c r="E5393" s="4" t="s">
        <v>9153</v>
      </c>
      <c r="F5393" s="5">
        <v>40504</v>
      </c>
      <c r="H5393" s="4" t="s">
        <v>40</v>
      </c>
      <c r="I5393" s="6">
        <v>24000</v>
      </c>
      <c r="J5393" s="6">
        <v>6000</v>
      </c>
      <c r="K5393" s="37" t="s">
        <v>8905</v>
      </c>
      <c r="L5393" s="120"/>
      <c r="M5393" s="3"/>
    </row>
    <row r="5394" spans="1:13" s="4" customFormat="1" ht="25.5" x14ac:dyDescent="0.25">
      <c r="A5394" s="4" t="s">
        <v>9154</v>
      </c>
      <c r="B5394" s="4" t="s">
        <v>59</v>
      </c>
      <c r="C5394" s="37" t="s">
        <v>8905</v>
      </c>
      <c r="D5394" s="35">
        <v>8497</v>
      </c>
      <c r="E5394" s="4" t="s">
        <v>9153</v>
      </c>
      <c r="F5394" s="5">
        <v>40596</v>
      </c>
      <c r="H5394" s="4" t="s">
        <v>40</v>
      </c>
      <c r="I5394" s="6">
        <v>7500</v>
      </c>
      <c r="J5394" s="6">
        <v>7500</v>
      </c>
      <c r="K5394" s="37" t="s">
        <v>8905</v>
      </c>
      <c r="L5394" s="120"/>
      <c r="M5394" s="3"/>
    </row>
    <row r="5395" spans="1:13" s="4" customFormat="1" ht="25.5" x14ac:dyDescent="0.25">
      <c r="A5395" s="4" t="s">
        <v>9157</v>
      </c>
      <c r="B5395" s="4" t="s">
        <v>183</v>
      </c>
      <c r="C5395" s="37" t="s">
        <v>8905</v>
      </c>
      <c r="D5395" s="35">
        <v>8499</v>
      </c>
      <c r="E5395" s="4" t="s">
        <v>9158</v>
      </c>
      <c r="F5395" s="5">
        <v>40651</v>
      </c>
      <c r="G5395" s="5">
        <v>40893</v>
      </c>
      <c r="H5395" s="4" t="s">
        <v>40</v>
      </c>
      <c r="I5395" s="6">
        <v>7500</v>
      </c>
      <c r="J5395" s="6">
        <v>7500</v>
      </c>
      <c r="K5395" s="37" t="s">
        <v>8905</v>
      </c>
      <c r="L5395" s="120"/>
      <c r="M5395" s="3"/>
    </row>
    <row r="5396" spans="1:13" s="4" customFormat="1" ht="38.25" x14ac:dyDescent="0.25">
      <c r="A5396" s="4" t="s">
        <v>9161</v>
      </c>
      <c r="B5396" s="4" t="s">
        <v>190</v>
      </c>
      <c r="C5396" s="37" t="s">
        <v>8905</v>
      </c>
      <c r="D5396" s="35">
        <v>8501</v>
      </c>
      <c r="E5396" s="4" t="s">
        <v>9162</v>
      </c>
      <c r="F5396" s="5">
        <v>40651</v>
      </c>
      <c r="G5396" s="5">
        <v>40868</v>
      </c>
      <c r="H5396" s="4" t="s">
        <v>40</v>
      </c>
      <c r="I5396" s="6">
        <v>11400</v>
      </c>
      <c r="J5396" s="6">
        <v>9450</v>
      </c>
      <c r="K5396" s="37" t="s">
        <v>8905</v>
      </c>
      <c r="L5396" s="120"/>
      <c r="M5396" s="3"/>
    </row>
    <row r="5397" spans="1:13" s="4" customFormat="1" ht="25.5" x14ac:dyDescent="0.25">
      <c r="A5397" s="4" t="s">
        <v>9163</v>
      </c>
      <c r="B5397" s="4" t="s">
        <v>183</v>
      </c>
      <c r="C5397" s="37" t="s">
        <v>8905</v>
      </c>
      <c r="D5397" s="35">
        <v>8502</v>
      </c>
      <c r="E5397" s="4" t="s">
        <v>9164</v>
      </c>
      <c r="F5397" s="5">
        <v>40868</v>
      </c>
      <c r="H5397" s="4" t="s">
        <v>40</v>
      </c>
      <c r="I5397" s="6">
        <v>11250</v>
      </c>
      <c r="J5397" s="6">
        <v>11250</v>
      </c>
      <c r="K5397" s="37" t="s">
        <v>8905</v>
      </c>
      <c r="L5397" s="120"/>
      <c r="M5397" s="3"/>
    </row>
    <row r="5398" spans="1:13" s="4" customFormat="1" ht="25.5" x14ac:dyDescent="0.25">
      <c r="A5398" s="4" t="s">
        <v>9167</v>
      </c>
      <c r="B5398" s="4" t="s">
        <v>183</v>
      </c>
      <c r="C5398" s="37" t="s">
        <v>8905</v>
      </c>
      <c r="D5398" s="35">
        <v>8504</v>
      </c>
      <c r="E5398" s="4" t="s">
        <v>9168</v>
      </c>
      <c r="F5398" s="5">
        <v>40728</v>
      </c>
      <c r="H5398" s="4" t="s">
        <v>40</v>
      </c>
      <c r="I5398" s="6">
        <v>7500</v>
      </c>
      <c r="J5398" s="6">
        <v>7500</v>
      </c>
      <c r="K5398" s="37" t="s">
        <v>8905</v>
      </c>
      <c r="L5398" s="120"/>
      <c r="M5398" s="3"/>
    </row>
    <row r="5399" spans="1:13" s="4" customFormat="1" ht="38.25" x14ac:dyDescent="0.25">
      <c r="A5399" s="4" t="s">
        <v>9171</v>
      </c>
      <c r="B5399" s="4" t="s">
        <v>183</v>
      </c>
      <c r="C5399" s="37" t="s">
        <v>8905</v>
      </c>
      <c r="D5399" s="35">
        <v>8506</v>
      </c>
      <c r="E5399" s="4" t="s">
        <v>9172</v>
      </c>
      <c r="F5399" s="5">
        <v>40728</v>
      </c>
      <c r="H5399" s="4" t="s">
        <v>40</v>
      </c>
      <c r="I5399" s="6">
        <v>3750</v>
      </c>
      <c r="J5399" s="6">
        <v>3750</v>
      </c>
      <c r="K5399" s="37" t="s">
        <v>8905</v>
      </c>
      <c r="L5399" s="120"/>
      <c r="M5399" s="3"/>
    </row>
    <row r="5400" spans="1:13" s="4" customFormat="1" ht="25.5" x14ac:dyDescent="0.25">
      <c r="A5400" s="4" t="s">
        <v>9175</v>
      </c>
      <c r="B5400" s="4" t="s">
        <v>190</v>
      </c>
      <c r="C5400" s="37" t="s">
        <v>8905</v>
      </c>
      <c r="D5400" s="35">
        <v>8508</v>
      </c>
      <c r="E5400" s="4" t="s">
        <v>9176</v>
      </c>
      <c r="F5400" s="5">
        <v>40595</v>
      </c>
      <c r="G5400" s="5">
        <v>40737</v>
      </c>
      <c r="H5400" s="4" t="s">
        <v>40</v>
      </c>
      <c r="I5400" s="6">
        <v>7966.5</v>
      </c>
      <c r="J5400" s="6">
        <v>3983.25</v>
      </c>
      <c r="K5400" s="37" t="s">
        <v>8905</v>
      </c>
      <c r="L5400" s="120"/>
      <c r="M5400" s="3"/>
    </row>
    <row r="5401" spans="1:13" s="4" customFormat="1" ht="38.25" x14ac:dyDescent="0.25">
      <c r="A5401" s="4" t="s">
        <v>9177</v>
      </c>
      <c r="B5401" s="4" t="s">
        <v>183</v>
      </c>
      <c r="C5401" s="37" t="s">
        <v>8905</v>
      </c>
      <c r="D5401" s="35">
        <v>8509</v>
      </c>
      <c r="E5401" s="4" t="s">
        <v>9178</v>
      </c>
      <c r="F5401" s="5">
        <v>40503</v>
      </c>
      <c r="H5401" s="4" t="s">
        <v>40</v>
      </c>
      <c r="I5401" s="6">
        <v>27721.95</v>
      </c>
      <c r="J5401" s="6">
        <f>13975.98+3635</f>
        <v>17610.98</v>
      </c>
      <c r="K5401" s="37" t="s">
        <v>8905</v>
      </c>
      <c r="L5401" s="120"/>
      <c r="M5401" s="3"/>
    </row>
    <row r="5402" spans="1:13" s="4" customFormat="1" ht="25.5" x14ac:dyDescent="0.25">
      <c r="A5402" s="4" t="s">
        <v>9181</v>
      </c>
      <c r="B5402" s="4" t="s">
        <v>183</v>
      </c>
      <c r="C5402" s="37" t="s">
        <v>8905</v>
      </c>
      <c r="D5402" s="35">
        <v>8511</v>
      </c>
      <c r="E5402" s="4" t="s">
        <v>9182</v>
      </c>
      <c r="F5402" s="5">
        <v>40651</v>
      </c>
      <c r="G5402" s="5">
        <v>40841</v>
      </c>
      <c r="H5402" s="4" t="s">
        <v>40</v>
      </c>
      <c r="I5402" s="6">
        <v>15000</v>
      </c>
      <c r="J5402" s="6">
        <v>15000</v>
      </c>
      <c r="K5402" s="37" t="s">
        <v>8905</v>
      </c>
      <c r="L5402" s="120"/>
      <c r="M5402" s="3"/>
    </row>
    <row r="5403" spans="1:13" s="4" customFormat="1" ht="51" x14ac:dyDescent="0.25">
      <c r="A5403" s="4" t="s">
        <v>9183</v>
      </c>
      <c r="B5403" s="4" t="s">
        <v>90</v>
      </c>
      <c r="C5403" s="37" t="s">
        <v>8905</v>
      </c>
      <c r="D5403" s="35">
        <v>8512</v>
      </c>
      <c r="E5403" s="4" t="s">
        <v>9184</v>
      </c>
      <c r="F5403" s="5">
        <v>40504</v>
      </c>
      <c r="G5403" s="5">
        <v>40737</v>
      </c>
      <c r="H5403" s="4" t="s">
        <v>40</v>
      </c>
      <c r="I5403" s="6">
        <v>17625.7</v>
      </c>
      <c r="J5403" s="6">
        <v>8812.85</v>
      </c>
      <c r="K5403" s="37" t="s">
        <v>8905</v>
      </c>
      <c r="L5403" s="120"/>
      <c r="M5403" s="3"/>
    </row>
    <row r="5404" spans="1:13" s="4" customFormat="1" ht="63.75" x14ac:dyDescent="0.25">
      <c r="A5404" s="4" t="s">
        <v>9185</v>
      </c>
      <c r="B5404" s="4" t="s">
        <v>183</v>
      </c>
      <c r="C5404" s="37" t="s">
        <v>8905</v>
      </c>
      <c r="D5404" s="35">
        <v>8513</v>
      </c>
      <c r="E5404" s="4" t="s">
        <v>9186</v>
      </c>
      <c r="F5404" s="5">
        <v>40868</v>
      </c>
      <c r="H5404" s="4" t="s">
        <v>40</v>
      </c>
      <c r="I5404" s="6">
        <v>7500</v>
      </c>
      <c r="J5404" s="6">
        <v>7500</v>
      </c>
      <c r="K5404" s="37" t="s">
        <v>8905</v>
      </c>
      <c r="L5404" s="120"/>
      <c r="M5404" s="3"/>
    </row>
    <row r="5405" spans="1:13" s="4" customFormat="1" ht="25.5" x14ac:dyDescent="0.25">
      <c r="A5405" s="4" t="s">
        <v>9187</v>
      </c>
      <c r="B5405" s="4" t="s">
        <v>38</v>
      </c>
      <c r="C5405" s="37" t="s">
        <v>8905</v>
      </c>
      <c r="D5405" s="35">
        <v>8514</v>
      </c>
      <c r="E5405" s="4" t="s">
        <v>9188</v>
      </c>
      <c r="F5405" s="5">
        <v>40544</v>
      </c>
      <c r="H5405" s="4" t="s">
        <v>40</v>
      </c>
      <c r="I5405" s="6">
        <v>12956.25</v>
      </c>
      <c r="J5405" s="6">
        <f>6806.25+6150</f>
        <v>12956.25</v>
      </c>
      <c r="K5405" s="37" t="s">
        <v>8905</v>
      </c>
      <c r="L5405" s="120"/>
      <c r="M5405" s="3"/>
    </row>
    <row r="5406" spans="1:13" s="4" customFormat="1" ht="63.75" x14ac:dyDescent="0.25">
      <c r="A5406" s="4" t="s">
        <v>9189</v>
      </c>
      <c r="B5406" s="4" t="s">
        <v>38</v>
      </c>
      <c r="C5406" s="37" t="s">
        <v>8905</v>
      </c>
      <c r="D5406" s="35">
        <v>8515</v>
      </c>
      <c r="E5406" s="4" t="s">
        <v>9190</v>
      </c>
      <c r="F5406" s="5">
        <v>40544</v>
      </c>
      <c r="H5406" s="4" t="s">
        <v>40</v>
      </c>
      <c r="I5406" s="6">
        <v>1296.8599999999999</v>
      </c>
      <c r="J5406" s="6">
        <v>1296.8599999999999</v>
      </c>
      <c r="K5406" s="37" t="s">
        <v>8905</v>
      </c>
      <c r="L5406" s="120"/>
      <c r="M5406" s="3"/>
    </row>
    <row r="5407" spans="1:13" s="4" customFormat="1" ht="63.75" x14ac:dyDescent="0.25">
      <c r="A5407" s="4" t="s">
        <v>9191</v>
      </c>
      <c r="B5407" s="4" t="s">
        <v>38</v>
      </c>
      <c r="C5407" s="37" t="s">
        <v>8905</v>
      </c>
      <c r="D5407" s="35">
        <v>8516</v>
      </c>
      <c r="E5407" s="4" t="s">
        <v>9192</v>
      </c>
      <c r="F5407" s="5">
        <v>40544</v>
      </c>
      <c r="H5407" s="4" t="s">
        <v>40</v>
      </c>
      <c r="I5407" s="6">
        <v>4304.24</v>
      </c>
      <c r="J5407" s="6">
        <f>2652.44+1651.8</f>
        <v>4304.24</v>
      </c>
      <c r="K5407" s="37" t="s">
        <v>8905</v>
      </c>
      <c r="L5407" s="120"/>
      <c r="M5407" s="3"/>
    </row>
    <row r="5408" spans="1:13" s="4" customFormat="1" ht="38.25" x14ac:dyDescent="0.25">
      <c r="A5408" s="4" t="s">
        <v>9193</v>
      </c>
      <c r="B5408" s="4" t="s">
        <v>183</v>
      </c>
      <c r="C5408" s="37" t="s">
        <v>8905</v>
      </c>
      <c r="D5408" s="35">
        <v>8549</v>
      </c>
      <c r="E5408" s="4" t="s">
        <v>9194</v>
      </c>
      <c r="F5408" s="5">
        <v>40868</v>
      </c>
      <c r="H5408" s="4" t="s">
        <v>40</v>
      </c>
      <c r="I5408" s="6">
        <v>30250</v>
      </c>
      <c r="J5408" s="6">
        <f>15000+15250</f>
        <v>30250</v>
      </c>
      <c r="K5408" s="37" t="s">
        <v>8905</v>
      </c>
      <c r="L5408" s="120"/>
      <c r="M5408" s="3"/>
    </row>
    <row r="5409" spans="1:13" s="4" customFormat="1" ht="51" x14ac:dyDescent="0.25">
      <c r="A5409" s="4" t="s">
        <v>9195</v>
      </c>
      <c r="B5409" s="4" t="s">
        <v>190</v>
      </c>
      <c r="C5409" s="37" t="s">
        <v>8905</v>
      </c>
      <c r="D5409" s="35">
        <v>8550</v>
      </c>
      <c r="E5409" s="4" t="s">
        <v>9196</v>
      </c>
      <c r="F5409" s="5">
        <v>40595</v>
      </c>
      <c r="H5409" s="4" t="s">
        <v>40</v>
      </c>
      <c r="I5409" s="6">
        <v>7500</v>
      </c>
      <c r="J5409" s="6">
        <v>7500</v>
      </c>
      <c r="K5409" s="37" t="s">
        <v>8905</v>
      </c>
      <c r="L5409" s="120"/>
      <c r="M5409" s="3"/>
    </row>
    <row r="5410" spans="1:13" s="4" customFormat="1" ht="51" x14ac:dyDescent="0.25">
      <c r="A5410" s="4" t="s">
        <v>9197</v>
      </c>
      <c r="B5410" s="4" t="s">
        <v>38</v>
      </c>
      <c r="C5410" s="37" t="s">
        <v>8905</v>
      </c>
      <c r="D5410" s="35">
        <v>8553</v>
      </c>
      <c r="E5410" s="4" t="s">
        <v>9198</v>
      </c>
      <c r="F5410" s="5">
        <v>40544</v>
      </c>
      <c r="H5410" s="4" t="s">
        <v>40</v>
      </c>
      <c r="I5410" s="6">
        <v>19978.52</v>
      </c>
      <c r="J5410" s="6">
        <v>13411.8</v>
      </c>
      <c r="K5410" s="37" t="s">
        <v>8905</v>
      </c>
      <c r="L5410" s="120"/>
      <c r="M5410" s="3"/>
    </row>
    <row r="5411" spans="1:13" s="4" customFormat="1" ht="51" x14ac:dyDescent="0.25">
      <c r="A5411" s="4" t="s">
        <v>9199</v>
      </c>
      <c r="B5411" s="4" t="s">
        <v>38</v>
      </c>
      <c r="C5411" s="37" t="s">
        <v>8905</v>
      </c>
      <c r="D5411" s="35">
        <v>8554</v>
      </c>
      <c r="E5411" s="4" t="s">
        <v>9200</v>
      </c>
      <c r="F5411" s="5">
        <v>40544</v>
      </c>
      <c r="H5411" s="4" t="s">
        <v>40</v>
      </c>
      <c r="I5411" s="6">
        <v>13946.01</v>
      </c>
      <c r="J5411" s="6">
        <v>5168.76</v>
      </c>
      <c r="K5411" s="37" t="s">
        <v>8905</v>
      </c>
      <c r="L5411" s="120"/>
      <c r="M5411" s="3"/>
    </row>
    <row r="5412" spans="1:13" s="4" customFormat="1" ht="38.25" x14ac:dyDescent="0.25">
      <c r="A5412" s="4" t="s">
        <v>9201</v>
      </c>
      <c r="B5412" s="4" t="s">
        <v>38</v>
      </c>
      <c r="C5412" s="37" t="s">
        <v>8905</v>
      </c>
      <c r="D5412" s="35">
        <v>8555</v>
      </c>
      <c r="E5412" s="4" t="s">
        <v>9202</v>
      </c>
      <c r="F5412" s="5">
        <v>40544</v>
      </c>
      <c r="H5412" s="4" t="s">
        <v>40</v>
      </c>
      <c r="I5412" s="6">
        <v>18378.7</v>
      </c>
      <c r="J5412" s="6">
        <v>7430.28</v>
      </c>
      <c r="K5412" s="37" t="s">
        <v>8905</v>
      </c>
      <c r="L5412" s="120"/>
      <c r="M5412" s="3"/>
    </row>
    <row r="5413" spans="1:13" s="4" customFormat="1" ht="63.75" x14ac:dyDescent="0.25">
      <c r="A5413" s="4" t="s">
        <v>9203</v>
      </c>
      <c r="B5413" s="4" t="s">
        <v>190</v>
      </c>
      <c r="C5413" s="37" t="s">
        <v>8905</v>
      </c>
      <c r="D5413" s="35">
        <v>10413</v>
      </c>
      <c r="E5413" s="4" t="s">
        <v>9204</v>
      </c>
      <c r="F5413" s="5">
        <v>40728</v>
      </c>
      <c r="H5413" s="4" t="s">
        <v>40</v>
      </c>
      <c r="I5413" s="6">
        <v>3750</v>
      </c>
      <c r="J5413" s="6">
        <v>3750</v>
      </c>
      <c r="K5413" s="37" t="s">
        <v>8905</v>
      </c>
      <c r="L5413" s="120"/>
      <c r="M5413" s="3"/>
    </row>
    <row r="5414" spans="1:13" s="4" customFormat="1" ht="38.25" x14ac:dyDescent="0.25">
      <c r="A5414" s="4" t="s">
        <v>9205</v>
      </c>
      <c r="B5414" s="4" t="s">
        <v>190</v>
      </c>
      <c r="C5414" s="37" t="s">
        <v>8905</v>
      </c>
      <c r="D5414" s="35">
        <v>10416</v>
      </c>
      <c r="E5414" s="4" t="s">
        <v>9206</v>
      </c>
      <c r="F5414" s="5">
        <v>41183</v>
      </c>
      <c r="H5414" s="4" t="s">
        <v>40</v>
      </c>
      <c r="I5414" s="6">
        <v>31380</v>
      </c>
      <c r="J5414" s="6">
        <f>8876+6814</f>
        <v>15690</v>
      </c>
      <c r="K5414" s="37" t="s">
        <v>8905</v>
      </c>
      <c r="L5414" s="120"/>
      <c r="M5414" s="3"/>
    </row>
    <row r="5415" spans="1:13" s="4" customFormat="1" ht="25.5" x14ac:dyDescent="0.25">
      <c r="A5415" s="4" t="s">
        <v>9207</v>
      </c>
      <c r="B5415" s="4" t="s">
        <v>183</v>
      </c>
      <c r="C5415" s="37" t="s">
        <v>8905</v>
      </c>
      <c r="D5415" s="35">
        <v>10418</v>
      </c>
      <c r="E5415" s="4" t="s">
        <v>9208</v>
      </c>
      <c r="F5415" s="5">
        <v>40966</v>
      </c>
      <c r="H5415" s="4" t="s">
        <v>40</v>
      </c>
      <c r="I5415" s="6">
        <v>16902.82</v>
      </c>
      <c r="J5415" s="6">
        <f>4054.01+8147.4</f>
        <v>12201.41</v>
      </c>
      <c r="K5415" s="37" t="s">
        <v>8905</v>
      </c>
      <c r="L5415" s="120"/>
      <c r="M5415" s="3"/>
    </row>
    <row r="5416" spans="1:13" s="4" customFormat="1" ht="25.5" x14ac:dyDescent="0.25">
      <c r="A5416" s="4" t="s">
        <v>9209</v>
      </c>
      <c r="B5416" s="4" t="s">
        <v>190</v>
      </c>
      <c r="C5416" s="37" t="s">
        <v>8905</v>
      </c>
      <c r="D5416" s="35">
        <v>10419</v>
      </c>
      <c r="E5416" s="4" t="s">
        <v>9210</v>
      </c>
      <c r="F5416" s="5">
        <v>40868</v>
      </c>
      <c r="H5416" s="4" t="s">
        <v>40</v>
      </c>
      <c r="I5416" s="6">
        <v>7500</v>
      </c>
      <c r="J5416" s="6">
        <v>7500</v>
      </c>
      <c r="K5416" s="37" t="s">
        <v>8905</v>
      </c>
      <c r="L5416" s="120"/>
      <c r="M5416" s="3"/>
    </row>
    <row r="5417" spans="1:13" s="4" customFormat="1" ht="63.75" x14ac:dyDescent="0.25">
      <c r="A5417" s="4" t="s">
        <v>9211</v>
      </c>
      <c r="B5417" s="4" t="s">
        <v>190</v>
      </c>
      <c r="C5417" s="37" t="s">
        <v>8905</v>
      </c>
      <c r="D5417" s="35">
        <v>10420</v>
      </c>
      <c r="E5417" s="4" t="s">
        <v>9212</v>
      </c>
      <c r="F5417" s="5">
        <v>40651</v>
      </c>
      <c r="H5417" s="4" t="s">
        <v>40</v>
      </c>
      <c r="I5417" s="6">
        <v>7500</v>
      </c>
      <c r="J5417" s="6">
        <v>7500</v>
      </c>
      <c r="K5417" s="37" t="s">
        <v>8905</v>
      </c>
      <c r="L5417" s="120"/>
      <c r="M5417" s="3"/>
    </row>
    <row r="5418" spans="1:13" s="4" customFormat="1" ht="25.5" x14ac:dyDescent="0.25">
      <c r="A5418" s="4" t="s">
        <v>9213</v>
      </c>
      <c r="B5418" s="4" t="s">
        <v>190</v>
      </c>
      <c r="C5418" s="37" t="s">
        <v>8905</v>
      </c>
      <c r="D5418" s="35">
        <v>10423</v>
      </c>
      <c r="E5418" s="4" t="s">
        <v>9214</v>
      </c>
      <c r="F5418" s="5">
        <v>40728</v>
      </c>
      <c r="H5418" s="4" t="s">
        <v>40</v>
      </c>
      <c r="I5418" s="6">
        <v>3750</v>
      </c>
      <c r="J5418" s="6">
        <v>3750</v>
      </c>
      <c r="K5418" s="37" t="s">
        <v>8905</v>
      </c>
      <c r="L5418" s="120"/>
      <c r="M5418" s="3"/>
    </row>
    <row r="5419" spans="1:13" s="4" customFormat="1" ht="25.5" x14ac:dyDescent="0.25">
      <c r="A5419" s="4" t="s">
        <v>9217</v>
      </c>
      <c r="B5419" s="4" t="s">
        <v>183</v>
      </c>
      <c r="C5419" s="37" t="s">
        <v>8905</v>
      </c>
      <c r="D5419" s="35">
        <v>10426</v>
      </c>
      <c r="E5419" s="4" t="s">
        <v>9218</v>
      </c>
      <c r="F5419" s="5">
        <v>40728</v>
      </c>
      <c r="H5419" s="4" t="s">
        <v>40</v>
      </c>
      <c r="I5419" s="6">
        <v>7500</v>
      </c>
      <c r="J5419" s="6">
        <v>7500</v>
      </c>
      <c r="K5419" s="37" t="s">
        <v>8905</v>
      </c>
      <c r="L5419" s="120"/>
      <c r="M5419" s="3"/>
    </row>
    <row r="5420" spans="1:13" s="4" customFormat="1" ht="51" x14ac:dyDescent="0.25">
      <c r="A5420" s="4" t="s">
        <v>9219</v>
      </c>
      <c r="B5420" s="4" t="s">
        <v>190</v>
      </c>
      <c r="C5420" s="37" t="s">
        <v>8905</v>
      </c>
      <c r="D5420" s="35">
        <v>10428</v>
      </c>
      <c r="E5420" s="4" t="s">
        <v>9220</v>
      </c>
      <c r="F5420" s="5">
        <v>40868</v>
      </c>
      <c r="H5420" s="4" t="s">
        <v>40</v>
      </c>
      <c r="I5420" s="6">
        <v>19449.64</v>
      </c>
      <c r="J5420" s="6">
        <f>7500+5974.82</f>
        <v>13474.82</v>
      </c>
      <c r="K5420" s="37" t="s">
        <v>8905</v>
      </c>
      <c r="L5420" s="120"/>
      <c r="M5420" s="3"/>
    </row>
    <row r="5421" spans="1:13" s="4" customFormat="1" ht="25.5" x14ac:dyDescent="0.25">
      <c r="A5421" s="4" t="s">
        <v>9221</v>
      </c>
      <c r="B5421" s="4" t="s">
        <v>183</v>
      </c>
      <c r="C5421" s="37" t="s">
        <v>8905</v>
      </c>
      <c r="D5421" s="35">
        <v>10429</v>
      </c>
      <c r="E5421" s="4" t="s">
        <v>9222</v>
      </c>
      <c r="F5421" s="5">
        <v>41183</v>
      </c>
      <c r="H5421" s="4" t="s">
        <v>40</v>
      </c>
      <c r="I5421" s="6">
        <v>7500</v>
      </c>
      <c r="J5421" s="6">
        <f>3750+3750</f>
        <v>7500</v>
      </c>
      <c r="K5421" s="37" t="s">
        <v>8905</v>
      </c>
      <c r="L5421" s="120"/>
      <c r="M5421" s="3"/>
    </row>
    <row r="5422" spans="1:13" s="4" customFormat="1" ht="102" x14ac:dyDescent="0.25">
      <c r="A5422" s="4" t="s">
        <v>9223</v>
      </c>
      <c r="B5422" s="4" t="s">
        <v>90</v>
      </c>
      <c r="C5422" s="37" t="s">
        <v>8905</v>
      </c>
      <c r="D5422" s="35">
        <v>10431</v>
      </c>
      <c r="E5422" s="7" t="s">
        <v>9224</v>
      </c>
      <c r="F5422" s="5">
        <v>40595</v>
      </c>
      <c r="H5422" s="4" t="s">
        <v>40</v>
      </c>
      <c r="I5422" s="6">
        <v>37149.68</v>
      </c>
      <c r="J5422" s="6">
        <v>18574.84</v>
      </c>
      <c r="K5422" s="37" t="s">
        <v>8905</v>
      </c>
      <c r="L5422" s="120"/>
      <c r="M5422" s="3"/>
    </row>
    <row r="5423" spans="1:13" s="4" customFormat="1" ht="38.25" x14ac:dyDescent="0.25">
      <c r="A5423" s="4" t="s">
        <v>9225</v>
      </c>
      <c r="B5423" s="4" t="s">
        <v>183</v>
      </c>
      <c r="C5423" s="37" t="s">
        <v>8905</v>
      </c>
      <c r="D5423" s="35">
        <v>10432</v>
      </c>
      <c r="E5423" s="4" t="s">
        <v>9226</v>
      </c>
      <c r="F5423" s="5">
        <v>41246</v>
      </c>
      <c r="H5423" s="4" t="s">
        <v>40</v>
      </c>
      <c r="I5423" s="6">
        <v>6250</v>
      </c>
      <c r="J5423" s="6">
        <v>6250</v>
      </c>
      <c r="K5423" s="37" t="s">
        <v>8905</v>
      </c>
      <c r="L5423" s="120"/>
      <c r="M5423" s="3"/>
    </row>
    <row r="5424" spans="1:13" s="4" customFormat="1" ht="51" x14ac:dyDescent="0.25">
      <c r="A5424" s="4" t="s">
        <v>9227</v>
      </c>
      <c r="B5424" s="4" t="s">
        <v>183</v>
      </c>
      <c r="C5424" s="37" t="s">
        <v>8905</v>
      </c>
      <c r="D5424" s="35">
        <v>10433</v>
      </c>
      <c r="E5424" s="4" t="s">
        <v>9228</v>
      </c>
      <c r="F5424" s="5">
        <v>41050</v>
      </c>
      <c r="H5424" s="4" t="s">
        <v>40</v>
      </c>
      <c r="I5424" s="6">
        <v>7500</v>
      </c>
      <c r="J5424" s="6">
        <v>7500</v>
      </c>
      <c r="K5424" s="37" t="s">
        <v>8905</v>
      </c>
      <c r="L5424" s="120"/>
      <c r="M5424" s="3"/>
    </row>
    <row r="5425" spans="1:13" s="4" customFormat="1" ht="38.25" x14ac:dyDescent="0.25">
      <c r="A5425" s="4" t="s">
        <v>9229</v>
      </c>
      <c r="B5425" s="4" t="s">
        <v>38</v>
      </c>
      <c r="C5425" s="37" t="s">
        <v>8905</v>
      </c>
      <c r="D5425" s="35">
        <v>10444</v>
      </c>
      <c r="E5425" s="4" t="s">
        <v>9230</v>
      </c>
      <c r="F5425" s="5">
        <v>40909</v>
      </c>
      <c r="H5425" s="4" t="s">
        <v>40</v>
      </c>
      <c r="I5425" s="6">
        <v>25868.77</v>
      </c>
      <c r="J5425" s="6">
        <f>20948.77+4920</f>
        <v>25868.77</v>
      </c>
      <c r="K5425" s="37" t="s">
        <v>8905</v>
      </c>
      <c r="L5425" s="120"/>
      <c r="M5425" s="3"/>
    </row>
    <row r="5426" spans="1:13" s="4" customFormat="1" ht="38.25" x14ac:dyDescent="0.25">
      <c r="A5426" s="4" t="s">
        <v>9231</v>
      </c>
      <c r="B5426" s="4" t="s">
        <v>38</v>
      </c>
      <c r="C5426" s="37" t="s">
        <v>8905</v>
      </c>
      <c r="D5426" s="35">
        <v>10447</v>
      </c>
      <c r="E5426" s="4" t="s">
        <v>9232</v>
      </c>
      <c r="F5426" s="5">
        <v>40909</v>
      </c>
      <c r="H5426" s="4" t="s">
        <v>40</v>
      </c>
      <c r="I5426" s="6">
        <v>23270.1</v>
      </c>
      <c r="J5426" s="6">
        <f>15348+7922.1</f>
        <v>23270.1</v>
      </c>
      <c r="K5426" s="37" t="s">
        <v>8905</v>
      </c>
      <c r="L5426" s="120"/>
      <c r="M5426" s="3"/>
    </row>
    <row r="5427" spans="1:13" s="4" customFormat="1" ht="127.5" x14ac:dyDescent="0.25">
      <c r="A5427" s="4" t="s">
        <v>9233</v>
      </c>
      <c r="B5427" s="4" t="s">
        <v>38</v>
      </c>
      <c r="C5427" s="37" t="s">
        <v>8905</v>
      </c>
      <c r="D5427" s="35">
        <v>10448</v>
      </c>
      <c r="E5427" s="7" t="s">
        <v>9234</v>
      </c>
      <c r="F5427" s="5">
        <v>40909</v>
      </c>
      <c r="H5427" s="4" t="s">
        <v>40</v>
      </c>
      <c r="I5427" s="6">
        <v>772.97</v>
      </c>
      <c r="J5427" s="6">
        <v>772.97</v>
      </c>
      <c r="K5427" s="37" t="s">
        <v>8905</v>
      </c>
      <c r="L5427" s="120"/>
      <c r="M5427" s="3"/>
    </row>
    <row r="5428" spans="1:13" s="4" customFormat="1" ht="51" x14ac:dyDescent="0.25">
      <c r="A5428" s="4" t="s">
        <v>9235</v>
      </c>
      <c r="B5428" s="4" t="s">
        <v>190</v>
      </c>
      <c r="C5428" s="37" t="s">
        <v>8905</v>
      </c>
      <c r="D5428" s="35">
        <v>10533</v>
      </c>
      <c r="E5428" s="4" t="s">
        <v>9236</v>
      </c>
      <c r="F5428" s="5">
        <v>40868</v>
      </c>
      <c r="H5428" s="4" t="s">
        <v>40</v>
      </c>
      <c r="I5428" s="6">
        <v>134000</v>
      </c>
      <c r="J5428" s="6">
        <v>67000</v>
      </c>
      <c r="K5428" s="37" t="s">
        <v>8905</v>
      </c>
      <c r="L5428" s="120"/>
      <c r="M5428" s="3"/>
    </row>
    <row r="5429" spans="1:13" ht="76.5" x14ac:dyDescent="0.25">
      <c r="A5429" s="13" t="s">
        <v>11205</v>
      </c>
      <c r="B5429" s="13" t="s">
        <v>10192</v>
      </c>
      <c r="C5429" s="20" t="s">
        <v>8905</v>
      </c>
      <c r="D5429" s="19">
        <v>12440</v>
      </c>
      <c r="E5429" s="13" t="s">
        <v>11206</v>
      </c>
      <c r="F5429" s="14">
        <v>41246</v>
      </c>
      <c r="H5429" s="13" t="s">
        <v>651</v>
      </c>
      <c r="I5429" s="18">
        <v>12500</v>
      </c>
      <c r="J5429" s="18">
        <v>12500</v>
      </c>
      <c r="K5429" s="20" t="s">
        <v>8905</v>
      </c>
    </row>
    <row r="5430" spans="1:13" ht="38.25" x14ac:dyDescent="0.25">
      <c r="A5430" s="13" t="s">
        <v>11207</v>
      </c>
      <c r="B5430" s="13" t="s">
        <v>10192</v>
      </c>
      <c r="C5430" s="20" t="s">
        <v>8905</v>
      </c>
      <c r="D5430" s="19">
        <v>12441</v>
      </c>
      <c r="E5430" s="13" t="s">
        <v>11208</v>
      </c>
      <c r="F5430" s="14">
        <v>41597</v>
      </c>
      <c r="H5430" s="13" t="s">
        <v>651</v>
      </c>
      <c r="I5430" s="18">
        <v>3750</v>
      </c>
      <c r="J5430" s="18">
        <v>3750</v>
      </c>
      <c r="K5430" s="20" t="s">
        <v>8905</v>
      </c>
    </row>
    <row r="5431" spans="1:13" ht="89.25" x14ac:dyDescent="0.25">
      <c r="A5431" s="13" t="s">
        <v>11209</v>
      </c>
      <c r="B5431" s="13" t="s">
        <v>10192</v>
      </c>
      <c r="C5431" s="20" t="s">
        <v>8905</v>
      </c>
      <c r="D5431" s="19">
        <v>12442</v>
      </c>
      <c r="E5431" s="13" t="s">
        <v>11210</v>
      </c>
      <c r="F5431" s="14">
        <v>41540</v>
      </c>
      <c r="H5431" s="13" t="s">
        <v>651</v>
      </c>
      <c r="I5431" s="18">
        <v>1500</v>
      </c>
      <c r="J5431" s="18">
        <v>750</v>
      </c>
      <c r="K5431" s="20" t="s">
        <v>8905</v>
      </c>
    </row>
    <row r="5432" spans="1:13" ht="25.5" x14ac:dyDescent="0.25">
      <c r="A5432" s="13" t="s">
        <v>11211</v>
      </c>
      <c r="B5432" s="13" t="s">
        <v>10195</v>
      </c>
      <c r="C5432" s="20" t="s">
        <v>8905</v>
      </c>
      <c r="D5432" s="19">
        <v>12451</v>
      </c>
      <c r="E5432" s="13" t="s">
        <v>11212</v>
      </c>
      <c r="F5432" s="14">
        <v>41337</v>
      </c>
      <c r="H5432" s="13" t="s">
        <v>651</v>
      </c>
      <c r="I5432" s="18">
        <v>12500</v>
      </c>
      <c r="J5432" s="18">
        <v>12500</v>
      </c>
      <c r="K5432" s="20" t="s">
        <v>8905</v>
      </c>
    </row>
    <row r="5433" spans="1:13" ht="51" x14ac:dyDescent="0.25">
      <c r="A5433" s="13" t="s">
        <v>11217</v>
      </c>
      <c r="B5433" s="13" t="s">
        <v>10192</v>
      </c>
      <c r="C5433" s="20" t="s">
        <v>8905</v>
      </c>
      <c r="D5433" s="19">
        <v>12454</v>
      </c>
      <c r="E5433" s="13" t="s">
        <v>11218</v>
      </c>
      <c r="F5433" s="14">
        <v>41470</v>
      </c>
      <c r="H5433" s="13" t="s">
        <v>651</v>
      </c>
      <c r="I5433" s="18">
        <v>6250</v>
      </c>
      <c r="J5433" s="18">
        <v>6250</v>
      </c>
      <c r="K5433" s="20" t="s">
        <v>8905</v>
      </c>
    </row>
    <row r="5434" spans="1:13" ht="25.5" x14ac:dyDescent="0.25">
      <c r="A5434" s="13" t="s">
        <v>11219</v>
      </c>
      <c r="B5434" s="13" t="s">
        <v>10192</v>
      </c>
      <c r="C5434" s="20" t="s">
        <v>8905</v>
      </c>
      <c r="D5434" s="19">
        <v>12455</v>
      </c>
      <c r="E5434" s="13" t="s">
        <v>11220</v>
      </c>
      <c r="F5434" s="14">
        <v>41470</v>
      </c>
      <c r="H5434" s="13" t="s">
        <v>651</v>
      </c>
      <c r="I5434" s="18">
        <v>6250</v>
      </c>
      <c r="J5434" s="18">
        <v>6250</v>
      </c>
      <c r="K5434" s="20" t="s">
        <v>8905</v>
      </c>
    </row>
    <row r="5435" spans="1:13" ht="25.5" x14ac:dyDescent="0.25">
      <c r="A5435" s="13" t="s">
        <v>11221</v>
      </c>
      <c r="B5435" s="13" t="s">
        <v>10195</v>
      </c>
      <c r="C5435" s="20" t="s">
        <v>8905</v>
      </c>
      <c r="D5435" s="19">
        <v>12456</v>
      </c>
      <c r="E5435" s="13" t="s">
        <v>11222</v>
      </c>
      <c r="F5435" s="14">
        <v>41246</v>
      </c>
      <c r="H5435" s="13" t="s">
        <v>651</v>
      </c>
      <c r="I5435" s="18">
        <v>54350</v>
      </c>
      <c r="J5435" s="18">
        <v>27175</v>
      </c>
      <c r="K5435" s="20" t="s">
        <v>8905</v>
      </c>
    </row>
    <row r="5436" spans="1:13" ht="25.5" x14ac:dyDescent="0.25">
      <c r="A5436" s="13" t="s">
        <v>11223</v>
      </c>
      <c r="B5436" s="13" t="s">
        <v>10192</v>
      </c>
      <c r="C5436" s="20" t="s">
        <v>8905</v>
      </c>
      <c r="D5436" s="19">
        <v>12457</v>
      </c>
      <c r="E5436" s="13" t="s">
        <v>11224</v>
      </c>
      <c r="F5436" s="14">
        <v>41597</v>
      </c>
      <c r="H5436" s="13" t="s">
        <v>651</v>
      </c>
      <c r="I5436" s="18">
        <v>27710.84</v>
      </c>
      <c r="J5436" s="18">
        <v>13855.42</v>
      </c>
      <c r="K5436" s="20" t="s">
        <v>8905</v>
      </c>
    </row>
    <row r="5437" spans="1:13" ht="25.5" x14ac:dyDescent="0.25">
      <c r="A5437" s="13" t="s">
        <v>11227</v>
      </c>
      <c r="B5437" s="13" t="s">
        <v>10195</v>
      </c>
      <c r="C5437" s="20" t="s">
        <v>8905</v>
      </c>
      <c r="D5437" s="19">
        <v>12460</v>
      </c>
      <c r="E5437" s="13" t="s">
        <v>11228</v>
      </c>
      <c r="F5437" s="14">
        <v>41246</v>
      </c>
      <c r="H5437" s="13" t="s">
        <v>651</v>
      </c>
      <c r="I5437" s="18">
        <v>5375</v>
      </c>
      <c r="J5437" s="18">
        <v>5375</v>
      </c>
      <c r="K5437" s="20" t="s">
        <v>8905</v>
      </c>
    </row>
    <row r="5438" spans="1:13" ht="38.25" x14ac:dyDescent="0.25">
      <c r="A5438" s="13" t="s">
        <v>11229</v>
      </c>
      <c r="B5438" s="13" t="s">
        <v>10192</v>
      </c>
      <c r="C5438" s="20" t="s">
        <v>8905</v>
      </c>
      <c r="D5438" s="19">
        <v>12461</v>
      </c>
      <c r="E5438" s="13" t="s">
        <v>11230</v>
      </c>
      <c r="F5438" s="14">
        <v>41470</v>
      </c>
      <c r="H5438" s="13" t="s">
        <v>651</v>
      </c>
      <c r="I5438" s="18">
        <v>6250</v>
      </c>
      <c r="J5438" s="18">
        <v>6250</v>
      </c>
      <c r="K5438" s="20" t="s">
        <v>8905</v>
      </c>
    </row>
    <row r="5439" spans="1:13" ht="25.5" x14ac:dyDescent="0.25">
      <c r="A5439" s="13" t="s">
        <v>11231</v>
      </c>
      <c r="B5439" s="13" t="s">
        <v>10192</v>
      </c>
      <c r="C5439" s="20" t="s">
        <v>8905</v>
      </c>
      <c r="D5439" s="19">
        <v>12462</v>
      </c>
      <c r="E5439" s="13" t="s">
        <v>11232</v>
      </c>
      <c r="F5439" s="14">
        <v>41256</v>
      </c>
      <c r="H5439" s="13" t="s">
        <v>651</v>
      </c>
      <c r="I5439" s="18">
        <v>17500</v>
      </c>
      <c r="J5439" s="18">
        <v>15000</v>
      </c>
      <c r="K5439" s="20" t="s">
        <v>8905</v>
      </c>
    </row>
    <row r="5440" spans="1:13" ht="25.5" x14ac:dyDescent="0.25">
      <c r="A5440" s="13" t="s">
        <v>11233</v>
      </c>
      <c r="B5440" s="13" t="s">
        <v>10192</v>
      </c>
      <c r="C5440" s="20" t="s">
        <v>8905</v>
      </c>
      <c r="D5440" s="19">
        <v>12463</v>
      </c>
      <c r="E5440" s="13" t="s">
        <v>11234</v>
      </c>
      <c r="F5440" s="14">
        <v>41393</v>
      </c>
      <c r="H5440" s="13" t="s">
        <v>651</v>
      </c>
      <c r="I5440" s="18">
        <v>6920</v>
      </c>
      <c r="J5440" s="18">
        <v>3460</v>
      </c>
      <c r="K5440" s="20" t="s">
        <v>8905</v>
      </c>
    </row>
    <row r="5441" spans="1:13" ht="25.5" x14ac:dyDescent="0.25">
      <c r="A5441" s="13" t="s">
        <v>11235</v>
      </c>
      <c r="B5441" s="13" t="s">
        <v>10192</v>
      </c>
      <c r="C5441" s="20" t="s">
        <v>8905</v>
      </c>
      <c r="D5441" s="19">
        <v>12464</v>
      </c>
      <c r="E5441" s="13" t="s">
        <v>11236</v>
      </c>
      <c r="F5441" s="14">
        <v>41540</v>
      </c>
      <c r="H5441" s="13" t="s">
        <v>651</v>
      </c>
      <c r="I5441" s="18">
        <v>6250</v>
      </c>
      <c r="J5441" s="18">
        <v>6250</v>
      </c>
      <c r="K5441" s="20" t="s">
        <v>8905</v>
      </c>
    </row>
    <row r="5442" spans="1:13" ht="25.5" x14ac:dyDescent="0.25">
      <c r="A5442" s="13" t="s">
        <v>11237</v>
      </c>
      <c r="B5442" s="13" t="s">
        <v>10192</v>
      </c>
      <c r="C5442" s="20" t="s">
        <v>8905</v>
      </c>
      <c r="D5442" s="19">
        <v>12465</v>
      </c>
      <c r="E5442" s="13" t="s">
        <v>11238</v>
      </c>
      <c r="F5442" s="14">
        <v>41050</v>
      </c>
      <c r="H5442" s="13" t="s">
        <v>651</v>
      </c>
      <c r="I5442" s="18">
        <v>7500</v>
      </c>
      <c r="J5442" s="18">
        <v>7500</v>
      </c>
      <c r="K5442" s="20" t="s">
        <v>8905</v>
      </c>
    </row>
    <row r="5443" spans="1:13" ht="140.25" x14ac:dyDescent="0.25">
      <c r="A5443" s="13" t="s">
        <v>7446</v>
      </c>
      <c r="B5443" s="13" t="s">
        <v>38</v>
      </c>
      <c r="C5443" s="20" t="s">
        <v>8905</v>
      </c>
      <c r="D5443" s="19">
        <v>12608</v>
      </c>
      <c r="E5443" s="13" t="s">
        <v>11239</v>
      </c>
      <c r="F5443" s="14">
        <v>41275</v>
      </c>
      <c r="H5443" s="13" t="s">
        <v>651</v>
      </c>
      <c r="I5443" s="18">
        <v>22778.91</v>
      </c>
      <c r="J5443" s="18">
        <v>12271.65</v>
      </c>
      <c r="K5443" s="20" t="s">
        <v>8905</v>
      </c>
    </row>
    <row r="5444" spans="1:13" ht="25.5" x14ac:dyDescent="0.25">
      <c r="A5444" s="13" t="s">
        <v>11240</v>
      </c>
      <c r="B5444" s="13" t="s">
        <v>38</v>
      </c>
      <c r="C5444" s="20" t="s">
        <v>8905</v>
      </c>
      <c r="D5444" s="19">
        <v>12609</v>
      </c>
      <c r="E5444" s="13" t="s">
        <v>11241</v>
      </c>
      <c r="F5444" s="14">
        <v>41275</v>
      </c>
      <c r="H5444" s="13" t="s">
        <v>651</v>
      </c>
      <c r="I5444" s="18">
        <v>600.5</v>
      </c>
      <c r="J5444" s="18">
        <v>600.5</v>
      </c>
      <c r="K5444" s="20" t="s">
        <v>8905</v>
      </c>
    </row>
    <row r="5445" spans="1:13" ht="38.25" x14ac:dyDescent="0.25">
      <c r="A5445" s="13" t="s">
        <v>11242</v>
      </c>
      <c r="B5445" s="13" t="s">
        <v>38</v>
      </c>
      <c r="C5445" s="20" t="s">
        <v>8905</v>
      </c>
      <c r="D5445" s="19">
        <v>12610</v>
      </c>
      <c r="E5445" s="13" t="s">
        <v>11243</v>
      </c>
      <c r="F5445" s="14">
        <v>41275</v>
      </c>
      <c r="H5445" s="13" t="s">
        <v>651</v>
      </c>
      <c r="I5445" s="18">
        <v>10000</v>
      </c>
      <c r="J5445" s="18">
        <v>10000</v>
      </c>
      <c r="K5445" s="20" t="s">
        <v>8905</v>
      </c>
    </row>
    <row r="5446" spans="1:13" ht="38.25" x14ac:dyDescent="0.25">
      <c r="A5446" s="13" t="s">
        <v>11244</v>
      </c>
      <c r="B5446" s="13" t="s">
        <v>38</v>
      </c>
      <c r="C5446" s="20" t="s">
        <v>8905</v>
      </c>
      <c r="D5446" s="19">
        <v>12611</v>
      </c>
      <c r="E5446" s="13" t="s">
        <v>11245</v>
      </c>
      <c r="F5446" s="14">
        <v>41410</v>
      </c>
      <c r="H5446" s="13" t="s">
        <v>651</v>
      </c>
      <c r="I5446" s="18">
        <f>752.25-0.33</f>
        <v>751.92</v>
      </c>
      <c r="J5446" s="18">
        <v>752.25</v>
      </c>
      <c r="K5446" s="20" t="s">
        <v>8905</v>
      </c>
    </row>
    <row r="5447" spans="1:13" ht="114.75" x14ac:dyDescent="0.25">
      <c r="A5447" s="13" t="s">
        <v>11246</v>
      </c>
      <c r="B5447" s="13" t="s">
        <v>38</v>
      </c>
      <c r="C5447" s="20" t="s">
        <v>8905</v>
      </c>
      <c r="D5447" s="19">
        <v>12612</v>
      </c>
      <c r="E5447" s="13" t="s">
        <v>11247</v>
      </c>
      <c r="F5447" s="14">
        <v>41275</v>
      </c>
      <c r="H5447" s="13" t="s">
        <v>651</v>
      </c>
      <c r="I5447" s="18">
        <v>28597.63</v>
      </c>
      <c r="J5447" s="18">
        <v>28597.63</v>
      </c>
      <c r="K5447" s="20" t="s">
        <v>8905</v>
      </c>
    </row>
    <row r="5448" spans="1:13" ht="38.25" x14ac:dyDescent="0.25">
      <c r="A5448" s="13" t="s">
        <v>11376</v>
      </c>
      <c r="B5448" s="13" t="s">
        <v>13</v>
      </c>
      <c r="C5448" s="20" t="s">
        <v>8905</v>
      </c>
      <c r="D5448" s="19">
        <v>12613</v>
      </c>
      <c r="E5448" s="13" t="s">
        <v>11377</v>
      </c>
      <c r="F5448" s="14">
        <v>41470</v>
      </c>
      <c r="H5448" s="13" t="s">
        <v>651</v>
      </c>
      <c r="I5448" s="18">
        <v>675</v>
      </c>
      <c r="J5448" s="18">
        <v>675</v>
      </c>
      <c r="K5448" s="20" t="s">
        <v>8905</v>
      </c>
    </row>
    <row r="5449" spans="1:13" ht="63.75" x14ac:dyDescent="0.25">
      <c r="A5449" s="13" t="s">
        <v>11248</v>
      </c>
      <c r="B5449" s="13" t="s">
        <v>38</v>
      </c>
      <c r="C5449" s="20" t="s">
        <v>8905</v>
      </c>
      <c r="D5449" s="19">
        <v>12614</v>
      </c>
      <c r="E5449" s="13" t="s">
        <v>11249</v>
      </c>
      <c r="F5449" s="14">
        <v>41455</v>
      </c>
      <c r="H5449" s="13" t="s">
        <v>651</v>
      </c>
      <c r="I5449" s="18">
        <v>1955.53</v>
      </c>
      <c r="J5449" s="18">
        <v>1955.53</v>
      </c>
      <c r="K5449" s="20" t="s">
        <v>8905</v>
      </c>
    </row>
    <row r="5450" spans="1:13" ht="89.25" x14ac:dyDescent="0.25">
      <c r="A5450" s="13" t="s">
        <v>10311</v>
      </c>
      <c r="B5450" s="13" t="s">
        <v>38</v>
      </c>
      <c r="C5450" s="20" t="s">
        <v>8905</v>
      </c>
      <c r="D5450" s="19">
        <v>12615</v>
      </c>
      <c r="E5450" s="13" t="s">
        <v>11250</v>
      </c>
      <c r="F5450" s="14">
        <v>41548</v>
      </c>
      <c r="H5450" s="13" t="s">
        <v>651</v>
      </c>
      <c r="I5450" s="18">
        <v>1500</v>
      </c>
      <c r="J5450" s="18">
        <v>1500</v>
      </c>
      <c r="K5450" s="20" t="s">
        <v>8905</v>
      </c>
    </row>
    <row r="5451" spans="1:13" ht="89.25" x14ac:dyDescent="0.25">
      <c r="A5451" s="13" t="s">
        <v>11251</v>
      </c>
      <c r="B5451" s="13" t="s">
        <v>38</v>
      </c>
      <c r="C5451" s="20" t="s">
        <v>8905</v>
      </c>
      <c r="D5451" s="19">
        <v>12616</v>
      </c>
      <c r="E5451" s="13" t="s">
        <v>11252</v>
      </c>
      <c r="F5451" s="14">
        <v>41536</v>
      </c>
      <c r="H5451" s="13" t="s">
        <v>651</v>
      </c>
      <c r="I5451" s="18">
        <v>2460</v>
      </c>
      <c r="J5451" s="18">
        <v>2460</v>
      </c>
      <c r="K5451" s="20" t="s">
        <v>8905</v>
      </c>
    </row>
    <row r="5452" spans="1:13" ht="38.25" x14ac:dyDescent="0.25">
      <c r="A5452" s="13" t="s">
        <v>11179</v>
      </c>
      <c r="B5452" s="13" t="s">
        <v>38</v>
      </c>
      <c r="C5452" s="20" t="s">
        <v>8905</v>
      </c>
      <c r="D5452" s="19">
        <v>12618</v>
      </c>
      <c r="E5452" s="13" t="s">
        <v>11253</v>
      </c>
      <c r="F5452" s="14">
        <v>41518</v>
      </c>
      <c r="H5452" s="13" t="s">
        <v>651</v>
      </c>
      <c r="I5452" s="18">
        <v>1410.75</v>
      </c>
      <c r="J5452" s="18">
        <v>1410.75</v>
      </c>
      <c r="K5452" s="20" t="s">
        <v>8905</v>
      </c>
    </row>
    <row r="5453" spans="1:13" ht="25.5" x14ac:dyDescent="0.25">
      <c r="A5453" s="13" t="s">
        <v>11254</v>
      </c>
      <c r="B5453" s="13" t="s">
        <v>10195</v>
      </c>
      <c r="C5453" s="20" t="s">
        <v>8905</v>
      </c>
      <c r="D5453" s="19">
        <v>12643</v>
      </c>
      <c r="E5453" s="13" t="s">
        <v>11255</v>
      </c>
      <c r="F5453" s="14">
        <v>41470</v>
      </c>
      <c r="H5453" s="13" t="s">
        <v>651</v>
      </c>
      <c r="I5453" s="18">
        <v>5000</v>
      </c>
      <c r="J5453" s="18">
        <v>5000</v>
      </c>
      <c r="K5453" s="20" t="s">
        <v>8905</v>
      </c>
    </row>
    <row r="5454" spans="1:13" s="4" customFormat="1" ht="25.5" x14ac:dyDescent="0.25">
      <c r="A5454" s="4" t="s">
        <v>8353</v>
      </c>
      <c r="B5454" s="4" t="s">
        <v>13</v>
      </c>
      <c r="C5454" s="37" t="s">
        <v>8905</v>
      </c>
      <c r="D5454" s="35">
        <v>9472</v>
      </c>
      <c r="E5454" s="4" t="s">
        <v>9237</v>
      </c>
      <c r="F5454" s="5">
        <v>40060</v>
      </c>
      <c r="G5454" s="5">
        <v>40532</v>
      </c>
      <c r="H5454" s="4" t="s">
        <v>2027</v>
      </c>
      <c r="I5454" s="6">
        <v>200000</v>
      </c>
      <c r="J5454" s="6">
        <v>73791.600000000006</v>
      </c>
      <c r="K5454" s="37" t="s">
        <v>8905</v>
      </c>
      <c r="L5454" s="119"/>
      <c r="M5454" s="3"/>
    </row>
    <row r="5455" spans="1:13" s="4" customFormat="1" ht="25.5" x14ac:dyDescent="0.25">
      <c r="A5455" s="4" t="s">
        <v>9238</v>
      </c>
      <c r="B5455" s="4" t="s">
        <v>13</v>
      </c>
      <c r="C5455" s="37" t="s">
        <v>8905</v>
      </c>
      <c r="D5455" s="35">
        <v>9482</v>
      </c>
      <c r="E5455" s="4" t="s">
        <v>9239</v>
      </c>
      <c r="F5455" s="5">
        <v>40052</v>
      </c>
      <c r="G5455" s="5">
        <v>40505</v>
      </c>
      <c r="H5455" s="4" t="s">
        <v>2027</v>
      </c>
      <c r="I5455" s="6">
        <v>44951.92</v>
      </c>
      <c r="J5455" s="6">
        <v>13640</v>
      </c>
      <c r="K5455" s="37" t="s">
        <v>8905</v>
      </c>
      <c r="L5455" s="119"/>
      <c r="M5455" s="3"/>
    </row>
    <row r="5456" spans="1:13" s="4" customFormat="1" ht="25.5" x14ac:dyDescent="0.25">
      <c r="C5456" s="37" t="s">
        <v>8905</v>
      </c>
      <c r="D5456" s="35"/>
      <c r="E5456" s="26" t="s">
        <v>351</v>
      </c>
      <c r="F5456" s="28"/>
      <c r="G5456" s="28"/>
      <c r="H5456" s="26"/>
      <c r="I5456" s="27">
        <f>SUM(I5274:I5283)</f>
        <v>498179.32000000007</v>
      </c>
      <c r="J5456" s="27">
        <f>SUM(J5274:J5283)</f>
        <v>137623.09</v>
      </c>
      <c r="K5456" s="37" t="s">
        <v>8905</v>
      </c>
      <c r="L5456" s="119"/>
      <c r="M5456" s="3"/>
    </row>
    <row r="5457" spans="1:13" s="4" customFormat="1" ht="25.5" x14ac:dyDescent="0.25">
      <c r="C5457" s="37" t="s">
        <v>8905</v>
      </c>
      <c r="D5457" s="35"/>
      <c r="E5457" s="26" t="s">
        <v>786</v>
      </c>
      <c r="F5457" s="28"/>
      <c r="G5457" s="28"/>
      <c r="H5457" s="26"/>
      <c r="I5457" s="27">
        <f>SUM(I5284:I5287)</f>
        <v>953047.11</v>
      </c>
      <c r="J5457" s="27">
        <f>SUM(J5284:J5287)</f>
        <v>321324.93</v>
      </c>
      <c r="K5457" s="37" t="s">
        <v>8905</v>
      </c>
      <c r="L5457" s="119"/>
      <c r="M5457" s="3"/>
    </row>
    <row r="5458" spans="1:13" s="4" customFormat="1" ht="25.5" x14ac:dyDescent="0.25">
      <c r="C5458" s="37" t="s">
        <v>8905</v>
      </c>
      <c r="D5458" s="35"/>
      <c r="E5458" s="26" t="s">
        <v>352</v>
      </c>
      <c r="F5458" s="28"/>
      <c r="G5458" s="28"/>
      <c r="H5458" s="26"/>
      <c r="I5458" s="27">
        <f>SUM(I5288:I5453)</f>
        <v>3547947.07</v>
      </c>
      <c r="J5458" s="27">
        <f>SUM(J5288:J5453)</f>
        <v>2814145.8899999997</v>
      </c>
      <c r="K5458" s="37" t="s">
        <v>8905</v>
      </c>
      <c r="L5458" s="119"/>
      <c r="M5458" s="3"/>
    </row>
    <row r="5459" spans="1:13" s="4" customFormat="1" ht="25.5" x14ac:dyDescent="0.25">
      <c r="C5459" s="37" t="s">
        <v>8905</v>
      </c>
      <c r="D5459" s="35"/>
      <c r="E5459" s="26" t="s">
        <v>2028</v>
      </c>
      <c r="F5459" s="28"/>
      <c r="G5459" s="28"/>
      <c r="H5459" s="26"/>
      <c r="I5459" s="27">
        <f>SUM(I5454:I5455)</f>
        <v>244951.91999999998</v>
      </c>
      <c r="J5459" s="27">
        <f>SUM(J5454:J5455)</f>
        <v>87431.6</v>
      </c>
      <c r="K5459" s="37" t="s">
        <v>8905</v>
      </c>
      <c r="L5459" s="119"/>
      <c r="M5459" s="3"/>
    </row>
    <row r="5460" spans="1:13" s="4" customFormat="1" ht="25.5" x14ac:dyDescent="0.25">
      <c r="C5460" s="37" t="s">
        <v>8905</v>
      </c>
      <c r="D5460" s="35"/>
      <c r="E5460" s="26" t="s">
        <v>9240</v>
      </c>
      <c r="F5460" s="28"/>
      <c r="G5460" s="28"/>
      <c r="H5460" s="26"/>
      <c r="I5460" s="27">
        <f>SUM(I5456:I5459)</f>
        <v>5244125.42</v>
      </c>
      <c r="J5460" s="27">
        <f>SUM(J5456:J5459)</f>
        <v>3360525.51</v>
      </c>
      <c r="K5460" s="37" t="s">
        <v>8905</v>
      </c>
      <c r="L5460" s="119">
        <f>J5460</f>
        <v>3360525.51</v>
      </c>
      <c r="M5460" s="3">
        <f>SUM(J5460*0.4)</f>
        <v>1344210.2039999999</v>
      </c>
    </row>
    <row r="5461" spans="1:13" s="4" customFormat="1" x14ac:dyDescent="0.25">
      <c r="C5461" s="37"/>
      <c r="D5461" s="35"/>
      <c r="F5461" s="5"/>
      <c r="G5461" s="5"/>
      <c r="I5461" s="6"/>
      <c r="J5461" s="6"/>
      <c r="K5461" s="37"/>
      <c r="L5461" s="119"/>
      <c r="M5461" s="3"/>
    </row>
    <row r="5462" spans="1:13" s="4" customFormat="1" ht="38.25" x14ac:dyDescent="0.25">
      <c r="A5462" s="4" t="s">
        <v>9241</v>
      </c>
      <c r="B5462" s="4" t="s">
        <v>13</v>
      </c>
      <c r="C5462" s="37" t="s">
        <v>9243</v>
      </c>
      <c r="D5462" s="35">
        <v>3810</v>
      </c>
      <c r="E5462" s="4" t="s">
        <v>9242</v>
      </c>
      <c r="F5462" s="5">
        <v>39545</v>
      </c>
      <c r="G5462" s="5">
        <v>39596</v>
      </c>
      <c r="H5462" s="4" t="s">
        <v>16</v>
      </c>
      <c r="I5462" s="6">
        <v>8650.2199999999993</v>
      </c>
      <c r="J5462" s="6">
        <v>2548</v>
      </c>
      <c r="K5462" s="37" t="s">
        <v>9243</v>
      </c>
      <c r="L5462" s="119"/>
      <c r="M5462" s="3"/>
    </row>
    <row r="5463" spans="1:13" s="4" customFormat="1" x14ac:dyDescent="0.25">
      <c r="A5463" s="4" t="s">
        <v>9244</v>
      </c>
      <c r="B5463" s="4" t="s">
        <v>13</v>
      </c>
      <c r="C5463" s="37" t="s">
        <v>9243</v>
      </c>
      <c r="D5463" s="35">
        <v>3811</v>
      </c>
      <c r="E5463" s="4" t="s">
        <v>9245</v>
      </c>
      <c r="F5463" s="5">
        <v>39477</v>
      </c>
      <c r="G5463" s="5">
        <v>39871</v>
      </c>
      <c r="H5463" s="4" t="s">
        <v>16</v>
      </c>
      <c r="I5463" s="6">
        <v>87557.41</v>
      </c>
      <c r="J5463" s="6">
        <v>26267.22</v>
      </c>
      <c r="K5463" s="37" t="s">
        <v>9243</v>
      </c>
      <c r="L5463" s="119"/>
      <c r="M5463" s="3"/>
    </row>
    <row r="5464" spans="1:13" s="4" customFormat="1" x14ac:dyDescent="0.25">
      <c r="A5464" s="4" t="s">
        <v>9246</v>
      </c>
      <c r="B5464" s="4" t="s">
        <v>13</v>
      </c>
      <c r="C5464" s="37" t="s">
        <v>9243</v>
      </c>
      <c r="D5464" s="35">
        <v>3813</v>
      </c>
      <c r="E5464" s="4" t="s">
        <v>9247</v>
      </c>
      <c r="F5464" s="5">
        <v>39793</v>
      </c>
      <c r="G5464" s="5">
        <v>39876</v>
      </c>
      <c r="H5464" s="4" t="s">
        <v>16</v>
      </c>
      <c r="I5464" s="6">
        <v>9600</v>
      </c>
      <c r="J5464" s="6">
        <v>2568</v>
      </c>
      <c r="K5464" s="37" t="s">
        <v>9243</v>
      </c>
      <c r="L5464" s="119"/>
      <c r="M5464" s="3"/>
    </row>
    <row r="5465" spans="1:13" s="4" customFormat="1" ht="25.5" x14ac:dyDescent="0.25">
      <c r="A5465" s="4" t="s">
        <v>9248</v>
      </c>
      <c r="B5465" s="4" t="s">
        <v>13</v>
      </c>
      <c r="C5465" s="37" t="s">
        <v>9243</v>
      </c>
      <c r="D5465" s="35">
        <v>3817</v>
      </c>
      <c r="E5465" s="4" t="s">
        <v>9249</v>
      </c>
      <c r="F5465" s="5">
        <v>39616</v>
      </c>
      <c r="G5465" s="5">
        <v>39812</v>
      </c>
      <c r="H5465" s="4" t="s">
        <v>16</v>
      </c>
      <c r="I5465" s="6">
        <v>17620</v>
      </c>
      <c r="J5465" s="6">
        <v>4358</v>
      </c>
      <c r="K5465" s="37" t="s">
        <v>9243</v>
      </c>
      <c r="L5465" s="119"/>
      <c r="M5465" s="3"/>
    </row>
    <row r="5466" spans="1:13" s="4" customFormat="1" ht="76.5" x14ac:dyDescent="0.25">
      <c r="A5466" s="4" t="s">
        <v>9250</v>
      </c>
      <c r="B5466" s="4" t="s">
        <v>13</v>
      </c>
      <c r="C5466" s="37" t="s">
        <v>9243</v>
      </c>
      <c r="D5466" s="35">
        <v>3819</v>
      </c>
      <c r="E5466" s="4" t="s">
        <v>9251</v>
      </c>
      <c r="F5466" s="5">
        <v>39197</v>
      </c>
      <c r="G5466" s="5">
        <v>39526</v>
      </c>
      <c r="H5466" s="4" t="s">
        <v>16</v>
      </c>
      <c r="I5466" s="6">
        <v>212529</v>
      </c>
      <c r="J5466" s="6">
        <v>60316</v>
      </c>
      <c r="K5466" s="37" t="s">
        <v>9243</v>
      </c>
      <c r="L5466" s="119"/>
      <c r="M5466" s="3"/>
    </row>
    <row r="5467" spans="1:13" s="4" customFormat="1" x14ac:dyDescent="0.25">
      <c r="A5467" s="4" t="s">
        <v>9252</v>
      </c>
      <c r="B5467" s="4" t="s">
        <v>13</v>
      </c>
      <c r="C5467" s="37" t="s">
        <v>9243</v>
      </c>
      <c r="D5467" s="35">
        <v>3820</v>
      </c>
      <c r="E5467" s="4" t="s">
        <v>9253</v>
      </c>
      <c r="F5467" s="5">
        <v>39709</v>
      </c>
      <c r="G5467" s="5">
        <v>39797</v>
      </c>
      <c r="H5467" s="4" t="s">
        <v>16</v>
      </c>
      <c r="I5467" s="6">
        <v>101002.5</v>
      </c>
      <c r="J5467" s="6">
        <v>27176</v>
      </c>
      <c r="K5467" s="37" t="s">
        <v>9243</v>
      </c>
      <c r="L5467" s="119"/>
      <c r="M5467" s="3"/>
    </row>
    <row r="5468" spans="1:13" s="4" customFormat="1" ht="25.5" x14ac:dyDescent="0.25">
      <c r="A5468" s="4" t="s">
        <v>9254</v>
      </c>
      <c r="B5468" s="4" t="s">
        <v>13</v>
      </c>
      <c r="C5468" s="37" t="s">
        <v>9243</v>
      </c>
      <c r="D5468" s="35">
        <v>3822</v>
      </c>
      <c r="E5468" s="4" t="s">
        <v>9255</v>
      </c>
      <c r="F5468" s="5">
        <v>39562</v>
      </c>
      <c r="G5468" s="5">
        <v>39689</v>
      </c>
      <c r="H5468" s="4" t="s">
        <v>16</v>
      </c>
      <c r="I5468" s="6">
        <v>6321</v>
      </c>
      <c r="J5468" s="6">
        <v>1896</v>
      </c>
      <c r="K5468" s="37" t="s">
        <v>9243</v>
      </c>
      <c r="L5468" s="119"/>
      <c r="M5468" s="3"/>
    </row>
    <row r="5469" spans="1:13" s="4" customFormat="1" ht="76.5" x14ac:dyDescent="0.25">
      <c r="A5469" s="4" t="s">
        <v>9256</v>
      </c>
      <c r="B5469" s="4" t="s">
        <v>13</v>
      </c>
      <c r="C5469" s="37" t="s">
        <v>9243</v>
      </c>
      <c r="D5469" s="35">
        <v>3823</v>
      </c>
      <c r="E5469" s="7" t="s">
        <v>9257</v>
      </c>
      <c r="F5469" s="5">
        <v>39171</v>
      </c>
      <c r="G5469" s="5">
        <v>39293</v>
      </c>
      <c r="H5469" s="4" t="s">
        <v>16</v>
      </c>
      <c r="I5469" s="6">
        <v>156599.04999999999</v>
      </c>
      <c r="J5469" s="6">
        <v>46397</v>
      </c>
      <c r="K5469" s="37" t="s">
        <v>9243</v>
      </c>
      <c r="L5469" s="119"/>
      <c r="M5469" s="3"/>
    </row>
    <row r="5470" spans="1:13" s="4" customFormat="1" ht="25.5" x14ac:dyDescent="0.25">
      <c r="A5470" s="4" t="s">
        <v>9258</v>
      </c>
      <c r="B5470" s="4" t="s">
        <v>13</v>
      </c>
      <c r="C5470" s="37" t="s">
        <v>9243</v>
      </c>
      <c r="D5470" s="35">
        <v>3825</v>
      </c>
      <c r="E5470" s="4" t="s">
        <v>9259</v>
      </c>
      <c r="F5470" s="5">
        <v>39183</v>
      </c>
      <c r="G5470" s="5">
        <v>39538</v>
      </c>
      <c r="H5470" s="4" t="s">
        <v>16</v>
      </c>
      <c r="I5470" s="6">
        <v>243225.26</v>
      </c>
      <c r="J5470" s="6">
        <v>57447</v>
      </c>
      <c r="K5470" s="37" t="s">
        <v>9243</v>
      </c>
      <c r="L5470" s="119"/>
      <c r="M5470" s="3"/>
    </row>
    <row r="5471" spans="1:13" s="4" customFormat="1" x14ac:dyDescent="0.25">
      <c r="A5471" s="4" t="s">
        <v>9260</v>
      </c>
      <c r="B5471" s="4" t="s">
        <v>13</v>
      </c>
      <c r="C5471" s="37" t="s">
        <v>9243</v>
      </c>
      <c r="D5471" s="35">
        <v>3827</v>
      </c>
      <c r="E5471" s="4" t="s">
        <v>7949</v>
      </c>
      <c r="F5471" s="5">
        <v>39825</v>
      </c>
      <c r="G5471" s="5">
        <v>40162</v>
      </c>
      <c r="H5471" s="4" t="s">
        <v>16</v>
      </c>
      <c r="I5471" s="6">
        <v>104500.79</v>
      </c>
      <c r="J5471" s="6">
        <v>30000</v>
      </c>
      <c r="K5471" s="37" t="s">
        <v>9243</v>
      </c>
      <c r="L5471" s="119"/>
      <c r="M5471" s="3"/>
    </row>
    <row r="5472" spans="1:13" s="4" customFormat="1" x14ac:dyDescent="0.25">
      <c r="A5472" s="4" t="s">
        <v>9261</v>
      </c>
      <c r="B5472" s="4" t="s">
        <v>13</v>
      </c>
      <c r="C5472" s="37" t="s">
        <v>9243</v>
      </c>
      <c r="D5472" s="35">
        <v>3830</v>
      </c>
      <c r="E5472" s="4" t="s">
        <v>9262</v>
      </c>
      <c r="F5472" s="5">
        <v>39545</v>
      </c>
      <c r="G5472" s="5">
        <v>39752</v>
      </c>
      <c r="H5472" s="4" t="s">
        <v>16</v>
      </c>
      <c r="I5472" s="6">
        <v>18600</v>
      </c>
      <c r="J5472" s="6">
        <v>4875</v>
      </c>
      <c r="K5472" s="37" t="s">
        <v>9243</v>
      </c>
      <c r="L5472" s="119"/>
      <c r="M5472" s="3"/>
    </row>
    <row r="5473" spans="1:13" s="4" customFormat="1" ht="25.5" x14ac:dyDescent="0.25">
      <c r="A5473" s="4" t="s">
        <v>9263</v>
      </c>
      <c r="B5473" s="4" t="s">
        <v>13</v>
      </c>
      <c r="C5473" s="37" t="s">
        <v>9243</v>
      </c>
      <c r="D5473" s="35">
        <v>3836</v>
      </c>
      <c r="E5473" s="4" t="s">
        <v>9264</v>
      </c>
      <c r="F5473" s="5">
        <v>39972</v>
      </c>
      <c r="G5473" s="5">
        <v>40140</v>
      </c>
      <c r="H5473" s="4" t="s">
        <v>16</v>
      </c>
      <c r="I5473" s="6">
        <v>4680</v>
      </c>
      <c r="J5473" s="6">
        <v>1404</v>
      </c>
      <c r="K5473" s="37" t="s">
        <v>9243</v>
      </c>
      <c r="L5473" s="119"/>
      <c r="M5473" s="3"/>
    </row>
    <row r="5474" spans="1:13" s="4" customFormat="1" x14ac:dyDescent="0.25">
      <c r="A5474" s="4" t="s">
        <v>9265</v>
      </c>
      <c r="B5474" s="4" t="s">
        <v>13</v>
      </c>
      <c r="C5474" s="37" t="s">
        <v>9243</v>
      </c>
      <c r="D5474" s="35">
        <v>3838</v>
      </c>
      <c r="E5474" s="4" t="s">
        <v>9266</v>
      </c>
      <c r="F5474" s="5">
        <v>39717</v>
      </c>
      <c r="G5474" s="5">
        <v>39843</v>
      </c>
      <c r="H5474" s="4" t="s">
        <v>16</v>
      </c>
      <c r="I5474" s="6">
        <v>11375</v>
      </c>
      <c r="J5474" s="6">
        <v>3412.5</v>
      </c>
      <c r="K5474" s="37" t="s">
        <v>9243</v>
      </c>
      <c r="L5474" s="119"/>
      <c r="M5474" s="3"/>
    </row>
    <row r="5475" spans="1:13" s="4" customFormat="1" ht="63.75" x14ac:dyDescent="0.25">
      <c r="A5475" s="4" t="s">
        <v>9267</v>
      </c>
      <c r="B5475" s="4" t="s">
        <v>13</v>
      </c>
      <c r="C5475" s="37" t="s">
        <v>9243</v>
      </c>
      <c r="D5475" s="35">
        <v>3839</v>
      </c>
      <c r="E5475" s="4" t="s">
        <v>9268</v>
      </c>
      <c r="F5475" s="5">
        <v>39521</v>
      </c>
      <c r="G5475" s="5">
        <v>39660</v>
      </c>
      <c r="H5475" s="4" t="s">
        <v>16</v>
      </c>
      <c r="I5475" s="6">
        <v>302452</v>
      </c>
      <c r="J5475" s="6">
        <v>84000</v>
      </c>
      <c r="K5475" s="37" t="s">
        <v>9243</v>
      </c>
      <c r="L5475" s="119"/>
      <c r="M5475" s="3"/>
    </row>
    <row r="5476" spans="1:13" s="4" customFormat="1" x14ac:dyDescent="0.25">
      <c r="A5476" s="4" t="s">
        <v>9269</v>
      </c>
      <c r="B5476" s="4" t="s">
        <v>13</v>
      </c>
      <c r="C5476" s="37" t="s">
        <v>9243</v>
      </c>
      <c r="D5476" s="35">
        <v>3840</v>
      </c>
      <c r="E5476" s="4" t="s">
        <v>9270</v>
      </c>
      <c r="F5476" s="5">
        <v>39406</v>
      </c>
      <c r="G5476" s="5">
        <v>39721</v>
      </c>
      <c r="H5476" s="4" t="s">
        <v>16</v>
      </c>
      <c r="I5476" s="6">
        <v>10300</v>
      </c>
      <c r="J5476" s="6">
        <v>3090</v>
      </c>
      <c r="K5476" s="37" t="s">
        <v>9243</v>
      </c>
      <c r="L5476" s="119"/>
      <c r="M5476" s="3"/>
    </row>
    <row r="5477" spans="1:13" s="4" customFormat="1" ht="38.25" x14ac:dyDescent="0.25">
      <c r="A5477" s="4" t="s">
        <v>9271</v>
      </c>
      <c r="B5477" s="4" t="s">
        <v>13</v>
      </c>
      <c r="C5477" s="37" t="s">
        <v>9243</v>
      </c>
      <c r="D5477" s="35">
        <v>3842</v>
      </c>
      <c r="E5477" s="4" t="s">
        <v>9272</v>
      </c>
      <c r="F5477" s="5">
        <v>39736</v>
      </c>
      <c r="G5477" s="5">
        <v>39994</v>
      </c>
      <c r="H5477" s="4" t="s">
        <v>16</v>
      </c>
      <c r="I5477" s="6">
        <v>145970.44</v>
      </c>
      <c r="J5477" s="6">
        <v>43791.13</v>
      </c>
      <c r="K5477" s="37" t="s">
        <v>9243</v>
      </c>
      <c r="L5477" s="119"/>
      <c r="M5477" s="3"/>
    </row>
    <row r="5478" spans="1:13" s="4" customFormat="1" x14ac:dyDescent="0.25">
      <c r="A5478" s="4" t="s">
        <v>9273</v>
      </c>
      <c r="B5478" s="4" t="s">
        <v>13</v>
      </c>
      <c r="C5478" s="37" t="s">
        <v>9243</v>
      </c>
      <c r="D5478" s="35">
        <v>3843</v>
      </c>
      <c r="E5478" s="4" t="s">
        <v>11759</v>
      </c>
      <c r="F5478" s="5">
        <v>39549</v>
      </c>
      <c r="G5478" s="5">
        <v>39797</v>
      </c>
      <c r="H5478" s="4" t="s">
        <v>16</v>
      </c>
      <c r="I5478" s="6">
        <v>225000</v>
      </c>
      <c r="J5478" s="6">
        <v>67500</v>
      </c>
      <c r="K5478" s="37" t="s">
        <v>9243</v>
      </c>
      <c r="L5478" s="119"/>
      <c r="M5478" s="3"/>
    </row>
    <row r="5479" spans="1:13" s="4" customFormat="1" ht="51" x14ac:dyDescent="0.25">
      <c r="A5479" s="4" t="s">
        <v>9275</v>
      </c>
      <c r="B5479" s="4" t="s">
        <v>13</v>
      </c>
      <c r="C5479" s="37" t="s">
        <v>9243</v>
      </c>
      <c r="D5479" s="35">
        <v>3847</v>
      </c>
      <c r="E5479" s="4" t="s">
        <v>9276</v>
      </c>
      <c r="F5479" s="5">
        <v>39415</v>
      </c>
      <c r="G5479" s="5">
        <v>39538</v>
      </c>
      <c r="H5479" s="4" t="s">
        <v>16</v>
      </c>
      <c r="I5479" s="6">
        <v>14000</v>
      </c>
      <c r="J5479" s="6">
        <v>4200</v>
      </c>
      <c r="K5479" s="37" t="s">
        <v>9243</v>
      </c>
      <c r="L5479" s="119"/>
      <c r="M5479" s="3"/>
    </row>
    <row r="5480" spans="1:13" s="4" customFormat="1" ht="38.25" x14ac:dyDescent="0.25">
      <c r="A5480" s="4" t="s">
        <v>9277</v>
      </c>
      <c r="B5480" s="4" t="s">
        <v>13</v>
      </c>
      <c r="C5480" s="37" t="s">
        <v>9243</v>
      </c>
      <c r="D5480" s="35">
        <v>3852</v>
      </c>
      <c r="E5480" s="4" t="s">
        <v>9278</v>
      </c>
      <c r="F5480" s="5">
        <v>39792</v>
      </c>
      <c r="G5480" s="5">
        <v>39933</v>
      </c>
      <c r="H5480" s="4" t="s">
        <v>16</v>
      </c>
      <c r="I5480" s="6">
        <v>12246</v>
      </c>
      <c r="J5480" s="6">
        <v>3674</v>
      </c>
      <c r="K5480" s="37" t="s">
        <v>9243</v>
      </c>
      <c r="L5480" s="119"/>
      <c r="M5480" s="3"/>
    </row>
    <row r="5481" spans="1:13" s="4" customFormat="1" x14ac:dyDescent="0.25">
      <c r="A5481" s="4" t="s">
        <v>9279</v>
      </c>
      <c r="B5481" s="4" t="s">
        <v>13</v>
      </c>
      <c r="C5481" s="37" t="s">
        <v>9243</v>
      </c>
      <c r="D5481" s="35">
        <v>3855</v>
      </c>
      <c r="E5481" s="4" t="s">
        <v>9280</v>
      </c>
      <c r="F5481" s="5">
        <v>39477</v>
      </c>
      <c r="G5481" s="5">
        <v>39962</v>
      </c>
      <c r="H5481" s="4" t="s">
        <v>16</v>
      </c>
      <c r="I5481" s="6">
        <v>62153.25</v>
      </c>
      <c r="J5481" s="6">
        <v>16500</v>
      </c>
      <c r="K5481" s="37" t="s">
        <v>9243</v>
      </c>
      <c r="L5481" s="119"/>
      <c r="M5481" s="3"/>
    </row>
    <row r="5482" spans="1:13" s="4" customFormat="1" ht="38.25" x14ac:dyDescent="0.25">
      <c r="A5482" s="4" t="s">
        <v>9281</v>
      </c>
      <c r="B5482" s="4" t="s">
        <v>13</v>
      </c>
      <c r="C5482" s="37" t="s">
        <v>9243</v>
      </c>
      <c r="D5482" s="35">
        <v>3856</v>
      </c>
      <c r="E5482" s="4" t="s">
        <v>9282</v>
      </c>
      <c r="F5482" s="5">
        <v>39330</v>
      </c>
      <c r="G5482" s="5">
        <v>39538</v>
      </c>
      <c r="H5482" s="4" t="s">
        <v>16</v>
      </c>
      <c r="I5482" s="6">
        <v>5900</v>
      </c>
      <c r="J5482" s="6">
        <v>2360</v>
      </c>
      <c r="K5482" s="37" t="s">
        <v>9243</v>
      </c>
      <c r="L5482" s="119"/>
      <c r="M5482" s="3"/>
    </row>
    <row r="5483" spans="1:13" s="4" customFormat="1" ht="63.75" x14ac:dyDescent="0.25">
      <c r="A5483" s="4" t="s">
        <v>9283</v>
      </c>
      <c r="B5483" s="4" t="s">
        <v>13</v>
      </c>
      <c r="C5483" s="37" t="s">
        <v>9243</v>
      </c>
      <c r="D5483" s="35">
        <v>3857</v>
      </c>
      <c r="E5483" s="4" t="s">
        <v>9284</v>
      </c>
      <c r="F5483" s="5">
        <v>39275</v>
      </c>
      <c r="G5483" s="5">
        <v>39386</v>
      </c>
      <c r="H5483" s="4" t="s">
        <v>16</v>
      </c>
      <c r="I5483" s="6">
        <v>1875</v>
      </c>
      <c r="J5483" s="6">
        <v>750</v>
      </c>
      <c r="K5483" s="37" t="s">
        <v>9243</v>
      </c>
      <c r="L5483" s="119"/>
      <c r="M5483" s="3"/>
    </row>
    <row r="5484" spans="1:13" s="4" customFormat="1" ht="25.5" x14ac:dyDescent="0.25">
      <c r="A5484" s="4" t="s">
        <v>9283</v>
      </c>
      <c r="B5484" s="4" t="s">
        <v>13</v>
      </c>
      <c r="C5484" s="37" t="s">
        <v>9243</v>
      </c>
      <c r="D5484" s="35">
        <v>3859</v>
      </c>
      <c r="E5484" s="4" t="s">
        <v>9285</v>
      </c>
      <c r="F5484" s="5">
        <v>39477</v>
      </c>
      <c r="G5484" s="5">
        <v>39962</v>
      </c>
      <c r="H5484" s="4" t="s">
        <v>16</v>
      </c>
      <c r="I5484" s="6">
        <v>57300</v>
      </c>
      <c r="J5484" s="6">
        <v>8316</v>
      </c>
      <c r="K5484" s="37" t="s">
        <v>9243</v>
      </c>
      <c r="L5484" s="119"/>
      <c r="M5484" s="3"/>
    </row>
    <row r="5485" spans="1:13" s="4" customFormat="1" ht="38.25" x14ac:dyDescent="0.25">
      <c r="A5485" s="4" t="s">
        <v>9286</v>
      </c>
      <c r="B5485" s="4" t="s">
        <v>13</v>
      </c>
      <c r="C5485" s="37" t="s">
        <v>9243</v>
      </c>
      <c r="D5485" s="35">
        <v>3860</v>
      </c>
      <c r="E5485" s="4" t="s">
        <v>9287</v>
      </c>
      <c r="F5485" s="5">
        <v>39972</v>
      </c>
      <c r="G5485" s="5">
        <v>40221</v>
      </c>
      <c r="H5485" s="4" t="s">
        <v>16</v>
      </c>
      <c r="I5485" s="6">
        <v>13439.65</v>
      </c>
      <c r="J5485" s="6">
        <v>4032</v>
      </c>
      <c r="K5485" s="37" t="s">
        <v>9243</v>
      </c>
      <c r="L5485" s="119"/>
      <c r="M5485" s="3"/>
    </row>
    <row r="5486" spans="1:13" s="4" customFormat="1" x14ac:dyDescent="0.25">
      <c r="A5486" s="4" t="s">
        <v>9267</v>
      </c>
      <c r="B5486" s="4" t="s">
        <v>13</v>
      </c>
      <c r="C5486" s="37" t="s">
        <v>9243</v>
      </c>
      <c r="D5486" s="35">
        <v>3861</v>
      </c>
      <c r="E5486" s="4" t="s">
        <v>9288</v>
      </c>
      <c r="F5486" s="5">
        <v>39770</v>
      </c>
      <c r="G5486" s="5">
        <v>40025</v>
      </c>
      <c r="H5486" s="4" t="s">
        <v>16</v>
      </c>
      <c r="I5486" s="6">
        <v>39248</v>
      </c>
      <c r="J5486" s="6">
        <v>11774.4</v>
      </c>
      <c r="K5486" s="37" t="s">
        <v>9243</v>
      </c>
      <c r="L5486" s="119"/>
      <c r="M5486" s="3"/>
    </row>
    <row r="5487" spans="1:13" s="4" customFormat="1" ht="51" x14ac:dyDescent="0.25">
      <c r="A5487" s="4" t="s">
        <v>9289</v>
      </c>
      <c r="B5487" s="4" t="s">
        <v>13</v>
      </c>
      <c r="C5487" s="37" t="s">
        <v>9243</v>
      </c>
      <c r="D5487" s="35">
        <v>3863</v>
      </c>
      <c r="E5487" s="4" t="s">
        <v>9290</v>
      </c>
      <c r="F5487" s="5">
        <v>39477</v>
      </c>
      <c r="G5487" s="5">
        <v>39805</v>
      </c>
      <c r="H5487" s="4" t="s">
        <v>16</v>
      </c>
      <c r="I5487" s="6">
        <v>15800</v>
      </c>
      <c r="J5487" s="6">
        <v>4740</v>
      </c>
      <c r="K5487" s="37" t="s">
        <v>9243</v>
      </c>
      <c r="L5487" s="119"/>
      <c r="M5487" s="3"/>
    </row>
    <row r="5488" spans="1:13" s="4" customFormat="1" ht="76.5" x14ac:dyDescent="0.25">
      <c r="A5488" s="4" t="s">
        <v>9283</v>
      </c>
      <c r="B5488" s="4" t="s">
        <v>13</v>
      </c>
      <c r="C5488" s="37" t="s">
        <v>9243</v>
      </c>
      <c r="D5488" s="35">
        <v>4131</v>
      </c>
      <c r="E5488" s="4" t="s">
        <v>9291</v>
      </c>
      <c r="F5488" s="5">
        <v>39314</v>
      </c>
      <c r="G5488" s="5">
        <v>39342</v>
      </c>
      <c r="H5488" s="4" t="s">
        <v>16</v>
      </c>
      <c r="I5488" s="6">
        <v>4500</v>
      </c>
      <c r="J5488" s="6">
        <v>1800</v>
      </c>
      <c r="K5488" s="37" t="s">
        <v>9243</v>
      </c>
      <c r="L5488" s="119"/>
      <c r="M5488" s="3"/>
    </row>
    <row r="5489" spans="1:13" s="4" customFormat="1" x14ac:dyDescent="0.25">
      <c r="A5489" s="4" t="s">
        <v>9248</v>
      </c>
      <c r="B5489" s="4" t="s">
        <v>13</v>
      </c>
      <c r="C5489" s="37" t="s">
        <v>9243</v>
      </c>
      <c r="D5489" s="35">
        <v>4132</v>
      </c>
      <c r="E5489" s="4" t="s">
        <v>9292</v>
      </c>
      <c r="F5489" s="5">
        <v>39415</v>
      </c>
      <c r="G5489" s="5">
        <v>40087</v>
      </c>
      <c r="H5489" s="4" t="s">
        <v>16</v>
      </c>
      <c r="I5489" s="6">
        <v>23408</v>
      </c>
      <c r="J5489" s="6">
        <v>13800</v>
      </c>
      <c r="K5489" s="37" t="s">
        <v>9243</v>
      </c>
      <c r="L5489" s="119"/>
      <c r="M5489" s="3"/>
    </row>
    <row r="5490" spans="1:13" s="4" customFormat="1" ht="51" x14ac:dyDescent="0.25">
      <c r="A5490" s="4" t="s">
        <v>9293</v>
      </c>
      <c r="B5490" s="4" t="s">
        <v>13</v>
      </c>
      <c r="C5490" s="37" t="s">
        <v>9243</v>
      </c>
      <c r="D5490" s="35">
        <v>4133</v>
      </c>
      <c r="E5490" s="4" t="s">
        <v>9294</v>
      </c>
      <c r="F5490" s="5">
        <v>39629</v>
      </c>
      <c r="G5490" s="5">
        <v>40618</v>
      </c>
      <c r="H5490" s="4" t="s">
        <v>16</v>
      </c>
      <c r="I5490" s="6">
        <v>111251.19</v>
      </c>
      <c r="J5490" s="6">
        <v>33375.360000000001</v>
      </c>
      <c r="K5490" s="37" t="s">
        <v>9243</v>
      </c>
      <c r="L5490" s="119"/>
      <c r="M5490" s="3"/>
    </row>
    <row r="5491" spans="1:13" s="4" customFormat="1" x14ac:dyDescent="0.25">
      <c r="A5491" s="4" t="s">
        <v>9295</v>
      </c>
      <c r="B5491" s="4" t="s">
        <v>13</v>
      </c>
      <c r="C5491" s="37" t="s">
        <v>9243</v>
      </c>
      <c r="D5491" s="35">
        <v>9452</v>
      </c>
      <c r="E5491" s="4" t="s">
        <v>9296</v>
      </c>
      <c r="F5491" s="5">
        <v>40039</v>
      </c>
      <c r="G5491" s="5">
        <v>40177</v>
      </c>
      <c r="H5491" s="4" t="s">
        <v>16</v>
      </c>
      <c r="I5491" s="6">
        <v>77358.649999999994</v>
      </c>
      <c r="J5491" s="6">
        <v>21900</v>
      </c>
      <c r="K5491" s="37" t="s">
        <v>9243</v>
      </c>
      <c r="L5491" s="119"/>
      <c r="M5491" s="3"/>
    </row>
    <row r="5492" spans="1:13" s="4" customFormat="1" ht="25.5" x14ac:dyDescent="0.25">
      <c r="A5492" s="4" t="s">
        <v>9297</v>
      </c>
      <c r="B5492" s="4" t="s">
        <v>13</v>
      </c>
      <c r="C5492" s="37" t="s">
        <v>9243</v>
      </c>
      <c r="D5492" s="35">
        <v>9883</v>
      </c>
      <c r="E5492" s="4" t="s">
        <v>9298</v>
      </c>
      <c r="F5492" s="5">
        <v>40318</v>
      </c>
      <c r="G5492" s="5">
        <v>40364</v>
      </c>
      <c r="H5492" s="4" t="s">
        <v>16</v>
      </c>
      <c r="I5492" s="6">
        <v>31900</v>
      </c>
      <c r="J5492" s="6">
        <v>9306</v>
      </c>
      <c r="K5492" s="37" t="s">
        <v>9243</v>
      </c>
      <c r="L5492" s="119"/>
      <c r="M5492" s="3"/>
    </row>
    <row r="5493" spans="1:13" s="4" customFormat="1" x14ac:dyDescent="0.25">
      <c r="A5493" s="4" t="s">
        <v>9299</v>
      </c>
      <c r="B5493" s="4" t="s">
        <v>13</v>
      </c>
      <c r="C5493" s="37" t="s">
        <v>9243</v>
      </c>
      <c r="D5493" s="35">
        <v>9938</v>
      </c>
      <c r="E5493" s="4" t="s">
        <v>9300</v>
      </c>
      <c r="F5493" s="5">
        <v>40046</v>
      </c>
      <c r="G5493" s="5">
        <v>40452</v>
      </c>
      <c r="H5493" s="4" t="s">
        <v>16</v>
      </c>
      <c r="I5493" s="6">
        <v>9964</v>
      </c>
      <c r="J5493" s="6">
        <v>2989.2</v>
      </c>
      <c r="K5493" s="37" t="s">
        <v>9243</v>
      </c>
      <c r="L5493" s="119"/>
      <c r="M5493" s="3"/>
    </row>
    <row r="5494" spans="1:13" s="4" customFormat="1" x14ac:dyDescent="0.25">
      <c r="A5494" s="4" t="s">
        <v>9301</v>
      </c>
      <c r="B5494" s="4" t="s">
        <v>13</v>
      </c>
      <c r="C5494" s="37" t="s">
        <v>9243</v>
      </c>
      <c r="D5494" s="35">
        <v>9988</v>
      </c>
      <c r="E5494" s="4" t="s">
        <v>9302</v>
      </c>
      <c r="F5494" s="5">
        <v>40240</v>
      </c>
      <c r="G5494" s="5">
        <v>40532</v>
      </c>
      <c r="H5494" s="4" t="s">
        <v>16</v>
      </c>
      <c r="I5494" s="6">
        <v>16236.07</v>
      </c>
      <c r="J5494" s="6">
        <v>4870.83</v>
      </c>
      <c r="K5494" s="37" t="s">
        <v>9243</v>
      </c>
      <c r="L5494" s="119"/>
      <c r="M5494" s="3"/>
    </row>
    <row r="5495" spans="1:13" s="4" customFormat="1" ht="63.75" x14ac:dyDescent="0.25">
      <c r="A5495" s="4" t="s">
        <v>9303</v>
      </c>
      <c r="B5495" s="4" t="s">
        <v>13</v>
      </c>
      <c r="C5495" s="37" t="s">
        <v>9243</v>
      </c>
      <c r="D5495" s="35">
        <v>10177</v>
      </c>
      <c r="E5495" s="4" t="s">
        <v>9304</v>
      </c>
      <c r="F5495" s="5">
        <v>40849</v>
      </c>
      <c r="G5495" s="5">
        <v>40897</v>
      </c>
      <c r="H5495" s="4" t="s">
        <v>392</v>
      </c>
      <c r="I5495" s="6">
        <v>107693</v>
      </c>
      <c r="J5495" s="6">
        <v>37693</v>
      </c>
      <c r="K5495" s="37" t="s">
        <v>9243</v>
      </c>
      <c r="L5495" s="119"/>
      <c r="M5495" s="3"/>
    </row>
    <row r="5496" spans="1:13" s="4" customFormat="1" ht="76.5" x14ac:dyDescent="0.25">
      <c r="A5496" s="4" t="s">
        <v>9305</v>
      </c>
      <c r="B5496" s="4" t="s">
        <v>38</v>
      </c>
      <c r="C5496" s="37" t="s">
        <v>9243</v>
      </c>
      <c r="D5496" s="35">
        <v>886</v>
      </c>
      <c r="E5496" s="4" t="s">
        <v>9306</v>
      </c>
      <c r="F5496" s="5">
        <v>39304</v>
      </c>
      <c r="G5496" s="5">
        <v>41639</v>
      </c>
      <c r="H5496" s="4" t="s">
        <v>40</v>
      </c>
      <c r="I5496" s="6">
        <f>56608.41+13050.23</f>
        <v>69658.64</v>
      </c>
      <c r="J5496" s="6">
        <f>56608.41+13050.23</f>
        <v>69658.64</v>
      </c>
      <c r="K5496" s="37" t="s">
        <v>9243</v>
      </c>
      <c r="L5496" s="119"/>
      <c r="M5496" s="3"/>
    </row>
    <row r="5497" spans="1:13" s="4" customFormat="1" ht="25.5" x14ac:dyDescent="0.25">
      <c r="A5497" s="4" t="s">
        <v>9307</v>
      </c>
      <c r="B5497" s="4" t="s">
        <v>38</v>
      </c>
      <c r="C5497" s="37" t="s">
        <v>9243</v>
      </c>
      <c r="D5497" s="35">
        <v>888</v>
      </c>
      <c r="E5497" s="4" t="s">
        <v>9308</v>
      </c>
      <c r="F5497" s="5">
        <v>39174</v>
      </c>
      <c r="G5497" s="5">
        <v>41639</v>
      </c>
      <c r="H5497" s="4" t="s">
        <v>40</v>
      </c>
      <c r="I5497" s="6">
        <v>5099.8999999999996</v>
      </c>
      <c r="J5497" s="6">
        <v>5099.8999999999996</v>
      </c>
      <c r="K5497" s="37" t="s">
        <v>9243</v>
      </c>
      <c r="L5497" s="119"/>
    </row>
    <row r="5498" spans="1:13" s="4" customFormat="1" ht="38.25" x14ac:dyDescent="0.25">
      <c r="A5498" s="4" t="s">
        <v>9309</v>
      </c>
      <c r="B5498" s="4" t="s">
        <v>38</v>
      </c>
      <c r="C5498" s="37" t="s">
        <v>9243</v>
      </c>
      <c r="D5498" s="35">
        <v>889</v>
      </c>
      <c r="E5498" s="4" t="s">
        <v>9310</v>
      </c>
      <c r="F5498" s="5">
        <v>39394</v>
      </c>
      <c r="G5498" s="5">
        <v>41639</v>
      </c>
      <c r="H5498" s="4" t="s">
        <v>40</v>
      </c>
      <c r="I5498" s="6">
        <v>7075</v>
      </c>
      <c r="J5498" s="6">
        <v>7075</v>
      </c>
      <c r="K5498" s="37" t="s">
        <v>9243</v>
      </c>
      <c r="L5498" s="119"/>
    </row>
    <row r="5499" spans="1:13" s="4" customFormat="1" ht="25.5" x14ac:dyDescent="0.25">
      <c r="A5499" s="4" t="s">
        <v>9311</v>
      </c>
      <c r="B5499" s="4" t="s">
        <v>38</v>
      </c>
      <c r="C5499" s="37" t="s">
        <v>9243</v>
      </c>
      <c r="D5499" s="35">
        <v>892</v>
      </c>
      <c r="E5499" s="4" t="s">
        <v>9312</v>
      </c>
      <c r="F5499" s="5">
        <v>39217</v>
      </c>
      <c r="G5499" s="5">
        <v>41639</v>
      </c>
      <c r="H5499" s="4" t="s">
        <v>40</v>
      </c>
      <c r="I5499" s="6">
        <v>4415.05</v>
      </c>
      <c r="J5499" s="6">
        <v>4415.05</v>
      </c>
      <c r="K5499" s="37" t="s">
        <v>9243</v>
      </c>
      <c r="L5499" s="119"/>
    </row>
    <row r="5500" spans="1:13" s="4" customFormat="1" ht="25.5" x14ac:dyDescent="0.25">
      <c r="A5500" s="4" t="s">
        <v>9313</v>
      </c>
      <c r="B5500" s="4" t="s">
        <v>38</v>
      </c>
      <c r="C5500" s="37" t="s">
        <v>9243</v>
      </c>
      <c r="D5500" s="35">
        <v>894</v>
      </c>
      <c r="E5500" s="4" t="s">
        <v>9314</v>
      </c>
      <c r="F5500" s="5">
        <v>39120</v>
      </c>
      <c r="G5500" s="5">
        <v>41639</v>
      </c>
      <c r="H5500" s="4" t="s">
        <v>40</v>
      </c>
      <c r="I5500" s="6">
        <v>8152.17</v>
      </c>
      <c r="J5500" s="6">
        <v>8152.17</v>
      </c>
      <c r="K5500" s="37" t="s">
        <v>9243</v>
      </c>
      <c r="L5500" s="119"/>
    </row>
    <row r="5501" spans="1:13" s="4" customFormat="1" ht="25.5" x14ac:dyDescent="0.25">
      <c r="A5501" s="4" t="s">
        <v>9315</v>
      </c>
      <c r="B5501" s="4" t="s">
        <v>90</v>
      </c>
      <c r="C5501" s="37" t="s">
        <v>9243</v>
      </c>
      <c r="D5501" s="35">
        <v>901</v>
      </c>
      <c r="E5501" s="4" t="s">
        <v>9316</v>
      </c>
      <c r="F5501" s="5">
        <v>39283</v>
      </c>
      <c r="G5501" s="5">
        <v>41639</v>
      </c>
      <c r="H5501" s="4" t="s">
        <v>40</v>
      </c>
      <c r="I5501" s="6">
        <v>5640.5</v>
      </c>
      <c r="J5501" s="6">
        <v>2820.25</v>
      </c>
      <c r="K5501" s="37" t="s">
        <v>9243</v>
      </c>
      <c r="L5501" s="119"/>
    </row>
    <row r="5502" spans="1:13" s="4" customFormat="1" ht="25.5" x14ac:dyDescent="0.25">
      <c r="A5502" s="4" t="s">
        <v>9317</v>
      </c>
      <c r="B5502" s="4" t="s">
        <v>50</v>
      </c>
      <c r="C5502" s="37" t="s">
        <v>9243</v>
      </c>
      <c r="D5502" s="35">
        <v>903</v>
      </c>
      <c r="E5502" s="4" t="s">
        <v>9318</v>
      </c>
      <c r="F5502" s="5">
        <v>39133</v>
      </c>
      <c r="G5502" s="5">
        <v>41639</v>
      </c>
      <c r="H5502" s="4" t="s">
        <v>40</v>
      </c>
      <c r="I5502" s="6">
        <v>100000</v>
      </c>
      <c r="J5502" s="6">
        <v>50000</v>
      </c>
      <c r="K5502" s="37" t="s">
        <v>9243</v>
      </c>
      <c r="L5502" s="119"/>
    </row>
    <row r="5503" spans="1:13" s="4" customFormat="1" x14ac:dyDescent="0.25">
      <c r="A5503" s="4" t="s">
        <v>9319</v>
      </c>
      <c r="B5503" s="4" t="s">
        <v>50</v>
      </c>
      <c r="C5503" s="37" t="s">
        <v>9243</v>
      </c>
      <c r="D5503" s="35">
        <v>904</v>
      </c>
      <c r="E5503" s="4" t="s">
        <v>9320</v>
      </c>
      <c r="F5503" s="5">
        <v>39133</v>
      </c>
      <c r="G5503" s="5">
        <v>41639</v>
      </c>
      <c r="H5503" s="4" t="s">
        <v>40</v>
      </c>
      <c r="I5503" s="6">
        <v>11292.5</v>
      </c>
      <c r="J5503" s="6">
        <v>5646.25</v>
      </c>
      <c r="K5503" s="37" t="s">
        <v>9243</v>
      </c>
      <c r="L5503" s="119"/>
    </row>
    <row r="5504" spans="1:13" s="4" customFormat="1" ht="25.5" x14ac:dyDescent="0.25">
      <c r="A5504" s="4" t="s">
        <v>9321</v>
      </c>
      <c r="B5504" s="4" t="s">
        <v>3197</v>
      </c>
      <c r="C5504" s="37" t="s">
        <v>9243</v>
      </c>
      <c r="D5504" s="35">
        <v>905</v>
      </c>
      <c r="E5504" s="4" t="s">
        <v>9322</v>
      </c>
      <c r="F5504" s="5">
        <v>39133</v>
      </c>
      <c r="G5504" s="5">
        <v>41639</v>
      </c>
      <c r="H5504" s="4" t="s">
        <v>40</v>
      </c>
      <c r="I5504" s="6">
        <v>10200</v>
      </c>
      <c r="J5504" s="6">
        <v>5100</v>
      </c>
      <c r="K5504" s="37" t="s">
        <v>9243</v>
      </c>
      <c r="L5504" s="119"/>
    </row>
    <row r="5505" spans="1:12" s="4" customFormat="1" ht="25.5" x14ac:dyDescent="0.25">
      <c r="A5505" s="4" t="s">
        <v>9323</v>
      </c>
      <c r="B5505" s="4" t="s">
        <v>50</v>
      </c>
      <c r="C5505" s="37" t="s">
        <v>9243</v>
      </c>
      <c r="D5505" s="35">
        <v>906</v>
      </c>
      <c r="E5505" s="4" t="s">
        <v>9324</v>
      </c>
      <c r="F5505" s="5">
        <v>39133</v>
      </c>
      <c r="G5505" s="5">
        <v>41639</v>
      </c>
      <c r="H5505" s="4" t="s">
        <v>40</v>
      </c>
      <c r="I5505" s="6">
        <v>57400</v>
      </c>
      <c r="J5505" s="6">
        <v>28700</v>
      </c>
      <c r="K5505" s="37" t="s">
        <v>9243</v>
      </c>
      <c r="L5505" s="119"/>
    </row>
    <row r="5506" spans="1:12" s="4" customFormat="1" ht="25.5" x14ac:dyDescent="0.25">
      <c r="A5506" s="4" t="s">
        <v>9325</v>
      </c>
      <c r="B5506" s="4" t="s">
        <v>50</v>
      </c>
      <c r="C5506" s="37" t="s">
        <v>9243</v>
      </c>
      <c r="D5506" s="35">
        <v>907</v>
      </c>
      <c r="E5506" s="4" t="s">
        <v>9326</v>
      </c>
      <c r="F5506" s="5">
        <v>39133</v>
      </c>
      <c r="G5506" s="5">
        <v>41639</v>
      </c>
      <c r="H5506" s="4" t="s">
        <v>40</v>
      </c>
      <c r="I5506" s="6">
        <v>86718.24</v>
      </c>
      <c r="J5506" s="6">
        <v>43359.12</v>
      </c>
      <c r="K5506" s="37" t="s">
        <v>9243</v>
      </c>
      <c r="L5506" s="119"/>
    </row>
    <row r="5507" spans="1:12" s="4" customFormat="1" ht="51" x14ac:dyDescent="0.25">
      <c r="A5507" s="4" t="s">
        <v>9327</v>
      </c>
      <c r="B5507" s="4" t="s">
        <v>38</v>
      </c>
      <c r="C5507" s="37" t="s">
        <v>9243</v>
      </c>
      <c r="D5507" s="35">
        <v>908</v>
      </c>
      <c r="E5507" s="4" t="s">
        <v>9328</v>
      </c>
      <c r="F5507" s="5">
        <v>39146</v>
      </c>
      <c r="G5507" s="5">
        <v>41639</v>
      </c>
      <c r="H5507" s="4" t="s">
        <v>40</v>
      </c>
      <c r="I5507" s="6">
        <v>15480</v>
      </c>
      <c r="J5507" s="6">
        <v>15480</v>
      </c>
      <c r="K5507" s="37" t="s">
        <v>9243</v>
      </c>
      <c r="L5507" s="119"/>
    </row>
    <row r="5508" spans="1:12" s="4" customFormat="1" ht="51" x14ac:dyDescent="0.25">
      <c r="A5508" s="4" t="s">
        <v>9329</v>
      </c>
      <c r="B5508" s="4" t="s">
        <v>50</v>
      </c>
      <c r="C5508" s="37" t="s">
        <v>9243</v>
      </c>
      <c r="D5508" s="35">
        <v>911</v>
      </c>
      <c r="E5508" s="4" t="s">
        <v>9330</v>
      </c>
      <c r="F5508" s="5">
        <v>39497</v>
      </c>
      <c r="G5508" s="5">
        <v>41639</v>
      </c>
      <c r="H5508" s="4" t="s">
        <v>40</v>
      </c>
      <c r="I5508" s="6">
        <v>36558</v>
      </c>
      <c r="J5508" s="6">
        <v>18279</v>
      </c>
      <c r="K5508" s="37" t="s">
        <v>9243</v>
      </c>
      <c r="L5508" s="119"/>
    </row>
    <row r="5509" spans="1:12" s="4" customFormat="1" x14ac:dyDescent="0.25">
      <c r="A5509" s="4" t="s">
        <v>9331</v>
      </c>
      <c r="B5509" s="4" t="s">
        <v>90</v>
      </c>
      <c r="C5509" s="37" t="s">
        <v>9243</v>
      </c>
      <c r="D5509" s="35">
        <v>912</v>
      </c>
      <c r="E5509" s="4" t="s">
        <v>9332</v>
      </c>
      <c r="F5509" s="5">
        <v>39196</v>
      </c>
      <c r="G5509" s="5">
        <v>41639</v>
      </c>
      <c r="H5509" s="4" t="s">
        <v>40</v>
      </c>
      <c r="I5509" s="6">
        <v>17254.64</v>
      </c>
      <c r="J5509" s="6">
        <v>8627.32</v>
      </c>
      <c r="K5509" s="37" t="s">
        <v>9243</v>
      </c>
      <c r="L5509" s="119"/>
    </row>
    <row r="5510" spans="1:12" s="4" customFormat="1" x14ac:dyDescent="0.25">
      <c r="A5510" s="4" t="s">
        <v>9333</v>
      </c>
      <c r="B5510" s="4" t="s">
        <v>50</v>
      </c>
      <c r="C5510" s="37" t="s">
        <v>9243</v>
      </c>
      <c r="D5510" s="35">
        <v>913</v>
      </c>
      <c r="E5510" s="4" t="s">
        <v>9334</v>
      </c>
      <c r="F5510" s="5">
        <v>39196</v>
      </c>
      <c r="G5510" s="5">
        <v>41639</v>
      </c>
      <c r="H5510" s="4" t="s">
        <v>40</v>
      </c>
      <c r="I5510" s="6">
        <v>42587.12</v>
      </c>
      <c r="J5510" s="6">
        <v>21293.55</v>
      </c>
      <c r="K5510" s="37" t="s">
        <v>9243</v>
      </c>
      <c r="L5510" s="119"/>
    </row>
    <row r="5511" spans="1:12" s="4" customFormat="1" x14ac:dyDescent="0.25">
      <c r="A5511" s="4" t="s">
        <v>9335</v>
      </c>
      <c r="B5511" s="4" t="s">
        <v>50</v>
      </c>
      <c r="C5511" s="37" t="s">
        <v>9243</v>
      </c>
      <c r="D5511" s="35">
        <v>932</v>
      </c>
      <c r="E5511" s="4" t="s">
        <v>9336</v>
      </c>
      <c r="F5511" s="5">
        <v>39252</v>
      </c>
      <c r="G5511" s="5">
        <v>41639</v>
      </c>
      <c r="H5511" s="4" t="s">
        <v>40</v>
      </c>
      <c r="I5511" s="6">
        <v>10127.68</v>
      </c>
      <c r="J5511" s="6">
        <v>5063.84</v>
      </c>
      <c r="K5511" s="37" t="s">
        <v>9243</v>
      </c>
      <c r="L5511" s="119"/>
    </row>
    <row r="5512" spans="1:12" s="4" customFormat="1" ht="25.5" x14ac:dyDescent="0.25">
      <c r="A5512" s="4" t="s">
        <v>9337</v>
      </c>
      <c r="B5512" s="4" t="s">
        <v>59</v>
      </c>
      <c r="C5512" s="37" t="s">
        <v>9243</v>
      </c>
      <c r="D5512" s="35">
        <v>933</v>
      </c>
      <c r="E5512" s="4" t="s">
        <v>9338</v>
      </c>
      <c r="F5512" s="5">
        <v>39252</v>
      </c>
      <c r="G5512" s="5">
        <v>41639</v>
      </c>
      <c r="H5512" s="4" t="s">
        <v>40</v>
      </c>
      <c r="I5512" s="6">
        <v>7500</v>
      </c>
      <c r="J5512" s="6">
        <v>7500</v>
      </c>
      <c r="K5512" s="37" t="s">
        <v>9243</v>
      </c>
      <c r="L5512" s="119"/>
    </row>
    <row r="5513" spans="1:12" s="4" customFormat="1" ht="25.5" x14ac:dyDescent="0.25">
      <c r="A5513" s="4" t="s">
        <v>9339</v>
      </c>
      <c r="B5513" s="4" t="s">
        <v>50</v>
      </c>
      <c r="C5513" s="37" t="s">
        <v>9243</v>
      </c>
      <c r="D5513" s="35">
        <v>934</v>
      </c>
      <c r="E5513" s="4" t="s">
        <v>9340</v>
      </c>
      <c r="F5513" s="5">
        <v>39280</v>
      </c>
      <c r="G5513" s="5">
        <v>41639</v>
      </c>
      <c r="H5513" s="4" t="s">
        <v>40</v>
      </c>
      <c r="I5513" s="6">
        <v>100000</v>
      </c>
      <c r="J5513" s="6">
        <v>50000</v>
      </c>
      <c r="K5513" s="37" t="s">
        <v>9243</v>
      </c>
      <c r="L5513" s="119"/>
    </row>
    <row r="5514" spans="1:12" s="4" customFormat="1" ht="25.5" x14ac:dyDescent="0.25">
      <c r="A5514" s="4" t="s">
        <v>9341</v>
      </c>
      <c r="B5514" s="4" t="s">
        <v>90</v>
      </c>
      <c r="C5514" s="37" t="s">
        <v>9243</v>
      </c>
      <c r="D5514" s="35">
        <v>938</v>
      </c>
      <c r="E5514" s="4" t="s">
        <v>9342</v>
      </c>
      <c r="F5514" s="5">
        <v>39196</v>
      </c>
      <c r="G5514" s="5">
        <v>41639</v>
      </c>
      <c r="H5514" s="4" t="s">
        <v>40</v>
      </c>
      <c r="I5514" s="6">
        <v>10200</v>
      </c>
      <c r="J5514" s="6">
        <v>5100</v>
      </c>
      <c r="K5514" s="37" t="s">
        <v>9243</v>
      </c>
      <c r="L5514" s="119"/>
    </row>
    <row r="5515" spans="1:12" s="4" customFormat="1" ht="38.25" x14ac:dyDescent="0.25">
      <c r="A5515" s="4" t="s">
        <v>9343</v>
      </c>
      <c r="B5515" s="4" t="s">
        <v>90</v>
      </c>
      <c r="C5515" s="37" t="s">
        <v>9243</v>
      </c>
      <c r="D5515" s="35">
        <v>939</v>
      </c>
      <c r="E5515" s="4" t="s">
        <v>9344</v>
      </c>
      <c r="F5515" s="5">
        <v>39252</v>
      </c>
      <c r="G5515" s="5">
        <v>41639</v>
      </c>
      <c r="H5515" s="4" t="s">
        <v>40</v>
      </c>
      <c r="I5515" s="6">
        <v>10200</v>
      </c>
      <c r="J5515" s="6">
        <v>5100</v>
      </c>
      <c r="K5515" s="37" t="s">
        <v>9243</v>
      </c>
      <c r="L5515" s="119"/>
    </row>
    <row r="5516" spans="1:12" s="4" customFormat="1" ht="38.25" x14ac:dyDescent="0.25">
      <c r="A5516" s="4" t="s">
        <v>9345</v>
      </c>
      <c r="B5516" s="4" t="s">
        <v>50</v>
      </c>
      <c r="C5516" s="37" t="s">
        <v>9243</v>
      </c>
      <c r="D5516" s="35">
        <v>954</v>
      </c>
      <c r="E5516" s="4" t="s">
        <v>9346</v>
      </c>
      <c r="F5516" s="5">
        <v>39350</v>
      </c>
      <c r="G5516" s="5">
        <v>41639</v>
      </c>
      <c r="H5516" s="4" t="s">
        <v>40</v>
      </c>
      <c r="I5516" s="6">
        <v>18040.96</v>
      </c>
      <c r="J5516" s="6">
        <v>9020.48</v>
      </c>
      <c r="K5516" s="37" t="s">
        <v>9243</v>
      </c>
      <c r="L5516" s="119"/>
    </row>
    <row r="5517" spans="1:12" s="4" customFormat="1" ht="25.5" x14ac:dyDescent="0.25">
      <c r="A5517" s="4" t="s">
        <v>9347</v>
      </c>
      <c r="B5517" s="4" t="s">
        <v>50</v>
      </c>
      <c r="C5517" s="37" t="s">
        <v>9243</v>
      </c>
      <c r="D5517" s="35">
        <v>955</v>
      </c>
      <c r="E5517" s="4" t="s">
        <v>9348</v>
      </c>
      <c r="F5517" s="5">
        <v>39133</v>
      </c>
      <c r="G5517" s="5">
        <v>41639</v>
      </c>
      <c r="H5517" s="4" t="s">
        <v>40</v>
      </c>
      <c r="I5517" s="6">
        <v>96892.19</v>
      </c>
      <c r="J5517" s="6">
        <v>48446.09</v>
      </c>
      <c r="K5517" s="37" t="s">
        <v>9243</v>
      </c>
      <c r="L5517" s="119"/>
    </row>
    <row r="5518" spans="1:12" s="4" customFormat="1" ht="25.5" x14ac:dyDescent="0.25">
      <c r="A5518" s="4" t="s">
        <v>9351</v>
      </c>
      <c r="B5518" s="4" t="s">
        <v>50</v>
      </c>
      <c r="C5518" s="37" t="s">
        <v>9243</v>
      </c>
      <c r="D5518" s="35">
        <v>958</v>
      </c>
      <c r="E5518" s="4" t="s">
        <v>9352</v>
      </c>
      <c r="F5518" s="5">
        <v>39196</v>
      </c>
      <c r="G5518" s="5">
        <v>41639</v>
      </c>
      <c r="H5518" s="4" t="s">
        <v>40</v>
      </c>
      <c r="I5518" s="6">
        <v>70000</v>
      </c>
      <c r="J5518" s="6">
        <v>35000</v>
      </c>
      <c r="K5518" s="37" t="s">
        <v>9243</v>
      </c>
      <c r="L5518" s="119"/>
    </row>
    <row r="5519" spans="1:12" s="4" customFormat="1" ht="25.5" x14ac:dyDescent="0.25">
      <c r="A5519" s="4" t="s">
        <v>9353</v>
      </c>
      <c r="B5519" s="4" t="s">
        <v>50</v>
      </c>
      <c r="C5519" s="37" t="s">
        <v>9243</v>
      </c>
      <c r="D5519" s="35">
        <v>959</v>
      </c>
      <c r="E5519" s="4" t="s">
        <v>9354</v>
      </c>
      <c r="F5519" s="5">
        <v>39350</v>
      </c>
      <c r="G5519" s="5">
        <v>41639</v>
      </c>
      <c r="H5519" s="4" t="s">
        <v>40</v>
      </c>
      <c r="I5519" s="6">
        <v>40000</v>
      </c>
      <c r="J5519" s="6">
        <v>20000</v>
      </c>
      <c r="K5519" s="37" t="s">
        <v>9243</v>
      </c>
      <c r="L5519" s="119"/>
    </row>
    <row r="5520" spans="1:12" s="4" customFormat="1" ht="25.5" x14ac:dyDescent="0.25">
      <c r="A5520" s="4" t="s">
        <v>9357</v>
      </c>
      <c r="B5520" s="4" t="s">
        <v>50</v>
      </c>
      <c r="C5520" s="37" t="s">
        <v>9243</v>
      </c>
      <c r="D5520" s="35">
        <v>973</v>
      </c>
      <c r="E5520" s="4" t="s">
        <v>9358</v>
      </c>
      <c r="F5520" s="5">
        <v>39406</v>
      </c>
      <c r="G5520" s="5">
        <v>41639</v>
      </c>
      <c r="H5520" s="4" t="s">
        <v>40</v>
      </c>
      <c r="I5520" s="6">
        <v>10933.14</v>
      </c>
      <c r="J5520" s="6">
        <v>5466.57</v>
      </c>
      <c r="K5520" s="37" t="s">
        <v>9243</v>
      </c>
      <c r="L5520" s="119"/>
    </row>
    <row r="5521" spans="1:12" s="4" customFormat="1" ht="25.5" x14ac:dyDescent="0.25">
      <c r="A5521" s="4" t="s">
        <v>9359</v>
      </c>
      <c r="B5521" s="4" t="s">
        <v>59</v>
      </c>
      <c r="C5521" s="37" t="s">
        <v>9243</v>
      </c>
      <c r="D5521" s="35">
        <v>977</v>
      </c>
      <c r="E5521" s="4" t="s">
        <v>9360</v>
      </c>
      <c r="F5521" s="5">
        <v>39280</v>
      </c>
      <c r="G5521" s="5">
        <v>41639</v>
      </c>
      <c r="H5521" s="4" t="s">
        <v>40</v>
      </c>
      <c r="I5521" s="6">
        <v>11250</v>
      </c>
      <c r="J5521" s="6">
        <v>11250</v>
      </c>
      <c r="K5521" s="37" t="s">
        <v>9243</v>
      </c>
      <c r="L5521" s="119"/>
    </row>
    <row r="5522" spans="1:12" s="4" customFormat="1" x14ac:dyDescent="0.25">
      <c r="A5522" s="4" t="s">
        <v>9361</v>
      </c>
      <c r="B5522" s="4" t="s">
        <v>50</v>
      </c>
      <c r="C5522" s="37" t="s">
        <v>9243</v>
      </c>
      <c r="D5522" s="35">
        <v>981</v>
      </c>
      <c r="E5522" s="4" t="s">
        <v>9362</v>
      </c>
      <c r="F5522" s="5">
        <v>39469</v>
      </c>
      <c r="G5522" s="5">
        <v>41639</v>
      </c>
      <c r="H5522" s="4" t="s">
        <v>40</v>
      </c>
      <c r="I5522" s="6">
        <v>6500</v>
      </c>
      <c r="J5522" s="6">
        <v>3250</v>
      </c>
      <c r="K5522" s="37" t="s">
        <v>9243</v>
      </c>
      <c r="L5522" s="119"/>
    </row>
    <row r="5523" spans="1:12" s="4" customFormat="1" ht="25.5" x14ac:dyDescent="0.25">
      <c r="A5523" s="4" t="s">
        <v>9363</v>
      </c>
      <c r="B5523" s="4" t="s">
        <v>50</v>
      </c>
      <c r="C5523" s="37" t="s">
        <v>9243</v>
      </c>
      <c r="D5523" s="35">
        <v>987</v>
      </c>
      <c r="E5523" s="4" t="s">
        <v>9364</v>
      </c>
      <c r="F5523" s="5">
        <v>39406</v>
      </c>
      <c r="G5523" s="5">
        <v>41639</v>
      </c>
      <c r="H5523" s="4" t="s">
        <v>40</v>
      </c>
      <c r="I5523" s="6">
        <v>22500</v>
      </c>
      <c r="J5523" s="6">
        <v>11250</v>
      </c>
      <c r="K5523" s="37" t="s">
        <v>9243</v>
      </c>
      <c r="L5523" s="119"/>
    </row>
    <row r="5524" spans="1:12" s="4" customFormat="1" ht="38.25" x14ac:dyDescent="0.25">
      <c r="A5524" s="4" t="s">
        <v>9365</v>
      </c>
      <c r="B5524" s="4" t="s">
        <v>59</v>
      </c>
      <c r="C5524" s="37" t="s">
        <v>9243</v>
      </c>
      <c r="D5524" s="35">
        <v>1008</v>
      </c>
      <c r="E5524" s="4" t="s">
        <v>9366</v>
      </c>
      <c r="F5524" s="5">
        <v>39497</v>
      </c>
      <c r="G5524" s="5">
        <v>41639</v>
      </c>
      <c r="H5524" s="4" t="s">
        <v>40</v>
      </c>
      <c r="I5524" s="6">
        <v>30000</v>
      </c>
      <c r="J5524" s="6">
        <v>30000</v>
      </c>
      <c r="K5524" s="37" t="s">
        <v>9243</v>
      </c>
      <c r="L5524" s="119"/>
    </row>
    <row r="5525" spans="1:12" s="4" customFormat="1" ht="25.5" x14ac:dyDescent="0.25">
      <c r="A5525" s="4" t="s">
        <v>9367</v>
      </c>
      <c r="B5525" s="4" t="s">
        <v>90</v>
      </c>
      <c r="C5525" s="37" t="s">
        <v>9243</v>
      </c>
      <c r="D5525" s="35">
        <v>1009</v>
      </c>
      <c r="E5525" s="4" t="s">
        <v>9368</v>
      </c>
      <c r="F5525" s="5">
        <v>39469</v>
      </c>
      <c r="G5525" s="5">
        <v>41639</v>
      </c>
      <c r="H5525" s="4" t="s">
        <v>40</v>
      </c>
      <c r="I5525" s="6">
        <v>10200</v>
      </c>
      <c r="J5525" s="6">
        <v>5100</v>
      </c>
      <c r="K5525" s="37" t="s">
        <v>9243</v>
      </c>
      <c r="L5525" s="119"/>
    </row>
    <row r="5526" spans="1:12" s="4" customFormat="1" ht="25.5" x14ac:dyDescent="0.25">
      <c r="A5526" s="4" t="s">
        <v>9369</v>
      </c>
      <c r="B5526" s="4" t="s">
        <v>50</v>
      </c>
      <c r="C5526" s="37" t="s">
        <v>9243</v>
      </c>
      <c r="D5526" s="35">
        <v>1010</v>
      </c>
      <c r="E5526" s="4" t="s">
        <v>9370</v>
      </c>
      <c r="F5526" s="5">
        <v>39196</v>
      </c>
      <c r="G5526" s="5">
        <v>41639</v>
      </c>
      <c r="H5526" s="4" t="s">
        <v>40</v>
      </c>
      <c r="I5526" s="6">
        <v>60540</v>
      </c>
      <c r="J5526" s="6">
        <v>30270</v>
      </c>
      <c r="K5526" s="37" t="s">
        <v>9243</v>
      </c>
      <c r="L5526" s="119"/>
    </row>
    <row r="5527" spans="1:12" s="4" customFormat="1" x14ac:dyDescent="0.25">
      <c r="A5527" s="4" t="s">
        <v>9373</v>
      </c>
      <c r="B5527" s="4" t="s">
        <v>50</v>
      </c>
      <c r="C5527" s="37" t="s">
        <v>9243</v>
      </c>
      <c r="D5527" s="35">
        <v>1012</v>
      </c>
      <c r="E5527" s="4" t="s">
        <v>9374</v>
      </c>
      <c r="F5527" s="5">
        <v>39588</v>
      </c>
      <c r="G5527" s="5">
        <v>41639</v>
      </c>
      <c r="H5527" s="4" t="s">
        <v>40</v>
      </c>
      <c r="I5527" s="6">
        <v>30000</v>
      </c>
      <c r="J5527" s="6">
        <v>15000</v>
      </c>
      <c r="K5527" s="37" t="s">
        <v>9243</v>
      </c>
      <c r="L5527" s="119"/>
    </row>
    <row r="5528" spans="1:12" s="4" customFormat="1" ht="25.5" x14ac:dyDescent="0.25">
      <c r="A5528" s="4" t="s">
        <v>9377</v>
      </c>
      <c r="B5528" s="4" t="s">
        <v>50</v>
      </c>
      <c r="C5528" s="37" t="s">
        <v>9243</v>
      </c>
      <c r="D5528" s="35">
        <v>1014</v>
      </c>
      <c r="E5528" s="4" t="s">
        <v>9378</v>
      </c>
      <c r="F5528" s="5">
        <v>39553</v>
      </c>
      <c r="G5528" s="5">
        <v>41639</v>
      </c>
      <c r="H5528" s="4" t="s">
        <v>40</v>
      </c>
      <c r="I5528" s="6">
        <v>30000</v>
      </c>
      <c r="J5528" s="6">
        <v>15000</v>
      </c>
      <c r="K5528" s="37" t="s">
        <v>9243</v>
      </c>
      <c r="L5528" s="119"/>
    </row>
    <row r="5529" spans="1:12" s="4" customFormat="1" ht="25.5" x14ac:dyDescent="0.25">
      <c r="A5529" s="4" t="s">
        <v>9379</v>
      </c>
      <c r="B5529" s="4" t="s">
        <v>90</v>
      </c>
      <c r="C5529" s="37" t="s">
        <v>9243</v>
      </c>
      <c r="D5529" s="35">
        <v>1015</v>
      </c>
      <c r="E5529" s="4" t="s">
        <v>9380</v>
      </c>
      <c r="F5529" s="5">
        <v>39497</v>
      </c>
      <c r="G5529" s="5">
        <v>41639</v>
      </c>
      <c r="H5529" s="4" t="s">
        <v>40</v>
      </c>
      <c r="I5529" s="6">
        <v>4501.3999999999996</v>
      </c>
      <c r="J5529" s="6">
        <v>2250.6999999999998</v>
      </c>
      <c r="K5529" s="37" t="s">
        <v>9243</v>
      </c>
      <c r="L5529" s="119"/>
    </row>
    <row r="5530" spans="1:12" s="4" customFormat="1" ht="25.5" x14ac:dyDescent="0.25">
      <c r="A5530" s="4" t="s">
        <v>9381</v>
      </c>
      <c r="B5530" s="4" t="s">
        <v>59</v>
      </c>
      <c r="C5530" s="37" t="s">
        <v>9243</v>
      </c>
      <c r="D5530" s="35">
        <v>1016</v>
      </c>
      <c r="E5530" s="4" t="s">
        <v>9382</v>
      </c>
      <c r="F5530" s="5">
        <v>39588</v>
      </c>
      <c r="G5530" s="5">
        <v>41639</v>
      </c>
      <c r="H5530" s="4" t="s">
        <v>40</v>
      </c>
      <c r="I5530" s="6">
        <v>7500</v>
      </c>
      <c r="J5530" s="6">
        <v>7500</v>
      </c>
      <c r="K5530" s="37" t="s">
        <v>9243</v>
      </c>
      <c r="L5530" s="119"/>
    </row>
    <row r="5531" spans="1:12" s="4" customFormat="1" x14ac:dyDescent="0.25">
      <c r="A5531" s="4" t="s">
        <v>9383</v>
      </c>
      <c r="B5531" s="4" t="s">
        <v>50</v>
      </c>
      <c r="C5531" s="37" t="s">
        <v>9243</v>
      </c>
      <c r="D5531" s="35">
        <v>1017</v>
      </c>
      <c r="E5531" s="4" t="s">
        <v>9384</v>
      </c>
      <c r="F5531" s="5">
        <v>39588</v>
      </c>
      <c r="G5531" s="5">
        <v>41639</v>
      </c>
      <c r="H5531" s="4" t="s">
        <v>40</v>
      </c>
      <c r="I5531" s="6">
        <v>70000</v>
      </c>
      <c r="J5531" s="6">
        <v>35000</v>
      </c>
      <c r="K5531" s="37" t="s">
        <v>9243</v>
      </c>
      <c r="L5531" s="119"/>
    </row>
    <row r="5532" spans="1:12" s="4" customFormat="1" ht="38.25" x14ac:dyDescent="0.25">
      <c r="A5532" s="4" t="s">
        <v>9385</v>
      </c>
      <c r="B5532" s="4" t="s">
        <v>50</v>
      </c>
      <c r="C5532" s="37" t="s">
        <v>9243</v>
      </c>
      <c r="D5532" s="35">
        <v>1062</v>
      </c>
      <c r="E5532" s="4" t="s">
        <v>9386</v>
      </c>
      <c r="F5532" s="5">
        <v>39588</v>
      </c>
      <c r="G5532" s="5">
        <v>41639</v>
      </c>
      <c r="H5532" s="4" t="s">
        <v>40</v>
      </c>
      <c r="I5532" s="6">
        <v>6065</v>
      </c>
      <c r="J5532" s="6">
        <v>3032.5</v>
      </c>
      <c r="K5532" s="37" t="s">
        <v>9243</v>
      </c>
      <c r="L5532" s="119"/>
    </row>
    <row r="5533" spans="1:12" s="4" customFormat="1" ht="25.5" x14ac:dyDescent="0.25">
      <c r="A5533" s="4" t="s">
        <v>9387</v>
      </c>
      <c r="B5533" s="4" t="s">
        <v>38</v>
      </c>
      <c r="C5533" s="37" t="s">
        <v>9243</v>
      </c>
      <c r="D5533" s="35">
        <v>1124</v>
      </c>
      <c r="E5533" s="4" t="s">
        <v>9388</v>
      </c>
      <c r="F5533" s="5">
        <v>39174</v>
      </c>
      <c r="G5533" s="5">
        <v>41639</v>
      </c>
      <c r="H5533" s="4" t="s">
        <v>40</v>
      </c>
      <c r="I5533" s="6">
        <v>309.8</v>
      </c>
      <c r="J5533" s="6">
        <v>309.8</v>
      </c>
      <c r="K5533" s="37" t="s">
        <v>9243</v>
      </c>
      <c r="L5533" s="119"/>
    </row>
    <row r="5534" spans="1:12" s="4" customFormat="1" ht="25.5" x14ac:dyDescent="0.25">
      <c r="A5534" s="4" t="s">
        <v>9389</v>
      </c>
      <c r="B5534" s="4" t="s">
        <v>38</v>
      </c>
      <c r="C5534" s="37" t="s">
        <v>9243</v>
      </c>
      <c r="D5534" s="35">
        <v>1127</v>
      </c>
      <c r="E5534" s="4" t="s">
        <v>9390</v>
      </c>
      <c r="F5534" s="5">
        <v>39174</v>
      </c>
      <c r="G5534" s="5">
        <v>41639</v>
      </c>
      <c r="H5534" s="4" t="s">
        <v>40</v>
      </c>
      <c r="I5534" s="6">
        <v>1005.15</v>
      </c>
      <c r="J5534" s="6">
        <v>1005.15</v>
      </c>
      <c r="K5534" s="37" t="s">
        <v>9243</v>
      </c>
      <c r="L5534" s="119"/>
    </row>
    <row r="5535" spans="1:12" s="4" customFormat="1" ht="25.5" x14ac:dyDescent="0.25">
      <c r="A5535" s="4" t="s">
        <v>9391</v>
      </c>
      <c r="B5535" s="4" t="s">
        <v>38</v>
      </c>
      <c r="C5535" s="37" t="s">
        <v>9243</v>
      </c>
      <c r="D5535" s="35">
        <v>1128</v>
      </c>
      <c r="E5535" s="4" t="s">
        <v>9392</v>
      </c>
      <c r="F5535" s="5">
        <v>39097</v>
      </c>
      <c r="G5535" s="5">
        <v>41639</v>
      </c>
      <c r="H5535" s="4" t="s">
        <v>40</v>
      </c>
      <c r="I5535" s="6">
        <v>161870.01</v>
      </c>
      <c r="J5535" s="6">
        <v>161870.01</v>
      </c>
      <c r="K5535" s="37" t="s">
        <v>9243</v>
      </c>
      <c r="L5535" s="119"/>
    </row>
    <row r="5536" spans="1:12" s="4" customFormat="1" ht="25.5" x14ac:dyDescent="0.25">
      <c r="A5536" s="4" t="s">
        <v>9393</v>
      </c>
      <c r="B5536" s="4" t="s">
        <v>38</v>
      </c>
      <c r="C5536" s="37" t="s">
        <v>9243</v>
      </c>
      <c r="D5536" s="35">
        <v>1129</v>
      </c>
      <c r="E5536" s="4" t="s">
        <v>9394</v>
      </c>
      <c r="F5536" s="5">
        <v>39394</v>
      </c>
      <c r="G5536" s="5">
        <v>41639</v>
      </c>
      <c r="H5536" s="4" t="s">
        <v>40</v>
      </c>
      <c r="I5536" s="6">
        <v>1568.2</v>
      </c>
      <c r="J5536" s="6">
        <v>1568.2</v>
      </c>
      <c r="K5536" s="37" t="s">
        <v>9243</v>
      </c>
      <c r="L5536" s="119"/>
    </row>
    <row r="5537" spans="1:12" s="4" customFormat="1" ht="25.5" x14ac:dyDescent="0.25">
      <c r="A5537" s="4" t="s">
        <v>9395</v>
      </c>
      <c r="B5537" s="4" t="s">
        <v>38</v>
      </c>
      <c r="C5537" s="37" t="s">
        <v>9243</v>
      </c>
      <c r="D5537" s="35">
        <v>1130</v>
      </c>
      <c r="E5537" s="4" t="s">
        <v>9396</v>
      </c>
      <c r="F5537" s="5">
        <v>39174</v>
      </c>
      <c r="G5537" s="5">
        <v>41639</v>
      </c>
      <c r="H5537" s="4" t="s">
        <v>40</v>
      </c>
      <c r="I5537" s="6">
        <v>744.45</v>
      </c>
      <c r="J5537" s="6">
        <v>744.45</v>
      </c>
      <c r="K5537" s="37" t="s">
        <v>9243</v>
      </c>
      <c r="L5537" s="119"/>
    </row>
    <row r="5538" spans="1:12" s="4" customFormat="1" ht="38.25" x14ac:dyDescent="0.25">
      <c r="A5538" s="4" t="s">
        <v>9397</v>
      </c>
      <c r="B5538" s="4" t="s">
        <v>38</v>
      </c>
      <c r="C5538" s="37" t="s">
        <v>9243</v>
      </c>
      <c r="D5538" s="35">
        <v>1131</v>
      </c>
      <c r="E5538" s="4" t="s">
        <v>9398</v>
      </c>
      <c r="F5538" s="5">
        <v>39283</v>
      </c>
      <c r="G5538" s="5">
        <v>41639</v>
      </c>
      <c r="H5538" s="4" t="s">
        <v>40</v>
      </c>
      <c r="I5538" s="6">
        <v>27591.5</v>
      </c>
      <c r="J5538" s="6">
        <v>27591.5</v>
      </c>
      <c r="K5538" s="37" t="s">
        <v>9243</v>
      </c>
      <c r="L5538" s="119"/>
    </row>
    <row r="5539" spans="1:12" s="4" customFormat="1" ht="25.5" x14ac:dyDescent="0.25">
      <c r="A5539" s="4" t="s">
        <v>9399</v>
      </c>
      <c r="B5539" s="4" t="s">
        <v>38</v>
      </c>
      <c r="C5539" s="37" t="s">
        <v>9243</v>
      </c>
      <c r="D5539" s="35">
        <v>1132</v>
      </c>
      <c r="E5539" s="4" t="s">
        <v>9400</v>
      </c>
      <c r="F5539" s="5">
        <v>39433</v>
      </c>
      <c r="G5539" s="5">
        <v>41639</v>
      </c>
      <c r="H5539" s="4" t="s">
        <v>40</v>
      </c>
      <c r="I5539" s="6">
        <v>2988.57</v>
      </c>
      <c r="J5539" s="6">
        <f>2157.97+830.6</f>
        <v>2988.5699999999997</v>
      </c>
      <c r="K5539" s="37" t="s">
        <v>9243</v>
      </c>
      <c r="L5539" s="119"/>
    </row>
    <row r="5540" spans="1:12" s="4" customFormat="1" ht="38.25" x14ac:dyDescent="0.25">
      <c r="A5540" s="4" t="s">
        <v>2372</v>
      </c>
      <c r="B5540" s="4" t="s">
        <v>38</v>
      </c>
      <c r="C5540" s="37" t="s">
        <v>9243</v>
      </c>
      <c r="D5540" s="35">
        <v>1133</v>
      </c>
      <c r="E5540" s="4" t="s">
        <v>9401</v>
      </c>
      <c r="F5540" s="5">
        <v>39552</v>
      </c>
      <c r="G5540" s="5">
        <v>41639</v>
      </c>
      <c r="H5540" s="4" t="s">
        <v>40</v>
      </c>
      <c r="I5540" s="6">
        <v>14177.49</v>
      </c>
      <c r="J5540" s="6">
        <v>14177.49</v>
      </c>
      <c r="K5540" s="37" t="s">
        <v>9243</v>
      </c>
      <c r="L5540" s="119"/>
    </row>
    <row r="5541" spans="1:12" s="4" customFormat="1" ht="25.5" x14ac:dyDescent="0.25">
      <c r="A5541" s="4" t="s">
        <v>9402</v>
      </c>
      <c r="B5541" s="4" t="s">
        <v>38</v>
      </c>
      <c r="C5541" s="37" t="s">
        <v>9243</v>
      </c>
      <c r="D5541" s="35">
        <v>1134</v>
      </c>
      <c r="E5541" s="4" t="s">
        <v>9402</v>
      </c>
      <c r="F5541" s="5">
        <v>39616</v>
      </c>
      <c r="G5541" s="5">
        <v>39813</v>
      </c>
      <c r="H5541" s="4" t="s">
        <v>40</v>
      </c>
      <c r="I5541" s="6">
        <v>1675</v>
      </c>
      <c r="J5541" s="6">
        <v>1675</v>
      </c>
      <c r="K5541" s="37" t="s">
        <v>9243</v>
      </c>
      <c r="L5541" s="119"/>
    </row>
    <row r="5542" spans="1:12" s="4" customFormat="1" ht="25.5" x14ac:dyDescent="0.25">
      <c r="A5542" s="4" t="s">
        <v>9403</v>
      </c>
      <c r="B5542" s="4" t="s">
        <v>38</v>
      </c>
      <c r="C5542" s="37" t="s">
        <v>9243</v>
      </c>
      <c r="D5542" s="35">
        <v>1136</v>
      </c>
      <c r="E5542" s="4" t="s">
        <v>9404</v>
      </c>
      <c r="F5542" s="5">
        <v>39591</v>
      </c>
      <c r="G5542" s="5">
        <v>41639</v>
      </c>
      <c r="H5542" s="4" t="s">
        <v>40</v>
      </c>
      <c r="I5542" s="6">
        <v>2757.1</v>
      </c>
      <c r="J5542" s="6">
        <v>2757.1</v>
      </c>
      <c r="K5542" s="37" t="s">
        <v>9243</v>
      </c>
      <c r="L5542" s="119"/>
    </row>
    <row r="5543" spans="1:12" s="4" customFormat="1" ht="25.5" x14ac:dyDescent="0.25">
      <c r="A5543" s="4" t="s">
        <v>9405</v>
      </c>
      <c r="B5543" s="4" t="s">
        <v>38</v>
      </c>
      <c r="C5543" s="37" t="s">
        <v>9243</v>
      </c>
      <c r="D5543" s="35">
        <v>1137</v>
      </c>
      <c r="E5543" s="4" t="s">
        <v>9406</v>
      </c>
      <c r="F5543" s="5">
        <v>39416</v>
      </c>
      <c r="G5543" s="5">
        <v>41639</v>
      </c>
      <c r="H5543" s="4" t="s">
        <v>40</v>
      </c>
      <c r="I5543" s="6">
        <v>1008.5</v>
      </c>
      <c r="J5543" s="6">
        <v>1008.5</v>
      </c>
      <c r="K5543" s="37" t="s">
        <v>9243</v>
      </c>
      <c r="L5543" s="119"/>
    </row>
    <row r="5544" spans="1:12" s="4" customFormat="1" ht="25.5" x14ac:dyDescent="0.25">
      <c r="A5544" s="4" t="s">
        <v>9407</v>
      </c>
      <c r="B5544" s="4" t="s">
        <v>38</v>
      </c>
      <c r="C5544" s="37" t="s">
        <v>9243</v>
      </c>
      <c r="D5544" s="35">
        <v>1138</v>
      </c>
      <c r="E5544" s="4" t="s">
        <v>9408</v>
      </c>
      <c r="F5544" s="5">
        <v>39247</v>
      </c>
      <c r="G5544" s="5">
        <v>41639</v>
      </c>
      <c r="H5544" s="4" t="s">
        <v>40</v>
      </c>
      <c r="I5544" s="6">
        <v>1675</v>
      </c>
      <c r="J5544" s="6">
        <v>1675</v>
      </c>
      <c r="K5544" s="37" t="s">
        <v>9243</v>
      </c>
      <c r="L5544" s="119"/>
    </row>
    <row r="5545" spans="1:12" s="4" customFormat="1" ht="25.5" x14ac:dyDescent="0.25">
      <c r="A5545" s="4" t="s">
        <v>9411</v>
      </c>
      <c r="B5545" s="4" t="s">
        <v>38</v>
      </c>
      <c r="C5545" s="37" t="s">
        <v>9243</v>
      </c>
      <c r="D5545" s="35">
        <v>1142</v>
      </c>
      <c r="E5545" s="4" t="s">
        <v>2285</v>
      </c>
      <c r="F5545" s="5">
        <v>39097</v>
      </c>
      <c r="G5545" s="5">
        <v>41639</v>
      </c>
      <c r="H5545" s="4" t="s">
        <v>40</v>
      </c>
      <c r="I5545" s="6">
        <f>228000.86+94764.9+61861.8+69940.9</f>
        <v>454568.45999999996</v>
      </c>
      <c r="J5545" s="6">
        <f>359803.56+94764.9</f>
        <v>454568.45999999996</v>
      </c>
      <c r="K5545" s="37" t="s">
        <v>9243</v>
      </c>
      <c r="L5545" s="119"/>
    </row>
    <row r="5546" spans="1:12" s="4" customFormat="1" ht="63.75" x14ac:dyDescent="0.25">
      <c r="A5546" s="4" t="s">
        <v>9412</v>
      </c>
      <c r="B5546" s="4" t="s">
        <v>38</v>
      </c>
      <c r="C5546" s="37" t="s">
        <v>9243</v>
      </c>
      <c r="D5546" s="35">
        <v>1146</v>
      </c>
      <c r="E5546" s="4" t="s">
        <v>9413</v>
      </c>
      <c r="F5546" s="5">
        <v>39097</v>
      </c>
      <c r="G5546" s="5">
        <v>41639</v>
      </c>
      <c r="H5546" s="4" t="s">
        <v>40</v>
      </c>
      <c r="I5546" s="6">
        <v>167479.28</v>
      </c>
      <c r="J5546" s="6">
        <f>159767.29+7711.99</f>
        <v>167479.28</v>
      </c>
      <c r="K5546" s="37" t="s">
        <v>9243</v>
      </c>
      <c r="L5546" s="119"/>
    </row>
    <row r="5547" spans="1:12" s="4" customFormat="1" ht="76.5" x14ac:dyDescent="0.25">
      <c r="A5547" s="4" t="s">
        <v>9414</v>
      </c>
      <c r="B5547" s="4" t="s">
        <v>38</v>
      </c>
      <c r="C5547" s="37" t="s">
        <v>9243</v>
      </c>
      <c r="D5547" s="35">
        <v>1147</v>
      </c>
      <c r="E5547" s="7" t="s">
        <v>9415</v>
      </c>
      <c r="F5547" s="5">
        <v>39174</v>
      </c>
      <c r="G5547" s="5">
        <v>41639</v>
      </c>
      <c r="H5547" s="4" t="s">
        <v>40</v>
      </c>
      <c r="I5547" s="6">
        <v>33568.93</v>
      </c>
      <c r="J5547" s="6">
        <v>33568.93</v>
      </c>
      <c r="K5547" s="37" t="s">
        <v>9243</v>
      </c>
      <c r="L5547" s="119"/>
    </row>
    <row r="5548" spans="1:12" s="4" customFormat="1" ht="25.5" x14ac:dyDescent="0.25">
      <c r="A5548" s="4" t="s">
        <v>9416</v>
      </c>
      <c r="B5548" s="4" t="s">
        <v>38</v>
      </c>
      <c r="C5548" s="37" t="s">
        <v>9243</v>
      </c>
      <c r="D5548" s="35">
        <v>1150</v>
      </c>
      <c r="E5548" s="4" t="s">
        <v>9417</v>
      </c>
      <c r="F5548" s="5">
        <v>39433</v>
      </c>
      <c r="G5548" s="5">
        <v>41639</v>
      </c>
      <c r="H5548" s="4" t="s">
        <v>40</v>
      </c>
      <c r="I5548" s="6">
        <v>1242.47</v>
      </c>
      <c r="J5548" s="6">
        <v>1242.47</v>
      </c>
      <c r="K5548" s="37" t="s">
        <v>9243</v>
      </c>
      <c r="L5548" s="119"/>
    </row>
    <row r="5549" spans="1:12" s="4" customFormat="1" ht="25.5" x14ac:dyDescent="0.25">
      <c r="A5549" s="4" t="s">
        <v>6335</v>
      </c>
      <c r="B5549" s="4" t="s">
        <v>38</v>
      </c>
      <c r="C5549" s="37" t="s">
        <v>9243</v>
      </c>
      <c r="D5549" s="35">
        <v>1153</v>
      </c>
      <c r="E5549" s="4" t="s">
        <v>9418</v>
      </c>
      <c r="F5549" s="5">
        <v>39519</v>
      </c>
      <c r="G5549" s="5">
        <v>41639</v>
      </c>
      <c r="H5549" s="4" t="s">
        <v>40</v>
      </c>
      <c r="I5549" s="6">
        <v>812.05</v>
      </c>
      <c r="J5549" s="6">
        <f>242.05+570</f>
        <v>812.05</v>
      </c>
      <c r="K5549" s="37" t="s">
        <v>9243</v>
      </c>
      <c r="L5549" s="119"/>
    </row>
    <row r="5550" spans="1:12" s="4" customFormat="1" ht="38.25" x14ac:dyDescent="0.25">
      <c r="A5550" s="4" t="s">
        <v>3262</v>
      </c>
      <c r="B5550" s="4" t="s">
        <v>38</v>
      </c>
      <c r="C5550" s="37" t="s">
        <v>9243</v>
      </c>
      <c r="D5550" s="35">
        <v>1154</v>
      </c>
      <c r="E5550" s="4" t="s">
        <v>9419</v>
      </c>
      <c r="F5550" s="5">
        <v>39097</v>
      </c>
      <c r="G5550" s="5">
        <v>41639</v>
      </c>
      <c r="H5550" s="4" t="s">
        <v>40</v>
      </c>
      <c r="I5550" s="6">
        <v>8117.95</v>
      </c>
      <c r="J5550" s="6">
        <v>8117.95</v>
      </c>
      <c r="K5550" s="37" t="s">
        <v>9243</v>
      </c>
      <c r="L5550" s="119"/>
    </row>
    <row r="5551" spans="1:12" s="4" customFormat="1" ht="25.5" x14ac:dyDescent="0.25">
      <c r="A5551" s="4" t="s">
        <v>9420</v>
      </c>
      <c r="B5551" s="4" t="s">
        <v>38</v>
      </c>
      <c r="C5551" s="37" t="s">
        <v>9243</v>
      </c>
      <c r="D5551" s="35">
        <v>1157</v>
      </c>
      <c r="E5551" s="4" t="s">
        <v>9421</v>
      </c>
      <c r="F5551" s="5">
        <v>39217</v>
      </c>
      <c r="G5551" s="5">
        <v>41639</v>
      </c>
      <c r="H5551" s="4" t="s">
        <v>40</v>
      </c>
      <c r="I5551" s="6">
        <v>7682.4</v>
      </c>
      <c r="J5551" s="6">
        <v>7682.4</v>
      </c>
      <c r="K5551" s="37" t="s">
        <v>9243</v>
      </c>
      <c r="L5551" s="119"/>
    </row>
    <row r="5552" spans="1:12" s="4" customFormat="1" ht="38.25" x14ac:dyDescent="0.25">
      <c r="A5552" s="4" t="s">
        <v>9422</v>
      </c>
      <c r="B5552" s="4" t="s">
        <v>38</v>
      </c>
      <c r="C5552" s="37" t="s">
        <v>9243</v>
      </c>
      <c r="D5552" s="35">
        <v>1159</v>
      </c>
      <c r="E5552" s="4" t="s">
        <v>9423</v>
      </c>
      <c r="F5552" s="5">
        <v>39283</v>
      </c>
      <c r="G5552" s="5">
        <v>41639</v>
      </c>
      <c r="H5552" s="4" t="s">
        <v>40</v>
      </c>
      <c r="I5552" s="6">
        <v>184845.11</v>
      </c>
      <c r="J5552" s="6">
        <f>163845.11+21000</f>
        <v>184845.11</v>
      </c>
      <c r="K5552" s="37" t="s">
        <v>9243</v>
      </c>
      <c r="L5552" s="119"/>
    </row>
    <row r="5553" spans="1:12" s="4" customFormat="1" ht="63.75" x14ac:dyDescent="0.25">
      <c r="A5553" s="4" t="s">
        <v>9424</v>
      </c>
      <c r="B5553" s="4" t="s">
        <v>38</v>
      </c>
      <c r="C5553" s="37" t="s">
        <v>9243</v>
      </c>
      <c r="D5553" s="35">
        <v>1161</v>
      </c>
      <c r="E5553" s="7" t="s">
        <v>9425</v>
      </c>
      <c r="F5553" s="5">
        <v>39174</v>
      </c>
      <c r="G5553" s="5">
        <v>41639</v>
      </c>
      <c r="H5553" s="4" t="s">
        <v>40</v>
      </c>
      <c r="I5553" s="6">
        <v>17509</v>
      </c>
      <c r="J5553" s="6">
        <v>17509</v>
      </c>
      <c r="K5553" s="37" t="s">
        <v>9243</v>
      </c>
      <c r="L5553" s="119"/>
    </row>
    <row r="5554" spans="1:12" s="4" customFormat="1" ht="25.5" x14ac:dyDescent="0.25">
      <c r="A5554" s="4" t="s">
        <v>9426</v>
      </c>
      <c r="B5554" s="4" t="s">
        <v>38</v>
      </c>
      <c r="C5554" s="37" t="s">
        <v>9243</v>
      </c>
      <c r="D5554" s="35">
        <v>1162</v>
      </c>
      <c r="E5554" s="4" t="s">
        <v>9427</v>
      </c>
      <c r="F5554" s="5">
        <v>39097</v>
      </c>
      <c r="G5554" s="5">
        <v>41639</v>
      </c>
      <c r="H5554" s="4" t="s">
        <v>40</v>
      </c>
      <c r="I5554" s="6">
        <v>23453.66</v>
      </c>
      <c r="J5554" s="6">
        <f>20528.52+2925.14</f>
        <v>23453.66</v>
      </c>
      <c r="K5554" s="37" t="s">
        <v>9243</v>
      </c>
      <c r="L5554" s="119"/>
    </row>
    <row r="5555" spans="1:12" s="4" customFormat="1" ht="76.5" x14ac:dyDescent="0.25">
      <c r="A5555" s="4" t="s">
        <v>9428</v>
      </c>
      <c r="B5555" s="4" t="s">
        <v>38</v>
      </c>
      <c r="C5555" s="37" t="s">
        <v>9243</v>
      </c>
      <c r="D5555" s="35">
        <v>1163</v>
      </c>
      <c r="E5555" s="7" t="s">
        <v>9429</v>
      </c>
      <c r="F5555" s="5">
        <v>39433</v>
      </c>
      <c r="G5555" s="5">
        <v>41639</v>
      </c>
      <c r="H5555" s="4" t="s">
        <v>40</v>
      </c>
      <c r="I5555" s="6">
        <v>2275.86</v>
      </c>
      <c r="J5555" s="6">
        <v>2275.86</v>
      </c>
      <c r="K5555" s="37" t="s">
        <v>9243</v>
      </c>
      <c r="L5555" s="119"/>
    </row>
    <row r="5556" spans="1:12" s="4" customFormat="1" ht="25.5" x14ac:dyDescent="0.25">
      <c r="A5556" s="4" t="s">
        <v>9430</v>
      </c>
      <c r="B5556" s="4" t="s">
        <v>38</v>
      </c>
      <c r="C5556" s="37" t="s">
        <v>9243</v>
      </c>
      <c r="D5556" s="35">
        <v>1164</v>
      </c>
      <c r="E5556" s="4" t="s">
        <v>9431</v>
      </c>
      <c r="F5556" s="5">
        <v>39120</v>
      </c>
      <c r="G5556" s="5">
        <v>41639</v>
      </c>
      <c r="H5556" s="4" t="s">
        <v>40</v>
      </c>
      <c r="I5556" s="6">
        <v>1463</v>
      </c>
      <c r="J5556" s="6">
        <v>1463</v>
      </c>
      <c r="K5556" s="37" t="s">
        <v>9243</v>
      </c>
      <c r="L5556" s="119"/>
    </row>
    <row r="5557" spans="1:12" s="4" customFormat="1" ht="25.5" x14ac:dyDescent="0.25">
      <c r="A5557" s="4" t="s">
        <v>9432</v>
      </c>
      <c r="B5557" s="4" t="s">
        <v>38</v>
      </c>
      <c r="C5557" s="37" t="s">
        <v>9243</v>
      </c>
      <c r="D5557" s="35">
        <v>1165</v>
      </c>
      <c r="E5557" s="4" t="s">
        <v>9433</v>
      </c>
      <c r="F5557" s="5">
        <v>39097</v>
      </c>
      <c r="G5557" s="5">
        <v>41639</v>
      </c>
      <c r="H5557" s="4" t="s">
        <v>40</v>
      </c>
      <c r="I5557" s="6">
        <f>224060.57+49450.79+34321.07+48005.75</f>
        <v>355838.18</v>
      </c>
      <c r="J5557" s="6">
        <f>321517.11+34321.07</f>
        <v>355838.18</v>
      </c>
      <c r="K5557" s="37" t="s">
        <v>9243</v>
      </c>
      <c r="L5557" s="119"/>
    </row>
    <row r="5558" spans="1:12" s="4" customFormat="1" ht="25.5" x14ac:dyDescent="0.25">
      <c r="A5558" s="4" t="s">
        <v>9434</v>
      </c>
      <c r="B5558" s="4" t="s">
        <v>38</v>
      </c>
      <c r="C5558" s="37" t="s">
        <v>9243</v>
      </c>
      <c r="D5558" s="35">
        <v>1167</v>
      </c>
      <c r="E5558" s="4" t="s">
        <v>9435</v>
      </c>
      <c r="F5558" s="5">
        <v>39749</v>
      </c>
      <c r="G5558" s="5">
        <v>41639</v>
      </c>
      <c r="H5558" s="4" t="s">
        <v>40</v>
      </c>
      <c r="I5558" s="6">
        <v>1546.7</v>
      </c>
      <c r="J5558" s="6">
        <v>1546.7</v>
      </c>
      <c r="K5558" s="37" t="s">
        <v>9243</v>
      </c>
      <c r="L5558" s="119"/>
    </row>
    <row r="5559" spans="1:12" s="4" customFormat="1" ht="25.5" x14ac:dyDescent="0.25">
      <c r="A5559" s="4" t="s">
        <v>9436</v>
      </c>
      <c r="B5559" s="4" t="s">
        <v>38</v>
      </c>
      <c r="C5559" s="37" t="s">
        <v>9243</v>
      </c>
      <c r="D5559" s="35">
        <v>1168</v>
      </c>
      <c r="E5559" s="4" t="s">
        <v>9437</v>
      </c>
      <c r="F5559" s="5">
        <v>39083</v>
      </c>
      <c r="G5559" s="5">
        <v>41639</v>
      </c>
      <c r="H5559" s="4" t="s">
        <v>40</v>
      </c>
      <c r="I5559" s="6">
        <f>263151.53+63475.74+63455.33+63747.97</f>
        <v>453830.57000000007</v>
      </c>
      <c r="J5559" s="6">
        <f>390375.24+63455.33</f>
        <v>453830.57</v>
      </c>
      <c r="K5559" s="37" t="s">
        <v>9243</v>
      </c>
      <c r="L5559" s="119"/>
    </row>
    <row r="5560" spans="1:12" s="4" customFormat="1" ht="38.25" x14ac:dyDescent="0.25">
      <c r="A5560" s="4" t="s">
        <v>5489</v>
      </c>
      <c r="B5560" s="4" t="s">
        <v>13</v>
      </c>
      <c r="C5560" s="37" t="s">
        <v>9243</v>
      </c>
      <c r="D5560" s="35">
        <v>1169</v>
      </c>
      <c r="E5560" s="4" t="s">
        <v>9438</v>
      </c>
      <c r="F5560" s="5">
        <v>39146</v>
      </c>
      <c r="G5560" s="5">
        <v>40543</v>
      </c>
      <c r="H5560" s="4" t="s">
        <v>40</v>
      </c>
      <c r="I5560" s="6">
        <v>1143.3499999999999</v>
      </c>
      <c r="J5560" s="6">
        <v>1143.3499999999999</v>
      </c>
      <c r="K5560" s="37" t="s">
        <v>9243</v>
      </c>
      <c r="L5560" s="119"/>
    </row>
    <row r="5561" spans="1:12" s="4" customFormat="1" ht="25.5" x14ac:dyDescent="0.25">
      <c r="A5561" s="4" t="s">
        <v>9439</v>
      </c>
      <c r="B5561" s="4" t="s">
        <v>13</v>
      </c>
      <c r="C5561" s="37" t="s">
        <v>9243</v>
      </c>
      <c r="D5561" s="35">
        <v>1170</v>
      </c>
      <c r="E5561" s="4" t="s">
        <v>9440</v>
      </c>
      <c r="F5561" s="5">
        <v>39097</v>
      </c>
      <c r="G5561" s="5">
        <v>41639</v>
      </c>
      <c r="H5561" s="4" t="s">
        <v>40</v>
      </c>
      <c r="I5561" s="6">
        <v>38153.47</v>
      </c>
      <c r="J5561" s="6">
        <v>38153.47</v>
      </c>
      <c r="K5561" s="37" t="s">
        <v>9243</v>
      </c>
      <c r="L5561" s="119"/>
    </row>
    <row r="5562" spans="1:12" s="4" customFormat="1" ht="38.25" x14ac:dyDescent="0.25">
      <c r="A5562" s="4" t="s">
        <v>9441</v>
      </c>
      <c r="B5562" s="4" t="s">
        <v>13</v>
      </c>
      <c r="C5562" s="37" t="s">
        <v>9243</v>
      </c>
      <c r="D5562" s="35">
        <v>1171</v>
      </c>
      <c r="E5562" s="4" t="s">
        <v>9442</v>
      </c>
      <c r="F5562" s="5">
        <v>39356</v>
      </c>
      <c r="G5562" s="5">
        <v>41639</v>
      </c>
      <c r="H5562" s="4" t="s">
        <v>40</v>
      </c>
      <c r="I5562" s="6">
        <v>12571.18</v>
      </c>
      <c r="J5562" s="6">
        <v>12571.18</v>
      </c>
      <c r="K5562" s="37" t="s">
        <v>9243</v>
      </c>
      <c r="L5562" s="119"/>
    </row>
    <row r="5563" spans="1:12" s="4" customFormat="1" ht="38.25" x14ac:dyDescent="0.25">
      <c r="A5563" s="4" t="s">
        <v>9443</v>
      </c>
      <c r="B5563" s="4" t="s">
        <v>38</v>
      </c>
      <c r="C5563" s="37" t="s">
        <v>9243</v>
      </c>
      <c r="D5563" s="35">
        <v>1172</v>
      </c>
      <c r="E5563" s="4" t="s">
        <v>9444</v>
      </c>
      <c r="F5563" s="5">
        <v>39097</v>
      </c>
      <c r="G5563" s="5">
        <v>41639</v>
      </c>
      <c r="H5563" s="4" t="s">
        <v>40</v>
      </c>
      <c r="I5563" s="6">
        <v>15879.59</v>
      </c>
      <c r="J5563" s="6">
        <f>13162.89+2716.7</f>
        <v>15879.59</v>
      </c>
      <c r="K5563" s="37" t="s">
        <v>9243</v>
      </c>
      <c r="L5563" s="119"/>
    </row>
    <row r="5564" spans="1:12" s="4" customFormat="1" ht="25.5" x14ac:dyDescent="0.25">
      <c r="A5564" s="4" t="s">
        <v>9445</v>
      </c>
      <c r="B5564" s="4" t="s">
        <v>38</v>
      </c>
      <c r="C5564" s="37" t="s">
        <v>9243</v>
      </c>
      <c r="D5564" s="35">
        <v>1174</v>
      </c>
      <c r="E5564" s="4" t="s">
        <v>9446</v>
      </c>
      <c r="F5564" s="5">
        <v>39519</v>
      </c>
      <c r="G5564" s="5">
        <v>41639</v>
      </c>
      <c r="H5564" s="4" t="s">
        <v>40</v>
      </c>
      <c r="I5564" s="6">
        <v>150</v>
      </c>
      <c r="J5564" s="6">
        <v>150</v>
      </c>
      <c r="K5564" s="37" t="s">
        <v>9243</v>
      </c>
      <c r="L5564" s="119"/>
    </row>
    <row r="5565" spans="1:12" s="4" customFormat="1" ht="25.5" x14ac:dyDescent="0.25">
      <c r="A5565" s="4" t="s">
        <v>3252</v>
      </c>
      <c r="B5565" s="4" t="s">
        <v>38</v>
      </c>
      <c r="C5565" s="37" t="s">
        <v>9243</v>
      </c>
      <c r="D5565" s="35">
        <v>1176</v>
      </c>
      <c r="E5565" s="4" t="s">
        <v>3252</v>
      </c>
      <c r="F5565" s="5">
        <v>39373</v>
      </c>
      <c r="G5565" s="5">
        <v>41639</v>
      </c>
      <c r="H5565" s="4" t="s">
        <v>40</v>
      </c>
      <c r="I5565" s="6">
        <v>300</v>
      </c>
      <c r="J5565" s="6">
        <v>300</v>
      </c>
      <c r="K5565" s="37" t="s">
        <v>9243</v>
      </c>
      <c r="L5565" s="119"/>
    </row>
    <row r="5566" spans="1:12" s="4" customFormat="1" x14ac:dyDescent="0.25">
      <c r="A5566" s="4" t="s">
        <v>9447</v>
      </c>
      <c r="B5566" s="4" t="s">
        <v>13</v>
      </c>
      <c r="C5566" s="37" t="s">
        <v>9243</v>
      </c>
      <c r="D5566" s="35">
        <v>1178</v>
      </c>
      <c r="E5566" s="4" t="s">
        <v>9448</v>
      </c>
      <c r="F5566" s="5">
        <v>39674</v>
      </c>
      <c r="G5566" s="5">
        <v>41639</v>
      </c>
      <c r="H5566" s="4" t="s">
        <v>40</v>
      </c>
      <c r="I5566" s="6">
        <v>698.88</v>
      </c>
      <c r="J5566" s="6">
        <v>698.88</v>
      </c>
      <c r="K5566" s="37" t="s">
        <v>9243</v>
      </c>
      <c r="L5566" s="119"/>
    </row>
    <row r="5567" spans="1:12" s="4" customFormat="1" ht="89.25" x14ac:dyDescent="0.25">
      <c r="A5567" s="4" t="s">
        <v>9449</v>
      </c>
      <c r="B5567" s="4" t="s">
        <v>38</v>
      </c>
      <c r="C5567" s="37" t="s">
        <v>9243</v>
      </c>
      <c r="D5567" s="35">
        <v>1179</v>
      </c>
      <c r="E5567" s="7" t="s">
        <v>9450</v>
      </c>
      <c r="F5567" s="5">
        <v>39217</v>
      </c>
      <c r="G5567" s="5">
        <v>41639</v>
      </c>
      <c r="H5567" s="4" t="s">
        <v>40</v>
      </c>
      <c r="I5567" s="6">
        <v>2500</v>
      </c>
      <c r="J5567" s="6">
        <v>2500</v>
      </c>
      <c r="K5567" s="37" t="s">
        <v>9243</v>
      </c>
      <c r="L5567" s="119"/>
    </row>
    <row r="5568" spans="1:12" s="4" customFormat="1" ht="25.5" x14ac:dyDescent="0.25">
      <c r="A5568" s="4" t="s">
        <v>9451</v>
      </c>
      <c r="B5568" s="4" t="s">
        <v>38</v>
      </c>
      <c r="C5568" s="37" t="s">
        <v>9243</v>
      </c>
      <c r="D5568" s="35">
        <v>1181</v>
      </c>
      <c r="E5568" s="4" t="s">
        <v>9452</v>
      </c>
      <c r="F5568" s="5">
        <v>39786</v>
      </c>
      <c r="G5568" s="5">
        <v>41639</v>
      </c>
      <c r="H5568" s="4" t="s">
        <v>40</v>
      </c>
      <c r="I5568" s="6">
        <v>545.20000000000005</v>
      </c>
      <c r="J5568" s="6">
        <v>545.20000000000005</v>
      </c>
      <c r="K5568" s="37" t="s">
        <v>9243</v>
      </c>
      <c r="L5568" s="119"/>
    </row>
    <row r="5569" spans="1:12" s="4" customFormat="1" ht="25.5" x14ac:dyDescent="0.25">
      <c r="A5569" s="4" t="s">
        <v>9453</v>
      </c>
      <c r="B5569" s="4" t="s">
        <v>38</v>
      </c>
      <c r="C5569" s="37" t="s">
        <v>9243</v>
      </c>
      <c r="D5569" s="35">
        <v>1193</v>
      </c>
      <c r="E5569" s="4" t="s">
        <v>9454</v>
      </c>
      <c r="F5569" s="5">
        <v>39591</v>
      </c>
      <c r="G5569" s="5">
        <v>41639</v>
      </c>
      <c r="H5569" s="4" t="s">
        <v>40</v>
      </c>
      <c r="I5569" s="6">
        <v>1493.7</v>
      </c>
      <c r="J5569" s="6">
        <v>1493.7</v>
      </c>
      <c r="K5569" s="37" t="s">
        <v>9243</v>
      </c>
      <c r="L5569" s="119"/>
    </row>
    <row r="5570" spans="1:12" s="4" customFormat="1" ht="25.5" x14ac:dyDescent="0.25">
      <c r="A5570" s="4" t="s">
        <v>9457</v>
      </c>
      <c r="B5570" s="4" t="s">
        <v>38</v>
      </c>
      <c r="C5570" s="37" t="s">
        <v>9243</v>
      </c>
      <c r="D5570" s="35">
        <v>4253</v>
      </c>
      <c r="E5570" s="4" t="s">
        <v>9458</v>
      </c>
      <c r="F5570" s="5">
        <v>39520</v>
      </c>
      <c r="G5570" s="5">
        <v>41639</v>
      </c>
      <c r="H5570" s="4" t="s">
        <v>40</v>
      </c>
      <c r="I5570" s="6">
        <v>313.52</v>
      </c>
      <c r="J5570" s="6">
        <v>313.52</v>
      </c>
      <c r="K5570" s="37" t="s">
        <v>9243</v>
      </c>
      <c r="L5570" s="119"/>
    </row>
    <row r="5571" spans="1:12" s="4" customFormat="1" ht="25.5" x14ac:dyDescent="0.25">
      <c r="A5571" s="4" t="s">
        <v>9459</v>
      </c>
      <c r="B5571" s="4" t="s">
        <v>38</v>
      </c>
      <c r="C5571" s="37" t="s">
        <v>9243</v>
      </c>
      <c r="D5571" s="35">
        <v>4371</v>
      </c>
      <c r="E5571" s="4" t="s">
        <v>9460</v>
      </c>
      <c r="F5571" s="5">
        <v>39174</v>
      </c>
      <c r="G5571" s="5">
        <v>41639</v>
      </c>
      <c r="H5571" s="4" t="s">
        <v>40</v>
      </c>
      <c r="I5571" s="6">
        <v>1076.6500000000001</v>
      </c>
      <c r="J5571" s="6">
        <v>1076.6500000000001</v>
      </c>
      <c r="K5571" s="37" t="s">
        <v>9243</v>
      </c>
      <c r="L5571" s="119"/>
    </row>
    <row r="5572" spans="1:12" s="4" customFormat="1" ht="51" x14ac:dyDescent="0.25">
      <c r="A5572" s="4" t="s">
        <v>9461</v>
      </c>
      <c r="B5572" s="4" t="s">
        <v>50</v>
      </c>
      <c r="C5572" s="37" t="s">
        <v>9243</v>
      </c>
      <c r="D5572" s="35">
        <v>5244</v>
      </c>
      <c r="E5572" s="4" t="s">
        <v>9462</v>
      </c>
      <c r="F5572" s="5">
        <v>40095</v>
      </c>
      <c r="G5572" s="5">
        <v>40095</v>
      </c>
      <c r="H5572" s="4" t="s">
        <v>40</v>
      </c>
      <c r="I5572" s="6">
        <v>50000</v>
      </c>
      <c r="J5572" s="6">
        <v>25000</v>
      </c>
      <c r="K5572" s="37" t="s">
        <v>9243</v>
      </c>
      <c r="L5572" s="119"/>
    </row>
    <row r="5573" spans="1:12" s="4" customFormat="1" ht="25.5" x14ac:dyDescent="0.25">
      <c r="A5573" s="4" t="s">
        <v>9463</v>
      </c>
      <c r="B5573" s="4" t="s">
        <v>59</v>
      </c>
      <c r="C5573" s="37" t="s">
        <v>9243</v>
      </c>
      <c r="D5573" s="35">
        <v>5245</v>
      </c>
      <c r="E5573" s="4" t="s">
        <v>9464</v>
      </c>
      <c r="F5573" s="5">
        <v>39976</v>
      </c>
      <c r="G5573" s="5">
        <v>40154</v>
      </c>
      <c r="H5573" s="4" t="s">
        <v>40</v>
      </c>
      <c r="I5573" s="6">
        <v>7500</v>
      </c>
      <c r="J5573" s="6">
        <v>7500</v>
      </c>
      <c r="K5573" s="37" t="s">
        <v>9243</v>
      </c>
      <c r="L5573" s="119"/>
    </row>
    <row r="5574" spans="1:12" s="4" customFormat="1" ht="25.5" x14ac:dyDescent="0.25">
      <c r="A5574" s="4" t="s">
        <v>9465</v>
      </c>
      <c r="B5574" s="4" t="s">
        <v>50</v>
      </c>
      <c r="C5574" s="37" t="s">
        <v>9243</v>
      </c>
      <c r="D5574" s="35">
        <v>5247</v>
      </c>
      <c r="E5574" s="4" t="s">
        <v>9466</v>
      </c>
      <c r="F5574" s="5">
        <v>40115</v>
      </c>
      <c r="G5574" s="5">
        <v>40115</v>
      </c>
      <c r="H5574" s="4" t="s">
        <v>40</v>
      </c>
      <c r="I5574" s="6">
        <v>80000</v>
      </c>
      <c r="J5574" s="6">
        <v>40000</v>
      </c>
      <c r="K5574" s="37" t="s">
        <v>9243</v>
      </c>
      <c r="L5574" s="119"/>
    </row>
    <row r="5575" spans="1:12" s="4" customFormat="1" x14ac:dyDescent="0.25">
      <c r="A5575" s="4" t="s">
        <v>9467</v>
      </c>
      <c r="B5575" s="4" t="s">
        <v>50</v>
      </c>
      <c r="C5575" s="37" t="s">
        <v>9243</v>
      </c>
      <c r="D5575" s="35">
        <v>5251</v>
      </c>
      <c r="E5575" s="4" t="s">
        <v>9468</v>
      </c>
      <c r="F5575" s="5">
        <v>40140</v>
      </c>
      <c r="G5575" s="5">
        <v>40451</v>
      </c>
      <c r="H5575" s="4" t="s">
        <v>40</v>
      </c>
      <c r="I5575" s="6">
        <v>6762.96</v>
      </c>
      <c r="J5575" s="6">
        <v>3381.48</v>
      </c>
      <c r="K5575" s="37" t="s">
        <v>9243</v>
      </c>
      <c r="L5575" s="119"/>
    </row>
    <row r="5576" spans="1:12" s="4" customFormat="1" ht="25.5" x14ac:dyDescent="0.25">
      <c r="A5576" s="4" t="s">
        <v>9469</v>
      </c>
      <c r="B5576" s="4" t="s">
        <v>59</v>
      </c>
      <c r="C5576" s="37" t="s">
        <v>9243</v>
      </c>
      <c r="D5576" s="35">
        <v>5253</v>
      </c>
      <c r="E5576" s="4" t="s">
        <v>9470</v>
      </c>
      <c r="F5576" s="5">
        <v>40052</v>
      </c>
      <c r="G5576" s="5">
        <v>40267</v>
      </c>
      <c r="H5576" s="4" t="s">
        <v>40</v>
      </c>
      <c r="I5576" s="6">
        <v>15000</v>
      </c>
      <c r="J5576" s="6">
        <v>15000</v>
      </c>
      <c r="K5576" s="37" t="s">
        <v>9243</v>
      </c>
      <c r="L5576" s="119"/>
    </row>
    <row r="5577" spans="1:12" s="4" customFormat="1" x14ac:dyDescent="0.25">
      <c r="A5577" s="4" t="s">
        <v>9471</v>
      </c>
      <c r="B5577" s="4" t="s">
        <v>90</v>
      </c>
      <c r="C5577" s="37" t="s">
        <v>9243</v>
      </c>
      <c r="D5577" s="35">
        <v>5256</v>
      </c>
      <c r="E5577" s="4" t="s">
        <v>9472</v>
      </c>
      <c r="F5577" s="5">
        <v>40011</v>
      </c>
      <c r="G5577" s="5">
        <v>40011</v>
      </c>
      <c r="H5577" s="4" t="s">
        <v>40</v>
      </c>
      <c r="I5577" s="6">
        <v>9899.16</v>
      </c>
      <c r="J5577" s="6">
        <v>4949.58</v>
      </c>
      <c r="K5577" s="37" t="s">
        <v>9243</v>
      </c>
      <c r="L5577" s="119"/>
    </row>
    <row r="5578" spans="1:12" s="4" customFormat="1" ht="25.5" x14ac:dyDescent="0.25">
      <c r="A5578" s="4" t="s">
        <v>9473</v>
      </c>
      <c r="B5578" s="4" t="s">
        <v>50</v>
      </c>
      <c r="C5578" s="37" t="s">
        <v>9243</v>
      </c>
      <c r="D5578" s="35">
        <v>5260</v>
      </c>
      <c r="E5578" s="4" t="s">
        <v>9474</v>
      </c>
      <c r="F5578" s="5">
        <v>39961</v>
      </c>
      <c r="G5578" s="5">
        <v>39961</v>
      </c>
      <c r="H5578" s="4" t="s">
        <v>40</v>
      </c>
      <c r="I5578" s="6">
        <v>51430</v>
      </c>
      <c r="J5578" s="6">
        <v>25715</v>
      </c>
      <c r="K5578" s="37" t="s">
        <v>9243</v>
      </c>
      <c r="L5578" s="119"/>
    </row>
    <row r="5579" spans="1:12" s="4" customFormat="1" ht="51" x14ac:dyDescent="0.25">
      <c r="A5579" s="4" t="s">
        <v>9477</v>
      </c>
      <c r="B5579" s="4" t="s">
        <v>50</v>
      </c>
      <c r="C5579" s="37" t="s">
        <v>9243</v>
      </c>
      <c r="D5579" s="35">
        <v>5264</v>
      </c>
      <c r="E5579" s="4" t="s">
        <v>9478</v>
      </c>
      <c r="F5579" s="5">
        <v>39877</v>
      </c>
      <c r="G5579" s="5">
        <v>39877</v>
      </c>
      <c r="H5579" s="4" t="s">
        <v>40</v>
      </c>
      <c r="I5579" s="6">
        <v>40000</v>
      </c>
      <c r="J5579" s="6">
        <v>20000</v>
      </c>
      <c r="K5579" s="37" t="s">
        <v>9243</v>
      </c>
      <c r="L5579" s="119"/>
    </row>
    <row r="5580" spans="1:12" s="4" customFormat="1" ht="25.5" x14ac:dyDescent="0.25">
      <c r="A5580" s="4" t="s">
        <v>9479</v>
      </c>
      <c r="B5580" s="4" t="s">
        <v>50</v>
      </c>
      <c r="C5580" s="37" t="s">
        <v>9243</v>
      </c>
      <c r="D5580" s="35">
        <v>5265</v>
      </c>
      <c r="E5580" s="4" t="s">
        <v>9480</v>
      </c>
      <c r="F5580" s="5">
        <v>39877</v>
      </c>
      <c r="G5580" s="5">
        <v>39877</v>
      </c>
      <c r="H5580" s="4" t="s">
        <v>40</v>
      </c>
      <c r="I5580" s="6">
        <v>40000</v>
      </c>
      <c r="J5580" s="6">
        <v>20000</v>
      </c>
      <c r="K5580" s="37" t="s">
        <v>9243</v>
      </c>
      <c r="L5580" s="119"/>
    </row>
    <row r="5581" spans="1:12" s="4" customFormat="1" x14ac:dyDescent="0.25">
      <c r="A5581" s="4" t="s">
        <v>9481</v>
      </c>
      <c r="B5581" s="4" t="s">
        <v>90</v>
      </c>
      <c r="C5581" s="37" t="s">
        <v>9243</v>
      </c>
      <c r="D5581" s="35">
        <v>5267</v>
      </c>
      <c r="E5581" s="4" t="s">
        <v>9482</v>
      </c>
      <c r="F5581" s="5">
        <v>40115</v>
      </c>
      <c r="G5581" s="5">
        <v>40115</v>
      </c>
      <c r="H5581" s="4" t="s">
        <v>40</v>
      </c>
      <c r="I5581" s="6">
        <v>10200</v>
      </c>
      <c r="J5581" s="6">
        <v>5100</v>
      </c>
      <c r="K5581" s="37" t="s">
        <v>9243</v>
      </c>
      <c r="L5581" s="119"/>
    </row>
    <row r="5582" spans="1:12" s="4" customFormat="1" x14ac:dyDescent="0.25">
      <c r="A5582" s="4" t="s">
        <v>9485</v>
      </c>
      <c r="B5582" s="4" t="s">
        <v>50</v>
      </c>
      <c r="C5582" s="37" t="s">
        <v>9243</v>
      </c>
      <c r="D5582" s="35">
        <v>5269</v>
      </c>
      <c r="E5582" s="4" t="s">
        <v>9486</v>
      </c>
      <c r="F5582" s="5">
        <v>40008</v>
      </c>
      <c r="G5582" s="5">
        <v>40154</v>
      </c>
      <c r="H5582" s="4" t="s">
        <v>40</v>
      </c>
      <c r="I5582" s="6">
        <v>11031.2</v>
      </c>
      <c r="J5582" s="6">
        <v>5515.6</v>
      </c>
      <c r="K5582" s="37" t="s">
        <v>9243</v>
      </c>
      <c r="L5582" s="119"/>
    </row>
    <row r="5583" spans="1:12" s="4" customFormat="1" ht="38.25" x14ac:dyDescent="0.25">
      <c r="A5583" s="4" t="s">
        <v>9487</v>
      </c>
      <c r="B5583" s="4" t="s">
        <v>190</v>
      </c>
      <c r="C5583" s="37" t="s">
        <v>9243</v>
      </c>
      <c r="D5583" s="35">
        <v>5270</v>
      </c>
      <c r="E5583" s="4" t="s">
        <v>9488</v>
      </c>
      <c r="F5583" s="5">
        <v>40052</v>
      </c>
      <c r="G5583" s="5">
        <v>41639</v>
      </c>
      <c r="H5583" s="4" t="s">
        <v>40</v>
      </c>
      <c r="I5583" s="6">
        <v>6323</v>
      </c>
      <c r="J5583" s="6">
        <v>3161.5</v>
      </c>
      <c r="K5583" s="37" t="s">
        <v>9243</v>
      </c>
      <c r="L5583" s="119"/>
    </row>
    <row r="5584" spans="1:12" s="4" customFormat="1" x14ac:dyDescent="0.25">
      <c r="A5584" s="4" t="s">
        <v>9489</v>
      </c>
      <c r="B5584" s="4" t="s">
        <v>59</v>
      </c>
      <c r="C5584" s="37" t="s">
        <v>9243</v>
      </c>
      <c r="D5584" s="35">
        <v>5271</v>
      </c>
      <c r="E5584" s="4" t="s">
        <v>9490</v>
      </c>
      <c r="F5584" s="5">
        <v>39976</v>
      </c>
      <c r="G5584" s="5">
        <v>40154</v>
      </c>
      <c r="H5584" s="4" t="s">
        <v>40</v>
      </c>
      <c r="I5584" s="6">
        <v>7500</v>
      </c>
      <c r="J5584" s="6">
        <v>7500</v>
      </c>
      <c r="K5584" s="37" t="s">
        <v>9243</v>
      </c>
      <c r="L5584" s="119"/>
    </row>
    <row r="5585" spans="1:12" s="4" customFormat="1" ht="25.5" x14ac:dyDescent="0.25">
      <c r="A5585" s="4" t="s">
        <v>9491</v>
      </c>
      <c r="B5585" s="4" t="s">
        <v>59</v>
      </c>
      <c r="C5585" s="37" t="s">
        <v>9243</v>
      </c>
      <c r="D5585" s="35">
        <v>5272</v>
      </c>
      <c r="E5585" s="4" t="s">
        <v>9492</v>
      </c>
      <c r="F5585" s="5">
        <v>40011</v>
      </c>
      <c r="G5585" s="5">
        <v>40095</v>
      </c>
      <c r="H5585" s="4" t="s">
        <v>40</v>
      </c>
      <c r="I5585" s="6">
        <v>11250</v>
      </c>
      <c r="J5585" s="6">
        <v>11250</v>
      </c>
      <c r="K5585" s="37" t="s">
        <v>9243</v>
      </c>
      <c r="L5585" s="119"/>
    </row>
    <row r="5586" spans="1:12" s="4" customFormat="1" x14ac:dyDescent="0.25">
      <c r="A5586" s="4" t="s">
        <v>9493</v>
      </c>
      <c r="B5586" s="4" t="s">
        <v>59</v>
      </c>
      <c r="C5586" s="37" t="s">
        <v>9243</v>
      </c>
      <c r="D5586" s="35">
        <v>5274</v>
      </c>
      <c r="E5586" s="4" t="s">
        <v>9494</v>
      </c>
      <c r="F5586" s="5">
        <v>40052</v>
      </c>
      <c r="G5586" s="5">
        <v>40267</v>
      </c>
      <c r="H5586" s="4" t="s">
        <v>40</v>
      </c>
      <c r="I5586" s="6">
        <v>3750</v>
      </c>
      <c r="J5586" s="6">
        <v>3750</v>
      </c>
      <c r="K5586" s="37" t="s">
        <v>9243</v>
      </c>
      <c r="L5586" s="119"/>
    </row>
    <row r="5587" spans="1:12" s="4" customFormat="1" ht="38.25" x14ac:dyDescent="0.25">
      <c r="A5587" s="4" t="s">
        <v>9495</v>
      </c>
      <c r="B5587" s="4" t="s">
        <v>3197</v>
      </c>
      <c r="C5587" s="37" t="s">
        <v>9243</v>
      </c>
      <c r="D5587" s="35">
        <v>5275</v>
      </c>
      <c r="E5587" s="4" t="s">
        <v>9496</v>
      </c>
      <c r="F5587" s="5">
        <v>40140</v>
      </c>
      <c r="G5587" s="5">
        <v>40140</v>
      </c>
      <c r="H5587" s="4" t="s">
        <v>40</v>
      </c>
      <c r="I5587" s="6">
        <v>10200</v>
      </c>
      <c r="J5587" s="6">
        <v>5100</v>
      </c>
      <c r="K5587" s="37" t="s">
        <v>9243</v>
      </c>
      <c r="L5587" s="119"/>
    </row>
    <row r="5588" spans="1:12" s="4" customFormat="1" ht="51" x14ac:dyDescent="0.25">
      <c r="A5588" s="4" t="s">
        <v>9497</v>
      </c>
      <c r="B5588" s="4" t="s">
        <v>3197</v>
      </c>
      <c r="C5588" s="37" t="s">
        <v>9243</v>
      </c>
      <c r="D5588" s="35">
        <v>5276</v>
      </c>
      <c r="E5588" s="4" t="s">
        <v>9498</v>
      </c>
      <c r="F5588" s="5">
        <v>40140</v>
      </c>
      <c r="G5588" s="5">
        <v>40140</v>
      </c>
      <c r="H5588" s="4" t="s">
        <v>40</v>
      </c>
      <c r="I5588" s="6">
        <v>932</v>
      </c>
      <c r="J5588" s="6">
        <v>466</v>
      </c>
      <c r="K5588" s="37" t="s">
        <v>9243</v>
      </c>
      <c r="L5588" s="119"/>
    </row>
    <row r="5589" spans="1:12" s="4" customFormat="1" ht="38.25" x14ac:dyDescent="0.25">
      <c r="A5589" s="4" t="s">
        <v>9499</v>
      </c>
      <c r="B5589" s="4" t="s">
        <v>90</v>
      </c>
      <c r="C5589" s="37" t="s">
        <v>9243</v>
      </c>
      <c r="D5589" s="35">
        <v>5277</v>
      </c>
      <c r="E5589" s="4" t="s">
        <v>9500</v>
      </c>
      <c r="F5589" s="5">
        <v>40162</v>
      </c>
      <c r="G5589" s="5">
        <v>40162</v>
      </c>
      <c r="H5589" s="4" t="s">
        <v>40</v>
      </c>
      <c r="I5589" s="6">
        <v>8000</v>
      </c>
      <c r="J5589" s="6">
        <v>4000</v>
      </c>
      <c r="K5589" s="37" t="s">
        <v>9243</v>
      </c>
      <c r="L5589" s="119"/>
    </row>
    <row r="5590" spans="1:12" s="4" customFormat="1" ht="25.5" x14ac:dyDescent="0.25">
      <c r="A5590" s="4" t="s">
        <v>9503</v>
      </c>
      <c r="B5590" s="4" t="s">
        <v>90</v>
      </c>
      <c r="C5590" s="37" t="s">
        <v>9243</v>
      </c>
      <c r="D5590" s="35">
        <v>5280</v>
      </c>
      <c r="E5590" s="4" t="s">
        <v>9504</v>
      </c>
      <c r="F5590" s="5">
        <v>40162</v>
      </c>
      <c r="G5590" s="5">
        <v>40162</v>
      </c>
      <c r="H5590" s="4" t="s">
        <v>40</v>
      </c>
      <c r="I5590" s="6">
        <v>1740.96</v>
      </c>
      <c r="J5590" s="6">
        <v>870.48</v>
      </c>
      <c r="K5590" s="37" t="s">
        <v>9243</v>
      </c>
      <c r="L5590" s="119"/>
    </row>
    <row r="5591" spans="1:12" s="4" customFormat="1" ht="38.25" x14ac:dyDescent="0.25">
      <c r="A5591" s="4" t="s">
        <v>9505</v>
      </c>
      <c r="B5591" s="4" t="s">
        <v>59</v>
      </c>
      <c r="C5591" s="37" t="s">
        <v>9243</v>
      </c>
      <c r="D5591" s="35">
        <v>5284</v>
      </c>
      <c r="E5591" s="4" t="s">
        <v>9506</v>
      </c>
      <c r="F5591" s="5">
        <v>39925</v>
      </c>
      <c r="G5591" s="5">
        <v>39925</v>
      </c>
      <c r="H5591" s="4" t="s">
        <v>40</v>
      </c>
      <c r="I5591" s="6">
        <v>3750</v>
      </c>
      <c r="J5591" s="6">
        <v>3750</v>
      </c>
      <c r="K5591" s="37" t="s">
        <v>9243</v>
      </c>
      <c r="L5591" s="119"/>
    </row>
    <row r="5592" spans="1:12" s="4" customFormat="1" ht="25.5" x14ac:dyDescent="0.25">
      <c r="A5592" s="4" t="s">
        <v>9509</v>
      </c>
      <c r="B5592" s="4" t="s">
        <v>59</v>
      </c>
      <c r="C5592" s="37" t="s">
        <v>9243</v>
      </c>
      <c r="D5592" s="35">
        <v>5287</v>
      </c>
      <c r="E5592" s="4" t="s">
        <v>9510</v>
      </c>
      <c r="F5592" s="5">
        <v>39925</v>
      </c>
      <c r="G5592" s="5">
        <v>39925</v>
      </c>
      <c r="H5592" s="4" t="s">
        <v>40</v>
      </c>
      <c r="I5592" s="6">
        <v>3750</v>
      </c>
      <c r="J5592" s="6">
        <v>3750</v>
      </c>
      <c r="K5592" s="37" t="s">
        <v>9243</v>
      </c>
      <c r="L5592" s="119"/>
    </row>
    <row r="5593" spans="1:12" s="4" customFormat="1" ht="25.5" x14ac:dyDescent="0.25">
      <c r="A5593" s="4" t="s">
        <v>9511</v>
      </c>
      <c r="B5593" s="4" t="s">
        <v>38</v>
      </c>
      <c r="C5593" s="37" t="s">
        <v>9243</v>
      </c>
      <c r="D5593" s="35">
        <v>5297</v>
      </c>
      <c r="E5593" s="4" t="s">
        <v>9511</v>
      </c>
      <c r="F5593" s="5">
        <v>39881</v>
      </c>
      <c r="G5593" s="5">
        <v>41359</v>
      </c>
      <c r="H5593" s="4" t="s">
        <v>40</v>
      </c>
      <c r="I5593" s="6">
        <v>300</v>
      </c>
      <c r="J5593" s="6">
        <v>300</v>
      </c>
      <c r="K5593" s="37" t="s">
        <v>9243</v>
      </c>
      <c r="L5593" s="119"/>
    </row>
    <row r="5594" spans="1:12" s="4" customFormat="1" ht="25.5" x14ac:dyDescent="0.25">
      <c r="A5594" s="4" t="s">
        <v>9512</v>
      </c>
      <c r="B5594" s="4" t="s">
        <v>38</v>
      </c>
      <c r="C5594" s="37" t="s">
        <v>9243</v>
      </c>
      <c r="D5594" s="35">
        <v>5302</v>
      </c>
      <c r="E5594" s="4" t="s">
        <v>9513</v>
      </c>
      <c r="F5594" s="5">
        <v>39875</v>
      </c>
      <c r="G5594" s="5">
        <v>41639</v>
      </c>
      <c r="H5594" s="4" t="s">
        <v>40</v>
      </c>
      <c r="I5594" s="6">
        <v>1810</v>
      </c>
      <c r="J5594" s="6">
        <v>1810</v>
      </c>
      <c r="K5594" s="37" t="s">
        <v>9243</v>
      </c>
      <c r="L5594" s="119"/>
    </row>
    <row r="5595" spans="1:12" s="4" customFormat="1" ht="25.5" x14ac:dyDescent="0.25">
      <c r="A5595" s="4" t="s">
        <v>9514</v>
      </c>
      <c r="B5595" s="4" t="s">
        <v>38</v>
      </c>
      <c r="C5595" s="37" t="s">
        <v>9243</v>
      </c>
      <c r="D5595" s="35">
        <v>5306</v>
      </c>
      <c r="E5595" s="4" t="s">
        <v>9515</v>
      </c>
      <c r="F5595" s="5">
        <v>39854</v>
      </c>
      <c r="G5595" s="5">
        <v>41639</v>
      </c>
      <c r="H5595" s="4" t="s">
        <v>40</v>
      </c>
      <c r="I5595" s="6">
        <v>987.65</v>
      </c>
      <c r="J5595" s="6">
        <f>258.8+728.85</f>
        <v>987.65000000000009</v>
      </c>
      <c r="K5595" s="37" t="s">
        <v>9243</v>
      </c>
      <c r="L5595" s="119"/>
    </row>
    <row r="5596" spans="1:12" s="4" customFormat="1" ht="25.5" x14ac:dyDescent="0.25">
      <c r="A5596" s="4" t="s">
        <v>9516</v>
      </c>
      <c r="B5596" s="4" t="s">
        <v>38</v>
      </c>
      <c r="C5596" s="37" t="s">
        <v>9243</v>
      </c>
      <c r="D5596" s="35">
        <v>5308</v>
      </c>
      <c r="E5596" s="4" t="s">
        <v>9517</v>
      </c>
      <c r="F5596" s="5">
        <v>40078</v>
      </c>
      <c r="G5596" s="5">
        <v>41639</v>
      </c>
      <c r="H5596" s="4" t="s">
        <v>40</v>
      </c>
      <c r="I5596" s="6">
        <v>2063</v>
      </c>
      <c r="J5596" s="6">
        <v>2063</v>
      </c>
      <c r="K5596" s="37" t="s">
        <v>9243</v>
      </c>
      <c r="L5596" s="119"/>
    </row>
    <row r="5597" spans="1:12" s="4" customFormat="1" ht="25.5" x14ac:dyDescent="0.25">
      <c r="A5597" s="4" t="s">
        <v>9518</v>
      </c>
      <c r="B5597" s="4" t="s">
        <v>38</v>
      </c>
      <c r="C5597" s="37" t="s">
        <v>9243</v>
      </c>
      <c r="D5597" s="35">
        <v>5311</v>
      </c>
      <c r="E5597" s="4" t="s">
        <v>9519</v>
      </c>
      <c r="F5597" s="5">
        <v>40078</v>
      </c>
      <c r="G5597" s="5">
        <v>41639</v>
      </c>
      <c r="H5597" s="4" t="s">
        <v>40</v>
      </c>
      <c r="I5597" s="6">
        <v>212</v>
      </c>
      <c r="J5597" s="6">
        <v>212</v>
      </c>
      <c r="K5597" s="37" t="s">
        <v>9243</v>
      </c>
      <c r="L5597" s="119"/>
    </row>
    <row r="5598" spans="1:12" s="4" customFormat="1" ht="51" x14ac:dyDescent="0.25">
      <c r="A5598" s="4" t="s">
        <v>9520</v>
      </c>
      <c r="B5598" s="4" t="s">
        <v>38</v>
      </c>
      <c r="C5598" s="37" t="s">
        <v>9243</v>
      </c>
      <c r="D5598" s="35">
        <v>5313</v>
      </c>
      <c r="E5598" s="4" t="s">
        <v>9521</v>
      </c>
      <c r="F5598" s="5">
        <v>40077</v>
      </c>
      <c r="G5598" s="5">
        <v>40908</v>
      </c>
      <c r="H5598" s="4" t="s">
        <v>40</v>
      </c>
      <c r="I5598" s="6">
        <v>1086.4000000000001</v>
      </c>
      <c r="J5598" s="6">
        <v>1083.4000000000001</v>
      </c>
      <c r="K5598" s="37" t="s">
        <v>9243</v>
      </c>
      <c r="L5598" s="119"/>
    </row>
    <row r="5599" spans="1:12" s="4" customFormat="1" ht="38.25" x14ac:dyDescent="0.25">
      <c r="A5599" s="4" t="s">
        <v>9522</v>
      </c>
      <c r="B5599" s="4" t="s">
        <v>13</v>
      </c>
      <c r="C5599" s="37" t="s">
        <v>9243</v>
      </c>
      <c r="D5599" s="35">
        <v>5352</v>
      </c>
      <c r="E5599" s="4" t="s">
        <v>9523</v>
      </c>
      <c r="F5599" s="5">
        <v>40085</v>
      </c>
      <c r="G5599" s="5">
        <v>41639</v>
      </c>
      <c r="H5599" s="4" t="s">
        <v>40</v>
      </c>
      <c r="I5599" s="6">
        <v>2632.45</v>
      </c>
      <c r="J5599" s="6">
        <v>2632.45</v>
      </c>
      <c r="K5599" s="37" t="s">
        <v>9243</v>
      </c>
      <c r="L5599" s="119"/>
    </row>
    <row r="5600" spans="1:12" s="4" customFormat="1" ht="51" x14ac:dyDescent="0.25">
      <c r="A5600" s="4" t="s">
        <v>9524</v>
      </c>
      <c r="B5600" s="4" t="s">
        <v>38</v>
      </c>
      <c r="C5600" s="37" t="s">
        <v>9243</v>
      </c>
      <c r="D5600" s="35">
        <v>5354</v>
      </c>
      <c r="E5600" s="4" t="s">
        <v>9525</v>
      </c>
      <c r="F5600" s="5">
        <v>40044</v>
      </c>
      <c r="G5600" s="5">
        <v>41639</v>
      </c>
      <c r="H5600" s="4" t="s">
        <v>40</v>
      </c>
      <c r="I5600" s="6">
        <v>10777.5</v>
      </c>
      <c r="J5600" s="6">
        <f>7123.5+3654</f>
        <v>10777.5</v>
      </c>
      <c r="K5600" s="37" t="s">
        <v>9243</v>
      </c>
      <c r="L5600" s="119"/>
    </row>
    <row r="5601" spans="1:12" s="4" customFormat="1" ht="38.25" x14ac:dyDescent="0.25">
      <c r="A5601" s="4" t="s">
        <v>9526</v>
      </c>
      <c r="B5601" s="4" t="s">
        <v>38</v>
      </c>
      <c r="C5601" s="37" t="s">
        <v>9243</v>
      </c>
      <c r="D5601" s="35">
        <v>5355</v>
      </c>
      <c r="E5601" s="4" t="s">
        <v>9527</v>
      </c>
      <c r="F5601" s="5">
        <v>39814</v>
      </c>
      <c r="G5601" s="5">
        <v>41639</v>
      </c>
      <c r="H5601" s="4" t="s">
        <v>40</v>
      </c>
      <c r="I5601" s="6">
        <v>1197.5999999999999</v>
      </c>
      <c r="J5601" s="6">
        <v>1197.5999999999999</v>
      </c>
      <c r="K5601" s="37" t="s">
        <v>9243</v>
      </c>
      <c r="L5601" s="119"/>
    </row>
    <row r="5602" spans="1:12" s="4" customFormat="1" ht="38.25" x14ac:dyDescent="0.25">
      <c r="A5602" s="4" t="s">
        <v>9528</v>
      </c>
      <c r="B5602" s="4" t="s">
        <v>38</v>
      </c>
      <c r="C5602" s="37" t="s">
        <v>9243</v>
      </c>
      <c r="D5602" s="35">
        <v>5362</v>
      </c>
      <c r="E5602" s="4" t="s">
        <v>9529</v>
      </c>
      <c r="F5602" s="5">
        <v>39877</v>
      </c>
      <c r="G5602" s="5">
        <v>41639</v>
      </c>
      <c r="H5602" s="4" t="s">
        <v>40</v>
      </c>
      <c r="I5602" s="6">
        <v>1000</v>
      </c>
      <c r="J5602" s="6">
        <v>1000</v>
      </c>
      <c r="K5602" s="37" t="s">
        <v>9243</v>
      </c>
      <c r="L5602" s="119"/>
    </row>
    <row r="5603" spans="1:12" s="4" customFormat="1" ht="25.5" x14ac:dyDescent="0.25">
      <c r="A5603" s="4" t="s">
        <v>9532</v>
      </c>
      <c r="B5603" s="4" t="s">
        <v>190</v>
      </c>
      <c r="C5603" s="37" t="s">
        <v>9243</v>
      </c>
      <c r="D5603" s="35">
        <v>7636</v>
      </c>
      <c r="E5603" s="4" t="s">
        <v>9533</v>
      </c>
      <c r="F5603" s="5">
        <v>40344</v>
      </c>
      <c r="G5603" s="5">
        <v>40709</v>
      </c>
      <c r="H5603" s="4" t="s">
        <v>40</v>
      </c>
      <c r="I5603" s="6">
        <v>20000</v>
      </c>
      <c r="J5603" s="6">
        <v>10000</v>
      </c>
      <c r="K5603" s="37" t="s">
        <v>9243</v>
      </c>
      <c r="L5603" s="119"/>
    </row>
    <row r="5604" spans="1:12" s="4" customFormat="1" ht="25.5" x14ac:dyDescent="0.25">
      <c r="A5604" s="4" t="s">
        <v>9534</v>
      </c>
      <c r="B5604" s="4" t="s">
        <v>183</v>
      </c>
      <c r="C5604" s="37" t="s">
        <v>9243</v>
      </c>
      <c r="D5604" s="35">
        <v>7637</v>
      </c>
      <c r="E5604" s="4" t="s">
        <v>9535</v>
      </c>
      <c r="F5604" s="5">
        <v>40087</v>
      </c>
      <c r="G5604" s="5">
        <v>40452</v>
      </c>
      <c r="H5604" s="4" t="s">
        <v>40</v>
      </c>
      <c r="I5604" s="6">
        <v>21512.68</v>
      </c>
      <c r="J5604" s="6">
        <v>10756.34</v>
      </c>
      <c r="K5604" s="37" t="s">
        <v>9243</v>
      </c>
      <c r="L5604" s="119"/>
    </row>
    <row r="5605" spans="1:12" s="4" customFormat="1" ht="38.25" x14ac:dyDescent="0.25">
      <c r="A5605" s="4" t="s">
        <v>9536</v>
      </c>
      <c r="B5605" s="4" t="s">
        <v>183</v>
      </c>
      <c r="C5605" s="37" t="s">
        <v>9243</v>
      </c>
      <c r="D5605" s="35">
        <v>7638</v>
      </c>
      <c r="E5605" s="4" t="s">
        <v>9537</v>
      </c>
      <c r="F5605" s="5">
        <v>40470</v>
      </c>
      <c r="G5605" s="5">
        <v>40835</v>
      </c>
      <c r="H5605" s="4" t="s">
        <v>40</v>
      </c>
      <c r="I5605" s="6">
        <v>6255.78</v>
      </c>
      <c r="J5605" s="6">
        <v>5003.3900000000003</v>
      </c>
      <c r="K5605" s="37" t="s">
        <v>9243</v>
      </c>
      <c r="L5605" s="119"/>
    </row>
    <row r="5606" spans="1:12" s="4" customFormat="1" ht="38.25" x14ac:dyDescent="0.25">
      <c r="A5606" s="4" t="s">
        <v>9538</v>
      </c>
      <c r="B5606" s="4" t="s">
        <v>183</v>
      </c>
      <c r="C5606" s="37" t="s">
        <v>9243</v>
      </c>
      <c r="D5606" s="35">
        <v>7639</v>
      </c>
      <c r="E5606" s="4" t="s">
        <v>9539</v>
      </c>
      <c r="F5606" s="5">
        <v>40497</v>
      </c>
      <c r="G5606" s="5">
        <v>40954</v>
      </c>
      <c r="H5606" s="4" t="s">
        <v>40</v>
      </c>
      <c r="I5606" s="6">
        <v>4250</v>
      </c>
      <c r="J5606" s="6">
        <v>4000</v>
      </c>
      <c r="K5606" s="37" t="s">
        <v>9243</v>
      </c>
      <c r="L5606" s="119"/>
    </row>
    <row r="5607" spans="1:12" s="4" customFormat="1" ht="38.25" x14ac:dyDescent="0.25">
      <c r="A5607" s="4" t="s">
        <v>9540</v>
      </c>
      <c r="B5607" s="4" t="s">
        <v>183</v>
      </c>
      <c r="C5607" s="37" t="s">
        <v>9243</v>
      </c>
      <c r="D5607" s="35">
        <v>7640</v>
      </c>
      <c r="E5607" s="4" t="s">
        <v>9541</v>
      </c>
      <c r="F5607" s="5">
        <v>40344</v>
      </c>
      <c r="G5607" s="5">
        <v>40710</v>
      </c>
      <c r="H5607" s="4" t="s">
        <v>40</v>
      </c>
      <c r="I5607" s="6">
        <v>7500</v>
      </c>
      <c r="J5607" s="6">
        <v>7500</v>
      </c>
      <c r="K5607" s="37" t="s">
        <v>9243</v>
      </c>
      <c r="L5607" s="119"/>
    </row>
    <row r="5608" spans="1:12" s="4" customFormat="1" ht="25.5" x14ac:dyDescent="0.25">
      <c r="A5608" s="4" t="s">
        <v>9544</v>
      </c>
      <c r="B5608" s="4" t="s">
        <v>183</v>
      </c>
      <c r="C5608" s="37" t="s">
        <v>9243</v>
      </c>
      <c r="D5608" s="35">
        <v>7642</v>
      </c>
      <c r="E5608" s="4" t="s">
        <v>9545</v>
      </c>
      <c r="F5608" s="5">
        <v>40344</v>
      </c>
      <c r="G5608" s="5">
        <v>40709</v>
      </c>
      <c r="H5608" s="4" t="s">
        <v>40</v>
      </c>
      <c r="I5608" s="6">
        <v>3750</v>
      </c>
      <c r="J5608" s="6">
        <v>3750</v>
      </c>
      <c r="K5608" s="37" t="s">
        <v>9243</v>
      </c>
      <c r="L5608" s="119"/>
    </row>
    <row r="5609" spans="1:12" s="4" customFormat="1" ht="25.5" x14ac:dyDescent="0.25">
      <c r="A5609" s="4" t="s">
        <v>9546</v>
      </c>
      <c r="B5609" s="4" t="s">
        <v>183</v>
      </c>
      <c r="C5609" s="37" t="s">
        <v>9243</v>
      </c>
      <c r="D5609" s="35">
        <v>7643</v>
      </c>
      <c r="E5609" s="4" t="s">
        <v>9547</v>
      </c>
      <c r="F5609" s="5">
        <v>40252</v>
      </c>
      <c r="G5609" s="5">
        <v>40617</v>
      </c>
      <c r="H5609" s="4" t="s">
        <v>40</v>
      </c>
      <c r="I5609" s="6">
        <v>30000</v>
      </c>
      <c r="J5609" s="6">
        <v>30000</v>
      </c>
      <c r="K5609" s="37" t="s">
        <v>9243</v>
      </c>
      <c r="L5609" s="119"/>
    </row>
    <row r="5610" spans="1:12" s="4" customFormat="1" ht="51" x14ac:dyDescent="0.25">
      <c r="A5610" s="4" t="s">
        <v>9548</v>
      </c>
      <c r="B5610" s="4" t="s">
        <v>183</v>
      </c>
      <c r="C5610" s="37" t="s">
        <v>9243</v>
      </c>
      <c r="D5610" s="35">
        <v>7644</v>
      </c>
      <c r="E5610" s="4" t="s">
        <v>9549</v>
      </c>
      <c r="F5610" s="5">
        <v>40344</v>
      </c>
      <c r="G5610" s="5">
        <v>40709</v>
      </c>
      <c r="H5610" s="4" t="s">
        <v>40</v>
      </c>
      <c r="I5610" s="6">
        <v>18750</v>
      </c>
      <c r="J5610" s="6">
        <v>18750</v>
      </c>
      <c r="K5610" s="37" t="s">
        <v>9243</v>
      </c>
      <c r="L5610" s="119"/>
    </row>
    <row r="5611" spans="1:12" s="4" customFormat="1" ht="38.25" x14ac:dyDescent="0.25">
      <c r="A5611" s="4" t="s">
        <v>9552</v>
      </c>
      <c r="B5611" s="4" t="s">
        <v>183</v>
      </c>
      <c r="C5611" s="37" t="s">
        <v>9243</v>
      </c>
      <c r="D5611" s="35">
        <v>7646</v>
      </c>
      <c r="E5611" s="4" t="s">
        <v>9553</v>
      </c>
      <c r="F5611" s="5">
        <v>40344</v>
      </c>
      <c r="G5611" s="5">
        <v>40709</v>
      </c>
      <c r="H5611" s="4" t="s">
        <v>40</v>
      </c>
      <c r="I5611" s="6">
        <v>3750</v>
      </c>
      <c r="J5611" s="6">
        <v>3750</v>
      </c>
      <c r="K5611" s="37" t="s">
        <v>9243</v>
      </c>
      <c r="L5611" s="119"/>
    </row>
    <row r="5612" spans="1:12" s="4" customFormat="1" ht="25.5" x14ac:dyDescent="0.25">
      <c r="A5612" s="4" t="s">
        <v>9554</v>
      </c>
      <c r="B5612" s="4" t="s">
        <v>183</v>
      </c>
      <c r="C5612" s="37" t="s">
        <v>9243</v>
      </c>
      <c r="D5612" s="35">
        <v>7647</v>
      </c>
      <c r="E5612" s="4" t="s">
        <v>9555</v>
      </c>
      <c r="F5612" s="5">
        <v>40471</v>
      </c>
      <c r="G5612" s="5">
        <v>40836</v>
      </c>
      <c r="H5612" s="4" t="s">
        <v>40</v>
      </c>
      <c r="I5612" s="6">
        <v>7500</v>
      </c>
      <c r="J5612" s="6">
        <v>7500</v>
      </c>
      <c r="K5612" s="37" t="s">
        <v>9243</v>
      </c>
      <c r="L5612" s="119"/>
    </row>
    <row r="5613" spans="1:12" s="4" customFormat="1" ht="38.25" x14ac:dyDescent="0.25">
      <c r="A5613" s="4" t="s">
        <v>9558</v>
      </c>
      <c r="B5613" s="4" t="s">
        <v>183</v>
      </c>
      <c r="C5613" s="37" t="s">
        <v>9243</v>
      </c>
      <c r="D5613" s="35">
        <v>7653</v>
      </c>
      <c r="E5613" s="4" t="s">
        <v>9559</v>
      </c>
      <c r="F5613" s="5">
        <v>40252</v>
      </c>
      <c r="G5613" s="5">
        <v>40617</v>
      </c>
      <c r="H5613" s="4" t="s">
        <v>40</v>
      </c>
      <c r="I5613" s="6">
        <v>3750</v>
      </c>
      <c r="J5613" s="6">
        <v>3750</v>
      </c>
      <c r="K5613" s="37" t="s">
        <v>9243</v>
      </c>
      <c r="L5613" s="119"/>
    </row>
    <row r="5614" spans="1:12" s="4" customFormat="1" ht="25.5" x14ac:dyDescent="0.25">
      <c r="A5614" s="4" t="s">
        <v>9560</v>
      </c>
      <c r="B5614" s="4" t="s">
        <v>90</v>
      </c>
      <c r="C5614" s="37" t="s">
        <v>9243</v>
      </c>
      <c r="D5614" s="35">
        <v>7655</v>
      </c>
      <c r="E5614" s="4" t="s">
        <v>9561</v>
      </c>
      <c r="F5614" s="5">
        <v>40225</v>
      </c>
      <c r="G5614" s="5">
        <v>40590</v>
      </c>
      <c r="H5614" s="4" t="s">
        <v>40</v>
      </c>
      <c r="I5614" s="6">
        <v>5030</v>
      </c>
      <c r="J5614" s="6">
        <v>2515</v>
      </c>
      <c r="K5614" s="37" t="s">
        <v>9243</v>
      </c>
      <c r="L5614" s="119"/>
    </row>
    <row r="5615" spans="1:12" s="4" customFormat="1" ht="51" x14ac:dyDescent="0.25">
      <c r="A5615" s="4" t="s">
        <v>9562</v>
      </c>
      <c r="B5615" s="4" t="s">
        <v>90</v>
      </c>
      <c r="C5615" s="37" t="s">
        <v>9243</v>
      </c>
      <c r="D5615" s="35">
        <v>7661</v>
      </c>
      <c r="E5615" s="4" t="s">
        <v>9563</v>
      </c>
      <c r="F5615" s="5">
        <v>40288</v>
      </c>
      <c r="G5615" s="5">
        <v>40653</v>
      </c>
      <c r="H5615" s="4" t="s">
        <v>40</v>
      </c>
      <c r="I5615" s="6">
        <v>20000</v>
      </c>
      <c r="J5615" s="6">
        <v>10000</v>
      </c>
      <c r="K5615" s="37" t="s">
        <v>9243</v>
      </c>
      <c r="L5615" s="119"/>
    </row>
    <row r="5616" spans="1:12" s="4" customFormat="1" ht="25.5" x14ac:dyDescent="0.25">
      <c r="A5616" s="4" t="s">
        <v>9564</v>
      </c>
      <c r="B5616" s="4" t="s">
        <v>190</v>
      </c>
      <c r="C5616" s="37" t="s">
        <v>9243</v>
      </c>
      <c r="D5616" s="35">
        <v>7662</v>
      </c>
      <c r="E5616" s="4" t="s">
        <v>9565</v>
      </c>
      <c r="F5616" s="5">
        <v>40225</v>
      </c>
      <c r="G5616" s="5">
        <v>40590</v>
      </c>
      <c r="H5616" s="4" t="s">
        <v>40</v>
      </c>
      <c r="I5616" s="6">
        <v>3500</v>
      </c>
      <c r="J5616" s="6">
        <v>3500</v>
      </c>
      <c r="K5616" s="37" t="s">
        <v>9243</v>
      </c>
      <c r="L5616" s="119"/>
    </row>
    <row r="5617" spans="1:12" s="4" customFormat="1" ht="25.5" x14ac:dyDescent="0.25">
      <c r="A5617" s="4" t="s">
        <v>9566</v>
      </c>
      <c r="B5617" s="4" t="s">
        <v>90</v>
      </c>
      <c r="C5617" s="37" t="s">
        <v>9243</v>
      </c>
      <c r="D5617" s="35">
        <v>7663</v>
      </c>
      <c r="E5617" s="4" t="s">
        <v>9567</v>
      </c>
      <c r="F5617" s="5">
        <v>40441</v>
      </c>
      <c r="G5617" s="5">
        <v>40806</v>
      </c>
      <c r="H5617" s="4" t="s">
        <v>40</v>
      </c>
      <c r="I5617" s="6">
        <v>24000</v>
      </c>
      <c r="J5617" s="6">
        <v>12000</v>
      </c>
      <c r="K5617" s="37" t="s">
        <v>9243</v>
      </c>
      <c r="L5617" s="119"/>
    </row>
    <row r="5618" spans="1:12" s="4" customFormat="1" ht="25.5" x14ac:dyDescent="0.25">
      <c r="A5618" s="4" t="s">
        <v>9568</v>
      </c>
      <c r="B5618" s="4" t="s">
        <v>190</v>
      </c>
      <c r="C5618" s="37" t="s">
        <v>9243</v>
      </c>
      <c r="D5618" s="35">
        <v>7664</v>
      </c>
      <c r="E5618" s="4" t="s">
        <v>9569</v>
      </c>
      <c r="F5618" s="5">
        <v>40197</v>
      </c>
      <c r="G5618" s="5">
        <v>40562</v>
      </c>
      <c r="H5618" s="4" t="s">
        <v>40</v>
      </c>
      <c r="I5618" s="6">
        <v>3750</v>
      </c>
      <c r="J5618" s="6">
        <v>3750</v>
      </c>
      <c r="K5618" s="37" t="s">
        <v>9243</v>
      </c>
      <c r="L5618" s="119"/>
    </row>
    <row r="5619" spans="1:12" s="4" customFormat="1" ht="38.25" x14ac:dyDescent="0.25">
      <c r="A5619" s="4" t="s">
        <v>9570</v>
      </c>
      <c r="B5619" s="4" t="s">
        <v>190</v>
      </c>
      <c r="C5619" s="37" t="s">
        <v>9243</v>
      </c>
      <c r="D5619" s="35">
        <v>7665</v>
      </c>
      <c r="E5619" s="4" t="s">
        <v>9571</v>
      </c>
      <c r="F5619" s="5">
        <v>40197</v>
      </c>
      <c r="G5619" s="5">
        <v>40562</v>
      </c>
      <c r="H5619" s="4" t="s">
        <v>40</v>
      </c>
      <c r="I5619" s="6">
        <v>15000</v>
      </c>
      <c r="J5619" s="6">
        <v>7500</v>
      </c>
      <c r="K5619" s="37" t="s">
        <v>9243</v>
      </c>
      <c r="L5619" s="119"/>
    </row>
    <row r="5620" spans="1:12" s="4" customFormat="1" ht="38.25" x14ac:dyDescent="0.25">
      <c r="A5620" s="4" t="s">
        <v>9572</v>
      </c>
      <c r="B5620" s="4" t="s">
        <v>90</v>
      </c>
      <c r="C5620" s="37" t="s">
        <v>9243</v>
      </c>
      <c r="D5620" s="35">
        <v>7666</v>
      </c>
      <c r="E5620" s="4" t="s">
        <v>9573</v>
      </c>
      <c r="F5620" s="5">
        <v>40225</v>
      </c>
      <c r="G5620" s="5">
        <v>40590</v>
      </c>
      <c r="H5620" s="4" t="s">
        <v>40</v>
      </c>
      <c r="I5620" s="6">
        <v>20000</v>
      </c>
      <c r="J5620" s="6">
        <v>10000</v>
      </c>
      <c r="K5620" s="37" t="s">
        <v>9243</v>
      </c>
      <c r="L5620" s="119"/>
    </row>
    <row r="5621" spans="1:12" s="4" customFormat="1" x14ac:dyDescent="0.25">
      <c r="A5621" s="4" t="s">
        <v>9574</v>
      </c>
      <c r="B5621" s="4" t="s">
        <v>190</v>
      </c>
      <c r="C5621" s="37" t="s">
        <v>9243</v>
      </c>
      <c r="D5621" s="35">
        <v>7667</v>
      </c>
      <c r="E5621" s="4" t="s">
        <v>9575</v>
      </c>
      <c r="F5621" s="5">
        <v>40253</v>
      </c>
      <c r="G5621" s="5">
        <v>40618</v>
      </c>
      <c r="H5621" s="4" t="s">
        <v>40</v>
      </c>
      <c r="I5621" s="6">
        <v>34988</v>
      </c>
      <c r="J5621" s="6">
        <v>17494</v>
      </c>
      <c r="K5621" s="37" t="s">
        <v>9243</v>
      </c>
      <c r="L5621" s="119"/>
    </row>
    <row r="5622" spans="1:12" s="4" customFormat="1" ht="38.25" x14ac:dyDescent="0.25">
      <c r="A5622" s="4" t="s">
        <v>9576</v>
      </c>
      <c r="B5622" s="4" t="s">
        <v>90</v>
      </c>
      <c r="C5622" s="37" t="s">
        <v>9243</v>
      </c>
      <c r="D5622" s="35">
        <v>7668</v>
      </c>
      <c r="E5622" s="4" t="s">
        <v>9577</v>
      </c>
      <c r="F5622" s="5">
        <v>40225</v>
      </c>
      <c r="G5622" s="5">
        <v>40590</v>
      </c>
      <c r="H5622" s="4" t="s">
        <v>40</v>
      </c>
      <c r="I5622" s="6">
        <v>14673.94</v>
      </c>
      <c r="J5622" s="6">
        <v>7336.97</v>
      </c>
      <c r="K5622" s="37" t="s">
        <v>9243</v>
      </c>
      <c r="L5622" s="119"/>
    </row>
    <row r="5623" spans="1:12" s="4" customFormat="1" ht="25.5" x14ac:dyDescent="0.25">
      <c r="A5623" s="4" t="s">
        <v>9578</v>
      </c>
      <c r="B5623" s="4" t="s">
        <v>190</v>
      </c>
      <c r="C5623" s="37" t="s">
        <v>9243</v>
      </c>
      <c r="D5623" s="35">
        <v>7670</v>
      </c>
      <c r="E5623" s="4" t="s">
        <v>9579</v>
      </c>
      <c r="F5623" s="5">
        <v>40344</v>
      </c>
      <c r="G5623" s="5">
        <v>40709</v>
      </c>
      <c r="H5623" s="4" t="s">
        <v>40</v>
      </c>
      <c r="I5623" s="6">
        <v>3000</v>
      </c>
      <c r="J5623" s="6">
        <v>1500</v>
      </c>
      <c r="K5623" s="37" t="s">
        <v>9243</v>
      </c>
      <c r="L5623" s="119"/>
    </row>
    <row r="5624" spans="1:12" s="4" customFormat="1" ht="38.25" x14ac:dyDescent="0.25">
      <c r="A5624" s="4" t="s">
        <v>9580</v>
      </c>
      <c r="B5624" s="4" t="s">
        <v>190</v>
      </c>
      <c r="C5624" s="37" t="s">
        <v>9243</v>
      </c>
      <c r="D5624" s="35">
        <v>7671</v>
      </c>
      <c r="E5624" s="4" t="s">
        <v>9581</v>
      </c>
      <c r="F5624" s="5">
        <v>40253</v>
      </c>
      <c r="G5624" s="5">
        <v>40618</v>
      </c>
      <c r="H5624" s="4" t="s">
        <v>40</v>
      </c>
      <c r="I5624" s="6">
        <v>11250</v>
      </c>
      <c r="J5624" s="6">
        <v>11250</v>
      </c>
      <c r="K5624" s="37" t="s">
        <v>9243</v>
      </c>
      <c r="L5624" s="119"/>
    </row>
    <row r="5625" spans="1:12" s="4" customFormat="1" x14ac:dyDescent="0.25">
      <c r="A5625" s="4" t="s">
        <v>9584</v>
      </c>
      <c r="B5625" s="4" t="s">
        <v>190</v>
      </c>
      <c r="C5625" s="37" t="s">
        <v>9243</v>
      </c>
      <c r="D5625" s="35">
        <v>7677</v>
      </c>
      <c r="E5625" s="4" t="s">
        <v>9585</v>
      </c>
      <c r="F5625" s="5">
        <v>40225</v>
      </c>
      <c r="G5625" s="5">
        <v>40590</v>
      </c>
      <c r="H5625" s="4" t="s">
        <v>40</v>
      </c>
      <c r="I5625" s="6">
        <v>14327.33</v>
      </c>
      <c r="J5625" s="6">
        <v>7163.61</v>
      </c>
      <c r="K5625" s="37" t="s">
        <v>9243</v>
      </c>
      <c r="L5625" s="119"/>
    </row>
    <row r="5626" spans="1:12" s="4" customFormat="1" ht="38.25" x14ac:dyDescent="0.25">
      <c r="A5626" s="4" t="s">
        <v>9586</v>
      </c>
      <c r="B5626" s="4" t="s">
        <v>90</v>
      </c>
      <c r="C5626" s="37" t="s">
        <v>9243</v>
      </c>
      <c r="D5626" s="35">
        <v>7680</v>
      </c>
      <c r="E5626" s="4" t="s">
        <v>9587</v>
      </c>
      <c r="F5626" s="5">
        <v>40344</v>
      </c>
      <c r="G5626" s="5">
        <v>40709</v>
      </c>
      <c r="H5626" s="4" t="s">
        <v>40</v>
      </c>
      <c r="I5626" s="6">
        <v>12999.99</v>
      </c>
      <c r="J5626" s="6">
        <v>6499.95</v>
      </c>
      <c r="K5626" s="37" t="s">
        <v>9243</v>
      </c>
      <c r="L5626" s="119"/>
    </row>
    <row r="5627" spans="1:12" s="4" customFormat="1" ht="25.5" x14ac:dyDescent="0.25">
      <c r="A5627" s="4" t="s">
        <v>9588</v>
      </c>
      <c r="B5627" s="4" t="s">
        <v>183</v>
      </c>
      <c r="C5627" s="37" t="s">
        <v>9243</v>
      </c>
      <c r="D5627" s="35">
        <v>7681</v>
      </c>
      <c r="E5627" s="4" t="s">
        <v>9589</v>
      </c>
      <c r="F5627" s="5">
        <v>40225</v>
      </c>
      <c r="G5627" s="5">
        <v>40590</v>
      </c>
      <c r="H5627" s="4" t="s">
        <v>40</v>
      </c>
      <c r="I5627" s="6">
        <v>27500</v>
      </c>
      <c r="J5627" s="6">
        <v>27500</v>
      </c>
      <c r="K5627" s="37" t="s">
        <v>9243</v>
      </c>
      <c r="L5627" s="119"/>
    </row>
    <row r="5628" spans="1:12" s="4" customFormat="1" ht="38.25" x14ac:dyDescent="0.25">
      <c r="A5628" s="4" t="s">
        <v>9590</v>
      </c>
      <c r="B5628" s="4" t="s">
        <v>38</v>
      </c>
      <c r="C5628" s="37" t="s">
        <v>9243</v>
      </c>
      <c r="D5628" s="35">
        <v>7718</v>
      </c>
      <c r="E5628" s="4" t="s">
        <v>9591</v>
      </c>
      <c r="F5628" s="5">
        <v>40290</v>
      </c>
      <c r="G5628" s="5">
        <v>41639</v>
      </c>
      <c r="H5628" s="4" t="s">
        <v>40</v>
      </c>
      <c r="I5628" s="6">
        <v>520</v>
      </c>
      <c r="J5628" s="6">
        <v>520</v>
      </c>
      <c r="K5628" s="37" t="s">
        <v>9243</v>
      </c>
      <c r="L5628" s="119"/>
    </row>
    <row r="5629" spans="1:12" s="4" customFormat="1" ht="38.25" x14ac:dyDescent="0.25">
      <c r="A5629" s="4" t="s">
        <v>9592</v>
      </c>
      <c r="B5629" s="4" t="s">
        <v>38</v>
      </c>
      <c r="C5629" s="37" t="s">
        <v>9243</v>
      </c>
      <c r="D5629" s="35">
        <v>7719</v>
      </c>
      <c r="E5629" s="4" t="s">
        <v>9593</v>
      </c>
      <c r="F5629" s="5">
        <v>40234</v>
      </c>
      <c r="G5629" s="5">
        <v>41639</v>
      </c>
      <c r="H5629" s="4" t="s">
        <v>40</v>
      </c>
      <c r="I5629" s="6">
        <v>1060</v>
      </c>
      <c r="J5629" s="6">
        <v>1060</v>
      </c>
      <c r="K5629" s="37" t="s">
        <v>9243</v>
      </c>
      <c r="L5629" s="119"/>
    </row>
    <row r="5630" spans="1:12" s="4" customFormat="1" ht="38.25" x14ac:dyDescent="0.25">
      <c r="A5630" s="4" t="s">
        <v>9594</v>
      </c>
      <c r="B5630" s="4" t="s">
        <v>38</v>
      </c>
      <c r="C5630" s="37" t="s">
        <v>9243</v>
      </c>
      <c r="D5630" s="35">
        <v>7720</v>
      </c>
      <c r="E5630" s="4" t="s">
        <v>9595</v>
      </c>
      <c r="F5630" s="5">
        <v>40262</v>
      </c>
      <c r="G5630" s="5">
        <v>41639</v>
      </c>
      <c r="H5630" s="4" t="s">
        <v>40</v>
      </c>
      <c r="I5630" s="6">
        <v>1235</v>
      </c>
      <c r="J5630" s="6">
        <v>1235</v>
      </c>
      <c r="K5630" s="37" t="s">
        <v>9243</v>
      </c>
      <c r="L5630" s="119"/>
    </row>
    <row r="5631" spans="1:12" s="4" customFormat="1" ht="38.25" x14ac:dyDescent="0.25">
      <c r="A5631" s="4" t="s">
        <v>9596</v>
      </c>
      <c r="B5631" s="4" t="s">
        <v>190</v>
      </c>
      <c r="C5631" s="37" t="s">
        <v>9243</v>
      </c>
      <c r="D5631" s="35">
        <v>7721</v>
      </c>
      <c r="E5631" s="4" t="s">
        <v>9597</v>
      </c>
      <c r="F5631" s="5">
        <v>40497</v>
      </c>
      <c r="G5631" s="5">
        <v>40862</v>
      </c>
      <c r="H5631" s="4" t="s">
        <v>40</v>
      </c>
      <c r="I5631" s="6">
        <v>7500</v>
      </c>
      <c r="J5631" s="6">
        <v>7500</v>
      </c>
      <c r="K5631" s="37" t="s">
        <v>9243</v>
      </c>
      <c r="L5631" s="119"/>
    </row>
    <row r="5632" spans="1:12" s="4" customFormat="1" ht="38.25" x14ac:dyDescent="0.25">
      <c r="A5632" s="4" t="s">
        <v>9598</v>
      </c>
      <c r="B5632" s="4" t="s">
        <v>38</v>
      </c>
      <c r="C5632" s="37" t="s">
        <v>9243</v>
      </c>
      <c r="D5632" s="35">
        <v>7722</v>
      </c>
      <c r="E5632" s="4" t="s">
        <v>9599</v>
      </c>
      <c r="F5632" s="5">
        <v>40318</v>
      </c>
      <c r="G5632" s="5">
        <v>41639</v>
      </c>
      <c r="H5632" s="4" t="s">
        <v>40</v>
      </c>
      <c r="I5632" s="6">
        <v>548.29999999999995</v>
      </c>
      <c r="J5632" s="6">
        <v>548.29999999999995</v>
      </c>
      <c r="K5632" s="37" t="s">
        <v>9243</v>
      </c>
      <c r="L5632" s="119"/>
    </row>
    <row r="5633" spans="1:12" ht="51" x14ac:dyDescent="0.25">
      <c r="A5633" s="13" t="s">
        <v>11256</v>
      </c>
      <c r="B5633" s="13" t="s">
        <v>38</v>
      </c>
      <c r="C5633" s="20" t="s">
        <v>9243</v>
      </c>
      <c r="D5633" s="19">
        <v>7724</v>
      </c>
      <c r="E5633" s="13" t="s">
        <v>11257</v>
      </c>
      <c r="F5633" s="14">
        <v>41275</v>
      </c>
      <c r="G5633" s="14">
        <v>41639</v>
      </c>
      <c r="H5633" s="13" t="s">
        <v>651</v>
      </c>
      <c r="I5633" s="18">
        <v>1960.11</v>
      </c>
      <c r="J5633" s="18">
        <v>1960.11</v>
      </c>
      <c r="K5633" s="20" t="s">
        <v>9243</v>
      </c>
      <c r="L5633" s="119"/>
    </row>
    <row r="5634" spans="1:12" s="4" customFormat="1" ht="38.25" x14ac:dyDescent="0.25">
      <c r="A5634" s="4" t="s">
        <v>9600</v>
      </c>
      <c r="B5634" s="4" t="s">
        <v>38</v>
      </c>
      <c r="C5634" s="37" t="s">
        <v>9243</v>
      </c>
      <c r="D5634" s="35">
        <v>7725</v>
      </c>
      <c r="E5634" s="4" t="s">
        <v>9601</v>
      </c>
      <c r="F5634" s="5">
        <v>40179</v>
      </c>
      <c r="G5634" s="5">
        <v>41639</v>
      </c>
      <c r="H5634" s="4" t="s">
        <v>40</v>
      </c>
      <c r="I5634" s="6">
        <v>15316.95</v>
      </c>
      <c r="J5634" s="6">
        <f>12118.95+3198</f>
        <v>15316.95</v>
      </c>
      <c r="K5634" s="37" t="s">
        <v>9243</v>
      </c>
      <c r="L5634" s="119"/>
    </row>
    <row r="5635" spans="1:12" s="4" customFormat="1" ht="38.25" x14ac:dyDescent="0.25">
      <c r="A5635" s="4" t="s">
        <v>9602</v>
      </c>
      <c r="B5635" s="4" t="s">
        <v>90</v>
      </c>
      <c r="C5635" s="37" t="s">
        <v>9243</v>
      </c>
      <c r="D5635" s="35">
        <v>8556</v>
      </c>
      <c r="E5635" s="4" t="s">
        <v>9603</v>
      </c>
      <c r="F5635" s="5">
        <v>40568</v>
      </c>
      <c r="G5635" s="5">
        <v>41274</v>
      </c>
      <c r="H5635" s="4" t="s">
        <v>40</v>
      </c>
      <c r="I5635" s="6">
        <v>30000</v>
      </c>
      <c r="J5635" s="6">
        <v>15000</v>
      </c>
      <c r="K5635" s="37" t="s">
        <v>9243</v>
      </c>
      <c r="L5635" s="119"/>
    </row>
    <row r="5636" spans="1:12" s="4" customFormat="1" ht="25.5" x14ac:dyDescent="0.25">
      <c r="A5636" s="4" t="s">
        <v>9604</v>
      </c>
      <c r="B5636" s="4" t="s">
        <v>183</v>
      </c>
      <c r="C5636" s="37" t="s">
        <v>9243</v>
      </c>
      <c r="D5636" s="35">
        <v>8557</v>
      </c>
      <c r="E5636" s="4" t="s">
        <v>9605</v>
      </c>
      <c r="F5636" s="5">
        <v>40687</v>
      </c>
      <c r="G5636" s="5">
        <v>41639</v>
      </c>
      <c r="H5636" s="4" t="s">
        <v>40</v>
      </c>
      <c r="I5636" s="6">
        <v>11250</v>
      </c>
      <c r="J5636" s="6">
        <v>11250</v>
      </c>
      <c r="K5636" s="37" t="s">
        <v>9243</v>
      </c>
      <c r="L5636" s="119"/>
    </row>
    <row r="5637" spans="1:12" s="4" customFormat="1" ht="25.5" x14ac:dyDescent="0.25">
      <c r="A5637" s="4" t="s">
        <v>9606</v>
      </c>
      <c r="B5637" s="4" t="s">
        <v>183</v>
      </c>
      <c r="C5637" s="37" t="s">
        <v>9243</v>
      </c>
      <c r="D5637" s="35">
        <v>8558</v>
      </c>
      <c r="E5637" s="4" t="s">
        <v>9607</v>
      </c>
      <c r="F5637" s="5">
        <v>40841</v>
      </c>
      <c r="G5637" s="5">
        <v>41639</v>
      </c>
      <c r="H5637" s="4" t="s">
        <v>40</v>
      </c>
      <c r="I5637" s="6">
        <v>3750</v>
      </c>
      <c r="J5637" s="6">
        <v>3750</v>
      </c>
      <c r="K5637" s="37" t="s">
        <v>9243</v>
      </c>
      <c r="L5637" s="119"/>
    </row>
    <row r="5638" spans="1:12" s="4" customFormat="1" x14ac:dyDescent="0.25">
      <c r="A5638" s="4" t="s">
        <v>9608</v>
      </c>
      <c r="B5638" s="4" t="s">
        <v>190</v>
      </c>
      <c r="C5638" s="37" t="s">
        <v>9243</v>
      </c>
      <c r="D5638" s="35">
        <v>8573</v>
      </c>
      <c r="E5638" s="4" t="s">
        <v>9609</v>
      </c>
      <c r="F5638" s="5">
        <v>40659</v>
      </c>
      <c r="G5638" s="5">
        <v>41639</v>
      </c>
      <c r="H5638" s="4" t="s">
        <v>40</v>
      </c>
      <c r="I5638" s="6">
        <v>9996</v>
      </c>
      <c r="J5638" s="6">
        <v>4998</v>
      </c>
      <c r="K5638" s="37" t="s">
        <v>9243</v>
      </c>
      <c r="L5638" s="119"/>
    </row>
    <row r="5639" spans="1:12" s="4" customFormat="1" ht="25.5" x14ac:dyDescent="0.25">
      <c r="A5639" s="4" t="s">
        <v>9610</v>
      </c>
      <c r="B5639" s="4" t="s">
        <v>183</v>
      </c>
      <c r="C5639" s="37" t="s">
        <v>9243</v>
      </c>
      <c r="D5639" s="35">
        <v>8574</v>
      </c>
      <c r="E5639" s="4" t="s">
        <v>9611</v>
      </c>
      <c r="F5639" s="5">
        <v>40841</v>
      </c>
      <c r="G5639" s="5">
        <v>41639</v>
      </c>
      <c r="H5639" s="4" t="s">
        <v>40</v>
      </c>
      <c r="I5639" s="6">
        <v>3750</v>
      </c>
      <c r="J5639" s="6">
        <v>3750</v>
      </c>
      <c r="K5639" s="37" t="s">
        <v>9243</v>
      </c>
      <c r="L5639" s="119"/>
    </row>
    <row r="5640" spans="1:12" s="4" customFormat="1" ht="51" x14ac:dyDescent="0.25">
      <c r="A5640" s="4" t="s">
        <v>9612</v>
      </c>
      <c r="B5640" s="4" t="s">
        <v>190</v>
      </c>
      <c r="C5640" s="37" t="s">
        <v>9243</v>
      </c>
      <c r="D5640" s="35">
        <v>8575</v>
      </c>
      <c r="E5640" s="4" t="s">
        <v>9613</v>
      </c>
      <c r="F5640" s="5">
        <v>40568</v>
      </c>
      <c r="G5640" s="5">
        <v>41639</v>
      </c>
      <c r="H5640" s="4" t="s">
        <v>40</v>
      </c>
      <c r="I5640" s="6">
        <v>30000</v>
      </c>
      <c r="J5640" s="6">
        <v>30000</v>
      </c>
      <c r="K5640" s="37" t="s">
        <v>9243</v>
      </c>
      <c r="L5640" s="119"/>
    </row>
    <row r="5641" spans="1:12" s="4" customFormat="1" ht="38.25" x14ac:dyDescent="0.25">
      <c r="A5641" s="4" t="s">
        <v>9614</v>
      </c>
      <c r="B5641" s="4" t="s">
        <v>183</v>
      </c>
      <c r="C5641" s="37" t="s">
        <v>9243</v>
      </c>
      <c r="D5641" s="35">
        <v>8577</v>
      </c>
      <c r="E5641" s="4" t="s">
        <v>9615</v>
      </c>
      <c r="F5641" s="5">
        <v>40841</v>
      </c>
      <c r="G5641" s="5">
        <v>41639</v>
      </c>
      <c r="H5641" s="4" t="s">
        <v>40</v>
      </c>
      <c r="I5641" s="6">
        <v>3750</v>
      </c>
      <c r="J5641" s="6">
        <v>3750</v>
      </c>
      <c r="K5641" s="37" t="s">
        <v>9243</v>
      </c>
      <c r="L5641" s="119"/>
    </row>
    <row r="5642" spans="1:12" s="4" customFormat="1" ht="25.5" x14ac:dyDescent="0.25">
      <c r="A5642" s="4" t="s">
        <v>9616</v>
      </c>
      <c r="B5642" s="4" t="s">
        <v>190</v>
      </c>
      <c r="C5642" s="37" t="s">
        <v>9243</v>
      </c>
      <c r="D5642" s="35">
        <v>8578</v>
      </c>
      <c r="E5642" s="4" t="s">
        <v>9617</v>
      </c>
      <c r="F5642" s="5">
        <v>40869</v>
      </c>
      <c r="G5642" s="5">
        <v>41639</v>
      </c>
      <c r="H5642" s="4" t="s">
        <v>40</v>
      </c>
      <c r="I5642" s="6">
        <v>7500</v>
      </c>
      <c r="J5642" s="6">
        <v>7500</v>
      </c>
      <c r="K5642" s="37" t="s">
        <v>9243</v>
      </c>
      <c r="L5642" s="119"/>
    </row>
    <row r="5643" spans="1:12" s="4" customFormat="1" x14ac:dyDescent="0.25">
      <c r="A5643" s="4" t="s">
        <v>9618</v>
      </c>
      <c r="B5643" s="4" t="s">
        <v>190</v>
      </c>
      <c r="C5643" s="37" t="s">
        <v>9243</v>
      </c>
      <c r="D5643" s="35">
        <v>8579</v>
      </c>
      <c r="E5643" s="4" t="s">
        <v>9619</v>
      </c>
      <c r="F5643" s="5">
        <v>40750</v>
      </c>
      <c r="G5643" s="5">
        <v>41639</v>
      </c>
      <c r="H5643" s="4" t="s">
        <v>40</v>
      </c>
      <c r="I5643" s="6">
        <v>3750</v>
      </c>
      <c r="J5643" s="6">
        <v>3750</v>
      </c>
      <c r="K5643" s="37" t="s">
        <v>9243</v>
      </c>
      <c r="L5643" s="119"/>
    </row>
    <row r="5644" spans="1:12" s="4" customFormat="1" x14ac:dyDescent="0.25">
      <c r="A5644" s="4" t="s">
        <v>9620</v>
      </c>
      <c r="B5644" s="4" t="s">
        <v>90</v>
      </c>
      <c r="C5644" s="37" t="s">
        <v>9243</v>
      </c>
      <c r="D5644" s="35">
        <v>8581</v>
      </c>
      <c r="E5644" s="4" t="s">
        <v>9621</v>
      </c>
      <c r="F5644" s="5">
        <v>40599</v>
      </c>
      <c r="G5644" s="5">
        <v>41639</v>
      </c>
      <c r="H5644" s="4" t="s">
        <v>40</v>
      </c>
      <c r="I5644" s="6">
        <v>11140.5</v>
      </c>
      <c r="J5644" s="6">
        <v>5570.25</v>
      </c>
      <c r="K5644" s="37" t="s">
        <v>9243</v>
      </c>
      <c r="L5644" s="119"/>
    </row>
    <row r="5645" spans="1:12" s="4" customFormat="1" x14ac:dyDescent="0.25">
      <c r="A5645" s="4" t="s">
        <v>9622</v>
      </c>
      <c r="B5645" s="4" t="s">
        <v>90</v>
      </c>
      <c r="C5645" s="37" t="s">
        <v>9243</v>
      </c>
      <c r="D5645" s="35">
        <v>8582</v>
      </c>
      <c r="E5645" s="4" t="s">
        <v>9623</v>
      </c>
      <c r="F5645" s="5">
        <v>40659</v>
      </c>
      <c r="G5645" s="5">
        <v>41639</v>
      </c>
      <c r="H5645" s="4" t="s">
        <v>40</v>
      </c>
      <c r="I5645" s="6">
        <v>9400</v>
      </c>
      <c r="J5645" s="6">
        <v>4700</v>
      </c>
      <c r="K5645" s="37" t="s">
        <v>9243</v>
      </c>
      <c r="L5645" s="119"/>
    </row>
    <row r="5646" spans="1:12" s="4" customFormat="1" x14ac:dyDescent="0.25">
      <c r="A5646" s="4" t="s">
        <v>9624</v>
      </c>
      <c r="B5646" s="4" t="s">
        <v>183</v>
      </c>
      <c r="C5646" s="37" t="s">
        <v>9243</v>
      </c>
      <c r="D5646" s="35">
        <v>8583</v>
      </c>
      <c r="E5646" s="4" t="s">
        <v>9625</v>
      </c>
      <c r="F5646" s="5">
        <v>40687</v>
      </c>
      <c r="G5646" s="5">
        <v>41639</v>
      </c>
      <c r="H5646" s="4" t="s">
        <v>40</v>
      </c>
      <c r="I5646" s="6">
        <v>11250</v>
      </c>
      <c r="J5646" s="6">
        <v>11250</v>
      </c>
      <c r="K5646" s="37" t="s">
        <v>9243</v>
      </c>
      <c r="L5646" s="119"/>
    </row>
    <row r="5647" spans="1:12" s="4" customFormat="1" ht="38.25" x14ac:dyDescent="0.25">
      <c r="A5647" s="4" t="s">
        <v>9626</v>
      </c>
      <c r="B5647" s="4" t="s">
        <v>90</v>
      </c>
      <c r="C5647" s="37" t="s">
        <v>9243</v>
      </c>
      <c r="D5647" s="35">
        <v>8585</v>
      </c>
      <c r="E5647" s="4" t="s">
        <v>9627</v>
      </c>
      <c r="F5647" s="5">
        <v>40659</v>
      </c>
      <c r="G5647" s="5">
        <v>41639</v>
      </c>
      <c r="H5647" s="4" t="s">
        <v>40</v>
      </c>
      <c r="I5647" s="6">
        <v>9000</v>
      </c>
      <c r="J5647" s="6">
        <v>4500</v>
      </c>
      <c r="K5647" s="37" t="s">
        <v>9243</v>
      </c>
      <c r="L5647" s="119"/>
    </row>
    <row r="5648" spans="1:12" s="4" customFormat="1" ht="25.5" x14ac:dyDescent="0.25">
      <c r="A5648" s="4" t="s">
        <v>9628</v>
      </c>
      <c r="B5648" s="4" t="s">
        <v>90</v>
      </c>
      <c r="C5648" s="37" t="s">
        <v>9243</v>
      </c>
      <c r="D5648" s="35">
        <v>8586</v>
      </c>
      <c r="E5648" s="4" t="s">
        <v>9629</v>
      </c>
      <c r="F5648" s="5">
        <v>40568</v>
      </c>
      <c r="G5648" s="5">
        <v>41639</v>
      </c>
      <c r="H5648" s="4" t="s">
        <v>40</v>
      </c>
      <c r="I5648" s="6">
        <v>18923.36</v>
      </c>
      <c r="J5648" s="6">
        <v>9461.68</v>
      </c>
      <c r="K5648" s="37" t="s">
        <v>9243</v>
      </c>
      <c r="L5648" s="119"/>
    </row>
    <row r="5649" spans="1:13" s="4" customFormat="1" ht="25.5" x14ac:dyDescent="0.25">
      <c r="A5649" s="4" t="s">
        <v>9630</v>
      </c>
      <c r="B5649" s="4" t="s">
        <v>190</v>
      </c>
      <c r="C5649" s="37" t="s">
        <v>9243</v>
      </c>
      <c r="D5649" s="35">
        <v>8589</v>
      </c>
      <c r="E5649" s="4" t="s">
        <v>9631</v>
      </c>
      <c r="F5649" s="5">
        <v>40470</v>
      </c>
      <c r="G5649" s="5">
        <v>41639</v>
      </c>
      <c r="H5649" s="4" t="s">
        <v>40</v>
      </c>
      <c r="I5649" s="6">
        <v>30000</v>
      </c>
      <c r="J5649" s="6">
        <v>15000</v>
      </c>
      <c r="K5649" s="37" t="s">
        <v>9243</v>
      </c>
      <c r="L5649" s="119"/>
    </row>
    <row r="5650" spans="1:13" s="4" customFormat="1" ht="25.5" x14ac:dyDescent="0.25">
      <c r="A5650" s="4" t="s">
        <v>9632</v>
      </c>
      <c r="B5650" s="4" t="s">
        <v>90</v>
      </c>
      <c r="C5650" s="37" t="s">
        <v>9243</v>
      </c>
      <c r="D5650" s="35">
        <v>8590</v>
      </c>
      <c r="E5650" s="4" t="s">
        <v>9633</v>
      </c>
      <c r="F5650" s="5">
        <v>40659</v>
      </c>
      <c r="G5650" s="5">
        <v>41639</v>
      </c>
      <c r="H5650" s="4" t="s">
        <v>40</v>
      </c>
      <c r="I5650" s="6">
        <v>14900</v>
      </c>
      <c r="J5650" s="6">
        <v>7450</v>
      </c>
      <c r="K5650" s="37" t="s">
        <v>9243</v>
      </c>
      <c r="L5650" s="119"/>
      <c r="M5650" s="3"/>
    </row>
    <row r="5651" spans="1:13" s="4" customFormat="1" ht="25.5" x14ac:dyDescent="0.25">
      <c r="A5651" s="4" t="s">
        <v>9634</v>
      </c>
      <c r="B5651" s="4" t="s">
        <v>190</v>
      </c>
      <c r="C5651" s="37" t="s">
        <v>9243</v>
      </c>
      <c r="D5651" s="35">
        <v>8610</v>
      </c>
      <c r="E5651" s="4" t="s">
        <v>9635</v>
      </c>
      <c r="F5651" s="5">
        <v>40568</v>
      </c>
      <c r="G5651" s="5">
        <v>41639</v>
      </c>
      <c r="H5651" s="4" t="s">
        <v>40</v>
      </c>
      <c r="I5651" s="6">
        <v>19713.54</v>
      </c>
      <c r="J5651" s="6">
        <v>13606.77</v>
      </c>
      <c r="K5651" s="37" t="s">
        <v>9243</v>
      </c>
      <c r="L5651" s="119"/>
    </row>
    <row r="5652" spans="1:13" s="4" customFormat="1" ht="38.25" x14ac:dyDescent="0.25">
      <c r="A5652" s="4" t="s">
        <v>9564</v>
      </c>
      <c r="B5652" s="4" t="s">
        <v>190</v>
      </c>
      <c r="C5652" s="37" t="s">
        <v>9243</v>
      </c>
      <c r="D5652" s="35">
        <v>8612</v>
      </c>
      <c r="E5652" s="4" t="s">
        <v>9638</v>
      </c>
      <c r="F5652" s="5">
        <v>40497</v>
      </c>
      <c r="G5652" s="5">
        <v>41639</v>
      </c>
      <c r="H5652" s="4" t="s">
        <v>40</v>
      </c>
      <c r="I5652" s="6">
        <v>62500</v>
      </c>
      <c r="J5652" s="6">
        <f>7500+35000</f>
        <v>42500</v>
      </c>
      <c r="K5652" s="37" t="s">
        <v>9243</v>
      </c>
      <c r="L5652" s="119"/>
    </row>
    <row r="5653" spans="1:13" s="4" customFormat="1" ht="25.5" x14ac:dyDescent="0.25">
      <c r="A5653" s="4" t="s">
        <v>9639</v>
      </c>
      <c r="B5653" s="4" t="s">
        <v>190</v>
      </c>
      <c r="C5653" s="37" t="s">
        <v>9243</v>
      </c>
      <c r="D5653" s="35">
        <v>8614</v>
      </c>
      <c r="E5653" s="4" t="s">
        <v>9640</v>
      </c>
      <c r="F5653" s="5">
        <v>40815</v>
      </c>
      <c r="G5653" s="5">
        <v>41639</v>
      </c>
      <c r="H5653" s="4" t="s">
        <v>40</v>
      </c>
      <c r="I5653" s="6">
        <v>79086.14</v>
      </c>
      <c r="J5653" s="6">
        <v>39543.07</v>
      </c>
      <c r="K5653" s="37" t="s">
        <v>9243</v>
      </c>
      <c r="L5653" s="119"/>
    </row>
    <row r="5654" spans="1:13" s="4" customFormat="1" ht="25.5" x14ac:dyDescent="0.25">
      <c r="A5654" s="4" t="s">
        <v>9643</v>
      </c>
      <c r="B5654" s="4" t="s">
        <v>190</v>
      </c>
      <c r="C5654" s="37" t="s">
        <v>9243</v>
      </c>
      <c r="D5654" s="35">
        <v>8617</v>
      </c>
      <c r="E5654" s="4" t="s">
        <v>9644</v>
      </c>
      <c r="F5654" s="5">
        <v>40750</v>
      </c>
      <c r="G5654" s="5">
        <v>41639</v>
      </c>
      <c r="H5654" s="4" t="s">
        <v>40</v>
      </c>
      <c r="I5654" s="6">
        <v>6000</v>
      </c>
      <c r="J5654" s="6">
        <v>3000</v>
      </c>
      <c r="K5654" s="37" t="s">
        <v>9243</v>
      </c>
      <c r="L5654" s="119"/>
    </row>
    <row r="5655" spans="1:13" s="4" customFormat="1" ht="51" x14ac:dyDescent="0.25">
      <c r="A5655" s="4" t="s">
        <v>9645</v>
      </c>
      <c r="B5655" s="4" t="s">
        <v>190</v>
      </c>
      <c r="C5655" s="37" t="s">
        <v>9243</v>
      </c>
      <c r="D5655" s="35">
        <v>8618</v>
      </c>
      <c r="E5655" s="4" t="s">
        <v>9646</v>
      </c>
      <c r="F5655" s="5">
        <v>40869</v>
      </c>
      <c r="G5655" s="5">
        <v>41639</v>
      </c>
      <c r="H5655" s="4" t="s">
        <v>40</v>
      </c>
      <c r="I5655" s="6">
        <v>15000</v>
      </c>
      <c r="J5655" s="6">
        <v>15000</v>
      </c>
      <c r="K5655" s="37" t="s">
        <v>9243</v>
      </c>
      <c r="L5655" s="119"/>
    </row>
    <row r="5656" spans="1:13" s="4" customFormat="1" ht="25.5" x14ac:dyDescent="0.25">
      <c r="A5656" s="4" t="s">
        <v>9647</v>
      </c>
      <c r="B5656" s="4" t="s">
        <v>38</v>
      </c>
      <c r="C5656" s="37" t="s">
        <v>9243</v>
      </c>
      <c r="D5656" s="35">
        <v>9073</v>
      </c>
      <c r="E5656" s="4" t="s">
        <v>9648</v>
      </c>
      <c r="F5656" s="5">
        <v>40544</v>
      </c>
      <c r="G5656" s="5">
        <v>41639</v>
      </c>
      <c r="H5656" s="4" t="s">
        <v>40</v>
      </c>
      <c r="I5656" s="6">
        <v>4546</v>
      </c>
      <c r="J5656" s="6">
        <f>3325+1221</f>
        <v>4546</v>
      </c>
      <c r="K5656" s="37" t="s">
        <v>9243</v>
      </c>
      <c r="L5656" s="119"/>
    </row>
    <row r="5657" spans="1:13" s="4" customFormat="1" ht="38.25" x14ac:dyDescent="0.25">
      <c r="A5657" s="4" t="s">
        <v>9649</v>
      </c>
      <c r="B5657" s="4" t="s">
        <v>38</v>
      </c>
      <c r="C5657" s="37" t="s">
        <v>9243</v>
      </c>
      <c r="D5657" s="35">
        <v>9075</v>
      </c>
      <c r="E5657" s="4" t="s">
        <v>9650</v>
      </c>
      <c r="F5657" s="5">
        <v>40909</v>
      </c>
      <c r="G5657" s="5">
        <v>41274</v>
      </c>
      <c r="H5657" s="4" t="s">
        <v>40</v>
      </c>
      <c r="I5657" s="6">
        <v>254.9</v>
      </c>
      <c r="J5657" s="6">
        <v>254.9</v>
      </c>
      <c r="K5657" s="37" t="s">
        <v>9243</v>
      </c>
      <c r="L5657" s="119"/>
    </row>
    <row r="5658" spans="1:13" s="4" customFormat="1" ht="51" x14ac:dyDescent="0.25">
      <c r="A5658" s="4" t="s">
        <v>9651</v>
      </c>
      <c r="B5658" s="4" t="s">
        <v>38</v>
      </c>
      <c r="C5658" s="37" t="s">
        <v>9243</v>
      </c>
      <c r="D5658" s="35">
        <v>9077</v>
      </c>
      <c r="E5658" s="4" t="s">
        <v>9652</v>
      </c>
      <c r="F5658" s="5">
        <v>40544</v>
      </c>
      <c r="G5658" s="5">
        <v>41639</v>
      </c>
      <c r="H5658" s="4" t="s">
        <v>40</v>
      </c>
      <c r="I5658" s="6">
        <v>300</v>
      </c>
      <c r="J5658" s="6">
        <v>300</v>
      </c>
      <c r="K5658" s="37" t="s">
        <v>9243</v>
      </c>
      <c r="L5658" s="119"/>
    </row>
    <row r="5659" spans="1:13" s="4" customFormat="1" ht="38.25" x14ac:dyDescent="0.25">
      <c r="A5659" s="4" t="s">
        <v>9653</v>
      </c>
      <c r="B5659" s="4" t="s">
        <v>38</v>
      </c>
      <c r="C5659" s="37" t="s">
        <v>9243</v>
      </c>
      <c r="D5659" s="35">
        <v>9078</v>
      </c>
      <c r="E5659" s="4" t="s">
        <v>9654</v>
      </c>
      <c r="F5659" s="5">
        <v>40544</v>
      </c>
      <c r="G5659" s="5">
        <v>41639</v>
      </c>
      <c r="H5659" s="4" t="s">
        <v>40</v>
      </c>
      <c r="I5659" s="6">
        <v>845</v>
      </c>
      <c r="J5659" s="6">
        <v>845</v>
      </c>
      <c r="K5659" s="37" t="s">
        <v>9243</v>
      </c>
      <c r="L5659" s="119"/>
    </row>
    <row r="5660" spans="1:13" s="4" customFormat="1" ht="38.25" x14ac:dyDescent="0.25">
      <c r="A5660" s="4" t="s">
        <v>9655</v>
      </c>
      <c r="B5660" s="4" t="s">
        <v>38</v>
      </c>
      <c r="C5660" s="37" t="s">
        <v>9243</v>
      </c>
      <c r="D5660" s="35">
        <v>9079</v>
      </c>
      <c r="E5660" s="4" t="s">
        <v>9656</v>
      </c>
      <c r="F5660" s="5">
        <v>40909</v>
      </c>
      <c r="G5660" s="5">
        <v>41639</v>
      </c>
      <c r="H5660" s="4" t="s">
        <v>40</v>
      </c>
      <c r="I5660" s="6">
        <v>5571</v>
      </c>
      <c r="J5660" s="6">
        <f>3855+1716</f>
        <v>5571</v>
      </c>
      <c r="K5660" s="37" t="s">
        <v>9243</v>
      </c>
      <c r="L5660" s="119"/>
    </row>
    <row r="5661" spans="1:13" s="4" customFormat="1" ht="51" x14ac:dyDescent="0.25">
      <c r="A5661" s="4" t="s">
        <v>9657</v>
      </c>
      <c r="B5661" s="4" t="s">
        <v>38</v>
      </c>
      <c r="C5661" s="37" t="s">
        <v>9243</v>
      </c>
      <c r="D5661" s="35">
        <v>9080</v>
      </c>
      <c r="E5661" s="4" t="s">
        <v>9658</v>
      </c>
      <c r="F5661" s="5">
        <v>40544</v>
      </c>
      <c r="G5661" s="5">
        <v>41639</v>
      </c>
      <c r="H5661" s="4" t="s">
        <v>40</v>
      </c>
      <c r="I5661" s="6">
        <v>359.5</v>
      </c>
      <c r="J5661" s="6">
        <v>359.5</v>
      </c>
      <c r="K5661" s="37" t="s">
        <v>9243</v>
      </c>
      <c r="L5661" s="119"/>
    </row>
    <row r="5662" spans="1:13" s="4" customFormat="1" ht="25.5" x14ac:dyDescent="0.25">
      <c r="A5662" s="4" t="s">
        <v>9659</v>
      </c>
      <c r="B5662" s="4" t="s">
        <v>38</v>
      </c>
      <c r="C5662" s="37" t="s">
        <v>9243</v>
      </c>
      <c r="D5662" s="35">
        <v>9081</v>
      </c>
      <c r="E5662" s="4" t="s">
        <v>9660</v>
      </c>
      <c r="F5662" s="5">
        <v>40544</v>
      </c>
      <c r="G5662" s="5">
        <v>41274</v>
      </c>
      <c r="H5662" s="4" t="s">
        <v>40</v>
      </c>
      <c r="I5662" s="6">
        <v>1150</v>
      </c>
      <c r="J5662" s="6">
        <v>1150</v>
      </c>
      <c r="K5662" s="37" t="s">
        <v>9243</v>
      </c>
      <c r="L5662" s="119"/>
    </row>
    <row r="5663" spans="1:13" s="4" customFormat="1" ht="25.5" x14ac:dyDescent="0.25">
      <c r="A5663" s="4" t="s">
        <v>9661</v>
      </c>
      <c r="B5663" s="4" t="s">
        <v>38</v>
      </c>
      <c r="C5663" s="37" t="s">
        <v>9243</v>
      </c>
      <c r="D5663" s="35">
        <v>9082</v>
      </c>
      <c r="E5663" s="4" t="s">
        <v>9662</v>
      </c>
      <c r="F5663" s="5">
        <v>40544</v>
      </c>
      <c r="G5663" s="5">
        <v>41639</v>
      </c>
      <c r="H5663" s="4" t="s">
        <v>40</v>
      </c>
      <c r="I5663" s="6">
        <v>300</v>
      </c>
      <c r="J5663" s="6">
        <v>300</v>
      </c>
      <c r="K5663" s="37" t="s">
        <v>9243</v>
      </c>
      <c r="L5663" s="119"/>
    </row>
    <row r="5664" spans="1:13" s="4" customFormat="1" ht="25.5" x14ac:dyDescent="0.25">
      <c r="A5664" s="4" t="s">
        <v>9663</v>
      </c>
      <c r="B5664" s="4" t="s">
        <v>38</v>
      </c>
      <c r="C5664" s="37" t="s">
        <v>9243</v>
      </c>
      <c r="D5664" s="35">
        <v>9083</v>
      </c>
      <c r="E5664" s="4" t="s">
        <v>9664</v>
      </c>
      <c r="F5664" s="5">
        <v>40544</v>
      </c>
      <c r="G5664" s="5">
        <v>41639</v>
      </c>
      <c r="H5664" s="4" t="s">
        <v>40</v>
      </c>
      <c r="I5664" s="6">
        <v>1088</v>
      </c>
      <c r="J5664" s="6">
        <f>865+223</f>
        <v>1088</v>
      </c>
      <c r="K5664" s="37" t="s">
        <v>9243</v>
      </c>
      <c r="L5664" s="119"/>
    </row>
    <row r="5665" spans="1:13" s="4" customFormat="1" ht="25.5" x14ac:dyDescent="0.25">
      <c r="A5665" s="4" t="s">
        <v>9665</v>
      </c>
      <c r="B5665" s="4" t="s">
        <v>38</v>
      </c>
      <c r="C5665" s="37" t="s">
        <v>9243</v>
      </c>
      <c r="D5665" s="35">
        <v>9086</v>
      </c>
      <c r="E5665" s="4" t="s">
        <v>9666</v>
      </c>
      <c r="F5665" s="5">
        <v>40544</v>
      </c>
      <c r="G5665" s="5">
        <v>41609</v>
      </c>
      <c r="H5665" s="4" t="s">
        <v>40</v>
      </c>
      <c r="I5665" s="6">
        <v>1897.2</v>
      </c>
      <c r="J5665" s="6">
        <f>1256.2+641</f>
        <v>1897.2</v>
      </c>
      <c r="K5665" s="37" t="s">
        <v>9243</v>
      </c>
      <c r="L5665" s="119"/>
    </row>
    <row r="5666" spans="1:13" s="4" customFormat="1" ht="38.25" x14ac:dyDescent="0.25">
      <c r="A5666" s="4" t="s">
        <v>9667</v>
      </c>
      <c r="B5666" s="4" t="s">
        <v>38</v>
      </c>
      <c r="C5666" s="37" t="s">
        <v>9243</v>
      </c>
      <c r="D5666" s="35">
        <v>9089</v>
      </c>
      <c r="E5666" s="4" t="s">
        <v>9668</v>
      </c>
      <c r="F5666" s="5">
        <v>40544</v>
      </c>
      <c r="G5666" s="5">
        <v>41639</v>
      </c>
      <c r="H5666" s="4" t="s">
        <v>40</v>
      </c>
      <c r="I5666" s="6">
        <v>675</v>
      </c>
      <c r="J5666" s="6">
        <v>675</v>
      </c>
      <c r="K5666" s="37" t="s">
        <v>9243</v>
      </c>
      <c r="L5666" s="119"/>
    </row>
    <row r="5667" spans="1:13" s="4" customFormat="1" ht="51" x14ac:dyDescent="0.25">
      <c r="A5667" s="4" t="s">
        <v>9669</v>
      </c>
      <c r="B5667" s="4" t="s">
        <v>38</v>
      </c>
      <c r="C5667" s="37" t="s">
        <v>9243</v>
      </c>
      <c r="D5667" s="35">
        <v>9092</v>
      </c>
      <c r="E5667" s="4" t="s">
        <v>9670</v>
      </c>
      <c r="F5667" s="5">
        <v>40544</v>
      </c>
      <c r="G5667" s="5">
        <v>41274</v>
      </c>
      <c r="H5667" s="4" t="s">
        <v>40</v>
      </c>
      <c r="I5667" s="6">
        <v>1222.4000000000001</v>
      </c>
      <c r="J5667" s="6">
        <v>1222.4000000000001</v>
      </c>
      <c r="K5667" s="37" t="s">
        <v>9243</v>
      </c>
      <c r="L5667" s="119"/>
    </row>
    <row r="5668" spans="1:13" s="4" customFormat="1" ht="38.25" x14ac:dyDescent="0.25">
      <c r="A5668" s="4" t="s">
        <v>9671</v>
      </c>
      <c r="B5668" s="4" t="s">
        <v>38</v>
      </c>
      <c r="C5668" s="37" t="s">
        <v>9243</v>
      </c>
      <c r="D5668" s="35">
        <v>9095</v>
      </c>
      <c r="E5668" s="4" t="s">
        <v>9672</v>
      </c>
      <c r="F5668" s="5">
        <v>40544</v>
      </c>
      <c r="G5668" s="5">
        <v>41639</v>
      </c>
      <c r="H5668" s="4" t="s">
        <v>40</v>
      </c>
      <c r="I5668" s="6">
        <v>439.1</v>
      </c>
      <c r="J5668" s="6">
        <v>439.1</v>
      </c>
      <c r="K5668" s="37" t="s">
        <v>9243</v>
      </c>
      <c r="L5668" s="119"/>
    </row>
    <row r="5669" spans="1:13" s="4" customFormat="1" ht="25.5" x14ac:dyDescent="0.25">
      <c r="A5669" s="4" t="s">
        <v>9673</v>
      </c>
      <c r="B5669" s="4" t="s">
        <v>38</v>
      </c>
      <c r="C5669" s="37" t="s">
        <v>9243</v>
      </c>
      <c r="D5669" s="35">
        <v>9100</v>
      </c>
      <c r="E5669" s="4" t="s">
        <v>9674</v>
      </c>
      <c r="F5669" s="5">
        <v>40544</v>
      </c>
      <c r="G5669" s="5">
        <v>41639</v>
      </c>
      <c r="H5669" s="4" t="s">
        <v>40</v>
      </c>
      <c r="I5669" s="6">
        <v>2167</v>
      </c>
      <c r="J5669" s="6">
        <f>421+1746</f>
        <v>2167</v>
      </c>
      <c r="K5669" s="37" t="s">
        <v>9243</v>
      </c>
      <c r="L5669" s="119"/>
    </row>
    <row r="5670" spans="1:13" s="4" customFormat="1" ht="25.5" x14ac:dyDescent="0.25">
      <c r="A5670" s="4" t="s">
        <v>9675</v>
      </c>
      <c r="B5670" s="4" t="s">
        <v>38</v>
      </c>
      <c r="C5670" s="37" t="s">
        <v>9243</v>
      </c>
      <c r="D5670" s="35">
        <v>9201</v>
      </c>
      <c r="E5670" s="4" t="s">
        <v>9676</v>
      </c>
      <c r="F5670" s="5">
        <v>40544</v>
      </c>
      <c r="G5670" s="5">
        <v>41639</v>
      </c>
      <c r="H5670" s="4" t="s">
        <v>40</v>
      </c>
      <c r="I5670" s="6">
        <v>5804</v>
      </c>
      <c r="J5670" s="6">
        <f>1484+4320</f>
        <v>5804</v>
      </c>
      <c r="K5670" s="37" t="s">
        <v>9243</v>
      </c>
      <c r="L5670" s="119"/>
    </row>
    <row r="5671" spans="1:13" s="4" customFormat="1" ht="63.75" x14ac:dyDescent="0.25">
      <c r="A5671" s="4" t="s">
        <v>6353</v>
      </c>
      <c r="B5671" s="4" t="s">
        <v>38</v>
      </c>
      <c r="C5671" s="37" t="s">
        <v>9243</v>
      </c>
      <c r="D5671" s="35">
        <v>9202</v>
      </c>
      <c r="E5671" s="4" t="s">
        <v>9677</v>
      </c>
      <c r="F5671" s="5">
        <v>40544</v>
      </c>
      <c r="G5671" s="5">
        <v>41639</v>
      </c>
      <c r="H5671" s="4" t="s">
        <v>40</v>
      </c>
      <c r="I5671" s="6">
        <v>1936</v>
      </c>
      <c r="J5671" s="6">
        <v>1936</v>
      </c>
      <c r="K5671" s="37" t="s">
        <v>9243</v>
      </c>
      <c r="L5671" s="119"/>
    </row>
    <row r="5672" spans="1:13" s="4" customFormat="1" ht="63.75" x14ac:dyDescent="0.25">
      <c r="A5672" s="4" t="s">
        <v>9678</v>
      </c>
      <c r="B5672" s="4" t="s">
        <v>38</v>
      </c>
      <c r="C5672" s="37" t="s">
        <v>9243</v>
      </c>
      <c r="D5672" s="35">
        <v>9213</v>
      </c>
      <c r="E5672" s="4" t="s">
        <v>9679</v>
      </c>
      <c r="F5672" s="5">
        <v>40544</v>
      </c>
      <c r="G5672" s="5">
        <v>41639</v>
      </c>
      <c r="H5672" s="4" t="s">
        <v>40</v>
      </c>
      <c r="I5672" s="6">
        <v>58727</v>
      </c>
      <c r="J5672" s="6">
        <v>29363.5</v>
      </c>
      <c r="K5672" s="37" t="s">
        <v>9243</v>
      </c>
      <c r="L5672" s="119"/>
      <c r="M5672" s="3"/>
    </row>
    <row r="5673" spans="1:13" s="4" customFormat="1" ht="51" x14ac:dyDescent="0.25">
      <c r="A5673" s="4" t="s">
        <v>9680</v>
      </c>
      <c r="B5673" s="4" t="s">
        <v>38</v>
      </c>
      <c r="C5673" s="37" t="s">
        <v>9243</v>
      </c>
      <c r="D5673" s="35">
        <v>9214</v>
      </c>
      <c r="E5673" s="4" t="s">
        <v>9681</v>
      </c>
      <c r="F5673" s="5">
        <v>40544</v>
      </c>
      <c r="G5673" s="5">
        <v>41639</v>
      </c>
      <c r="H5673" s="4" t="s">
        <v>40</v>
      </c>
      <c r="I5673" s="6">
        <v>25145.54</v>
      </c>
      <c r="J5673" s="6">
        <v>12572.77</v>
      </c>
      <c r="K5673" s="37" t="s">
        <v>9243</v>
      </c>
      <c r="L5673" s="119"/>
    </row>
    <row r="5674" spans="1:13" s="4" customFormat="1" ht="38.25" x14ac:dyDescent="0.25">
      <c r="A5674" s="4" t="s">
        <v>9682</v>
      </c>
      <c r="B5674" s="4" t="s">
        <v>38</v>
      </c>
      <c r="C5674" s="37" t="s">
        <v>9243</v>
      </c>
      <c r="D5674" s="35">
        <v>10483</v>
      </c>
      <c r="E5674" s="4" t="s">
        <v>9683</v>
      </c>
      <c r="F5674" s="5">
        <v>40909</v>
      </c>
      <c r="G5674" s="5">
        <v>41639</v>
      </c>
      <c r="H5674" s="4" t="s">
        <v>40</v>
      </c>
      <c r="I5674" s="6">
        <v>1181</v>
      </c>
      <c r="J5674" s="6">
        <f>850+331.1</f>
        <v>1181.0999999999999</v>
      </c>
      <c r="K5674" s="37" t="s">
        <v>9243</v>
      </c>
      <c r="L5674" s="119"/>
    </row>
    <row r="5675" spans="1:13" s="4" customFormat="1" ht="63.75" x14ac:dyDescent="0.25">
      <c r="A5675" s="4" t="s">
        <v>9684</v>
      </c>
      <c r="B5675" s="4" t="s">
        <v>38</v>
      </c>
      <c r="C5675" s="37" t="s">
        <v>9243</v>
      </c>
      <c r="D5675" s="35">
        <v>10488</v>
      </c>
      <c r="E5675" s="4" t="s">
        <v>9685</v>
      </c>
      <c r="F5675" s="5">
        <v>40909</v>
      </c>
      <c r="G5675" s="5">
        <v>41244</v>
      </c>
      <c r="H5675" s="4" t="s">
        <v>40</v>
      </c>
      <c r="I5675" s="6">
        <v>2852.65</v>
      </c>
      <c r="J5675" s="6">
        <v>2852.65</v>
      </c>
      <c r="K5675" s="37" t="s">
        <v>9243</v>
      </c>
      <c r="L5675" s="119"/>
    </row>
    <row r="5676" spans="1:13" s="4" customFormat="1" ht="51" x14ac:dyDescent="0.25">
      <c r="A5676" s="4" t="s">
        <v>9686</v>
      </c>
      <c r="B5676" s="4" t="s">
        <v>38</v>
      </c>
      <c r="C5676" s="37" t="s">
        <v>9243</v>
      </c>
      <c r="D5676" s="35">
        <v>10490</v>
      </c>
      <c r="E5676" s="4" t="s">
        <v>9687</v>
      </c>
      <c r="F5676" s="5">
        <v>40909</v>
      </c>
      <c r="G5676" s="5">
        <v>41609</v>
      </c>
      <c r="H5676" s="4" t="s">
        <v>40</v>
      </c>
      <c r="I5676" s="6">
        <v>707.6</v>
      </c>
      <c r="J5676" s="6">
        <f>142.51+565.09</f>
        <v>707.6</v>
      </c>
      <c r="K5676" s="37" t="s">
        <v>9243</v>
      </c>
      <c r="L5676" s="119"/>
    </row>
    <row r="5677" spans="1:13" s="4" customFormat="1" ht="89.25" x14ac:dyDescent="0.25">
      <c r="A5677" s="4" t="s">
        <v>9688</v>
      </c>
      <c r="B5677" s="4" t="s">
        <v>38</v>
      </c>
      <c r="C5677" s="37" t="s">
        <v>9243</v>
      </c>
      <c r="D5677" s="35">
        <v>10492</v>
      </c>
      <c r="E5677" s="7" t="s">
        <v>9689</v>
      </c>
      <c r="F5677" s="5">
        <v>40909</v>
      </c>
      <c r="G5677" s="5">
        <v>41639</v>
      </c>
      <c r="H5677" s="4" t="s">
        <v>40</v>
      </c>
      <c r="I5677" s="6">
        <v>5272.5</v>
      </c>
      <c r="J5677" s="6">
        <f>2952+2320.5</f>
        <v>5272.5</v>
      </c>
      <c r="K5677" s="37" t="s">
        <v>9243</v>
      </c>
      <c r="L5677" s="119"/>
    </row>
    <row r="5678" spans="1:13" s="4" customFormat="1" ht="63.75" x14ac:dyDescent="0.25">
      <c r="A5678" s="4" t="s">
        <v>9690</v>
      </c>
      <c r="B5678" s="4" t="s">
        <v>38</v>
      </c>
      <c r="C5678" s="37" t="s">
        <v>9243</v>
      </c>
      <c r="D5678" s="35">
        <v>10493</v>
      </c>
      <c r="E5678" s="4" t="s">
        <v>9679</v>
      </c>
      <c r="F5678" s="5">
        <v>40909</v>
      </c>
      <c r="G5678" s="5">
        <v>41274</v>
      </c>
      <c r="H5678" s="4" t="s">
        <v>40</v>
      </c>
      <c r="I5678" s="6">
        <v>65709.600000000006</v>
      </c>
      <c r="J5678" s="6">
        <v>32854.800000000003</v>
      </c>
      <c r="K5678" s="37" t="s">
        <v>9243</v>
      </c>
      <c r="L5678" s="119"/>
    </row>
    <row r="5679" spans="1:13" s="4" customFormat="1" ht="63.75" x14ac:dyDescent="0.25">
      <c r="A5679" s="4" t="s">
        <v>9691</v>
      </c>
      <c r="B5679" s="4" t="s">
        <v>38</v>
      </c>
      <c r="C5679" s="37" t="s">
        <v>9243</v>
      </c>
      <c r="D5679" s="35">
        <v>10499</v>
      </c>
      <c r="E5679" s="4" t="s">
        <v>9692</v>
      </c>
      <c r="F5679" s="5">
        <v>40909</v>
      </c>
      <c r="G5679" s="5">
        <v>41639</v>
      </c>
      <c r="H5679" s="4" t="s">
        <v>40</v>
      </c>
      <c r="I5679" s="6">
        <v>10543.64</v>
      </c>
      <c r="J5679" s="6">
        <v>10543.64</v>
      </c>
      <c r="K5679" s="37" t="s">
        <v>9243</v>
      </c>
      <c r="L5679" s="119"/>
    </row>
    <row r="5680" spans="1:13" s="4" customFormat="1" ht="38.25" x14ac:dyDescent="0.25">
      <c r="A5680" s="4" t="s">
        <v>9693</v>
      </c>
      <c r="B5680" s="4" t="s">
        <v>38</v>
      </c>
      <c r="C5680" s="37" t="s">
        <v>9243</v>
      </c>
      <c r="D5680" s="35">
        <v>10500</v>
      </c>
      <c r="E5680" s="4" t="s">
        <v>9694</v>
      </c>
      <c r="F5680" s="5">
        <v>40909</v>
      </c>
      <c r="G5680" s="5">
        <v>41274</v>
      </c>
      <c r="H5680" s="4" t="s">
        <v>40</v>
      </c>
      <c r="I5680" s="6">
        <v>1294</v>
      </c>
      <c r="J5680" s="6">
        <v>1294</v>
      </c>
      <c r="K5680" s="37" t="s">
        <v>9243</v>
      </c>
      <c r="L5680" s="119"/>
    </row>
    <row r="5681" spans="1:13" s="4" customFormat="1" ht="51" x14ac:dyDescent="0.25">
      <c r="A5681" s="4" t="s">
        <v>9695</v>
      </c>
      <c r="B5681" s="4" t="s">
        <v>38</v>
      </c>
      <c r="C5681" s="37" t="s">
        <v>9243</v>
      </c>
      <c r="D5681" s="35">
        <v>10503</v>
      </c>
      <c r="E5681" s="4" t="s">
        <v>9696</v>
      </c>
      <c r="F5681" s="5">
        <v>40909</v>
      </c>
      <c r="G5681" s="5">
        <v>41609</v>
      </c>
      <c r="H5681" s="4" t="s">
        <v>40</v>
      </c>
      <c r="I5681" s="6">
        <v>3537.73</v>
      </c>
      <c r="J5681" s="6">
        <f>2270.45+1267.28</f>
        <v>3537.7299999999996</v>
      </c>
      <c r="K5681" s="37" t="s">
        <v>9243</v>
      </c>
      <c r="L5681" s="119"/>
    </row>
    <row r="5682" spans="1:13" s="4" customFormat="1" ht="38.25" x14ac:dyDescent="0.25">
      <c r="A5682" s="4" t="s">
        <v>9697</v>
      </c>
      <c r="B5682" s="4" t="s">
        <v>38</v>
      </c>
      <c r="C5682" s="37" t="s">
        <v>9243</v>
      </c>
      <c r="D5682" s="35">
        <v>10508</v>
      </c>
      <c r="E5682" s="4" t="s">
        <v>9698</v>
      </c>
      <c r="F5682" s="5">
        <v>40909</v>
      </c>
      <c r="G5682" s="5">
        <v>41639</v>
      </c>
      <c r="H5682" s="4" t="s">
        <v>40</v>
      </c>
      <c r="I5682" s="6">
        <v>3444.5</v>
      </c>
      <c r="J5682" s="6">
        <f>1930.25+1514.25</f>
        <v>3444.5</v>
      </c>
      <c r="K5682" s="37" t="s">
        <v>9243</v>
      </c>
      <c r="L5682" s="119"/>
    </row>
    <row r="5683" spans="1:13" s="4" customFormat="1" ht="51" x14ac:dyDescent="0.25">
      <c r="A5683" s="4" t="s">
        <v>9699</v>
      </c>
      <c r="B5683" s="4" t="s">
        <v>38</v>
      </c>
      <c r="C5683" s="37" t="s">
        <v>9243</v>
      </c>
      <c r="D5683" s="35">
        <v>10518</v>
      </c>
      <c r="E5683" s="4" t="s">
        <v>9700</v>
      </c>
      <c r="F5683" s="5">
        <v>40909</v>
      </c>
      <c r="G5683" s="5">
        <v>41274</v>
      </c>
      <c r="H5683" s="4" t="s">
        <v>40</v>
      </c>
      <c r="I5683" s="6">
        <v>1081.5</v>
      </c>
      <c r="J5683" s="6">
        <v>1081.5</v>
      </c>
      <c r="K5683" s="37" t="s">
        <v>9243</v>
      </c>
      <c r="L5683" s="119"/>
    </row>
    <row r="5684" spans="1:13" s="4" customFormat="1" ht="38.25" x14ac:dyDescent="0.25">
      <c r="A5684" s="4" t="s">
        <v>9701</v>
      </c>
      <c r="B5684" s="4" t="s">
        <v>38</v>
      </c>
      <c r="C5684" s="37" t="s">
        <v>9243</v>
      </c>
      <c r="D5684" s="35">
        <v>10520</v>
      </c>
      <c r="E5684" s="4" t="s">
        <v>9702</v>
      </c>
      <c r="F5684" s="5">
        <v>40909</v>
      </c>
      <c r="G5684" s="5">
        <v>41639</v>
      </c>
      <c r="H5684" s="4" t="s">
        <v>40</v>
      </c>
      <c r="I5684" s="6">
        <v>3310.24</v>
      </c>
      <c r="J5684" s="6">
        <v>3310.24</v>
      </c>
      <c r="K5684" s="37" t="s">
        <v>9243</v>
      </c>
      <c r="L5684" s="119"/>
    </row>
    <row r="5685" spans="1:13" s="4" customFormat="1" ht="51" x14ac:dyDescent="0.25">
      <c r="A5685" s="4" t="s">
        <v>9703</v>
      </c>
      <c r="B5685" s="4" t="s">
        <v>38</v>
      </c>
      <c r="C5685" s="37" t="s">
        <v>9243</v>
      </c>
      <c r="D5685" s="35">
        <v>10522</v>
      </c>
      <c r="E5685" s="4" t="s">
        <v>9681</v>
      </c>
      <c r="F5685" s="5">
        <v>40909</v>
      </c>
      <c r="G5685" s="5">
        <v>41639</v>
      </c>
      <c r="H5685" s="4" t="s">
        <v>40</v>
      </c>
      <c r="I5685" s="6">
        <v>48940.800000000003</v>
      </c>
      <c r="J5685" s="6">
        <f>9490.42+14979.98</f>
        <v>24470.400000000001</v>
      </c>
      <c r="K5685" s="37" t="s">
        <v>9243</v>
      </c>
      <c r="L5685" s="119"/>
    </row>
    <row r="5686" spans="1:13" s="4" customFormat="1" ht="38.25" x14ac:dyDescent="0.25">
      <c r="A5686" s="4" t="s">
        <v>9704</v>
      </c>
      <c r="B5686" s="4" t="s">
        <v>38</v>
      </c>
      <c r="C5686" s="37" t="s">
        <v>9243</v>
      </c>
      <c r="D5686" s="35">
        <v>10524</v>
      </c>
      <c r="E5686" s="4" t="s">
        <v>9705</v>
      </c>
      <c r="F5686" s="5">
        <v>40909</v>
      </c>
      <c r="G5686" s="5">
        <v>41274</v>
      </c>
      <c r="H5686" s="4" t="s">
        <v>40</v>
      </c>
      <c r="I5686" s="6">
        <v>18233</v>
      </c>
      <c r="J5686" s="6">
        <v>18233</v>
      </c>
      <c r="K5686" s="37" t="s">
        <v>9243</v>
      </c>
      <c r="L5686" s="119"/>
    </row>
    <row r="5687" spans="1:13" s="4" customFormat="1" x14ac:dyDescent="0.25">
      <c r="A5687" s="4" t="s">
        <v>9708</v>
      </c>
      <c r="B5687" s="4" t="s">
        <v>183</v>
      </c>
      <c r="C5687" s="37" t="s">
        <v>9243</v>
      </c>
      <c r="D5687" s="35">
        <v>10526</v>
      </c>
      <c r="E5687" s="4" t="s">
        <v>9709</v>
      </c>
      <c r="F5687" s="5">
        <v>40939</v>
      </c>
      <c r="G5687" s="5">
        <v>41274</v>
      </c>
      <c r="H5687" s="4" t="s">
        <v>40</v>
      </c>
      <c r="I5687" s="6">
        <v>15000</v>
      </c>
      <c r="J5687" s="6">
        <v>15000</v>
      </c>
      <c r="K5687" s="37" t="s">
        <v>9243</v>
      </c>
      <c r="L5687" s="119"/>
    </row>
    <row r="5688" spans="1:13" s="4" customFormat="1" ht="25.5" x14ac:dyDescent="0.25">
      <c r="A5688" s="4" t="s">
        <v>9712</v>
      </c>
      <c r="B5688" s="4" t="s">
        <v>190</v>
      </c>
      <c r="C5688" s="37" t="s">
        <v>9243</v>
      </c>
      <c r="D5688" s="35">
        <v>10528</v>
      </c>
      <c r="E5688" s="4" t="s">
        <v>9713</v>
      </c>
      <c r="F5688" s="5">
        <v>40939</v>
      </c>
      <c r="G5688" s="5">
        <v>41274</v>
      </c>
      <c r="H5688" s="4" t="s">
        <v>40</v>
      </c>
      <c r="I5688" s="6">
        <v>55994.080000000002</v>
      </c>
      <c r="J5688" s="6">
        <v>27997.040000000001</v>
      </c>
      <c r="K5688" s="37" t="s">
        <v>9243</v>
      </c>
      <c r="L5688" s="119"/>
    </row>
    <row r="5689" spans="1:13" s="4" customFormat="1" ht="76.5" x14ac:dyDescent="0.25">
      <c r="A5689" s="4" t="s">
        <v>9714</v>
      </c>
      <c r="B5689" s="4" t="s">
        <v>90</v>
      </c>
      <c r="C5689" s="37" t="s">
        <v>9243</v>
      </c>
      <c r="D5689" s="35">
        <v>10530</v>
      </c>
      <c r="E5689" s="4" t="s">
        <v>9715</v>
      </c>
      <c r="F5689" s="5">
        <v>40939</v>
      </c>
      <c r="G5689" s="5">
        <v>41274</v>
      </c>
      <c r="H5689" s="4" t="s">
        <v>40</v>
      </c>
      <c r="I5689" s="6">
        <v>4850</v>
      </c>
      <c r="J5689" s="6">
        <v>2425</v>
      </c>
      <c r="K5689" s="37" t="s">
        <v>9243</v>
      </c>
      <c r="L5689" s="119"/>
      <c r="M5689" s="3"/>
    </row>
    <row r="5690" spans="1:13" s="4" customFormat="1" ht="25.5" x14ac:dyDescent="0.25">
      <c r="A5690" s="4" t="s">
        <v>9716</v>
      </c>
      <c r="B5690" s="4" t="s">
        <v>190</v>
      </c>
      <c r="C5690" s="37" t="s">
        <v>9243</v>
      </c>
      <c r="D5690" s="35">
        <v>10531</v>
      </c>
      <c r="E5690" s="4" t="s">
        <v>9617</v>
      </c>
      <c r="F5690" s="5">
        <v>40967</v>
      </c>
      <c r="G5690" s="5">
        <v>41274</v>
      </c>
      <c r="H5690" s="4" t="s">
        <v>40</v>
      </c>
      <c r="I5690" s="6">
        <v>15000</v>
      </c>
      <c r="J5690" s="6">
        <v>15000</v>
      </c>
      <c r="K5690" s="37" t="s">
        <v>9243</v>
      </c>
      <c r="L5690" s="119"/>
      <c r="M5690" s="3"/>
    </row>
    <row r="5691" spans="1:13" s="4" customFormat="1" ht="38.25" x14ac:dyDescent="0.25">
      <c r="A5691" s="4" t="s">
        <v>9717</v>
      </c>
      <c r="B5691" s="4" t="s">
        <v>183</v>
      </c>
      <c r="C5691" s="37" t="s">
        <v>9243</v>
      </c>
      <c r="D5691" s="35">
        <v>10532</v>
      </c>
      <c r="E5691" s="4" t="s">
        <v>9718</v>
      </c>
      <c r="F5691" s="5">
        <v>41170</v>
      </c>
      <c r="G5691" s="5">
        <v>41274</v>
      </c>
      <c r="H5691" s="4" t="s">
        <v>40</v>
      </c>
      <c r="I5691" s="6">
        <v>1247.26</v>
      </c>
      <c r="J5691" s="6">
        <v>623.63</v>
      </c>
      <c r="K5691" s="37" t="s">
        <v>9243</v>
      </c>
      <c r="L5691" s="119"/>
      <c r="M5691" s="3"/>
    </row>
    <row r="5692" spans="1:13" s="4" customFormat="1" ht="38.25" x14ac:dyDescent="0.25">
      <c r="A5692" s="4" t="s">
        <v>9719</v>
      </c>
      <c r="B5692" s="4" t="s">
        <v>183</v>
      </c>
      <c r="C5692" s="37" t="s">
        <v>9243</v>
      </c>
      <c r="D5692" s="35">
        <v>10534</v>
      </c>
      <c r="E5692" s="4" t="s">
        <v>9720</v>
      </c>
      <c r="F5692" s="5">
        <v>40939</v>
      </c>
      <c r="G5692" s="5">
        <v>41274</v>
      </c>
      <c r="H5692" s="4" t="s">
        <v>40</v>
      </c>
      <c r="I5692" s="6">
        <v>17152.52</v>
      </c>
      <c r="J5692" s="6">
        <v>16076.29</v>
      </c>
      <c r="K5692" s="37" t="s">
        <v>9243</v>
      </c>
      <c r="L5692" s="119"/>
      <c r="M5692" s="3"/>
    </row>
    <row r="5693" spans="1:13" s="4" customFormat="1" ht="63.75" x14ac:dyDescent="0.25">
      <c r="A5693" s="4" t="s">
        <v>9721</v>
      </c>
      <c r="B5693" s="4" t="s">
        <v>190</v>
      </c>
      <c r="C5693" s="37" t="s">
        <v>9243</v>
      </c>
      <c r="D5693" s="35">
        <v>10536</v>
      </c>
      <c r="E5693" s="4" t="s">
        <v>9722</v>
      </c>
      <c r="F5693" s="5">
        <v>41205</v>
      </c>
      <c r="G5693" s="5">
        <v>41274</v>
      </c>
      <c r="H5693" s="4" t="s">
        <v>40</v>
      </c>
      <c r="I5693" s="6">
        <v>200000</v>
      </c>
      <c r="J5693" s="6">
        <v>100000</v>
      </c>
      <c r="K5693" s="37" t="s">
        <v>9243</v>
      </c>
      <c r="L5693" s="119"/>
      <c r="M5693" s="3"/>
    </row>
    <row r="5694" spans="1:13" s="4" customFormat="1" ht="38.25" x14ac:dyDescent="0.25">
      <c r="A5694" s="4" t="s">
        <v>9723</v>
      </c>
      <c r="B5694" s="4" t="s">
        <v>190</v>
      </c>
      <c r="C5694" s="37" t="s">
        <v>9243</v>
      </c>
      <c r="D5694" s="35">
        <v>10537</v>
      </c>
      <c r="E5694" s="4" t="s">
        <v>9724</v>
      </c>
      <c r="F5694" s="5">
        <v>41170</v>
      </c>
      <c r="G5694" s="5">
        <v>41274</v>
      </c>
      <c r="H5694" s="4" t="s">
        <v>40</v>
      </c>
      <c r="I5694" s="6">
        <v>800</v>
      </c>
      <c r="J5694" s="6">
        <v>400</v>
      </c>
      <c r="K5694" s="37" t="s">
        <v>9243</v>
      </c>
      <c r="L5694" s="119"/>
      <c r="M5694" s="3"/>
    </row>
    <row r="5695" spans="1:13" s="4" customFormat="1" ht="25.5" x14ac:dyDescent="0.25">
      <c r="A5695" s="4" t="s">
        <v>9727</v>
      </c>
      <c r="B5695" s="4" t="s">
        <v>90</v>
      </c>
      <c r="C5695" s="37" t="s">
        <v>9243</v>
      </c>
      <c r="D5695" s="35">
        <v>10539</v>
      </c>
      <c r="E5695" s="4" t="s">
        <v>9728</v>
      </c>
      <c r="F5695" s="5">
        <v>40967</v>
      </c>
      <c r="G5695" s="5">
        <v>41274</v>
      </c>
      <c r="H5695" s="4" t="s">
        <v>40</v>
      </c>
      <c r="I5695" s="6">
        <v>4000</v>
      </c>
      <c r="J5695" s="6">
        <v>2000</v>
      </c>
      <c r="K5695" s="37" t="s">
        <v>9243</v>
      </c>
      <c r="L5695" s="119"/>
      <c r="M5695" s="3"/>
    </row>
    <row r="5696" spans="1:13" s="4" customFormat="1" ht="51" x14ac:dyDescent="0.25">
      <c r="A5696" s="4" t="s">
        <v>9729</v>
      </c>
      <c r="B5696" s="4" t="s">
        <v>190</v>
      </c>
      <c r="C5696" s="37" t="s">
        <v>9243</v>
      </c>
      <c r="D5696" s="35">
        <v>10540</v>
      </c>
      <c r="E5696" s="4" t="s">
        <v>9730</v>
      </c>
      <c r="F5696" s="5">
        <v>40939</v>
      </c>
      <c r="G5696" s="5">
        <v>41274</v>
      </c>
      <c r="H5696" s="4" t="s">
        <v>40</v>
      </c>
      <c r="I5696" s="6">
        <v>17566</v>
      </c>
      <c r="J5696" s="6">
        <v>12533</v>
      </c>
      <c r="K5696" s="37" t="s">
        <v>9243</v>
      </c>
      <c r="L5696" s="119"/>
      <c r="M5696" s="3"/>
    </row>
    <row r="5697" spans="1:13" s="4" customFormat="1" ht="25.5" x14ac:dyDescent="0.25">
      <c r="A5697" s="4" t="s">
        <v>9731</v>
      </c>
      <c r="B5697" s="4" t="s">
        <v>190</v>
      </c>
      <c r="C5697" s="37" t="s">
        <v>9243</v>
      </c>
      <c r="D5697" s="35">
        <v>10548</v>
      </c>
      <c r="E5697" s="4" t="s">
        <v>9732</v>
      </c>
      <c r="F5697" s="5">
        <v>41086</v>
      </c>
      <c r="G5697" s="5">
        <v>41274</v>
      </c>
      <c r="H5697" s="4" t="s">
        <v>40</v>
      </c>
      <c r="I5697" s="6">
        <v>5000</v>
      </c>
      <c r="J5697" s="6">
        <v>5000</v>
      </c>
      <c r="K5697" s="37" t="s">
        <v>9243</v>
      </c>
      <c r="L5697" s="119"/>
      <c r="M5697" s="3"/>
    </row>
    <row r="5698" spans="1:13" s="4" customFormat="1" ht="63.75" x14ac:dyDescent="0.25">
      <c r="A5698" s="4" t="s">
        <v>9735</v>
      </c>
      <c r="B5698" s="4" t="s">
        <v>190</v>
      </c>
      <c r="C5698" s="37" t="s">
        <v>9243</v>
      </c>
      <c r="D5698" s="35">
        <v>10550</v>
      </c>
      <c r="E5698" s="4" t="s">
        <v>9736</v>
      </c>
      <c r="F5698" s="5">
        <v>41002</v>
      </c>
      <c r="G5698" s="5">
        <v>41274</v>
      </c>
      <c r="H5698" s="4" t="s">
        <v>40</v>
      </c>
      <c r="I5698" s="6">
        <v>4150</v>
      </c>
      <c r="J5698" s="6">
        <v>3950</v>
      </c>
      <c r="K5698" s="37" t="s">
        <v>9243</v>
      </c>
      <c r="L5698" s="119"/>
      <c r="M5698" s="3"/>
    </row>
    <row r="5699" spans="1:13" s="4" customFormat="1" ht="76.5" x14ac:dyDescent="0.25">
      <c r="A5699" s="4" t="s">
        <v>9737</v>
      </c>
      <c r="B5699" s="4" t="s">
        <v>190</v>
      </c>
      <c r="C5699" s="37" t="s">
        <v>9243</v>
      </c>
      <c r="D5699" s="35">
        <v>10551</v>
      </c>
      <c r="E5699" s="4" t="s">
        <v>9738</v>
      </c>
      <c r="F5699" s="5">
        <v>40939</v>
      </c>
      <c r="G5699" s="5">
        <v>41274</v>
      </c>
      <c r="H5699" s="4" t="s">
        <v>40</v>
      </c>
      <c r="I5699" s="6">
        <v>3800</v>
      </c>
      <c r="J5699" s="6">
        <v>1900</v>
      </c>
      <c r="K5699" s="37" t="s">
        <v>9243</v>
      </c>
      <c r="L5699" s="119"/>
      <c r="M5699" s="3"/>
    </row>
    <row r="5700" spans="1:13" s="4" customFormat="1" ht="76.5" x14ac:dyDescent="0.25">
      <c r="A5700" s="4" t="s">
        <v>9739</v>
      </c>
      <c r="B5700" s="4" t="s">
        <v>190</v>
      </c>
      <c r="C5700" s="37" t="s">
        <v>9243</v>
      </c>
      <c r="D5700" s="35">
        <v>10552</v>
      </c>
      <c r="E5700" s="4" t="s">
        <v>9740</v>
      </c>
      <c r="F5700" s="5">
        <v>40967</v>
      </c>
      <c r="G5700" s="5">
        <v>41274</v>
      </c>
      <c r="H5700" s="4" t="s">
        <v>40</v>
      </c>
      <c r="I5700" s="6">
        <v>22500</v>
      </c>
      <c r="J5700" s="6">
        <v>22500</v>
      </c>
      <c r="K5700" s="37" t="s">
        <v>9243</v>
      </c>
      <c r="L5700" s="119"/>
      <c r="M5700" s="3"/>
    </row>
    <row r="5701" spans="1:13" s="4" customFormat="1" ht="25.5" x14ac:dyDescent="0.25">
      <c r="A5701" s="4" t="s">
        <v>9741</v>
      </c>
      <c r="B5701" s="4" t="s">
        <v>90</v>
      </c>
      <c r="C5701" s="37" t="s">
        <v>9243</v>
      </c>
      <c r="D5701" s="35">
        <v>10553</v>
      </c>
      <c r="E5701" s="4" t="s">
        <v>9742</v>
      </c>
      <c r="F5701" s="5">
        <v>40659</v>
      </c>
      <c r="G5701" s="5">
        <v>41274</v>
      </c>
      <c r="H5701" s="4" t="s">
        <v>40</v>
      </c>
      <c r="I5701" s="6">
        <v>7243.74</v>
      </c>
      <c r="J5701" s="6">
        <v>3621.8</v>
      </c>
      <c r="K5701" s="37" t="s">
        <v>9243</v>
      </c>
      <c r="L5701" s="119"/>
      <c r="M5701" s="3"/>
    </row>
    <row r="5702" spans="1:13" s="4" customFormat="1" ht="25.5" x14ac:dyDescent="0.25">
      <c r="A5702" s="4" t="s">
        <v>9743</v>
      </c>
      <c r="B5702" s="4" t="s">
        <v>190</v>
      </c>
      <c r="C5702" s="37" t="s">
        <v>9243</v>
      </c>
      <c r="D5702" s="35">
        <v>10554</v>
      </c>
      <c r="E5702" s="4" t="s">
        <v>9744</v>
      </c>
      <c r="F5702" s="5">
        <v>41240</v>
      </c>
      <c r="G5702" s="5">
        <v>41274</v>
      </c>
      <c r="H5702" s="4" t="s">
        <v>40</v>
      </c>
      <c r="I5702" s="6">
        <v>43370</v>
      </c>
      <c r="J5702" s="6">
        <v>21685</v>
      </c>
      <c r="K5702" s="37" t="s">
        <v>9243</v>
      </c>
      <c r="L5702" s="119"/>
      <c r="M5702" s="3"/>
    </row>
    <row r="5703" spans="1:13" s="4" customFormat="1" ht="63.75" x14ac:dyDescent="0.25">
      <c r="A5703" s="4" t="s">
        <v>9745</v>
      </c>
      <c r="B5703" s="4" t="s">
        <v>190</v>
      </c>
      <c r="C5703" s="37" t="s">
        <v>9243</v>
      </c>
      <c r="D5703" s="35">
        <v>10555</v>
      </c>
      <c r="E5703" s="4" t="s">
        <v>9746</v>
      </c>
      <c r="F5703" s="5">
        <v>41051</v>
      </c>
      <c r="G5703" s="5">
        <v>41274</v>
      </c>
      <c r="H5703" s="4" t="s">
        <v>40</v>
      </c>
      <c r="I5703" s="6">
        <v>10129.379999999999</v>
      </c>
      <c r="J5703" s="6">
        <v>8814.69</v>
      </c>
      <c r="K5703" s="37" t="s">
        <v>9243</v>
      </c>
      <c r="L5703" s="119"/>
      <c r="M5703" s="3"/>
    </row>
    <row r="5704" spans="1:13" s="4" customFormat="1" ht="51" x14ac:dyDescent="0.25">
      <c r="A5704" s="4" t="s">
        <v>9747</v>
      </c>
      <c r="B5704" s="4" t="s">
        <v>38</v>
      </c>
      <c r="C5704" s="37" t="s">
        <v>9243</v>
      </c>
      <c r="D5704" s="35">
        <v>10571</v>
      </c>
      <c r="E5704" s="4" t="s">
        <v>9438</v>
      </c>
      <c r="F5704" s="5">
        <v>40909</v>
      </c>
      <c r="G5704" s="5">
        <v>41244</v>
      </c>
      <c r="H5704" s="4" t="s">
        <v>40</v>
      </c>
      <c r="I5704" s="6">
        <v>955.4</v>
      </c>
      <c r="J5704" s="6">
        <v>955.4</v>
      </c>
      <c r="K5704" s="37" t="s">
        <v>9243</v>
      </c>
      <c r="L5704" s="119"/>
      <c r="M5704" s="3"/>
    </row>
    <row r="5705" spans="1:13" s="4" customFormat="1" ht="51" x14ac:dyDescent="0.25">
      <c r="A5705" s="4" t="s">
        <v>9520</v>
      </c>
      <c r="B5705" s="4" t="s">
        <v>38</v>
      </c>
      <c r="C5705" s="37" t="s">
        <v>9243</v>
      </c>
      <c r="D5705" s="35">
        <v>10572</v>
      </c>
      <c r="E5705" s="4" t="s">
        <v>9521</v>
      </c>
      <c r="F5705" s="5">
        <v>40909</v>
      </c>
      <c r="G5705" s="5">
        <v>41639</v>
      </c>
      <c r="H5705" s="4" t="s">
        <v>40</v>
      </c>
      <c r="I5705" s="6">
        <v>864.19</v>
      </c>
      <c r="J5705" s="6">
        <f>533.3+330.89</f>
        <v>864.18999999999994</v>
      </c>
      <c r="K5705" s="37" t="s">
        <v>9243</v>
      </c>
      <c r="L5705" s="119"/>
      <c r="M5705" s="3"/>
    </row>
    <row r="5706" spans="1:13" ht="25.5" x14ac:dyDescent="0.25">
      <c r="A5706" s="13" t="s">
        <v>11258</v>
      </c>
      <c r="B5706" s="13" t="s">
        <v>10195</v>
      </c>
      <c r="C5706" s="20" t="s">
        <v>9243</v>
      </c>
      <c r="D5706" s="19">
        <v>12192</v>
      </c>
      <c r="E5706" s="13" t="s">
        <v>11259</v>
      </c>
      <c r="F5706" s="14">
        <v>40994</v>
      </c>
      <c r="G5706" s="14">
        <v>41359</v>
      </c>
      <c r="H5706" s="13" t="s">
        <v>651</v>
      </c>
      <c r="I5706" s="18">
        <v>8248.6200000000008</v>
      </c>
      <c r="J5706" s="18">
        <v>7874.31</v>
      </c>
      <c r="K5706" s="20" t="s">
        <v>9243</v>
      </c>
      <c r="L5706" s="119"/>
    </row>
    <row r="5707" spans="1:13" ht="25.5" x14ac:dyDescent="0.25">
      <c r="A5707" s="13" t="s">
        <v>11260</v>
      </c>
      <c r="B5707" s="13" t="s">
        <v>10192</v>
      </c>
      <c r="C5707" s="20" t="s">
        <v>9243</v>
      </c>
      <c r="D5707" s="19">
        <v>12193</v>
      </c>
      <c r="E5707" s="13" t="s">
        <v>11261</v>
      </c>
      <c r="F5707" s="14">
        <v>41569</v>
      </c>
      <c r="G5707" s="14">
        <v>41639</v>
      </c>
      <c r="H5707" s="13" t="s">
        <v>651</v>
      </c>
      <c r="I5707" s="18">
        <v>3750</v>
      </c>
      <c r="J5707" s="18">
        <v>3750</v>
      </c>
      <c r="K5707" s="20" t="s">
        <v>9243</v>
      </c>
      <c r="L5707" s="119"/>
    </row>
    <row r="5708" spans="1:13" ht="25.5" x14ac:dyDescent="0.25">
      <c r="A5708" s="13" t="s">
        <v>11262</v>
      </c>
      <c r="B5708" s="13" t="s">
        <v>10192</v>
      </c>
      <c r="C5708" s="20" t="s">
        <v>9243</v>
      </c>
      <c r="D5708" s="19">
        <v>12194</v>
      </c>
      <c r="E5708" s="13" t="s">
        <v>11263</v>
      </c>
      <c r="F5708" s="14">
        <v>41387</v>
      </c>
      <c r="G5708" s="14">
        <v>41639</v>
      </c>
      <c r="H5708" s="13" t="s">
        <v>651</v>
      </c>
      <c r="I5708" s="18">
        <v>7500</v>
      </c>
      <c r="J5708" s="18">
        <v>7500</v>
      </c>
      <c r="K5708" s="20" t="s">
        <v>9243</v>
      </c>
      <c r="L5708" s="119"/>
    </row>
    <row r="5709" spans="1:13" ht="25.5" x14ac:dyDescent="0.25">
      <c r="A5709" s="13" t="s">
        <v>11266</v>
      </c>
      <c r="B5709" s="13" t="s">
        <v>10195</v>
      </c>
      <c r="C5709" s="20" t="s">
        <v>9243</v>
      </c>
      <c r="D5709" s="19">
        <v>12196</v>
      </c>
      <c r="E5709" s="13" t="s">
        <v>11267</v>
      </c>
      <c r="F5709" s="14">
        <v>41541</v>
      </c>
      <c r="G5709" s="14">
        <v>41639</v>
      </c>
      <c r="H5709" s="13" t="s">
        <v>651</v>
      </c>
      <c r="I5709" s="18">
        <v>3750</v>
      </c>
      <c r="J5709" s="18">
        <v>3750</v>
      </c>
      <c r="K5709" s="20" t="s">
        <v>9243</v>
      </c>
      <c r="L5709" s="119"/>
    </row>
    <row r="5710" spans="1:13" ht="25.5" x14ac:dyDescent="0.25">
      <c r="A5710" s="13" t="s">
        <v>11374</v>
      </c>
      <c r="B5710" s="13" t="s">
        <v>13</v>
      </c>
      <c r="C5710" s="20" t="s">
        <v>9243</v>
      </c>
      <c r="D5710" s="19">
        <v>12197</v>
      </c>
      <c r="E5710" s="13" t="s">
        <v>11375</v>
      </c>
      <c r="F5710" s="14">
        <v>41513</v>
      </c>
      <c r="G5710" s="14">
        <v>41639</v>
      </c>
      <c r="H5710" s="13" t="s">
        <v>651</v>
      </c>
      <c r="I5710" s="18">
        <v>11134.58</v>
      </c>
      <c r="J5710" s="18">
        <v>7442.29</v>
      </c>
      <c r="K5710" s="20" t="s">
        <v>9243</v>
      </c>
      <c r="L5710" s="119"/>
    </row>
    <row r="5711" spans="1:13" ht="38.25" x14ac:dyDescent="0.25">
      <c r="A5711" s="13" t="s">
        <v>11268</v>
      </c>
      <c r="B5711" s="13" t="s">
        <v>10220</v>
      </c>
      <c r="C5711" s="20" t="s">
        <v>9243</v>
      </c>
      <c r="D5711" s="19">
        <v>12198</v>
      </c>
      <c r="E5711" s="13" t="s">
        <v>11269</v>
      </c>
      <c r="F5711" s="14">
        <v>41331</v>
      </c>
      <c r="G5711" s="14">
        <v>41639</v>
      </c>
      <c r="H5711" s="13" t="s">
        <v>651</v>
      </c>
      <c r="I5711" s="18">
        <v>7348.56</v>
      </c>
      <c r="J5711" s="18">
        <v>3674.28</v>
      </c>
      <c r="K5711" s="20" t="s">
        <v>9243</v>
      </c>
      <c r="L5711" s="119"/>
    </row>
    <row r="5712" spans="1:13" ht="51" x14ac:dyDescent="0.25">
      <c r="A5712" s="13" t="s">
        <v>11270</v>
      </c>
      <c r="B5712" s="13" t="s">
        <v>10192</v>
      </c>
      <c r="C5712" s="20" t="s">
        <v>9243</v>
      </c>
      <c r="D5712" s="19">
        <v>12199</v>
      </c>
      <c r="E5712" s="13" t="s">
        <v>11271</v>
      </c>
      <c r="F5712" s="14">
        <v>41541</v>
      </c>
      <c r="G5712" s="14">
        <v>41639</v>
      </c>
      <c r="H5712" s="13" t="s">
        <v>651</v>
      </c>
      <c r="I5712" s="18">
        <v>6378.14</v>
      </c>
      <c r="J5712" s="18">
        <v>5064.07</v>
      </c>
      <c r="K5712" s="20" t="s">
        <v>9243</v>
      </c>
      <c r="L5712" s="119"/>
    </row>
    <row r="5713" spans="1:12" ht="51" x14ac:dyDescent="0.25">
      <c r="A5713" s="13" t="s">
        <v>11272</v>
      </c>
      <c r="B5713" s="13" t="s">
        <v>10220</v>
      </c>
      <c r="C5713" s="20" t="s">
        <v>9243</v>
      </c>
      <c r="D5713" s="19">
        <v>12200</v>
      </c>
      <c r="E5713" s="13" t="s">
        <v>11273</v>
      </c>
      <c r="F5713" s="14">
        <v>41331</v>
      </c>
      <c r="G5713" s="14">
        <v>41639</v>
      </c>
      <c r="H5713" s="13" t="s">
        <v>651</v>
      </c>
      <c r="I5713" s="18">
        <v>40000</v>
      </c>
      <c r="J5713" s="18">
        <v>20000</v>
      </c>
      <c r="K5713" s="20" t="s">
        <v>9243</v>
      </c>
      <c r="L5713" s="119"/>
    </row>
    <row r="5714" spans="1:12" ht="25.5" x14ac:dyDescent="0.25">
      <c r="A5714" s="13" t="s">
        <v>11274</v>
      </c>
      <c r="B5714" s="13" t="s">
        <v>10195</v>
      </c>
      <c r="C5714" s="20" t="s">
        <v>9243</v>
      </c>
      <c r="D5714" s="19">
        <v>12201</v>
      </c>
      <c r="E5714" s="13" t="s">
        <v>11275</v>
      </c>
      <c r="F5714" s="14">
        <v>41303</v>
      </c>
      <c r="G5714" s="14">
        <v>41639</v>
      </c>
      <c r="H5714" s="13" t="s">
        <v>651</v>
      </c>
      <c r="I5714" s="18">
        <v>17500</v>
      </c>
      <c r="J5714" s="18">
        <v>8750</v>
      </c>
      <c r="K5714" s="20" t="s">
        <v>9243</v>
      </c>
      <c r="L5714" s="119"/>
    </row>
    <row r="5715" spans="1:12" ht="25.5" x14ac:dyDescent="0.25">
      <c r="A5715" s="13" t="s">
        <v>11276</v>
      </c>
      <c r="B5715" s="13" t="s">
        <v>10192</v>
      </c>
      <c r="C5715" s="20" t="s">
        <v>9243</v>
      </c>
      <c r="D5715" s="19">
        <v>12202</v>
      </c>
      <c r="E5715" s="13" t="s">
        <v>11275</v>
      </c>
      <c r="F5715" s="14">
        <v>41359</v>
      </c>
      <c r="G5715" s="14">
        <v>41639</v>
      </c>
      <c r="H5715" s="13" t="s">
        <v>651</v>
      </c>
      <c r="I5715" s="18">
        <f>23391.63-3.1</f>
        <v>23388.530000000002</v>
      </c>
      <c r="J5715" s="18">
        <v>19195.75</v>
      </c>
      <c r="K5715" s="20" t="s">
        <v>9243</v>
      </c>
      <c r="L5715" s="119"/>
    </row>
    <row r="5716" spans="1:12" ht="25.5" x14ac:dyDescent="0.25">
      <c r="A5716" s="13" t="s">
        <v>11277</v>
      </c>
      <c r="B5716" s="13" t="s">
        <v>10195</v>
      </c>
      <c r="C5716" s="20" t="s">
        <v>9243</v>
      </c>
      <c r="D5716" s="19">
        <v>12203</v>
      </c>
      <c r="E5716" s="13" t="s">
        <v>11278</v>
      </c>
      <c r="F5716" s="14">
        <v>41422</v>
      </c>
      <c r="G5716" s="14">
        <v>41639</v>
      </c>
      <c r="H5716" s="13" t="s">
        <v>651</v>
      </c>
      <c r="I5716" s="18">
        <v>3430.48</v>
      </c>
      <c r="J5716" s="18">
        <v>1715.24</v>
      </c>
      <c r="K5716" s="20" t="s">
        <v>9243</v>
      </c>
      <c r="L5716" s="119"/>
    </row>
    <row r="5717" spans="1:12" ht="25.5" x14ac:dyDescent="0.25">
      <c r="A5717" s="13" t="s">
        <v>11279</v>
      </c>
      <c r="B5717" s="13" t="s">
        <v>10192</v>
      </c>
      <c r="C5717" s="20" t="s">
        <v>9243</v>
      </c>
      <c r="D5717" s="19">
        <v>12204</v>
      </c>
      <c r="E5717" s="13" t="s">
        <v>11280</v>
      </c>
      <c r="F5717" s="14">
        <v>41303</v>
      </c>
      <c r="G5717" s="14">
        <v>41639</v>
      </c>
      <c r="H5717" s="13" t="s">
        <v>651</v>
      </c>
      <c r="I5717" s="18">
        <v>7500</v>
      </c>
      <c r="J5717" s="18">
        <v>7500</v>
      </c>
      <c r="K5717" s="20" t="s">
        <v>9243</v>
      </c>
      <c r="L5717" s="119"/>
    </row>
    <row r="5718" spans="1:12" x14ac:dyDescent="0.25">
      <c r="A5718" s="13" t="s">
        <v>11281</v>
      </c>
      <c r="B5718" s="13" t="s">
        <v>10192</v>
      </c>
      <c r="C5718" s="20" t="s">
        <v>9243</v>
      </c>
      <c r="D5718" s="19">
        <v>12205</v>
      </c>
      <c r="E5718" s="13" t="s">
        <v>11282</v>
      </c>
      <c r="F5718" s="14">
        <v>41387</v>
      </c>
      <c r="G5718" s="14">
        <v>41639</v>
      </c>
      <c r="H5718" s="13" t="s">
        <v>651</v>
      </c>
      <c r="I5718" s="18">
        <v>7500</v>
      </c>
      <c r="J5718" s="18">
        <v>7500</v>
      </c>
      <c r="K5718" s="20" t="s">
        <v>9243</v>
      </c>
      <c r="L5718" s="119"/>
    </row>
    <row r="5719" spans="1:12" ht="51" x14ac:dyDescent="0.25">
      <c r="A5719" s="13" t="s">
        <v>11283</v>
      </c>
      <c r="B5719" s="13" t="s">
        <v>10192</v>
      </c>
      <c r="C5719" s="20" t="s">
        <v>9243</v>
      </c>
      <c r="D5719" s="19">
        <v>12206</v>
      </c>
      <c r="E5719" s="13" t="s">
        <v>11284</v>
      </c>
      <c r="F5719" s="14">
        <v>41303</v>
      </c>
      <c r="G5719" s="14">
        <v>41639</v>
      </c>
      <c r="H5719" s="13" t="s">
        <v>651</v>
      </c>
      <c r="I5719" s="18">
        <v>62086</v>
      </c>
      <c r="J5719" s="18">
        <v>34793</v>
      </c>
      <c r="K5719" s="20" t="s">
        <v>9243</v>
      </c>
      <c r="L5719" s="119"/>
    </row>
    <row r="5720" spans="1:12" x14ac:dyDescent="0.25">
      <c r="A5720" s="13" t="s">
        <v>11285</v>
      </c>
      <c r="B5720" s="13" t="s">
        <v>10192</v>
      </c>
      <c r="C5720" s="20" t="s">
        <v>9243</v>
      </c>
      <c r="D5720" s="19">
        <v>12208</v>
      </c>
      <c r="E5720" s="13" t="s">
        <v>11286</v>
      </c>
      <c r="F5720" s="14">
        <v>41482</v>
      </c>
      <c r="G5720" s="14">
        <v>41639</v>
      </c>
      <c r="H5720" s="13" t="s">
        <v>651</v>
      </c>
      <c r="I5720" s="18">
        <v>7500</v>
      </c>
      <c r="J5720" s="18">
        <v>7500</v>
      </c>
      <c r="K5720" s="20" t="s">
        <v>9243</v>
      </c>
      <c r="L5720" s="119"/>
    </row>
    <row r="5721" spans="1:12" x14ac:dyDescent="0.25">
      <c r="A5721" s="13" t="s">
        <v>11287</v>
      </c>
      <c r="B5721" s="13" t="s">
        <v>10192</v>
      </c>
      <c r="C5721" s="20" t="s">
        <v>9243</v>
      </c>
      <c r="D5721" s="19">
        <v>12209</v>
      </c>
      <c r="E5721" s="13" t="s">
        <v>11288</v>
      </c>
      <c r="F5721" s="14">
        <v>41541</v>
      </c>
      <c r="G5721" s="14">
        <v>41639</v>
      </c>
      <c r="H5721" s="13" t="s">
        <v>651</v>
      </c>
      <c r="I5721" s="18">
        <v>3750</v>
      </c>
      <c r="J5721" s="18">
        <v>3750</v>
      </c>
      <c r="K5721" s="20" t="s">
        <v>9243</v>
      </c>
      <c r="L5721" s="119"/>
    </row>
    <row r="5722" spans="1:12" ht="25.5" x14ac:dyDescent="0.25">
      <c r="A5722" s="13" t="s">
        <v>11289</v>
      </c>
      <c r="B5722" s="13" t="s">
        <v>10195</v>
      </c>
      <c r="C5722" s="20" t="s">
        <v>9243</v>
      </c>
      <c r="D5722" s="19">
        <v>12210</v>
      </c>
      <c r="E5722" s="13" t="s">
        <v>11290</v>
      </c>
      <c r="F5722" s="14">
        <v>41303</v>
      </c>
      <c r="G5722" s="14">
        <v>41639</v>
      </c>
      <c r="H5722" s="13" t="s">
        <v>651</v>
      </c>
      <c r="I5722" s="18">
        <v>7500</v>
      </c>
      <c r="J5722" s="18">
        <v>7500</v>
      </c>
      <c r="K5722" s="20" t="s">
        <v>9243</v>
      </c>
      <c r="L5722" s="119"/>
    </row>
    <row r="5723" spans="1:12" ht="51" x14ac:dyDescent="0.25">
      <c r="A5723" s="13" t="s">
        <v>11291</v>
      </c>
      <c r="B5723" s="13" t="s">
        <v>10195</v>
      </c>
      <c r="C5723" s="20" t="s">
        <v>9243</v>
      </c>
      <c r="D5723" s="19">
        <v>12211</v>
      </c>
      <c r="E5723" s="13" t="s">
        <v>11292</v>
      </c>
      <c r="F5723" s="14">
        <v>41541</v>
      </c>
      <c r="G5723" s="14">
        <v>41639</v>
      </c>
      <c r="H5723" s="13" t="s">
        <v>651</v>
      </c>
      <c r="I5723" s="18">
        <v>3750</v>
      </c>
      <c r="J5723" s="18">
        <v>3750</v>
      </c>
      <c r="K5723" s="20" t="s">
        <v>9243</v>
      </c>
      <c r="L5723" s="119"/>
    </row>
    <row r="5724" spans="1:12" ht="25.5" x14ac:dyDescent="0.25">
      <c r="A5724" s="13" t="s">
        <v>11295</v>
      </c>
      <c r="B5724" s="13" t="s">
        <v>10195</v>
      </c>
      <c r="C5724" s="20" t="s">
        <v>9243</v>
      </c>
      <c r="D5724" s="19">
        <v>12213</v>
      </c>
      <c r="E5724" s="13" t="s">
        <v>11296</v>
      </c>
      <c r="F5724" s="14">
        <v>41450</v>
      </c>
      <c r="G5724" s="14">
        <v>41639</v>
      </c>
      <c r="H5724" s="13" t="s">
        <v>651</v>
      </c>
      <c r="I5724" s="18">
        <v>7500</v>
      </c>
      <c r="J5724" s="18">
        <v>7500</v>
      </c>
      <c r="K5724" s="20" t="s">
        <v>9243</v>
      </c>
      <c r="L5724" s="119"/>
    </row>
    <row r="5725" spans="1:12" ht="25.5" x14ac:dyDescent="0.25">
      <c r="A5725" s="13" t="s">
        <v>11297</v>
      </c>
      <c r="B5725" s="13" t="s">
        <v>10195</v>
      </c>
      <c r="C5725" s="20" t="s">
        <v>9243</v>
      </c>
      <c r="D5725" s="19">
        <v>12214</v>
      </c>
      <c r="E5725" s="13" t="s">
        <v>11298</v>
      </c>
      <c r="F5725" s="14">
        <v>41331</v>
      </c>
      <c r="G5725" s="14">
        <v>41639</v>
      </c>
      <c r="H5725" s="13" t="s">
        <v>651</v>
      </c>
      <c r="I5725" s="18">
        <v>8750</v>
      </c>
      <c r="J5725" s="18">
        <v>6250</v>
      </c>
      <c r="K5725" s="20" t="s">
        <v>9243</v>
      </c>
      <c r="L5725" s="119"/>
    </row>
    <row r="5726" spans="1:12" x14ac:dyDescent="0.25">
      <c r="A5726" s="13" t="s">
        <v>11299</v>
      </c>
      <c r="B5726" s="13" t="s">
        <v>10195</v>
      </c>
      <c r="C5726" s="20" t="s">
        <v>9243</v>
      </c>
      <c r="D5726" s="19">
        <v>12216</v>
      </c>
      <c r="E5726" s="13" t="s">
        <v>11300</v>
      </c>
      <c r="F5726" s="14">
        <v>41450</v>
      </c>
      <c r="G5726" s="14">
        <v>41639</v>
      </c>
      <c r="H5726" s="13" t="s">
        <v>651</v>
      </c>
      <c r="I5726" s="18">
        <v>11125</v>
      </c>
      <c r="J5726" s="18">
        <v>9312.5</v>
      </c>
      <c r="K5726" s="20" t="s">
        <v>9243</v>
      </c>
      <c r="L5726" s="119"/>
    </row>
    <row r="5727" spans="1:12" ht="25.5" x14ac:dyDescent="0.25">
      <c r="A5727" s="13" t="s">
        <v>11301</v>
      </c>
      <c r="B5727" s="13" t="s">
        <v>10195</v>
      </c>
      <c r="C5727" s="20" t="s">
        <v>9243</v>
      </c>
      <c r="D5727" s="19">
        <v>12218</v>
      </c>
      <c r="E5727" s="13" t="s">
        <v>11302</v>
      </c>
      <c r="F5727" s="14">
        <v>41387</v>
      </c>
      <c r="G5727" s="14">
        <v>41639</v>
      </c>
      <c r="H5727" s="13" t="s">
        <v>651</v>
      </c>
      <c r="I5727" s="18">
        <v>49999.08</v>
      </c>
      <c r="J5727" s="18">
        <v>24999.54</v>
      </c>
      <c r="K5727" s="20" t="s">
        <v>9243</v>
      </c>
      <c r="L5727" s="119"/>
    </row>
    <row r="5728" spans="1:12" ht="25.5" x14ac:dyDescent="0.25">
      <c r="A5728" s="13" t="s">
        <v>11303</v>
      </c>
      <c r="B5728" s="13" t="s">
        <v>10195</v>
      </c>
      <c r="C5728" s="20" t="s">
        <v>9243</v>
      </c>
      <c r="D5728" s="19">
        <v>12219</v>
      </c>
      <c r="E5728" s="13" t="s">
        <v>11304</v>
      </c>
      <c r="F5728" s="14">
        <v>41359</v>
      </c>
      <c r="G5728" s="14">
        <v>41639</v>
      </c>
      <c r="H5728" s="13" t="s">
        <v>651</v>
      </c>
      <c r="I5728" s="18">
        <v>7500</v>
      </c>
      <c r="J5728" s="18">
        <v>7500</v>
      </c>
      <c r="K5728" s="20" t="s">
        <v>9243</v>
      </c>
      <c r="L5728" s="119"/>
    </row>
    <row r="5729" spans="1:13" ht="25.5" x14ac:dyDescent="0.25">
      <c r="A5729" s="13" t="s">
        <v>11307</v>
      </c>
      <c r="B5729" s="13" t="s">
        <v>10192</v>
      </c>
      <c r="C5729" s="20" t="s">
        <v>9243</v>
      </c>
      <c r="D5729" s="19">
        <v>12223</v>
      </c>
      <c r="E5729" s="13" t="s">
        <v>11308</v>
      </c>
      <c r="F5729" s="14">
        <v>41569</v>
      </c>
      <c r="G5729" s="14">
        <v>41639</v>
      </c>
      <c r="H5729" s="13" t="s">
        <v>651</v>
      </c>
      <c r="I5729" s="18">
        <v>4000</v>
      </c>
      <c r="J5729" s="18">
        <v>4000</v>
      </c>
      <c r="K5729" s="20" t="s">
        <v>9243</v>
      </c>
      <c r="L5729" s="119"/>
    </row>
    <row r="5730" spans="1:13" ht="51" x14ac:dyDescent="0.25">
      <c r="A5730" s="13" t="s">
        <v>11309</v>
      </c>
      <c r="B5730" s="13" t="s">
        <v>38</v>
      </c>
      <c r="C5730" s="20" t="s">
        <v>9243</v>
      </c>
      <c r="D5730" s="19">
        <v>12352</v>
      </c>
      <c r="E5730" s="13" t="s">
        <v>11310</v>
      </c>
      <c r="F5730" s="14">
        <v>41275</v>
      </c>
      <c r="G5730" s="14">
        <v>41639</v>
      </c>
      <c r="H5730" s="13" t="s">
        <v>651</v>
      </c>
      <c r="I5730" s="18">
        <v>781.05</v>
      </c>
      <c r="J5730" s="18">
        <v>781.05</v>
      </c>
      <c r="K5730" s="20" t="s">
        <v>9243</v>
      </c>
      <c r="L5730" s="119"/>
    </row>
    <row r="5731" spans="1:13" ht="51" x14ac:dyDescent="0.25">
      <c r="A5731" s="13" t="s">
        <v>11311</v>
      </c>
      <c r="B5731" s="13" t="s">
        <v>38</v>
      </c>
      <c r="C5731" s="20" t="s">
        <v>9243</v>
      </c>
      <c r="D5731" s="19">
        <v>12353</v>
      </c>
      <c r="E5731" s="13" t="s">
        <v>11312</v>
      </c>
      <c r="F5731" s="14">
        <v>41275</v>
      </c>
      <c r="G5731" s="14">
        <v>41639</v>
      </c>
      <c r="H5731" s="13" t="s">
        <v>651</v>
      </c>
      <c r="I5731" s="18">
        <v>601.25</v>
      </c>
      <c r="J5731" s="18">
        <v>601.25</v>
      </c>
      <c r="K5731" s="20" t="s">
        <v>9243</v>
      </c>
      <c r="L5731" s="119"/>
    </row>
    <row r="5732" spans="1:13" ht="63.75" x14ac:dyDescent="0.25">
      <c r="A5732" s="13" t="s">
        <v>11313</v>
      </c>
      <c r="B5732" s="13" t="s">
        <v>38</v>
      </c>
      <c r="C5732" s="20" t="s">
        <v>9243</v>
      </c>
      <c r="D5732" s="19">
        <v>12354</v>
      </c>
      <c r="E5732" s="13" t="s">
        <v>9679</v>
      </c>
      <c r="F5732" s="14">
        <v>41275</v>
      </c>
      <c r="G5732" s="14">
        <v>41639</v>
      </c>
      <c r="H5732" s="13" t="s">
        <v>651</v>
      </c>
      <c r="I5732" s="18">
        <v>58694.5</v>
      </c>
      <c r="J5732" s="18">
        <v>29347.25</v>
      </c>
      <c r="K5732" s="20" t="s">
        <v>9243</v>
      </c>
      <c r="L5732" s="119"/>
    </row>
    <row r="5733" spans="1:13" ht="76.5" x14ac:dyDescent="0.25">
      <c r="A5733" s="13" t="s">
        <v>11314</v>
      </c>
      <c r="B5733" s="13" t="s">
        <v>38</v>
      </c>
      <c r="C5733" s="20" t="s">
        <v>9243</v>
      </c>
      <c r="D5733" s="19">
        <v>12355</v>
      </c>
      <c r="E5733" s="13" t="s">
        <v>11315</v>
      </c>
      <c r="F5733" s="14">
        <v>41275</v>
      </c>
      <c r="G5733" s="14">
        <v>41639</v>
      </c>
      <c r="H5733" s="13" t="s">
        <v>651</v>
      </c>
      <c r="I5733" s="18">
        <v>297</v>
      </c>
      <c r="J5733" s="18">
        <v>297</v>
      </c>
      <c r="K5733" s="20" t="s">
        <v>9243</v>
      </c>
      <c r="L5733" s="119"/>
    </row>
    <row r="5734" spans="1:13" ht="51" x14ac:dyDescent="0.25">
      <c r="A5734" s="13" t="s">
        <v>11316</v>
      </c>
      <c r="B5734" s="13" t="s">
        <v>38</v>
      </c>
      <c r="C5734" s="20" t="s">
        <v>9243</v>
      </c>
      <c r="D5734" s="19">
        <v>12356</v>
      </c>
      <c r="E5734" s="13" t="s">
        <v>11317</v>
      </c>
      <c r="F5734" s="14">
        <v>41275</v>
      </c>
      <c r="G5734" s="14">
        <v>41639</v>
      </c>
      <c r="H5734" s="13" t="s">
        <v>651</v>
      </c>
      <c r="I5734" s="18">
        <v>27727.3</v>
      </c>
      <c r="J5734" s="18">
        <v>13863.65</v>
      </c>
      <c r="K5734" s="20" t="s">
        <v>9243</v>
      </c>
      <c r="L5734" s="119"/>
    </row>
    <row r="5735" spans="1:13" ht="76.5" x14ac:dyDescent="0.25">
      <c r="A5735" s="13" t="s">
        <v>11318</v>
      </c>
      <c r="B5735" s="13" t="s">
        <v>38</v>
      </c>
      <c r="C5735" s="20" t="s">
        <v>9243</v>
      </c>
      <c r="D5735" s="19">
        <v>12357</v>
      </c>
      <c r="E5735" s="13" t="s">
        <v>11319</v>
      </c>
      <c r="F5735" s="14">
        <v>41275</v>
      </c>
      <c r="G5735" s="14">
        <v>41639</v>
      </c>
      <c r="H5735" s="13" t="s">
        <v>651</v>
      </c>
      <c r="I5735" s="18">
        <v>32604.28</v>
      </c>
      <c r="J5735" s="18">
        <v>32604.28</v>
      </c>
      <c r="K5735" s="20" t="s">
        <v>9243</v>
      </c>
      <c r="L5735" s="119"/>
    </row>
    <row r="5736" spans="1:13" ht="51" x14ac:dyDescent="0.25">
      <c r="A5736" s="13" t="s">
        <v>11320</v>
      </c>
      <c r="B5736" s="13" t="s">
        <v>38</v>
      </c>
      <c r="C5736" s="20" t="s">
        <v>9243</v>
      </c>
      <c r="D5736" s="19">
        <v>12360</v>
      </c>
      <c r="E5736" s="13" t="s">
        <v>11321</v>
      </c>
      <c r="F5736" s="14">
        <v>41275</v>
      </c>
      <c r="G5736" s="14">
        <v>41639</v>
      </c>
      <c r="H5736" s="13" t="s">
        <v>651</v>
      </c>
      <c r="I5736" s="18">
        <v>214.5</v>
      </c>
      <c r="J5736" s="18">
        <v>214.5</v>
      </c>
      <c r="K5736" s="20" t="s">
        <v>9243</v>
      </c>
      <c r="L5736" s="119"/>
    </row>
    <row r="5737" spans="1:13" ht="25.5" x14ac:dyDescent="0.25">
      <c r="A5737" s="13" t="s">
        <v>11322</v>
      </c>
      <c r="B5737" s="13" t="s">
        <v>38</v>
      </c>
      <c r="C5737" s="20" t="s">
        <v>9243</v>
      </c>
      <c r="D5737" s="19">
        <v>12361</v>
      </c>
      <c r="E5737" s="13" t="s">
        <v>11323</v>
      </c>
      <c r="F5737" s="14">
        <v>41275</v>
      </c>
      <c r="G5737" s="14">
        <v>41639</v>
      </c>
      <c r="H5737" s="13" t="s">
        <v>651</v>
      </c>
      <c r="I5737" s="18">
        <v>550</v>
      </c>
      <c r="J5737" s="18">
        <v>550</v>
      </c>
      <c r="K5737" s="20" t="s">
        <v>9243</v>
      </c>
      <c r="L5737" s="119"/>
    </row>
    <row r="5738" spans="1:13" ht="38.25" x14ac:dyDescent="0.25">
      <c r="A5738" s="13" t="s">
        <v>11324</v>
      </c>
      <c r="B5738" s="13" t="s">
        <v>38</v>
      </c>
      <c r="C5738" s="20" t="s">
        <v>9243</v>
      </c>
      <c r="D5738" s="19">
        <v>12362</v>
      </c>
      <c r="E5738" s="13" t="s">
        <v>11325</v>
      </c>
      <c r="F5738" s="14">
        <v>41275</v>
      </c>
      <c r="G5738" s="14">
        <v>41639</v>
      </c>
      <c r="H5738" s="13" t="s">
        <v>651</v>
      </c>
      <c r="I5738" s="18">
        <v>1955.53</v>
      </c>
      <c r="J5738" s="18">
        <v>1955.53</v>
      </c>
      <c r="K5738" s="20" t="s">
        <v>9243</v>
      </c>
      <c r="L5738" s="119"/>
    </row>
    <row r="5739" spans="1:13" s="4" customFormat="1" x14ac:dyDescent="0.25">
      <c r="C5739" s="20" t="s">
        <v>9243</v>
      </c>
      <c r="D5739" s="35"/>
      <c r="E5739" s="26" t="s">
        <v>351</v>
      </c>
      <c r="F5739" s="28"/>
      <c r="G5739" s="28"/>
      <c r="H5739" s="26"/>
      <c r="I5739" s="27">
        <f>SUM(I5462:I5494)</f>
        <v>2162562.4799999995</v>
      </c>
      <c r="J5739" s="27">
        <f>SUM(J5462:J5494)</f>
        <v>611433.6399999999</v>
      </c>
      <c r="K5739" s="20" t="s">
        <v>9243</v>
      </c>
      <c r="L5739" s="119"/>
      <c r="M5739" s="3"/>
    </row>
    <row r="5740" spans="1:13" s="4" customFormat="1" x14ac:dyDescent="0.25">
      <c r="C5740" s="20" t="s">
        <v>9243</v>
      </c>
      <c r="D5740" s="35"/>
      <c r="E5740" s="26" t="s">
        <v>786</v>
      </c>
      <c r="F5740" s="28"/>
      <c r="G5740" s="28"/>
      <c r="H5740" s="26"/>
      <c r="I5740" s="27">
        <f>SUM(I5495)</f>
        <v>107693</v>
      </c>
      <c r="J5740" s="27">
        <f>SUM(J5495)</f>
        <v>37693</v>
      </c>
      <c r="K5740" s="20" t="s">
        <v>9243</v>
      </c>
      <c r="L5740" s="119"/>
      <c r="M5740" s="3"/>
    </row>
    <row r="5741" spans="1:13" s="4" customFormat="1" x14ac:dyDescent="0.25">
      <c r="C5741" s="20" t="s">
        <v>9243</v>
      </c>
      <c r="D5741" s="35"/>
      <c r="E5741" s="26" t="s">
        <v>352</v>
      </c>
      <c r="F5741" s="28"/>
      <c r="G5741" s="28"/>
      <c r="H5741" s="26"/>
      <c r="I5741" s="27">
        <f>SUM(I5496:I5738)</f>
        <v>5456308.9300000025</v>
      </c>
      <c r="J5741" s="27">
        <f>SUM(J5496:J5738)</f>
        <v>4155205.55</v>
      </c>
      <c r="K5741" s="20" t="s">
        <v>9243</v>
      </c>
      <c r="L5741" s="119"/>
      <c r="M5741" s="3"/>
    </row>
    <row r="5742" spans="1:13" s="4" customFormat="1" x14ac:dyDescent="0.25">
      <c r="C5742" s="20" t="s">
        <v>9243</v>
      </c>
      <c r="D5742" s="35"/>
      <c r="E5742" s="26" t="s">
        <v>9748</v>
      </c>
      <c r="F5742" s="28"/>
      <c r="G5742" s="28"/>
      <c r="H5742" s="26"/>
      <c r="I5742" s="27">
        <f>SUM(I5739:I5741)</f>
        <v>7726564.410000002</v>
      </c>
      <c r="J5742" s="27">
        <f>SUM(J5739:J5741)</f>
        <v>4804332.1899999995</v>
      </c>
      <c r="K5742" s="20" t="s">
        <v>9243</v>
      </c>
      <c r="L5742" s="119">
        <f>J5742</f>
        <v>4804332.1899999995</v>
      </c>
      <c r="M5742" s="3">
        <f>SUM(J5742*0.4)</f>
        <v>1921732.8759999999</v>
      </c>
    </row>
    <row r="5743" spans="1:13" s="4" customFormat="1" x14ac:dyDescent="0.25">
      <c r="C5743" s="37"/>
      <c r="D5743" s="35"/>
      <c r="F5743" s="5"/>
      <c r="G5743" s="5"/>
      <c r="I5743" s="6"/>
      <c r="J5743" s="6"/>
      <c r="K5743" s="37"/>
      <c r="L5743" s="119"/>
      <c r="M5743" s="3"/>
    </row>
    <row r="5744" spans="1:13" s="4" customFormat="1" ht="25.5" x14ac:dyDescent="0.25">
      <c r="A5744" s="4" t="s">
        <v>9749</v>
      </c>
      <c r="B5744" s="4" t="s">
        <v>13</v>
      </c>
      <c r="C5744" s="37" t="s">
        <v>9751</v>
      </c>
      <c r="D5744" s="35">
        <v>3759</v>
      </c>
      <c r="E5744" s="4" t="s">
        <v>9750</v>
      </c>
      <c r="F5744" s="5">
        <v>39150</v>
      </c>
      <c r="G5744" s="5">
        <v>39598</v>
      </c>
      <c r="H5744" s="4" t="s">
        <v>16</v>
      </c>
      <c r="I5744" s="6">
        <v>47054.23</v>
      </c>
      <c r="J5744" s="6">
        <v>14116.27</v>
      </c>
      <c r="K5744" s="37" t="s">
        <v>9751</v>
      </c>
      <c r="L5744" s="119"/>
      <c r="M5744" s="3"/>
    </row>
    <row r="5745" spans="1:13" s="4" customFormat="1" x14ac:dyDescent="0.25">
      <c r="A5745" s="4" t="s">
        <v>9752</v>
      </c>
      <c r="B5745" s="4" t="s">
        <v>13</v>
      </c>
      <c r="C5745" s="37" t="s">
        <v>9751</v>
      </c>
      <c r="D5745" s="35">
        <v>3770</v>
      </c>
      <c r="E5745" s="4" t="s">
        <v>9753</v>
      </c>
      <c r="F5745" s="5">
        <v>39759</v>
      </c>
      <c r="G5745" s="5">
        <v>39933</v>
      </c>
      <c r="H5745" s="4" t="s">
        <v>16</v>
      </c>
      <c r="I5745" s="6">
        <v>22150.89</v>
      </c>
      <c r="J5745" s="6">
        <v>6645.27</v>
      </c>
      <c r="K5745" s="37" t="s">
        <v>9751</v>
      </c>
      <c r="L5745" s="119"/>
      <c r="M5745" s="3"/>
    </row>
    <row r="5746" spans="1:13" s="4" customFormat="1" ht="25.5" x14ac:dyDescent="0.25">
      <c r="A5746" s="4" t="s">
        <v>9754</v>
      </c>
      <c r="B5746" s="4" t="s">
        <v>13</v>
      </c>
      <c r="C5746" s="37" t="s">
        <v>9751</v>
      </c>
      <c r="D5746" s="35">
        <v>3777</v>
      </c>
      <c r="E5746" s="4" t="s">
        <v>9755</v>
      </c>
      <c r="F5746" s="5">
        <v>39150</v>
      </c>
      <c r="G5746" s="5">
        <v>39447</v>
      </c>
      <c r="H5746" s="4" t="s">
        <v>16</v>
      </c>
      <c r="I5746" s="6">
        <v>209298.86</v>
      </c>
      <c r="J5746" s="6">
        <v>21375</v>
      </c>
      <c r="K5746" s="37" t="s">
        <v>9751</v>
      </c>
      <c r="L5746" s="119"/>
      <c r="M5746" s="3"/>
    </row>
    <row r="5747" spans="1:13" s="4" customFormat="1" ht="76.5" x14ac:dyDescent="0.25">
      <c r="A5747" s="4" t="s">
        <v>9756</v>
      </c>
      <c r="B5747" s="4" t="s">
        <v>13</v>
      </c>
      <c r="C5747" s="37" t="s">
        <v>9751</v>
      </c>
      <c r="D5747" s="35">
        <v>3797</v>
      </c>
      <c r="E5747" s="4" t="s">
        <v>9757</v>
      </c>
      <c r="F5747" s="5">
        <v>39770</v>
      </c>
      <c r="G5747" s="5">
        <v>40120</v>
      </c>
      <c r="H5747" s="4" t="s">
        <v>16</v>
      </c>
      <c r="I5747" s="6">
        <v>6546</v>
      </c>
      <c r="J5747" s="6">
        <v>1964</v>
      </c>
      <c r="K5747" s="37" t="s">
        <v>9751</v>
      </c>
      <c r="L5747" s="119"/>
      <c r="M5747" s="3"/>
    </row>
    <row r="5748" spans="1:13" s="4" customFormat="1" ht="25.5" x14ac:dyDescent="0.25">
      <c r="A5748" s="4" t="s">
        <v>9758</v>
      </c>
      <c r="B5748" s="4" t="s">
        <v>13</v>
      </c>
      <c r="C5748" s="37" t="s">
        <v>9751</v>
      </c>
      <c r="D5748" s="35">
        <v>3804</v>
      </c>
      <c r="E5748" s="4" t="s">
        <v>9759</v>
      </c>
      <c r="F5748" s="5">
        <v>39961</v>
      </c>
      <c r="G5748" s="5">
        <v>40598</v>
      </c>
      <c r="H5748" s="4" t="s">
        <v>16</v>
      </c>
      <c r="I5748" s="6">
        <v>10500</v>
      </c>
      <c r="J5748" s="6">
        <v>4000</v>
      </c>
      <c r="K5748" s="37" t="s">
        <v>9751</v>
      </c>
      <c r="L5748" s="119"/>
      <c r="M5748" s="3"/>
    </row>
    <row r="5749" spans="1:13" s="4" customFormat="1" x14ac:dyDescent="0.25">
      <c r="A5749" s="4" t="s">
        <v>9760</v>
      </c>
      <c r="B5749" s="4" t="s">
        <v>13</v>
      </c>
      <c r="C5749" s="37" t="s">
        <v>9751</v>
      </c>
      <c r="D5749" s="35">
        <v>3807</v>
      </c>
      <c r="E5749" s="4" t="s">
        <v>9761</v>
      </c>
      <c r="F5749" s="5">
        <v>39709</v>
      </c>
      <c r="G5749" s="5">
        <v>39962</v>
      </c>
      <c r="H5749" s="4" t="s">
        <v>16</v>
      </c>
      <c r="I5749" s="6">
        <v>48058.68</v>
      </c>
      <c r="J5749" s="6">
        <v>14417.6</v>
      </c>
      <c r="K5749" s="37" t="s">
        <v>9751</v>
      </c>
      <c r="L5749" s="119"/>
      <c r="M5749" s="3"/>
    </row>
    <row r="5750" spans="1:13" s="4" customFormat="1" ht="105.75" customHeight="1" x14ac:dyDescent="0.25">
      <c r="A5750" s="4" t="s">
        <v>9762</v>
      </c>
      <c r="B5750" s="4" t="s">
        <v>13</v>
      </c>
      <c r="C5750" s="37" t="s">
        <v>9751</v>
      </c>
      <c r="D5750" s="35">
        <v>3808</v>
      </c>
      <c r="E5750" s="4" t="s">
        <v>9763</v>
      </c>
      <c r="F5750" s="5">
        <v>39671</v>
      </c>
      <c r="G5750" s="5">
        <v>40116</v>
      </c>
      <c r="H5750" s="4" t="s">
        <v>16</v>
      </c>
      <c r="I5750" s="6">
        <v>81055.199999999997</v>
      </c>
      <c r="J5750" s="6">
        <v>19500</v>
      </c>
      <c r="K5750" s="37" t="s">
        <v>9751</v>
      </c>
      <c r="L5750" s="119"/>
      <c r="M5750" s="3"/>
    </row>
    <row r="5751" spans="1:13" s="4" customFormat="1" ht="67.5" customHeight="1" x14ac:dyDescent="0.25">
      <c r="A5751" s="4" t="s">
        <v>9764</v>
      </c>
      <c r="B5751" s="4" t="s">
        <v>13</v>
      </c>
      <c r="C5751" s="37" t="s">
        <v>9751</v>
      </c>
      <c r="D5751" s="35">
        <v>4134</v>
      </c>
      <c r="E5751" s="4" t="s">
        <v>9765</v>
      </c>
      <c r="F5751" s="5">
        <v>39332</v>
      </c>
      <c r="G5751" s="5">
        <v>40170</v>
      </c>
      <c r="H5751" s="4" t="s">
        <v>16</v>
      </c>
      <c r="I5751" s="6">
        <v>183770</v>
      </c>
      <c r="J5751" s="6">
        <v>55131</v>
      </c>
      <c r="K5751" s="37" t="s">
        <v>9751</v>
      </c>
      <c r="L5751" s="119"/>
      <c r="M5751" s="3"/>
    </row>
    <row r="5752" spans="1:13" s="4" customFormat="1" ht="89.25" x14ac:dyDescent="0.25">
      <c r="A5752" s="4" t="s">
        <v>3620</v>
      </c>
      <c r="B5752" s="4" t="s">
        <v>13</v>
      </c>
      <c r="C5752" s="37" t="s">
        <v>9751</v>
      </c>
      <c r="D5752" s="35">
        <v>4135</v>
      </c>
      <c r="E5752" s="7" t="s">
        <v>9766</v>
      </c>
      <c r="F5752" s="5">
        <v>39735</v>
      </c>
      <c r="G5752" s="5">
        <v>40053</v>
      </c>
      <c r="H5752" s="4" t="s">
        <v>16</v>
      </c>
      <c r="I5752" s="6">
        <v>23420.2</v>
      </c>
      <c r="J5752" s="6">
        <v>7026.13</v>
      </c>
      <c r="K5752" s="37" t="s">
        <v>9751</v>
      </c>
      <c r="L5752" s="119"/>
      <c r="M5752" s="3"/>
    </row>
    <row r="5753" spans="1:13" s="4" customFormat="1" ht="51" x14ac:dyDescent="0.25">
      <c r="A5753" s="4" t="s">
        <v>9767</v>
      </c>
      <c r="B5753" s="4" t="s">
        <v>13</v>
      </c>
      <c r="C5753" s="37" t="s">
        <v>9751</v>
      </c>
      <c r="D5753" s="35">
        <v>4136</v>
      </c>
      <c r="E5753" s="4" t="s">
        <v>9768</v>
      </c>
      <c r="F5753" s="5">
        <v>39959</v>
      </c>
      <c r="G5753" s="5">
        <v>40305</v>
      </c>
      <c r="H5753" s="4" t="s">
        <v>16</v>
      </c>
      <c r="I5753" s="6">
        <v>102450</v>
      </c>
      <c r="J5753" s="6">
        <v>19977.75</v>
      </c>
      <c r="K5753" s="37" t="s">
        <v>9751</v>
      </c>
      <c r="L5753" s="119"/>
      <c r="M5753" s="3"/>
    </row>
    <row r="5754" spans="1:13" s="4" customFormat="1" ht="25.5" x14ac:dyDescent="0.25">
      <c r="A5754" s="4" t="s">
        <v>9769</v>
      </c>
      <c r="B5754" s="4" t="s">
        <v>13</v>
      </c>
      <c r="C5754" s="37" t="s">
        <v>9751</v>
      </c>
      <c r="D5754" s="35">
        <v>9945</v>
      </c>
      <c r="E5754" s="4" t="s">
        <v>9770</v>
      </c>
      <c r="F5754" s="5">
        <v>40204</v>
      </c>
      <c r="G5754" s="5">
        <v>40508</v>
      </c>
      <c r="H5754" s="4" t="s">
        <v>16</v>
      </c>
      <c r="I5754" s="6">
        <v>50000</v>
      </c>
      <c r="J5754" s="6">
        <v>15000</v>
      </c>
      <c r="K5754" s="37" t="s">
        <v>9751</v>
      </c>
      <c r="L5754" s="119"/>
      <c r="M5754" s="3"/>
    </row>
    <row r="5755" spans="1:13" s="4" customFormat="1" x14ac:dyDescent="0.25">
      <c r="A5755" s="4" t="s">
        <v>9769</v>
      </c>
      <c r="B5755" s="4" t="s">
        <v>13</v>
      </c>
      <c r="C5755" s="37" t="s">
        <v>9751</v>
      </c>
      <c r="D5755" s="35">
        <v>9968</v>
      </c>
      <c r="E5755" s="4" t="s">
        <v>9771</v>
      </c>
      <c r="F5755" s="5">
        <v>40204</v>
      </c>
      <c r="G5755" s="5">
        <v>40508</v>
      </c>
      <c r="H5755" s="4" t="s">
        <v>16</v>
      </c>
      <c r="I5755" s="6">
        <v>15000</v>
      </c>
      <c r="J5755" s="6">
        <v>3100.32</v>
      </c>
      <c r="K5755" s="37" t="s">
        <v>9751</v>
      </c>
      <c r="L5755" s="119"/>
      <c r="M5755" s="3"/>
    </row>
    <row r="5756" spans="1:13" s="4" customFormat="1" x14ac:dyDescent="0.25">
      <c r="A5756" s="4" t="s">
        <v>9772</v>
      </c>
      <c r="B5756" s="4" t="s">
        <v>13</v>
      </c>
      <c r="C5756" s="37" t="s">
        <v>9751</v>
      </c>
      <c r="D5756" s="35">
        <v>10141</v>
      </c>
      <c r="E5756" s="4" t="s">
        <v>9773</v>
      </c>
      <c r="F5756" s="5">
        <v>40526</v>
      </c>
      <c r="G5756" s="5">
        <v>40709</v>
      </c>
      <c r="H5756" s="4" t="s">
        <v>16</v>
      </c>
      <c r="I5756" s="6">
        <v>5800.47</v>
      </c>
      <c r="J5756" s="6">
        <v>1740.14</v>
      </c>
      <c r="K5756" s="37" t="s">
        <v>9751</v>
      </c>
      <c r="L5756" s="119"/>
      <c r="M5756" s="3"/>
    </row>
    <row r="5757" spans="1:13" s="4" customFormat="1" ht="25.5" x14ac:dyDescent="0.25">
      <c r="A5757" s="4" t="s">
        <v>9774</v>
      </c>
      <c r="B5757" s="4" t="s">
        <v>13</v>
      </c>
      <c r="C5757" s="37" t="s">
        <v>9751</v>
      </c>
      <c r="D5757" s="35">
        <v>9471</v>
      </c>
      <c r="E5757" s="4" t="s">
        <v>9775</v>
      </c>
      <c r="F5757" s="5">
        <v>40065</v>
      </c>
      <c r="G5757" s="5">
        <v>40170</v>
      </c>
      <c r="H5757" s="4" t="s">
        <v>389</v>
      </c>
      <c r="I5757" s="6">
        <v>36222.050000000003</v>
      </c>
      <c r="J5757" s="6">
        <v>9779.9500000000007</v>
      </c>
      <c r="K5757" s="37" t="s">
        <v>9751</v>
      </c>
      <c r="L5757" s="119"/>
      <c r="M5757" s="3"/>
    </row>
    <row r="5758" spans="1:13" s="4" customFormat="1" ht="51" x14ac:dyDescent="0.25">
      <c r="A5758" s="4" t="s">
        <v>9776</v>
      </c>
      <c r="B5758" s="4" t="s">
        <v>13</v>
      </c>
      <c r="C5758" s="37" t="s">
        <v>9751</v>
      </c>
      <c r="D5758" s="35">
        <v>10074</v>
      </c>
      <c r="E5758" s="4" t="s">
        <v>9777</v>
      </c>
      <c r="F5758" s="5">
        <v>40800</v>
      </c>
      <c r="G5758" s="5">
        <v>40886</v>
      </c>
      <c r="H5758" s="4" t="s">
        <v>392</v>
      </c>
      <c r="I5758" s="6">
        <v>25460</v>
      </c>
      <c r="J5758" s="6">
        <v>7637.9</v>
      </c>
      <c r="K5758" s="37" t="s">
        <v>9751</v>
      </c>
      <c r="L5758" s="119"/>
      <c r="M5758" s="3"/>
    </row>
    <row r="5759" spans="1:13" s="4" customFormat="1" ht="51" x14ac:dyDescent="0.25">
      <c r="A5759" s="4" t="s">
        <v>9778</v>
      </c>
      <c r="B5759" s="4" t="s">
        <v>13</v>
      </c>
      <c r="C5759" s="37" t="s">
        <v>9751</v>
      </c>
      <c r="D5759" s="35">
        <v>10152</v>
      </c>
      <c r="E5759" s="4" t="s">
        <v>9779</v>
      </c>
      <c r="F5759" s="5">
        <v>40828</v>
      </c>
      <c r="G5759" s="5">
        <v>40897</v>
      </c>
      <c r="H5759" s="4" t="s">
        <v>392</v>
      </c>
      <c r="I5759" s="6">
        <v>219120</v>
      </c>
      <c r="J5759" s="6">
        <v>76692</v>
      </c>
      <c r="K5759" s="37" t="s">
        <v>9751</v>
      </c>
      <c r="L5759" s="119"/>
      <c r="M5759" s="3"/>
    </row>
    <row r="5760" spans="1:13" s="4" customFormat="1" ht="38.25" x14ac:dyDescent="0.25">
      <c r="A5760" s="4" t="s">
        <v>9780</v>
      </c>
      <c r="B5760" s="4" t="s">
        <v>13</v>
      </c>
      <c r="C5760" s="37" t="s">
        <v>9751</v>
      </c>
      <c r="D5760" s="35">
        <v>10183</v>
      </c>
      <c r="E5760" s="4" t="s">
        <v>9781</v>
      </c>
      <c r="F5760" s="5">
        <v>41158</v>
      </c>
      <c r="G5760" s="5">
        <v>41253</v>
      </c>
      <c r="H5760" s="4" t="s">
        <v>392</v>
      </c>
      <c r="I5760" s="6">
        <v>263701</v>
      </c>
      <c r="J5760" s="6">
        <v>92295</v>
      </c>
      <c r="K5760" s="37" t="s">
        <v>9751</v>
      </c>
      <c r="L5760" s="119"/>
      <c r="M5760" s="3"/>
    </row>
    <row r="5761" spans="1:13" s="4" customFormat="1" ht="102" x14ac:dyDescent="0.25">
      <c r="A5761" s="4" t="s">
        <v>9782</v>
      </c>
      <c r="B5761" s="4" t="s">
        <v>13</v>
      </c>
      <c r="C5761" s="37" t="s">
        <v>9751</v>
      </c>
      <c r="D5761" s="35">
        <v>10188</v>
      </c>
      <c r="E5761" s="7" t="s">
        <v>9783</v>
      </c>
      <c r="F5761" s="5">
        <v>40828</v>
      </c>
      <c r="G5761" s="5">
        <v>40900</v>
      </c>
      <c r="H5761" s="4" t="s">
        <v>392</v>
      </c>
      <c r="I5761" s="6">
        <v>148898</v>
      </c>
      <c r="J5761" s="6">
        <v>29779.8</v>
      </c>
      <c r="K5761" s="37" t="s">
        <v>9751</v>
      </c>
      <c r="L5761" s="119"/>
      <c r="M5761" s="3"/>
    </row>
    <row r="5762" spans="1:13" s="4" customFormat="1" ht="38.25" x14ac:dyDescent="0.25">
      <c r="A5762" s="4" t="s">
        <v>9784</v>
      </c>
      <c r="B5762" s="4" t="s">
        <v>13</v>
      </c>
      <c r="C5762" s="37" t="s">
        <v>9751</v>
      </c>
      <c r="D5762" s="35">
        <v>10220</v>
      </c>
      <c r="E5762" s="4" t="s">
        <v>9785</v>
      </c>
      <c r="F5762" s="5">
        <v>40023</v>
      </c>
      <c r="G5762" s="5">
        <v>40239</v>
      </c>
      <c r="H5762" s="4" t="s">
        <v>392</v>
      </c>
      <c r="I5762" s="6">
        <v>11115</v>
      </c>
      <c r="J5762" s="6">
        <v>5557.5</v>
      </c>
      <c r="K5762" s="37" t="s">
        <v>9751</v>
      </c>
      <c r="L5762" s="119"/>
      <c r="M5762" s="3"/>
    </row>
    <row r="5763" spans="1:13" s="4" customFormat="1" ht="63.75" x14ac:dyDescent="0.25">
      <c r="A5763" s="4" t="s">
        <v>9786</v>
      </c>
      <c r="B5763" s="4" t="s">
        <v>183</v>
      </c>
      <c r="C5763" s="37" t="s">
        <v>9751</v>
      </c>
      <c r="D5763" s="35">
        <v>537</v>
      </c>
      <c r="E5763" s="4" t="s">
        <v>9787</v>
      </c>
      <c r="F5763" s="5">
        <v>39127</v>
      </c>
      <c r="H5763" s="4" t="s">
        <v>40</v>
      </c>
      <c r="I5763" s="6">
        <v>7500</v>
      </c>
      <c r="J5763" s="6">
        <v>7500</v>
      </c>
      <c r="K5763" s="37" t="s">
        <v>9751</v>
      </c>
      <c r="L5763" s="120"/>
      <c r="M5763" s="3"/>
    </row>
    <row r="5764" spans="1:13" s="4" customFormat="1" ht="38.25" x14ac:dyDescent="0.25">
      <c r="A5764" s="4" t="s">
        <v>9788</v>
      </c>
      <c r="B5764" s="4" t="s">
        <v>183</v>
      </c>
      <c r="C5764" s="37" t="s">
        <v>9751</v>
      </c>
      <c r="D5764" s="35">
        <v>538</v>
      </c>
      <c r="E5764" s="4" t="s">
        <v>9789</v>
      </c>
      <c r="F5764" s="5">
        <v>39140</v>
      </c>
      <c r="H5764" s="4" t="s">
        <v>40</v>
      </c>
      <c r="I5764" s="6">
        <v>100000</v>
      </c>
      <c r="J5764" s="6">
        <v>50000</v>
      </c>
      <c r="K5764" s="37" t="s">
        <v>9751</v>
      </c>
      <c r="L5764" s="120"/>
      <c r="M5764" s="3"/>
    </row>
    <row r="5765" spans="1:13" s="4" customFormat="1" ht="25.5" x14ac:dyDescent="0.25">
      <c r="A5765" s="4" t="s">
        <v>9790</v>
      </c>
      <c r="B5765" s="4" t="s">
        <v>183</v>
      </c>
      <c r="C5765" s="37" t="s">
        <v>9751</v>
      </c>
      <c r="D5765" s="35">
        <v>540</v>
      </c>
      <c r="E5765" s="4" t="s">
        <v>9791</v>
      </c>
      <c r="F5765" s="5">
        <v>39127</v>
      </c>
      <c r="H5765" s="4" t="s">
        <v>40</v>
      </c>
      <c r="I5765" s="6">
        <v>21553.18</v>
      </c>
      <c r="J5765" s="6">
        <v>10776.59</v>
      </c>
      <c r="K5765" s="37" t="s">
        <v>9751</v>
      </c>
      <c r="L5765" s="120"/>
      <c r="M5765" s="3"/>
    </row>
    <row r="5766" spans="1:13" s="4" customFormat="1" ht="51" x14ac:dyDescent="0.25">
      <c r="A5766" s="4" t="s">
        <v>9792</v>
      </c>
      <c r="B5766" s="4" t="s">
        <v>183</v>
      </c>
      <c r="C5766" s="37" t="s">
        <v>9751</v>
      </c>
      <c r="D5766" s="35">
        <v>542</v>
      </c>
      <c r="E5766" s="4" t="s">
        <v>9793</v>
      </c>
      <c r="F5766" s="5">
        <v>39127</v>
      </c>
      <c r="H5766" s="4" t="s">
        <v>40</v>
      </c>
      <c r="I5766" s="6">
        <v>15000</v>
      </c>
      <c r="J5766" s="6">
        <v>15000</v>
      </c>
      <c r="K5766" s="37" t="s">
        <v>9751</v>
      </c>
      <c r="L5766" s="120"/>
      <c r="M5766" s="3"/>
    </row>
    <row r="5767" spans="1:13" s="4" customFormat="1" x14ac:dyDescent="0.25">
      <c r="A5767" s="4" t="s">
        <v>9794</v>
      </c>
      <c r="B5767" s="4" t="s">
        <v>183</v>
      </c>
      <c r="C5767" s="37" t="s">
        <v>9751</v>
      </c>
      <c r="D5767" s="35">
        <v>544</v>
      </c>
      <c r="E5767" s="4" t="s">
        <v>9795</v>
      </c>
      <c r="F5767" s="5">
        <v>39253</v>
      </c>
      <c r="H5767" s="4" t="s">
        <v>40</v>
      </c>
      <c r="I5767" s="6">
        <v>79500</v>
      </c>
      <c r="J5767" s="6">
        <v>39750</v>
      </c>
      <c r="K5767" s="37" t="s">
        <v>9751</v>
      </c>
      <c r="L5767" s="120"/>
      <c r="M5767" s="3"/>
    </row>
    <row r="5768" spans="1:13" s="4" customFormat="1" x14ac:dyDescent="0.25">
      <c r="A5768" s="4" t="s">
        <v>9796</v>
      </c>
      <c r="B5768" s="4" t="s">
        <v>183</v>
      </c>
      <c r="C5768" s="37" t="s">
        <v>9751</v>
      </c>
      <c r="D5768" s="35">
        <v>545</v>
      </c>
      <c r="E5768" s="4" t="s">
        <v>9797</v>
      </c>
      <c r="F5768" s="5">
        <v>39190</v>
      </c>
      <c r="H5768" s="4" t="s">
        <v>40</v>
      </c>
      <c r="I5768" s="6">
        <v>3750</v>
      </c>
      <c r="J5768" s="6">
        <v>3750</v>
      </c>
      <c r="K5768" s="37" t="s">
        <v>9751</v>
      </c>
      <c r="L5768" s="120"/>
      <c r="M5768" s="3"/>
    </row>
    <row r="5769" spans="1:13" s="4" customFormat="1" ht="25.5" x14ac:dyDescent="0.25">
      <c r="A5769" s="4" t="s">
        <v>9800</v>
      </c>
      <c r="B5769" s="4" t="s">
        <v>183</v>
      </c>
      <c r="C5769" s="37" t="s">
        <v>9751</v>
      </c>
      <c r="D5769" s="35">
        <v>547</v>
      </c>
      <c r="E5769" s="4" t="s">
        <v>9801</v>
      </c>
      <c r="F5769" s="5">
        <v>39127</v>
      </c>
      <c r="H5769" s="4" t="s">
        <v>40</v>
      </c>
      <c r="I5769" s="6">
        <v>7500</v>
      </c>
      <c r="J5769" s="6">
        <v>7500</v>
      </c>
      <c r="K5769" s="37" t="s">
        <v>9751</v>
      </c>
      <c r="L5769" s="120"/>
      <c r="M5769" s="3"/>
    </row>
    <row r="5770" spans="1:13" s="4" customFormat="1" ht="76.5" x14ac:dyDescent="0.25">
      <c r="A5770" s="4" t="s">
        <v>9802</v>
      </c>
      <c r="B5770" s="4" t="s">
        <v>183</v>
      </c>
      <c r="C5770" s="37" t="s">
        <v>9751</v>
      </c>
      <c r="D5770" s="35">
        <v>548</v>
      </c>
      <c r="E5770" s="4" t="s">
        <v>9803</v>
      </c>
      <c r="F5770" s="5">
        <v>39337</v>
      </c>
      <c r="H5770" s="4" t="s">
        <v>40</v>
      </c>
      <c r="I5770" s="6">
        <v>7500</v>
      </c>
      <c r="J5770" s="6">
        <v>7500</v>
      </c>
      <c r="K5770" s="37" t="s">
        <v>9751</v>
      </c>
      <c r="L5770" s="120"/>
      <c r="M5770" s="3"/>
    </row>
    <row r="5771" spans="1:13" s="4" customFormat="1" ht="51" x14ac:dyDescent="0.25">
      <c r="A5771" s="4" t="s">
        <v>9808</v>
      </c>
      <c r="B5771" s="4" t="s">
        <v>183</v>
      </c>
      <c r="C5771" s="37" t="s">
        <v>9751</v>
      </c>
      <c r="D5771" s="35">
        <v>552</v>
      </c>
      <c r="E5771" s="4" t="s">
        <v>9809</v>
      </c>
      <c r="F5771" s="5">
        <v>39505</v>
      </c>
      <c r="H5771" s="4" t="s">
        <v>40</v>
      </c>
      <c r="I5771" s="6">
        <v>7500</v>
      </c>
      <c r="J5771" s="6">
        <v>7500</v>
      </c>
      <c r="K5771" s="37" t="s">
        <v>9751</v>
      </c>
      <c r="L5771" s="120"/>
      <c r="M5771" s="3"/>
    </row>
    <row r="5772" spans="1:13" s="4" customFormat="1" ht="25.5" x14ac:dyDescent="0.25">
      <c r="A5772" s="4" t="s">
        <v>9810</v>
      </c>
      <c r="B5772" s="4" t="s">
        <v>183</v>
      </c>
      <c r="C5772" s="37" t="s">
        <v>9751</v>
      </c>
      <c r="D5772" s="35">
        <v>553</v>
      </c>
      <c r="E5772" s="4" t="s">
        <v>9811</v>
      </c>
      <c r="F5772" s="5">
        <v>39505</v>
      </c>
      <c r="H5772" s="4" t="s">
        <v>40</v>
      </c>
      <c r="I5772" s="6">
        <v>150000</v>
      </c>
      <c r="J5772" s="6">
        <v>75000</v>
      </c>
      <c r="K5772" s="37" t="s">
        <v>9751</v>
      </c>
      <c r="L5772" s="120"/>
      <c r="M5772" s="3"/>
    </row>
    <row r="5773" spans="1:13" s="4" customFormat="1" ht="25.5" x14ac:dyDescent="0.25">
      <c r="A5773" s="4" t="s">
        <v>9812</v>
      </c>
      <c r="B5773" s="4" t="s">
        <v>183</v>
      </c>
      <c r="C5773" s="37" t="s">
        <v>9751</v>
      </c>
      <c r="D5773" s="35">
        <v>554</v>
      </c>
      <c r="E5773" s="4" t="s">
        <v>9813</v>
      </c>
      <c r="F5773" s="5">
        <v>39400</v>
      </c>
      <c r="H5773" s="4" t="s">
        <v>40</v>
      </c>
      <c r="I5773" s="6">
        <v>8991.82</v>
      </c>
      <c r="J5773" s="6">
        <v>4495.91</v>
      </c>
      <c r="K5773" s="37" t="s">
        <v>9751</v>
      </c>
      <c r="L5773" s="120"/>
      <c r="M5773" s="3"/>
    </row>
    <row r="5774" spans="1:13" s="4" customFormat="1" x14ac:dyDescent="0.25">
      <c r="A5774" s="4" t="s">
        <v>9814</v>
      </c>
      <c r="B5774" s="4" t="s">
        <v>183</v>
      </c>
      <c r="C5774" s="37" t="s">
        <v>9751</v>
      </c>
      <c r="D5774" s="35">
        <v>555</v>
      </c>
      <c r="E5774" s="4" t="s">
        <v>9815</v>
      </c>
      <c r="F5774" s="5">
        <v>39505</v>
      </c>
      <c r="H5774" s="4" t="s">
        <v>40</v>
      </c>
      <c r="I5774" s="6">
        <v>80000</v>
      </c>
      <c r="J5774" s="6">
        <v>40000</v>
      </c>
      <c r="K5774" s="37" t="s">
        <v>9751</v>
      </c>
      <c r="L5774" s="120"/>
      <c r="M5774" s="3"/>
    </row>
    <row r="5775" spans="1:13" s="4" customFormat="1" ht="38.25" x14ac:dyDescent="0.25">
      <c r="A5775" s="4" t="s">
        <v>9816</v>
      </c>
      <c r="B5775" s="4" t="s">
        <v>183</v>
      </c>
      <c r="C5775" s="37" t="s">
        <v>9751</v>
      </c>
      <c r="D5775" s="35">
        <v>556</v>
      </c>
      <c r="E5775" s="4" t="s">
        <v>9817</v>
      </c>
      <c r="F5775" s="5">
        <v>39610</v>
      </c>
      <c r="G5775" s="5">
        <v>40178</v>
      </c>
      <c r="H5775" s="4" t="s">
        <v>40</v>
      </c>
      <c r="I5775" s="6">
        <v>55000</v>
      </c>
      <c r="J5775" s="6">
        <v>27500</v>
      </c>
      <c r="K5775" s="37" t="s">
        <v>9751</v>
      </c>
      <c r="L5775" s="120"/>
      <c r="M5775" s="3"/>
    </row>
    <row r="5776" spans="1:13" s="4" customFormat="1" x14ac:dyDescent="0.25">
      <c r="A5776" s="4" t="s">
        <v>9822</v>
      </c>
      <c r="B5776" s="4" t="s">
        <v>183</v>
      </c>
      <c r="C5776" s="37" t="s">
        <v>9751</v>
      </c>
      <c r="D5776" s="35">
        <v>559</v>
      </c>
      <c r="E5776" s="4" t="s">
        <v>9823</v>
      </c>
      <c r="F5776" s="5">
        <v>39554</v>
      </c>
      <c r="H5776" s="4" t="s">
        <v>40</v>
      </c>
      <c r="I5776" s="6">
        <v>10200</v>
      </c>
      <c r="J5776" s="6">
        <v>5100</v>
      </c>
      <c r="K5776" s="37" t="s">
        <v>9751</v>
      </c>
      <c r="L5776" s="120"/>
      <c r="M5776" s="3"/>
    </row>
    <row r="5777" spans="1:13" s="4" customFormat="1" x14ac:dyDescent="0.25">
      <c r="A5777" s="4" t="s">
        <v>9824</v>
      </c>
      <c r="B5777" s="4" t="s">
        <v>183</v>
      </c>
      <c r="C5777" s="37" t="s">
        <v>9751</v>
      </c>
      <c r="D5777" s="35">
        <v>560</v>
      </c>
      <c r="E5777" s="4" t="s">
        <v>9825</v>
      </c>
      <c r="F5777" s="5">
        <v>39554</v>
      </c>
      <c r="H5777" s="4" t="s">
        <v>40</v>
      </c>
      <c r="I5777" s="6">
        <v>10200</v>
      </c>
      <c r="J5777" s="6">
        <v>5100</v>
      </c>
      <c r="K5777" s="37" t="s">
        <v>9751</v>
      </c>
      <c r="L5777" s="120"/>
      <c r="M5777" s="3"/>
    </row>
    <row r="5778" spans="1:13" s="4" customFormat="1" ht="51" x14ac:dyDescent="0.25">
      <c r="A5778" s="4" t="s">
        <v>9826</v>
      </c>
      <c r="B5778" s="4" t="s">
        <v>183</v>
      </c>
      <c r="C5778" s="37" t="s">
        <v>9751</v>
      </c>
      <c r="D5778" s="35">
        <v>561</v>
      </c>
      <c r="E5778" s="4" t="s">
        <v>9827</v>
      </c>
      <c r="F5778" s="5">
        <v>39750</v>
      </c>
      <c r="H5778" s="4" t="s">
        <v>40</v>
      </c>
      <c r="I5778" s="6">
        <v>10200</v>
      </c>
      <c r="J5778" s="6">
        <v>5100</v>
      </c>
      <c r="K5778" s="37" t="s">
        <v>9751</v>
      </c>
      <c r="L5778" s="120"/>
      <c r="M5778" s="3"/>
    </row>
    <row r="5779" spans="1:13" s="4" customFormat="1" ht="38.25" x14ac:dyDescent="0.25">
      <c r="A5779" s="4" t="s">
        <v>9828</v>
      </c>
      <c r="B5779" s="4" t="s">
        <v>183</v>
      </c>
      <c r="C5779" s="37" t="s">
        <v>9751</v>
      </c>
      <c r="D5779" s="35">
        <v>562</v>
      </c>
      <c r="E5779" s="4" t="s">
        <v>9829</v>
      </c>
      <c r="F5779" s="5">
        <v>39750</v>
      </c>
      <c r="H5779" s="4" t="s">
        <v>40</v>
      </c>
      <c r="I5779" s="6">
        <v>24904.18</v>
      </c>
      <c r="J5779" s="6">
        <v>12452.09</v>
      </c>
      <c r="K5779" s="37" t="s">
        <v>9751</v>
      </c>
      <c r="L5779" s="120"/>
      <c r="M5779" s="3"/>
    </row>
    <row r="5780" spans="1:13" s="4" customFormat="1" ht="25.5" x14ac:dyDescent="0.25">
      <c r="A5780" s="4" t="s">
        <v>5240</v>
      </c>
      <c r="B5780" s="4" t="s">
        <v>38</v>
      </c>
      <c r="C5780" s="37" t="s">
        <v>9751</v>
      </c>
      <c r="D5780" s="35">
        <v>2029</v>
      </c>
      <c r="E5780" s="4" t="s">
        <v>9830</v>
      </c>
      <c r="F5780" s="5">
        <v>39083</v>
      </c>
      <c r="G5780" s="5">
        <v>41639</v>
      </c>
      <c r="H5780" s="4" t="s">
        <v>40</v>
      </c>
      <c r="I5780" s="6">
        <f>59922.34+66551.61+27059.48+15524.91+41148.25-367.06</f>
        <v>209839.53</v>
      </c>
      <c r="J5780" s="6">
        <f>194681.28+15524.91-367.06</f>
        <v>209839.13</v>
      </c>
      <c r="K5780" s="37" t="s">
        <v>9751</v>
      </c>
      <c r="L5780" s="120"/>
      <c r="M5780" s="3"/>
    </row>
    <row r="5781" spans="1:13" s="4" customFormat="1" ht="25.5" x14ac:dyDescent="0.25">
      <c r="A5781" s="4" t="s">
        <v>9831</v>
      </c>
      <c r="B5781" s="4" t="s">
        <v>38</v>
      </c>
      <c r="C5781" s="37" t="s">
        <v>9751</v>
      </c>
      <c r="D5781" s="35">
        <v>2325</v>
      </c>
      <c r="E5781" s="4" t="s">
        <v>9832</v>
      </c>
      <c r="F5781" s="5">
        <v>39083</v>
      </c>
      <c r="G5781" s="5">
        <v>41274</v>
      </c>
      <c r="H5781" s="4" t="s">
        <v>40</v>
      </c>
      <c r="I5781" s="6">
        <f>49842.15+31306.44+43921.36+28845.13+58483.68-183.53</f>
        <v>212215.22999999998</v>
      </c>
      <c r="J5781" s="6">
        <f>181092.32+31306.44-183.53</f>
        <v>212215.23</v>
      </c>
      <c r="K5781" s="37" t="s">
        <v>9751</v>
      </c>
      <c r="L5781" s="120"/>
      <c r="M5781" s="3"/>
    </row>
    <row r="5782" spans="1:13" s="4" customFormat="1" ht="25.5" x14ac:dyDescent="0.25">
      <c r="A5782" s="4" t="s">
        <v>4077</v>
      </c>
      <c r="B5782" s="4" t="s">
        <v>38</v>
      </c>
      <c r="C5782" s="37" t="s">
        <v>9751</v>
      </c>
      <c r="D5782" s="35">
        <v>2326</v>
      </c>
      <c r="E5782" s="4" t="s">
        <v>9833</v>
      </c>
      <c r="F5782" s="5">
        <v>39083</v>
      </c>
      <c r="G5782" s="5">
        <v>41639</v>
      </c>
      <c r="H5782" s="4" t="s">
        <v>40</v>
      </c>
      <c r="I5782" s="6">
        <f>12784.36+1252.52+2859.93+2524.8+10406.96-183.53</f>
        <v>29645.040000000001</v>
      </c>
      <c r="J5782" s="6">
        <f>28576.05+1252.52-183.53</f>
        <v>29645.040000000001</v>
      </c>
      <c r="K5782" s="37" t="s">
        <v>9751</v>
      </c>
      <c r="L5782" s="120"/>
      <c r="M5782" s="3"/>
    </row>
    <row r="5783" spans="1:13" s="4" customFormat="1" ht="25.5" x14ac:dyDescent="0.25">
      <c r="A5783" s="4" t="s">
        <v>9834</v>
      </c>
      <c r="B5783" s="4" t="s">
        <v>38</v>
      </c>
      <c r="C5783" s="37" t="s">
        <v>9751</v>
      </c>
      <c r="D5783" s="35">
        <v>2327</v>
      </c>
      <c r="E5783" s="4" t="s">
        <v>9835</v>
      </c>
      <c r="F5783" s="5">
        <v>39083</v>
      </c>
      <c r="G5783" s="5">
        <v>39813</v>
      </c>
      <c r="H5783" s="4" t="s">
        <v>40</v>
      </c>
      <c r="I5783" s="6">
        <v>5648.23</v>
      </c>
      <c r="J5783" s="6">
        <v>5648.23</v>
      </c>
      <c r="K5783" s="37" t="s">
        <v>9751</v>
      </c>
      <c r="L5783" s="120"/>
      <c r="M5783" s="3"/>
    </row>
    <row r="5784" spans="1:13" s="4" customFormat="1" ht="25.5" x14ac:dyDescent="0.25">
      <c r="A5784" s="4" t="s">
        <v>9836</v>
      </c>
      <c r="B5784" s="4" t="s">
        <v>38</v>
      </c>
      <c r="C5784" s="37" t="s">
        <v>9751</v>
      </c>
      <c r="D5784" s="35">
        <v>2328</v>
      </c>
      <c r="E5784" s="4" t="s">
        <v>9837</v>
      </c>
      <c r="F5784" s="5">
        <v>39083</v>
      </c>
      <c r="G5784" s="5">
        <v>39813</v>
      </c>
      <c r="H5784" s="4" t="s">
        <v>40</v>
      </c>
      <c r="I5784" s="6">
        <v>807.81</v>
      </c>
      <c r="J5784" s="6">
        <v>807.81</v>
      </c>
      <c r="K5784" s="37" t="s">
        <v>9751</v>
      </c>
      <c r="L5784" s="120"/>
      <c r="M5784" s="3"/>
    </row>
    <row r="5785" spans="1:13" s="4" customFormat="1" ht="25.5" x14ac:dyDescent="0.25">
      <c r="A5785" s="4" t="s">
        <v>9838</v>
      </c>
      <c r="B5785" s="4" t="s">
        <v>38</v>
      </c>
      <c r="C5785" s="37" t="s">
        <v>9751</v>
      </c>
      <c r="D5785" s="35">
        <v>2329</v>
      </c>
      <c r="E5785" s="4" t="s">
        <v>9839</v>
      </c>
      <c r="F5785" s="5">
        <v>39083</v>
      </c>
      <c r="G5785" s="5">
        <v>39813</v>
      </c>
      <c r="H5785" s="4" t="s">
        <v>40</v>
      </c>
      <c r="I5785" s="6">
        <v>522.80999999999995</v>
      </c>
      <c r="J5785" s="6">
        <v>522.80999999999995</v>
      </c>
      <c r="K5785" s="37" t="s">
        <v>9751</v>
      </c>
      <c r="L5785" s="120"/>
      <c r="M5785" s="3"/>
    </row>
    <row r="5786" spans="1:13" s="4" customFormat="1" ht="25.5" x14ac:dyDescent="0.25">
      <c r="A5786" s="4" t="s">
        <v>9840</v>
      </c>
      <c r="B5786" s="4" t="s">
        <v>38</v>
      </c>
      <c r="C5786" s="37" t="s">
        <v>9751</v>
      </c>
      <c r="D5786" s="35">
        <v>2330</v>
      </c>
      <c r="E5786" s="4" t="s">
        <v>9841</v>
      </c>
      <c r="F5786" s="5">
        <v>39083</v>
      </c>
      <c r="G5786" s="5">
        <v>41274</v>
      </c>
      <c r="H5786" s="4" t="s">
        <v>40</v>
      </c>
      <c r="I5786" s="6">
        <f>3304.31+1079.81+250+1280</f>
        <v>5914.12</v>
      </c>
      <c r="J5786" s="6">
        <v>5914.12</v>
      </c>
      <c r="K5786" s="37" t="s">
        <v>9751</v>
      </c>
      <c r="L5786" s="120"/>
      <c r="M5786" s="3"/>
    </row>
    <row r="5787" spans="1:13" s="4" customFormat="1" ht="25.5" x14ac:dyDescent="0.25">
      <c r="A5787" s="4" t="s">
        <v>9842</v>
      </c>
      <c r="B5787" s="4" t="s">
        <v>38</v>
      </c>
      <c r="C5787" s="37" t="s">
        <v>9751</v>
      </c>
      <c r="D5787" s="35">
        <v>2331</v>
      </c>
      <c r="E5787" s="4" t="s">
        <v>9843</v>
      </c>
      <c r="F5787" s="5">
        <v>39083</v>
      </c>
      <c r="G5787" s="5">
        <v>41639</v>
      </c>
      <c r="H5787" s="4" t="s">
        <v>40</v>
      </c>
      <c r="I5787" s="6">
        <f>29440.23-183.53</f>
        <v>29256.7</v>
      </c>
      <c r="J5787" s="6">
        <f>25247.42+4192.81-183.53</f>
        <v>29256.7</v>
      </c>
      <c r="K5787" s="37" t="s">
        <v>9751</v>
      </c>
      <c r="L5787" s="120"/>
      <c r="M5787" s="3"/>
    </row>
    <row r="5788" spans="1:13" s="4" customFormat="1" ht="25.5" x14ac:dyDescent="0.25">
      <c r="A5788" s="4" t="s">
        <v>9844</v>
      </c>
      <c r="B5788" s="4" t="s">
        <v>38</v>
      </c>
      <c r="C5788" s="37" t="s">
        <v>9751</v>
      </c>
      <c r="D5788" s="35">
        <v>2332</v>
      </c>
      <c r="E5788" s="4" t="s">
        <v>9845</v>
      </c>
      <c r="F5788" s="5">
        <v>39083</v>
      </c>
      <c r="G5788" s="5">
        <v>41274</v>
      </c>
      <c r="H5788" s="4" t="s">
        <v>40</v>
      </c>
      <c r="I5788" s="6">
        <v>24905.95</v>
      </c>
      <c r="J5788" s="6">
        <v>24905.95</v>
      </c>
      <c r="K5788" s="37" t="s">
        <v>9751</v>
      </c>
      <c r="L5788" s="120"/>
      <c r="M5788" s="3"/>
    </row>
    <row r="5789" spans="1:13" s="4" customFormat="1" ht="38.25" x14ac:dyDescent="0.25">
      <c r="A5789" s="4" t="s">
        <v>9846</v>
      </c>
      <c r="B5789" s="4" t="s">
        <v>38</v>
      </c>
      <c r="C5789" s="37" t="s">
        <v>9751</v>
      </c>
      <c r="D5789" s="35">
        <v>2333</v>
      </c>
      <c r="E5789" s="4" t="s">
        <v>9847</v>
      </c>
      <c r="F5789" s="5">
        <v>39083</v>
      </c>
      <c r="G5789" s="5">
        <v>40543</v>
      </c>
      <c r="H5789" s="4" t="s">
        <v>40</v>
      </c>
      <c r="I5789" s="6">
        <v>12058.43</v>
      </c>
      <c r="J5789" s="6">
        <v>12058.43</v>
      </c>
      <c r="K5789" s="37" t="s">
        <v>9751</v>
      </c>
      <c r="L5789" s="120"/>
      <c r="M5789" s="3"/>
    </row>
    <row r="5790" spans="1:13" s="4" customFormat="1" ht="25.5" x14ac:dyDescent="0.25">
      <c r="A5790" s="4" t="s">
        <v>9309</v>
      </c>
      <c r="B5790" s="4" t="s">
        <v>38</v>
      </c>
      <c r="C5790" s="37" t="s">
        <v>9751</v>
      </c>
      <c r="D5790" s="35">
        <v>2334</v>
      </c>
      <c r="E5790" s="4" t="s">
        <v>9848</v>
      </c>
      <c r="F5790" s="5">
        <v>39083</v>
      </c>
      <c r="G5790" s="5">
        <v>41274</v>
      </c>
      <c r="H5790" s="4" t="s">
        <v>40</v>
      </c>
      <c r="I5790" s="6">
        <v>6503.32</v>
      </c>
      <c r="J5790" s="6">
        <v>6503.32</v>
      </c>
      <c r="K5790" s="37" t="s">
        <v>9751</v>
      </c>
      <c r="L5790" s="120"/>
      <c r="M5790" s="3"/>
    </row>
    <row r="5791" spans="1:13" s="4" customFormat="1" ht="38.25" x14ac:dyDescent="0.25">
      <c r="A5791" s="4" t="s">
        <v>9849</v>
      </c>
      <c r="B5791" s="4" t="s">
        <v>38</v>
      </c>
      <c r="C5791" s="37" t="s">
        <v>9751</v>
      </c>
      <c r="D5791" s="35">
        <v>2335</v>
      </c>
      <c r="E5791" s="4" t="s">
        <v>9850</v>
      </c>
      <c r="F5791" s="5">
        <v>39083</v>
      </c>
      <c r="G5791" s="5">
        <v>40178</v>
      </c>
      <c r="H5791" s="4" t="s">
        <v>40</v>
      </c>
      <c r="I5791" s="6">
        <v>1306.46</v>
      </c>
      <c r="J5791" s="6">
        <v>1306.46</v>
      </c>
      <c r="K5791" s="37" t="s">
        <v>9751</v>
      </c>
      <c r="L5791" s="120"/>
      <c r="M5791" s="3"/>
    </row>
    <row r="5792" spans="1:13" s="4" customFormat="1" ht="25.5" x14ac:dyDescent="0.25">
      <c r="A5792" s="4" t="s">
        <v>9851</v>
      </c>
      <c r="B5792" s="4" t="s">
        <v>38</v>
      </c>
      <c r="C5792" s="37" t="s">
        <v>9751</v>
      </c>
      <c r="D5792" s="35">
        <v>2336</v>
      </c>
      <c r="E5792" s="4" t="s">
        <v>9852</v>
      </c>
      <c r="F5792" s="5">
        <v>39083</v>
      </c>
      <c r="G5792" s="5">
        <v>40178</v>
      </c>
      <c r="H5792" s="4" t="s">
        <v>40</v>
      </c>
      <c r="I5792" s="6">
        <v>1317.48</v>
      </c>
      <c r="J5792" s="6">
        <v>1317.48</v>
      </c>
      <c r="K5792" s="37" t="s">
        <v>9751</v>
      </c>
      <c r="L5792" s="120"/>
      <c r="M5792" s="3"/>
    </row>
    <row r="5793" spans="1:13" s="4" customFormat="1" ht="25.5" x14ac:dyDescent="0.25">
      <c r="A5793" s="4" t="s">
        <v>9853</v>
      </c>
      <c r="B5793" s="4" t="s">
        <v>38</v>
      </c>
      <c r="C5793" s="37" t="s">
        <v>9751</v>
      </c>
      <c r="D5793" s="35">
        <v>2337</v>
      </c>
      <c r="E5793" s="4" t="s">
        <v>9854</v>
      </c>
      <c r="F5793" s="5">
        <v>39083</v>
      </c>
      <c r="G5793" s="5">
        <v>40543</v>
      </c>
      <c r="H5793" s="4" t="s">
        <v>40</v>
      </c>
      <c r="I5793" s="6">
        <v>8148.6</v>
      </c>
      <c r="J5793" s="6">
        <v>8148.6</v>
      </c>
      <c r="K5793" s="37" t="s">
        <v>9751</v>
      </c>
      <c r="L5793" s="120"/>
      <c r="M5793" s="3"/>
    </row>
    <row r="5794" spans="1:13" s="4" customFormat="1" ht="25.5" x14ac:dyDescent="0.25">
      <c r="A5794" s="4" t="s">
        <v>9855</v>
      </c>
      <c r="B5794" s="4" t="s">
        <v>38</v>
      </c>
      <c r="C5794" s="37" t="s">
        <v>9751</v>
      </c>
      <c r="D5794" s="35">
        <v>2338</v>
      </c>
      <c r="E5794" s="4" t="s">
        <v>9856</v>
      </c>
      <c r="F5794" s="5">
        <v>39083</v>
      </c>
      <c r="G5794" s="5">
        <v>39813</v>
      </c>
      <c r="H5794" s="4" t="s">
        <v>40</v>
      </c>
      <c r="I5794" s="6">
        <v>897.81</v>
      </c>
      <c r="J5794" s="6">
        <v>897.81</v>
      </c>
      <c r="K5794" s="37" t="s">
        <v>9751</v>
      </c>
      <c r="L5794" s="120"/>
      <c r="M5794" s="3"/>
    </row>
    <row r="5795" spans="1:13" s="4" customFormat="1" ht="25.5" x14ac:dyDescent="0.25">
      <c r="A5795" s="4" t="s">
        <v>9857</v>
      </c>
      <c r="B5795" s="4" t="s">
        <v>38</v>
      </c>
      <c r="C5795" s="37" t="s">
        <v>9751</v>
      </c>
      <c r="D5795" s="35">
        <v>2339</v>
      </c>
      <c r="E5795" s="4" t="s">
        <v>9858</v>
      </c>
      <c r="F5795" s="5">
        <v>39083</v>
      </c>
      <c r="G5795" s="5">
        <v>39813</v>
      </c>
      <c r="H5795" s="4" t="s">
        <v>40</v>
      </c>
      <c r="I5795" s="6">
        <v>2522.81</v>
      </c>
      <c r="J5795" s="6">
        <v>2522.81</v>
      </c>
      <c r="K5795" s="37" t="s">
        <v>9751</v>
      </c>
      <c r="L5795" s="120"/>
      <c r="M5795" s="3"/>
    </row>
    <row r="5796" spans="1:13" s="4" customFormat="1" ht="38.25" x14ac:dyDescent="0.25">
      <c r="A5796" s="4" t="s">
        <v>9859</v>
      </c>
      <c r="B5796" s="4" t="s">
        <v>38</v>
      </c>
      <c r="C5796" s="37" t="s">
        <v>9751</v>
      </c>
      <c r="D5796" s="35">
        <v>2340</v>
      </c>
      <c r="E5796" s="4" t="s">
        <v>9860</v>
      </c>
      <c r="F5796" s="5">
        <v>39083</v>
      </c>
      <c r="G5796" s="5">
        <v>39813</v>
      </c>
      <c r="H5796" s="4" t="s">
        <v>40</v>
      </c>
      <c r="I5796" s="6">
        <v>5762.01</v>
      </c>
      <c r="J5796" s="6">
        <v>5762.01</v>
      </c>
      <c r="K5796" s="37" t="s">
        <v>9751</v>
      </c>
      <c r="L5796" s="120"/>
      <c r="M5796" s="3"/>
    </row>
    <row r="5797" spans="1:13" s="4" customFormat="1" ht="25.5" x14ac:dyDescent="0.25">
      <c r="A5797" s="4" t="s">
        <v>9861</v>
      </c>
      <c r="B5797" s="4" t="s">
        <v>38</v>
      </c>
      <c r="C5797" s="37" t="s">
        <v>9751</v>
      </c>
      <c r="D5797" s="35">
        <v>2343</v>
      </c>
      <c r="E5797" s="4" t="s">
        <v>9862</v>
      </c>
      <c r="F5797" s="5">
        <v>39083</v>
      </c>
      <c r="G5797" s="5">
        <v>40543</v>
      </c>
      <c r="H5797" s="4" t="s">
        <v>40</v>
      </c>
      <c r="I5797" s="6">
        <v>2135.91</v>
      </c>
      <c r="J5797" s="6">
        <v>2135.91</v>
      </c>
      <c r="K5797" s="37" t="s">
        <v>9751</v>
      </c>
      <c r="L5797" s="120"/>
      <c r="M5797" s="3"/>
    </row>
    <row r="5798" spans="1:13" s="4" customFormat="1" ht="25.5" x14ac:dyDescent="0.25">
      <c r="A5798" s="4" t="s">
        <v>9863</v>
      </c>
      <c r="B5798" s="4" t="s">
        <v>38</v>
      </c>
      <c r="C5798" s="37" t="s">
        <v>9751</v>
      </c>
      <c r="D5798" s="35">
        <v>2344</v>
      </c>
      <c r="E5798" s="4" t="s">
        <v>9864</v>
      </c>
      <c r="F5798" s="5">
        <v>39083</v>
      </c>
      <c r="G5798" s="5">
        <v>40178</v>
      </c>
      <c r="H5798" s="4" t="s">
        <v>40</v>
      </c>
      <c r="I5798" s="6">
        <v>395.64</v>
      </c>
      <c r="J5798" s="6">
        <v>395.64</v>
      </c>
      <c r="K5798" s="37" t="s">
        <v>9751</v>
      </c>
      <c r="L5798" s="120"/>
      <c r="M5798" s="3"/>
    </row>
    <row r="5799" spans="1:13" s="4" customFormat="1" ht="25.5" x14ac:dyDescent="0.25">
      <c r="A5799" s="4" t="s">
        <v>8531</v>
      </c>
      <c r="B5799" s="4" t="s">
        <v>38</v>
      </c>
      <c r="C5799" s="37" t="s">
        <v>9751</v>
      </c>
      <c r="D5799" s="35">
        <v>2345</v>
      </c>
      <c r="E5799" s="4" t="s">
        <v>9865</v>
      </c>
      <c r="F5799" s="5">
        <v>39083</v>
      </c>
      <c r="G5799" s="5">
        <v>41639</v>
      </c>
      <c r="H5799" s="4" t="s">
        <v>40</v>
      </c>
      <c r="I5799" s="6">
        <f>3382.27-183.53</f>
        <v>3198.74</v>
      </c>
      <c r="J5799" s="6">
        <f>2712.74+669.53-183.53</f>
        <v>3198.7399999999993</v>
      </c>
      <c r="K5799" s="37" t="s">
        <v>9751</v>
      </c>
      <c r="L5799" s="120"/>
      <c r="M5799" s="3"/>
    </row>
    <row r="5800" spans="1:13" s="4" customFormat="1" ht="25.5" x14ac:dyDescent="0.25">
      <c r="A5800" s="4" t="s">
        <v>9866</v>
      </c>
      <c r="B5800" s="4" t="s">
        <v>38</v>
      </c>
      <c r="C5800" s="37" t="s">
        <v>9751</v>
      </c>
      <c r="D5800" s="35">
        <v>2346</v>
      </c>
      <c r="E5800" s="4" t="s">
        <v>9867</v>
      </c>
      <c r="F5800" s="5">
        <v>39083</v>
      </c>
      <c r="G5800" s="5">
        <v>40543</v>
      </c>
      <c r="H5800" s="4" t="s">
        <v>40</v>
      </c>
      <c r="I5800" s="6">
        <v>1514.58</v>
      </c>
      <c r="J5800" s="6">
        <v>1514.58</v>
      </c>
      <c r="K5800" s="37" t="s">
        <v>9751</v>
      </c>
      <c r="L5800" s="120"/>
      <c r="M5800" s="3"/>
    </row>
    <row r="5801" spans="1:13" s="4" customFormat="1" ht="25.5" x14ac:dyDescent="0.25">
      <c r="A5801" s="4" t="s">
        <v>9868</v>
      </c>
      <c r="B5801" s="4" t="s">
        <v>38</v>
      </c>
      <c r="C5801" s="37" t="s">
        <v>9751</v>
      </c>
      <c r="D5801" s="35">
        <v>2347</v>
      </c>
      <c r="E5801" s="4" t="s">
        <v>9869</v>
      </c>
      <c r="F5801" s="5">
        <v>39083</v>
      </c>
      <c r="G5801" s="5">
        <v>39813</v>
      </c>
      <c r="H5801" s="4" t="s">
        <v>40</v>
      </c>
      <c r="I5801" s="6">
        <v>4115.9799999999996</v>
      </c>
      <c r="J5801" s="6">
        <v>4115.9799999999996</v>
      </c>
      <c r="K5801" s="37" t="s">
        <v>9751</v>
      </c>
      <c r="L5801" s="120"/>
      <c r="M5801" s="3"/>
    </row>
    <row r="5802" spans="1:13" s="4" customFormat="1" ht="25.5" x14ac:dyDescent="0.25">
      <c r="A5802" s="4" t="s">
        <v>9870</v>
      </c>
      <c r="B5802" s="4" t="s">
        <v>38</v>
      </c>
      <c r="C5802" s="37" t="s">
        <v>9751</v>
      </c>
      <c r="D5802" s="35">
        <v>2348</v>
      </c>
      <c r="E5802" s="4" t="s">
        <v>9871</v>
      </c>
      <c r="F5802" s="5">
        <v>39083</v>
      </c>
      <c r="G5802" s="5">
        <v>39813</v>
      </c>
      <c r="H5802" s="4" t="s">
        <v>40</v>
      </c>
      <c r="I5802" s="6">
        <v>3495.59</v>
      </c>
      <c r="J5802" s="6">
        <v>3495.59</v>
      </c>
      <c r="K5802" s="37" t="s">
        <v>9751</v>
      </c>
      <c r="L5802" s="120"/>
      <c r="M5802" s="3"/>
    </row>
    <row r="5803" spans="1:13" s="4" customFormat="1" ht="25.5" x14ac:dyDescent="0.25">
      <c r="A5803" s="4" t="s">
        <v>9872</v>
      </c>
      <c r="B5803" s="4" t="s">
        <v>38</v>
      </c>
      <c r="C5803" s="37" t="s">
        <v>9751</v>
      </c>
      <c r="D5803" s="35">
        <v>2350</v>
      </c>
      <c r="E5803" s="4" t="s">
        <v>9873</v>
      </c>
      <c r="F5803" s="5">
        <v>39083</v>
      </c>
      <c r="G5803" s="5">
        <v>41639</v>
      </c>
      <c r="H5803" s="4" t="s">
        <v>40</v>
      </c>
      <c r="I5803" s="6">
        <f>4027.6-183.53</f>
        <v>3844.0699999999997</v>
      </c>
      <c r="J5803" s="6">
        <f>3789.57+238.03-183.53</f>
        <v>3844.07</v>
      </c>
      <c r="K5803" s="37" t="s">
        <v>9751</v>
      </c>
      <c r="L5803" s="120"/>
      <c r="M5803" s="3"/>
    </row>
    <row r="5804" spans="1:13" s="4" customFormat="1" ht="25.5" x14ac:dyDescent="0.25">
      <c r="A5804" s="4" t="s">
        <v>9874</v>
      </c>
      <c r="B5804" s="4" t="s">
        <v>38</v>
      </c>
      <c r="C5804" s="37" t="s">
        <v>9751</v>
      </c>
      <c r="D5804" s="35">
        <v>2351</v>
      </c>
      <c r="E5804" s="4" t="s">
        <v>9875</v>
      </c>
      <c r="F5804" s="5">
        <v>39083</v>
      </c>
      <c r="G5804" s="5">
        <v>40178</v>
      </c>
      <c r="H5804" s="4" t="s">
        <v>40</v>
      </c>
      <c r="I5804" s="6">
        <v>2045.59</v>
      </c>
      <c r="J5804" s="6">
        <v>2045.59</v>
      </c>
      <c r="K5804" s="37" t="s">
        <v>9751</v>
      </c>
      <c r="L5804" s="120"/>
      <c r="M5804" s="3"/>
    </row>
    <row r="5805" spans="1:13" s="4" customFormat="1" ht="25.5" x14ac:dyDescent="0.25">
      <c r="A5805" s="4" t="s">
        <v>9876</v>
      </c>
      <c r="B5805" s="4" t="s">
        <v>38</v>
      </c>
      <c r="C5805" s="37" t="s">
        <v>9751</v>
      </c>
      <c r="D5805" s="35">
        <v>2352</v>
      </c>
      <c r="E5805" s="4" t="s">
        <v>9877</v>
      </c>
      <c r="F5805" s="5">
        <v>39083</v>
      </c>
      <c r="G5805" s="5">
        <v>40178</v>
      </c>
      <c r="H5805" s="4" t="s">
        <v>40</v>
      </c>
      <c r="I5805" s="6">
        <v>1830.59</v>
      </c>
      <c r="J5805" s="6">
        <v>1830.59</v>
      </c>
      <c r="K5805" s="37" t="s">
        <v>9751</v>
      </c>
      <c r="L5805" s="120"/>
      <c r="M5805" s="3"/>
    </row>
    <row r="5806" spans="1:13" s="4" customFormat="1" ht="25.5" x14ac:dyDescent="0.25">
      <c r="A5806" s="4" t="s">
        <v>9878</v>
      </c>
      <c r="B5806" s="4" t="s">
        <v>38</v>
      </c>
      <c r="C5806" s="37" t="s">
        <v>9751</v>
      </c>
      <c r="D5806" s="35">
        <v>2353</v>
      </c>
      <c r="E5806" s="4" t="s">
        <v>9879</v>
      </c>
      <c r="F5806" s="5">
        <v>39083</v>
      </c>
      <c r="G5806" s="5">
        <v>40178</v>
      </c>
      <c r="H5806" s="4" t="s">
        <v>40</v>
      </c>
      <c r="I5806" s="6">
        <v>3321.59</v>
      </c>
      <c r="J5806" s="6">
        <v>3321.59</v>
      </c>
      <c r="K5806" s="37" t="s">
        <v>9751</v>
      </c>
      <c r="L5806" s="120"/>
      <c r="M5806" s="3"/>
    </row>
    <row r="5807" spans="1:13" s="4" customFormat="1" ht="102" x14ac:dyDescent="0.25">
      <c r="A5807" s="4" t="s">
        <v>9880</v>
      </c>
      <c r="B5807" s="4" t="s">
        <v>38</v>
      </c>
      <c r="C5807" s="37" t="s">
        <v>9751</v>
      </c>
      <c r="D5807" s="35">
        <v>2354</v>
      </c>
      <c r="E5807" s="7" t="s">
        <v>9881</v>
      </c>
      <c r="F5807" s="5">
        <v>39083</v>
      </c>
      <c r="G5807" s="5">
        <v>40178</v>
      </c>
      <c r="H5807" s="4" t="s">
        <v>40</v>
      </c>
      <c r="I5807" s="6">
        <v>4046.46</v>
      </c>
      <c r="J5807" s="6">
        <v>4046.46</v>
      </c>
      <c r="K5807" s="37" t="s">
        <v>9751</v>
      </c>
      <c r="L5807" s="120"/>
      <c r="M5807" s="3"/>
    </row>
    <row r="5808" spans="1:13" s="4" customFormat="1" ht="25.5" x14ac:dyDescent="0.25">
      <c r="A5808" s="4" t="s">
        <v>9307</v>
      </c>
      <c r="B5808" s="4" t="s">
        <v>38</v>
      </c>
      <c r="C5808" s="37" t="s">
        <v>9751</v>
      </c>
      <c r="D5808" s="35">
        <v>2355</v>
      </c>
      <c r="E5808" s="4" t="s">
        <v>9882</v>
      </c>
      <c r="F5808" s="5">
        <v>39083</v>
      </c>
      <c r="G5808" s="5">
        <v>41639</v>
      </c>
      <c r="H5808" s="4" t="s">
        <v>40</v>
      </c>
      <c r="I5808" s="6">
        <f>14772.52-183.53</f>
        <v>14588.99</v>
      </c>
      <c r="J5808" s="6">
        <f>13267.74+1504.78-183.53</f>
        <v>14588.99</v>
      </c>
      <c r="K5808" s="37" t="s">
        <v>9751</v>
      </c>
      <c r="L5808" s="120"/>
      <c r="M5808" s="3"/>
    </row>
    <row r="5809" spans="1:13" s="4" customFormat="1" ht="25.5" x14ac:dyDescent="0.25">
      <c r="A5809" s="4" t="s">
        <v>6268</v>
      </c>
      <c r="B5809" s="4" t="s">
        <v>38</v>
      </c>
      <c r="C5809" s="37" t="s">
        <v>9751</v>
      </c>
      <c r="D5809" s="35">
        <v>2449</v>
      </c>
      <c r="E5809" s="4" t="s">
        <v>9883</v>
      </c>
      <c r="F5809" s="5">
        <v>39083</v>
      </c>
      <c r="G5809" s="5">
        <v>41639</v>
      </c>
      <c r="H5809" s="4" t="s">
        <v>40</v>
      </c>
      <c r="I5809" s="6">
        <v>11357.37</v>
      </c>
      <c r="J5809" s="6">
        <f>11121.6+235.77</f>
        <v>11357.37</v>
      </c>
      <c r="K5809" s="37" t="s">
        <v>9751</v>
      </c>
      <c r="L5809" s="120"/>
      <c r="M5809" s="3"/>
    </row>
    <row r="5810" spans="1:13" s="4" customFormat="1" ht="25.5" x14ac:dyDescent="0.25">
      <c r="A5810" s="4" t="s">
        <v>9884</v>
      </c>
      <c r="B5810" s="4" t="s">
        <v>38</v>
      </c>
      <c r="C5810" s="37" t="s">
        <v>9751</v>
      </c>
      <c r="D5810" s="35">
        <v>2451</v>
      </c>
      <c r="E5810" s="4" t="s">
        <v>9885</v>
      </c>
      <c r="F5810" s="5">
        <v>39083</v>
      </c>
      <c r="G5810" s="5">
        <v>41639</v>
      </c>
      <c r="H5810" s="4" t="s">
        <v>40</v>
      </c>
      <c r="I5810" s="6">
        <f>15029.36-183.53</f>
        <v>14845.83</v>
      </c>
      <c r="J5810" s="6">
        <f>15029.36-183.53</f>
        <v>14845.83</v>
      </c>
      <c r="K5810" s="37" t="s">
        <v>9751</v>
      </c>
      <c r="L5810" s="120"/>
      <c r="M5810" s="3"/>
    </row>
    <row r="5811" spans="1:13" s="4" customFormat="1" ht="25.5" x14ac:dyDescent="0.25">
      <c r="A5811" s="4" t="s">
        <v>9886</v>
      </c>
      <c r="B5811" s="4" t="s">
        <v>38</v>
      </c>
      <c r="C5811" s="37" t="s">
        <v>9751</v>
      </c>
      <c r="D5811" s="35">
        <v>2452</v>
      </c>
      <c r="E5811" s="4" t="s">
        <v>9887</v>
      </c>
      <c r="F5811" s="5">
        <v>39083</v>
      </c>
      <c r="G5811" s="5">
        <v>41639</v>
      </c>
      <c r="H5811" s="4" t="s">
        <v>40</v>
      </c>
      <c r="I5811" s="6">
        <v>3593.57</v>
      </c>
      <c r="J5811" s="6">
        <f>2570.29+1023.28</f>
        <v>3593.5699999999997</v>
      </c>
      <c r="K5811" s="37" t="s">
        <v>9751</v>
      </c>
      <c r="L5811" s="120"/>
      <c r="M5811" s="3"/>
    </row>
    <row r="5812" spans="1:13" s="4" customFormat="1" ht="25.5" x14ac:dyDescent="0.25">
      <c r="A5812" s="4" t="s">
        <v>9888</v>
      </c>
      <c r="B5812" s="4" t="s">
        <v>38</v>
      </c>
      <c r="C5812" s="37" t="s">
        <v>9751</v>
      </c>
      <c r="D5812" s="35">
        <v>2453</v>
      </c>
      <c r="E5812" s="4" t="s">
        <v>9889</v>
      </c>
      <c r="F5812" s="5">
        <v>39083</v>
      </c>
      <c r="G5812" s="5">
        <v>40178</v>
      </c>
      <c r="H5812" s="4" t="s">
        <v>40</v>
      </c>
      <c r="I5812" s="6">
        <v>886.46</v>
      </c>
      <c r="J5812" s="6">
        <v>886.46</v>
      </c>
      <c r="K5812" s="37" t="s">
        <v>9751</v>
      </c>
      <c r="L5812" s="120"/>
      <c r="M5812" s="3"/>
    </row>
    <row r="5813" spans="1:13" s="4" customFormat="1" ht="102" x14ac:dyDescent="0.25">
      <c r="A5813" s="4" t="s">
        <v>9890</v>
      </c>
      <c r="B5813" s="4" t="s">
        <v>38</v>
      </c>
      <c r="C5813" s="37" t="s">
        <v>9751</v>
      </c>
      <c r="D5813" s="35">
        <v>2454</v>
      </c>
      <c r="E5813" s="7" t="s">
        <v>9891</v>
      </c>
      <c r="F5813" s="5">
        <v>39083</v>
      </c>
      <c r="G5813" s="5">
        <v>39813</v>
      </c>
      <c r="H5813" s="4" t="s">
        <v>40</v>
      </c>
      <c r="I5813" s="6">
        <v>2721.45</v>
      </c>
      <c r="J5813" s="6">
        <v>2721.45</v>
      </c>
      <c r="K5813" s="37" t="s">
        <v>9751</v>
      </c>
      <c r="L5813" s="120"/>
      <c r="M5813" s="3"/>
    </row>
    <row r="5814" spans="1:13" s="4" customFormat="1" ht="25.5" x14ac:dyDescent="0.25">
      <c r="A5814" s="4" t="s">
        <v>9892</v>
      </c>
      <c r="B5814" s="4" t="s">
        <v>38</v>
      </c>
      <c r="C5814" s="37" t="s">
        <v>9751</v>
      </c>
      <c r="D5814" s="35">
        <v>2455</v>
      </c>
      <c r="E5814" s="4" t="s">
        <v>9893</v>
      </c>
      <c r="F5814" s="5">
        <v>39083</v>
      </c>
      <c r="G5814" s="5">
        <v>39813</v>
      </c>
      <c r="H5814" s="4" t="s">
        <v>40</v>
      </c>
      <c r="I5814" s="6">
        <v>1408.08</v>
      </c>
      <c r="J5814" s="6">
        <v>1408.08</v>
      </c>
      <c r="K5814" s="37" t="s">
        <v>9751</v>
      </c>
      <c r="L5814" s="120"/>
      <c r="M5814" s="3"/>
    </row>
    <row r="5815" spans="1:13" s="4" customFormat="1" ht="25.5" x14ac:dyDescent="0.25">
      <c r="A5815" s="4" t="s">
        <v>9894</v>
      </c>
      <c r="B5815" s="4" t="s">
        <v>38</v>
      </c>
      <c r="C5815" s="37" t="s">
        <v>9751</v>
      </c>
      <c r="D5815" s="35">
        <v>2456</v>
      </c>
      <c r="E5815" s="4" t="s">
        <v>9895</v>
      </c>
      <c r="F5815" s="5">
        <v>39083</v>
      </c>
      <c r="G5815" s="5">
        <v>40178</v>
      </c>
      <c r="H5815" s="4" t="s">
        <v>40</v>
      </c>
      <c r="I5815" s="6">
        <v>5237.59</v>
      </c>
      <c r="J5815" s="6">
        <v>5237.59</v>
      </c>
      <c r="K5815" s="37" t="s">
        <v>9751</v>
      </c>
      <c r="L5815" s="120"/>
      <c r="M5815" s="3"/>
    </row>
    <row r="5816" spans="1:13" s="4" customFormat="1" ht="25.5" x14ac:dyDescent="0.25">
      <c r="A5816" s="4" t="s">
        <v>9896</v>
      </c>
      <c r="B5816" s="4" t="s">
        <v>38</v>
      </c>
      <c r="C5816" s="37" t="s">
        <v>9751</v>
      </c>
      <c r="D5816" s="35">
        <v>2457</v>
      </c>
      <c r="E5816" s="4" t="s">
        <v>9897</v>
      </c>
      <c r="F5816" s="5">
        <v>39083</v>
      </c>
      <c r="G5816" s="5">
        <v>40178</v>
      </c>
      <c r="H5816" s="4" t="s">
        <v>40</v>
      </c>
      <c r="I5816" s="6">
        <v>7548.83</v>
      </c>
      <c r="J5816" s="6">
        <v>7548.83</v>
      </c>
      <c r="K5816" s="37" t="s">
        <v>9751</v>
      </c>
      <c r="L5816" s="120"/>
      <c r="M5816" s="3"/>
    </row>
    <row r="5817" spans="1:13" s="4" customFormat="1" ht="25.5" x14ac:dyDescent="0.25">
      <c r="A5817" s="4" t="s">
        <v>9898</v>
      </c>
      <c r="B5817" s="4" t="s">
        <v>38</v>
      </c>
      <c r="C5817" s="37" t="s">
        <v>9751</v>
      </c>
      <c r="D5817" s="35">
        <v>2458</v>
      </c>
      <c r="E5817" s="4" t="s">
        <v>9899</v>
      </c>
      <c r="F5817" s="5">
        <v>39083</v>
      </c>
      <c r="G5817" s="5">
        <v>40178</v>
      </c>
      <c r="H5817" s="4" t="s">
        <v>40</v>
      </c>
      <c r="I5817" s="6">
        <v>1345.48</v>
      </c>
      <c r="J5817" s="6">
        <v>1345.48</v>
      </c>
      <c r="K5817" s="37" t="s">
        <v>9751</v>
      </c>
      <c r="L5817" s="120"/>
      <c r="M5817" s="3"/>
    </row>
    <row r="5818" spans="1:13" s="4" customFormat="1" ht="25.5" x14ac:dyDescent="0.25">
      <c r="A5818" s="4" t="s">
        <v>9451</v>
      </c>
      <c r="B5818" s="4" t="s">
        <v>38</v>
      </c>
      <c r="C5818" s="37" t="s">
        <v>9751</v>
      </c>
      <c r="D5818" s="35">
        <v>2459</v>
      </c>
      <c r="E5818" s="4" t="s">
        <v>9900</v>
      </c>
      <c r="F5818" s="5">
        <v>39083</v>
      </c>
      <c r="G5818" s="5">
        <v>39813</v>
      </c>
      <c r="H5818" s="4" t="s">
        <v>40</v>
      </c>
      <c r="I5818" s="6">
        <v>1426.81</v>
      </c>
      <c r="J5818" s="6">
        <v>1426.81</v>
      </c>
      <c r="K5818" s="37" t="s">
        <v>9751</v>
      </c>
      <c r="L5818" s="120"/>
      <c r="M5818" s="3"/>
    </row>
    <row r="5819" spans="1:13" s="4" customFormat="1" ht="25.5" x14ac:dyDescent="0.25">
      <c r="A5819" s="4" t="s">
        <v>9901</v>
      </c>
      <c r="B5819" s="4" t="s">
        <v>38</v>
      </c>
      <c r="C5819" s="37" t="s">
        <v>9751</v>
      </c>
      <c r="D5819" s="35">
        <v>2461</v>
      </c>
      <c r="E5819" s="4" t="s">
        <v>9902</v>
      </c>
      <c r="F5819" s="5">
        <v>39083</v>
      </c>
      <c r="G5819" s="5">
        <v>41639</v>
      </c>
      <c r="H5819" s="4" t="s">
        <v>40</v>
      </c>
      <c r="I5819" s="6">
        <f>992.08+5260.99+1046+1185.77+78.75</f>
        <v>8563.59</v>
      </c>
      <c r="J5819" s="6">
        <f>7377.82+1185.77</f>
        <v>8563.59</v>
      </c>
      <c r="K5819" s="37" t="s">
        <v>9751</v>
      </c>
      <c r="L5819" s="120"/>
      <c r="M5819" s="3"/>
    </row>
    <row r="5820" spans="1:13" s="4" customFormat="1" ht="38.25" x14ac:dyDescent="0.25">
      <c r="A5820" s="4" t="s">
        <v>9903</v>
      </c>
      <c r="B5820" s="4" t="s">
        <v>38</v>
      </c>
      <c r="C5820" s="37" t="s">
        <v>9751</v>
      </c>
      <c r="D5820" s="35">
        <v>2462</v>
      </c>
      <c r="E5820" s="4" t="s">
        <v>9904</v>
      </c>
      <c r="F5820" s="5">
        <v>39083</v>
      </c>
      <c r="G5820" s="5">
        <v>39813</v>
      </c>
      <c r="H5820" s="4" t="s">
        <v>40</v>
      </c>
      <c r="I5820" s="6">
        <v>868.16</v>
      </c>
      <c r="J5820" s="6">
        <v>868.16</v>
      </c>
      <c r="K5820" s="37" t="s">
        <v>9751</v>
      </c>
      <c r="L5820" s="120"/>
      <c r="M5820" s="3"/>
    </row>
    <row r="5821" spans="1:13" s="4" customFormat="1" ht="25.5" x14ac:dyDescent="0.25">
      <c r="A5821" s="4" t="s">
        <v>9905</v>
      </c>
      <c r="B5821" s="4" t="s">
        <v>38</v>
      </c>
      <c r="C5821" s="37" t="s">
        <v>9751</v>
      </c>
      <c r="D5821" s="35">
        <v>2464</v>
      </c>
      <c r="E5821" s="4" t="s">
        <v>9906</v>
      </c>
      <c r="F5821" s="5">
        <v>39083</v>
      </c>
      <c r="G5821" s="5">
        <v>41639</v>
      </c>
      <c r="H5821" s="4" t="s">
        <v>40</v>
      </c>
      <c r="I5821" s="6">
        <f>21430.02+9282.6+5564.95+27734.88+10403.19</f>
        <v>74415.64</v>
      </c>
      <c r="J5821" s="6">
        <f>65133.04+9282.6</f>
        <v>74415.64</v>
      </c>
      <c r="K5821" s="37" t="s">
        <v>9751</v>
      </c>
      <c r="L5821" s="120"/>
      <c r="M5821" s="3"/>
    </row>
    <row r="5822" spans="1:13" s="4" customFormat="1" ht="25.5" x14ac:dyDescent="0.25">
      <c r="A5822" s="4" t="s">
        <v>5796</v>
      </c>
      <c r="B5822" s="4" t="s">
        <v>38</v>
      </c>
      <c r="C5822" s="37" t="s">
        <v>9751</v>
      </c>
      <c r="D5822" s="35">
        <v>2465</v>
      </c>
      <c r="E5822" s="4" t="s">
        <v>9907</v>
      </c>
      <c r="F5822" s="5">
        <v>39083</v>
      </c>
      <c r="G5822" s="5">
        <v>41274</v>
      </c>
      <c r="H5822" s="4" t="s">
        <v>40</v>
      </c>
      <c r="I5822" s="6">
        <v>10609.1</v>
      </c>
      <c r="J5822" s="6">
        <v>10609.1</v>
      </c>
      <c r="K5822" s="37" t="s">
        <v>9751</v>
      </c>
      <c r="L5822" s="120"/>
      <c r="M5822" s="3"/>
    </row>
    <row r="5823" spans="1:13" s="4" customFormat="1" ht="38.25" x14ac:dyDescent="0.25">
      <c r="A5823" s="4" t="s">
        <v>9908</v>
      </c>
      <c r="B5823" s="4" t="s">
        <v>38</v>
      </c>
      <c r="C5823" s="37" t="s">
        <v>9751</v>
      </c>
      <c r="D5823" s="35">
        <v>2466</v>
      </c>
      <c r="E5823" s="4" t="s">
        <v>9909</v>
      </c>
      <c r="F5823" s="5">
        <v>39083</v>
      </c>
      <c r="G5823" s="5">
        <v>41639</v>
      </c>
      <c r="H5823" s="4" t="s">
        <v>40</v>
      </c>
      <c r="I5823" s="6">
        <v>115996.99</v>
      </c>
      <c r="J5823" s="6">
        <f>80670.58+35326.41</f>
        <v>115996.99</v>
      </c>
      <c r="K5823" s="37" t="s">
        <v>9751</v>
      </c>
      <c r="L5823" s="120"/>
      <c r="M5823" s="3"/>
    </row>
    <row r="5824" spans="1:13" s="4" customFormat="1" ht="76.5" x14ac:dyDescent="0.25">
      <c r="A5824" s="4" t="s">
        <v>2372</v>
      </c>
      <c r="B5824" s="4" t="s">
        <v>38</v>
      </c>
      <c r="C5824" s="37" t="s">
        <v>9751</v>
      </c>
      <c r="D5824" s="35">
        <v>2467</v>
      </c>
      <c r="E5824" s="7" t="s">
        <v>9910</v>
      </c>
      <c r="F5824" s="5">
        <v>39083</v>
      </c>
      <c r="G5824" s="5">
        <v>40543</v>
      </c>
      <c r="H5824" s="4" t="s">
        <v>40</v>
      </c>
      <c r="I5824" s="6">
        <v>22041.24</v>
      </c>
      <c r="J5824" s="6">
        <v>22041.24</v>
      </c>
      <c r="K5824" s="37" t="s">
        <v>9751</v>
      </c>
      <c r="L5824" s="120"/>
      <c r="M5824" s="3"/>
    </row>
    <row r="5825" spans="1:13" s="4" customFormat="1" ht="89.25" x14ac:dyDescent="0.25">
      <c r="A5825" s="4" t="s">
        <v>9911</v>
      </c>
      <c r="B5825" s="4" t="s">
        <v>38</v>
      </c>
      <c r="C5825" s="37" t="s">
        <v>9751</v>
      </c>
      <c r="D5825" s="35">
        <v>2468</v>
      </c>
      <c r="E5825" s="7" t="s">
        <v>9912</v>
      </c>
      <c r="F5825" s="5">
        <v>39083</v>
      </c>
      <c r="G5825" s="5">
        <v>41274</v>
      </c>
      <c r="H5825" s="4" t="s">
        <v>40</v>
      </c>
      <c r="I5825" s="6">
        <v>22510.04</v>
      </c>
      <c r="J5825" s="6">
        <v>22510.04</v>
      </c>
      <c r="K5825" s="37" t="s">
        <v>9751</v>
      </c>
      <c r="L5825" s="120"/>
      <c r="M5825" s="3"/>
    </row>
    <row r="5826" spans="1:13" s="4" customFormat="1" ht="25.5" x14ac:dyDescent="0.25">
      <c r="A5826" s="4" t="s">
        <v>9913</v>
      </c>
      <c r="B5826" s="4" t="s">
        <v>38</v>
      </c>
      <c r="C5826" s="37" t="s">
        <v>9751</v>
      </c>
      <c r="D5826" s="35">
        <v>2469</v>
      </c>
      <c r="E5826" s="4" t="s">
        <v>9914</v>
      </c>
      <c r="F5826" s="5">
        <v>39083</v>
      </c>
      <c r="G5826" s="5">
        <v>41639</v>
      </c>
      <c r="H5826" s="4" t="s">
        <v>40</v>
      </c>
      <c r="I5826" s="6">
        <f>56502.07+29492.37+40457.86+30002.83+45863.05</f>
        <v>202318.18</v>
      </c>
      <c r="J5826" s="6">
        <f>161860.32+40457.86</f>
        <v>202318.18</v>
      </c>
      <c r="K5826" s="37" t="s">
        <v>9751</v>
      </c>
      <c r="L5826" s="120"/>
      <c r="M5826" s="3"/>
    </row>
    <row r="5827" spans="1:13" s="4" customFormat="1" ht="25.5" x14ac:dyDescent="0.25">
      <c r="A5827" s="4" t="s">
        <v>4810</v>
      </c>
      <c r="B5827" s="4" t="s">
        <v>38</v>
      </c>
      <c r="C5827" s="37" t="s">
        <v>9751</v>
      </c>
      <c r="D5827" s="35">
        <v>2470</v>
      </c>
      <c r="E5827" s="4" t="s">
        <v>9915</v>
      </c>
      <c r="F5827" s="5">
        <v>39083</v>
      </c>
      <c r="G5827" s="5">
        <v>40908</v>
      </c>
      <c r="H5827" s="4" t="s">
        <v>40</v>
      </c>
      <c r="I5827" s="6">
        <v>21775.97</v>
      </c>
      <c r="J5827" s="6">
        <v>21775.97</v>
      </c>
      <c r="K5827" s="37" t="s">
        <v>9751</v>
      </c>
      <c r="L5827" s="120"/>
      <c r="M5827" s="3"/>
    </row>
    <row r="5828" spans="1:13" s="4" customFormat="1" ht="25.5" x14ac:dyDescent="0.25">
      <c r="A5828" s="4" t="s">
        <v>9916</v>
      </c>
      <c r="B5828" s="4" t="s">
        <v>38</v>
      </c>
      <c r="C5828" s="37" t="s">
        <v>9751</v>
      </c>
      <c r="D5828" s="35">
        <v>2471</v>
      </c>
      <c r="E5828" s="4" t="s">
        <v>9917</v>
      </c>
      <c r="F5828" s="5">
        <v>39083</v>
      </c>
      <c r="G5828" s="5">
        <v>39813</v>
      </c>
      <c r="H5828" s="4" t="s">
        <v>40</v>
      </c>
      <c r="I5828" s="6">
        <v>16491.34</v>
      </c>
      <c r="J5828" s="6">
        <v>16491.34</v>
      </c>
      <c r="K5828" s="37" t="s">
        <v>9751</v>
      </c>
      <c r="L5828" s="120"/>
      <c r="M5828" s="3"/>
    </row>
    <row r="5829" spans="1:13" s="4" customFormat="1" ht="25.5" x14ac:dyDescent="0.25">
      <c r="A5829" s="4" t="s">
        <v>9918</v>
      </c>
      <c r="B5829" s="4" t="s">
        <v>38</v>
      </c>
      <c r="C5829" s="37" t="s">
        <v>9751</v>
      </c>
      <c r="D5829" s="35">
        <v>2472</v>
      </c>
      <c r="E5829" s="4" t="s">
        <v>9919</v>
      </c>
      <c r="F5829" s="5">
        <v>39083</v>
      </c>
      <c r="G5829" s="5">
        <v>41639</v>
      </c>
      <c r="H5829" s="4" t="s">
        <v>40</v>
      </c>
      <c r="I5829" s="6">
        <v>195027.43</v>
      </c>
      <c r="J5829" s="6">
        <f>168242.76+26784.67</f>
        <v>195027.43</v>
      </c>
      <c r="K5829" s="37" t="s">
        <v>9751</v>
      </c>
      <c r="L5829" s="120"/>
      <c r="M5829" s="3"/>
    </row>
    <row r="5830" spans="1:13" s="4" customFormat="1" ht="51" x14ac:dyDescent="0.25">
      <c r="A5830" s="4" t="s">
        <v>9920</v>
      </c>
      <c r="B5830" s="4" t="s">
        <v>38</v>
      </c>
      <c r="C5830" s="37" t="s">
        <v>9751</v>
      </c>
      <c r="D5830" s="35">
        <v>2474</v>
      </c>
      <c r="E5830" s="4" t="s">
        <v>9921</v>
      </c>
      <c r="F5830" s="5">
        <v>39083</v>
      </c>
      <c r="G5830" s="5">
        <v>40178</v>
      </c>
      <c r="H5830" s="4" t="s">
        <v>40</v>
      </c>
      <c r="I5830" s="6">
        <v>6362.74</v>
      </c>
      <c r="J5830" s="6">
        <v>6362.74</v>
      </c>
      <c r="K5830" s="37" t="s">
        <v>9751</v>
      </c>
      <c r="L5830" s="120"/>
      <c r="M5830" s="3"/>
    </row>
    <row r="5831" spans="1:13" s="4" customFormat="1" ht="51" x14ac:dyDescent="0.25">
      <c r="A5831" s="4" t="s">
        <v>9922</v>
      </c>
      <c r="B5831" s="4" t="s">
        <v>38</v>
      </c>
      <c r="C5831" s="37" t="s">
        <v>9751</v>
      </c>
      <c r="D5831" s="35">
        <v>2475</v>
      </c>
      <c r="E5831" s="4" t="s">
        <v>9923</v>
      </c>
      <c r="F5831" s="5">
        <v>39083</v>
      </c>
      <c r="G5831" s="5">
        <v>40178</v>
      </c>
      <c r="H5831" s="4" t="s">
        <v>40</v>
      </c>
      <c r="I5831" s="6">
        <v>17440.18</v>
      </c>
      <c r="J5831" s="6">
        <v>17440.18</v>
      </c>
      <c r="K5831" s="37" t="s">
        <v>9751</v>
      </c>
      <c r="L5831" s="120"/>
      <c r="M5831" s="3"/>
    </row>
    <row r="5832" spans="1:13" s="4" customFormat="1" ht="51" x14ac:dyDescent="0.25">
      <c r="A5832" s="4" t="s">
        <v>7533</v>
      </c>
      <c r="B5832" s="4" t="s">
        <v>38</v>
      </c>
      <c r="C5832" s="37" t="s">
        <v>9751</v>
      </c>
      <c r="D5832" s="35">
        <v>2476</v>
      </c>
      <c r="E5832" s="4" t="s">
        <v>9924</v>
      </c>
      <c r="F5832" s="5">
        <v>39083</v>
      </c>
      <c r="G5832" s="5">
        <v>40543</v>
      </c>
      <c r="H5832" s="4" t="s">
        <v>40</v>
      </c>
      <c r="I5832" s="6">
        <v>99997.49</v>
      </c>
      <c r="J5832" s="6">
        <v>99997.49</v>
      </c>
      <c r="K5832" s="37" t="s">
        <v>9751</v>
      </c>
      <c r="L5832" s="120"/>
      <c r="M5832" s="3"/>
    </row>
    <row r="5833" spans="1:13" s="4" customFormat="1" ht="25.5" x14ac:dyDescent="0.25">
      <c r="A5833" s="4" t="s">
        <v>8527</v>
      </c>
      <c r="B5833" s="4" t="s">
        <v>38</v>
      </c>
      <c r="C5833" s="37" t="s">
        <v>9751</v>
      </c>
      <c r="D5833" s="35">
        <v>2477</v>
      </c>
      <c r="E5833" s="4" t="s">
        <v>9925</v>
      </c>
      <c r="F5833" s="5">
        <v>39083</v>
      </c>
      <c r="G5833" s="5">
        <v>41639</v>
      </c>
      <c r="H5833" s="4" t="s">
        <v>40</v>
      </c>
      <c r="I5833" s="6">
        <f>18520+5130+8341.78+3998.4+9815</f>
        <v>45805.18</v>
      </c>
      <c r="J5833" s="6">
        <f>37463.4+8341.78</f>
        <v>45805.18</v>
      </c>
      <c r="K5833" s="37" t="s">
        <v>9751</v>
      </c>
      <c r="L5833" s="120"/>
      <c r="M5833" s="3"/>
    </row>
    <row r="5834" spans="1:13" s="4" customFormat="1" ht="25.5" x14ac:dyDescent="0.25">
      <c r="A5834" s="4" t="s">
        <v>9926</v>
      </c>
      <c r="B5834" s="4" t="s">
        <v>38</v>
      </c>
      <c r="C5834" s="37" t="s">
        <v>9751</v>
      </c>
      <c r="D5834" s="35">
        <v>2478</v>
      </c>
      <c r="E5834" s="4" t="s">
        <v>9927</v>
      </c>
      <c r="F5834" s="5">
        <v>39083</v>
      </c>
      <c r="G5834" s="5">
        <v>40908</v>
      </c>
      <c r="H5834" s="4" t="s">
        <v>40</v>
      </c>
      <c r="I5834" s="6">
        <v>86536.57</v>
      </c>
      <c r="J5834" s="6">
        <v>86536.57</v>
      </c>
      <c r="K5834" s="37" t="s">
        <v>9751</v>
      </c>
      <c r="L5834" s="120"/>
      <c r="M5834" s="3"/>
    </row>
    <row r="5835" spans="1:13" s="4" customFormat="1" ht="25.5" x14ac:dyDescent="0.25">
      <c r="A5835" s="4" t="s">
        <v>9928</v>
      </c>
      <c r="B5835" s="4" t="s">
        <v>38</v>
      </c>
      <c r="C5835" s="37" t="s">
        <v>9751</v>
      </c>
      <c r="D5835" s="35">
        <v>2481</v>
      </c>
      <c r="E5835" s="4" t="s">
        <v>9929</v>
      </c>
      <c r="F5835" s="5">
        <v>39083</v>
      </c>
      <c r="G5835" s="5">
        <v>39813</v>
      </c>
      <c r="H5835" s="4" t="s">
        <v>40</v>
      </c>
      <c r="I5835" s="6">
        <v>3098.6</v>
      </c>
      <c r="J5835" s="6">
        <v>3098.6</v>
      </c>
      <c r="K5835" s="37" t="s">
        <v>9751</v>
      </c>
      <c r="L5835" s="120"/>
      <c r="M5835" s="3"/>
    </row>
    <row r="5836" spans="1:13" s="4" customFormat="1" ht="51" x14ac:dyDescent="0.25">
      <c r="A5836" s="4" t="s">
        <v>9930</v>
      </c>
      <c r="B5836" s="4" t="s">
        <v>38</v>
      </c>
      <c r="C5836" s="37" t="s">
        <v>9751</v>
      </c>
      <c r="D5836" s="35">
        <v>2483</v>
      </c>
      <c r="E5836" s="4" t="s">
        <v>9931</v>
      </c>
      <c r="F5836" s="5">
        <v>39083</v>
      </c>
      <c r="G5836" s="5">
        <v>39813</v>
      </c>
      <c r="H5836" s="4" t="s">
        <v>40</v>
      </c>
      <c r="I5836" s="6">
        <v>1158.4000000000001</v>
      </c>
      <c r="J5836" s="6">
        <v>1158.4000000000001</v>
      </c>
      <c r="K5836" s="37" t="s">
        <v>9751</v>
      </c>
      <c r="L5836" s="120"/>
      <c r="M5836" s="3"/>
    </row>
    <row r="5837" spans="1:13" s="4" customFormat="1" ht="25.5" x14ac:dyDescent="0.25">
      <c r="A5837" s="4" t="s">
        <v>9932</v>
      </c>
      <c r="B5837" s="4" t="s">
        <v>38</v>
      </c>
      <c r="C5837" s="37" t="s">
        <v>9751</v>
      </c>
      <c r="D5837" s="35">
        <v>2484</v>
      </c>
      <c r="E5837" s="4" t="s">
        <v>9933</v>
      </c>
      <c r="F5837" s="5">
        <v>39083</v>
      </c>
      <c r="G5837" s="5">
        <v>40178</v>
      </c>
      <c r="H5837" s="4" t="s">
        <v>40</v>
      </c>
      <c r="I5837" s="6">
        <v>2750</v>
      </c>
      <c r="J5837" s="6">
        <v>2750</v>
      </c>
      <c r="K5837" s="37" t="s">
        <v>9751</v>
      </c>
      <c r="L5837" s="120"/>
      <c r="M5837" s="3"/>
    </row>
    <row r="5838" spans="1:13" s="4" customFormat="1" ht="25.5" x14ac:dyDescent="0.25">
      <c r="A5838" s="4" t="s">
        <v>9934</v>
      </c>
      <c r="B5838" s="4" t="s">
        <v>38</v>
      </c>
      <c r="C5838" s="37" t="s">
        <v>9751</v>
      </c>
      <c r="D5838" s="35">
        <v>2485</v>
      </c>
      <c r="E5838" s="4" t="s">
        <v>9934</v>
      </c>
      <c r="F5838" s="5">
        <v>39083</v>
      </c>
      <c r="G5838" s="5">
        <v>41274</v>
      </c>
      <c r="H5838" s="4" t="s">
        <v>40</v>
      </c>
      <c r="I5838" s="6">
        <f>80+12014.58+175</f>
        <v>12269.58</v>
      </c>
      <c r="J5838" s="6">
        <v>12269.58</v>
      </c>
      <c r="K5838" s="37" t="s">
        <v>9751</v>
      </c>
      <c r="L5838" s="120"/>
      <c r="M5838" s="3"/>
    </row>
    <row r="5839" spans="1:13" s="4" customFormat="1" ht="51" x14ac:dyDescent="0.25">
      <c r="A5839" s="4" t="s">
        <v>9935</v>
      </c>
      <c r="B5839" s="4" t="s">
        <v>38</v>
      </c>
      <c r="C5839" s="37" t="s">
        <v>9751</v>
      </c>
      <c r="D5839" s="35">
        <v>3316</v>
      </c>
      <c r="E5839" s="4" t="s">
        <v>9936</v>
      </c>
      <c r="F5839" s="5">
        <v>39083</v>
      </c>
      <c r="G5839" s="5">
        <v>39813</v>
      </c>
      <c r="H5839" s="4" t="s">
        <v>40</v>
      </c>
      <c r="I5839" s="6">
        <v>1293.2</v>
      </c>
      <c r="J5839" s="6">
        <v>1293.2</v>
      </c>
      <c r="K5839" s="37" t="s">
        <v>9751</v>
      </c>
      <c r="L5839" s="120"/>
      <c r="M5839" s="3"/>
    </row>
    <row r="5840" spans="1:13" s="4" customFormat="1" ht="25.5" x14ac:dyDescent="0.25">
      <c r="A5840" s="4" t="s">
        <v>9937</v>
      </c>
      <c r="B5840" s="4" t="s">
        <v>38</v>
      </c>
      <c r="C5840" s="37" t="s">
        <v>9751</v>
      </c>
      <c r="D5840" s="35">
        <v>5052</v>
      </c>
      <c r="E5840" s="4" t="s">
        <v>9938</v>
      </c>
      <c r="F5840" s="5">
        <v>39814</v>
      </c>
      <c r="G5840" s="5">
        <v>40178</v>
      </c>
      <c r="H5840" s="4" t="s">
        <v>40</v>
      </c>
      <c r="I5840" s="6">
        <v>3270.31</v>
      </c>
      <c r="J5840" s="6">
        <v>3270.31</v>
      </c>
      <c r="K5840" s="37" t="s">
        <v>9751</v>
      </c>
      <c r="L5840" s="120"/>
      <c r="M5840" s="3"/>
    </row>
    <row r="5841" spans="1:13" s="4" customFormat="1" ht="25.5" x14ac:dyDescent="0.25">
      <c r="A5841" s="4" t="s">
        <v>9939</v>
      </c>
      <c r="B5841" s="4" t="s">
        <v>38</v>
      </c>
      <c r="C5841" s="37" t="s">
        <v>9751</v>
      </c>
      <c r="D5841" s="35">
        <v>5056</v>
      </c>
      <c r="E5841" s="4" t="s">
        <v>9940</v>
      </c>
      <c r="F5841" s="5">
        <v>39814</v>
      </c>
      <c r="G5841" s="5">
        <v>40178</v>
      </c>
      <c r="H5841" s="4" t="s">
        <v>40</v>
      </c>
      <c r="I5841" s="6">
        <v>1747.02</v>
      </c>
      <c r="J5841" s="6">
        <v>1747.02</v>
      </c>
      <c r="K5841" s="37" t="s">
        <v>9751</v>
      </c>
      <c r="L5841" s="120"/>
      <c r="M5841" s="3"/>
    </row>
    <row r="5842" spans="1:13" s="4" customFormat="1" ht="25.5" x14ac:dyDescent="0.25">
      <c r="A5842" s="4" t="s">
        <v>9941</v>
      </c>
      <c r="B5842" s="4" t="s">
        <v>38</v>
      </c>
      <c r="C5842" s="37" t="s">
        <v>9751</v>
      </c>
      <c r="D5842" s="35">
        <v>5057</v>
      </c>
      <c r="E5842" s="4" t="s">
        <v>9942</v>
      </c>
      <c r="F5842" s="5">
        <v>39814</v>
      </c>
      <c r="G5842" s="5">
        <v>41639</v>
      </c>
      <c r="H5842" s="4" t="s">
        <v>40</v>
      </c>
      <c r="I5842" s="6">
        <f>10126.69-367.06</f>
        <v>9759.630000000001</v>
      </c>
      <c r="J5842" s="6">
        <f>9093.57+1033.12-367.06</f>
        <v>9759.6299999999992</v>
      </c>
      <c r="K5842" s="37" t="s">
        <v>9751</v>
      </c>
      <c r="L5842" s="120"/>
      <c r="M5842" s="3"/>
    </row>
    <row r="5843" spans="1:13" s="4" customFormat="1" ht="25.5" x14ac:dyDescent="0.25">
      <c r="A5843" s="4" t="s">
        <v>9943</v>
      </c>
      <c r="B5843" s="4" t="s">
        <v>38</v>
      </c>
      <c r="C5843" s="37" t="s">
        <v>9751</v>
      </c>
      <c r="D5843" s="35">
        <v>5060</v>
      </c>
      <c r="E5843" s="4" t="s">
        <v>9944</v>
      </c>
      <c r="F5843" s="5">
        <v>39814</v>
      </c>
      <c r="G5843" s="5">
        <v>40178</v>
      </c>
      <c r="H5843" s="4" t="s">
        <v>40</v>
      </c>
      <c r="I5843" s="6">
        <v>2430.0300000000002</v>
      </c>
      <c r="J5843" s="6">
        <v>2430.0300000000002</v>
      </c>
      <c r="K5843" s="37" t="s">
        <v>9751</v>
      </c>
      <c r="L5843" s="120"/>
      <c r="M5843" s="3"/>
    </row>
    <row r="5844" spans="1:13" s="4" customFormat="1" ht="25.5" x14ac:dyDescent="0.25">
      <c r="A5844" s="4" t="s">
        <v>9945</v>
      </c>
      <c r="B5844" s="4" t="s">
        <v>38</v>
      </c>
      <c r="C5844" s="37" t="s">
        <v>9751</v>
      </c>
      <c r="D5844" s="35">
        <v>5065</v>
      </c>
      <c r="E5844" s="4" t="s">
        <v>9946</v>
      </c>
      <c r="F5844" s="5">
        <v>39814</v>
      </c>
      <c r="G5844" s="5">
        <v>40178</v>
      </c>
      <c r="H5844" s="4" t="s">
        <v>40</v>
      </c>
      <c r="I5844" s="6">
        <v>300</v>
      </c>
      <c r="J5844" s="6">
        <v>300</v>
      </c>
      <c r="K5844" s="37" t="s">
        <v>9751</v>
      </c>
      <c r="L5844" s="120"/>
      <c r="M5844" s="3"/>
    </row>
    <row r="5845" spans="1:13" s="4" customFormat="1" ht="25.5" x14ac:dyDescent="0.25">
      <c r="A5845" s="4" t="s">
        <v>9947</v>
      </c>
      <c r="B5845" s="4" t="s">
        <v>38</v>
      </c>
      <c r="C5845" s="37" t="s">
        <v>9751</v>
      </c>
      <c r="D5845" s="35">
        <v>5067</v>
      </c>
      <c r="E5845" s="4" t="s">
        <v>9948</v>
      </c>
      <c r="F5845" s="5">
        <v>39814</v>
      </c>
      <c r="G5845" s="5">
        <v>41639</v>
      </c>
      <c r="H5845" s="4" t="s">
        <v>40</v>
      </c>
      <c r="I5845" s="6">
        <f>7020.52-183.53</f>
        <v>6836.9900000000007</v>
      </c>
      <c r="J5845" s="6">
        <f>6510.99+509.53-183.53</f>
        <v>6836.99</v>
      </c>
      <c r="K5845" s="37" t="s">
        <v>9751</v>
      </c>
      <c r="L5845" s="120"/>
      <c r="M5845" s="3"/>
    </row>
    <row r="5846" spans="1:13" s="4" customFormat="1" ht="25.5" x14ac:dyDescent="0.25">
      <c r="A5846" s="4" t="s">
        <v>9949</v>
      </c>
      <c r="B5846" s="4" t="s">
        <v>38</v>
      </c>
      <c r="C5846" s="37" t="s">
        <v>9751</v>
      </c>
      <c r="D5846" s="35">
        <v>5070</v>
      </c>
      <c r="E5846" s="4" t="s">
        <v>9950</v>
      </c>
      <c r="F5846" s="5">
        <v>39814</v>
      </c>
      <c r="G5846" s="5">
        <v>40178</v>
      </c>
      <c r="H5846" s="4" t="s">
        <v>40</v>
      </c>
      <c r="I5846" s="6">
        <v>3466.91</v>
      </c>
      <c r="J5846" s="6">
        <v>3466.91</v>
      </c>
      <c r="K5846" s="37" t="s">
        <v>9751</v>
      </c>
      <c r="L5846" s="120"/>
      <c r="M5846" s="3"/>
    </row>
    <row r="5847" spans="1:13" s="4" customFormat="1" ht="25.5" x14ac:dyDescent="0.25">
      <c r="A5847" s="4" t="s">
        <v>9951</v>
      </c>
      <c r="B5847" s="4" t="s">
        <v>38</v>
      </c>
      <c r="C5847" s="37" t="s">
        <v>9751</v>
      </c>
      <c r="D5847" s="35">
        <v>5071</v>
      </c>
      <c r="E5847" s="4" t="s">
        <v>9952</v>
      </c>
      <c r="F5847" s="5">
        <v>39814</v>
      </c>
      <c r="G5847" s="5">
        <v>40178</v>
      </c>
      <c r="H5847" s="4" t="s">
        <v>40</v>
      </c>
      <c r="I5847" s="6">
        <v>2297.33</v>
      </c>
      <c r="J5847" s="6">
        <v>2297.33</v>
      </c>
      <c r="K5847" s="37" t="s">
        <v>9751</v>
      </c>
      <c r="L5847" s="120"/>
      <c r="M5847" s="3"/>
    </row>
    <row r="5848" spans="1:13" s="4" customFormat="1" ht="25.5" x14ac:dyDescent="0.25">
      <c r="A5848" s="4" t="s">
        <v>9953</v>
      </c>
      <c r="B5848" s="4" t="s">
        <v>38</v>
      </c>
      <c r="C5848" s="37" t="s">
        <v>9751</v>
      </c>
      <c r="D5848" s="35">
        <v>5072</v>
      </c>
      <c r="E5848" s="4" t="s">
        <v>9954</v>
      </c>
      <c r="F5848" s="5">
        <v>39814</v>
      </c>
      <c r="G5848" s="5">
        <v>40178</v>
      </c>
      <c r="H5848" s="4" t="s">
        <v>40</v>
      </c>
      <c r="I5848" s="6">
        <v>92.33</v>
      </c>
      <c r="J5848" s="6">
        <v>92.33</v>
      </c>
      <c r="K5848" s="37" t="s">
        <v>9751</v>
      </c>
      <c r="L5848" s="120"/>
      <c r="M5848" s="3"/>
    </row>
    <row r="5849" spans="1:13" s="4" customFormat="1" ht="25.5" x14ac:dyDescent="0.25">
      <c r="A5849" s="4" t="s">
        <v>9955</v>
      </c>
      <c r="B5849" s="4" t="s">
        <v>38</v>
      </c>
      <c r="C5849" s="37" t="s">
        <v>9751</v>
      </c>
      <c r="D5849" s="35">
        <v>5073</v>
      </c>
      <c r="E5849" s="4" t="s">
        <v>9956</v>
      </c>
      <c r="F5849" s="5">
        <v>39814</v>
      </c>
      <c r="G5849" s="5">
        <v>40908</v>
      </c>
      <c r="H5849" s="4" t="s">
        <v>40</v>
      </c>
      <c r="I5849" s="6">
        <f>2630.19+1080</f>
        <v>3710.19</v>
      </c>
      <c r="J5849" s="6">
        <v>3710.19</v>
      </c>
      <c r="K5849" s="37" t="s">
        <v>9751</v>
      </c>
      <c r="L5849" s="120"/>
      <c r="M5849" s="3"/>
    </row>
    <row r="5850" spans="1:13" s="4" customFormat="1" ht="25.5" x14ac:dyDescent="0.25">
      <c r="A5850" s="4" t="s">
        <v>9957</v>
      </c>
      <c r="B5850" s="4" t="s">
        <v>38</v>
      </c>
      <c r="C5850" s="37" t="s">
        <v>9751</v>
      </c>
      <c r="D5850" s="35">
        <v>5074</v>
      </c>
      <c r="E5850" s="4" t="s">
        <v>9958</v>
      </c>
      <c r="F5850" s="5">
        <v>39814</v>
      </c>
      <c r="G5850" s="5">
        <v>40178</v>
      </c>
      <c r="H5850" s="4" t="s">
        <v>40</v>
      </c>
      <c r="I5850" s="6">
        <v>1008.32</v>
      </c>
      <c r="J5850" s="6">
        <v>1008.32</v>
      </c>
      <c r="K5850" s="37" t="s">
        <v>9751</v>
      </c>
      <c r="L5850" s="120"/>
      <c r="M5850" s="3"/>
    </row>
    <row r="5851" spans="1:13" s="4" customFormat="1" ht="25.5" x14ac:dyDescent="0.25">
      <c r="A5851" s="4" t="s">
        <v>9959</v>
      </c>
      <c r="B5851" s="4" t="s">
        <v>38</v>
      </c>
      <c r="C5851" s="37" t="s">
        <v>9751</v>
      </c>
      <c r="D5851" s="35">
        <v>5077</v>
      </c>
      <c r="E5851" s="4" t="s">
        <v>9960</v>
      </c>
      <c r="F5851" s="5">
        <v>39814</v>
      </c>
      <c r="G5851" s="5">
        <v>40178</v>
      </c>
      <c r="H5851" s="4" t="s">
        <v>40</v>
      </c>
      <c r="I5851" s="6">
        <v>1908.46</v>
      </c>
      <c r="J5851" s="6">
        <v>1908.46</v>
      </c>
      <c r="K5851" s="37" t="s">
        <v>9751</v>
      </c>
      <c r="L5851" s="120"/>
      <c r="M5851" s="3"/>
    </row>
    <row r="5852" spans="1:13" s="4" customFormat="1" ht="51" x14ac:dyDescent="0.25">
      <c r="A5852" s="4" t="s">
        <v>9961</v>
      </c>
      <c r="B5852" s="4" t="s">
        <v>38</v>
      </c>
      <c r="C5852" s="37" t="s">
        <v>9751</v>
      </c>
      <c r="D5852" s="35">
        <v>5113</v>
      </c>
      <c r="E5852" s="4" t="s">
        <v>9962</v>
      </c>
      <c r="F5852" s="5">
        <v>39814</v>
      </c>
      <c r="G5852" s="5">
        <v>40543</v>
      </c>
      <c r="H5852" s="4" t="s">
        <v>40</v>
      </c>
      <c r="I5852" s="6">
        <v>5089.5</v>
      </c>
      <c r="J5852" s="6">
        <v>5089.5</v>
      </c>
      <c r="K5852" s="37" t="s">
        <v>9751</v>
      </c>
      <c r="L5852" s="120"/>
      <c r="M5852" s="3"/>
    </row>
    <row r="5853" spans="1:13" s="4" customFormat="1" ht="25.5" x14ac:dyDescent="0.25">
      <c r="A5853" s="4" t="s">
        <v>9963</v>
      </c>
      <c r="B5853" s="4" t="s">
        <v>38</v>
      </c>
      <c r="C5853" s="37" t="s">
        <v>9751</v>
      </c>
      <c r="D5853" s="35">
        <v>5114</v>
      </c>
      <c r="E5853" s="4" t="s">
        <v>9964</v>
      </c>
      <c r="F5853" s="5">
        <v>39814</v>
      </c>
      <c r="G5853" s="5">
        <v>40543</v>
      </c>
      <c r="H5853" s="4" t="s">
        <v>40</v>
      </c>
      <c r="I5853" s="6">
        <v>1000</v>
      </c>
      <c r="J5853" s="6">
        <v>1000</v>
      </c>
      <c r="K5853" s="37" t="s">
        <v>9751</v>
      </c>
      <c r="L5853" s="120"/>
      <c r="M5853" s="3"/>
    </row>
    <row r="5854" spans="1:13" s="4" customFormat="1" ht="102" x14ac:dyDescent="0.25">
      <c r="A5854" s="4" t="s">
        <v>9965</v>
      </c>
      <c r="B5854" s="4" t="s">
        <v>183</v>
      </c>
      <c r="C5854" s="37" t="s">
        <v>9751</v>
      </c>
      <c r="D5854" s="35">
        <v>5122</v>
      </c>
      <c r="E5854" s="7" t="s">
        <v>9966</v>
      </c>
      <c r="F5854" s="5">
        <v>39610</v>
      </c>
      <c r="G5854" s="5">
        <v>39974</v>
      </c>
      <c r="H5854" s="4" t="s">
        <v>40</v>
      </c>
      <c r="I5854" s="6">
        <v>10200</v>
      </c>
      <c r="J5854" s="6">
        <v>5100</v>
      </c>
      <c r="K5854" s="37" t="s">
        <v>9751</v>
      </c>
      <c r="L5854" s="120"/>
      <c r="M5854" s="3"/>
    </row>
    <row r="5855" spans="1:13" s="4" customFormat="1" ht="76.5" x14ac:dyDescent="0.25">
      <c r="A5855" s="4" t="s">
        <v>9967</v>
      </c>
      <c r="B5855" s="4" t="s">
        <v>183</v>
      </c>
      <c r="C5855" s="37" t="s">
        <v>9751</v>
      </c>
      <c r="D5855" s="35">
        <v>5123</v>
      </c>
      <c r="E5855" s="4" t="s">
        <v>9968</v>
      </c>
      <c r="F5855" s="5">
        <v>39750</v>
      </c>
      <c r="G5855" s="5">
        <v>39931</v>
      </c>
      <c r="H5855" s="4" t="s">
        <v>40</v>
      </c>
      <c r="I5855" s="6">
        <v>10200</v>
      </c>
      <c r="J5855" s="6">
        <v>5100</v>
      </c>
      <c r="K5855" s="37" t="s">
        <v>9751</v>
      </c>
      <c r="L5855" s="120"/>
      <c r="M5855" s="3"/>
    </row>
    <row r="5856" spans="1:13" s="4" customFormat="1" ht="76.5" x14ac:dyDescent="0.25">
      <c r="A5856" s="4" t="s">
        <v>9969</v>
      </c>
      <c r="B5856" s="4" t="s">
        <v>183</v>
      </c>
      <c r="C5856" s="37" t="s">
        <v>9751</v>
      </c>
      <c r="D5856" s="35">
        <v>5126</v>
      </c>
      <c r="E5856" s="4" t="s">
        <v>9970</v>
      </c>
      <c r="F5856" s="5">
        <v>39988</v>
      </c>
      <c r="G5856" s="5">
        <v>40352</v>
      </c>
      <c r="H5856" s="4" t="s">
        <v>40</v>
      </c>
      <c r="I5856" s="6">
        <v>60000</v>
      </c>
      <c r="J5856" s="6">
        <v>30000</v>
      </c>
      <c r="K5856" s="37" t="s">
        <v>9751</v>
      </c>
      <c r="L5856" s="120"/>
      <c r="M5856" s="3"/>
    </row>
    <row r="5857" spans="1:13" s="4" customFormat="1" ht="25.5" x14ac:dyDescent="0.25">
      <c r="A5857" s="4" t="s">
        <v>9971</v>
      </c>
      <c r="B5857" s="4" t="s">
        <v>183</v>
      </c>
      <c r="C5857" s="37" t="s">
        <v>9751</v>
      </c>
      <c r="D5857" s="35">
        <v>5128</v>
      </c>
      <c r="E5857" s="4" t="s">
        <v>9972</v>
      </c>
      <c r="F5857" s="5">
        <v>39869</v>
      </c>
      <c r="G5857" s="5">
        <v>40233</v>
      </c>
      <c r="H5857" s="4" t="s">
        <v>40</v>
      </c>
      <c r="I5857" s="6">
        <v>5000</v>
      </c>
      <c r="J5857" s="6">
        <v>2500</v>
      </c>
      <c r="K5857" s="37" t="s">
        <v>9751</v>
      </c>
      <c r="L5857" s="120"/>
      <c r="M5857" s="3"/>
    </row>
    <row r="5858" spans="1:13" s="4" customFormat="1" ht="25.5" x14ac:dyDescent="0.25">
      <c r="A5858" s="4" t="s">
        <v>9973</v>
      </c>
      <c r="B5858" s="4" t="s">
        <v>183</v>
      </c>
      <c r="C5858" s="37" t="s">
        <v>9751</v>
      </c>
      <c r="D5858" s="35">
        <v>5132</v>
      </c>
      <c r="E5858" s="4" t="s">
        <v>9974</v>
      </c>
      <c r="F5858" s="5">
        <v>39750</v>
      </c>
      <c r="G5858" s="5">
        <v>39931</v>
      </c>
      <c r="H5858" s="4" t="s">
        <v>40</v>
      </c>
      <c r="I5858" s="6">
        <v>10200</v>
      </c>
      <c r="J5858" s="6">
        <v>5100</v>
      </c>
      <c r="K5858" s="37" t="s">
        <v>9751</v>
      </c>
      <c r="L5858" s="120"/>
      <c r="M5858" s="3"/>
    </row>
    <row r="5859" spans="1:13" s="4" customFormat="1" ht="38.25" x14ac:dyDescent="0.25">
      <c r="A5859" s="4" t="s">
        <v>9979</v>
      </c>
      <c r="B5859" s="4" t="s">
        <v>183</v>
      </c>
      <c r="C5859" s="37" t="s">
        <v>9751</v>
      </c>
      <c r="D5859" s="35">
        <v>5142</v>
      </c>
      <c r="E5859" s="4" t="s">
        <v>9980</v>
      </c>
      <c r="F5859" s="5">
        <v>39988</v>
      </c>
      <c r="G5859" s="5">
        <v>40352</v>
      </c>
      <c r="H5859" s="4" t="s">
        <v>40</v>
      </c>
      <c r="I5859" s="6">
        <v>7500</v>
      </c>
      <c r="J5859" s="6">
        <v>7500</v>
      </c>
      <c r="K5859" s="37" t="s">
        <v>9751</v>
      </c>
      <c r="L5859" s="120"/>
      <c r="M5859" s="3"/>
    </row>
    <row r="5860" spans="1:13" s="4" customFormat="1" ht="76.5" x14ac:dyDescent="0.25">
      <c r="A5860" s="4" t="s">
        <v>9981</v>
      </c>
      <c r="B5860" s="4" t="s">
        <v>183</v>
      </c>
      <c r="C5860" s="37" t="s">
        <v>9751</v>
      </c>
      <c r="D5860" s="35">
        <v>5144</v>
      </c>
      <c r="E5860" s="4" t="s">
        <v>9982</v>
      </c>
      <c r="F5860" s="5">
        <v>39918</v>
      </c>
      <c r="G5860" s="5">
        <v>40282</v>
      </c>
      <c r="H5860" s="4" t="s">
        <v>40</v>
      </c>
      <c r="I5860" s="6">
        <v>15667.76</v>
      </c>
      <c r="J5860" s="6">
        <v>7833.88</v>
      </c>
      <c r="K5860" s="37" t="s">
        <v>9751</v>
      </c>
      <c r="L5860" s="120"/>
      <c r="M5860" s="3"/>
    </row>
    <row r="5861" spans="1:13" s="4" customFormat="1" ht="38.25" x14ac:dyDescent="0.25">
      <c r="A5861" s="4" t="s">
        <v>9984</v>
      </c>
      <c r="B5861" s="4" t="s">
        <v>183</v>
      </c>
      <c r="C5861" s="37" t="s">
        <v>9751</v>
      </c>
      <c r="D5861" s="35">
        <v>5148</v>
      </c>
      <c r="E5861" s="4" t="s">
        <v>9985</v>
      </c>
      <c r="F5861" s="5">
        <v>40065</v>
      </c>
      <c r="G5861" s="5">
        <v>40429</v>
      </c>
      <c r="H5861" s="4" t="s">
        <v>40</v>
      </c>
      <c r="I5861" s="6">
        <v>4149.8</v>
      </c>
      <c r="J5861" s="6">
        <v>2074.9</v>
      </c>
      <c r="K5861" s="37" t="s">
        <v>9751</v>
      </c>
      <c r="L5861" s="120"/>
      <c r="M5861" s="3"/>
    </row>
    <row r="5862" spans="1:13" s="4" customFormat="1" ht="63.75" x14ac:dyDescent="0.25">
      <c r="A5862" s="4" t="s">
        <v>9986</v>
      </c>
      <c r="B5862" s="4" t="s">
        <v>183</v>
      </c>
      <c r="C5862" s="37" t="s">
        <v>9751</v>
      </c>
      <c r="D5862" s="35">
        <v>5151</v>
      </c>
      <c r="E5862" s="4" t="s">
        <v>9987</v>
      </c>
      <c r="F5862" s="5">
        <v>39918</v>
      </c>
      <c r="G5862" s="5">
        <v>40282</v>
      </c>
      <c r="H5862" s="4" t="s">
        <v>40</v>
      </c>
      <c r="I5862" s="6">
        <v>41544</v>
      </c>
      <c r="J5862" s="6">
        <v>20772</v>
      </c>
      <c r="K5862" s="37" t="s">
        <v>9751</v>
      </c>
      <c r="L5862" s="120"/>
      <c r="M5862" s="3"/>
    </row>
    <row r="5863" spans="1:13" s="4" customFormat="1" ht="76.5" x14ac:dyDescent="0.25">
      <c r="A5863" s="4" t="s">
        <v>9988</v>
      </c>
      <c r="B5863" s="4" t="s">
        <v>183</v>
      </c>
      <c r="C5863" s="37" t="s">
        <v>9751</v>
      </c>
      <c r="D5863" s="35">
        <v>5153</v>
      </c>
      <c r="E5863" s="4" t="s">
        <v>9970</v>
      </c>
      <c r="F5863" s="5">
        <v>39988</v>
      </c>
      <c r="G5863" s="5">
        <v>40170</v>
      </c>
      <c r="H5863" s="4" t="s">
        <v>40</v>
      </c>
      <c r="I5863" s="6">
        <v>10000</v>
      </c>
      <c r="J5863" s="6">
        <v>5000</v>
      </c>
      <c r="K5863" s="37" t="s">
        <v>9751</v>
      </c>
      <c r="L5863" s="120"/>
      <c r="M5863" s="3"/>
    </row>
    <row r="5864" spans="1:13" s="4" customFormat="1" ht="63.75" x14ac:dyDescent="0.25">
      <c r="A5864" s="4" t="s">
        <v>9989</v>
      </c>
      <c r="B5864" s="4" t="s">
        <v>183</v>
      </c>
      <c r="C5864" s="37" t="s">
        <v>9751</v>
      </c>
      <c r="D5864" s="35">
        <v>5155</v>
      </c>
      <c r="E5864" s="4" t="s">
        <v>9990</v>
      </c>
      <c r="F5864" s="5">
        <v>39750</v>
      </c>
      <c r="G5864" s="5">
        <v>40479</v>
      </c>
      <c r="H5864" s="4" t="s">
        <v>40</v>
      </c>
      <c r="I5864" s="6">
        <v>18342.14</v>
      </c>
      <c r="J5864" s="6">
        <v>9171.07</v>
      </c>
      <c r="K5864" s="37" t="s">
        <v>9751</v>
      </c>
      <c r="L5864" s="120"/>
      <c r="M5864" s="3"/>
    </row>
    <row r="5865" spans="1:13" s="4" customFormat="1" ht="51" x14ac:dyDescent="0.25">
      <c r="A5865" s="4" t="s">
        <v>9991</v>
      </c>
      <c r="B5865" s="4" t="s">
        <v>183</v>
      </c>
      <c r="C5865" s="37" t="s">
        <v>9751</v>
      </c>
      <c r="D5865" s="35">
        <v>5157</v>
      </c>
      <c r="E5865" s="4" t="s">
        <v>9992</v>
      </c>
      <c r="F5865" s="5">
        <v>39988</v>
      </c>
      <c r="G5865" s="5">
        <v>40170</v>
      </c>
      <c r="H5865" s="4" t="s">
        <v>40</v>
      </c>
      <c r="I5865" s="6">
        <v>6941</v>
      </c>
      <c r="J5865" s="6">
        <v>3470.5</v>
      </c>
      <c r="K5865" s="37" t="s">
        <v>9751</v>
      </c>
      <c r="L5865" s="120"/>
      <c r="M5865" s="3"/>
    </row>
    <row r="5866" spans="1:13" s="4" customFormat="1" ht="102" x14ac:dyDescent="0.25">
      <c r="A5866" s="4" t="s">
        <v>9993</v>
      </c>
      <c r="B5866" s="4" t="s">
        <v>183</v>
      </c>
      <c r="C5866" s="37" t="s">
        <v>9751</v>
      </c>
      <c r="D5866" s="35">
        <v>5160</v>
      </c>
      <c r="E5866" s="7" t="s">
        <v>9994</v>
      </c>
      <c r="F5866" s="5">
        <v>40065</v>
      </c>
      <c r="G5866" s="5">
        <v>40429</v>
      </c>
      <c r="H5866" s="4" t="s">
        <v>40</v>
      </c>
      <c r="I5866" s="6">
        <v>141900</v>
      </c>
      <c r="J5866" s="6">
        <v>70950</v>
      </c>
      <c r="K5866" s="37" t="s">
        <v>9751</v>
      </c>
      <c r="L5866" s="120"/>
      <c r="M5866" s="3"/>
    </row>
    <row r="5867" spans="1:13" s="4" customFormat="1" ht="51" x14ac:dyDescent="0.25">
      <c r="A5867" s="4" t="s">
        <v>9995</v>
      </c>
      <c r="B5867" s="4" t="s">
        <v>183</v>
      </c>
      <c r="C5867" s="37" t="s">
        <v>9751</v>
      </c>
      <c r="D5867" s="35">
        <v>5162</v>
      </c>
      <c r="E5867" s="4" t="s">
        <v>9996</v>
      </c>
      <c r="F5867" s="5">
        <v>40149</v>
      </c>
      <c r="G5867" s="5">
        <v>40170</v>
      </c>
      <c r="H5867" s="4" t="s">
        <v>40</v>
      </c>
      <c r="I5867" s="6">
        <v>7500</v>
      </c>
      <c r="J5867" s="6">
        <v>7500</v>
      </c>
      <c r="K5867" s="37" t="s">
        <v>9751</v>
      </c>
      <c r="L5867" s="120"/>
      <c r="M5867" s="3"/>
    </row>
    <row r="5868" spans="1:13" s="4" customFormat="1" ht="76.5" x14ac:dyDescent="0.25">
      <c r="A5868" s="4" t="s">
        <v>9997</v>
      </c>
      <c r="B5868" s="4" t="s">
        <v>183</v>
      </c>
      <c r="C5868" s="37" t="s">
        <v>9751</v>
      </c>
      <c r="D5868" s="35">
        <v>5164</v>
      </c>
      <c r="E5868" s="4" t="s">
        <v>9998</v>
      </c>
      <c r="F5868" s="5">
        <v>39988</v>
      </c>
      <c r="G5868" s="5">
        <v>40170</v>
      </c>
      <c r="H5868" s="4" t="s">
        <v>40</v>
      </c>
      <c r="I5868" s="6">
        <v>9174.74</v>
      </c>
      <c r="J5868" s="6">
        <v>4587.37</v>
      </c>
      <c r="K5868" s="37" t="s">
        <v>9751</v>
      </c>
      <c r="L5868" s="120"/>
      <c r="M5868" s="3"/>
    </row>
    <row r="5869" spans="1:13" s="4" customFormat="1" ht="51" x14ac:dyDescent="0.25">
      <c r="A5869" s="4" t="s">
        <v>9997</v>
      </c>
      <c r="B5869" s="4" t="s">
        <v>183</v>
      </c>
      <c r="C5869" s="37" t="s">
        <v>9751</v>
      </c>
      <c r="D5869" s="35">
        <v>5165</v>
      </c>
      <c r="E5869" s="7" t="s">
        <v>9999</v>
      </c>
      <c r="F5869" s="5">
        <v>40149</v>
      </c>
      <c r="G5869" s="5">
        <v>40170</v>
      </c>
      <c r="H5869" s="4" t="s">
        <v>40</v>
      </c>
      <c r="I5869" s="6">
        <v>10000</v>
      </c>
      <c r="J5869" s="6">
        <v>10000</v>
      </c>
      <c r="K5869" s="37" t="s">
        <v>9751</v>
      </c>
      <c r="L5869" s="120"/>
      <c r="M5869" s="3"/>
    </row>
    <row r="5870" spans="1:13" s="4" customFormat="1" ht="51" x14ac:dyDescent="0.25">
      <c r="A5870" s="4" t="s">
        <v>10000</v>
      </c>
      <c r="B5870" s="4" t="s">
        <v>183</v>
      </c>
      <c r="C5870" s="37" t="s">
        <v>9751</v>
      </c>
      <c r="D5870" s="35">
        <v>5167</v>
      </c>
      <c r="E5870" s="4" t="s">
        <v>10001</v>
      </c>
      <c r="F5870" s="5">
        <v>40114</v>
      </c>
      <c r="G5870" s="5">
        <v>40478</v>
      </c>
      <c r="H5870" s="4" t="s">
        <v>40</v>
      </c>
      <c r="I5870" s="6">
        <v>7500</v>
      </c>
      <c r="J5870" s="6">
        <v>7500</v>
      </c>
      <c r="K5870" s="37" t="s">
        <v>9751</v>
      </c>
      <c r="L5870" s="120"/>
      <c r="M5870" s="3"/>
    </row>
    <row r="5871" spans="1:13" s="4" customFormat="1" ht="63.75" x14ac:dyDescent="0.25">
      <c r="A5871" s="4" t="s">
        <v>10002</v>
      </c>
      <c r="B5871" s="4" t="s">
        <v>183</v>
      </c>
      <c r="C5871" s="37" t="s">
        <v>9751</v>
      </c>
      <c r="D5871" s="35">
        <v>5170</v>
      </c>
      <c r="E5871" s="4" t="s">
        <v>10003</v>
      </c>
      <c r="F5871" s="5">
        <v>40149</v>
      </c>
      <c r="G5871" s="5">
        <v>40170</v>
      </c>
      <c r="H5871" s="4" t="s">
        <v>40</v>
      </c>
      <c r="I5871" s="6">
        <v>17350</v>
      </c>
      <c r="J5871" s="6">
        <v>10550</v>
      </c>
      <c r="K5871" s="37" t="s">
        <v>9751</v>
      </c>
      <c r="L5871" s="120"/>
      <c r="M5871" s="3"/>
    </row>
    <row r="5872" spans="1:13" s="4" customFormat="1" ht="25.5" x14ac:dyDescent="0.25">
      <c r="A5872" s="4" t="s">
        <v>3739</v>
      </c>
      <c r="B5872" s="4" t="s">
        <v>38</v>
      </c>
      <c r="C5872" s="37" t="s">
        <v>9751</v>
      </c>
      <c r="D5872" s="35">
        <v>5171</v>
      </c>
      <c r="E5872" s="4" t="s">
        <v>10004</v>
      </c>
      <c r="F5872" s="5">
        <v>39814</v>
      </c>
      <c r="G5872" s="5">
        <v>41639</v>
      </c>
      <c r="H5872" s="4" t="s">
        <v>40</v>
      </c>
      <c r="I5872" s="6">
        <v>285650.21000000002</v>
      </c>
      <c r="J5872" s="6">
        <f>234490.25+51159.96</f>
        <v>285650.21000000002</v>
      </c>
      <c r="K5872" s="37" t="s">
        <v>9751</v>
      </c>
      <c r="L5872" s="120"/>
      <c r="M5872" s="3"/>
    </row>
    <row r="5873" spans="1:13" s="4" customFormat="1" ht="25.5" x14ac:dyDescent="0.25">
      <c r="A5873" s="4" t="s">
        <v>9868</v>
      </c>
      <c r="B5873" s="4" t="s">
        <v>38</v>
      </c>
      <c r="C5873" s="37" t="s">
        <v>9751</v>
      </c>
      <c r="D5873" s="35">
        <v>5903</v>
      </c>
      <c r="E5873" s="4" t="s">
        <v>10005</v>
      </c>
      <c r="F5873" s="5">
        <v>39814</v>
      </c>
      <c r="G5873" s="5">
        <v>40908</v>
      </c>
      <c r="H5873" s="4" t="s">
        <v>40</v>
      </c>
      <c r="I5873" s="6">
        <v>1681.66</v>
      </c>
      <c r="J5873" s="6">
        <v>1681.66</v>
      </c>
      <c r="K5873" s="37" t="s">
        <v>9751</v>
      </c>
      <c r="L5873" s="120"/>
      <c r="M5873" s="3"/>
    </row>
    <row r="5874" spans="1:13" s="4" customFormat="1" ht="63.75" x14ac:dyDescent="0.25">
      <c r="A5874" s="4" t="s">
        <v>10006</v>
      </c>
      <c r="B5874" s="4" t="s">
        <v>183</v>
      </c>
      <c r="C5874" s="37" t="s">
        <v>9751</v>
      </c>
      <c r="D5874" s="35">
        <v>6514</v>
      </c>
      <c r="E5874" s="4" t="s">
        <v>10007</v>
      </c>
      <c r="F5874" s="5">
        <v>39988</v>
      </c>
      <c r="G5874" s="5">
        <v>40209</v>
      </c>
      <c r="H5874" s="4" t="s">
        <v>40</v>
      </c>
      <c r="I5874" s="6">
        <v>10200</v>
      </c>
      <c r="J5874" s="6">
        <v>5100</v>
      </c>
      <c r="K5874" s="37" t="s">
        <v>9751</v>
      </c>
      <c r="L5874" s="120"/>
      <c r="M5874" s="3"/>
    </row>
    <row r="5875" spans="1:13" s="4" customFormat="1" ht="38.25" x14ac:dyDescent="0.25">
      <c r="A5875" s="4" t="s">
        <v>10008</v>
      </c>
      <c r="B5875" s="4" t="s">
        <v>50</v>
      </c>
      <c r="C5875" s="37" t="s">
        <v>9751</v>
      </c>
      <c r="D5875" s="35">
        <v>7193</v>
      </c>
      <c r="E5875" s="4" t="s">
        <v>10009</v>
      </c>
      <c r="F5875" s="5">
        <v>39918</v>
      </c>
      <c r="G5875" s="5">
        <v>40282</v>
      </c>
      <c r="H5875" s="4" t="s">
        <v>40</v>
      </c>
      <c r="I5875" s="6">
        <v>6370</v>
      </c>
      <c r="J5875" s="6">
        <v>3185</v>
      </c>
      <c r="K5875" s="37" t="s">
        <v>9751</v>
      </c>
      <c r="L5875" s="120"/>
      <c r="M5875" s="3"/>
    </row>
    <row r="5876" spans="1:13" s="4" customFormat="1" ht="140.25" x14ac:dyDescent="0.25">
      <c r="A5876" s="4" t="s">
        <v>10010</v>
      </c>
      <c r="B5876" s="4" t="s">
        <v>183</v>
      </c>
      <c r="C5876" s="37" t="s">
        <v>9751</v>
      </c>
      <c r="D5876" s="35">
        <v>7194</v>
      </c>
      <c r="E5876" s="7" t="s">
        <v>10011</v>
      </c>
      <c r="F5876" s="5">
        <v>40149</v>
      </c>
      <c r="G5876" s="5">
        <v>40514</v>
      </c>
      <c r="H5876" s="4" t="s">
        <v>40</v>
      </c>
      <c r="I5876" s="6">
        <v>94382.46</v>
      </c>
      <c r="J5876" s="6">
        <v>50941.23</v>
      </c>
      <c r="K5876" s="37" t="s">
        <v>9751</v>
      </c>
      <c r="L5876" s="120"/>
      <c r="M5876" s="3"/>
    </row>
    <row r="5877" spans="1:13" s="4" customFormat="1" ht="38.25" x14ac:dyDescent="0.25">
      <c r="A5877" s="4" t="s">
        <v>10014</v>
      </c>
      <c r="B5877" s="4" t="s">
        <v>183</v>
      </c>
      <c r="C5877" s="37" t="s">
        <v>9751</v>
      </c>
      <c r="D5877" s="35">
        <v>7196</v>
      </c>
      <c r="E5877" s="4" t="s">
        <v>10015</v>
      </c>
      <c r="F5877" s="5">
        <v>40233</v>
      </c>
      <c r="G5877" s="5">
        <v>40597</v>
      </c>
      <c r="H5877" s="4" t="s">
        <v>40</v>
      </c>
      <c r="I5877" s="6">
        <v>5000</v>
      </c>
      <c r="J5877" s="6">
        <v>5000</v>
      </c>
      <c r="K5877" s="37" t="s">
        <v>9751</v>
      </c>
      <c r="L5877" s="120"/>
      <c r="M5877" s="3"/>
    </row>
    <row r="5878" spans="1:13" s="4" customFormat="1" ht="38.25" x14ac:dyDescent="0.25">
      <c r="A5878" s="4" t="s">
        <v>10016</v>
      </c>
      <c r="B5878" s="4" t="s">
        <v>183</v>
      </c>
      <c r="C5878" s="37" t="s">
        <v>9751</v>
      </c>
      <c r="D5878" s="35">
        <v>7197</v>
      </c>
      <c r="E5878" s="4" t="s">
        <v>10017</v>
      </c>
      <c r="F5878" s="5">
        <v>40296</v>
      </c>
      <c r="G5878" s="5">
        <v>40660</v>
      </c>
      <c r="H5878" s="4" t="s">
        <v>40</v>
      </c>
      <c r="I5878" s="6">
        <v>20000</v>
      </c>
      <c r="J5878" s="6">
        <v>15000</v>
      </c>
      <c r="K5878" s="37" t="s">
        <v>9751</v>
      </c>
      <c r="L5878" s="120"/>
      <c r="M5878" s="3"/>
    </row>
    <row r="5879" spans="1:13" s="4" customFormat="1" ht="51" x14ac:dyDescent="0.25">
      <c r="A5879" s="4" t="s">
        <v>10018</v>
      </c>
      <c r="B5879" s="4" t="s">
        <v>183</v>
      </c>
      <c r="C5879" s="37" t="s">
        <v>9751</v>
      </c>
      <c r="D5879" s="35">
        <v>7198</v>
      </c>
      <c r="E5879" s="4" t="s">
        <v>10019</v>
      </c>
      <c r="F5879" s="5">
        <v>40296</v>
      </c>
      <c r="G5879" s="5">
        <v>40660</v>
      </c>
      <c r="H5879" s="4" t="s">
        <v>40</v>
      </c>
      <c r="I5879" s="6">
        <v>21000</v>
      </c>
      <c r="J5879" s="6">
        <v>21000</v>
      </c>
      <c r="K5879" s="37" t="s">
        <v>9751</v>
      </c>
      <c r="L5879" s="120"/>
      <c r="M5879" s="3"/>
    </row>
    <row r="5880" spans="1:13" s="4" customFormat="1" ht="51" x14ac:dyDescent="0.25">
      <c r="A5880" s="4" t="s">
        <v>10020</v>
      </c>
      <c r="B5880" s="4" t="s">
        <v>90</v>
      </c>
      <c r="C5880" s="37" t="s">
        <v>9751</v>
      </c>
      <c r="D5880" s="35">
        <v>7199</v>
      </c>
      <c r="E5880" s="4" t="s">
        <v>10021</v>
      </c>
      <c r="F5880" s="5">
        <v>40233</v>
      </c>
      <c r="G5880" s="5">
        <v>40597</v>
      </c>
      <c r="H5880" s="4" t="s">
        <v>40</v>
      </c>
      <c r="I5880" s="6">
        <v>4329.68</v>
      </c>
      <c r="J5880" s="6">
        <v>2164.84</v>
      </c>
      <c r="K5880" s="37" t="s">
        <v>9751</v>
      </c>
      <c r="L5880" s="120"/>
      <c r="M5880" s="3"/>
    </row>
    <row r="5881" spans="1:13" s="4" customFormat="1" ht="51" x14ac:dyDescent="0.25">
      <c r="A5881" s="4" t="s">
        <v>10024</v>
      </c>
      <c r="B5881" s="4" t="s">
        <v>183</v>
      </c>
      <c r="C5881" s="37" t="s">
        <v>9751</v>
      </c>
      <c r="D5881" s="35">
        <v>7201</v>
      </c>
      <c r="E5881" s="4" t="s">
        <v>10025</v>
      </c>
      <c r="F5881" s="5">
        <v>40233</v>
      </c>
      <c r="G5881" s="5">
        <v>40597</v>
      </c>
      <c r="H5881" s="4" t="s">
        <v>40</v>
      </c>
      <c r="I5881" s="6">
        <v>7500</v>
      </c>
      <c r="J5881" s="6">
        <v>7500</v>
      </c>
      <c r="K5881" s="37" t="s">
        <v>9751</v>
      </c>
      <c r="L5881" s="120"/>
      <c r="M5881" s="3"/>
    </row>
    <row r="5882" spans="1:13" s="4" customFormat="1" ht="38.25" x14ac:dyDescent="0.25">
      <c r="A5882" s="4" t="s">
        <v>10028</v>
      </c>
      <c r="B5882" s="4" t="s">
        <v>183</v>
      </c>
      <c r="C5882" s="37" t="s">
        <v>9751</v>
      </c>
      <c r="D5882" s="35">
        <v>7203</v>
      </c>
      <c r="E5882" s="4" t="s">
        <v>10029</v>
      </c>
      <c r="F5882" s="5">
        <v>40359</v>
      </c>
      <c r="G5882" s="5">
        <v>40723</v>
      </c>
      <c r="H5882" s="4" t="s">
        <v>40</v>
      </c>
      <c r="I5882" s="6">
        <v>7500</v>
      </c>
      <c r="J5882" s="6">
        <v>7500</v>
      </c>
      <c r="K5882" s="37" t="s">
        <v>9751</v>
      </c>
      <c r="L5882" s="120"/>
      <c r="M5882" s="3"/>
    </row>
    <row r="5883" spans="1:13" s="4" customFormat="1" ht="38.25" x14ac:dyDescent="0.25">
      <c r="A5883" s="4" t="s">
        <v>10030</v>
      </c>
      <c r="B5883" s="4" t="s">
        <v>90</v>
      </c>
      <c r="C5883" s="37" t="s">
        <v>9751</v>
      </c>
      <c r="D5883" s="35">
        <v>7230</v>
      </c>
      <c r="E5883" s="4" t="s">
        <v>10031</v>
      </c>
      <c r="F5883" s="5">
        <v>40233</v>
      </c>
      <c r="G5883" s="5">
        <v>40597</v>
      </c>
      <c r="H5883" s="4" t="s">
        <v>40</v>
      </c>
      <c r="I5883" s="6">
        <v>3913.32</v>
      </c>
      <c r="J5883" s="6">
        <v>1956.66</v>
      </c>
      <c r="K5883" s="37" t="s">
        <v>9751</v>
      </c>
      <c r="L5883" s="120"/>
      <c r="M5883" s="3"/>
    </row>
    <row r="5884" spans="1:13" s="4" customFormat="1" ht="38.25" x14ac:dyDescent="0.25">
      <c r="A5884" s="4" t="s">
        <v>10032</v>
      </c>
      <c r="B5884" s="4" t="s">
        <v>90</v>
      </c>
      <c r="C5884" s="37" t="s">
        <v>9751</v>
      </c>
      <c r="D5884" s="35">
        <v>7231</v>
      </c>
      <c r="E5884" s="4" t="s">
        <v>10033</v>
      </c>
      <c r="F5884" s="5">
        <v>40296</v>
      </c>
      <c r="G5884" s="5">
        <v>40660</v>
      </c>
      <c r="H5884" s="4" t="s">
        <v>40</v>
      </c>
      <c r="I5884" s="6">
        <v>20000</v>
      </c>
      <c r="J5884" s="6">
        <v>10000</v>
      </c>
      <c r="K5884" s="37" t="s">
        <v>9751</v>
      </c>
      <c r="L5884" s="120"/>
      <c r="M5884" s="3"/>
    </row>
    <row r="5885" spans="1:13" s="4" customFormat="1" ht="38.25" x14ac:dyDescent="0.25">
      <c r="A5885" s="4" t="s">
        <v>10034</v>
      </c>
      <c r="B5885" s="4" t="s">
        <v>90</v>
      </c>
      <c r="C5885" s="37" t="s">
        <v>9751</v>
      </c>
      <c r="D5885" s="35">
        <v>7232</v>
      </c>
      <c r="E5885" s="4" t="s">
        <v>10035</v>
      </c>
      <c r="F5885" s="5">
        <v>40114</v>
      </c>
      <c r="G5885" s="5">
        <v>40478</v>
      </c>
      <c r="H5885" s="4" t="s">
        <v>40</v>
      </c>
      <c r="I5885" s="6">
        <v>2960</v>
      </c>
      <c r="J5885" s="6">
        <v>1480</v>
      </c>
      <c r="K5885" s="37" t="s">
        <v>9751</v>
      </c>
      <c r="L5885" s="120"/>
      <c r="M5885" s="3"/>
    </row>
    <row r="5886" spans="1:13" s="4" customFormat="1" ht="51" x14ac:dyDescent="0.25">
      <c r="A5886" s="4" t="s">
        <v>10038</v>
      </c>
      <c r="B5886" s="4" t="s">
        <v>90</v>
      </c>
      <c r="C5886" s="37" t="s">
        <v>9751</v>
      </c>
      <c r="D5886" s="35">
        <v>7234</v>
      </c>
      <c r="E5886" s="4" t="s">
        <v>10039</v>
      </c>
      <c r="F5886" s="5">
        <v>40114</v>
      </c>
      <c r="G5886" s="5">
        <v>40478</v>
      </c>
      <c r="H5886" s="4" t="s">
        <v>40</v>
      </c>
      <c r="I5886" s="6">
        <v>8500</v>
      </c>
      <c r="J5886" s="6">
        <v>4250</v>
      </c>
      <c r="K5886" s="37" t="s">
        <v>9751</v>
      </c>
      <c r="L5886" s="120"/>
      <c r="M5886" s="3"/>
    </row>
    <row r="5887" spans="1:13" s="4" customFormat="1" ht="51" x14ac:dyDescent="0.25">
      <c r="A5887" s="4" t="s">
        <v>10040</v>
      </c>
      <c r="B5887" s="4" t="s">
        <v>183</v>
      </c>
      <c r="C5887" s="37" t="s">
        <v>9751</v>
      </c>
      <c r="D5887" s="35">
        <v>7235</v>
      </c>
      <c r="E5887" s="4" t="s">
        <v>10041</v>
      </c>
      <c r="F5887" s="5">
        <v>40233</v>
      </c>
      <c r="G5887" s="5">
        <v>40597</v>
      </c>
      <c r="H5887" s="4" t="s">
        <v>40</v>
      </c>
      <c r="I5887" s="6">
        <v>7500</v>
      </c>
      <c r="J5887" s="6">
        <v>7500</v>
      </c>
      <c r="K5887" s="37" t="s">
        <v>9751</v>
      </c>
      <c r="L5887" s="120"/>
      <c r="M5887" s="3"/>
    </row>
    <row r="5888" spans="1:13" s="4" customFormat="1" ht="51" x14ac:dyDescent="0.25">
      <c r="A5888" s="4" t="s">
        <v>10042</v>
      </c>
      <c r="B5888" s="4" t="s">
        <v>183</v>
      </c>
      <c r="C5888" s="37" t="s">
        <v>9751</v>
      </c>
      <c r="D5888" s="35">
        <v>7236</v>
      </c>
      <c r="E5888" s="4" t="s">
        <v>10043</v>
      </c>
      <c r="F5888" s="5">
        <v>40233</v>
      </c>
      <c r="G5888" s="5">
        <v>40597</v>
      </c>
      <c r="H5888" s="4" t="s">
        <v>40</v>
      </c>
      <c r="I5888" s="6">
        <v>20000</v>
      </c>
      <c r="J5888" s="6">
        <v>20000</v>
      </c>
      <c r="K5888" s="37" t="s">
        <v>9751</v>
      </c>
      <c r="L5888" s="120"/>
      <c r="M5888" s="3"/>
    </row>
    <row r="5889" spans="1:13" s="4" customFormat="1" ht="102" x14ac:dyDescent="0.25">
      <c r="A5889" s="4" t="s">
        <v>10044</v>
      </c>
      <c r="B5889" s="4" t="s">
        <v>183</v>
      </c>
      <c r="C5889" s="37" t="s">
        <v>9751</v>
      </c>
      <c r="D5889" s="35">
        <v>7237</v>
      </c>
      <c r="E5889" s="7" t="s">
        <v>10045</v>
      </c>
      <c r="F5889" s="5">
        <v>40359</v>
      </c>
      <c r="G5889" s="5">
        <v>40723</v>
      </c>
      <c r="H5889" s="4" t="s">
        <v>40</v>
      </c>
      <c r="I5889" s="6">
        <v>3750</v>
      </c>
      <c r="J5889" s="6">
        <v>3750</v>
      </c>
      <c r="K5889" s="37" t="s">
        <v>9751</v>
      </c>
      <c r="L5889" s="120"/>
      <c r="M5889" s="3"/>
    </row>
    <row r="5890" spans="1:13" s="4" customFormat="1" ht="38.25" x14ac:dyDescent="0.25">
      <c r="A5890" s="4" t="s">
        <v>10046</v>
      </c>
      <c r="B5890" s="4" t="s">
        <v>183</v>
      </c>
      <c r="C5890" s="37" t="s">
        <v>9751</v>
      </c>
      <c r="D5890" s="35">
        <v>7238</v>
      </c>
      <c r="E5890" s="4" t="s">
        <v>10047</v>
      </c>
      <c r="F5890" s="5">
        <v>40233</v>
      </c>
      <c r="G5890" s="5">
        <v>40597</v>
      </c>
      <c r="H5890" s="4" t="s">
        <v>40</v>
      </c>
      <c r="I5890" s="6">
        <v>11250</v>
      </c>
      <c r="J5890" s="6">
        <v>11250</v>
      </c>
      <c r="K5890" s="37" t="s">
        <v>9751</v>
      </c>
      <c r="L5890" s="120"/>
      <c r="M5890" s="3"/>
    </row>
    <row r="5891" spans="1:13" s="4" customFormat="1" ht="76.5" x14ac:dyDescent="0.25">
      <c r="A5891" s="4" t="s">
        <v>10050</v>
      </c>
      <c r="B5891" s="4" t="s">
        <v>50</v>
      </c>
      <c r="C5891" s="37" t="s">
        <v>9751</v>
      </c>
      <c r="D5891" s="35">
        <v>7240</v>
      </c>
      <c r="E5891" s="7" t="s">
        <v>10051</v>
      </c>
      <c r="F5891" s="5">
        <v>40114</v>
      </c>
      <c r="G5891" s="5">
        <v>40478</v>
      </c>
      <c r="H5891" s="4" t="s">
        <v>40</v>
      </c>
      <c r="I5891" s="6">
        <v>9963.34</v>
      </c>
      <c r="J5891" s="6">
        <v>4981.67</v>
      </c>
      <c r="K5891" s="37" t="s">
        <v>9751</v>
      </c>
      <c r="L5891" s="120"/>
      <c r="M5891" s="3"/>
    </row>
    <row r="5892" spans="1:13" s="4" customFormat="1" ht="25.5" x14ac:dyDescent="0.25">
      <c r="A5892" s="4" t="s">
        <v>10054</v>
      </c>
      <c r="B5892" s="4" t="s">
        <v>90</v>
      </c>
      <c r="C5892" s="37" t="s">
        <v>9751</v>
      </c>
      <c r="D5892" s="35">
        <v>7242</v>
      </c>
      <c r="E5892" s="4" t="s">
        <v>10055</v>
      </c>
      <c r="F5892" s="5">
        <v>40296</v>
      </c>
      <c r="G5892" s="5">
        <v>40660</v>
      </c>
      <c r="H5892" s="4" t="s">
        <v>40</v>
      </c>
      <c r="I5892" s="6">
        <v>8901.36</v>
      </c>
      <c r="J5892" s="6">
        <v>4450.68</v>
      </c>
      <c r="K5892" s="37" t="s">
        <v>9751</v>
      </c>
      <c r="L5892" s="120"/>
      <c r="M5892" s="3"/>
    </row>
    <row r="5893" spans="1:13" s="4" customFormat="1" ht="25.5" x14ac:dyDescent="0.25">
      <c r="A5893" s="4" t="s">
        <v>10056</v>
      </c>
      <c r="B5893" s="4" t="s">
        <v>90</v>
      </c>
      <c r="C5893" s="37" t="s">
        <v>9751</v>
      </c>
      <c r="D5893" s="35">
        <v>7243</v>
      </c>
      <c r="E5893" s="4" t="s">
        <v>10057</v>
      </c>
      <c r="F5893" s="5">
        <v>40359</v>
      </c>
      <c r="G5893" s="5">
        <v>40723</v>
      </c>
      <c r="H5893" s="4" t="s">
        <v>40</v>
      </c>
      <c r="I5893" s="6">
        <v>5889.58</v>
      </c>
      <c r="J5893" s="6">
        <v>2944.79</v>
      </c>
      <c r="K5893" s="37" t="s">
        <v>9751</v>
      </c>
      <c r="L5893" s="120"/>
      <c r="M5893" s="3"/>
    </row>
    <row r="5894" spans="1:13" s="4" customFormat="1" ht="89.25" x14ac:dyDescent="0.25">
      <c r="A5894" s="4" t="s">
        <v>10058</v>
      </c>
      <c r="B5894" s="4" t="s">
        <v>183</v>
      </c>
      <c r="C5894" s="37" t="s">
        <v>9751</v>
      </c>
      <c r="D5894" s="35">
        <v>7244</v>
      </c>
      <c r="E5894" s="7" t="s">
        <v>10059</v>
      </c>
      <c r="F5894" s="5">
        <v>40359</v>
      </c>
      <c r="G5894" s="5">
        <v>40723</v>
      </c>
      <c r="H5894" s="4" t="s">
        <v>40</v>
      </c>
      <c r="I5894" s="6">
        <v>62410.8</v>
      </c>
      <c r="J5894" s="6">
        <v>38705.4</v>
      </c>
      <c r="K5894" s="37" t="s">
        <v>9751</v>
      </c>
      <c r="L5894" s="120"/>
      <c r="M5894" s="3"/>
    </row>
    <row r="5895" spans="1:13" s="4" customFormat="1" ht="51" x14ac:dyDescent="0.25">
      <c r="A5895" s="4" t="s">
        <v>10060</v>
      </c>
      <c r="B5895" s="4" t="s">
        <v>183</v>
      </c>
      <c r="C5895" s="37" t="s">
        <v>9751</v>
      </c>
      <c r="D5895" s="35">
        <v>7245</v>
      </c>
      <c r="E5895" s="4" t="s">
        <v>10061</v>
      </c>
      <c r="F5895" s="5">
        <v>40233</v>
      </c>
      <c r="G5895" s="5">
        <v>40597</v>
      </c>
      <c r="H5895" s="4" t="s">
        <v>40</v>
      </c>
      <c r="I5895" s="6">
        <v>24940</v>
      </c>
      <c r="J5895" s="6">
        <v>12470</v>
      </c>
      <c r="K5895" s="37" t="s">
        <v>9751</v>
      </c>
      <c r="L5895" s="120"/>
      <c r="M5895" s="3"/>
    </row>
    <row r="5896" spans="1:13" s="4" customFormat="1" ht="102" x14ac:dyDescent="0.25">
      <c r="A5896" s="4" t="s">
        <v>10064</v>
      </c>
      <c r="B5896" s="4" t="s">
        <v>183</v>
      </c>
      <c r="C5896" s="37" t="s">
        <v>9751</v>
      </c>
      <c r="D5896" s="35">
        <v>7247</v>
      </c>
      <c r="E5896" s="7" t="s">
        <v>10065</v>
      </c>
      <c r="F5896" s="5">
        <v>40492</v>
      </c>
      <c r="G5896" s="5">
        <v>40856</v>
      </c>
      <c r="H5896" s="4" t="s">
        <v>40</v>
      </c>
      <c r="I5896" s="6">
        <v>10000</v>
      </c>
      <c r="J5896" s="6">
        <v>10000</v>
      </c>
      <c r="K5896" s="37" t="s">
        <v>9751</v>
      </c>
      <c r="L5896" s="120"/>
      <c r="M5896" s="3"/>
    </row>
    <row r="5897" spans="1:13" s="4" customFormat="1" ht="63.75" x14ac:dyDescent="0.25">
      <c r="A5897" s="4" t="s">
        <v>10066</v>
      </c>
      <c r="B5897" s="4" t="s">
        <v>183</v>
      </c>
      <c r="C5897" s="37" t="s">
        <v>9751</v>
      </c>
      <c r="D5897" s="35">
        <v>7248</v>
      </c>
      <c r="E5897" s="4" t="s">
        <v>10067</v>
      </c>
      <c r="F5897" s="5">
        <v>40492</v>
      </c>
      <c r="G5897" s="5">
        <v>40856</v>
      </c>
      <c r="H5897" s="4" t="s">
        <v>40</v>
      </c>
      <c r="I5897" s="6">
        <v>52754</v>
      </c>
      <c r="J5897" s="6">
        <v>29754</v>
      </c>
      <c r="K5897" s="37" t="s">
        <v>9751</v>
      </c>
      <c r="L5897" s="120"/>
      <c r="M5897" s="3"/>
    </row>
    <row r="5898" spans="1:13" s="4" customFormat="1" ht="25.5" x14ac:dyDescent="0.25">
      <c r="A5898" s="4" t="s">
        <v>10068</v>
      </c>
      <c r="B5898" s="4" t="s">
        <v>38</v>
      </c>
      <c r="C5898" s="37" t="s">
        <v>9751</v>
      </c>
      <c r="D5898" s="35">
        <v>7249</v>
      </c>
      <c r="E5898" s="4" t="s">
        <v>10069</v>
      </c>
      <c r="F5898" s="5">
        <v>40179</v>
      </c>
      <c r="G5898" s="5">
        <v>41639</v>
      </c>
      <c r="H5898" s="4" t="s">
        <v>40</v>
      </c>
      <c r="I5898" s="6">
        <v>12556.76</v>
      </c>
      <c r="J5898" s="6">
        <v>12556.76</v>
      </c>
      <c r="K5898" s="37" t="s">
        <v>9751</v>
      </c>
      <c r="L5898" s="120"/>
      <c r="M5898" s="3"/>
    </row>
    <row r="5899" spans="1:13" s="4" customFormat="1" ht="25.5" x14ac:dyDescent="0.25">
      <c r="A5899" s="4" t="s">
        <v>10070</v>
      </c>
      <c r="B5899" s="4" t="s">
        <v>38</v>
      </c>
      <c r="C5899" s="37" t="s">
        <v>9751</v>
      </c>
      <c r="D5899" s="35">
        <v>7250</v>
      </c>
      <c r="E5899" s="4" t="s">
        <v>10071</v>
      </c>
      <c r="F5899" s="5">
        <v>40179</v>
      </c>
      <c r="G5899" s="5">
        <v>41639</v>
      </c>
      <c r="H5899" s="4" t="s">
        <v>40</v>
      </c>
      <c r="I5899" s="6">
        <f>12961.63-367.06</f>
        <v>12594.57</v>
      </c>
      <c r="J5899" s="6">
        <f>6996.73+5964.9-367.06</f>
        <v>12594.57</v>
      </c>
      <c r="K5899" s="37" t="s">
        <v>9751</v>
      </c>
      <c r="L5899" s="120"/>
      <c r="M5899" s="3"/>
    </row>
    <row r="5900" spans="1:13" s="4" customFormat="1" ht="25.5" x14ac:dyDescent="0.25">
      <c r="A5900" s="4" t="s">
        <v>10072</v>
      </c>
      <c r="B5900" s="4" t="s">
        <v>38</v>
      </c>
      <c r="C5900" s="37" t="s">
        <v>9751</v>
      </c>
      <c r="D5900" s="35">
        <v>7251</v>
      </c>
      <c r="E5900" s="4" t="s">
        <v>10073</v>
      </c>
      <c r="F5900" s="5">
        <v>40179</v>
      </c>
      <c r="G5900" s="5">
        <v>41639</v>
      </c>
      <c r="H5900" s="4" t="s">
        <v>40</v>
      </c>
      <c r="I5900" s="6">
        <f>16358.81-367.06</f>
        <v>15991.75</v>
      </c>
      <c r="J5900" s="6">
        <f>12875.93+3482.88-367.06</f>
        <v>15991.750000000002</v>
      </c>
      <c r="K5900" s="37" t="s">
        <v>9751</v>
      </c>
      <c r="L5900" s="120"/>
      <c r="M5900" s="3"/>
    </row>
    <row r="5901" spans="1:13" s="4" customFormat="1" ht="25.5" x14ac:dyDescent="0.25">
      <c r="A5901" s="4" t="s">
        <v>6282</v>
      </c>
      <c r="B5901" s="4" t="s">
        <v>38</v>
      </c>
      <c r="C5901" s="37" t="s">
        <v>9751</v>
      </c>
      <c r="D5901" s="35">
        <v>7252</v>
      </c>
      <c r="E5901" s="4" t="s">
        <v>10074</v>
      </c>
      <c r="F5901" s="5">
        <v>40179</v>
      </c>
      <c r="G5901" s="5">
        <v>40908</v>
      </c>
      <c r="H5901" s="4" t="s">
        <v>40</v>
      </c>
      <c r="I5901" s="6">
        <v>2797.88</v>
      </c>
      <c r="J5901" s="6">
        <v>2797.88</v>
      </c>
      <c r="K5901" s="37" t="s">
        <v>9751</v>
      </c>
      <c r="L5901" s="120"/>
      <c r="M5901" s="3"/>
    </row>
    <row r="5902" spans="1:13" s="4" customFormat="1" ht="25.5" x14ac:dyDescent="0.25">
      <c r="A5902" s="4" t="s">
        <v>10075</v>
      </c>
      <c r="B5902" s="4" t="s">
        <v>38</v>
      </c>
      <c r="C5902" s="37" t="s">
        <v>9751</v>
      </c>
      <c r="D5902" s="35">
        <v>7253</v>
      </c>
      <c r="E5902" s="4" t="s">
        <v>10076</v>
      </c>
      <c r="F5902" s="5">
        <v>40179</v>
      </c>
      <c r="G5902" s="5">
        <v>41639</v>
      </c>
      <c r="H5902" s="4" t="s">
        <v>40</v>
      </c>
      <c r="I5902" s="6">
        <f>231.01+440.77+78.75+1980.6</f>
        <v>2731.13</v>
      </c>
      <c r="J5902" s="6">
        <f>2290.36+440.77</f>
        <v>2731.13</v>
      </c>
      <c r="K5902" s="37" t="s">
        <v>9751</v>
      </c>
      <c r="L5902" s="120"/>
      <c r="M5902" s="3"/>
    </row>
    <row r="5903" spans="1:13" s="4" customFormat="1" ht="25.5" x14ac:dyDescent="0.25">
      <c r="A5903" s="4" t="s">
        <v>10077</v>
      </c>
      <c r="B5903" s="4" t="s">
        <v>38</v>
      </c>
      <c r="C5903" s="37" t="s">
        <v>9751</v>
      </c>
      <c r="D5903" s="35">
        <v>7254</v>
      </c>
      <c r="E5903" s="4" t="s">
        <v>10078</v>
      </c>
      <c r="F5903" s="5">
        <v>40179</v>
      </c>
      <c r="G5903" s="5">
        <v>40543</v>
      </c>
      <c r="H5903" s="4" t="s">
        <v>40</v>
      </c>
      <c r="I5903" s="6">
        <v>265.01</v>
      </c>
      <c r="J5903" s="6">
        <v>265.01</v>
      </c>
      <c r="K5903" s="37" t="s">
        <v>9751</v>
      </c>
      <c r="L5903" s="120"/>
      <c r="M5903" s="3"/>
    </row>
    <row r="5904" spans="1:13" s="4" customFormat="1" ht="25.5" x14ac:dyDescent="0.25">
      <c r="A5904" s="4" t="s">
        <v>10079</v>
      </c>
      <c r="B5904" s="4" t="s">
        <v>38</v>
      </c>
      <c r="C5904" s="37" t="s">
        <v>9751</v>
      </c>
      <c r="D5904" s="35">
        <v>8517</v>
      </c>
      <c r="E5904" s="4" t="s">
        <v>10080</v>
      </c>
      <c r="F5904" s="5">
        <v>40544</v>
      </c>
      <c r="G5904" s="5">
        <v>40908</v>
      </c>
      <c r="H5904" s="4" t="s">
        <v>40</v>
      </c>
      <c r="I5904" s="6">
        <v>1080</v>
      </c>
      <c r="J5904" s="6">
        <v>1080</v>
      </c>
      <c r="K5904" s="37" t="s">
        <v>9751</v>
      </c>
      <c r="L5904" s="120"/>
      <c r="M5904" s="3"/>
    </row>
    <row r="5905" spans="1:13" s="4" customFormat="1" ht="25.5" x14ac:dyDescent="0.25">
      <c r="A5905" s="4" t="s">
        <v>10081</v>
      </c>
      <c r="B5905" s="4" t="s">
        <v>38</v>
      </c>
      <c r="C5905" s="37" t="s">
        <v>9751</v>
      </c>
      <c r="D5905" s="35">
        <v>8518</v>
      </c>
      <c r="E5905" s="4" t="s">
        <v>10082</v>
      </c>
      <c r="F5905" s="5">
        <v>40544</v>
      </c>
      <c r="G5905" s="5">
        <v>40908</v>
      </c>
      <c r="H5905" s="4" t="s">
        <v>40</v>
      </c>
      <c r="I5905" s="6">
        <v>1101.25</v>
      </c>
      <c r="J5905" s="6">
        <v>1101.25</v>
      </c>
      <c r="K5905" s="37" t="s">
        <v>9751</v>
      </c>
      <c r="L5905" s="120"/>
      <c r="M5905" s="3"/>
    </row>
    <row r="5906" spans="1:13" s="4" customFormat="1" ht="25.5" x14ac:dyDescent="0.25">
      <c r="A5906" s="4" t="s">
        <v>10083</v>
      </c>
      <c r="B5906" s="4" t="s">
        <v>38</v>
      </c>
      <c r="C5906" s="37" t="s">
        <v>9751</v>
      </c>
      <c r="D5906" s="35">
        <v>8519</v>
      </c>
      <c r="E5906" s="4" t="s">
        <v>10084</v>
      </c>
      <c r="F5906" s="5">
        <v>40544</v>
      </c>
      <c r="G5906" s="5">
        <v>40908</v>
      </c>
      <c r="H5906" s="4" t="s">
        <v>40</v>
      </c>
      <c r="I5906" s="6">
        <v>606</v>
      </c>
      <c r="J5906" s="6">
        <v>606</v>
      </c>
      <c r="K5906" s="37" t="s">
        <v>9751</v>
      </c>
      <c r="L5906" s="120"/>
      <c r="M5906" s="3"/>
    </row>
    <row r="5907" spans="1:13" s="4" customFormat="1" ht="25.5" x14ac:dyDescent="0.25">
      <c r="A5907" s="4" t="s">
        <v>10085</v>
      </c>
      <c r="B5907" s="4" t="s">
        <v>38</v>
      </c>
      <c r="C5907" s="37" t="s">
        <v>9751</v>
      </c>
      <c r="D5907" s="35">
        <v>8520</v>
      </c>
      <c r="E5907" s="4" t="s">
        <v>10086</v>
      </c>
      <c r="F5907" s="5">
        <v>40544</v>
      </c>
      <c r="G5907" s="5">
        <v>40908</v>
      </c>
      <c r="H5907" s="4" t="s">
        <v>40</v>
      </c>
      <c r="I5907" s="6">
        <v>400</v>
      </c>
      <c r="J5907" s="6">
        <v>400</v>
      </c>
      <c r="K5907" s="37" t="s">
        <v>9751</v>
      </c>
      <c r="L5907" s="120"/>
      <c r="M5907" s="3"/>
    </row>
    <row r="5908" spans="1:13" s="4" customFormat="1" ht="89.25" x14ac:dyDescent="0.25">
      <c r="A5908" s="4" t="s">
        <v>10087</v>
      </c>
      <c r="B5908" s="4" t="s">
        <v>190</v>
      </c>
      <c r="C5908" s="37" t="s">
        <v>9751</v>
      </c>
      <c r="D5908" s="35">
        <v>8521</v>
      </c>
      <c r="E5908" s="7" t="s">
        <v>10088</v>
      </c>
      <c r="F5908" s="5">
        <v>40443</v>
      </c>
      <c r="G5908" s="5">
        <v>40808</v>
      </c>
      <c r="H5908" s="4" t="s">
        <v>40</v>
      </c>
      <c r="I5908" s="6">
        <v>7500</v>
      </c>
      <c r="J5908" s="6">
        <v>7500</v>
      </c>
      <c r="K5908" s="37" t="s">
        <v>9751</v>
      </c>
      <c r="L5908" s="120"/>
      <c r="M5908" s="3"/>
    </row>
    <row r="5909" spans="1:13" s="4" customFormat="1" ht="25.5" x14ac:dyDescent="0.25">
      <c r="A5909" s="4" t="s">
        <v>10089</v>
      </c>
      <c r="B5909" s="4" t="s">
        <v>190</v>
      </c>
      <c r="C5909" s="37" t="s">
        <v>9751</v>
      </c>
      <c r="D5909" s="35">
        <v>8522</v>
      </c>
      <c r="E5909" s="4" t="s">
        <v>10090</v>
      </c>
      <c r="F5909" s="5">
        <v>40814</v>
      </c>
      <c r="G5909" s="5">
        <v>41180</v>
      </c>
      <c r="H5909" s="4" t="s">
        <v>40</v>
      </c>
      <c r="I5909" s="6">
        <v>11250</v>
      </c>
      <c r="J5909" s="6">
        <v>11250</v>
      </c>
      <c r="K5909" s="37" t="s">
        <v>9751</v>
      </c>
      <c r="L5909" s="120"/>
      <c r="M5909" s="3"/>
    </row>
    <row r="5910" spans="1:13" s="4" customFormat="1" ht="63.75" x14ac:dyDescent="0.25">
      <c r="A5910" s="4" t="s">
        <v>10091</v>
      </c>
      <c r="B5910" s="4" t="s">
        <v>90</v>
      </c>
      <c r="C5910" s="37" t="s">
        <v>9751</v>
      </c>
      <c r="D5910" s="35">
        <v>8523</v>
      </c>
      <c r="E5910" s="4" t="s">
        <v>10092</v>
      </c>
      <c r="F5910" s="5">
        <v>40359</v>
      </c>
      <c r="G5910" s="5">
        <v>40724</v>
      </c>
      <c r="H5910" s="4" t="s">
        <v>40</v>
      </c>
      <c r="I5910" s="6">
        <v>2600</v>
      </c>
      <c r="J5910" s="6">
        <v>1300</v>
      </c>
      <c r="K5910" s="37" t="s">
        <v>9751</v>
      </c>
      <c r="L5910" s="120"/>
      <c r="M5910" s="3"/>
    </row>
    <row r="5911" spans="1:13" s="4" customFormat="1" ht="51" x14ac:dyDescent="0.25">
      <c r="A5911" s="4" t="s">
        <v>10093</v>
      </c>
      <c r="B5911" s="4" t="s">
        <v>190</v>
      </c>
      <c r="C5911" s="37" t="s">
        <v>9751</v>
      </c>
      <c r="D5911" s="35">
        <v>8524</v>
      </c>
      <c r="E5911" s="4" t="s">
        <v>10094</v>
      </c>
      <c r="F5911" s="5">
        <v>40610</v>
      </c>
      <c r="G5911" s="5">
        <v>40976</v>
      </c>
      <c r="H5911" s="4" t="s">
        <v>40</v>
      </c>
      <c r="I5911" s="6">
        <v>3750</v>
      </c>
      <c r="J5911" s="6">
        <v>3750</v>
      </c>
      <c r="K5911" s="37" t="s">
        <v>9751</v>
      </c>
      <c r="L5911" s="120"/>
      <c r="M5911" s="3"/>
    </row>
    <row r="5912" spans="1:13" s="4" customFormat="1" ht="51" x14ac:dyDescent="0.25">
      <c r="A5912" s="4" t="s">
        <v>10095</v>
      </c>
      <c r="B5912" s="4" t="s">
        <v>190</v>
      </c>
      <c r="C5912" s="37" t="s">
        <v>9751</v>
      </c>
      <c r="D5912" s="35">
        <v>8525</v>
      </c>
      <c r="E5912" s="4" t="s">
        <v>10094</v>
      </c>
      <c r="F5912" s="5">
        <v>40842</v>
      </c>
      <c r="G5912" s="5">
        <v>41239</v>
      </c>
      <c r="H5912" s="4" t="s">
        <v>40</v>
      </c>
      <c r="I5912" s="6">
        <v>18811.04</v>
      </c>
      <c r="J5912" s="6">
        <v>9405.52</v>
      </c>
      <c r="K5912" s="37" t="s">
        <v>9751</v>
      </c>
      <c r="L5912" s="120"/>
      <c r="M5912" s="3"/>
    </row>
    <row r="5913" spans="1:13" s="4" customFormat="1" ht="25.5" x14ac:dyDescent="0.25">
      <c r="A5913" s="4" t="s">
        <v>10098</v>
      </c>
      <c r="B5913" s="4" t="s">
        <v>183</v>
      </c>
      <c r="C5913" s="37" t="s">
        <v>9751</v>
      </c>
      <c r="D5913" s="35">
        <v>8527</v>
      </c>
      <c r="E5913" s="4" t="s">
        <v>10099</v>
      </c>
      <c r="F5913" s="5">
        <v>40842</v>
      </c>
      <c r="G5913" s="5">
        <v>41208</v>
      </c>
      <c r="H5913" s="4" t="s">
        <v>40</v>
      </c>
      <c r="I5913" s="6">
        <v>9018.42</v>
      </c>
      <c r="J5913" s="6">
        <v>4509.21</v>
      </c>
      <c r="K5913" s="37" t="s">
        <v>9751</v>
      </c>
      <c r="L5913" s="120"/>
      <c r="M5913" s="3"/>
    </row>
    <row r="5914" spans="1:13" s="4" customFormat="1" ht="89.25" x14ac:dyDescent="0.25">
      <c r="A5914" s="4" t="s">
        <v>10104</v>
      </c>
      <c r="B5914" s="4" t="s">
        <v>190</v>
      </c>
      <c r="C5914" s="37" t="s">
        <v>9751</v>
      </c>
      <c r="D5914" s="35">
        <v>8530</v>
      </c>
      <c r="E5914" s="7" t="s">
        <v>10105</v>
      </c>
      <c r="F5914" s="5">
        <v>40610</v>
      </c>
      <c r="G5914" s="5">
        <v>40976</v>
      </c>
      <c r="H5914" s="4" t="s">
        <v>40</v>
      </c>
      <c r="I5914" s="6">
        <v>13958.94</v>
      </c>
      <c r="J5914" s="6">
        <v>11979.47</v>
      </c>
      <c r="K5914" s="37" t="s">
        <v>9751</v>
      </c>
      <c r="L5914" s="120"/>
      <c r="M5914" s="3"/>
    </row>
    <row r="5915" spans="1:13" s="4" customFormat="1" ht="89.25" x14ac:dyDescent="0.25">
      <c r="A5915" s="4" t="s">
        <v>10106</v>
      </c>
      <c r="B5915" s="4" t="s">
        <v>183</v>
      </c>
      <c r="C5915" s="37" t="s">
        <v>9751</v>
      </c>
      <c r="D5915" s="35">
        <v>8531</v>
      </c>
      <c r="E5915" s="7" t="s">
        <v>10107</v>
      </c>
      <c r="F5915" s="5">
        <v>40610</v>
      </c>
      <c r="G5915" s="5">
        <v>40976</v>
      </c>
      <c r="H5915" s="4" t="s">
        <v>40</v>
      </c>
      <c r="I5915" s="6">
        <v>43665.440000000002</v>
      </c>
      <c r="J5915" s="6">
        <v>29332.720000000001</v>
      </c>
      <c r="K5915" s="37" t="s">
        <v>9751</v>
      </c>
      <c r="L5915" s="120"/>
      <c r="M5915" s="3"/>
    </row>
    <row r="5916" spans="1:13" s="4" customFormat="1" ht="25.5" x14ac:dyDescent="0.25">
      <c r="A5916" s="4" t="s">
        <v>10108</v>
      </c>
      <c r="B5916" s="4" t="s">
        <v>183</v>
      </c>
      <c r="C5916" s="37" t="s">
        <v>9751</v>
      </c>
      <c r="D5916" s="35">
        <v>8532</v>
      </c>
      <c r="E5916" s="4" t="s">
        <v>10109</v>
      </c>
      <c r="F5916" s="5">
        <v>40443</v>
      </c>
      <c r="G5916" s="5">
        <v>40808</v>
      </c>
      <c r="H5916" s="4" t="s">
        <v>40</v>
      </c>
      <c r="I5916" s="6">
        <v>3750</v>
      </c>
      <c r="J5916" s="6">
        <v>3750</v>
      </c>
      <c r="K5916" s="37" t="s">
        <v>9751</v>
      </c>
      <c r="L5916" s="120"/>
      <c r="M5916" s="3"/>
    </row>
    <row r="5917" spans="1:13" s="4" customFormat="1" ht="127.5" x14ac:dyDescent="0.25">
      <c r="A5917" s="4" t="s">
        <v>10110</v>
      </c>
      <c r="B5917" s="4" t="s">
        <v>183</v>
      </c>
      <c r="C5917" s="37" t="s">
        <v>9751</v>
      </c>
      <c r="D5917" s="35">
        <v>8533</v>
      </c>
      <c r="E5917" s="7" t="s">
        <v>10111</v>
      </c>
      <c r="F5917" s="5">
        <v>40610</v>
      </c>
      <c r="G5917" s="5">
        <v>40976</v>
      </c>
      <c r="H5917" s="4" t="s">
        <v>40</v>
      </c>
      <c r="I5917" s="6">
        <v>15000</v>
      </c>
      <c r="J5917" s="6">
        <v>15000</v>
      </c>
      <c r="K5917" s="37" t="s">
        <v>9751</v>
      </c>
      <c r="L5917" s="120"/>
      <c r="M5917" s="3"/>
    </row>
    <row r="5918" spans="1:13" s="4" customFormat="1" x14ac:dyDescent="0.25">
      <c r="A5918" s="4" t="s">
        <v>10112</v>
      </c>
      <c r="B5918" s="4" t="s">
        <v>183</v>
      </c>
      <c r="C5918" s="37" t="s">
        <v>9751</v>
      </c>
      <c r="D5918" s="35">
        <v>8534</v>
      </c>
      <c r="E5918" s="4" t="s">
        <v>10113</v>
      </c>
      <c r="F5918" s="5">
        <v>40610</v>
      </c>
      <c r="G5918" s="5">
        <v>40976</v>
      </c>
      <c r="H5918" s="4" t="s">
        <v>40</v>
      </c>
      <c r="I5918" s="6">
        <v>10445.620000000001</v>
      </c>
      <c r="J5918" s="6">
        <v>5222.8100000000004</v>
      </c>
      <c r="K5918" s="37" t="s">
        <v>9751</v>
      </c>
      <c r="L5918" s="120"/>
      <c r="M5918" s="3"/>
    </row>
    <row r="5919" spans="1:13" s="4" customFormat="1" ht="89.25" x14ac:dyDescent="0.25">
      <c r="A5919" s="4" t="s">
        <v>10114</v>
      </c>
      <c r="B5919" s="4" t="s">
        <v>190</v>
      </c>
      <c r="C5919" s="37" t="s">
        <v>9751</v>
      </c>
      <c r="D5919" s="35">
        <v>8535</v>
      </c>
      <c r="E5919" s="7" t="s">
        <v>10115</v>
      </c>
      <c r="F5919" s="5">
        <v>40555</v>
      </c>
      <c r="G5919" s="5">
        <v>40920</v>
      </c>
      <c r="H5919" s="4" t="s">
        <v>40</v>
      </c>
      <c r="I5919" s="6">
        <v>120000</v>
      </c>
      <c r="J5919" s="6">
        <v>60000</v>
      </c>
      <c r="K5919" s="37" t="s">
        <v>9751</v>
      </c>
      <c r="L5919" s="120"/>
      <c r="M5919" s="3"/>
    </row>
    <row r="5920" spans="1:13" s="4" customFormat="1" ht="25.5" x14ac:dyDescent="0.25">
      <c r="A5920" s="4" t="s">
        <v>10116</v>
      </c>
      <c r="B5920" s="4" t="s">
        <v>90</v>
      </c>
      <c r="C5920" s="37" t="s">
        <v>9751</v>
      </c>
      <c r="D5920" s="35">
        <v>8536</v>
      </c>
      <c r="E5920" s="4" t="s">
        <v>10117</v>
      </c>
      <c r="F5920" s="5">
        <v>40667</v>
      </c>
      <c r="G5920" s="5">
        <v>41033</v>
      </c>
      <c r="H5920" s="4" t="s">
        <v>40</v>
      </c>
      <c r="I5920" s="6">
        <v>10000</v>
      </c>
      <c r="J5920" s="6">
        <v>5000</v>
      </c>
      <c r="K5920" s="37" t="s">
        <v>9751</v>
      </c>
      <c r="L5920" s="120"/>
      <c r="M5920" s="3"/>
    </row>
    <row r="5921" spans="1:13" s="4" customFormat="1" ht="51" x14ac:dyDescent="0.25">
      <c r="A5921" s="4" t="s">
        <v>10118</v>
      </c>
      <c r="B5921" s="4" t="s">
        <v>90</v>
      </c>
      <c r="C5921" s="37" t="s">
        <v>9751</v>
      </c>
      <c r="D5921" s="35">
        <v>8537</v>
      </c>
      <c r="E5921" s="4" t="s">
        <v>10119</v>
      </c>
      <c r="F5921" s="5">
        <v>40667</v>
      </c>
      <c r="G5921" s="5">
        <v>41033</v>
      </c>
      <c r="H5921" s="4" t="s">
        <v>40</v>
      </c>
      <c r="I5921" s="6">
        <v>29400</v>
      </c>
      <c r="J5921" s="6">
        <v>14700</v>
      </c>
      <c r="K5921" s="37" t="s">
        <v>9751</v>
      </c>
      <c r="L5921" s="120"/>
      <c r="M5921" s="3"/>
    </row>
    <row r="5922" spans="1:13" s="4" customFormat="1" ht="76.5" x14ac:dyDescent="0.25">
      <c r="A5922" s="4" t="s">
        <v>10120</v>
      </c>
      <c r="B5922" s="4" t="s">
        <v>90</v>
      </c>
      <c r="C5922" s="37" t="s">
        <v>9751</v>
      </c>
      <c r="D5922" s="35">
        <v>8538</v>
      </c>
      <c r="E5922" s="4" t="s">
        <v>10121</v>
      </c>
      <c r="F5922" s="5">
        <v>40667</v>
      </c>
      <c r="G5922" s="5">
        <v>41033</v>
      </c>
      <c r="H5922" s="4" t="s">
        <v>40</v>
      </c>
      <c r="I5922" s="6">
        <v>6192.56</v>
      </c>
      <c r="J5922" s="6">
        <v>3096.28</v>
      </c>
      <c r="K5922" s="37" t="s">
        <v>9751</v>
      </c>
      <c r="L5922" s="120"/>
      <c r="M5922" s="3"/>
    </row>
    <row r="5923" spans="1:13" s="4" customFormat="1" ht="25.5" x14ac:dyDescent="0.25">
      <c r="A5923" s="4" t="s">
        <v>10122</v>
      </c>
      <c r="B5923" s="4" t="s">
        <v>190</v>
      </c>
      <c r="C5923" s="37" t="s">
        <v>9751</v>
      </c>
      <c r="D5923" s="35">
        <v>8540</v>
      </c>
      <c r="E5923" s="4" t="s">
        <v>10123</v>
      </c>
      <c r="F5923" s="5">
        <v>40667</v>
      </c>
      <c r="G5923" s="5">
        <v>41033</v>
      </c>
      <c r="H5923" s="4" t="s">
        <v>40</v>
      </c>
      <c r="I5923" s="6">
        <v>33055.339999999997</v>
      </c>
      <c r="J5923" s="6">
        <v>16527.669999999998</v>
      </c>
      <c r="K5923" s="37" t="s">
        <v>9751</v>
      </c>
      <c r="L5923" s="120"/>
      <c r="M5923" s="3"/>
    </row>
    <row r="5924" spans="1:13" s="4" customFormat="1" ht="76.5" x14ac:dyDescent="0.25">
      <c r="A5924" s="4" t="s">
        <v>10124</v>
      </c>
      <c r="B5924" s="4" t="s">
        <v>90</v>
      </c>
      <c r="C5924" s="37" t="s">
        <v>9751</v>
      </c>
      <c r="D5924" s="35">
        <v>8541</v>
      </c>
      <c r="E5924" s="4" t="s">
        <v>10125</v>
      </c>
      <c r="F5924" s="5">
        <v>40667</v>
      </c>
      <c r="G5924" s="5">
        <v>41033</v>
      </c>
      <c r="H5924" s="4" t="s">
        <v>40</v>
      </c>
      <c r="I5924" s="6">
        <v>22800</v>
      </c>
      <c r="J5924" s="6">
        <v>11400</v>
      </c>
      <c r="K5924" s="37" t="s">
        <v>9751</v>
      </c>
      <c r="L5924" s="120"/>
      <c r="M5924" s="3"/>
    </row>
    <row r="5925" spans="1:13" s="4" customFormat="1" ht="51" x14ac:dyDescent="0.25">
      <c r="A5925" s="4" t="s">
        <v>10126</v>
      </c>
      <c r="B5925" s="4" t="s">
        <v>38</v>
      </c>
      <c r="C5925" s="37" t="s">
        <v>9751</v>
      </c>
      <c r="D5925" s="35">
        <v>8552</v>
      </c>
      <c r="E5925" s="4" t="s">
        <v>10127</v>
      </c>
      <c r="F5925" s="5">
        <v>40544</v>
      </c>
      <c r="G5925" s="5">
        <v>41639</v>
      </c>
      <c r="H5925" s="4" t="s">
        <v>40</v>
      </c>
      <c r="I5925" s="6">
        <f>136160.26+61436.86+43242.52</f>
        <v>240839.63999999998</v>
      </c>
      <c r="J5925" s="6">
        <f>89701.39+30718.43</f>
        <v>120419.82</v>
      </c>
      <c r="K5925" s="37" t="s">
        <v>9751</v>
      </c>
      <c r="L5925" s="120"/>
      <c r="M5925" s="3"/>
    </row>
    <row r="5926" spans="1:13" s="4" customFormat="1" ht="38.25" x14ac:dyDescent="0.25">
      <c r="A5926" s="4" t="s">
        <v>10130</v>
      </c>
      <c r="B5926" s="4" t="s">
        <v>183</v>
      </c>
      <c r="C5926" s="37" t="s">
        <v>9751</v>
      </c>
      <c r="D5926" s="35">
        <v>10329</v>
      </c>
      <c r="E5926" s="4" t="s">
        <v>10131</v>
      </c>
      <c r="F5926" s="5">
        <v>40737</v>
      </c>
      <c r="G5926" s="5">
        <v>41102</v>
      </c>
      <c r="H5926" s="4" t="s">
        <v>40</v>
      </c>
      <c r="I5926" s="6">
        <v>50375.360000000001</v>
      </c>
      <c r="J5926" s="6">
        <v>28937.68</v>
      </c>
      <c r="K5926" s="37" t="s">
        <v>9751</v>
      </c>
      <c r="L5926" s="120"/>
      <c r="M5926" s="3"/>
    </row>
    <row r="5927" spans="1:13" s="4" customFormat="1" ht="63.75" x14ac:dyDescent="0.25">
      <c r="A5927" s="4" t="s">
        <v>10132</v>
      </c>
      <c r="B5927" s="4" t="s">
        <v>183</v>
      </c>
      <c r="C5927" s="37" t="s">
        <v>9751</v>
      </c>
      <c r="D5927" s="35">
        <v>10330</v>
      </c>
      <c r="E5927" s="4" t="s">
        <v>10133</v>
      </c>
      <c r="F5927" s="5">
        <v>40961</v>
      </c>
      <c r="G5927" s="5">
        <v>41326</v>
      </c>
      <c r="H5927" s="4" t="s">
        <v>40</v>
      </c>
      <c r="I5927" s="6">
        <v>51191.66</v>
      </c>
      <c r="J5927" s="6">
        <f>29345.83+3750</f>
        <v>33095.83</v>
      </c>
      <c r="K5927" s="37" t="s">
        <v>9751</v>
      </c>
      <c r="L5927" s="120"/>
      <c r="M5927" s="3"/>
    </row>
    <row r="5928" spans="1:13" s="4" customFormat="1" ht="76.5" x14ac:dyDescent="0.25">
      <c r="A5928" s="4" t="s">
        <v>10134</v>
      </c>
      <c r="B5928" s="4" t="s">
        <v>183</v>
      </c>
      <c r="C5928" s="37" t="s">
        <v>9751</v>
      </c>
      <c r="D5928" s="35">
        <v>10331</v>
      </c>
      <c r="E5928" s="4" t="s">
        <v>10135</v>
      </c>
      <c r="F5928" s="5">
        <v>40961</v>
      </c>
      <c r="G5928" s="5">
        <v>41326</v>
      </c>
      <c r="H5928" s="4" t="s">
        <v>40</v>
      </c>
      <c r="I5928" s="6">
        <v>11700</v>
      </c>
      <c r="J5928" s="6">
        <v>9600</v>
      </c>
      <c r="K5928" s="37" t="s">
        <v>9751</v>
      </c>
      <c r="L5928" s="120"/>
      <c r="M5928" s="3"/>
    </row>
    <row r="5929" spans="1:13" s="4" customFormat="1" ht="89.25" x14ac:dyDescent="0.25">
      <c r="A5929" s="4" t="s">
        <v>10136</v>
      </c>
      <c r="B5929" s="4" t="s">
        <v>183</v>
      </c>
      <c r="C5929" s="37" t="s">
        <v>9751</v>
      </c>
      <c r="D5929" s="35">
        <v>10332</v>
      </c>
      <c r="E5929" s="7" t="s">
        <v>10137</v>
      </c>
      <c r="F5929" s="5">
        <v>41087</v>
      </c>
      <c r="G5929" s="5">
        <v>41451</v>
      </c>
      <c r="H5929" s="4" t="s">
        <v>40</v>
      </c>
      <c r="I5929" s="6">
        <f>9875+3750</f>
        <v>13625</v>
      </c>
      <c r="J5929" s="6">
        <f>6812.5+3750</f>
        <v>10562.5</v>
      </c>
      <c r="K5929" s="37" t="s">
        <v>9751</v>
      </c>
      <c r="L5929" s="120"/>
      <c r="M5929" s="3"/>
    </row>
    <row r="5930" spans="1:13" s="4" customFormat="1" ht="38.25" x14ac:dyDescent="0.25">
      <c r="A5930" s="4" t="s">
        <v>10140</v>
      </c>
      <c r="B5930" s="4" t="s">
        <v>190</v>
      </c>
      <c r="C5930" s="37" t="s">
        <v>9751</v>
      </c>
      <c r="D5930" s="35">
        <v>10334</v>
      </c>
      <c r="E5930" s="4" t="s">
        <v>10141</v>
      </c>
      <c r="F5930" s="5">
        <v>41087</v>
      </c>
      <c r="G5930" s="5">
        <v>41451</v>
      </c>
      <c r="H5930" s="4" t="s">
        <v>40</v>
      </c>
      <c r="I5930" s="6">
        <v>45394</v>
      </c>
      <c r="J5930" s="6">
        <f>22697+3750</f>
        <v>26447</v>
      </c>
      <c r="K5930" s="37" t="s">
        <v>9751</v>
      </c>
      <c r="L5930" s="120"/>
      <c r="M5930" s="3"/>
    </row>
    <row r="5931" spans="1:13" s="4" customFormat="1" ht="63.75" x14ac:dyDescent="0.25">
      <c r="A5931" s="4" t="s">
        <v>10142</v>
      </c>
      <c r="B5931" s="4" t="s">
        <v>190</v>
      </c>
      <c r="C5931" s="37" t="s">
        <v>9751</v>
      </c>
      <c r="D5931" s="35">
        <v>10335</v>
      </c>
      <c r="E5931" s="4" t="s">
        <v>10143</v>
      </c>
      <c r="F5931" s="5">
        <v>40961</v>
      </c>
      <c r="G5931" s="5">
        <v>41326</v>
      </c>
      <c r="H5931" s="4" t="s">
        <v>40</v>
      </c>
      <c r="I5931" s="6">
        <v>20900</v>
      </c>
      <c r="J5931" s="6">
        <f>10450+5500</f>
        <v>15950</v>
      </c>
      <c r="K5931" s="37" t="s">
        <v>9751</v>
      </c>
      <c r="L5931" s="120"/>
      <c r="M5931" s="3"/>
    </row>
    <row r="5932" spans="1:13" s="4" customFormat="1" ht="51" x14ac:dyDescent="0.25">
      <c r="A5932" s="4" t="s">
        <v>10148</v>
      </c>
      <c r="B5932" s="4" t="s">
        <v>183</v>
      </c>
      <c r="C5932" s="37" t="s">
        <v>9751</v>
      </c>
      <c r="D5932" s="35">
        <v>10338</v>
      </c>
      <c r="E5932" s="4" t="s">
        <v>10149</v>
      </c>
      <c r="F5932" s="5">
        <v>41087</v>
      </c>
      <c r="G5932" s="5">
        <v>41451</v>
      </c>
      <c r="H5932" s="4" t="s">
        <v>40</v>
      </c>
      <c r="I5932" s="6">
        <v>16654.240000000002</v>
      </c>
      <c r="J5932" s="6">
        <v>12077.12</v>
      </c>
      <c r="K5932" s="37" t="s">
        <v>9751</v>
      </c>
      <c r="L5932" s="120"/>
      <c r="M5932" s="3"/>
    </row>
    <row r="5933" spans="1:13" s="4" customFormat="1" ht="25.5" x14ac:dyDescent="0.25">
      <c r="A5933" s="4" t="s">
        <v>10150</v>
      </c>
      <c r="B5933" s="4" t="s">
        <v>190</v>
      </c>
      <c r="C5933" s="37" t="s">
        <v>9751</v>
      </c>
      <c r="D5933" s="35">
        <v>10339</v>
      </c>
      <c r="E5933" s="4" t="s">
        <v>10151</v>
      </c>
      <c r="F5933" s="5">
        <v>40961</v>
      </c>
      <c r="G5933" s="5">
        <v>41326</v>
      </c>
      <c r="H5933" s="4" t="s">
        <v>40</v>
      </c>
      <c r="I5933" s="6">
        <v>18375</v>
      </c>
      <c r="J5933" s="6">
        <f>9187.5+3750</f>
        <v>12937.5</v>
      </c>
      <c r="K5933" s="37" t="s">
        <v>9751</v>
      </c>
      <c r="L5933" s="120"/>
      <c r="M5933" s="3"/>
    </row>
    <row r="5934" spans="1:13" s="4" customFormat="1" ht="25.5" x14ac:dyDescent="0.25">
      <c r="A5934" s="4" t="s">
        <v>10152</v>
      </c>
      <c r="B5934" s="4" t="s">
        <v>90</v>
      </c>
      <c r="C5934" s="37" t="s">
        <v>9751</v>
      </c>
      <c r="D5934" s="35">
        <v>10340</v>
      </c>
      <c r="E5934" s="4" t="s">
        <v>10153</v>
      </c>
      <c r="F5934" s="5">
        <v>40961</v>
      </c>
      <c r="G5934" s="5">
        <v>41326</v>
      </c>
      <c r="H5934" s="4" t="s">
        <v>40</v>
      </c>
      <c r="I5934" s="6">
        <v>10000</v>
      </c>
      <c r="J5934" s="6">
        <v>5000</v>
      </c>
      <c r="K5934" s="37" t="s">
        <v>9751</v>
      </c>
      <c r="L5934" s="120"/>
      <c r="M5934" s="3"/>
    </row>
    <row r="5935" spans="1:13" s="4" customFormat="1" x14ac:dyDescent="0.25">
      <c r="A5935" s="4" t="s">
        <v>10154</v>
      </c>
      <c r="B5935" s="4" t="s">
        <v>183</v>
      </c>
      <c r="C5935" s="37" t="s">
        <v>9751</v>
      </c>
      <c r="D5935" s="35">
        <v>10341</v>
      </c>
      <c r="E5935" s="4" t="s">
        <v>10155</v>
      </c>
      <c r="F5935" s="5">
        <v>41157</v>
      </c>
      <c r="G5935" s="5">
        <v>41521</v>
      </c>
      <c r="H5935" s="4" t="s">
        <v>40</v>
      </c>
      <c r="I5935" s="6">
        <v>26090.98</v>
      </c>
      <c r="J5935" s="6">
        <v>20545.490000000002</v>
      </c>
      <c r="K5935" s="37" t="s">
        <v>9751</v>
      </c>
      <c r="L5935" s="120"/>
      <c r="M5935" s="3"/>
    </row>
    <row r="5936" spans="1:13" s="4" customFormat="1" ht="102" x14ac:dyDescent="0.25">
      <c r="A5936" s="4" t="s">
        <v>10156</v>
      </c>
      <c r="B5936" s="4" t="s">
        <v>183</v>
      </c>
      <c r="C5936" s="37" t="s">
        <v>9751</v>
      </c>
      <c r="D5936" s="35">
        <v>10342</v>
      </c>
      <c r="E5936" s="7" t="s">
        <v>10157</v>
      </c>
      <c r="F5936" s="5">
        <v>41157</v>
      </c>
      <c r="G5936" s="5">
        <v>41521</v>
      </c>
      <c r="H5936" s="4" t="s">
        <v>40</v>
      </c>
      <c r="I5936" s="6">
        <v>15000</v>
      </c>
      <c r="J5936" s="6">
        <f>7500+7500</f>
        <v>15000</v>
      </c>
      <c r="K5936" s="37" t="s">
        <v>9751</v>
      </c>
      <c r="L5936" s="120"/>
      <c r="M5936" s="3"/>
    </row>
    <row r="5937" spans="1:13" s="4" customFormat="1" ht="25.5" x14ac:dyDescent="0.25">
      <c r="A5937" s="4" t="s">
        <v>10160</v>
      </c>
      <c r="B5937" s="4" t="s">
        <v>190</v>
      </c>
      <c r="C5937" s="37" t="s">
        <v>9751</v>
      </c>
      <c r="D5937" s="35">
        <v>10344</v>
      </c>
      <c r="E5937" s="4" t="s">
        <v>10161</v>
      </c>
      <c r="F5937" s="5">
        <v>41087</v>
      </c>
      <c r="G5937" s="5">
        <v>41451</v>
      </c>
      <c r="H5937" s="4" t="s">
        <v>40</v>
      </c>
      <c r="I5937" s="6">
        <v>16697.64</v>
      </c>
      <c r="J5937" s="6">
        <f>8348.82+3750</f>
        <v>12098.82</v>
      </c>
      <c r="K5937" s="37" t="s">
        <v>9751</v>
      </c>
      <c r="L5937" s="120"/>
      <c r="M5937" s="3"/>
    </row>
    <row r="5938" spans="1:13" s="4" customFormat="1" ht="89.25" x14ac:dyDescent="0.25">
      <c r="A5938" s="4" t="s">
        <v>10162</v>
      </c>
      <c r="B5938" s="4" t="s">
        <v>190</v>
      </c>
      <c r="C5938" s="37" t="s">
        <v>9751</v>
      </c>
      <c r="D5938" s="35">
        <v>10345</v>
      </c>
      <c r="E5938" s="7" t="s">
        <v>10163</v>
      </c>
      <c r="F5938" s="5">
        <v>41024</v>
      </c>
      <c r="G5938" s="5">
        <v>41388</v>
      </c>
      <c r="H5938" s="4" t="s">
        <v>40</v>
      </c>
      <c r="I5938" s="6">
        <v>12446.18</v>
      </c>
      <c r="J5938" s="6">
        <f>6223.09+3750</f>
        <v>9973.09</v>
      </c>
      <c r="K5938" s="37" t="s">
        <v>9751</v>
      </c>
      <c r="L5938" s="120"/>
      <c r="M5938" s="3"/>
    </row>
    <row r="5939" spans="1:13" s="4" customFormat="1" ht="76.5" x14ac:dyDescent="0.25">
      <c r="A5939" s="4" t="s">
        <v>10164</v>
      </c>
      <c r="B5939" s="4" t="s">
        <v>90</v>
      </c>
      <c r="C5939" s="37" t="s">
        <v>9751</v>
      </c>
      <c r="D5939" s="35">
        <v>10346</v>
      </c>
      <c r="E5939" s="4" t="s">
        <v>10165</v>
      </c>
      <c r="F5939" s="5">
        <v>41087</v>
      </c>
      <c r="G5939" s="5">
        <v>41451</v>
      </c>
      <c r="H5939" s="4" t="s">
        <v>40</v>
      </c>
      <c r="I5939" s="6">
        <v>10220</v>
      </c>
      <c r="J5939" s="6">
        <v>5110</v>
      </c>
      <c r="K5939" s="37" t="s">
        <v>9751</v>
      </c>
      <c r="L5939" s="120"/>
      <c r="M5939" s="3"/>
    </row>
    <row r="5940" spans="1:13" s="4" customFormat="1" ht="76.5" x14ac:dyDescent="0.25">
      <c r="A5940" s="4" t="s">
        <v>10166</v>
      </c>
      <c r="B5940" s="4" t="s">
        <v>183</v>
      </c>
      <c r="C5940" s="37" t="s">
        <v>9751</v>
      </c>
      <c r="D5940" s="35">
        <v>10347</v>
      </c>
      <c r="E5940" s="7" t="s">
        <v>10167</v>
      </c>
      <c r="F5940" s="5">
        <v>41024</v>
      </c>
      <c r="G5940" s="5">
        <v>41388</v>
      </c>
      <c r="H5940" s="4" t="s">
        <v>40</v>
      </c>
      <c r="I5940" s="6">
        <v>28589.4</v>
      </c>
      <c r="J5940" s="6">
        <f>14294.7+9375</f>
        <v>23669.7</v>
      </c>
      <c r="K5940" s="37" t="s">
        <v>9751</v>
      </c>
      <c r="L5940" s="120"/>
      <c r="M5940" s="3"/>
    </row>
    <row r="5941" spans="1:13" s="4" customFormat="1" ht="63.75" x14ac:dyDescent="0.25">
      <c r="A5941" s="4" t="s">
        <v>10168</v>
      </c>
      <c r="B5941" s="4" t="s">
        <v>190</v>
      </c>
      <c r="C5941" s="37" t="s">
        <v>9751</v>
      </c>
      <c r="D5941" s="35">
        <v>10349</v>
      </c>
      <c r="E5941" s="7" t="s">
        <v>10169</v>
      </c>
      <c r="F5941" s="5">
        <v>41087</v>
      </c>
      <c r="G5941" s="5">
        <v>41451</v>
      </c>
      <c r="H5941" s="4" t="s">
        <v>40</v>
      </c>
      <c r="I5941" s="6">
        <v>19918.62</v>
      </c>
      <c r="J5941" s="6">
        <f>5430+6404.31</f>
        <v>11834.310000000001</v>
      </c>
      <c r="K5941" s="37" t="s">
        <v>9751</v>
      </c>
      <c r="L5941" s="120"/>
      <c r="M5941" s="3"/>
    </row>
    <row r="5942" spans="1:13" s="4" customFormat="1" ht="51" x14ac:dyDescent="0.25">
      <c r="A5942" s="4" t="s">
        <v>10170</v>
      </c>
      <c r="B5942" s="4" t="s">
        <v>190</v>
      </c>
      <c r="C5942" s="37" t="s">
        <v>9751</v>
      </c>
      <c r="D5942" s="35">
        <v>10350</v>
      </c>
      <c r="E5942" s="4" t="s">
        <v>10171</v>
      </c>
      <c r="F5942" s="5">
        <v>41157</v>
      </c>
      <c r="G5942" s="5">
        <v>41521</v>
      </c>
      <c r="H5942" s="4" t="s">
        <v>40</v>
      </c>
      <c r="I5942" s="6">
        <v>27505</v>
      </c>
      <c r="J5942" s="6">
        <f>5625+10940</f>
        <v>16565</v>
      </c>
      <c r="K5942" s="37" t="s">
        <v>9751</v>
      </c>
      <c r="L5942" s="120"/>
      <c r="M5942" s="3"/>
    </row>
    <row r="5943" spans="1:13" s="4" customFormat="1" ht="51" x14ac:dyDescent="0.25">
      <c r="A5943" s="4" t="s">
        <v>10172</v>
      </c>
      <c r="B5943" s="4" t="s">
        <v>190</v>
      </c>
      <c r="C5943" s="37" t="s">
        <v>9751</v>
      </c>
      <c r="D5943" s="35">
        <v>10351</v>
      </c>
      <c r="E5943" s="4" t="s">
        <v>10173</v>
      </c>
      <c r="F5943" s="5">
        <v>41087</v>
      </c>
      <c r="G5943" s="5">
        <v>41451</v>
      </c>
      <c r="H5943" s="4" t="s">
        <v>40</v>
      </c>
      <c r="I5943" s="6">
        <v>1335</v>
      </c>
      <c r="J5943" s="6">
        <v>667.5</v>
      </c>
      <c r="K5943" s="37" t="s">
        <v>9751</v>
      </c>
      <c r="L5943" s="120"/>
      <c r="M5943" s="3"/>
    </row>
    <row r="5944" spans="1:13" s="4" customFormat="1" ht="51" x14ac:dyDescent="0.25">
      <c r="A5944" s="4" t="s">
        <v>10174</v>
      </c>
      <c r="B5944" s="4" t="s">
        <v>90</v>
      </c>
      <c r="C5944" s="37" t="s">
        <v>9751</v>
      </c>
      <c r="D5944" s="35">
        <v>10352</v>
      </c>
      <c r="E5944" s="4" t="s">
        <v>10175</v>
      </c>
      <c r="F5944" s="5">
        <v>41024</v>
      </c>
      <c r="G5944" s="5">
        <v>41388</v>
      </c>
      <c r="H5944" s="4" t="s">
        <v>40</v>
      </c>
      <c r="I5944" s="6">
        <v>9655.6</v>
      </c>
      <c r="J5944" s="6">
        <v>4827.8</v>
      </c>
      <c r="K5944" s="37" t="s">
        <v>9751</v>
      </c>
      <c r="L5944" s="120"/>
      <c r="M5944" s="3"/>
    </row>
    <row r="5945" spans="1:13" s="4" customFormat="1" ht="38.25" x14ac:dyDescent="0.25">
      <c r="A5945" s="4" t="s">
        <v>10176</v>
      </c>
      <c r="B5945" s="4" t="s">
        <v>190</v>
      </c>
      <c r="C5945" s="37" t="s">
        <v>9751</v>
      </c>
      <c r="D5945" s="35">
        <v>10353</v>
      </c>
      <c r="E5945" s="4" t="s">
        <v>10177</v>
      </c>
      <c r="F5945" s="5">
        <v>41227</v>
      </c>
      <c r="G5945" s="5">
        <v>41591</v>
      </c>
      <c r="H5945" s="4" t="s">
        <v>40</v>
      </c>
      <c r="I5945" s="6">
        <v>15000</v>
      </c>
      <c r="J5945" s="6">
        <v>15000</v>
      </c>
      <c r="K5945" s="37" t="s">
        <v>9751</v>
      </c>
      <c r="L5945" s="120"/>
      <c r="M5945" s="3"/>
    </row>
    <row r="5946" spans="1:13" s="4" customFormat="1" ht="25.5" x14ac:dyDescent="0.25">
      <c r="A5946" s="4" t="s">
        <v>10180</v>
      </c>
      <c r="B5946" s="4" t="s">
        <v>190</v>
      </c>
      <c r="C5946" s="37" t="s">
        <v>9751</v>
      </c>
      <c r="D5946" s="35">
        <v>10355</v>
      </c>
      <c r="E5946" s="4" t="s">
        <v>10181</v>
      </c>
      <c r="F5946" s="5">
        <v>41255</v>
      </c>
      <c r="G5946" s="5">
        <v>41619</v>
      </c>
      <c r="H5946" s="4" t="s">
        <v>40</v>
      </c>
      <c r="I5946" s="6">
        <v>11750</v>
      </c>
      <c r="J5946" s="6">
        <v>11750</v>
      </c>
      <c r="K5946" s="37" t="s">
        <v>9751</v>
      </c>
      <c r="L5946" s="120"/>
      <c r="M5946" s="3"/>
    </row>
    <row r="5947" spans="1:13" s="4" customFormat="1" ht="25.5" x14ac:dyDescent="0.25">
      <c r="A5947" s="4" t="s">
        <v>10182</v>
      </c>
      <c r="B5947" s="4" t="s">
        <v>38</v>
      </c>
      <c r="C5947" s="37" t="s">
        <v>9751</v>
      </c>
      <c r="D5947" s="35">
        <v>10358</v>
      </c>
      <c r="E5947" s="4" t="s">
        <v>10183</v>
      </c>
      <c r="F5947" s="5">
        <v>40909</v>
      </c>
      <c r="G5947" s="5">
        <v>41274</v>
      </c>
      <c r="H5947" s="4" t="s">
        <v>40</v>
      </c>
      <c r="I5947" s="6">
        <v>250.44</v>
      </c>
      <c r="J5947" s="6">
        <v>250.42</v>
      </c>
      <c r="K5947" s="37" t="s">
        <v>9751</v>
      </c>
      <c r="L5947" s="120"/>
      <c r="M5947" s="3"/>
    </row>
    <row r="5948" spans="1:13" s="4" customFormat="1" ht="25.5" x14ac:dyDescent="0.25">
      <c r="A5948" s="4" t="s">
        <v>10184</v>
      </c>
      <c r="B5948" s="4" t="s">
        <v>38</v>
      </c>
      <c r="C5948" s="37" t="s">
        <v>9751</v>
      </c>
      <c r="D5948" s="35">
        <v>10394</v>
      </c>
      <c r="E5948" s="4" t="s">
        <v>10185</v>
      </c>
      <c r="F5948" s="5">
        <v>40909</v>
      </c>
      <c r="G5948" s="5">
        <v>41639</v>
      </c>
      <c r="H5948" s="4" t="s">
        <v>40</v>
      </c>
      <c r="I5948" s="6">
        <v>752.5</v>
      </c>
      <c r="J5948" s="6">
        <v>752.5</v>
      </c>
      <c r="K5948" s="37" t="s">
        <v>9751</v>
      </c>
      <c r="L5948" s="120"/>
      <c r="M5948" s="3"/>
    </row>
    <row r="5949" spans="1:13" s="4" customFormat="1" ht="25.5" x14ac:dyDescent="0.25">
      <c r="A5949" s="4" t="s">
        <v>10186</v>
      </c>
      <c r="B5949" s="4" t="s">
        <v>38</v>
      </c>
      <c r="C5949" s="37" t="s">
        <v>9751</v>
      </c>
      <c r="D5949" s="35">
        <v>10395</v>
      </c>
      <c r="E5949" s="4" t="s">
        <v>10187</v>
      </c>
      <c r="F5949" s="5">
        <v>40909</v>
      </c>
      <c r="G5949" s="5">
        <v>40939</v>
      </c>
      <c r="H5949" s="4" t="s">
        <v>40</v>
      </c>
      <c r="I5949" s="6">
        <v>410</v>
      </c>
      <c r="J5949" s="6">
        <v>410</v>
      </c>
      <c r="K5949" s="37" t="s">
        <v>9751</v>
      </c>
      <c r="L5949" s="120"/>
      <c r="M5949" s="3"/>
    </row>
    <row r="5950" spans="1:13" s="4" customFormat="1" ht="38.25" x14ac:dyDescent="0.25">
      <c r="A5950" s="4" t="s">
        <v>10188</v>
      </c>
      <c r="B5950" s="4" t="s">
        <v>38</v>
      </c>
      <c r="C5950" s="37" t="s">
        <v>9751</v>
      </c>
      <c r="D5950" s="35">
        <v>10396</v>
      </c>
      <c r="E5950" s="4" t="s">
        <v>10189</v>
      </c>
      <c r="F5950" s="5">
        <v>40909</v>
      </c>
      <c r="G5950" s="5">
        <v>41274</v>
      </c>
      <c r="H5950" s="4" t="s">
        <v>40</v>
      </c>
      <c r="I5950" s="6">
        <v>1261.93</v>
      </c>
      <c r="J5950" s="6">
        <v>1261.93</v>
      </c>
      <c r="K5950" s="37" t="s">
        <v>9751</v>
      </c>
      <c r="L5950" s="120"/>
      <c r="M5950" s="3"/>
    </row>
    <row r="5951" spans="1:13" x14ac:dyDescent="0.25">
      <c r="A5951" s="13" t="s">
        <v>11326</v>
      </c>
      <c r="B5951" s="13" t="s">
        <v>10195</v>
      </c>
      <c r="C5951" s="20" t="s">
        <v>9751</v>
      </c>
      <c r="D5951" s="19">
        <v>12481</v>
      </c>
      <c r="E5951" s="13" t="s">
        <v>11327</v>
      </c>
      <c r="F5951" s="14">
        <v>41227</v>
      </c>
      <c r="G5951" s="14">
        <v>41592</v>
      </c>
      <c r="H5951" s="13" t="s">
        <v>651</v>
      </c>
      <c r="I5951" s="18">
        <v>38629.96</v>
      </c>
      <c r="J5951" s="18">
        <v>24939.98</v>
      </c>
      <c r="K5951" s="20" t="s">
        <v>9751</v>
      </c>
    </row>
    <row r="5952" spans="1:13" ht="63.75" x14ac:dyDescent="0.25">
      <c r="A5952" s="13" t="s">
        <v>11330</v>
      </c>
      <c r="B5952" s="13" t="s">
        <v>10192</v>
      </c>
      <c r="C5952" s="20" t="s">
        <v>9751</v>
      </c>
      <c r="D5952" s="19">
        <v>12502</v>
      </c>
      <c r="E5952" s="13" t="s">
        <v>11331</v>
      </c>
      <c r="F5952" s="14">
        <v>41255</v>
      </c>
      <c r="G5952" s="14">
        <v>41619</v>
      </c>
      <c r="H5952" s="13" t="s">
        <v>651</v>
      </c>
      <c r="I5952" s="18">
        <v>7500</v>
      </c>
      <c r="J5952" s="18">
        <v>7500</v>
      </c>
      <c r="K5952" s="20" t="s">
        <v>9751</v>
      </c>
    </row>
    <row r="5953" spans="1:11" x14ac:dyDescent="0.25">
      <c r="A5953" s="13" t="s">
        <v>11332</v>
      </c>
      <c r="B5953" s="13" t="s">
        <v>10220</v>
      </c>
      <c r="C5953" s="20" t="s">
        <v>9751</v>
      </c>
      <c r="D5953" s="19">
        <v>12503</v>
      </c>
      <c r="E5953" s="13" t="s">
        <v>11333</v>
      </c>
      <c r="F5953" s="14">
        <v>41157</v>
      </c>
      <c r="G5953" s="14">
        <v>41521</v>
      </c>
      <c r="H5953" s="13" t="s">
        <v>651</v>
      </c>
      <c r="I5953" s="18">
        <v>8000</v>
      </c>
      <c r="J5953" s="18">
        <v>4000</v>
      </c>
      <c r="K5953" s="20" t="s">
        <v>9751</v>
      </c>
    </row>
    <row r="5954" spans="1:11" ht="25.5" x14ac:dyDescent="0.25">
      <c r="A5954" s="13" t="s">
        <v>11334</v>
      </c>
      <c r="B5954" s="13" t="s">
        <v>10192</v>
      </c>
      <c r="C5954" s="20" t="s">
        <v>9751</v>
      </c>
      <c r="D5954" s="19">
        <v>12504</v>
      </c>
      <c r="E5954" s="13" t="s">
        <v>11335</v>
      </c>
      <c r="F5954" s="14">
        <v>41332</v>
      </c>
      <c r="G5954" s="14">
        <v>41696</v>
      </c>
      <c r="H5954" s="13" t="s">
        <v>651</v>
      </c>
      <c r="I5954" s="18">
        <v>12564.68</v>
      </c>
      <c r="J5954" s="18">
        <v>10032.34</v>
      </c>
      <c r="K5954" s="20" t="s">
        <v>9751</v>
      </c>
    </row>
    <row r="5955" spans="1:11" ht="102" x14ac:dyDescent="0.25">
      <c r="A5955" s="13" t="s">
        <v>11336</v>
      </c>
      <c r="B5955" s="13" t="s">
        <v>10195</v>
      </c>
      <c r="C5955" s="20" t="s">
        <v>9751</v>
      </c>
      <c r="D5955" s="19">
        <v>12505</v>
      </c>
      <c r="E5955" s="13" t="s">
        <v>11337</v>
      </c>
      <c r="F5955" s="14">
        <v>41521</v>
      </c>
      <c r="G5955" s="14">
        <v>41885</v>
      </c>
      <c r="H5955" s="13" t="s">
        <v>651</v>
      </c>
      <c r="I5955" s="18">
        <v>19016.419999999998</v>
      </c>
      <c r="J5955" s="18">
        <v>12320.71</v>
      </c>
      <c r="K5955" s="20" t="s">
        <v>9751</v>
      </c>
    </row>
    <row r="5956" spans="1:11" ht="102" x14ac:dyDescent="0.25">
      <c r="A5956" s="13" t="s">
        <v>11338</v>
      </c>
      <c r="B5956" s="13" t="s">
        <v>10192</v>
      </c>
      <c r="C5956" s="20" t="s">
        <v>9751</v>
      </c>
      <c r="D5956" s="19">
        <v>12506</v>
      </c>
      <c r="E5956" s="13" t="s">
        <v>11339</v>
      </c>
      <c r="F5956" s="14">
        <v>41332</v>
      </c>
      <c r="G5956" s="14">
        <v>41696</v>
      </c>
      <c r="H5956" s="13" t="s">
        <v>651</v>
      </c>
      <c r="I5956" s="18">
        <v>38123</v>
      </c>
      <c r="J5956" s="18">
        <v>30311.5</v>
      </c>
      <c r="K5956" s="20" t="s">
        <v>9751</v>
      </c>
    </row>
    <row r="5957" spans="1:11" ht="63.75" x14ac:dyDescent="0.25">
      <c r="A5957" s="13" t="s">
        <v>11340</v>
      </c>
      <c r="B5957" s="13" t="s">
        <v>10192</v>
      </c>
      <c r="C5957" s="20" t="s">
        <v>9751</v>
      </c>
      <c r="D5957" s="19">
        <v>12507</v>
      </c>
      <c r="E5957" s="13" t="s">
        <v>11341</v>
      </c>
      <c r="F5957" s="14">
        <v>41332</v>
      </c>
      <c r="G5957" s="14">
        <v>41696</v>
      </c>
      <c r="H5957" s="13" t="s">
        <v>651</v>
      </c>
      <c r="I5957" s="18">
        <v>22901.919999999998</v>
      </c>
      <c r="J5957" s="18">
        <v>18950.96</v>
      </c>
      <c r="K5957" s="20" t="s">
        <v>9751</v>
      </c>
    </row>
    <row r="5958" spans="1:11" ht="63.75" x14ac:dyDescent="0.25">
      <c r="A5958" s="13" t="s">
        <v>11342</v>
      </c>
      <c r="B5958" s="13" t="s">
        <v>10192</v>
      </c>
      <c r="C5958" s="20" t="s">
        <v>9751</v>
      </c>
      <c r="D5958" s="19">
        <v>12521</v>
      </c>
      <c r="E5958" s="13" t="s">
        <v>11343</v>
      </c>
      <c r="F5958" s="14">
        <v>41332</v>
      </c>
      <c r="G5958" s="14">
        <v>41696</v>
      </c>
      <c r="H5958" s="13" t="s">
        <v>651</v>
      </c>
      <c r="I5958" s="18">
        <v>49550</v>
      </c>
      <c r="J5958" s="18">
        <v>26650</v>
      </c>
      <c r="K5958" s="20" t="s">
        <v>9751</v>
      </c>
    </row>
    <row r="5959" spans="1:11" ht="51" x14ac:dyDescent="0.25">
      <c r="A5959" s="13" t="s">
        <v>11344</v>
      </c>
      <c r="B5959" s="13" t="s">
        <v>10192</v>
      </c>
      <c r="C5959" s="20" t="s">
        <v>9751</v>
      </c>
      <c r="D5959" s="19">
        <v>12522</v>
      </c>
      <c r="E5959" s="13" t="s">
        <v>11345</v>
      </c>
      <c r="F5959" s="14">
        <v>41332</v>
      </c>
      <c r="G5959" s="14">
        <v>41696</v>
      </c>
      <c r="H5959" s="13" t="s">
        <v>651</v>
      </c>
      <c r="I5959" s="18">
        <v>16048</v>
      </c>
      <c r="J5959" s="18">
        <v>11774</v>
      </c>
      <c r="K5959" s="20" t="s">
        <v>9751</v>
      </c>
    </row>
    <row r="5960" spans="1:11" ht="63.75" x14ac:dyDescent="0.25">
      <c r="A5960" s="13" t="s">
        <v>11348</v>
      </c>
      <c r="B5960" s="13" t="s">
        <v>10192</v>
      </c>
      <c r="C5960" s="20" t="s">
        <v>9751</v>
      </c>
      <c r="D5960" s="19">
        <v>12524</v>
      </c>
      <c r="E5960" s="13" t="s">
        <v>11349</v>
      </c>
      <c r="F5960" s="14">
        <v>41443</v>
      </c>
      <c r="G5960" s="14">
        <v>41807</v>
      </c>
      <c r="H5960" s="13" t="s">
        <v>651</v>
      </c>
      <c r="I5960" s="18">
        <v>16562.740000000002</v>
      </c>
      <c r="J5960" s="18">
        <v>12031.37</v>
      </c>
      <c r="K5960" s="20" t="s">
        <v>9751</v>
      </c>
    </row>
    <row r="5961" spans="1:11" x14ac:dyDescent="0.25">
      <c r="A5961" s="13" t="s">
        <v>11350</v>
      </c>
      <c r="B5961" s="13" t="s">
        <v>10220</v>
      </c>
      <c r="C5961" s="20" t="s">
        <v>9751</v>
      </c>
      <c r="D5961" s="19">
        <v>12525</v>
      </c>
      <c r="E5961" s="13" t="s">
        <v>11351</v>
      </c>
      <c r="F5961" s="14">
        <v>41087</v>
      </c>
      <c r="G5961" s="14">
        <v>41451</v>
      </c>
      <c r="H5961" s="13" t="s">
        <v>651</v>
      </c>
      <c r="I5961" s="18">
        <v>21080.62</v>
      </c>
      <c r="J5961" s="18">
        <v>10540.31</v>
      </c>
      <c r="K5961" s="20" t="s">
        <v>9751</v>
      </c>
    </row>
    <row r="5962" spans="1:11" x14ac:dyDescent="0.25">
      <c r="A5962" s="13" t="s">
        <v>11352</v>
      </c>
      <c r="B5962" s="13" t="s">
        <v>10192</v>
      </c>
      <c r="C5962" s="20" t="s">
        <v>9751</v>
      </c>
      <c r="D5962" s="19">
        <v>12526</v>
      </c>
      <c r="E5962" s="13" t="s">
        <v>11353</v>
      </c>
      <c r="F5962" s="14">
        <v>41332</v>
      </c>
      <c r="G5962" s="14">
        <v>41696</v>
      </c>
      <c r="H5962" s="13" t="s">
        <v>651</v>
      </c>
      <c r="I5962" s="18">
        <v>15370.3</v>
      </c>
      <c r="J5962" s="18">
        <v>11435.15</v>
      </c>
      <c r="K5962" s="20" t="s">
        <v>9751</v>
      </c>
    </row>
    <row r="5963" spans="1:11" ht="76.5" x14ac:dyDescent="0.25">
      <c r="A5963" s="13" t="s">
        <v>11354</v>
      </c>
      <c r="B5963" s="13" t="s">
        <v>10220</v>
      </c>
      <c r="C5963" s="20" t="s">
        <v>9751</v>
      </c>
      <c r="D5963" s="19">
        <v>12527</v>
      </c>
      <c r="E5963" s="13" t="s">
        <v>11355</v>
      </c>
      <c r="F5963" s="14">
        <v>41157</v>
      </c>
      <c r="G5963" s="14">
        <v>41521</v>
      </c>
      <c r="H5963" s="13" t="s">
        <v>651</v>
      </c>
      <c r="I5963" s="18">
        <v>32100</v>
      </c>
      <c r="J5963" s="18">
        <v>16050</v>
      </c>
      <c r="K5963" s="20" t="s">
        <v>9751</v>
      </c>
    </row>
    <row r="5964" spans="1:11" x14ac:dyDescent="0.25">
      <c r="A5964" s="13" t="s">
        <v>11356</v>
      </c>
      <c r="B5964" s="13" t="s">
        <v>10192</v>
      </c>
      <c r="C5964" s="20" t="s">
        <v>9751</v>
      </c>
      <c r="D5964" s="19">
        <v>12528</v>
      </c>
      <c r="E5964" s="13" t="s">
        <v>11357</v>
      </c>
      <c r="F5964" s="14">
        <v>41388</v>
      </c>
      <c r="G5964" s="14">
        <v>41752</v>
      </c>
      <c r="H5964" s="13" t="s">
        <v>651</v>
      </c>
      <c r="I5964" s="18">
        <v>42314.64</v>
      </c>
      <c r="J5964" s="18">
        <v>23844.82</v>
      </c>
      <c r="K5964" s="20" t="s">
        <v>9751</v>
      </c>
    </row>
    <row r="5965" spans="1:11" ht="51" x14ac:dyDescent="0.25">
      <c r="A5965" s="13" t="s">
        <v>11358</v>
      </c>
      <c r="B5965" s="13" t="s">
        <v>10192</v>
      </c>
      <c r="C5965" s="20" t="s">
        <v>9751</v>
      </c>
      <c r="D5965" s="19">
        <v>12529</v>
      </c>
      <c r="E5965" s="13" t="s">
        <v>11359</v>
      </c>
      <c r="F5965" s="14">
        <v>41443</v>
      </c>
      <c r="G5965" s="14">
        <v>41807</v>
      </c>
      <c r="H5965" s="13" t="s">
        <v>651</v>
      </c>
      <c r="I5965" s="18">
        <v>37213.300000000003</v>
      </c>
      <c r="J5965" s="18">
        <v>33606.65</v>
      </c>
      <c r="K5965" s="20" t="s">
        <v>9751</v>
      </c>
    </row>
    <row r="5966" spans="1:11" ht="63.75" x14ac:dyDescent="0.25">
      <c r="A5966" s="13" t="s">
        <v>11360</v>
      </c>
      <c r="B5966" s="13" t="s">
        <v>10192</v>
      </c>
      <c r="C5966" s="20" t="s">
        <v>9751</v>
      </c>
      <c r="D5966" s="19">
        <v>12530</v>
      </c>
      <c r="E5966" s="13" t="s">
        <v>11361</v>
      </c>
      <c r="F5966" s="14">
        <v>41388</v>
      </c>
      <c r="G5966" s="14">
        <v>41752</v>
      </c>
      <c r="H5966" s="13" t="s">
        <v>651</v>
      </c>
      <c r="I5966" s="18">
        <v>5952.72</v>
      </c>
      <c r="J5966" s="18">
        <v>2976.37</v>
      </c>
      <c r="K5966" s="20" t="s">
        <v>9751</v>
      </c>
    </row>
    <row r="5967" spans="1:11" x14ac:dyDescent="0.25">
      <c r="A5967" s="13" t="s">
        <v>11362</v>
      </c>
      <c r="B5967" s="13" t="s">
        <v>10192</v>
      </c>
      <c r="C5967" s="20" t="s">
        <v>9751</v>
      </c>
      <c r="D5967" s="19">
        <v>12531</v>
      </c>
      <c r="E5967" s="13" t="s">
        <v>11363</v>
      </c>
      <c r="F5967" s="14">
        <v>41388</v>
      </c>
      <c r="G5967" s="14">
        <v>41752</v>
      </c>
      <c r="H5967" s="13" t="s">
        <v>651</v>
      </c>
      <c r="I5967" s="18">
        <v>57679.98</v>
      </c>
      <c r="J5967" s="18">
        <v>30714.99</v>
      </c>
      <c r="K5967" s="20" t="s">
        <v>9751</v>
      </c>
    </row>
    <row r="5968" spans="1:11" ht="51" x14ac:dyDescent="0.25">
      <c r="A5968" s="13" t="s">
        <v>11364</v>
      </c>
      <c r="B5968" s="13" t="s">
        <v>10192</v>
      </c>
      <c r="C5968" s="20" t="s">
        <v>9751</v>
      </c>
      <c r="D5968" s="19">
        <v>12532</v>
      </c>
      <c r="E5968" s="13" t="s">
        <v>11365</v>
      </c>
      <c r="F5968" s="14">
        <v>41521</v>
      </c>
      <c r="G5968" s="14">
        <v>41885</v>
      </c>
      <c r="H5968" s="13" t="s">
        <v>651</v>
      </c>
      <c r="I5968" s="18">
        <v>7500</v>
      </c>
      <c r="J5968" s="18">
        <v>7500</v>
      </c>
      <c r="K5968" s="20" t="s">
        <v>9751</v>
      </c>
    </row>
    <row r="5969" spans="1:13" x14ac:dyDescent="0.25">
      <c r="A5969" s="13" t="s">
        <v>11366</v>
      </c>
      <c r="B5969" s="13" t="s">
        <v>10192</v>
      </c>
      <c r="C5969" s="20" t="s">
        <v>9751</v>
      </c>
      <c r="D5969" s="19">
        <v>12533</v>
      </c>
      <c r="E5969" s="13" t="s">
        <v>11367</v>
      </c>
      <c r="F5969" s="14">
        <v>41443</v>
      </c>
      <c r="G5969" s="14">
        <v>41807</v>
      </c>
      <c r="H5969" s="13" t="s">
        <v>651</v>
      </c>
      <c r="I5969" s="18">
        <v>7500</v>
      </c>
      <c r="J5969" s="18">
        <v>7500</v>
      </c>
      <c r="K5969" s="20" t="s">
        <v>9751</v>
      </c>
    </row>
    <row r="5970" spans="1:13" ht="63.75" x14ac:dyDescent="0.25">
      <c r="A5970" s="13" t="s">
        <v>11368</v>
      </c>
      <c r="B5970" s="13" t="s">
        <v>10195</v>
      </c>
      <c r="C5970" s="20" t="s">
        <v>9751</v>
      </c>
      <c r="D5970" s="19">
        <v>12534</v>
      </c>
      <c r="E5970" s="13" t="s">
        <v>11369</v>
      </c>
      <c r="F5970" s="14">
        <v>41443</v>
      </c>
      <c r="G5970" s="14">
        <v>41807</v>
      </c>
      <c r="H5970" s="13" t="s">
        <v>651</v>
      </c>
      <c r="I5970" s="18">
        <v>60000</v>
      </c>
      <c r="J5970" s="18">
        <v>30000</v>
      </c>
      <c r="K5970" s="20" t="s">
        <v>9751</v>
      </c>
    </row>
    <row r="5971" spans="1:13" ht="38.25" x14ac:dyDescent="0.25">
      <c r="A5971" s="13" t="s">
        <v>11370</v>
      </c>
      <c r="B5971" s="13" t="s">
        <v>10192</v>
      </c>
      <c r="C5971" s="20" t="s">
        <v>9751</v>
      </c>
      <c r="D5971" s="19">
        <v>12535</v>
      </c>
      <c r="E5971" s="13" t="s">
        <v>11371</v>
      </c>
      <c r="F5971" s="14">
        <v>41443</v>
      </c>
      <c r="G5971" s="14">
        <v>41807</v>
      </c>
      <c r="H5971" s="13" t="s">
        <v>651</v>
      </c>
      <c r="I5971" s="18">
        <v>8348.32</v>
      </c>
      <c r="J5971" s="18">
        <v>6049.16</v>
      </c>
      <c r="K5971" s="20" t="s">
        <v>9751</v>
      </c>
    </row>
    <row r="5972" spans="1:13" ht="51" x14ac:dyDescent="0.25">
      <c r="A5972" s="13" t="s">
        <v>11372</v>
      </c>
      <c r="B5972" s="13" t="s">
        <v>10220</v>
      </c>
      <c r="C5972" s="20" t="s">
        <v>9751</v>
      </c>
      <c r="D5972" s="19">
        <v>12536</v>
      </c>
      <c r="E5972" s="13" t="s">
        <v>11373</v>
      </c>
      <c r="F5972" s="14">
        <v>41327</v>
      </c>
      <c r="G5972" s="14">
        <v>41691</v>
      </c>
      <c r="H5972" s="13" t="s">
        <v>651</v>
      </c>
      <c r="I5972" s="18">
        <v>8941.36</v>
      </c>
      <c r="J5972" s="18">
        <v>4470.68</v>
      </c>
      <c r="K5972" s="20" t="s">
        <v>9751</v>
      </c>
    </row>
    <row r="5973" spans="1:13" s="4" customFormat="1" x14ac:dyDescent="0.25">
      <c r="C5973" s="20" t="s">
        <v>9751</v>
      </c>
      <c r="D5973" s="35"/>
      <c r="E5973" s="26" t="s">
        <v>351</v>
      </c>
      <c r="F5973" s="28"/>
      <c r="G5973" s="28"/>
      <c r="H5973" s="26"/>
      <c r="I5973" s="27">
        <f>SUM(I5744:I5756)</f>
        <v>805104.52999999991</v>
      </c>
      <c r="J5973" s="27">
        <f>SUM(J5744:J5756)</f>
        <v>183993.48000000004</v>
      </c>
      <c r="K5973" s="20" t="s">
        <v>9751</v>
      </c>
      <c r="L5973" s="119"/>
      <c r="M5973" s="3"/>
    </row>
    <row r="5974" spans="1:13" s="4" customFormat="1" x14ac:dyDescent="0.25">
      <c r="C5974" s="20" t="s">
        <v>9751</v>
      </c>
      <c r="D5974" s="35"/>
      <c r="E5974" s="26" t="s">
        <v>786</v>
      </c>
      <c r="F5974" s="28"/>
      <c r="G5974" s="28"/>
      <c r="H5974" s="26"/>
      <c r="I5974" s="27">
        <f>SUM(I5757:I5762)</f>
        <v>704516.05</v>
      </c>
      <c r="J5974" s="27">
        <f>SUM(J5757:IK5762)</f>
        <v>221742.15</v>
      </c>
      <c r="K5974" s="20" t="s">
        <v>9751</v>
      </c>
      <c r="L5974" s="119"/>
      <c r="M5974" s="3"/>
    </row>
    <row r="5975" spans="1:13" s="4" customFormat="1" x14ac:dyDescent="0.25">
      <c r="C5975" s="20" t="s">
        <v>9751</v>
      </c>
      <c r="D5975" s="35"/>
      <c r="E5975" s="26" t="s">
        <v>352</v>
      </c>
      <c r="F5975" s="28"/>
      <c r="G5975" s="28"/>
      <c r="H5975" s="26"/>
      <c r="I5975" s="27">
        <f>SUM(I5763:I5972)</f>
        <v>4991397.07</v>
      </c>
      <c r="J5975" s="27">
        <f>SUM(J5763:J5972)</f>
        <v>3801165.2599999993</v>
      </c>
      <c r="K5975" s="20" t="s">
        <v>9751</v>
      </c>
      <c r="L5975" s="119"/>
      <c r="M5975" s="3"/>
    </row>
    <row r="5976" spans="1:13" s="4" customFormat="1" x14ac:dyDescent="0.25">
      <c r="C5976" s="20" t="s">
        <v>9751</v>
      </c>
      <c r="D5976" s="35"/>
      <c r="E5976" s="26" t="s">
        <v>10190</v>
      </c>
      <c r="F5976" s="28"/>
      <c r="G5976" s="28"/>
      <c r="H5976" s="26"/>
      <c r="I5976" s="27">
        <f>SUM(I5973:I5975)</f>
        <v>6501017.6500000004</v>
      </c>
      <c r="J5976" s="27">
        <f>SUM(J5973:J5975)</f>
        <v>4206900.8899999997</v>
      </c>
      <c r="K5976" s="20" t="s">
        <v>9751</v>
      </c>
      <c r="L5976" s="119">
        <f>J5976</f>
        <v>4206900.8899999997</v>
      </c>
      <c r="M5976" s="3">
        <f>SUM(J5976*0.4)</f>
        <v>1682760.3559999999</v>
      </c>
    </row>
    <row r="5977" spans="1:13" ht="127.5" x14ac:dyDescent="0.25">
      <c r="A5977" s="4" t="s">
        <v>7440</v>
      </c>
      <c r="B5977" s="4" t="s">
        <v>13</v>
      </c>
      <c r="C5977" s="37" t="s">
        <v>7443</v>
      </c>
      <c r="D5977" s="35">
        <v>4259</v>
      </c>
      <c r="E5977" s="7" t="s">
        <v>7441</v>
      </c>
      <c r="F5977" s="5">
        <v>39132</v>
      </c>
      <c r="G5977" s="4"/>
      <c r="H5977" s="4" t="s">
        <v>7442</v>
      </c>
      <c r="I5977" s="6">
        <v>38349239.659999996</v>
      </c>
      <c r="J5977" s="6">
        <v>38349239.659999996</v>
      </c>
      <c r="K5977" s="37" t="s">
        <v>7443</v>
      </c>
      <c r="L5977" s="6">
        <v>38349239.659999996</v>
      </c>
      <c r="M5977" s="3">
        <f>SUM(J5977*0.4)</f>
        <v>15339695.864</v>
      </c>
    </row>
    <row r="5978" spans="1:13" s="40" customFormat="1" ht="63.75" x14ac:dyDescent="0.25">
      <c r="A5978" s="4" t="s">
        <v>7444</v>
      </c>
      <c r="B5978" s="4" t="s">
        <v>13</v>
      </c>
      <c r="C5978" s="37" t="s">
        <v>7443</v>
      </c>
      <c r="D5978" s="35" t="s">
        <v>11656</v>
      </c>
      <c r="E5978" s="7" t="s">
        <v>7445</v>
      </c>
      <c r="F5978" s="5"/>
      <c r="G5978" s="4"/>
      <c r="H5978" s="4" t="s">
        <v>7446</v>
      </c>
      <c r="I5978" s="6">
        <v>2173743.37</v>
      </c>
      <c r="J5978" s="6">
        <v>2173743.37</v>
      </c>
      <c r="K5978" s="37" t="s">
        <v>7443</v>
      </c>
      <c r="L5978" s="6">
        <v>2173743.37</v>
      </c>
      <c r="M5978" s="40">
        <f>SUM(J5978*0.35)</f>
        <v>760810.17949999997</v>
      </c>
    </row>
    <row r="5979" spans="1:13" x14ac:dyDescent="0.25">
      <c r="A5979" s="4" t="s">
        <v>7447</v>
      </c>
      <c r="B5979" s="4" t="s">
        <v>13</v>
      </c>
      <c r="C5979" s="37" t="s">
        <v>7443</v>
      </c>
      <c r="D5979" s="35">
        <v>9970</v>
      </c>
      <c r="E5979" s="4" t="s">
        <v>7448</v>
      </c>
      <c r="F5979" s="5">
        <v>40129</v>
      </c>
      <c r="G5979" s="5">
        <v>40364</v>
      </c>
      <c r="H5979" s="4" t="s">
        <v>16</v>
      </c>
      <c r="I5979" s="6">
        <v>22478</v>
      </c>
      <c r="J5979" s="6">
        <v>6743.4</v>
      </c>
      <c r="K5979" s="37" t="s">
        <v>7443</v>
      </c>
      <c r="L5979" s="6">
        <v>6743.4</v>
      </c>
      <c r="M5979" s="3">
        <f t="shared" ref="M5979:M5981" si="2">SUM(J5979*0.4)</f>
        <v>2697.36</v>
      </c>
    </row>
    <row r="5980" spans="1:13" x14ac:dyDescent="0.25">
      <c r="A5980" s="4" t="s">
        <v>7449</v>
      </c>
      <c r="B5980" s="4" t="s">
        <v>13</v>
      </c>
      <c r="C5980" s="37" t="s">
        <v>7443</v>
      </c>
      <c r="D5980" s="35">
        <v>10060</v>
      </c>
      <c r="E5980" s="4" t="s">
        <v>7450</v>
      </c>
      <c r="F5980" s="5">
        <v>40128</v>
      </c>
      <c r="G5980" s="5">
        <v>40673</v>
      </c>
      <c r="H5980" s="4" t="s">
        <v>16</v>
      </c>
      <c r="I5980" s="6">
        <v>158780</v>
      </c>
      <c r="J5980" s="6">
        <v>42000</v>
      </c>
      <c r="K5980" s="37" t="s">
        <v>7443</v>
      </c>
      <c r="L5980" s="6">
        <v>42000</v>
      </c>
      <c r="M5980" s="3">
        <f t="shared" si="2"/>
        <v>16800</v>
      </c>
    </row>
    <row r="5981" spans="1:13" ht="102" x14ac:dyDescent="0.25">
      <c r="A5981" s="4" t="s">
        <v>7451</v>
      </c>
      <c r="B5981" s="4" t="s">
        <v>13</v>
      </c>
      <c r="C5981" s="37" t="s">
        <v>7443</v>
      </c>
      <c r="D5981" s="35">
        <v>9912</v>
      </c>
      <c r="E5981" s="7" t="s">
        <v>7452</v>
      </c>
      <c r="F5981" s="5">
        <v>40794</v>
      </c>
      <c r="G5981" s="5">
        <v>40899</v>
      </c>
      <c r="H5981" s="4" t="s">
        <v>389</v>
      </c>
      <c r="I5981" s="6">
        <v>264932.52</v>
      </c>
      <c r="J5981" s="6">
        <v>52986.5</v>
      </c>
      <c r="K5981" s="37" t="s">
        <v>7443</v>
      </c>
      <c r="L5981" s="6">
        <v>52986.5</v>
      </c>
      <c r="M5981" s="3">
        <f t="shared" si="2"/>
        <v>21194.600000000002</v>
      </c>
    </row>
    <row r="5982" spans="1:13" hidden="1" x14ac:dyDescent="0.25">
      <c r="I5982" s="40"/>
      <c r="J5982" s="40"/>
      <c r="L5982" s="159">
        <f>SUM(L1:L5981)</f>
        <v>375006152.33599997</v>
      </c>
    </row>
    <row r="5983" spans="1:13" x14ac:dyDescent="0.25">
      <c r="M5983" s="161">
        <f>SUM(M1:M5982)</f>
        <v>149893773.76590002</v>
      </c>
    </row>
  </sheetData>
  <printOptions gridLines="1"/>
  <pageMargins left="0.15748031496062992" right="0.15748031496062992" top="0.47244094488188981" bottom="0.19685039370078741" header="0.15748031496062992" footer="0.15748031496062992"/>
  <pageSetup paperSize="9" scale="54" fitToHeight="0" orientation="landscape" r:id="rId1"/>
  <headerFooter>
    <oddHeader>&amp;C&amp;"-,Bold"&amp;16Southern and Eastern Regional Operational Programme 2007 - 2013
List of Beneficiaries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51"/>
  <sheetViews>
    <sheetView topLeftCell="A31" workbookViewId="0">
      <selection activeCell="A43" sqref="A43:K47"/>
    </sheetView>
  </sheetViews>
  <sheetFormatPr defaultColWidth="20.5703125" defaultRowHeight="15" x14ac:dyDescent="0.25"/>
  <cols>
    <col min="1" max="4" width="20.5703125" style="125"/>
    <col min="5" max="5" width="56.85546875" style="125" customWidth="1"/>
    <col min="6" max="16384" width="20.5703125" style="125"/>
  </cols>
  <sheetData>
    <row r="1" spans="1:60" s="4" customFormat="1" ht="38.25" x14ac:dyDescent="0.25">
      <c r="A1" s="1" t="s">
        <v>0</v>
      </c>
      <c r="B1" s="1" t="s">
        <v>1</v>
      </c>
      <c r="C1" s="1" t="s">
        <v>2</v>
      </c>
      <c r="D1" s="1" t="s">
        <v>3</v>
      </c>
      <c r="E1" s="1" t="s">
        <v>4</v>
      </c>
      <c r="F1" s="1" t="s">
        <v>5</v>
      </c>
      <c r="G1" s="1" t="s">
        <v>6</v>
      </c>
      <c r="H1" s="1" t="s">
        <v>7</v>
      </c>
      <c r="I1" s="2" t="s">
        <v>8</v>
      </c>
      <c r="J1" s="2" t="s">
        <v>9</v>
      </c>
      <c r="K1" s="111" t="s">
        <v>10</v>
      </c>
      <c r="L1" s="118" t="s">
        <v>11</v>
      </c>
      <c r="M1" s="3"/>
    </row>
    <row r="2" spans="1:60" s="4" customFormat="1" ht="14.25" customHeight="1" x14ac:dyDescent="0.25">
      <c r="A2" s="4" t="s">
        <v>114</v>
      </c>
      <c r="B2" s="4" t="s">
        <v>38</v>
      </c>
      <c r="C2" s="4" t="s">
        <v>14</v>
      </c>
      <c r="D2" s="35">
        <v>3274</v>
      </c>
      <c r="E2" s="7" t="s">
        <v>115</v>
      </c>
      <c r="F2" s="5">
        <v>39448</v>
      </c>
      <c r="G2" s="5">
        <v>39813</v>
      </c>
      <c r="H2" s="4" t="s">
        <v>40</v>
      </c>
      <c r="I2" s="6">
        <v>0</v>
      </c>
      <c r="J2" s="6">
        <v>0</v>
      </c>
      <c r="K2" s="37" t="s">
        <v>17</v>
      </c>
      <c r="L2" s="119"/>
      <c r="M2" s="3"/>
    </row>
    <row r="3" spans="1:60" s="4" customFormat="1" ht="14.25" customHeight="1" x14ac:dyDescent="0.25">
      <c r="A3" s="4" t="s">
        <v>1171</v>
      </c>
      <c r="B3" s="4" t="s">
        <v>38</v>
      </c>
      <c r="C3" s="4" t="s">
        <v>14</v>
      </c>
      <c r="D3" s="35">
        <v>835</v>
      </c>
      <c r="E3" s="4" t="s">
        <v>1172</v>
      </c>
      <c r="F3" s="5">
        <v>39448</v>
      </c>
      <c r="G3" s="5">
        <v>39813</v>
      </c>
      <c r="H3" s="4" t="s">
        <v>40</v>
      </c>
      <c r="I3" s="6">
        <v>0</v>
      </c>
      <c r="J3" s="6">
        <v>0</v>
      </c>
      <c r="K3" s="37" t="s">
        <v>790</v>
      </c>
      <c r="L3" s="119"/>
      <c r="M3" s="3"/>
    </row>
    <row r="4" spans="1:60" s="4" customFormat="1" ht="14.25" customHeight="1" x14ac:dyDescent="0.25">
      <c r="A4" s="4" t="s">
        <v>1518</v>
      </c>
      <c r="B4" s="4" t="s">
        <v>190</v>
      </c>
      <c r="C4" s="4" t="s">
        <v>14</v>
      </c>
      <c r="D4" s="35">
        <v>7147</v>
      </c>
      <c r="E4" s="4" t="s">
        <v>1519</v>
      </c>
      <c r="F4" s="5">
        <v>40154</v>
      </c>
      <c r="G4" s="5">
        <v>40519</v>
      </c>
      <c r="H4" s="4" t="s">
        <v>40</v>
      </c>
      <c r="I4" s="6">
        <v>0</v>
      </c>
      <c r="J4" s="6">
        <v>0</v>
      </c>
      <c r="K4" s="37" t="s">
        <v>790</v>
      </c>
      <c r="L4" s="119"/>
      <c r="M4" s="3"/>
    </row>
    <row r="5" spans="1:60" s="4" customFormat="1" ht="14.25" customHeight="1" x14ac:dyDescent="0.25">
      <c r="A5" s="4" t="s">
        <v>2156</v>
      </c>
      <c r="B5" s="4" t="s">
        <v>13</v>
      </c>
      <c r="C5" s="4" t="s">
        <v>14</v>
      </c>
      <c r="D5" s="35">
        <v>10971</v>
      </c>
      <c r="E5" s="4" t="s">
        <v>2156</v>
      </c>
      <c r="F5" s="5">
        <v>40269</v>
      </c>
      <c r="G5" s="5">
        <v>40694</v>
      </c>
      <c r="H5" s="4" t="s">
        <v>2039</v>
      </c>
      <c r="I5" s="6">
        <v>0</v>
      </c>
      <c r="J5" s="8">
        <v>0</v>
      </c>
      <c r="K5" s="37" t="s">
        <v>2033</v>
      </c>
      <c r="L5" s="119"/>
      <c r="M5" s="3"/>
    </row>
    <row r="6" spans="1:60" s="4" customFormat="1" ht="14.25" customHeight="1" x14ac:dyDescent="0.25">
      <c r="A6" s="4" t="s">
        <v>2252</v>
      </c>
      <c r="B6" s="4" t="s">
        <v>38</v>
      </c>
      <c r="C6" s="4" t="s">
        <v>14</v>
      </c>
      <c r="D6" s="35">
        <v>1776</v>
      </c>
      <c r="E6" s="4" t="s">
        <v>2253</v>
      </c>
      <c r="F6" s="5">
        <v>39448</v>
      </c>
      <c r="G6" s="5">
        <v>39813</v>
      </c>
      <c r="H6" s="4" t="s">
        <v>40</v>
      </c>
      <c r="I6" s="6">
        <v>0</v>
      </c>
      <c r="J6" s="6">
        <v>0</v>
      </c>
      <c r="K6" s="37" t="s">
        <v>2033</v>
      </c>
      <c r="L6" s="119"/>
      <c r="M6" s="3"/>
    </row>
    <row r="7" spans="1:60" s="4" customFormat="1" ht="14.25" customHeight="1" x14ac:dyDescent="0.25">
      <c r="A7" s="4" t="s">
        <v>2335</v>
      </c>
      <c r="B7" s="4" t="s">
        <v>38</v>
      </c>
      <c r="C7" s="4" t="s">
        <v>14</v>
      </c>
      <c r="D7" s="35">
        <v>2159</v>
      </c>
      <c r="E7" s="4" t="s">
        <v>2336</v>
      </c>
      <c r="F7" s="5">
        <v>39469</v>
      </c>
      <c r="G7" s="5">
        <v>39575</v>
      </c>
      <c r="H7" s="4" t="s">
        <v>40</v>
      </c>
      <c r="I7" s="6">
        <v>0</v>
      </c>
      <c r="J7" s="6">
        <v>0</v>
      </c>
      <c r="K7" s="37" t="s">
        <v>2033</v>
      </c>
      <c r="L7" s="119"/>
      <c r="M7" s="3"/>
    </row>
    <row r="8" spans="1:60" s="4" customFormat="1" ht="14.25" customHeight="1" x14ac:dyDescent="0.25">
      <c r="A8" s="4" t="s">
        <v>2363</v>
      </c>
      <c r="B8" s="4" t="s">
        <v>38</v>
      </c>
      <c r="C8" s="4" t="s">
        <v>14</v>
      </c>
      <c r="D8" s="35">
        <v>2378</v>
      </c>
      <c r="E8" s="4" t="s">
        <v>2364</v>
      </c>
      <c r="F8" s="5">
        <v>39757</v>
      </c>
      <c r="G8" s="5">
        <v>39757</v>
      </c>
      <c r="H8" s="4" t="s">
        <v>40</v>
      </c>
      <c r="I8" s="6">
        <v>0</v>
      </c>
      <c r="J8" s="6">
        <v>0</v>
      </c>
      <c r="K8" s="37" t="s">
        <v>2033</v>
      </c>
      <c r="L8" s="119"/>
      <c r="M8" s="3"/>
    </row>
    <row r="9" spans="1:60" s="4" customFormat="1" ht="14.25" customHeight="1" x14ac:dyDescent="0.2">
      <c r="A9" s="95" t="s">
        <v>11619</v>
      </c>
      <c r="B9" s="4" t="s">
        <v>13</v>
      </c>
      <c r="C9" s="4" t="s">
        <v>14</v>
      </c>
      <c r="D9" s="35">
        <v>10291</v>
      </c>
      <c r="E9" s="95" t="s">
        <v>11619</v>
      </c>
      <c r="F9" s="96">
        <v>39264</v>
      </c>
      <c r="G9" s="96">
        <v>40086</v>
      </c>
      <c r="H9" s="4" t="s">
        <v>2039</v>
      </c>
      <c r="I9" s="6">
        <v>-19000</v>
      </c>
      <c r="J9" s="6">
        <v>-19000</v>
      </c>
      <c r="K9" s="37" t="s">
        <v>2650</v>
      </c>
      <c r="L9" s="119"/>
      <c r="M9" s="3"/>
    </row>
    <row r="10" spans="1:60" s="4" customFormat="1" ht="14.25" customHeight="1" x14ac:dyDescent="0.25">
      <c r="A10" s="4" t="s">
        <v>3219</v>
      </c>
      <c r="B10" s="4" t="s">
        <v>38</v>
      </c>
      <c r="C10" s="4" t="s">
        <v>14</v>
      </c>
      <c r="D10" s="35">
        <v>2377</v>
      </c>
      <c r="E10" s="4" t="s">
        <v>3220</v>
      </c>
      <c r="F10" s="5">
        <v>39083</v>
      </c>
      <c r="G10" s="5">
        <v>41639</v>
      </c>
      <c r="H10" s="4" t="s">
        <v>40</v>
      </c>
      <c r="I10" s="6">
        <v>0</v>
      </c>
      <c r="J10" s="6">
        <v>0</v>
      </c>
      <c r="K10" s="37" t="s">
        <v>2650</v>
      </c>
      <c r="L10" s="120"/>
      <c r="M10" s="3"/>
    </row>
    <row r="11" spans="1:60" s="4" customFormat="1" ht="14.25" customHeight="1" x14ac:dyDescent="0.25">
      <c r="A11" s="4" t="s">
        <v>3221</v>
      </c>
      <c r="B11" s="4" t="s">
        <v>38</v>
      </c>
      <c r="C11" s="4" t="s">
        <v>14</v>
      </c>
      <c r="D11" s="35">
        <v>2400</v>
      </c>
      <c r="E11" s="4" t="s">
        <v>3222</v>
      </c>
      <c r="F11" s="5">
        <v>39083</v>
      </c>
      <c r="G11" s="5">
        <v>41639</v>
      </c>
      <c r="H11" s="4" t="s">
        <v>40</v>
      </c>
      <c r="I11" s="6">
        <v>0</v>
      </c>
      <c r="J11" s="6">
        <v>0</v>
      </c>
      <c r="K11" s="37" t="s">
        <v>2650</v>
      </c>
      <c r="L11" s="120"/>
      <c r="M11" s="3"/>
    </row>
    <row r="12" spans="1:60" s="4" customFormat="1" ht="14.25" customHeight="1" thickBot="1" x14ac:dyDescent="0.3">
      <c r="A12" s="4" t="s">
        <v>3223</v>
      </c>
      <c r="B12" s="4" t="s">
        <v>38</v>
      </c>
      <c r="C12" s="4" t="s">
        <v>14</v>
      </c>
      <c r="D12" s="35">
        <v>2404</v>
      </c>
      <c r="E12" s="4" t="s">
        <v>3224</v>
      </c>
      <c r="F12" s="5">
        <v>39083</v>
      </c>
      <c r="G12" s="5">
        <v>41639</v>
      </c>
      <c r="H12" s="4" t="s">
        <v>40</v>
      </c>
      <c r="I12" s="6">
        <v>0</v>
      </c>
      <c r="J12" s="6">
        <v>0</v>
      </c>
      <c r="K12" s="37" t="s">
        <v>2650</v>
      </c>
      <c r="L12" s="120"/>
      <c r="M12" s="3"/>
    </row>
    <row r="13" spans="1:60" s="13" customFormat="1" ht="14.25" customHeight="1" thickBot="1" x14ac:dyDescent="0.3">
      <c r="A13" s="152" t="s">
        <v>11762</v>
      </c>
      <c r="B13" s="13" t="s">
        <v>38</v>
      </c>
      <c r="C13" s="13" t="s">
        <v>14</v>
      </c>
      <c r="D13" s="19">
        <v>3366</v>
      </c>
      <c r="E13" s="124" t="s">
        <v>11763</v>
      </c>
      <c r="F13" s="14">
        <v>39083</v>
      </c>
      <c r="G13" s="14">
        <v>39813</v>
      </c>
      <c r="H13" s="13" t="s">
        <v>651</v>
      </c>
      <c r="I13" s="18">
        <v>-598.05999999999995</v>
      </c>
      <c r="J13" s="18">
        <v>-598.05999999999995</v>
      </c>
      <c r="K13" s="20" t="s">
        <v>2650</v>
      </c>
      <c r="L13" s="120"/>
    </row>
    <row r="14" spans="1:60" s="4" customFormat="1" ht="14.25" customHeight="1" x14ac:dyDescent="0.25">
      <c r="A14" s="9" t="s">
        <v>3576</v>
      </c>
      <c r="B14" s="9" t="s">
        <v>13</v>
      </c>
      <c r="C14" s="9" t="s">
        <v>2650</v>
      </c>
      <c r="D14" s="90">
        <v>4236</v>
      </c>
      <c r="E14" s="15" t="s">
        <v>3577</v>
      </c>
      <c r="F14" s="11">
        <v>39083</v>
      </c>
      <c r="G14" s="11">
        <v>42369</v>
      </c>
      <c r="H14" s="9" t="s">
        <v>2593</v>
      </c>
      <c r="I14" s="16">
        <v>-9</v>
      </c>
      <c r="J14" s="16">
        <v>-9</v>
      </c>
      <c r="K14" s="112" t="s">
        <v>2650</v>
      </c>
      <c r="L14" s="121"/>
      <c r="M14" s="12"/>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row>
    <row r="15" spans="1:60" s="4" customFormat="1" ht="14.25" customHeight="1" x14ac:dyDescent="0.25">
      <c r="A15" s="4" t="s">
        <v>4126</v>
      </c>
      <c r="B15" s="4" t="s">
        <v>59</v>
      </c>
      <c r="C15" s="4" t="s">
        <v>14</v>
      </c>
      <c r="D15" s="35">
        <v>2617</v>
      </c>
      <c r="E15" s="4" t="s">
        <v>4127</v>
      </c>
      <c r="F15" s="5">
        <v>39393</v>
      </c>
      <c r="G15" s="5">
        <v>39575</v>
      </c>
      <c r="H15" s="4" t="s">
        <v>40</v>
      </c>
      <c r="I15" s="6">
        <v>0</v>
      </c>
      <c r="J15" s="6">
        <v>0</v>
      </c>
      <c r="K15" s="37" t="s">
        <v>4035</v>
      </c>
      <c r="L15" s="119"/>
      <c r="M15" s="3"/>
    </row>
    <row r="16" spans="1:60" s="4" customFormat="1" ht="14.25" customHeight="1" x14ac:dyDescent="0.25">
      <c r="D16" s="35">
        <v>3408</v>
      </c>
      <c r="E16" s="4" t="s">
        <v>11620</v>
      </c>
      <c r="F16" s="5"/>
      <c r="H16" s="4" t="s">
        <v>40</v>
      </c>
      <c r="I16" s="6">
        <v>-675.57</v>
      </c>
      <c r="J16" s="6">
        <v>-675.57</v>
      </c>
      <c r="K16" s="37" t="s">
        <v>4035</v>
      </c>
      <c r="L16" s="119"/>
      <c r="M16" s="3"/>
    </row>
    <row r="17" spans="1:14" s="21" customFormat="1" ht="14.25" customHeight="1" x14ac:dyDescent="0.25">
      <c r="A17" s="21" t="s">
        <v>11630</v>
      </c>
      <c r="B17" s="4" t="s">
        <v>38</v>
      </c>
      <c r="C17" s="21" t="s">
        <v>14</v>
      </c>
      <c r="D17" s="36">
        <v>1829</v>
      </c>
      <c r="E17" s="4" t="s">
        <v>11631</v>
      </c>
      <c r="F17" s="22">
        <v>39189</v>
      </c>
      <c r="G17" s="22">
        <v>39217</v>
      </c>
      <c r="H17" s="21" t="s">
        <v>40</v>
      </c>
      <c r="I17" s="23">
        <v>-470</v>
      </c>
      <c r="J17" s="23">
        <v>-470</v>
      </c>
      <c r="K17" s="39" t="s">
        <v>5018</v>
      </c>
      <c r="L17" s="123"/>
      <c r="M17" s="24"/>
      <c r="N17" s="24"/>
    </row>
    <row r="18" spans="1:14" s="4" customFormat="1" ht="14.25" customHeight="1" x14ac:dyDescent="0.25">
      <c r="A18" s="4" t="s">
        <v>5187</v>
      </c>
      <c r="B18" s="4" t="s">
        <v>38</v>
      </c>
      <c r="C18" s="4" t="s">
        <v>14</v>
      </c>
      <c r="D18" s="35">
        <v>1863</v>
      </c>
      <c r="E18" s="4" t="s">
        <v>5186</v>
      </c>
      <c r="F18" s="5">
        <v>39212</v>
      </c>
      <c r="G18" s="5">
        <v>39240</v>
      </c>
      <c r="H18" s="4" t="s">
        <v>40</v>
      </c>
      <c r="I18" s="6">
        <v>0</v>
      </c>
      <c r="J18" s="6">
        <v>0</v>
      </c>
      <c r="K18" s="37" t="s">
        <v>5018</v>
      </c>
      <c r="L18" s="119"/>
      <c r="M18" s="3"/>
    </row>
    <row r="19" spans="1:14" s="21" customFormat="1" ht="14.25" customHeight="1" x14ac:dyDescent="0.25">
      <c r="A19" s="21" t="s">
        <v>11632</v>
      </c>
      <c r="B19" s="4" t="s">
        <v>38</v>
      </c>
      <c r="C19" s="21" t="s">
        <v>14</v>
      </c>
      <c r="D19" s="36">
        <v>1883</v>
      </c>
      <c r="E19" s="4" t="s">
        <v>5206</v>
      </c>
      <c r="F19" s="22">
        <v>39156</v>
      </c>
      <c r="G19" s="22">
        <v>39156</v>
      </c>
      <c r="H19" s="21" t="s">
        <v>40</v>
      </c>
      <c r="I19" s="23">
        <v>-25</v>
      </c>
      <c r="J19" s="23">
        <v>-25</v>
      </c>
      <c r="K19" s="39" t="s">
        <v>5018</v>
      </c>
      <c r="L19" s="123"/>
      <c r="M19" s="24"/>
      <c r="N19" s="24"/>
    </row>
    <row r="20" spans="1:14" s="21" customFormat="1" ht="14.25" customHeight="1" x14ac:dyDescent="0.25">
      <c r="A20" s="21" t="s">
        <v>11633</v>
      </c>
      <c r="B20" s="4" t="s">
        <v>38</v>
      </c>
      <c r="C20" s="21" t="s">
        <v>14</v>
      </c>
      <c r="D20" s="36">
        <v>2604</v>
      </c>
      <c r="E20" s="4" t="s">
        <v>11633</v>
      </c>
      <c r="F20" s="22">
        <v>39540</v>
      </c>
      <c r="G20" s="22">
        <v>39568</v>
      </c>
      <c r="H20" s="21" t="s">
        <v>40</v>
      </c>
      <c r="I20" s="23">
        <v>-240</v>
      </c>
      <c r="J20" s="23">
        <v>-240</v>
      </c>
      <c r="K20" s="39" t="s">
        <v>5018</v>
      </c>
      <c r="L20" s="123"/>
      <c r="M20" s="24"/>
      <c r="N20" s="24"/>
    </row>
    <row r="21" spans="1:14" s="21" customFormat="1" ht="14.25" customHeight="1" x14ac:dyDescent="0.25">
      <c r="A21" s="21" t="s">
        <v>11634</v>
      </c>
      <c r="B21" s="4" t="s">
        <v>38</v>
      </c>
      <c r="C21" s="21" t="s">
        <v>14</v>
      </c>
      <c r="D21" s="36">
        <v>2840</v>
      </c>
      <c r="E21" s="4" t="s">
        <v>11634</v>
      </c>
      <c r="F21" s="22">
        <v>39479</v>
      </c>
      <c r="G21" s="22">
        <v>39629</v>
      </c>
      <c r="H21" s="21" t="s">
        <v>40</v>
      </c>
      <c r="I21" s="23">
        <v>-300</v>
      </c>
      <c r="J21" s="23">
        <v>-300</v>
      </c>
      <c r="K21" s="39" t="s">
        <v>5018</v>
      </c>
      <c r="L21" s="123"/>
      <c r="M21" s="24"/>
      <c r="N21" s="24"/>
    </row>
    <row r="22" spans="1:14" s="21" customFormat="1" ht="14.25" customHeight="1" x14ac:dyDescent="0.25">
      <c r="A22" s="21" t="s">
        <v>11635</v>
      </c>
      <c r="B22" s="4" t="s">
        <v>38</v>
      </c>
      <c r="C22" s="21" t="s">
        <v>14</v>
      </c>
      <c r="D22" s="36">
        <v>2843</v>
      </c>
      <c r="E22" s="4" t="s">
        <v>11635</v>
      </c>
      <c r="F22" s="22">
        <v>39713</v>
      </c>
      <c r="G22" s="22">
        <v>39741</v>
      </c>
      <c r="H22" s="21" t="s">
        <v>40</v>
      </c>
      <c r="I22" s="23">
        <v>-915</v>
      </c>
      <c r="J22" s="23">
        <v>-915</v>
      </c>
      <c r="K22" s="39" t="s">
        <v>5018</v>
      </c>
      <c r="L22" s="123"/>
      <c r="M22" s="24"/>
      <c r="N22" s="24"/>
    </row>
    <row r="23" spans="1:14" s="21" customFormat="1" ht="14.25" customHeight="1" x14ac:dyDescent="0.25">
      <c r="A23" s="21" t="s">
        <v>11636</v>
      </c>
      <c r="B23" s="4" t="s">
        <v>38</v>
      </c>
      <c r="C23" s="21" t="s">
        <v>14</v>
      </c>
      <c r="D23" s="36">
        <v>2847</v>
      </c>
      <c r="E23" s="4" t="s">
        <v>11636</v>
      </c>
      <c r="F23" s="22">
        <v>39560</v>
      </c>
      <c r="G23" s="22">
        <v>39574</v>
      </c>
      <c r="H23" s="21" t="s">
        <v>40</v>
      </c>
      <c r="I23" s="23">
        <v>-250</v>
      </c>
      <c r="J23" s="23">
        <v>-250</v>
      </c>
      <c r="K23" s="39" t="s">
        <v>5018</v>
      </c>
      <c r="L23" s="123"/>
      <c r="M23" s="24"/>
      <c r="N23" s="24"/>
    </row>
    <row r="24" spans="1:14" s="21" customFormat="1" ht="14.25" customHeight="1" x14ac:dyDescent="0.25">
      <c r="A24" s="21" t="s">
        <v>11637</v>
      </c>
      <c r="B24" s="4" t="s">
        <v>38</v>
      </c>
      <c r="C24" s="21" t="s">
        <v>14</v>
      </c>
      <c r="D24" s="36">
        <v>2860</v>
      </c>
      <c r="E24" s="4" t="s">
        <v>11638</v>
      </c>
      <c r="F24" s="22">
        <v>39743</v>
      </c>
      <c r="G24" s="22">
        <v>39771</v>
      </c>
      <c r="H24" s="21" t="s">
        <v>40</v>
      </c>
      <c r="I24" s="23">
        <v>-215</v>
      </c>
      <c r="J24" s="23">
        <v>-215</v>
      </c>
      <c r="K24" s="39" t="s">
        <v>5018</v>
      </c>
      <c r="L24" s="123"/>
      <c r="M24" s="24"/>
      <c r="N24" s="24"/>
    </row>
    <row r="25" spans="1:14" s="32" customFormat="1" ht="14.25" customHeight="1" x14ac:dyDescent="0.25">
      <c r="A25" s="13" t="s">
        <v>11482</v>
      </c>
      <c r="B25" s="32" t="s">
        <v>13</v>
      </c>
      <c r="C25" s="32" t="s">
        <v>14</v>
      </c>
      <c r="D25" s="33">
        <v>13045</v>
      </c>
      <c r="E25" s="13" t="s">
        <v>11483</v>
      </c>
      <c r="F25" s="34">
        <v>40940</v>
      </c>
      <c r="G25" s="34">
        <v>42110</v>
      </c>
      <c r="H25" s="4" t="s">
        <v>2039</v>
      </c>
      <c r="I25" s="94">
        <v>0</v>
      </c>
      <c r="J25" s="94">
        <v>0</v>
      </c>
      <c r="K25" s="38" t="s">
        <v>5815</v>
      </c>
      <c r="L25" s="119"/>
    </row>
    <row r="26" spans="1:14" s="32" customFormat="1" ht="14.25" customHeight="1" x14ac:dyDescent="0.25">
      <c r="A26" s="13" t="s">
        <v>5877</v>
      </c>
      <c r="B26" s="32" t="s">
        <v>13</v>
      </c>
      <c r="C26" s="32" t="s">
        <v>14</v>
      </c>
      <c r="D26" s="33">
        <v>13191</v>
      </c>
      <c r="E26" s="13" t="s">
        <v>11765</v>
      </c>
      <c r="F26" s="34">
        <v>39995</v>
      </c>
      <c r="G26" s="34">
        <v>41228</v>
      </c>
      <c r="H26" s="4" t="s">
        <v>2039</v>
      </c>
      <c r="I26" s="94">
        <v>-771.57</v>
      </c>
      <c r="J26" s="94">
        <v>-771.57</v>
      </c>
      <c r="K26" s="38" t="s">
        <v>5815</v>
      </c>
      <c r="L26" s="119"/>
    </row>
    <row r="27" spans="1:14" s="32" customFormat="1" ht="14.25" customHeight="1" x14ac:dyDescent="0.25">
      <c r="A27" s="13" t="s">
        <v>11492</v>
      </c>
      <c r="B27" s="32" t="s">
        <v>13</v>
      </c>
      <c r="C27" s="32" t="s">
        <v>14</v>
      </c>
      <c r="D27" s="33">
        <v>13192</v>
      </c>
      <c r="E27" s="13" t="s">
        <v>11493</v>
      </c>
      <c r="F27" s="34">
        <v>39660</v>
      </c>
      <c r="G27" s="34">
        <v>40497</v>
      </c>
      <c r="H27" s="4" t="s">
        <v>2039</v>
      </c>
      <c r="I27" s="94">
        <v>-84.96</v>
      </c>
      <c r="J27" s="94">
        <v>-84.96</v>
      </c>
      <c r="K27" s="38" t="s">
        <v>5815</v>
      </c>
      <c r="L27" s="119"/>
    </row>
    <row r="28" spans="1:14" s="4" customFormat="1" ht="14.25" customHeight="1" x14ac:dyDescent="0.2">
      <c r="A28" s="95" t="s">
        <v>11629</v>
      </c>
      <c r="D28" s="35">
        <v>9200</v>
      </c>
      <c r="E28" s="95" t="s">
        <v>11629</v>
      </c>
      <c r="F28" s="96">
        <v>39814</v>
      </c>
      <c r="H28" s="4" t="s">
        <v>40</v>
      </c>
      <c r="I28" s="6">
        <v>-13.29</v>
      </c>
      <c r="J28" s="6">
        <v>-13.29</v>
      </c>
      <c r="K28" s="37" t="s">
        <v>5815</v>
      </c>
      <c r="L28" s="119"/>
      <c r="M28" s="3"/>
    </row>
    <row r="29" spans="1:14" s="13" customFormat="1" ht="14.25" customHeight="1" x14ac:dyDescent="0.25">
      <c r="A29" s="13" t="s">
        <v>10925</v>
      </c>
      <c r="B29" s="13" t="s">
        <v>13</v>
      </c>
      <c r="C29" s="13" t="s">
        <v>14</v>
      </c>
      <c r="D29" s="19">
        <v>1971</v>
      </c>
      <c r="E29" s="13" t="s">
        <v>10926</v>
      </c>
      <c r="F29" s="14">
        <v>39083</v>
      </c>
      <c r="H29" s="13" t="s">
        <v>651</v>
      </c>
      <c r="I29" s="18">
        <f>-1236.86-2.38-31.22-3.68</f>
        <v>-1274.1400000000001</v>
      </c>
      <c r="J29" s="18">
        <v>-1274.1400000000001</v>
      </c>
      <c r="K29" s="20" t="s">
        <v>6182</v>
      </c>
      <c r="L29" s="120"/>
    </row>
    <row r="30" spans="1:14" s="4" customFormat="1" ht="14.25" customHeight="1" x14ac:dyDescent="0.25">
      <c r="A30" s="4" t="s">
        <v>6345</v>
      </c>
      <c r="B30" s="4" t="s">
        <v>38</v>
      </c>
      <c r="C30" s="4" t="s">
        <v>14</v>
      </c>
      <c r="D30" s="35">
        <v>2024</v>
      </c>
      <c r="E30" s="4" t="s">
        <v>6346</v>
      </c>
      <c r="F30" s="5">
        <v>39475</v>
      </c>
      <c r="G30" s="5">
        <v>40178</v>
      </c>
      <c r="H30" s="4" t="s">
        <v>40</v>
      </c>
      <c r="I30" s="6">
        <v>0</v>
      </c>
      <c r="J30" s="6">
        <v>0</v>
      </c>
      <c r="K30" s="37" t="s">
        <v>6182</v>
      </c>
      <c r="L30" s="120"/>
      <c r="M30" s="3"/>
    </row>
    <row r="31" spans="1:14" s="4" customFormat="1" ht="14.25" customHeight="1" x14ac:dyDescent="0.25">
      <c r="A31" s="4" t="s">
        <v>6355</v>
      </c>
      <c r="B31" s="4" t="s">
        <v>38</v>
      </c>
      <c r="C31" s="4" t="s">
        <v>14</v>
      </c>
      <c r="D31" s="35">
        <v>2031</v>
      </c>
      <c r="E31" s="4" t="s">
        <v>6356</v>
      </c>
      <c r="F31" s="5">
        <v>39475</v>
      </c>
      <c r="G31" s="5">
        <v>39798</v>
      </c>
      <c r="H31" s="4" t="s">
        <v>40</v>
      </c>
      <c r="I31" s="6">
        <v>0</v>
      </c>
      <c r="J31" s="6">
        <v>0</v>
      </c>
      <c r="K31" s="37" t="s">
        <v>6182</v>
      </c>
      <c r="L31" s="120"/>
      <c r="M31" s="3"/>
    </row>
    <row r="32" spans="1:14" s="13" customFormat="1" ht="14.25" customHeight="1" x14ac:dyDescent="0.25">
      <c r="A32" s="13" t="s">
        <v>11075</v>
      </c>
      <c r="B32" s="13" t="s">
        <v>38</v>
      </c>
      <c r="C32" s="13" t="s">
        <v>14</v>
      </c>
      <c r="D32" s="19">
        <v>3227</v>
      </c>
      <c r="E32" s="13" t="s">
        <v>11075</v>
      </c>
      <c r="F32" s="14">
        <v>39083</v>
      </c>
      <c r="H32" s="13" t="s">
        <v>651</v>
      </c>
      <c r="I32" s="18">
        <f>-133.69-9-7789.05-78.66</f>
        <v>-8010.4</v>
      </c>
      <c r="J32" s="18">
        <v>-8010.4</v>
      </c>
      <c r="K32" s="20" t="s">
        <v>7102</v>
      </c>
      <c r="L32" s="120"/>
    </row>
    <row r="33" spans="1:14" s="4" customFormat="1" ht="14.25" customHeight="1" x14ac:dyDescent="0.25">
      <c r="A33" s="4" t="s">
        <v>7527</v>
      </c>
      <c r="B33" s="4" t="s">
        <v>38</v>
      </c>
      <c r="C33" s="4" t="s">
        <v>14</v>
      </c>
      <c r="D33" s="35">
        <v>699</v>
      </c>
      <c r="E33" s="4" t="s">
        <v>7528</v>
      </c>
      <c r="F33" s="5">
        <v>39084</v>
      </c>
      <c r="G33" s="5">
        <v>39380</v>
      </c>
      <c r="H33" s="4" t="s">
        <v>40</v>
      </c>
      <c r="I33" s="6">
        <v>0</v>
      </c>
      <c r="J33" s="6">
        <v>0</v>
      </c>
      <c r="K33" s="37" t="s">
        <v>7456</v>
      </c>
      <c r="L33" s="119"/>
      <c r="M33" s="3"/>
    </row>
    <row r="34" spans="1:14" s="4" customFormat="1" ht="14.25" customHeight="1" x14ac:dyDescent="0.25">
      <c r="A34" s="4" t="s">
        <v>8046</v>
      </c>
      <c r="B34" s="4" t="s">
        <v>13</v>
      </c>
      <c r="C34" s="4" t="s">
        <v>14</v>
      </c>
      <c r="D34" s="35">
        <v>2217</v>
      </c>
      <c r="E34" s="4" t="s">
        <v>8047</v>
      </c>
      <c r="F34" s="5">
        <v>39114</v>
      </c>
      <c r="G34" s="5">
        <v>41639</v>
      </c>
      <c r="H34" s="4" t="s">
        <v>40</v>
      </c>
      <c r="I34" s="6">
        <v>0</v>
      </c>
      <c r="J34" s="6">
        <v>0</v>
      </c>
      <c r="K34" s="37" t="s">
        <v>7941</v>
      </c>
      <c r="L34" s="119"/>
      <c r="M34" s="3"/>
    </row>
    <row r="35" spans="1:14" s="4" customFormat="1" ht="14.25" customHeight="1" x14ac:dyDescent="0.25">
      <c r="A35" s="4" t="s">
        <v>8053</v>
      </c>
      <c r="B35" s="4" t="s">
        <v>13</v>
      </c>
      <c r="C35" s="4" t="s">
        <v>14</v>
      </c>
      <c r="D35" s="35">
        <v>2224</v>
      </c>
      <c r="E35" s="4" t="s">
        <v>8054</v>
      </c>
      <c r="F35" s="5">
        <v>39114</v>
      </c>
      <c r="G35" s="5">
        <v>41639</v>
      </c>
      <c r="H35" s="4" t="s">
        <v>40</v>
      </c>
      <c r="I35" s="6">
        <v>0</v>
      </c>
      <c r="J35" s="6">
        <v>0</v>
      </c>
      <c r="K35" s="37" t="s">
        <v>7941</v>
      </c>
      <c r="L35" s="119"/>
      <c r="M35" s="3"/>
    </row>
    <row r="36" spans="1:14" s="21" customFormat="1" ht="12.75" x14ac:dyDescent="0.25">
      <c r="A36" s="21" t="s">
        <v>11639</v>
      </c>
      <c r="B36" s="4" t="s">
        <v>183</v>
      </c>
      <c r="C36" s="21" t="s">
        <v>14</v>
      </c>
      <c r="D36" s="36">
        <v>7660</v>
      </c>
      <c r="E36" s="4" t="s">
        <v>11640</v>
      </c>
      <c r="F36" s="22">
        <v>40522</v>
      </c>
      <c r="G36" s="22">
        <v>40543</v>
      </c>
      <c r="H36" s="21" t="s">
        <v>40</v>
      </c>
      <c r="I36" s="23">
        <v>0</v>
      </c>
      <c r="J36" s="23">
        <v>-63000</v>
      </c>
      <c r="K36" s="38" t="s">
        <v>8348</v>
      </c>
      <c r="L36" s="123"/>
      <c r="M36" s="24"/>
      <c r="N36" s="24"/>
    </row>
    <row r="37" spans="1:14" s="21" customFormat="1" ht="14.25" customHeight="1" x14ac:dyDescent="0.25">
      <c r="A37" s="21" t="s">
        <v>11641</v>
      </c>
      <c r="B37" s="4" t="s">
        <v>38</v>
      </c>
      <c r="C37" s="21" t="s">
        <v>14</v>
      </c>
      <c r="D37" s="36">
        <v>5791</v>
      </c>
      <c r="E37" s="4" t="s">
        <v>11642</v>
      </c>
      <c r="F37" s="22">
        <v>39814</v>
      </c>
      <c r="G37" s="22">
        <v>40543</v>
      </c>
      <c r="H37" s="21" t="s">
        <v>40</v>
      </c>
      <c r="I37" s="23">
        <v>-770.36</v>
      </c>
      <c r="J37" s="23">
        <v>-770.36</v>
      </c>
      <c r="K37" s="37" t="s">
        <v>8905</v>
      </c>
      <c r="L37" s="120"/>
      <c r="M37" s="24"/>
      <c r="N37" s="24"/>
    </row>
    <row r="38" spans="1:14" s="4" customFormat="1" ht="14.25" customHeight="1" x14ac:dyDescent="0.25">
      <c r="A38" s="4" t="s">
        <v>9409</v>
      </c>
      <c r="B38" s="4" t="s">
        <v>38</v>
      </c>
      <c r="C38" s="4" t="s">
        <v>14</v>
      </c>
      <c r="D38" s="35">
        <v>1141</v>
      </c>
      <c r="E38" s="4" t="s">
        <v>9410</v>
      </c>
      <c r="F38" s="5">
        <v>39120</v>
      </c>
      <c r="G38" s="5">
        <v>41639</v>
      </c>
      <c r="H38" s="4" t="s">
        <v>40</v>
      </c>
      <c r="I38" s="6">
        <v>0</v>
      </c>
      <c r="J38" s="6">
        <v>0</v>
      </c>
      <c r="K38" s="37" t="s">
        <v>9243</v>
      </c>
      <c r="L38" s="119"/>
    </row>
    <row r="39" spans="1:14" s="4" customFormat="1" ht="14.25" customHeight="1" x14ac:dyDescent="0.2">
      <c r="A39" s="95" t="s">
        <v>11621</v>
      </c>
      <c r="C39" s="4" t="s">
        <v>14</v>
      </c>
      <c r="D39" s="35">
        <v>5901</v>
      </c>
      <c r="E39" s="95" t="s">
        <v>11622</v>
      </c>
      <c r="F39" s="96">
        <v>39814</v>
      </c>
      <c r="G39" s="96">
        <v>40178</v>
      </c>
      <c r="H39" s="4" t="s">
        <v>40</v>
      </c>
      <c r="I39" s="6">
        <v>-300</v>
      </c>
      <c r="J39" s="6">
        <v>-300</v>
      </c>
      <c r="K39" s="37" t="s">
        <v>9751</v>
      </c>
      <c r="L39" s="120"/>
      <c r="M39" s="3"/>
    </row>
    <row r="40" spans="1:14" s="4" customFormat="1" ht="14.25" customHeight="1" x14ac:dyDescent="0.2">
      <c r="A40" s="95" t="s">
        <v>11623</v>
      </c>
      <c r="C40" s="4" t="s">
        <v>14</v>
      </c>
      <c r="D40" s="35">
        <v>5902</v>
      </c>
      <c r="E40" s="95" t="s">
        <v>11624</v>
      </c>
      <c r="F40" s="96">
        <v>39814</v>
      </c>
      <c r="G40" s="96">
        <v>40178</v>
      </c>
      <c r="H40" s="4" t="s">
        <v>40</v>
      </c>
      <c r="I40" s="6">
        <v>-139.16999999999999</v>
      </c>
      <c r="J40" s="6">
        <v>-139.16999999999999</v>
      </c>
      <c r="K40" s="37" t="s">
        <v>9751</v>
      </c>
      <c r="L40" s="120"/>
      <c r="M40" s="3"/>
    </row>
    <row r="41" spans="1:14" s="4" customFormat="1" ht="14.25" customHeight="1" x14ac:dyDescent="0.2">
      <c r="A41" s="95" t="s">
        <v>11625</v>
      </c>
      <c r="C41" s="4" t="s">
        <v>14</v>
      </c>
      <c r="D41" s="35">
        <v>5904</v>
      </c>
      <c r="E41" s="95" t="s">
        <v>11626</v>
      </c>
      <c r="F41" s="5">
        <v>39814</v>
      </c>
      <c r="G41" s="5">
        <v>40908</v>
      </c>
      <c r="H41" s="4" t="s">
        <v>40</v>
      </c>
      <c r="I41" s="6">
        <v>-15</v>
      </c>
      <c r="J41" s="6">
        <v>-15</v>
      </c>
      <c r="K41" s="37" t="s">
        <v>9751</v>
      </c>
      <c r="L41" s="120"/>
      <c r="M41" s="3"/>
    </row>
    <row r="42" spans="1:14" s="4" customFormat="1" ht="14.25" customHeight="1" x14ac:dyDescent="0.2">
      <c r="A42" s="95" t="s">
        <v>11627</v>
      </c>
      <c r="C42" s="4" t="s">
        <v>14</v>
      </c>
      <c r="D42" s="35">
        <v>5905</v>
      </c>
      <c r="E42" s="95" t="s">
        <v>11628</v>
      </c>
      <c r="F42" s="5">
        <v>39814</v>
      </c>
      <c r="G42" s="5">
        <v>40908</v>
      </c>
      <c r="H42" s="4" t="s">
        <v>40</v>
      </c>
      <c r="I42" s="6">
        <v>-162.91999999999999</v>
      </c>
      <c r="J42" s="6">
        <v>-162.91</v>
      </c>
      <c r="K42" s="37" t="s">
        <v>9751</v>
      </c>
      <c r="L42" s="120"/>
      <c r="M42" s="3"/>
    </row>
    <row r="43" spans="1:14" s="4" customFormat="1" ht="14.25" customHeight="1" x14ac:dyDescent="0.25">
      <c r="A43" s="4" t="s">
        <v>7440</v>
      </c>
      <c r="B43" s="4" t="s">
        <v>13</v>
      </c>
      <c r="C43" s="4" t="s">
        <v>14</v>
      </c>
      <c r="D43" s="35">
        <v>4259</v>
      </c>
      <c r="E43" s="7" t="s">
        <v>7441</v>
      </c>
      <c r="F43" s="5">
        <v>39132</v>
      </c>
      <c r="H43" s="4" t="s">
        <v>7442</v>
      </c>
      <c r="I43" s="6">
        <v>38349239.659999996</v>
      </c>
      <c r="J43" s="6">
        <v>38349239.659999996</v>
      </c>
      <c r="K43" s="37" t="s">
        <v>7443</v>
      </c>
      <c r="L43" s="119"/>
      <c r="M43" s="3"/>
    </row>
    <row r="44" spans="1:14" s="4" customFormat="1" ht="14.25" customHeight="1" x14ac:dyDescent="0.25">
      <c r="A44" s="4" t="s">
        <v>7444</v>
      </c>
      <c r="B44" s="4" t="s">
        <v>13</v>
      </c>
      <c r="C44" s="4" t="s">
        <v>14</v>
      </c>
      <c r="D44" s="35" t="s">
        <v>11656</v>
      </c>
      <c r="E44" s="7" t="s">
        <v>7445</v>
      </c>
      <c r="F44" s="5"/>
      <c r="H44" s="4" t="s">
        <v>7446</v>
      </c>
      <c r="I44" s="6">
        <v>2173743.37</v>
      </c>
      <c r="J44" s="6">
        <v>2173743.37</v>
      </c>
      <c r="K44" s="37" t="s">
        <v>7443</v>
      </c>
      <c r="L44" s="119"/>
      <c r="M44" s="3"/>
    </row>
    <row r="45" spans="1:14" s="4" customFormat="1" ht="14.25" customHeight="1" x14ac:dyDescent="0.25">
      <c r="A45" s="4" t="s">
        <v>7447</v>
      </c>
      <c r="B45" s="4" t="s">
        <v>13</v>
      </c>
      <c r="C45" s="4" t="s">
        <v>14</v>
      </c>
      <c r="D45" s="35">
        <v>9970</v>
      </c>
      <c r="E45" s="4" t="s">
        <v>7448</v>
      </c>
      <c r="F45" s="5">
        <v>40129</v>
      </c>
      <c r="G45" s="5">
        <v>40364</v>
      </c>
      <c r="H45" s="4" t="s">
        <v>16</v>
      </c>
      <c r="I45" s="6">
        <v>22478</v>
      </c>
      <c r="J45" s="6">
        <v>6743.4</v>
      </c>
      <c r="K45" s="37" t="s">
        <v>7443</v>
      </c>
      <c r="L45" s="119"/>
      <c r="M45" s="3"/>
    </row>
    <row r="46" spans="1:14" s="4" customFormat="1" ht="14.25" customHeight="1" x14ac:dyDescent="0.25">
      <c r="A46" s="4" t="s">
        <v>7449</v>
      </c>
      <c r="B46" s="4" t="s">
        <v>13</v>
      </c>
      <c r="C46" s="4" t="s">
        <v>14</v>
      </c>
      <c r="D46" s="35">
        <v>10060</v>
      </c>
      <c r="E46" s="4" t="s">
        <v>7450</v>
      </c>
      <c r="F46" s="5">
        <v>40128</v>
      </c>
      <c r="G46" s="5">
        <v>40673</v>
      </c>
      <c r="H46" s="4" t="s">
        <v>16</v>
      </c>
      <c r="I46" s="6">
        <v>158780</v>
      </c>
      <c r="J46" s="6">
        <v>42000</v>
      </c>
      <c r="K46" s="37" t="s">
        <v>7443</v>
      </c>
      <c r="L46" s="119"/>
      <c r="M46" s="3"/>
    </row>
    <row r="47" spans="1:14" s="4" customFormat="1" ht="14.25" customHeight="1" x14ac:dyDescent="0.25">
      <c r="A47" s="4" t="s">
        <v>7451</v>
      </c>
      <c r="B47" s="4" t="s">
        <v>13</v>
      </c>
      <c r="C47" s="4" t="s">
        <v>14</v>
      </c>
      <c r="D47" s="35">
        <v>9912</v>
      </c>
      <c r="E47" s="7" t="s">
        <v>7452</v>
      </c>
      <c r="F47" s="5">
        <v>40794</v>
      </c>
      <c r="G47" s="5">
        <v>40899</v>
      </c>
      <c r="H47" s="4" t="s">
        <v>389</v>
      </c>
      <c r="I47" s="6">
        <v>264932.52</v>
      </c>
      <c r="J47" s="6">
        <v>52986.5</v>
      </c>
      <c r="K47" s="37" t="s">
        <v>7443</v>
      </c>
      <c r="L47" s="119"/>
      <c r="M47" s="3"/>
    </row>
    <row r="48" spans="1:14" s="4" customFormat="1" ht="12.75" x14ac:dyDescent="0.25">
      <c r="D48" s="35"/>
      <c r="F48" s="5"/>
      <c r="G48" s="5"/>
      <c r="I48" s="6"/>
      <c r="J48" s="6"/>
      <c r="K48" s="37"/>
      <c r="L48" s="119"/>
      <c r="M48" s="3"/>
    </row>
    <row r="49" spans="4:13" s="4" customFormat="1" ht="12.75" x14ac:dyDescent="0.25">
      <c r="D49" s="35"/>
      <c r="F49" s="5"/>
      <c r="I49" s="6"/>
      <c r="J49" s="6"/>
      <c r="K49" s="37"/>
      <c r="L49" s="119"/>
      <c r="M49" s="3"/>
    </row>
    <row r="51" spans="4:13" x14ac:dyDescent="0.25">
      <c r="I51" s="126">
        <f>SUM(I2:I50)</f>
        <v>40934934.109999999</v>
      </c>
      <c r="J51" s="126">
        <f>SUM(J2:J50)</f>
        <v>40527473.499999993</v>
      </c>
    </row>
  </sheetData>
  <printOptions gridLines="1"/>
  <pageMargins left="0.70866141732283472" right="0.70866141732283472" top="0.74803149606299213" bottom="0.74803149606299213" header="0.31496062992125984" footer="0.31496062992125984"/>
  <pageSetup paperSize="9"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W28"/>
  <sheetViews>
    <sheetView topLeftCell="M1" workbookViewId="0">
      <pane ySplit="2" topLeftCell="A3" activePane="bottomLeft" state="frozen"/>
      <selection activeCell="Q1" sqref="Q1"/>
      <selection pane="bottomLeft" activeCell="O21" sqref="O21"/>
    </sheetView>
  </sheetViews>
  <sheetFormatPr defaultRowHeight="15" x14ac:dyDescent="0.25"/>
  <cols>
    <col min="1" max="1" width="14.5703125" style="153" bestFit="1" customWidth="1"/>
    <col min="2" max="3" width="15.5703125" style="125" customWidth="1"/>
    <col min="4" max="5" width="14.85546875" style="125" customWidth="1"/>
    <col min="6" max="7" width="15.42578125" style="125" customWidth="1"/>
    <col min="8" max="9" width="12.140625" style="125" customWidth="1"/>
    <col min="10" max="11" width="13.28515625" style="125" customWidth="1"/>
    <col min="12" max="19" width="12.140625" style="125" customWidth="1"/>
    <col min="20" max="21" width="13.28515625" style="125" customWidth="1"/>
    <col min="22" max="23" width="15.140625" style="125" customWidth="1"/>
    <col min="24" max="27" width="12.140625" style="125" customWidth="1"/>
    <col min="28" max="29" width="15.140625" style="125" customWidth="1"/>
    <col min="30" max="31" width="12.140625" style="125" customWidth="1"/>
    <col min="32" max="33" width="14.140625" style="125" customWidth="1"/>
    <col min="34" max="35" width="12.140625" style="125" customWidth="1"/>
    <col min="36" max="39" width="13.28515625" style="125" customWidth="1"/>
    <col min="40" max="41" width="12.85546875" style="125" customWidth="1"/>
    <col min="42" max="43" width="13.28515625" style="125" customWidth="1"/>
    <col min="44" max="44" width="14.28515625" style="130" bestFit="1" customWidth="1"/>
    <col min="45" max="45" width="19.28515625" style="125" customWidth="1"/>
    <col min="46" max="16384" width="9.140625" style="125"/>
  </cols>
  <sheetData>
    <row r="1" spans="1:49" s="114" customFormat="1" x14ac:dyDescent="0.25">
      <c r="A1" s="154"/>
      <c r="B1" s="162" t="s">
        <v>2650</v>
      </c>
      <c r="C1" s="162"/>
      <c r="D1" s="162" t="s">
        <v>11751</v>
      </c>
      <c r="E1" s="162"/>
      <c r="F1" s="162" t="s">
        <v>11752</v>
      </c>
      <c r="G1" s="162"/>
      <c r="H1" s="162" t="s">
        <v>4035</v>
      </c>
      <c r="I1" s="162"/>
      <c r="J1" s="162" t="s">
        <v>4667</v>
      </c>
      <c r="K1" s="162"/>
      <c r="L1" s="162" t="s">
        <v>6720</v>
      </c>
      <c r="M1" s="162"/>
      <c r="N1" s="162" t="s">
        <v>9751</v>
      </c>
      <c r="O1" s="162"/>
      <c r="P1" s="162" t="s">
        <v>356</v>
      </c>
      <c r="Q1" s="162"/>
      <c r="R1" s="162" t="s">
        <v>11753</v>
      </c>
      <c r="S1" s="162"/>
      <c r="T1" s="162" t="s">
        <v>5815</v>
      </c>
      <c r="U1" s="162"/>
      <c r="V1" s="162" t="s">
        <v>11754</v>
      </c>
      <c r="W1" s="162"/>
      <c r="X1" s="162" t="s">
        <v>17</v>
      </c>
      <c r="Y1" s="162"/>
      <c r="Z1" s="162" t="s">
        <v>5018</v>
      </c>
      <c r="AA1" s="162"/>
      <c r="AB1" s="162" t="s">
        <v>11755</v>
      </c>
      <c r="AC1" s="162"/>
      <c r="AD1" s="162" t="s">
        <v>11756</v>
      </c>
      <c r="AE1" s="162"/>
      <c r="AF1" s="162" t="s">
        <v>8348</v>
      </c>
      <c r="AG1" s="162"/>
      <c r="AH1" s="162" t="s">
        <v>9243</v>
      </c>
      <c r="AI1" s="162"/>
      <c r="AJ1" s="162" t="s">
        <v>11757</v>
      </c>
      <c r="AK1" s="162"/>
      <c r="AL1" s="162" t="s">
        <v>2033</v>
      </c>
      <c r="AM1" s="162"/>
      <c r="AN1" s="162" t="s">
        <v>4318</v>
      </c>
      <c r="AO1" s="162"/>
      <c r="AP1" s="162" t="s">
        <v>7443</v>
      </c>
      <c r="AQ1" s="162"/>
      <c r="AR1" s="134"/>
    </row>
    <row r="2" spans="1:49" ht="38.25" x14ac:dyDescent="0.25">
      <c r="B2" s="2" t="s">
        <v>8</v>
      </c>
      <c r="C2" s="158" t="s">
        <v>9</v>
      </c>
      <c r="D2" s="2" t="s">
        <v>8</v>
      </c>
      <c r="E2" s="158" t="s">
        <v>9</v>
      </c>
      <c r="F2" s="2" t="s">
        <v>8</v>
      </c>
      <c r="G2" s="158" t="s">
        <v>9</v>
      </c>
      <c r="H2" s="2" t="s">
        <v>8</v>
      </c>
      <c r="I2" s="158" t="s">
        <v>9</v>
      </c>
      <c r="J2" s="2" t="s">
        <v>8</v>
      </c>
      <c r="K2" s="158" t="s">
        <v>9</v>
      </c>
      <c r="L2" s="2" t="s">
        <v>8</v>
      </c>
      <c r="M2" s="158" t="s">
        <v>9</v>
      </c>
      <c r="N2" s="2" t="s">
        <v>8</v>
      </c>
      <c r="O2" s="158" t="s">
        <v>9</v>
      </c>
      <c r="P2" s="2" t="s">
        <v>8</v>
      </c>
      <c r="Q2" s="158" t="s">
        <v>9</v>
      </c>
      <c r="R2" s="2" t="s">
        <v>8</v>
      </c>
      <c r="S2" s="158" t="s">
        <v>9</v>
      </c>
      <c r="T2" s="2" t="s">
        <v>8</v>
      </c>
      <c r="U2" s="158" t="s">
        <v>9</v>
      </c>
      <c r="V2" s="2" t="s">
        <v>8</v>
      </c>
      <c r="W2" s="158" t="s">
        <v>9</v>
      </c>
      <c r="X2" s="2" t="s">
        <v>8</v>
      </c>
      <c r="Y2" s="158" t="s">
        <v>9</v>
      </c>
      <c r="Z2" s="2" t="s">
        <v>8</v>
      </c>
      <c r="AA2" s="158" t="s">
        <v>9</v>
      </c>
      <c r="AB2" s="2" t="s">
        <v>8</v>
      </c>
      <c r="AC2" s="158" t="s">
        <v>9</v>
      </c>
      <c r="AD2" s="2" t="s">
        <v>8</v>
      </c>
      <c r="AE2" s="158" t="s">
        <v>9</v>
      </c>
      <c r="AF2" s="2" t="s">
        <v>8</v>
      </c>
      <c r="AG2" s="158" t="s">
        <v>9</v>
      </c>
      <c r="AH2" s="2" t="s">
        <v>8</v>
      </c>
      <c r="AI2" s="158" t="s">
        <v>9</v>
      </c>
      <c r="AJ2" s="2" t="s">
        <v>8</v>
      </c>
      <c r="AK2" s="158" t="s">
        <v>9</v>
      </c>
      <c r="AL2" s="2" t="s">
        <v>8</v>
      </c>
      <c r="AM2" s="158" t="s">
        <v>9</v>
      </c>
      <c r="AN2" s="2" t="s">
        <v>8</v>
      </c>
      <c r="AO2" s="158" t="s">
        <v>9</v>
      </c>
      <c r="AP2" s="2" t="s">
        <v>8</v>
      </c>
      <c r="AQ2" s="158" t="s">
        <v>9</v>
      </c>
      <c r="AR2" s="2" t="s">
        <v>8</v>
      </c>
      <c r="AS2" s="158" t="s">
        <v>9</v>
      </c>
    </row>
    <row r="3" spans="1:49" x14ac:dyDescent="0.25">
      <c r="A3" s="154" t="s">
        <v>11780</v>
      </c>
      <c r="B3" s="127"/>
      <c r="C3" s="156"/>
      <c r="D3" s="127">
        <f>SUM(MASTER!I4781)</f>
        <v>956630.83000000007</v>
      </c>
      <c r="E3" s="156">
        <f>SUM(MASTER!J4781)</f>
        <v>956630.83000000007</v>
      </c>
      <c r="F3" s="127"/>
      <c r="G3" s="156"/>
      <c r="H3" s="127"/>
      <c r="I3" s="156"/>
      <c r="J3" s="127"/>
      <c r="K3" s="156"/>
      <c r="L3" s="127"/>
      <c r="M3" s="156"/>
      <c r="N3" s="127"/>
      <c r="O3" s="156"/>
      <c r="P3" s="127"/>
      <c r="Q3" s="156"/>
      <c r="R3" s="127"/>
      <c r="S3" s="156"/>
      <c r="T3" s="127">
        <f>SUM(MASTER!I3758)</f>
        <v>905249.1</v>
      </c>
      <c r="U3" s="156">
        <f>SUM(MASTER!J3758)</f>
        <v>905249.1</v>
      </c>
      <c r="V3" s="127"/>
      <c r="W3" s="156"/>
      <c r="X3" s="127"/>
      <c r="Y3" s="156"/>
      <c r="Z3" s="127"/>
      <c r="AA3" s="156"/>
      <c r="AB3" s="127"/>
      <c r="AC3" s="156"/>
      <c r="AD3" s="127"/>
      <c r="AE3" s="156"/>
      <c r="AF3" s="127">
        <f>SUM(MASTER!I5305)</f>
        <v>835928.85</v>
      </c>
      <c r="AG3" s="156">
        <f>SUM(MASTER!J5305)</f>
        <v>835928.85</v>
      </c>
      <c r="AH3" s="127"/>
      <c r="AI3" s="156"/>
      <c r="AJ3" s="127"/>
      <c r="AK3" s="156"/>
      <c r="AL3" s="127">
        <f>SUM(MASTER!I1534)</f>
        <v>2504608.38</v>
      </c>
      <c r="AM3" s="156">
        <f>SUM(MASTER!J1534)</f>
        <v>2504608.38</v>
      </c>
      <c r="AN3" s="127">
        <f>SUM(MASTER!I2799)</f>
        <v>1257924.28</v>
      </c>
      <c r="AO3" s="156">
        <f>SUM(MASTER!J2799)</f>
        <v>1257924.28</v>
      </c>
      <c r="AP3" s="127"/>
      <c r="AQ3" s="156"/>
      <c r="AR3" s="129">
        <f>SUM(B3+D3+F3+H3+J3+L3+N3+P3+R3+T3+V3+X3+Z3+AB3+AD3+AF3+AH3+AJ3+AL3+AN3+AP3)</f>
        <v>6460341.4400000004</v>
      </c>
      <c r="AS3" s="156">
        <f>SUM(C3+E3+G3+I3+K3+M3+O3+Q3+S3+U3+W3+Y3+AA3+AC3+AE3+AG3+AI3+AK3+AM3+AO3+AQ3)</f>
        <v>6460341.4400000004</v>
      </c>
    </row>
    <row r="4" spans="1:49" x14ac:dyDescent="0.25">
      <c r="A4" s="154" t="s">
        <v>11741</v>
      </c>
      <c r="B4" s="127">
        <f>SUM(MASTER!I2184)</f>
        <v>32568898.240000017</v>
      </c>
      <c r="C4" s="156">
        <f>SUM(MASTER!J2184)</f>
        <v>32568898.240000017</v>
      </c>
      <c r="D4" s="127">
        <f>SUM(MASTER!I4783)</f>
        <v>179232</v>
      </c>
      <c r="E4" s="156">
        <f>SUM(MASTER!J4783)</f>
        <v>179232</v>
      </c>
      <c r="F4" s="127"/>
      <c r="G4" s="156"/>
      <c r="H4" s="127">
        <f>SUM(MASTER!I2598)</f>
        <v>88458.78</v>
      </c>
      <c r="I4" s="156">
        <f>SUM(MASTER!J2598)</f>
        <v>88458.78</v>
      </c>
      <c r="J4" s="127">
        <f>SUM(MASTER!I3001)</f>
        <v>3128950.8099999996</v>
      </c>
      <c r="K4" s="156">
        <f>SUM(MASTER!J3001)</f>
        <v>3128950.81</v>
      </c>
      <c r="L4" s="127"/>
      <c r="M4" s="156"/>
      <c r="N4" s="127"/>
      <c r="O4" s="156"/>
      <c r="P4" s="127"/>
      <c r="Q4" s="156"/>
      <c r="R4" s="127"/>
      <c r="S4" s="156"/>
      <c r="T4" s="127">
        <f>SUM(MASTER!I3759)</f>
        <v>3648267.92</v>
      </c>
      <c r="U4" s="156">
        <f>SUM(MASTER!J3759)</f>
        <v>3648267.92</v>
      </c>
      <c r="V4" s="127"/>
      <c r="W4" s="156"/>
      <c r="X4" s="127"/>
      <c r="Y4" s="156"/>
      <c r="Z4" s="127"/>
      <c r="AA4" s="156"/>
      <c r="AB4" s="127"/>
      <c r="AC4" s="156"/>
      <c r="AD4" s="127"/>
      <c r="AE4" s="156"/>
      <c r="AF4" s="127">
        <f>SUM(MASTER!I5307)</f>
        <v>5218526.6399999987</v>
      </c>
      <c r="AG4" s="156">
        <f>SUM(MASTER!J5307)</f>
        <v>5218526.6399999987</v>
      </c>
      <c r="AH4" s="127"/>
      <c r="AI4" s="156"/>
      <c r="AJ4" s="127"/>
      <c r="AK4" s="156"/>
      <c r="AL4" s="127">
        <f>SUM(MASTER!I1536)</f>
        <v>9673199.8800000008</v>
      </c>
      <c r="AM4" s="156">
        <f>SUM(MASTER!J1536)</f>
        <v>9673199.8760000002</v>
      </c>
      <c r="AN4" s="127"/>
      <c r="AO4" s="156"/>
      <c r="AP4" s="127"/>
      <c r="AQ4" s="156"/>
      <c r="AR4" s="129">
        <f t="shared" ref="AR4:AS16" si="0">SUM(B4+D4+F4+H4+J4+L4+N4+P4+R4+T4+V4+X4+Z4+AB4+AD4+AF4+AH4+AJ4+AL4+AN4+AP4)</f>
        <v>54505534.270000026</v>
      </c>
      <c r="AS4" s="156">
        <f t="shared" si="0"/>
        <v>54505534.266000025</v>
      </c>
      <c r="AT4" s="127"/>
    </row>
    <row r="5" spans="1:49" x14ac:dyDescent="0.25">
      <c r="A5" s="154" t="s">
        <v>11742</v>
      </c>
      <c r="B5" s="127">
        <f>SUM(MASTER!I2187)</f>
        <v>2108182.14</v>
      </c>
      <c r="C5" s="156">
        <f>SUM(MASTER!J2187)</f>
        <v>1054091.07</v>
      </c>
      <c r="D5" s="127"/>
      <c r="E5" s="156"/>
      <c r="F5" s="127"/>
      <c r="G5" s="156"/>
      <c r="H5" s="127"/>
      <c r="I5" s="156"/>
      <c r="J5" s="127">
        <f>SUM(MASTER!I3003)</f>
        <v>2264596.94</v>
      </c>
      <c r="K5" s="156">
        <f>SUM(MASTER!J3003)</f>
        <v>905838.78</v>
      </c>
      <c r="L5" s="127"/>
      <c r="M5" s="156"/>
      <c r="N5" s="127"/>
      <c r="O5" s="156"/>
      <c r="P5" s="127"/>
      <c r="Q5" s="156"/>
      <c r="R5" s="127"/>
      <c r="S5" s="156"/>
      <c r="T5" s="127">
        <f>SUM(MASTER!I3762)</f>
        <v>2669371</v>
      </c>
      <c r="U5" s="156">
        <f>SUM(MASTER!J3762)</f>
        <v>1067747</v>
      </c>
      <c r="V5" s="127"/>
      <c r="W5" s="156"/>
      <c r="X5" s="127"/>
      <c r="Y5" s="156"/>
      <c r="Z5" s="127"/>
      <c r="AA5" s="156"/>
      <c r="AB5" s="127"/>
      <c r="AC5" s="156"/>
      <c r="AD5" s="127"/>
      <c r="AE5" s="156"/>
      <c r="AF5" s="127"/>
      <c r="AG5" s="156"/>
      <c r="AH5" s="127"/>
      <c r="AI5" s="156"/>
      <c r="AJ5" s="127"/>
      <c r="AK5" s="156"/>
      <c r="AL5" s="127"/>
      <c r="AM5" s="156"/>
      <c r="AN5" s="127"/>
      <c r="AO5" s="156"/>
      <c r="AP5" s="127"/>
      <c r="AQ5" s="156"/>
      <c r="AR5" s="129">
        <f t="shared" si="0"/>
        <v>7042150.0800000001</v>
      </c>
      <c r="AS5" s="156">
        <f t="shared" si="0"/>
        <v>3027676.85</v>
      </c>
    </row>
    <row r="6" spans="1:49" x14ac:dyDescent="0.25">
      <c r="A6" s="154" t="s">
        <v>11743</v>
      </c>
      <c r="B6" s="127">
        <f>SUM(MASTER!I2189)</f>
        <v>36055604.390000008</v>
      </c>
      <c r="C6" s="156">
        <f>SUM(MASTER!J2189)</f>
        <v>36055604.390000008</v>
      </c>
      <c r="D6" s="127">
        <f>SUM(MASTER!I4787)</f>
        <v>5340557.5599999996</v>
      </c>
      <c r="E6" s="156">
        <f>SUM(MASTER!J4787)</f>
        <v>5340557.5599999996</v>
      </c>
      <c r="F6" s="127">
        <f>SUM(MASTER!I2432)</f>
        <v>5549189.1099999994</v>
      </c>
      <c r="G6" s="156">
        <f>SUM(MASTER!J2432)</f>
        <v>5549189.1099999994</v>
      </c>
      <c r="H6" s="127"/>
      <c r="I6" s="156"/>
      <c r="J6" s="127">
        <f>SUM(MASTER!I3005)</f>
        <v>3238190.07</v>
      </c>
      <c r="K6" s="156">
        <f>SUM(MASTER!J3005)</f>
        <v>3238190.07</v>
      </c>
      <c r="L6" s="127"/>
      <c r="M6" s="156"/>
      <c r="N6" s="127"/>
      <c r="O6" s="156"/>
      <c r="P6" s="127"/>
      <c r="Q6" s="156"/>
      <c r="R6" s="127"/>
      <c r="S6" s="156"/>
      <c r="T6" s="127">
        <f>SUM(MASTER!I3764)</f>
        <v>9660932.1600000001</v>
      </c>
      <c r="U6" s="156">
        <f>SUM(MASTER!J3764)</f>
        <v>9660932.1600000001</v>
      </c>
      <c r="V6" s="127"/>
      <c r="W6" s="156"/>
      <c r="X6" s="127"/>
      <c r="Y6" s="156"/>
      <c r="Z6" s="127"/>
      <c r="AA6" s="156"/>
      <c r="AB6" s="127"/>
      <c r="AC6" s="156"/>
      <c r="AD6" s="127"/>
      <c r="AE6" s="156"/>
      <c r="AF6" s="127"/>
      <c r="AG6" s="156"/>
      <c r="AH6" s="127"/>
      <c r="AI6" s="156"/>
      <c r="AJ6" s="127"/>
      <c r="AK6" s="156"/>
      <c r="AL6" s="127">
        <f>SUM(MASTER!I1540)</f>
        <v>35865229.990000002</v>
      </c>
      <c r="AM6" s="156">
        <f>SUM(MASTER!J1540)</f>
        <v>35865249.390000001</v>
      </c>
      <c r="AN6" s="127"/>
      <c r="AO6" s="156"/>
      <c r="AP6" s="127"/>
      <c r="AQ6" s="156"/>
      <c r="AR6" s="129">
        <f t="shared" si="0"/>
        <v>95709703.280000001</v>
      </c>
      <c r="AS6" s="156">
        <f t="shared" si="0"/>
        <v>95709722.680000007</v>
      </c>
    </row>
    <row r="7" spans="1:49" x14ac:dyDescent="0.25">
      <c r="A7" s="154" t="s">
        <v>11744</v>
      </c>
      <c r="B7" s="127">
        <f>SUM(MASTER!I2190)</f>
        <v>13136386.659999998</v>
      </c>
      <c r="C7" s="156">
        <f>SUM(MASTER!J2190)</f>
        <v>15071518.82</v>
      </c>
      <c r="D7" s="127"/>
      <c r="E7" s="156"/>
      <c r="F7" s="127">
        <f>SUM(MASTER!I2433)</f>
        <v>11626573.16</v>
      </c>
      <c r="G7" s="156">
        <f>SUM(MASTER!J2433)</f>
        <v>11626573.16</v>
      </c>
      <c r="H7" s="127"/>
      <c r="I7" s="156"/>
      <c r="J7" s="127">
        <f>SUM(MASTER!I3006)</f>
        <v>2215036.9299999997</v>
      </c>
      <c r="K7" s="156">
        <f>SUM(MASTER!J3006)</f>
        <v>2215036.9299999997</v>
      </c>
      <c r="L7" s="127"/>
      <c r="M7" s="156"/>
      <c r="N7" s="127"/>
      <c r="O7" s="156"/>
      <c r="P7" s="127"/>
      <c r="Q7" s="156"/>
      <c r="R7" s="127"/>
      <c r="S7" s="156"/>
      <c r="T7" s="127">
        <f>SUM(MASTER!I3765)</f>
        <v>1228084.54</v>
      </c>
      <c r="U7" s="156">
        <f>SUM(MASTER!J3765)</f>
        <v>1228084.54</v>
      </c>
      <c r="V7" s="127"/>
      <c r="W7" s="156"/>
      <c r="X7" s="127"/>
      <c r="Y7" s="156"/>
      <c r="Z7" s="127"/>
      <c r="AA7" s="156"/>
      <c r="AB7" s="127"/>
      <c r="AC7" s="156"/>
      <c r="AD7" s="127"/>
      <c r="AE7" s="156"/>
      <c r="AF7" s="127">
        <f>SUM(MASTER!I5309)</f>
        <v>374106.53</v>
      </c>
      <c r="AG7" s="156">
        <f>SUM(MASTER!J5309)</f>
        <v>374106.53</v>
      </c>
      <c r="AH7" s="127"/>
      <c r="AI7" s="156"/>
      <c r="AJ7" s="127"/>
      <c r="AK7" s="156"/>
      <c r="AL7" s="127">
        <f>SUM(MASTER!I1541)</f>
        <v>5003637.4000000004</v>
      </c>
      <c r="AM7" s="156">
        <f>SUM(MASTER!J1541)</f>
        <v>5003637.4000000004</v>
      </c>
      <c r="AN7" s="127"/>
      <c r="AO7" s="156"/>
      <c r="AP7" s="127"/>
      <c r="AQ7" s="156"/>
      <c r="AR7" s="129">
        <f t="shared" si="0"/>
        <v>33583825.219999999</v>
      </c>
      <c r="AS7" s="156">
        <f t="shared" si="0"/>
        <v>35518957.380000003</v>
      </c>
    </row>
    <row r="8" spans="1:49" x14ac:dyDescent="0.25">
      <c r="A8" s="154" t="s">
        <v>11745</v>
      </c>
      <c r="B8" s="129">
        <f>SUM(MASTER!I2188)</f>
        <v>5378959</v>
      </c>
      <c r="C8" s="156">
        <f>SUM(MASTER!J2188)</f>
        <v>4378667.4499999993</v>
      </c>
      <c r="D8" s="129">
        <f>SUM(MASTER!I4785)</f>
        <v>4459972.3399999989</v>
      </c>
      <c r="E8" s="156">
        <f>SUM(MASTER!J4785)</f>
        <v>3490449.9899999984</v>
      </c>
      <c r="F8" s="129">
        <f>SUM(MASTER!I2431)</f>
        <v>6877531.4999999981</v>
      </c>
      <c r="G8" s="156">
        <f>SUM(MASTER!J2431)</f>
        <v>5575569.6000000006</v>
      </c>
      <c r="H8" s="129">
        <f>SUM(MASTER!I2600)</f>
        <v>5598847.2300000023</v>
      </c>
      <c r="I8" s="156">
        <f>SUM(MASTER!J2600)</f>
        <v>4750856.9400000032</v>
      </c>
      <c r="J8" s="129">
        <f>SUM(MASTER!I3004)</f>
        <v>4175309.97</v>
      </c>
      <c r="K8" s="156">
        <f>SUM(MASTER!J3004)</f>
        <v>3356831.97</v>
      </c>
      <c r="L8" s="129">
        <f>SUM(MASTER!I4348)</f>
        <v>4323863.03</v>
      </c>
      <c r="M8" s="156">
        <f>SUM(MASTER!J4348)</f>
        <v>3501004.87</v>
      </c>
      <c r="N8" s="129">
        <f>SUM(MASTER!I6021)</f>
        <v>4990779.9800000004</v>
      </c>
      <c r="O8" s="156">
        <f>SUM(MASTER!J6021)</f>
        <v>3800548.1799999992</v>
      </c>
      <c r="P8" s="129">
        <f>SUM(MASTER!I405)</f>
        <v>4317925.99</v>
      </c>
      <c r="Q8" s="156">
        <f>SUM(MASTER!J405)</f>
        <v>3114253.6700000009</v>
      </c>
      <c r="R8" s="129">
        <f>SUM(MASTER!I4128)</f>
        <v>5052722.3100000005</v>
      </c>
      <c r="S8" s="156">
        <f>SUM(MASTER!J4128)</f>
        <v>3681790.4599999995</v>
      </c>
      <c r="T8" s="129">
        <f>SUM(MASTER!I3763)</f>
        <v>3269798.0199999996</v>
      </c>
      <c r="U8" s="156">
        <f>SUM(MASTER!J3763)</f>
        <v>2747199.7399999988</v>
      </c>
      <c r="V8" s="129">
        <f>SUM(MASTER!I4540)</f>
        <v>4366221.2299999995</v>
      </c>
      <c r="W8" s="156">
        <f>SUM(MASTER!J4540)</f>
        <v>3220585.6599999992</v>
      </c>
      <c r="X8" s="129">
        <f>SUM(MASTER!I167)</f>
        <v>3924700.5399999986</v>
      </c>
      <c r="Y8" s="156">
        <f>SUM(MASTER!J167)</f>
        <v>3216591.939999999</v>
      </c>
      <c r="Z8" s="129">
        <f>SUM(MASTER!I3558)</f>
        <v>4265951.1400000006</v>
      </c>
      <c r="AA8" s="156">
        <f>SUM(MASTER!J3558)</f>
        <v>3323711.4699999997</v>
      </c>
      <c r="AB8" s="129">
        <f>SUM(MASTER!I4986)</f>
        <v>3487104.7199999997</v>
      </c>
      <c r="AC8" s="156">
        <f>SUM(MASTER!J4986)</f>
        <v>2778386.62</v>
      </c>
      <c r="AD8" s="129">
        <f>SUM(MASTER!I5499)</f>
        <v>3547176.71</v>
      </c>
      <c r="AE8" s="156">
        <f>SUM(MASTER!J5499)</f>
        <v>2813375.5299999993</v>
      </c>
      <c r="AF8" s="129">
        <f>SUM(MASTER!I5308)</f>
        <v>3730320.94</v>
      </c>
      <c r="AG8" s="156">
        <f>SUM(MASTER!J5308)</f>
        <v>2557794.5799999996</v>
      </c>
      <c r="AH8" s="129">
        <f>SUM(MASTER!I5783)</f>
        <v>5456308.9300000025</v>
      </c>
      <c r="AI8" s="156">
        <f>SUM(MASTER!J5783)</f>
        <v>4155205.55</v>
      </c>
      <c r="AJ8" s="129">
        <f>SUM(MASTER!I1150)</f>
        <v>13291328.069999991</v>
      </c>
      <c r="AK8" s="156">
        <f>SUM(MASTER!J1150)</f>
        <v>10696732.879999992</v>
      </c>
      <c r="AL8" s="129">
        <f>SUM(MASTER!I1539)</f>
        <v>3989511.0800000005</v>
      </c>
      <c r="AM8" s="156">
        <f>SUM(MASTER!J1539)</f>
        <v>3342607.6900000009</v>
      </c>
      <c r="AN8" s="129">
        <f>SUM(MASTER!I2802)</f>
        <v>4478650.7300000004</v>
      </c>
      <c r="AO8" s="156">
        <f>SUM(MASTER!J2802)</f>
        <v>3585715.45</v>
      </c>
      <c r="AP8" s="129"/>
      <c r="AQ8" s="156"/>
      <c r="AR8" s="129">
        <f t="shared" si="0"/>
        <v>98982983.459999993</v>
      </c>
      <c r="AS8" s="156">
        <f t="shared" si="0"/>
        <v>78087880.23999998</v>
      </c>
      <c r="AT8" s="127"/>
      <c r="AW8" s="127"/>
    </row>
    <row r="9" spans="1:49" x14ac:dyDescent="0.25">
      <c r="A9" s="154" t="s">
        <v>11746</v>
      </c>
      <c r="B9" s="127">
        <f>SUM(MASTER!I2192)</f>
        <v>7215514.2200000007</v>
      </c>
      <c r="C9" s="156">
        <f>SUM(MASTER!J2192)</f>
        <v>7215514.2200000007</v>
      </c>
      <c r="D9" s="127">
        <f>SUM(MASTER!I4788)</f>
        <v>260000</v>
      </c>
      <c r="E9" s="156">
        <f>SUM(MASTER!J4788)</f>
        <v>260000</v>
      </c>
      <c r="F9" s="127">
        <f>SUM(MASTER!I2435)</f>
        <v>5433207.2199999997</v>
      </c>
      <c r="G9" s="156">
        <f>SUM(MASTER!J2435)</f>
        <v>5433207.2199999997</v>
      </c>
      <c r="H9" s="127"/>
      <c r="I9" s="156"/>
      <c r="J9" s="127"/>
      <c r="K9" s="156"/>
      <c r="L9" s="127"/>
      <c r="M9" s="156"/>
      <c r="N9" s="127"/>
      <c r="O9" s="156"/>
      <c r="P9" s="127"/>
      <c r="Q9" s="156"/>
      <c r="R9" s="127"/>
      <c r="S9" s="156"/>
      <c r="T9" s="127">
        <f>SUM(MASTER!I3766)</f>
        <v>2293928.71</v>
      </c>
      <c r="U9" s="156">
        <f>SUM(MASTER!J3766)</f>
        <v>2293928.71</v>
      </c>
      <c r="V9" s="127"/>
      <c r="W9" s="156"/>
      <c r="X9" s="127"/>
      <c r="Y9" s="156"/>
      <c r="Z9" s="127"/>
      <c r="AA9" s="156"/>
      <c r="AB9" s="127"/>
      <c r="AC9" s="156"/>
      <c r="AD9" s="127"/>
      <c r="AE9" s="156"/>
      <c r="AF9" s="127">
        <f>SUM(MASTER!I5310)</f>
        <v>432192.81</v>
      </c>
      <c r="AG9" s="156">
        <f>SUM(MASTER!J5310)</f>
        <v>432192.81</v>
      </c>
      <c r="AH9" s="127"/>
      <c r="AI9" s="156"/>
      <c r="AJ9" s="127"/>
      <c r="AK9" s="156"/>
      <c r="AL9" s="127">
        <f>SUM(MASTER!I1543)</f>
        <v>2765171.01</v>
      </c>
      <c r="AM9" s="156">
        <f>SUM(MASTER!J1543)</f>
        <v>2765171.01</v>
      </c>
      <c r="AN9" s="127">
        <f>SUM(MASTER!I2803)</f>
        <v>26998.73</v>
      </c>
      <c r="AO9" s="156">
        <f>SUM(MASTER!J2803)</f>
        <v>26998.73</v>
      </c>
      <c r="AP9" s="127"/>
      <c r="AQ9" s="156"/>
      <c r="AR9" s="129">
        <f t="shared" si="0"/>
        <v>18427012.700000003</v>
      </c>
      <c r="AS9" s="156">
        <f t="shared" si="0"/>
        <v>18427012.700000003</v>
      </c>
    </row>
    <row r="10" spans="1:49" s="130" customFormat="1" x14ac:dyDescent="0.25">
      <c r="A10" s="154" t="s">
        <v>11747</v>
      </c>
      <c r="B10" s="129">
        <f>SUM(MASTER!I2183)</f>
        <v>1037840.0900000002</v>
      </c>
      <c r="C10" s="156">
        <f>SUM(MASTER!J2183)</f>
        <v>260565.3</v>
      </c>
      <c r="D10" s="129">
        <f>SUM(MASTER!I4782)</f>
        <v>611270.23</v>
      </c>
      <c r="E10" s="156">
        <f>SUM(MASTER!J4782)</f>
        <v>176157.84999999998</v>
      </c>
      <c r="F10" s="129">
        <f>SUM(MASTER!I2430)</f>
        <v>434215.51999999996</v>
      </c>
      <c r="G10" s="156">
        <f>SUM(MASTER!J2430)</f>
        <v>123207.87999999999</v>
      </c>
      <c r="H10" s="129">
        <f>SUM(MASTER!I2597)</f>
        <v>558115.01</v>
      </c>
      <c r="I10" s="156">
        <f>SUM(MASTER!J2597)</f>
        <v>165612.84</v>
      </c>
      <c r="J10" s="129">
        <f>SUM(MASTER!I3000)</f>
        <v>1528878.89</v>
      </c>
      <c r="K10" s="156">
        <f>SUM(MASTER!J3000)</f>
        <v>343493.47000000003</v>
      </c>
      <c r="L10" s="129">
        <f>SUM(MASTER!I4346)</f>
        <v>322807.90999999992</v>
      </c>
      <c r="M10" s="156">
        <f>SUM(MASTER!J4346)</f>
        <v>90386.41</v>
      </c>
      <c r="N10" s="129">
        <f>SUM(MASTER!I6019)</f>
        <v>805104.52999999991</v>
      </c>
      <c r="O10" s="156">
        <f>SUM(MASTER!J6019)</f>
        <v>183993.48000000004</v>
      </c>
      <c r="P10" s="129">
        <f>SUM(MASTER!I403)</f>
        <v>970946.79999999993</v>
      </c>
      <c r="Q10" s="156">
        <f>SUM(MASTER!J403)</f>
        <v>215174.09</v>
      </c>
      <c r="R10" s="129">
        <f>SUM(MASTER!I4126)</f>
        <v>1198752.78</v>
      </c>
      <c r="S10" s="156">
        <f>SUM(MASTER!J4126)</f>
        <v>318101.58999999997</v>
      </c>
      <c r="T10" s="129"/>
      <c r="U10" s="156"/>
      <c r="V10" s="129">
        <f>SUM(MASTER!I4538)</f>
        <v>212279.71000000002</v>
      </c>
      <c r="W10" s="156">
        <f>SUM(MASTER!J4538)</f>
        <v>64801.31</v>
      </c>
      <c r="X10" s="129">
        <f>SUM(MASTER!I166)</f>
        <v>727387.7</v>
      </c>
      <c r="Y10" s="156">
        <f>SUM(MASTER!J166)</f>
        <v>172135.26000000004</v>
      </c>
      <c r="Z10" s="129">
        <f>SUM(MASTER!I3556)</f>
        <v>1674906.45</v>
      </c>
      <c r="AA10" s="156">
        <f>SUM(MASTER!J3556)</f>
        <v>403702.93</v>
      </c>
      <c r="AB10" s="129">
        <f>SUM(MASTER!I4984)</f>
        <v>2099719.06</v>
      </c>
      <c r="AC10" s="156">
        <f>SUM(MASTER!J4984)</f>
        <v>525231.84</v>
      </c>
      <c r="AD10" s="129">
        <f>SUM(MASTER!I5497)</f>
        <v>498179.32000000007</v>
      </c>
      <c r="AE10" s="156">
        <f>SUM(MASTER!J5497)</f>
        <v>137623.09</v>
      </c>
      <c r="AF10" s="129">
        <f>SUM(MASTER!I5306)</f>
        <v>445449.43</v>
      </c>
      <c r="AG10" s="156">
        <f>SUM(MASTER!J5306)</f>
        <v>116838</v>
      </c>
      <c r="AH10" s="129">
        <f>SUM(MASTER!I5781)</f>
        <v>2162562.4799999995</v>
      </c>
      <c r="AI10" s="156">
        <f>SUM(MASTER!J5781)</f>
        <v>611433.6399999999</v>
      </c>
      <c r="AJ10" s="129">
        <f>SUM(MASTER!I1148)</f>
        <v>9037097.8999999966</v>
      </c>
      <c r="AK10" s="156">
        <f>SUM(MASTER!J1148)</f>
        <v>2278267.13</v>
      </c>
      <c r="AL10" s="129">
        <f>SUM(MASTER!I1535)</f>
        <v>247670</v>
      </c>
      <c r="AM10" s="156">
        <f>SUM(MASTER!J1535)</f>
        <v>50133</v>
      </c>
      <c r="AN10" s="129">
        <f>SUM(MASTER!I2800)</f>
        <v>624667.32999999996</v>
      </c>
      <c r="AO10" s="156">
        <f>SUM(MASTER!J2800)</f>
        <v>149570.91999999998</v>
      </c>
      <c r="AP10" s="129">
        <f>SUM(MASTER!I4546:I4547)</f>
        <v>181258</v>
      </c>
      <c r="AQ10" s="156">
        <f>SUM(MASTER!J4546:J4547)</f>
        <v>48743.4</v>
      </c>
      <c r="AR10" s="129">
        <f t="shared" si="0"/>
        <v>25379109.139999993</v>
      </c>
      <c r="AS10" s="156">
        <f t="shared" si="0"/>
        <v>6435173.4299999997</v>
      </c>
    </row>
    <row r="11" spans="1:49" s="130" customFormat="1" x14ac:dyDescent="0.25">
      <c r="A11" s="154" t="s">
        <v>11654</v>
      </c>
      <c r="B11" s="129">
        <f>SUM(MASTER!I2185)</f>
        <v>6211246.7400000002</v>
      </c>
      <c r="C11" s="156">
        <f>SUM(MASTER!J2185)</f>
        <v>1765396.34</v>
      </c>
      <c r="D11" s="129">
        <f>SUM(MASTER!I4784)</f>
        <v>3094440.3900000006</v>
      </c>
      <c r="E11" s="156">
        <f>SUM(MASTER!J4784)</f>
        <v>701438.82000000007</v>
      </c>
      <c r="F11" s="129"/>
      <c r="G11" s="156"/>
      <c r="H11" s="129">
        <f>SUM(MASTER!I2599)</f>
        <v>1606423.44</v>
      </c>
      <c r="I11" s="156">
        <f>SUM(MASTER!J2599)</f>
        <v>549503.31999999995</v>
      </c>
      <c r="J11" s="129">
        <f>SUM(MASTER!I3002)</f>
        <v>3978134.8</v>
      </c>
      <c r="K11" s="156">
        <f>SUM(MASTER!J3002)</f>
        <v>1106651.5499999998</v>
      </c>
      <c r="L11" s="129">
        <f>SUM(MASTER!I4347)</f>
        <v>1111983.0799999998</v>
      </c>
      <c r="M11" s="156">
        <f>SUM(MASTER!J4347)</f>
        <v>315517.95999999996</v>
      </c>
      <c r="N11" s="129">
        <f>SUM(MASTER!I6020)</f>
        <v>704516.05</v>
      </c>
      <c r="O11" s="156">
        <f>SUM(MASTER!J6020)</f>
        <v>221742.15</v>
      </c>
      <c r="P11" s="129">
        <f>SUM(MASTER!I404)</f>
        <v>169768.41999999998</v>
      </c>
      <c r="Q11" s="156">
        <f>SUM(MASTER!J404)</f>
        <v>63041.189999999995</v>
      </c>
      <c r="R11" s="129">
        <f>SUM(MASTER!I4127)</f>
        <v>416221.31</v>
      </c>
      <c r="S11" s="156">
        <f>SUM(MASTER!J4127)</f>
        <v>152580.46000000002</v>
      </c>
      <c r="T11" s="129">
        <f>SUM(MASTER!I3760)</f>
        <v>1166484.56</v>
      </c>
      <c r="U11" s="156">
        <f>SUM(MASTER!J3760)</f>
        <v>348991.35</v>
      </c>
      <c r="V11" s="129">
        <f>SUM(MASTER!I4539)</f>
        <v>140348</v>
      </c>
      <c r="W11" s="156">
        <f>SUM(MASTER!J4539)</f>
        <v>28070</v>
      </c>
      <c r="X11" s="129"/>
      <c r="Y11" s="156"/>
      <c r="Z11" s="129">
        <f>SUM(MASTER!I3557)</f>
        <v>264000</v>
      </c>
      <c r="AA11" s="156">
        <f>SUM(MASTER!J3557)</f>
        <v>66000</v>
      </c>
      <c r="AB11" s="129">
        <f>SUM(MASTER!I4985)</f>
        <v>1505467</v>
      </c>
      <c r="AC11" s="156">
        <f>SUM(MASTER!J4985)</f>
        <v>476915.5</v>
      </c>
      <c r="AD11" s="129">
        <f>SUM(MASTER!I5498)</f>
        <v>953047.11</v>
      </c>
      <c r="AE11" s="156">
        <f>SUM(MASTER!J5498)</f>
        <v>321324.93</v>
      </c>
      <c r="AF11" s="129"/>
      <c r="AG11" s="156"/>
      <c r="AH11" s="129">
        <f>SUM(MASTER!I5782)</f>
        <v>107693</v>
      </c>
      <c r="AI11" s="156">
        <f>SUM(MASTER!J5782)</f>
        <v>37693</v>
      </c>
      <c r="AJ11" s="129">
        <f>SUM(MASTER!I1149)</f>
        <v>9067994.9400000013</v>
      </c>
      <c r="AK11" s="156">
        <f>SUM(MASTER!J1149)</f>
        <v>2832303.37</v>
      </c>
      <c r="AL11" s="129">
        <f>SUM(MASTER!I1537)</f>
        <v>145453.72</v>
      </c>
      <c r="AM11" s="156">
        <f>SUM(MASTER!J1537)</f>
        <v>32296.9</v>
      </c>
      <c r="AN11" s="129">
        <f>SUM(MASTER!I2801)</f>
        <v>423317.85</v>
      </c>
      <c r="AO11" s="156">
        <f>SUM(MASTER!J2801)</f>
        <v>124635.36</v>
      </c>
      <c r="AP11" s="129">
        <f>SUM(MASTER!I4548)</f>
        <v>264932.52</v>
      </c>
      <c r="AQ11" s="156">
        <f>SUM(MASTER!J4548)</f>
        <v>52986.5</v>
      </c>
      <c r="AR11" s="129">
        <f t="shared" si="0"/>
        <v>31331472.93</v>
      </c>
      <c r="AS11" s="156">
        <f t="shared" si="0"/>
        <v>9197088.7000000011</v>
      </c>
    </row>
    <row r="12" spans="1:49" x14ac:dyDescent="0.25">
      <c r="A12" s="154" t="s">
        <v>11748</v>
      </c>
      <c r="B12" s="127">
        <f>SUM(MASTER!I2191)</f>
        <v>146925.74</v>
      </c>
      <c r="C12" s="156">
        <f>SUM(MASTER!J2191)</f>
        <v>62357.63</v>
      </c>
      <c r="D12" s="127">
        <f>SUM(MASTER!I4786)</f>
        <v>128778.17</v>
      </c>
      <c r="E12" s="156">
        <f>SUM(MASTER!J4786)</f>
        <v>44286.61</v>
      </c>
      <c r="F12" s="127">
        <f>SUM(MASTER!I2434)</f>
        <v>69097.100000000006</v>
      </c>
      <c r="G12" s="156">
        <f>SUM(MASTER!J2434)</f>
        <v>31093.7</v>
      </c>
      <c r="H12" s="127">
        <f>SUM(MASTER!I2601)</f>
        <v>284371.21999999997</v>
      </c>
      <c r="I12" s="156">
        <f>SUM(MASTER!J2601)</f>
        <v>121890.78</v>
      </c>
      <c r="J12" s="127"/>
      <c r="K12" s="156"/>
      <c r="L12" s="127">
        <f>SUM(MASTER!I4349)</f>
        <v>9633</v>
      </c>
      <c r="M12" s="156">
        <f>SUM(MASTER!J4349)</f>
        <v>9633</v>
      </c>
      <c r="N12" s="127"/>
      <c r="O12" s="156"/>
      <c r="P12" s="127"/>
      <c r="Q12" s="156"/>
      <c r="R12" s="127"/>
      <c r="S12" s="156"/>
      <c r="T12" s="127"/>
      <c r="U12" s="156"/>
      <c r="V12" s="127">
        <f>SUM(MASTER!I4541)</f>
        <v>211126</v>
      </c>
      <c r="W12" s="156">
        <f>SUM(MASTER!J4541)</f>
        <v>60040</v>
      </c>
      <c r="X12" s="127"/>
      <c r="Y12" s="156"/>
      <c r="Z12" s="127"/>
      <c r="AA12" s="156"/>
      <c r="AB12" s="127"/>
      <c r="AC12" s="156"/>
      <c r="AD12" s="127">
        <f>SUM(MASTER!I5500)</f>
        <v>244951.91999999998</v>
      </c>
      <c r="AE12" s="156">
        <f>SUM(MASTER!J5500)</f>
        <v>87431.6</v>
      </c>
      <c r="AF12" s="127"/>
      <c r="AG12" s="156"/>
      <c r="AH12" s="127"/>
      <c r="AI12" s="156"/>
      <c r="AJ12" s="127">
        <f>SUM(MASTER!I1151)</f>
        <v>166222.76999999999</v>
      </c>
      <c r="AK12" s="156">
        <f>SUM(MASTER!J1151)</f>
        <v>37724.67</v>
      </c>
      <c r="AL12" s="127">
        <f>SUM(MASTER!I1542)</f>
        <v>4959000</v>
      </c>
      <c r="AM12" s="156">
        <f>SUM(MASTER!J1542)</f>
        <v>856419.3</v>
      </c>
      <c r="AN12" s="127"/>
      <c r="AO12" s="156"/>
      <c r="AP12" s="127"/>
      <c r="AQ12" s="156"/>
      <c r="AR12" s="129">
        <f t="shared" si="0"/>
        <v>6220105.9199999999</v>
      </c>
      <c r="AS12" s="156">
        <f t="shared" si="0"/>
        <v>1310877.29</v>
      </c>
    </row>
    <row r="13" spans="1:49" x14ac:dyDescent="0.25">
      <c r="A13" s="154" t="s">
        <v>7442</v>
      </c>
      <c r="B13" s="127"/>
      <c r="C13" s="156"/>
      <c r="D13" s="127"/>
      <c r="E13" s="156"/>
      <c r="F13" s="127"/>
      <c r="G13" s="156"/>
      <c r="H13" s="127"/>
      <c r="I13" s="156"/>
      <c r="J13" s="127"/>
      <c r="K13" s="156"/>
      <c r="L13" s="127"/>
      <c r="M13" s="156"/>
      <c r="N13" s="127"/>
      <c r="O13" s="156"/>
      <c r="P13" s="127"/>
      <c r="Q13" s="156"/>
      <c r="R13" s="127"/>
      <c r="S13" s="156"/>
      <c r="T13" s="127"/>
      <c r="U13" s="156"/>
      <c r="V13" s="127"/>
      <c r="W13" s="156"/>
      <c r="X13" s="127"/>
      <c r="Y13" s="156"/>
      <c r="Z13" s="127"/>
      <c r="AA13" s="156"/>
      <c r="AB13" s="127"/>
      <c r="AC13" s="156"/>
      <c r="AD13" s="127"/>
      <c r="AE13" s="156"/>
      <c r="AF13" s="127"/>
      <c r="AG13" s="156"/>
      <c r="AH13" s="127"/>
      <c r="AI13" s="156"/>
      <c r="AJ13" s="127"/>
      <c r="AK13" s="156"/>
      <c r="AL13" s="127"/>
      <c r="AM13" s="156"/>
      <c r="AN13" s="127"/>
      <c r="AO13" s="156"/>
      <c r="AP13" s="127">
        <f>SUM(MASTER!I4544)</f>
        <v>38349239.659999996</v>
      </c>
      <c r="AQ13" s="156">
        <f>SUM(MASTER!J4544)</f>
        <v>38349239.659999996</v>
      </c>
      <c r="AR13" s="129">
        <f t="shared" si="0"/>
        <v>38349239.659999996</v>
      </c>
      <c r="AS13" s="156">
        <f t="shared" si="0"/>
        <v>38349239.659999996</v>
      </c>
    </row>
    <row r="14" spans="1:49" x14ac:dyDescent="0.25">
      <c r="A14" s="154" t="s">
        <v>11749</v>
      </c>
      <c r="B14" s="127"/>
      <c r="C14" s="156"/>
      <c r="D14" s="127"/>
      <c r="E14" s="156"/>
      <c r="F14" s="127"/>
      <c r="G14" s="156"/>
      <c r="H14" s="127"/>
      <c r="I14" s="156"/>
      <c r="J14" s="127"/>
      <c r="K14" s="156"/>
      <c r="L14" s="127"/>
      <c r="M14" s="156"/>
      <c r="N14" s="127"/>
      <c r="O14" s="156"/>
      <c r="P14" s="127"/>
      <c r="Q14" s="156"/>
      <c r="R14" s="127"/>
      <c r="S14" s="156"/>
      <c r="T14" s="127">
        <f>SUM(MASTER!I3767)</f>
        <v>5526378.29</v>
      </c>
      <c r="U14" s="156">
        <f>SUM(MASTER!J3767)</f>
        <v>5526378.29</v>
      </c>
      <c r="V14" s="127"/>
      <c r="W14" s="156"/>
      <c r="X14" s="127"/>
      <c r="Y14" s="156"/>
      <c r="Z14" s="127"/>
      <c r="AA14" s="156"/>
      <c r="AB14" s="127"/>
      <c r="AC14" s="156"/>
      <c r="AD14" s="127"/>
      <c r="AE14" s="156"/>
      <c r="AF14" s="127"/>
      <c r="AG14" s="156"/>
      <c r="AH14" s="127"/>
      <c r="AI14" s="156"/>
      <c r="AJ14" s="127"/>
      <c r="AK14" s="156"/>
      <c r="AL14" s="127"/>
      <c r="AM14" s="156"/>
      <c r="AN14" s="127"/>
      <c r="AO14" s="156"/>
      <c r="AP14" s="127"/>
      <c r="AQ14" s="156"/>
      <c r="AR14" s="129">
        <f t="shared" si="0"/>
        <v>5526378.29</v>
      </c>
      <c r="AS14" s="156">
        <f t="shared" si="0"/>
        <v>5526378.29</v>
      </c>
    </row>
    <row r="15" spans="1:49" x14ac:dyDescent="0.25">
      <c r="A15" s="154" t="s">
        <v>11655</v>
      </c>
      <c r="B15" s="127">
        <f>SUM(MASTER!I2186)</f>
        <v>4192862.26</v>
      </c>
      <c r="C15" s="156">
        <f>SUM(MASTER!J2186)</f>
        <v>4192862.26</v>
      </c>
      <c r="D15" s="127"/>
      <c r="E15" s="156"/>
      <c r="F15" s="127"/>
      <c r="G15" s="156"/>
      <c r="H15" s="127"/>
      <c r="I15" s="156"/>
      <c r="J15" s="127"/>
      <c r="K15" s="156"/>
      <c r="L15" s="127"/>
      <c r="M15" s="156"/>
      <c r="N15" s="127"/>
      <c r="O15" s="156"/>
      <c r="P15" s="127"/>
      <c r="Q15" s="156"/>
      <c r="R15" s="127"/>
      <c r="S15" s="156"/>
      <c r="T15" s="127">
        <f>SUM(MASTER!I3761)</f>
        <v>6000000</v>
      </c>
      <c r="U15" s="156">
        <f>SUM(MASTER!J3761)</f>
        <v>6000000.0099999998</v>
      </c>
      <c r="V15" s="127"/>
      <c r="W15" s="156"/>
      <c r="X15" s="127"/>
      <c r="Y15" s="156"/>
      <c r="Z15" s="127"/>
      <c r="AA15" s="156"/>
      <c r="AB15" s="127"/>
      <c r="AC15" s="156"/>
      <c r="AD15" s="127"/>
      <c r="AE15" s="156"/>
      <c r="AF15" s="127">
        <f>SUM(MASTER!I5311)</f>
        <v>4669738.33</v>
      </c>
      <c r="AG15" s="156">
        <f>SUM(MASTER!J5311)</f>
        <v>4669738.33</v>
      </c>
      <c r="AH15" s="127"/>
      <c r="AI15" s="156"/>
      <c r="AJ15" s="127"/>
      <c r="AK15" s="156"/>
      <c r="AL15" s="127">
        <f>SUM(MASTER!I1538)</f>
        <v>5316686.01</v>
      </c>
      <c r="AM15" s="156">
        <f>SUM(MASTER!J1538)</f>
        <v>5316686.01</v>
      </c>
      <c r="AN15" s="127"/>
      <c r="AO15" s="156"/>
      <c r="AP15" s="127"/>
      <c r="AQ15" s="156"/>
      <c r="AR15" s="129">
        <f t="shared" si="0"/>
        <v>20179286.600000001</v>
      </c>
      <c r="AS15" s="156">
        <f t="shared" si="0"/>
        <v>20179286.609999999</v>
      </c>
    </row>
    <row r="16" spans="1:49" x14ac:dyDescent="0.25">
      <c r="A16" s="154" t="s">
        <v>11750</v>
      </c>
      <c r="B16" s="127"/>
      <c r="C16" s="156"/>
      <c r="D16" s="127"/>
      <c r="E16" s="156"/>
      <c r="F16" s="127"/>
      <c r="G16" s="156"/>
      <c r="H16" s="127"/>
      <c r="I16" s="156"/>
      <c r="J16" s="127"/>
      <c r="K16" s="156"/>
      <c r="L16" s="127"/>
      <c r="M16" s="156"/>
      <c r="N16" s="127"/>
      <c r="O16" s="156"/>
      <c r="P16" s="127"/>
      <c r="Q16" s="156"/>
      <c r="R16" s="127"/>
      <c r="S16" s="156"/>
      <c r="T16" s="127"/>
      <c r="U16" s="156"/>
      <c r="V16" s="127"/>
      <c r="W16" s="156"/>
      <c r="X16" s="127"/>
      <c r="Y16" s="156"/>
      <c r="Z16" s="127"/>
      <c r="AA16" s="156"/>
      <c r="AB16" s="127"/>
      <c r="AC16" s="156"/>
      <c r="AD16" s="127"/>
      <c r="AE16" s="156"/>
      <c r="AF16" s="127"/>
      <c r="AG16" s="156"/>
      <c r="AH16" s="127"/>
      <c r="AI16" s="156"/>
      <c r="AJ16" s="127"/>
      <c r="AK16" s="156"/>
      <c r="AL16" s="127"/>
      <c r="AM16" s="156"/>
      <c r="AN16" s="127"/>
      <c r="AO16" s="156"/>
      <c r="AP16" s="127">
        <f>SUM(MASTER!I4545)</f>
        <v>2173743.37</v>
      </c>
      <c r="AQ16" s="156">
        <f>SUM(MASTER!J4545)</f>
        <v>2173743.37</v>
      </c>
      <c r="AR16" s="129">
        <f t="shared" si="0"/>
        <v>2173743.37</v>
      </c>
      <c r="AS16" s="156">
        <f t="shared" si="0"/>
        <v>2173743.37</v>
      </c>
    </row>
    <row r="17" spans="1:45" s="132" customFormat="1" x14ac:dyDescent="0.25">
      <c r="A17" s="155"/>
      <c r="B17" s="131">
        <f>SUM(B3:B16)</f>
        <v>108052419.48000002</v>
      </c>
      <c r="C17" s="131">
        <f t="shared" ref="C17:AQ17" si="1">SUM(C3:C16)</f>
        <v>102625475.72000001</v>
      </c>
      <c r="D17" s="131">
        <f t="shared" si="1"/>
        <v>15030881.52</v>
      </c>
      <c r="E17" s="131">
        <f t="shared" si="1"/>
        <v>11148753.659999998</v>
      </c>
      <c r="F17" s="131">
        <f t="shared" si="1"/>
        <v>29989813.609999996</v>
      </c>
      <c r="G17" s="131">
        <f t="shared" si="1"/>
        <v>28338840.669999998</v>
      </c>
      <c r="H17" s="131">
        <f t="shared" si="1"/>
        <v>8136215.6800000025</v>
      </c>
      <c r="I17" s="131">
        <f t="shared" si="1"/>
        <v>5676322.6600000039</v>
      </c>
      <c r="J17" s="131">
        <f t="shared" si="1"/>
        <v>20529098.41</v>
      </c>
      <c r="K17" s="131">
        <f t="shared" si="1"/>
        <v>14294993.580000002</v>
      </c>
      <c r="L17" s="131">
        <f t="shared" si="1"/>
        <v>5768287.0200000005</v>
      </c>
      <c r="M17" s="131">
        <f t="shared" si="1"/>
        <v>3916542.24</v>
      </c>
      <c r="N17" s="131">
        <f t="shared" si="1"/>
        <v>6500400.5600000005</v>
      </c>
      <c r="O17" s="131">
        <f t="shared" si="1"/>
        <v>4206283.8099999996</v>
      </c>
      <c r="P17" s="131">
        <f t="shared" si="1"/>
        <v>5458641.21</v>
      </c>
      <c r="Q17" s="131">
        <f t="shared" si="1"/>
        <v>3392468.9500000007</v>
      </c>
      <c r="R17" s="131">
        <f t="shared" si="1"/>
        <v>6667696.4000000004</v>
      </c>
      <c r="S17" s="131">
        <f t="shared" si="1"/>
        <v>4152472.5099999993</v>
      </c>
      <c r="T17" s="131">
        <f t="shared" si="1"/>
        <v>36368494.299999997</v>
      </c>
      <c r="U17" s="131">
        <f t="shared" si="1"/>
        <v>33426778.82</v>
      </c>
      <c r="V17" s="131">
        <f t="shared" si="1"/>
        <v>4929974.9399999995</v>
      </c>
      <c r="W17" s="131">
        <f t="shared" si="1"/>
        <v>3373496.9699999993</v>
      </c>
      <c r="X17" s="131">
        <f t="shared" si="1"/>
        <v>4652088.2399999984</v>
      </c>
      <c r="Y17" s="131">
        <f t="shared" si="1"/>
        <v>3388727.1999999993</v>
      </c>
      <c r="Z17" s="131">
        <f t="shared" si="1"/>
        <v>6204857.5900000008</v>
      </c>
      <c r="AA17" s="131">
        <f t="shared" si="1"/>
        <v>3793414.4</v>
      </c>
      <c r="AB17" s="131">
        <f t="shared" si="1"/>
        <v>7092290.7799999993</v>
      </c>
      <c r="AC17" s="131">
        <f t="shared" si="1"/>
        <v>3780533.96</v>
      </c>
      <c r="AD17" s="131">
        <f t="shared" si="1"/>
        <v>5243355.0600000005</v>
      </c>
      <c r="AE17" s="131">
        <f t="shared" si="1"/>
        <v>3359755.1499999994</v>
      </c>
      <c r="AF17" s="131">
        <f t="shared" si="1"/>
        <v>15706263.529999999</v>
      </c>
      <c r="AG17" s="131">
        <f t="shared" si="1"/>
        <v>14205125.739999998</v>
      </c>
      <c r="AH17" s="131">
        <f t="shared" si="1"/>
        <v>7726564.410000002</v>
      </c>
      <c r="AI17" s="131">
        <f t="shared" si="1"/>
        <v>4804332.1899999995</v>
      </c>
      <c r="AJ17" s="131">
        <f t="shared" si="1"/>
        <v>31562643.679999989</v>
      </c>
      <c r="AK17" s="131">
        <f t="shared" si="1"/>
        <v>15845028.049999991</v>
      </c>
      <c r="AL17" s="131">
        <f t="shared" si="1"/>
        <v>70470167.469999999</v>
      </c>
      <c r="AM17" s="131">
        <f t="shared" si="1"/>
        <v>65410008.955999985</v>
      </c>
      <c r="AN17" s="131">
        <f t="shared" si="1"/>
        <v>6811558.9200000009</v>
      </c>
      <c r="AO17" s="131">
        <f t="shared" si="1"/>
        <v>5144844.7400000012</v>
      </c>
      <c r="AP17" s="131">
        <f t="shared" si="1"/>
        <v>40969173.549999997</v>
      </c>
      <c r="AQ17" s="131">
        <f t="shared" si="1"/>
        <v>40624712.929999992</v>
      </c>
      <c r="AR17" s="135">
        <f>SUM(AR3:AR16)</f>
        <v>443870886.36000007</v>
      </c>
      <c r="AS17" s="157">
        <f>SUM(AS3:AS16)</f>
        <v>374908912.90600008</v>
      </c>
    </row>
    <row r="18" spans="1:45" x14ac:dyDescent="0.25">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9">
        <f>SUM([1]Summ!$B$6)</f>
        <v>443870886.14999998</v>
      </c>
      <c r="AS18" s="128">
        <f>SUM(MASTER!J6024)</f>
        <v>374908912.90600002</v>
      </c>
    </row>
    <row r="19" spans="1:45" x14ac:dyDescent="0.25">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7"/>
      <c r="AM19" s="127"/>
      <c r="AN19" s="128"/>
      <c r="AO19" s="128"/>
    </row>
    <row r="20" spans="1:45" x14ac:dyDescent="0.25">
      <c r="A20" s="153" t="s">
        <v>11776</v>
      </c>
      <c r="B20" s="127">
        <f>SUM(MASTER!I6024)</f>
        <v>443870886.3599999</v>
      </c>
      <c r="C20" s="127"/>
    </row>
    <row r="21" spans="1:45" x14ac:dyDescent="0.25">
      <c r="A21" s="153" t="s">
        <v>11777</v>
      </c>
      <c r="B21" s="127">
        <f>SUM(AR17)</f>
        <v>443870886.36000007</v>
      </c>
      <c r="C21" s="127"/>
    </row>
    <row r="23" spans="1:45" x14ac:dyDescent="0.25">
      <c r="A23" s="153" t="s">
        <v>11778</v>
      </c>
      <c r="B23" s="133">
        <f>SUM('Not on Web'!I51)</f>
        <v>40934934.109999999</v>
      </c>
      <c r="C23" s="133"/>
    </row>
    <row r="24" spans="1:45" x14ac:dyDescent="0.25">
      <c r="A24" s="153" t="s">
        <v>11779</v>
      </c>
      <c r="B24" s="133">
        <f>SUM(WebSheet!I5978)</f>
        <v>2173743.37</v>
      </c>
      <c r="C24" s="133"/>
    </row>
    <row r="25" spans="1:45" x14ac:dyDescent="0.25">
      <c r="B25" s="133">
        <f>SUM(B23:B24)</f>
        <v>43108677.479999997</v>
      </c>
      <c r="C25" s="133"/>
    </row>
    <row r="27" spans="1:45" x14ac:dyDescent="0.25">
      <c r="B27" s="133">
        <f>SUM(B25-B20)</f>
        <v>-400762208.87999988</v>
      </c>
      <c r="C27" s="133"/>
    </row>
    <row r="28" spans="1:45" x14ac:dyDescent="0.25">
      <c r="B28" s="133"/>
      <c r="C28" s="133"/>
    </row>
  </sheetData>
  <mergeCells count="21">
    <mergeCell ref="AP1:AQ1"/>
    <mergeCell ref="AD1:AE1"/>
    <mergeCell ref="AF1:AG1"/>
    <mergeCell ref="AH1:AI1"/>
    <mergeCell ref="AJ1:AK1"/>
    <mergeCell ref="AL1:AM1"/>
    <mergeCell ref="AN1:AO1"/>
    <mergeCell ref="AB1:AC1"/>
    <mergeCell ref="B1:C1"/>
    <mergeCell ref="D1:E1"/>
    <mergeCell ref="F1:G1"/>
    <mergeCell ref="H1:I1"/>
    <mergeCell ref="J1:K1"/>
    <mergeCell ref="P1:Q1"/>
    <mergeCell ref="N1:O1"/>
    <mergeCell ref="L1:M1"/>
    <mergeCell ref="R1:S1"/>
    <mergeCell ref="T1:U1"/>
    <mergeCell ref="V1:W1"/>
    <mergeCell ref="X1:Y1"/>
    <mergeCell ref="Z1:AA1"/>
  </mergeCells>
  <printOptions gridLines="1"/>
  <pageMargins left="0.23622047244094491" right="0.23622047244094491" top="0.74803149606299213" bottom="0.74803149606299213" header="0.31496062992125984" footer="0.31496062992125984"/>
  <pageSetup paperSize="9" scale="4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0"/>
  <sheetViews>
    <sheetView topLeftCell="A151" workbookViewId="0">
      <selection activeCell="E159" sqref="E159"/>
    </sheetView>
  </sheetViews>
  <sheetFormatPr defaultRowHeight="12.75" x14ac:dyDescent="0.2"/>
  <cols>
    <col min="1" max="1" width="29.85546875" style="139" customWidth="1"/>
    <col min="2" max="2" width="17.85546875" style="140" customWidth="1"/>
    <col min="3" max="3" width="18.7109375" style="140" customWidth="1"/>
    <col min="4" max="4" width="16.5703125" style="141" customWidth="1"/>
    <col min="5" max="5" width="43.85546875" style="140" customWidth="1"/>
    <col min="6" max="6" width="14.28515625" style="139" customWidth="1"/>
    <col min="7" max="7" width="14.5703125" style="139" customWidth="1"/>
    <col min="8" max="8" width="13.140625" style="139" customWidth="1"/>
    <col min="9" max="9" width="15.85546875" style="139" customWidth="1"/>
    <col min="10" max="10" width="14.5703125" style="139" customWidth="1"/>
    <col min="11" max="11" width="14.7109375" style="139" customWidth="1"/>
    <col min="12" max="16384" width="9.140625" style="139"/>
  </cols>
  <sheetData>
    <row r="1" spans="1:10" s="4" customFormat="1" ht="38.25" x14ac:dyDescent="0.25">
      <c r="A1" s="1" t="s">
        <v>7</v>
      </c>
      <c r="B1" s="137" t="s">
        <v>8</v>
      </c>
      <c r="C1" s="137" t="s">
        <v>9</v>
      </c>
      <c r="D1" s="111" t="s">
        <v>10</v>
      </c>
      <c r="E1" s="138" t="s">
        <v>11</v>
      </c>
      <c r="J1" s="3"/>
    </row>
    <row r="2" spans="1:10" x14ac:dyDescent="0.2">
      <c r="A2" s="4" t="s">
        <v>351</v>
      </c>
      <c r="B2" s="17">
        <v>727387.7</v>
      </c>
      <c r="C2" s="17">
        <v>172135.26000000004</v>
      </c>
      <c r="D2" s="20" t="s">
        <v>17</v>
      </c>
      <c r="E2" s="17"/>
    </row>
    <row r="3" spans="1:10" x14ac:dyDescent="0.2">
      <c r="A3" s="4" t="s">
        <v>352</v>
      </c>
      <c r="B3" s="17">
        <v>4025360.0899999975</v>
      </c>
      <c r="C3" s="17">
        <v>3285150.5399999986</v>
      </c>
      <c r="D3" s="20" t="s">
        <v>17</v>
      </c>
      <c r="E3" s="17"/>
    </row>
    <row r="4" spans="1:10" x14ac:dyDescent="0.2">
      <c r="A4" s="142" t="s">
        <v>353</v>
      </c>
      <c r="B4" s="17">
        <v>4752747.7899999972</v>
      </c>
      <c r="C4" s="17">
        <v>3457285.7999999989</v>
      </c>
      <c r="D4" s="20" t="s">
        <v>17</v>
      </c>
      <c r="E4" s="17">
        <v>3457285.7999999989</v>
      </c>
    </row>
    <row r="6" spans="1:10" x14ac:dyDescent="0.2">
      <c r="A6" s="139" t="s">
        <v>351</v>
      </c>
      <c r="B6" s="140">
        <v>970946.79999999993</v>
      </c>
      <c r="C6" s="140">
        <v>215174.09</v>
      </c>
      <c r="D6" s="141" t="s">
        <v>356</v>
      </c>
    </row>
    <row r="7" spans="1:10" x14ac:dyDescent="0.2">
      <c r="A7" s="139" t="s">
        <v>786</v>
      </c>
      <c r="B7" s="140">
        <v>169768.41999999998</v>
      </c>
      <c r="C7" s="140">
        <v>63041.189999999995</v>
      </c>
      <c r="D7" s="141" t="s">
        <v>356</v>
      </c>
    </row>
    <row r="8" spans="1:10" x14ac:dyDescent="0.2">
      <c r="A8" s="139" t="s">
        <v>352</v>
      </c>
      <c r="B8" s="140">
        <v>4334950.66</v>
      </c>
      <c r="C8" s="140">
        <v>3125974.3400000008</v>
      </c>
      <c r="D8" s="141" t="s">
        <v>356</v>
      </c>
    </row>
    <row r="9" spans="1:10" x14ac:dyDescent="0.2">
      <c r="A9" s="143" t="s">
        <v>787</v>
      </c>
      <c r="B9" s="140">
        <v>5475665.8799999999</v>
      </c>
      <c r="C9" s="140">
        <v>3404189.6200000006</v>
      </c>
      <c r="D9" s="141" t="s">
        <v>356</v>
      </c>
      <c r="E9" s="140">
        <v>3404189.6200000006</v>
      </c>
    </row>
    <row r="11" spans="1:10" x14ac:dyDescent="0.2">
      <c r="A11" s="4" t="s">
        <v>351</v>
      </c>
      <c r="B11" s="17">
        <v>9037097.8999999966</v>
      </c>
      <c r="C11" s="17">
        <v>2278267.13</v>
      </c>
      <c r="D11" s="37" t="s">
        <v>790</v>
      </c>
      <c r="E11" s="17"/>
    </row>
    <row r="12" spans="1:10" x14ac:dyDescent="0.2">
      <c r="A12" s="4" t="s">
        <v>786</v>
      </c>
      <c r="B12" s="17">
        <v>9067994.9400000013</v>
      </c>
      <c r="C12" s="17">
        <v>2832303.37</v>
      </c>
      <c r="D12" s="37" t="s">
        <v>790</v>
      </c>
      <c r="E12" s="17"/>
    </row>
    <row r="13" spans="1:10" x14ac:dyDescent="0.2">
      <c r="A13" s="4" t="s">
        <v>352</v>
      </c>
      <c r="B13" s="17">
        <v>13413411.77999999</v>
      </c>
      <c r="C13" s="17">
        <v>10779472.429999994</v>
      </c>
      <c r="D13" s="37" t="s">
        <v>790</v>
      </c>
      <c r="E13" s="17"/>
    </row>
    <row r="14" spans="1:10" x14ac:dyDescent="0.2">
      <c r="A14" s="4" t="s">
        <v>2028</v>
      </c>
      <c r="B14" s="17">
        <v>166222.76999999999</v>
      </c>
      <c r="C14" s="17">
        <v>37724.67</v>
      </c>
      <c r="D14" s="37" t="s">
        <v>790</v>
      </c>
      <c r="E14" s="17"/>
    </row>
    <row r="15" spans="1:10" x14ac:dyDescent="0.2">
      <c r="A15" s="142" t="s">
        <v>2029</v>
      </c>
      <c r="B15" s="17">
        <v>31684727.389999986</v>
      </c>
      <c r="C15" s="17">
        <v>15927767.599999994</v>
      </c>
      <c r="D15" s="37" t="s">
        <v>790</v>
      </c>
      <c r="E15" s="17">
        <v>15927767.599999994</v>
      </c>
    </row>
    <row r="17" spans="1:5" x14ac:dyDescent="0.2">
      <c r="A17" s="4" t="s">
        <v>2642</v>
      </c>
      <c r="B17" s="17">
        <v>2504608.38</v>
      </c>
      <c r="C17" s="17">
        <v>2504608.38</v>
      </c>
      <c r="D17" s="37" t="s">
        <v>2033</v>
      </c>
      <c r="E17" s="17"/>
    </row>
    <row r="18" spans="1:5" x14ac:dyDescent="0.2">
      <c r="A18" s="4" t="s">
        <v>351</v>
      </c>
      <c r="B18" s="17">
        <v>247670</v>
      </c>
      <c r="C18" s="17">
        <v>50133</v>
      </c>
      <c r="D18" s="37" t="s">
        <v>2033</v>
      </c>
      <c r="E18" s="17"/>
    </row>
    <row r="19" spans="1:5" x14ac:dyDescent="0.2">
      <c r="A19" s="4" t="s">
        <v>2643</v>
      </c>
      <c r="B19" s="17">
        <v>9673199.8800000008</v>
      </c>
      <c r="C19" s="17">
        <v>9673199.8760000002</v>
      </c>
      <c r="D19" s="37" t="s">
        <v>2033</v>
      </c>
      <c r="E19" s="17"/>
    </row>
    <row r="20" spans="1:5" x14ac:dyDescent="0.2">
      <c r="A20" s="4" t="s">
        <v>786</v>
      </c>
      <c r="B20" s="17">
        <v>145453.72</v>
      </c>
      <c r="C20" s="17">
        <v>32296.9</v>
      </c>
      <c r="D20" s="37" t="s">
        <v>2033</v>
      </c>
      <c r="E20" s="17"/>
    </row>
    <row r="21" spans="1:5" x14ac:dyDescent="0.2">
      <c r="A21" s="4" t="s">
        <v>2644</v>
      </c>
      <c r="B21" s="17">
        <v>5316686.01</v>
      </c>
      <c r="C21" s="17">
        <v>5316686.01</v>
      </c>
      <c r="D21" s="37" t="s">
        <v>2033</v>
      </c>
      <c r="E21" s="17"/>
    </row>
    <row r="22" spans="1:5" x14ac:dyDescent="0.2">
      <c r="A22" s="4" t="s">
        <v>352</v>
      </c>
      <c r="B22" s="17">
        <v>4038261.09</v>
      </c>
      <c r="C22" s="17">
        <v>3391357.7000000007</v>
      </c>
      <c r="D22" s="37" t="s">
        <v>2033</v>
      </c>
      <c r="E22" s="17"/>
    </row>
    <row r="23" spans="1:5" x14ac:dyDescent="0.2">
      <c r="A23" s="4" t="s">
        <v>2645</v>
      </c>
      <c r="B23" s="17">
        <v>35865229.990000002</v>
      </c>
      <c r="C23" s="17">
        <v>35865249.390000001</v>
      </c>
      <c r="D23" s="37" t="s">
        <v>2033</v>
      </c>
      <c r="E23" s="17"/>
    </row>
    <row r="24" spans="1:5" x14ac:dyDescent="0.2">
      <c r="A24" s="4" t="s">
        <v>4031</v>
      </c>
      <c r="B24" s="17">
        <v>5003637.4000000004</v>
      </c>
      <c r="C24" s="17">
        <v>5003637.4000000004</v>
      </c>
      <c r="D24" s="37" t="s">
        <v>2033</v>
      </c>
      <c r="E24" s="17"/>
    </row>
    <row r="25" spans="1:5" x14ac:dyDescent="0.2">
      <c r="A25" s="4" t="s">
        <v>2028</v>
      </c>
      <c r="B25" s="17">
        <v>4959000</v>
      </c>
      <c r="C25" s="17">
        <v>856419.3</v>
      </c>
      <c r="D25" s="37" t="s">
        <v>2033</v>
      </c>
      <c r="E25" s="17"/>
    </row>
    <row r="26" spans="1:5" x14ac:dyDescent="0.2">
      <c r="A26" s="4" t="s">
        <v>2646</v>
      </c>
      <c r="B26" s="17">
        <v>2765171.01</v>
      </c>
      <c r="C26" s="17">
        <v>2765171.01</v>
      </c>
      <c r="D26" s="37" t="s">
        <v>2033</v>
      </c>
      <c r="E26" s="17"/>
    </row>
    <row r="27" spans="1:5" x14ac:dyDescent="0.2">
      <c r="A27" s="142" t="s">
        <v>2647</v>
      </c>
      <c r="B27" s="17">
        <v>70518917.480000004</v>
      </c>
      <c r="C27" s="17">
        <v>65458758.965999991</v>
      </c>
      <c r="D27" s="37" t="s">
        <v>2033</v>
      </c>
      <c r="E27" s="17">
        <v>65458758.965999991</v>
      </c>
    </row>
    <row r="29" spans="1:5" x14ac:dyDescent="0.2">
      <c r="A29" s="4" t="s">
        <v>351</v>
      </c>
      <c r="B29" s="17">
        <v>1037840.0900000002</v>
      </c>
      <c r="C29" s="17">
        <v>260565.3</v>
      </c>
      <c r="D29" s="37" t="s">
        <v>2650</v>
      </c>
      <c r="E29" s="17"/>
    </row>
    <row r="30" spans="1:5" x14ac:dyDescent="0.2">
      <c r="A30" s="4" t="s">
        <v>2643</v>
      </c>
      <c r="B30" s="17">
        <v>32587898.240000017</v>
      </c>
      <c r="C30" s="17">
        <v>32587898.240000017</v>
      </c>
      <c r="D30" s="37" t="s">
        <v>2650</v>
      </c>
      <c r="E30" s="17"/>
    </row>
    <row r="31" spans="1:5" x14ac:dyDescent="0.2">
      <c r="A31" s="4" t="s">
        <v>786</v>
      </c>
      <c r="B31" s="17">
        <v>6211246.7400000002</v>
      </c>
      <c r="C31" s="17">
        <v>1765396.34</v>
      </c>
      <c r="D31" s="37" t="s">
        <v>2650</v>
      </c>
      <c r="E31" s="17"/>
    </row>
    <row r="32" spans="1:5" x14ac:dyDescent="0.2">
      <c r="A32" s="4" t="s">
        <v>3608</v>
      </c>
      <c r="B32" s="17">
        <v>4192862.26</v>
      </c>
      <c r="C32" s="17">
        <v>4192862.26</v>
      </c>
      <c r="D32" s="37" t="s">
        <v>2650</v>
      </c>
      <c r="E32" s="17"/>
    </row>
    <row r="33" spans="1:5" ht="25.5" x14ac:dyDescent="0.2">
      <c r="A33" s="4" t="s">
        <v>11660</v>
      </c>
      <c r="B33" s="17">
        <v>2108182.14</v>
      </c>
      <c r="C33" s="17">
        <v>1054091.07</v>
      </c>
      <c r="D33" s="37" t="s">
        <v>2650</v>
      </c>
      <c r="E33" s="17"/>
    </row>
    <row r="34" spans="1:5" x14ac:dyDescent="0.2">
      <c r="A34" s="4" t="s">
        <v>352</v>
      </c>
      <c r="B34" s="17">
        <v>5461574.2299999995</v>
      </c>
      <c r="C34" s="17">
        <v>4447470.4999999991</v>
      </c>
      <c r="D34" s="37" t="s">
        <v>2650</v>
      </c>
      <c r="E34" s="17"/>
    </row>
    <row r="35" spans="1:5" x14ac:dyDescent="0.2">
      <c r="A35" s="4" t="s">
        <v>3609</v>
      </c>
      <c r="B35" s="17">
        <v>36055613.390000008</v>
      </c>
      <c r="C35" s="17">
        <v>36055613.390000008</v>
      </c>
      <c r="D35" s="37" t="s">
        <v>2650</v>
      </c>
      <c r="E35" s="17"/>
    </row>
    <row r="36" spans="1:5" x14ac:dyDescent="0.2">
      <c r="A36" s="4" t="s">
        <v>3610</v>
      </c>
      <c r="B36" s="17">
        <v>13136386.659999998</v>
      </c>
      <c r="C36" s="17">
        <v>15071518.82</v>
      </c>
      <c r="D36" s="37" t="s">
        <v>2650</v>
      </c>
      <c r="E36" s="17"/>
    </row>
    <row r="37" spans="1:5" x14ac:dyDescent="0.2">
      <c r="A37" s="4" t="s">
        <v>2028</v>
      </c>
      <c r="B37" s="17">
        <v>146925.74</v>
      </c>
      <c r="C37" s="17">
        <v>62357.63</v>
      </c>
      <c r="D37" s="37" t="s">
        <v>2650</v>
      </c>
      <c r="E37" s="17"/>
    </row>
    <row r="38" spans="1:5" x14ac:dyDescent="0.2">
      <c r="A38" s="4" t="s">
        <v>2646</v>
      </c>
      <c r="B38" s="17">
        <v>7215514.2200000007</v>
      </c>
      <c r="C38" s="17">
        <v>7215514.2200000007</v>
      </c>
      <c r="D38" s="37" t="s">
        <v>2650</v>
      </c>
      <c r="E38" s="17"/>
    </row>
    <row r="39" spans="1:5" x14ac:dyDescent="0.2">
      <c r="A39" s="142" t="s">
        <v>3611</v>
      </c>
      <c r="B39" s="17">
        <v>108154043.71000002</v>
      </c>
      <c r="C39" s="17">
        <v>102713287.77000001</v>
      </c>
      <c r="D39" s="37" t="s">
        <v>2650</v>
      </c>
      <c r="E39" s="17">
        <v>102713287.77000001</v>
      </c>
    </row>
    <row r="41" spans="1:5" ht="25.5" x14ac:dyDescent="0.2">
      <c r="A41" s="139" t="s">
        <v>351</v>
      </c>
      <c r="B41" s="140">
        <v>434215.51999999996</v>
      </c>
      <c r="C41" s="140">
        <v>123207.87999999999</v>
      </c>
      <c r="D41" s="141" t="s">
        <v>3614</v>
      </c>
    </row>
    <row r="42" spans="1:5" ht="25.5" x14ac:dyDescent="0.2">
      <c r="A42" s="139" t="s">
        <v>352</v>
      </c>
      <c r="B42" s="140">
        <v>7046705.9499999983</v>
      </c>
      <c r="C42" s="140">
        <v>5695859.2700000005</v>
      </c>
      <c r="D42" s="141" t="s">
        <v>3614</v>
      </c>
    </row>
    <row r="43" spans="1:5" ht="25.5" x14ac:dyDescent="0.2">
      <c r="A43" s="139" t="s">
        <v>4030</v>
      </c>
      <c r="B43" s="140">
        <v>5549189.1099999994</v>
      </c>
      <c r="C43" s="140">
        <v>5549189.1099999994</v>
      </c>
      <c r="D43" s="141" t="s">
        <v>3614</v>
      </c>
    </row>
    <row r="44" spans="1:5" ht="25.5" x14ac:dyDescent="0.2">
      <c r="A44" s="139" t="s">
        <v>4031</v>
      </c>
      <c r="B44" s="140">
        <v>11626573.16</v>
      </c>
      <c r="C44" s="140">
        <v>11626573.16</v>
      </c>
      <c r="D44" s="141" t="s">
        <v>3614</v>
      </c>
    </row>
    <row r="45" spans="1:5" ht="25.5" x14ac:dyDescent="0.2">
      <c r="A45" s="139" t="s">
        <v>2028</v>
      </c>
      <c r="B45" s="140">
        <v>69097.100000000006</v>
      </c>
      <c r="C45" s="140">
        <v>31093.7</v>
      </c>
      <c r="D45" s="141" t="s">
        <v>3614</v>
      </c>
    </row>
    <row r="46" spans="1:5" ht="25.5" x14ac:dyDescent="0.2">
      <c r="A46" s="139" t="s">
        <v>2646</v>
      </c>
      <c r="B46" s="140">
        <v>5433207.2199999997</v>
      </c>
      <c r="C46" s="140">
        <v>5433207.2199999997</v>
      </c>
      <c r="D46" s="141" t="s">
        <v>3614</v>
      </c>
    </row>
    <row r="47" spans="1:5" ht="25.5" x14ac:dyDescent="0.2">
      <c r="A47" s="143" t="s">
        <v>4032</v>
      </c>
      <c r="B47" s="140">
        <v>30158988.059999999</v>
      </c>
      <c r="C47" s="140">
        <v>28459130.34</v>
      </c>
      <c r="D47" s="141" t="s">
        <v>3614</v>
      </c>
      <c r="E47" s="140">
        <v>28459130.34</v>
      </c>
    </row>
    <row r="49" spans="1:5" x14ac:dyDescent="0.2">
      <c r="A49" s="4" t="s">
        <v>351</v>
      </c>
      <c r="B49" s="3">
        <v>558115.01</v>
      </c>
      <c r="C49" s="3">
        <v>165612.84</v>
      </c>
      <c r="D49" s="37" t="s">
        <v>4035</v>
      </c>
      <c r="E49" s="17"/>
    </row>
    <row r="50" spans="1:5" x14ac:dyDescent="0.2">
      <c r="A50" s="4" t="s">
        <v>2643</v>
      </c>
      <c r="B50" s="3">
        <v>88458.78</v>
      </c>
      <c r="C50" s="3">
        <v>88458.78</v>
      </c>
      <c r="D50" s="37" t="s">
        <v>4035</v>
      </c>
      <c r="E50" s="17"/>
    </row>
    <row r="51" spans="1:5" x14ac:dyDescent="0.2">
      <c r="A51" s="4" t="s">
        <v>786</v>
      </c>
      <c r="B51" s="3">
        <v>1606423.44</v>
      </c>
      <c r="C51" s="3">
        <v>549503.31999999995</v>
      </c>
      <c r="D51" s="37" t="s">
        <v>4035</v>
      </c>
      <c r="E51" s="17"/>
    </row>
    <row r="52" spans="1:5" x14ac:dyDescent="0.2">
      <c r="A52" s="4" t="s">
        <v>352</v>
      </c>
      <c r="B52" s="3">
        <v>5676189.4700000025</v>
      </c>
      <c r="C52" s="3">
        <v>4794865.8500000034</v>
      </c>
      <c r="D52" s="37" t="s">
        <v>4035</v>
      </c>
      <c r="E52" s="17"/>
    </row>
    <row r="53" spans="1:5" x14ac:dyDescent="0.2">
      <c r="A53" s="4" t="s">
        <v>2028</v>
      </c>
      <c r="B53" s="3">
        <v>284371.21999999997</v>
      </c>
      <c r="C53" s="3">
        <v>121890.78</v>
      </c>
      <c r="D53" s="37" t="s">
        <v>4035</v>
      </c>
      <c r="E53" s="17"/>
    </row>
    <row r="54" spans="1:5" x14ac:dyDescent="0.2">
      <c r="A54" s="142" t="s">
        <v>4315</v>
      </c>
      <c r="B54" s="3">
        <v>8213557.9200000027</v>
      </c>
      <c r="C54" s="3">
        <v>5720331.5700000031</v>
      </c>
      <c r="D54" s="37" t="s">
        <v>4035</v>
      </c>
      <c r="E54" s="17">
        <v>5720331.5700000031</v>
      </c>
    </row>
    <row r="56" spans="1:5" x14ac:dyDescent="0.2">
      <c r="A56" s="139" t="s">
        <v>2642</v>
      </c>
      <c r="B56" s="140">
        <v>1257924.28</v>
      </c>
      <c r="C56" s="139">
        <v>1257924.28</v>
      </c>
      <c r="D56" s="139" t="s">
        <v>4318</v>
      </c>
    </row>
    <row r="57" spans="1:5" x14ac:dyDescent="0.2">
      <c r="A57" s="139" t="s">
        <v>351</v>
      </c>
      <c r="B57" s="140">
        <v>624667.32999999996</v>
      </c>
      <c r="C57" s="139">
        <v>149570.91999999998</v>
      </c>
      <c r="D57" s="139" t="s">
        <v>4318</v>
      </c>
    </row>
    <row r="58" spans="1:5" x14ac:dyDescent="0.2">
      <c r="A58" s="139" t="s">
        <v>786</v>
      </c>
      <c r="B58" s="140">
        <v>423317.85</v>
      </c>
      <c r="C58" s="139">
        <v>124635.36</v>
      </c>
      <c r="D58" s="139" t="s">
        <v>4318</v>
      </c>
    </row>
    <row r="59" spans="1:5" x14ac:dyDescent="0.2">
      <c r="A59" s="139" t="s">
        <v>352</v>
      </c>
      <c r="B59" s="140">
        <v>4478650.7300000004</v>
      </c>
      <c r="C59" s="139">
        <v>3585715.45</v>
      </c>
      <c r="D59" s="139" t="s">
        <v>4318</v>
      </c>
    </row>
    <row r="60" spans="1:5" x14ac:dyDescent="0.2">
      <c r="A60" s="139" t="s">
        <v>2646</v>
      </c>
      <c r="B60" s="140">
        <v>26998.73</v>
      </c>
      <c r="C60" s="139">
        <v>26998.73</v>
      </c>
      <c r="D60" s="139" t="s">
        <v>4318</v>
      </c>
    </row>
    <row r="61" spans="1:5" x14ac:dyDescent="0.2">
      <c r="A61" s="143" t="s">
        <v>4664</v>
      </c>
      <c r="B61" s="140">
        <v>6811558.9200000009</v>
      </c>
      <c r="C61" s="139">
        <v>5144844.74</v>
      </c>
      <c r="D61" s="139" t="s">
        <v>4318</v>
      </c>
      <c r="E61" s="140">
        <v>5144844.74</v>
      </c>
    </row>
    <row r="63" spans="1:5" x14ac:dyDescent="0.2">
      <c r="A63" s="9" t="s">
        <v>351</v>
      </c>
      <c r="B63" s="3">
        <v>1528878.89</v>
      </c>
      <c r="C63" s="3">
        <v>343493.47000000003</v>
      </c>
      <c r="D63" s="38" t="s">
        <v>4667</v>
      </c>
      <c r="E63" s="17"/>
    </row>
    <row r="64" spans="1:5" x14ac:dyDescent="0.2">
      <c r="A64" s="9" t="s">
        <v>2643</v>
      </c>
      <c r="B64" s="3">
        <v>3128950.8099999996</v>
      </c>
      <c r="C64" s="3">
        <v>3128950.81</v>
      </c>
      <c r="D64" s="38" t="s">
        <v>4667</v>
      </c>
      <c r="E64" s="17"/>
    </row>
    <row r="65" spans="1:5" x14ac:dyDescent="0.2">
      <c r="A65" s="9" t="s">
        <v>786</v>
      </c>
      <c r="B65" s="3">
        <v>3978134.8</v>
      </c>
      <c r="C65" s="3">
        <v>1106651.5499999998</v>
      </c>
      <c r="D65" s="38" t="s">
        <v>4667</v>
      </c>
      <c r="E65" s="17"/>
    </row>
    <row r="66" spans="1:5" ht="25.5" x14ac:dyDescent="0.2">
      <c r="A66" s="9" t="s">
        <v>11660</v>
      </c>
      <c r="B66" s="3">
        <v>2264596.94</v>
      </c>
      <c r="C66" s="3">
        <v>905838.78</v>
      </c>
      <c r="D66" s="38" t="s">
        <v>4667</v>
      </c>
      <c r="E66" s="17"/>
    </row>
    <row r="67" spans="1:5" x14ac:dyDescent="0.2">
      <c r="A67" s="9" t="s">
        <v>352</v>
      </c>
      <c r="B67" s="3">
        <v>4263499.3100000005</v>
      </c>
      <c r="C67" s="3">
        <v>3419484.9800000004</v>
      </c>
      <c r="D67" s="38" t="s">
        <v>4667</v>
      </c>
      <c r="E67" s="17"/>
    </row>
    <row r="68" spans="1:5" x14ac:dyDescent="0.2">
      <c r="A68" s="9" t="s">
        <v>4030</v>
      </c>
      <c r="B68" s="12">
        <v>3238190.07</v>
      </c>
      <c r="C68" s="12">
        <v>3238190.07</v>
      </c>
      <c r="D68" s="38" t="s">
        <v>4667</v>
      </c>
      <c r="E68" s="17"/>
    </row>
    <row r="69" spans="1:5" x14ac:dyDescent="0.2">
      <c r="A69" s="9" t="s">
        <v>4031</v>
      </c>
      <c r="B69" s="12">
        <v>2215036.9299999997</v>
      </c>
      <c r="C69" s="12">
        <v>2215036.9299999997</v>
      </c>
      <c r="D69" s="38" t="s">
        <v>4667</v>
      </c>
      <c r="E69" s="17"/>
    </row>
    <row r="70" spans="1:5" x14ac:dyDescent="0.2">
      <c r="A70" s="144" t="s">
        <v>5015</v>
      </c>
      <c r="B70" s="12">
        <v>20617287.75</v>
      </c>
      <c r="C70" s="12">
        <v>14357646.59</v>
      </c>
      <c r="D70" s="38" t="s">
        <v>4667</v>
      </c>
      <c r="E70" s="17">
        <v>14357646.59</v>
      </c>
    </row>
    <row r="72" spans="1:5" x14ac:dyDescent="0.2">
      <c r="A72" s="4" t="s">
        <v>351</v>
      </c>
      <c r="B72" s="3">
        <v>1674906.45</v>
      </c>
      <c r="C72" s="3">
        <v>403702.93</v>
      </c>
      <c r="D72" s="20" t="s">
        <v>5018</v>
      </c>
      <c r="E72" s="17"/>
    </row>
    <row r="73" spans="1:5" x14ac:dyDescent="0.2">
      <c r="A73" s="4" t="s">
        <v>786</v>
      </c>
      <c r="B73" s="3">
        <v>264000</v>
      </c>
      <c r="C73" s="3">
        <v>66000</v>
      </c>
      <c r="D73" s="20" t="s">
        <v>5018</v>
      </c>
      <c r="E73" s="17"/>
    </row>
    <row r="74" spans="1:5" x14ac:dyDescent="0.2">
      <c r="A74" s="4" t="s">
        <v>352</v>
      </c>
      <c r="B74" s="3">
        <v>4338272.8100000024</v>
      </c>
      <c r="C74" s="3">
        <v>3374906.3</v>
      </c>
      <c r="D74" s="20" t="s">
        <v>5018</v>
      </c>
      <c r="E74" s="17"/>
    </row>
    <row r="75" spans="1:5" x14ac:dyDescent="0.2">
      <c r="A75" s="142" t="s">
        <v>5812</v>
      </c>
      <c r="B75" s="3">
        <v>6277179.2600000026</v>
      </c>
      <c r="C75" s="3">
        <v>3844609.23</v>
      </c>
      <c r="D75" s="20" t="s">
        <v>5018</v>
      </c>
      <c r="E75" s="17">
        <v>3844609.23</v>
      </c>
    </row>
    <row r="77" spans="1:5" x14ac:dyDescent="0.2">
      <c r="A77" s="4" t="s">
        <v>2642</v>
      </c>
      <c r="B77" s="3">
        <v>905249.1</v>
      </c>
      <c r="C77" s="3">
        <v>905249.1</v>
      </c>
      <c r="D77" s="37" t="s">
        <v>5815</v>
      </c>
      <c r="E77" s="17"/>
    </row>
    <row r="78" spans="1:5" x14ac:dyDescent="0.2">
      <c r="A78" s="4" t="s">
        <v>2643</v>
      </c>
      <c r="B78" s="3">
        <v>3649124.4499999997</v>
      </c>
      <c r="C78" s="3">
        <v>3649124.4499999997</v>
      </c>
      <c r="D78" s="37" t="s">
        <v>5815</v>
      </c>
      <c r="E78" s="17"/>
    </row>
    <row r="79" spans="1:5" x14ac:dyDescent="0.2">
      <c r="A79" s="4" t="s">
        <v>786</v>
      </c>
      <c r="B79" s="3">
        <v>1166484.56</v>
      </c>
      <c r="C79" s="3">
        <v>348991.35</v>
      </c>
      <c r="D79" s="37" t="s">
        <v>5815</v>
      </c>
      <c r="E79" s="17"/>
    </row>
    <row r="80" spans="1:5" x14ac:dyDescent="0.2">
      <c r="A80" s="4" t="s">
        <v>3608</v>
      </c>
      <c r="B80" s="3">
        <v>6000000</v>
      </c>
      <c r="C80" s="3">
        <v>6000000.0099999998</v>
      </c>
      <c r="D80" s="37" t="s">
        <v>5815</v>
      </c>
      <c r="E80" s="17"/>
    </row>
    <row r="81" spans="1:5" x14ac:dyDescent="0.2">
      <c r="A81" s="4" t="s">
        <v>6177</v>
      </c>
      <c r="B81" s="3">
        <v>2669371</v>
      </c>
      <c r="C81" s="3">
        <v>1067747</v>
      </c>
      <c r="D81" s="37" t="s">
        <v>5815</v>
      </c>
      <c r="E81" s="17"/>
    </row>
    <row r="82" spans="1:5" x14ac:dyDescent="0.2">
      <c r="A82" s="4" t="s">
        <v>352</v>
      </c>
      <c r="B82" s="3">
        <v>3371404.2499999995</v>
      </c>
      <c r="C82" s="3">
        <v>2839540.7999999989</v>
      </c>
      <c r="D82" s="37" t="s">
        <v>5815</v>
      </c>
      <c r="E82" s="17"/>
    </row>
    <row r="83" spans="1:5" x14ac:dyDescent="0.2">
      <c r="A83" s="4" t="s">
        <v>2645</v>
      </c>
      <c r="B83" s="12">
        <v>9660932.1600000001</v>
      </c>
      <c r="C83" s="12">
        <v>9660932.1600000001</v>
      </c>
      <c r="D83" s="37" t="s">
        <v>5815</v>
      </c>
      <c r="E83" s="17"/>
    </row>
    <row r="84" spans="1:5" x14ac:dyDescent="0.2">
      <c r="A84" s="4" t="s">
        <v>4031</v>
      </c>
      <c r="B84" s="12">
        <v>1228084.54</v>
      </c>
      <c r="C84" s="12">
        <v>1228084.54</v>
      </c>
      <c r="D84" s="37" t="s">
        <v>5815</v>
      </c>
      <c r="E84" s="17"/>
    </row>
    <row r="85" spans="1:5" x14ac:dyDescent="0.2">
      <c r="A85" s="4" t="s">
        <v>2646</v>
      </c>
      <c r="B85" s="3">
        <v>2293928.71</v>
      </c>
      <c r="C85" s="3">
        <v>2293928.71</v>
      </c>
      <c r="D85" s="37" t="s">
        <v>5815</v>
      </c>
      <c r="E85" s="17"/>
    </row>
    <row r="86" spans="1:5" x14ac:dyDescent="0.2">
      <c r="A86" s="4" t="s">
        <v>6178</v>
      </c>
      <c r="B86" s="3">
        <v>5526378.29</v>
      </c>
      <c r="C86" s="3">
        <v>5526378.29</v>
      </c>
      <c r="D86" s="37" t="s">
        <v>5815</v>
      </c>
      <c r="E86" s="17"/>
    </row>
    <row r="87" spans="1:5" x14ac:dyDescent="0.2">
      <c r="A87" s="142" t="s">
        <v>6179</v>
      </c>
      <c r="B87" s="3">
        <v>36470957.060000002</v>
      </c>
      <c r="C87" s="3">
        <v>33519976.409999996</v>
      </c>
      <c r="D87" s="37" t="s">
        <v>5815</v>
      </c>
      <c r="E87" s="17">
        <v>33519976.409999996</v>
      </c>
    </row>
    <row r="89" spans="1:5" x14ac:dyDescent="0.2">
      <c r="A89" s="139" t="s">
        <v>351</v>
      </c>
      <c r="B89" s="140">
        <v>1198752.78</v>
      </c>
      <c r="C89" s="139">
        <v>318101.58999999997</v>
      </c>
      <c r="D89" s="139" t="s">
        <v>6182</v>
      </c>
    </row>
    <row r="90" spans="1:5" x14ac:dyDescent="0.2">
      <c r="A90" s="139" t="s">
        <v>786</v>
      </c>
      <c r="B90" s="140">
        <v>416221.31</v>
      </c>
      <c r="C90" s="139">
        <v>152580.46000000002</v>
      </c>
      <c r="D90" s="139" t="s">
        <v>6182</v>
      </c>
    </row>
    <row r="91" spans="1:5" x14ac:dyDescent="0.2">
      <c r="A91" s="139" t="s">
        <v>352</v>
      </c>
      <c r="B91" s="140">
        <v>5100507.45</v>
      </c>
      <c r="C91" s="139">
        <v>3711653.5999999996</v>
      </c>
      <c r="D91" s="139" t="s">
        <v>6182</v>
      </c>
    </row>
    <row r="92" spans="1:5" x14ac:dyDescent="0.2">
      <c r="A92" s="143" t="s">
        <v>6717</v>
      </c>
      <c r="B92" s="140">
        <v>6715481.54</v>
      </c>
      <c r="C92" s="139">
        <v>4182335.6499999994</v>
      </c>
      <c r="D92" s="139" t="s">
        <v>6182</v>
      </c>
      <c r="E92" s="140">
        <v>4182335.6499999994</v>
      </c>
    </row>
    <row r="94" spans="1:5" x14ac:dyDescent="0.2">
      <c r="A94" s="139" t="s">
        <v>351</v>
      </c>
      <c r="B94" s="140">
        <v>322807.90999999992</v>
      </c>
      <c r="C94" s="139">
        <v>90386.41</v>
      </c>
      <c r="D94" s="139" t="s">
        <v>6720</v>
      </c>
    </row>
    <row r="95" spans="1:5" x14ac:dyDescent="0.2">
      <c r="A95" s="139" t="s">
        <v>786</v>
      </c>
      <c r="B95" s="140">
        <v>1111983.0799999998</v>
      </c>
      <c r="C95" s="139">
        <v>315517.95999999996</v>
      </c>
      <c r="D95" s="139" t="s">
        <v>6720</v>
      </c>
    </row>
    <row r="96" spans="1:5" x14ac:dyDescent="0.2">
      <c r="A96" s="139" t="s">
        <v>352</v>
      </c>
      <c r="B96" s="140">
        <v>4365529.71</v>
      </c>
      <c r="C96" s="139">
        <v>3542671.55</v>
      </c>
      <c r="D96" s="139" t="s">
        <v>6720</v>
      </c>
    </row>
    <row r="97" spans="1:5" x14ac:dyDescent="0.2">
      <c r="A97" s="139" t="s">
        <v>2028</v>
      </c>
      <c r="B97" s="140">
        <v>9633</v>
      </c>
      <c r="C97" s="139">
        <v>9633</v>
      </c>
      <c r="D97" s="139" t="s">
        <v>6720</v>
      </c>
    </row>
    <row r="98" spans="1:5" x14ac:dyDescent="0.2">
      <c r="A98" s="143" t="s">
        <v>7099</v>
      </c>
      <c r="B98" s="140">
        <v>5809953.6999999993</v>
      </c>
      <c r="C98" s="139">
        <v>3958208.92</v>
      </c>
      <c r="D98" s="139" t="s">
        <v>6720</v>
      </c>
      <c r="E98" s="140">
        <v>3958208.92</v>
      </c>
    </row>
    <row r="100" spans="1:5" x14ac:dyDescent="0.2">
      <c r="A100" s="4" t="s">
        <v>351</v>
      </c>
      <c r="B100" s="3">
        <v>212279.71000000002</v>
      </c>
      <c r="C100" s="3">
        <v>64801.31</v>
      </c>
      <c r="D100" s="37" t="s">
        <v>7102</v>
      </c>
      <c r="E100" s="17"/>
    </row>
    <row r="101" spans="1:5" x14ac:dyDescent="0.2">
      <c r="A101" s="4" t="s">
        <v>786</v>
      </c>
      <c r="B101" s="3">
        <v>140348</v>
      </c>
      <c r="C101" s="3">
        <v>28070</v>
      </c>
      <c r="D101" s="37" t="s">
        <v>7102</v>
      </c>
      <c r="E101" s="17"/>
    </row>
    <row r="102" spans="1:5" x14ac:dyDescent="0.2">
      <c r="A102" s="4" t="s">
        <v>352</v>
      </c>
      <c r="B102" s="3">
        <v>4397630.5299999984</v>
      </c>
      <c r="C102" s="3">
        <v>3239978.209999999</v>
      </c>
      <c r="D102" s="37" t="s">
        <v>7102</v>
      </c>
      <c r="E102" s="17"/>
    </row>
    <row r="103" spans="1:5" x14ac:dyDescent="0.2">
      <c r="A103" s="4" t="s">
        <v>2028</v>
      </c>
      <c r="B103" s="3">
        <v>211126</v>
      </c>
      <c r="C103" s="3">
        <v>60040</v>
      </c>
      <c r="D103" s="37" t="s">
        <v>7102</v>
      </c>
      <c r="E103" s="17"/>
    </row>
    <row r="104" spans="1:5" x14ac:dyDescent="0.2">
      <c r="A104" s="142" t="s">
        <v>7439</v>
      </c>
      <c r="B104" s="3">
        <v>4961384.2399999984</v>
      </c>
      <c r="C104" s="3">
        <v>3392889.5199999991</v>
      </c>
      <c r="D104" s="37" t="s">
        <v>7102</v>
      </c>
      <c r="E104" s="17">
        <v>3392889.5199999991</v>
      </c>
    </row>
    <row r="106" spans="1:5" x14ac:dyDescent="0.2">
      <c r="A106" s="4" t="s">
        <v>2642</v>
      </c>
      <c r="B106" s="3">
        <v>956630.83000000007</v>
      </c>
      <c r="C106" s="3">
        <v>956630.83000000007</v>
      </c>
      <c r="D106" s="37" t="s">
        <v>7456</v>
      </c>
      <c r="E106" s="17"/>
    </row>
    <row r="107" spans="1:5" x14ac:dyDescent="0.2">
      <c r="A107" s="4" t="s">
        <v>351</v>
      </c>
      <c r="B107" s="3">
        <v>611270.23</v>
      </c>
      <c r="C107" s="3">
        <v>176157.84999999998</v>
      </c>
      <c r="D107" s="37" t="s">
        <v>7456</v>
      </c>
      <c r="E107" s="17"/>
    </row>
    <row r="108" spans="1:5" x14ac:dyDescent="0.2">
      <c r="A108" s="4" t="s">
        <v>2643</v>
      </c>
      <c r="B108" s="3">
        <v>179232</v>
      </c>
      <c r="C108" s="3">
        <v>179232</v>
      </c>
      <c r="D108" s="37" t="s">
        <v>7456</v>
      </c>
      <c r="E108" s="17"/>
    </row>
    <row r="109" spans="1:5" x14ac:dyDescent="0.2">
      <c r="A109" s="4" t="s">
        <v>786</v>
      </c>
      <c r="B109" s="3">
        <v>3094440.3900000006</v>
      </c>
      <c r="C109" s="3">
        <v>701438.82000000007</v>
      </c>
      <c r="D109" s="37" t="s">
        <v>7456</v>
      </c>
      <c r="E109" s="17"/>
    </row>
    <row r="110" spans="1:5" x14ac:dyDescent="0.2">
      <c r="A110" s="4" t="s">
        <v>352</v>
      </c>
      <c r="B110" s="3">
        <v>4803952.1899999985</v>
      </c>
      <c r="C110" s="3">
        <v>3728304.4099999974</v>
      </c>
      <c r="D110" s="37" t="s">
        <v>7456</v>
      </c>
      <c r="E110" s="17"/>
    </row>
    <row r="111" spans="1:5" x14ac:dyDescent="0.2">
      <c r="A111" s="4" t="s">
        <v>2028</v>
      </c>
      <c r="B111" s="3">
        <v>128778.17</v>
      </c>
      <c r="C111" s="3">
        <v>44286.61</v>
      </c>
      <c r="D111" s="37" t="s">
        <v>7456</v>
      </c>
      <c r="E111" s="17"/>
    </row>
    <row r="112" spans="1:5" x14ac:dyDescent="0.2">
      <c r="A112" s="4" t="s">
        <v>4030</v>
      </c>
      <c r="B112" s="12">
        <v>5340557.5599999996</v>
      </c>
      <c r="C112" s="12">
        <v>5340557.5599999996</v>
      </c>
      <c r="D112" s="37" t="s">
        <v>7456</v>
      </c>
      <c r="E112" s="17"/>
    </row>
    <row r="113" spans="1:5" x14ac:dyDescent="0.2">
      <c r="A113" s="4" t="s">
        <v>2646</v>
      </c>
      <c r="B113" s="3">
        <v>260000</v>
      </c>
      <c r="C113" s="3">
        <v>260000</v>
      </c>
      <c r="D113" s="37" t="s">
        <v>7456</v>
      </c>
      <c r="E113" s="17"/>
    </row>
    <row r="114" spans="1:5" x14ac:dyDescent="0.2">
      <c r="A114" s="142" t="s">
        <v>7938</v>
      </c>
      <c r="B114" s="3">
        <v>15374861.370000001</v>
      </c>
      <c r="C114" s="3">
        <v>11386608.079999998</v>
      </c>
      <c r="D114" s="37" t="s">
        <v>7456</v>
      </c>
      <c r="E114" s="17">
        <v>11386608.079999998</v>
      </c>
    </row>
    <row r="116" spans="1:5" x14ac:dyDescent="0.2">
      <c r="A116" s="4" t="s">
        <v>351</v>
      </c>
      <c r="B116" s="3">
        <v>2099719.06</v>
      </c>
      <c r="C116" s="3">
        <v>525231.84</v>
      </c>
      <c r="D116" s="20" t="s">
        <v>7941</v>
      </c>
      <c r="E116" s="17"/>
    </row>
    <row r="117" spans="1:5" x14ac:dyDescent="0.2">
      <c r="A117" s="4" t="s">
        <v>786</v>
      </c>
      <c r="B117" s="3">
        <v>1505467</v>
      </c>
      <c r="C117" s="3">
        <v>476915.5</v>
      </c>
      <c r="D117" s="20" t="s">
        <v>7941</v>
      </c>
      <c r="E117" s="17"/>
    </row>
    <row r="118" spans="1:5" x14ac:dyDescent="0.2">
      <c r="A118" s="4" t="s">
        <v>352</v>
      </c>
      <c r="B118" s="3">
        <v>3592227.73</v>
      </c>
      <c r="C118" s="3">
        <v>2866864.9699999997</v>
      </c>
      <c r="D118" s="20" t="s">
        <v>7941</v>
      </c>
      <c r="E118" s="17"/>
    </row>
    <row r="119" spans="1:5" x14ac:dyDescent="0.2">
      <c r="A119" s="142" t="s">
        <v>8345</v>
      </c>
      <c r="B119" s="3">
        <v>7197413.79</v>
      </c>
      <c r="C119" s="3">
        <v>3869012.3099999996</v>
      </c>
      <c r="D119" s="20" t="s">
        <v>7941</v>
      </c>
      <c r="E119" s="17">
        <v>3869012.3099999996</v>
      </c>
    </row>
    <row r="121" spans="1:5" x14ac:dyDescent="0.2">
      <c r="A121" s="139" t="s">
        <v>2642</v>
      </c>
      <c r="B121" s="140">
        <v>835928.85</v>
      </c>
      <c r="C121" s="139">
        <v>835928.85</v>
      </c>
      <c r="D121" s="139" t="s">
        <v>8348</v>
      </c>
    </row>
    <row r="122" spans="1:5" x14ac:dyDescent="0.2">
      <c r="A122" s="139" t="s">
        <v>351</v>
      </c>
      <c r="B122" s="140">
        <v>445449.43</v>
      </c>
      <c r="C122" s="139">
        <v>116838</v>
      </c>
      <c r="D122" s="139" t="s">
        <v>8348</v>
      </c>
    </row>
    <row r="123" spans="1:5" x14ac:dyDescent="0.2">
      <c r="A123" s="139" t="s">
        <v>2643</v>
      </c>
      <c r="B123" s="140">
        <v>5218526.6399999987</v>
      </c>
      <c r="C123" s="139">
        <v>5218526.6399999987</v>
      </c>
      <c r="D123" s="139" t="s">
        <v>8348</v>
      </c>
    </row>
    <row r="124" spans="1:5" x14ac:dyDescent="0.2">
      <c r="A124" s="139" t="s">
        <v>352</v>
      </c>
      <c r="B124" s="140">
        <v>3790084.0899999994</v>
      </c>
      <c r="C124" s="139">
        <v>2609195.1599999997</v>
      </c>
      <c r="D124" s="139" t="s">
        <v>8348</v>
      </c>
    </row>
    <row r="125" spans="1:5" x14ac:dyDescent="0.2">
      <c r="A125" s="139" t="s">
        <v>3587</v>
      </c>
      <c r="B125" s="140">
        <v>374106.53</v>
      </c>
      <c r="C125" s="139">
        <v>374106.53</v>
      </c>
      <c r="D125" s="139" t="s">
        <v>8348</v>
      </c>
    </row>
    <row r="126" spans="1:5" x14ac:dyDescent="0.2">
      <c r="A126" s="139" t="s">
        <v>2646</v>
      </c>
      <c r="B126" s="140">
        <v>432192.81</v>
      </c>
      <c r="C126" s="139">
        <v>432192.81</v>
      </c>
      <c r="D126" s="139" t="s">
        <v>8348</v>
      </c>
    </row>
    <row r="127" spans="1:5" x14ac:dyDescent="0.2">
      <c r="A127" s="139" t="s">
        <v>3608</v>
      </c>
      <c r="B127" s="140">
        <v>4669738.33</v>
      </c>
      <c r="C127" s="139">
        <v>4669738.33</v>
      </c>
      <c r="D127" s="139" t="s">
        <v>8348</v>
      </c>
    </row>
    <row r="128" spans="1:5" x14ac:dyDescent="0.2">
      <c r="A128" s="143" t="s">
        <v>8902</v>
      </c>
      <c r="B128" s="140">
        <v>15766026.679999998</v>
      </c>
      <c r="C128" s="139">
        <v>14256526.319999998</v>
      </c>
      <c r="D128" s="139" t="s">
        <v>8348</v>
      </c>
      <c r="E128" s="140">
        <v>14256526.319999998</v>
      </c>
    </row>
    <row r="130" spans="1:5" x14ac:dyDescent="0.2">
      <c r="A130" s="139" t="s">
        <v>351</v>
      </c>
      <c r="B130" s="140">
        <v>498179.32000000007</v>
      </c>
      <c r="C130" s="139">
        <v>137623.09</v>
      </c>
      <c r="D130" s="139" t="s">
        <v>8905</v>
      </c>
    </row>
    <row r="131" spans="1:5" x14ac:dyDescent="0.2">
      <c r="A131" s="139" t="s">
        <v>786</v>
      </c>
      <c r="B131" s="140">
        <v>953047.11</v>
      </c>
      <c r="C131" s="139">
        <v>321324.93</v>
      </c>
      <c r="D131" s="139" t="s">
        <v>8905</v>
      </c>
    </row>
    <row r="132" spans="1:5" x14ac:dyDescent="0.2">
      <c r="A132" s="139" t="s">
        <v>352</v>
      </c>
      <c r="B132" s="140">
        <v>3727859.67</v>
      </c>
      <c r="C132" s="139">
        <v>2924803.8399999994</v>
      </c>
      <c r="D132" s="139" t="s">
        <v>8905</v>
      </c>
    </row>
    <row r="133" spans="1:5" x14ac:dyDescent="0.2">
      <c r="A133" s="139" t="s">
        <v>2028</v>
      </c>
      <c r="B133" s="140">
        <v>244951.91999999998</v>
      </c>
      <c r="C133" s="139">
        <v>87431.6</v>
      </c>
      <c r="D133" s="139" t="s">
        <v>8905</v>
      </c>
    </row>
    <row r="134" spans="1:5" x14ac:dyDescent="0.2">
      <c r="A134" s="143" t="s">
        <v>9240</v>
      </c>
      <c r="B134" s="140">
        <v>5424038.0199999996</v>
      </c>
      <c r="C134" s="139">
        <v>3471183.4599999995</v>
      </c>
      <c r="D134" s="139" t="s">
        <v>8905</v>
      </c>
      <c r="E134" s="140">
        <v>3471183.4599999995</v>
      </c>
    </row>
    <row r="136" spans="1:5" x14ac:dyDescent="0.2">
      <c r="A136" s="139" t="s">
        <v>351</v>
      </c>
      <c r="B136" s="140">
        <v>2162562.4799999995</v>
      </c>
      <c r="C136" s="139">
        <v>611433.6399999999</v>
      </c>
      <c r="D136" s="139" t="s">
        <v>9243</v>
      </c>
    </row>
    <row r="137" spans="1:5" x14ac:dyDescent="0.2">
      <c r="A137" s="139" t="s">
        <v>786</v>
      </c>
      <c r="B137" s="140">
        <v>107693</v>
      </c>
      <c r="C137" s="139">
        <v>37693</v>
      </c>
      <c r="D137" s="139" t="s">
        <v>9243</v>
      </c>
    </row>
    <row r="138" spans="1:5" x14ac:dyDescent="0.2">
      <c r="A138" s="139" t="s">
        <v>352</v>
      </c>
      <c r="B138" s="140">
        <v>5673376.6100000013</v>
      </c>
      <c r="C138" s="139">
        <v>4305651.2500000009</v>
      </c>
      <c r="D138" s="139" t="s">
        <v>9243</v>
      </c>
    </row>
    <row r="139" spans="1:5" x14ac:dyDescent="0.2">
      <c r="A139" s="143" t="s">
        <v>9748</v>
      </c>
      <c r="B139" s="140">
        <v>7943632.0900000008</v>
      </c>
      <c r="C139" s="139">
        <v>4954777.8900000006</v>
      </c>
      <c r="D139" s="139" t="s">
        <v>9243</v>
      </c>
      <c r="E139" s="140">
        <v>4954777.8900000006</v>
      </c>
    </row>
    <row r="141" spans="1:5" x14ac:dyDescent="0.2">
      <c r="A141" s="139" t="s">
        <v>351</v>
      </c>
      <c r="B141" s="140">
        <v>805104.52999999991</v>
      </c>
      <c r="C141" s="139">
        <v>183993.48000000004</v>
      </c>
      <c r="D141" s="139" t="s">
        <v>9751</v>
      </c>
    </row>
    <row r="142" spans="1:5" x14ac:dyDescent="0.2">
      <c r="A142" s="139" t="s">
        <v>786</v>
      </c>
      <c r="B142" s="140">
        <v>704516.05</v>
      </c>
      <c r="C142" s="139">
        <v>221742.15</v>
      </c>
      <c r="D142" s="139" t="s">
        <v>9751</v>
      </c>
    </row>
    <row r="143" spans="1:5" x14ac:dyDescent="0.2">
      <c r="A143" s="139" t="s">
        <v>352</v>
      </c>
      <c r="B143" s="140">
        <v>5344267.6900000004</v>
      </c>
      <c r="C143" s="139">
        <v>4019267.0899999994</v>
      </c>
      <c r="D143" s="139" t="s">
        <v>9751</v>
      </c>
    </row>
    <row r="144" spans="1:5" x14ac:dyDescent="0.2">
      <c r="A144" s="143" t="s">
        <v>10190</v>
      </c>
      <c r="B144" s="140">
        <v>6853888.2700000005</v>
      </c>
      <c r="C144" s="139">
        <v>4425002.72</v>
      </c>
      <c r="D144" s="139" t="s">
        <v>9751</v>
      </c>
      <c r="E144" s="140">
        <v>4425002.72</v>
      </c>
    </row>
    <row r="147" spans="1:11" x14ac:dyDescent="0.2">
      <c r="A147" s="145" t="s">
        <v>11768</v>
      </c>
      <c r="B147" s="146">
        <v>405182310.92000008</v>
      </c>
      <c r="C147" s="146">
        <v>335904373.50599998</v>
      </c>
      <c r="D147" s="147"/>
      <c r="E147" s="146">
        <v>335904373.50599998</v>
      </c>
    </row>
    <row r="152" spans="1:11" ht="120" customHeight="1" x14ac:dyDescent="0.2">
      <c r="A152" s="4" t="s">
        <v>7440</v>
      </c>
      <c r="B152" s="4" t="s">
        <v>13</v>
      </c>
      <c r="C152" s="4" t="s">
        <v>14</v>
      </c>
      <c r="D152" s="35">
        <v>4259</v>
      </c>
      <c r="E152" s="113" t="s">
        <v>7441</v>
      </c>
      <c r="F152" s="28">
        <v>39132</v>
      </c>
      <c r="G152" s="26"/>
      <c r="H152" s="26" t="s">
        <v>7442</v>
      </c>
      <c r="I152" s="25">
        <v>38349239.659999996</v>
      </c>
      <c r="J152" s="25">
        <v>38349239.659999996</v>
      </c>
      <c r="K152" s="37" t="s">
        <v>7443</v>
      </c>
    </row>
    <row r="153" spans="1:11" ht="51" x14ac:dyDescent="0.2">
      <c r="A153" s="4" t="s">
        <v>7444</v>
      </c>
      <c r="B153" s="4" t="s">
        <v>13</v>
      </c>
      <c r="C153" s="4" t="s">
        <v>14</v>
      </c>
      <c r="D153" s="35" t="s">
        <v>11656</v>
      </c>
      <c r="E153" s="113" t="s">
        <v>7445</v>
      </c>
      <c r="F153" s="28"/>
      <c r="G153" s="26"/>
      <c r="H153" s="26" t="s">
        <v>7446</v>
      </c>
      <c r="I153" s="25">
        <v>2173743.37</v>
      </c>
      <c r="J153" s="25">
        <v>2173743.37</v>
      </c>
      <c r="K153" s="37" t="s">
        <v>7443</v>
      </c>
    </row>
    <row r="154" spans="1:11" x14ac:dyDescent="0.2">
      <c r="A154" s="4" t="s">
        <v>7447</v>
      </c>
      <c r="B154" s="4" t="s">
        <v>13</v>
      </c>
      <c r="C154" s="4" t="s">
        <v>14</v>
      </c>
      <c r="D154" s="35">
        <v>9970</v>
      </c>
      <c r="E154" s="26" t="s">
        <v>7448</v>
      </c>
      <c r="F154" s="28">
        <v>40129</v>
      </c>
      <c r="G154" s="28">
        <v>40364</v>
      </c>
      <c r="H154" s="26" t="s">
        <v>16</v>
      </c>
      <c r="I154" s="25">
        <v>22478</v>
      </c>
      <c r="J154" s="25">
        <v>6743.4</v>
      </c>
      <c r="K154" s="37" t="s">
        <v>7443</v>
      </c>
    </row>
    <row r="155" spans="1:11" x14ac:dyDescent="0.2">
      <c r="A155" s="4" t="s">
        <v>7449</v>
      </c>
      <c r="B155" s="4" t="s">
        <v>13</v>
      </c>
      <c r="C155" s="4" t="s">
        <v>14</v>
      </c>
      <c r="D155" s="35">
        <v>10060</v>
      </c>
      <c r="E155" s="26" t="s">
        <v>7450</v>
      </c>
      <c r="F155" s="28">
        <v>40128</v>
      </c>
      <c r="G155" s="28">
        <v>40673</v>
      </c>
      <c r="H155" s="26" t="s">
        <v>16</v>
      </c>
      <c r="I155" s="25">
        <v>158780</v>
      </c>
      <c r="J155" s="25">
        <v>42000</v>
      </c>
      <c r="K155" s="37" t="s">
        <v>7443</v>
      </c>
    </row>
    <row r="156" spans="1:11" ht="80.099999999999994" customHeight="1" x14ac:dyDescent="0.2">
      <c r="A156" s="4" t="s">
        <v>7451</v>
      </c>
      <c r="B156" s="4" t="s">
        <v>13</v>
      </c>
      <c r="C156" s="4" t="s">
        <v>14</v>
      </c>
      <c r="D156" s="35">
        <v>9912</v>
      </c>
      <c r="E156" s="113" t="s">
        <v>7452</v>
      </c>
      <c r="F156" s="28">
        <v>40794</v>
      </c>
      <c r="G156" s="28">
        <v>40899</v>
      </c>
      <c r="H156" s="26" t="s">
        <v>389</v>
      </c>
      <c r="I156" s="25">
        <v>264932.52</v>
      </c>
      <c r="J156" s="25">
        <v>52986.5</v>
      </c>
      <c r="K156" s="37" t="s">
        <v>7443</v>
      </c>
    </row>
    <row r="157" spans="1:11" x14ac:dyDescent="0.2">
      <c r="A157" s="4"/>
      <c r="B157" s="4"/>
      <c r="C157" s="4"/>
      <c r="D157" s="35"/>
      <c r="E157" s="26" t="s">
        <v>7453</v>
      </c>
      <c r="F157" s="28"/>
      <c r="G157" s="28"/>
      <c r="H157" s="26"/>
      <c r="I157" s="25">
        <f>SUM(I152:I156)</f>
        <v>40969173.549999997</v>
      </c>
      <c r="J157" s="25">
        <f>SUM(J152:J156)</f>
        <v>40624712.929999992</v>
      </c>
      <c r="K157" s="37" t="s">
        <v>7443</v>
      </c>
    </row>
    <row r="160" spans="1:11" x14ac:dyDescent="0.2">
      <c r="I160" s="151">
        <f>SUM(I152:I157)</f>
        <v>81938347.099999994</v>
      </c>
      <c r="J160" s="151">
        <f>SUM(J152:J157)</f>
        <v>81249425.859999985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31"/>
  <sheetViews>
    <sheetView workbookViewId="0">
      <selection activeCell="D19" sqref="D19"/>
    </sheetView>
  </sheetViews>
  <sheetFormatPr defaultColWidth="27.5703125" defaultRowHeight="15" x14ac:dyDescent="0.25"/>
  <cols>
    <col min="1" max="1" width="27.5703125" style="139"/>
    <col min="2" max="3" width="27.5703125" style="140"/>
    <col min="4" max="4" width="10.140625" customWidth="1"/>
    <col min="5" max="16384" width="27.5703125" style="139"/>
  </cols>
  <sheetData>
    <row r="1" spans="1:12" s="4" customFormat="1" ht="25.5" x14ac:dyDescent="0.2">
      <c r="A1" s="1" t="s">
        <v>7</v>
      </c>
      <c r="B1" s="137" t="s">
        <v>8</v>
      </c>
      <c r="C1" s="137" t="s">
        <v>9</v>
      </c>
      <c r="E1" s="142" t="s">
        <v>11769</v>
      </c>
      <c r="F1" s="148" t="s">
        <v>11770</v>
      </c>
      <c r="G1" s="148" t="s">
        <v>11772</v>
      </c>
      <c r="H1" s="148" t="s">
        <v>11771</v>
      </c>
      <c r="I1" s="142" t="s">
        <v>7442</v>
      </c>
      <c r="J1" s="149" t="s">
        <v>6176</v>
      </c>
      <c r="K1" s="142" t="s">
        <v>11773</v>
      </c>
      <c r="L1" s="142" t="s">
        <v>11775</v>
      </c>
    </row>
    <row r="2" spans="1:12" ht="12.75" x14ac:dyDescent="0.2">
      <c r="A2" s="4" t="s">
        <v>351</v>
      </c>
      <c r="B2" s="17">
        <v>727387.7</v>
      </c>
      <c r="C2" s="17">
        <v>172135.26000000004</v>
      </c>
      <c r="D2" s="139"/>
      <c r="E2" s="140">
        <f>SUM(C23+C24+C26+C35+C36+C38+C43+C44+C46+C68+C69+C83+C84+C85+C112+C113+C125+C126)</f>
        <v>149628703.02999997</v>
      </c>
      <c r="F2" s="140">
        <f>SUM(C17+C19+C30+C33+C50+C56+C64+C66+C77+C78+C81+C106+C108+C121+C123)</f>
        <v>64013409.086000033</v>
      </c>
      <c r="G2" s="140">
        <f>SUM(C3+C8+C13+C22+C34+C42+C52+C59+C67+C74+C82+C91+C96+C102+C110+C118+C124+C132+C138+C143)</f>
        <v>79688188.239999995</v>
      </c>
      <c r="H2" s="140">
        <f>SUM(C2+C6+C7+C11+C12+C14+C18+C20+C25+C29+C31+C37+C41+C45+C49+C51+C53+C57+C58+C63+C65+C72+C73+C79+C94+C95+C97+C100+C101+C103+C107+C109+C111+C116+C117+C122+C130+C133+C131+C136+C137+C141+C142)</f>
        <v>16370727.469999999</v>
      </c>
      <c r="I2" s="6">
        <v>38349239.659999996</v>
      </c>
      <c r="J2" s="150">
        <f>C86</f>
        <v>5526378.29</v>
      </c>
      <c r="K2" s="140">
        <f>SUM(C21+C32+C80+C127)</f>
        <v>20179286.609999999</v>
      </c>
      <c r="L2" s="140">
        <f>SUM(E2:K2)</f>
        <v>373755932.38599998</v>
      </c>
    </row>
    <row r="3" spans="1:12" ht="12.75" x14ac:dyDescent="0.2">
      <c r="A3" s="4" t="s">
        <v>352</v>
      </c>
      <c r="B3" s="17">
        <v>4025360.0899999975</v>
      </c>
      <c r="C3" s="17">
        <v>3285150.5399999986</v>
      </c>
      <c r="D3" s="139"/>
    </row>
    <row r="4" spans="1:12" ht="12.75" x14ac:dyDescent="0.2">
      <c r="A4" s="142" t="s">
        <v>353</v>
      </c>
      <c r="B4" s="17">
        <v>4752747.7899999972</v>
      </c>
      <c r="C4" s="17">
        <v>3457285.7999999989</v>
      </c>
      <c r="D4" s="139"/>
    </row>
    <row r="5" spans="1:12" ht="12.75" x14ac:dyDescent="0.2">
      <c r="D5" s="139"/>
    </row>
    <row r="6" spans="1:12" ht="12.75" x14ac:dyDescent="0.2">
      <c r="A6" s="139" t="s">
        <v>351</v>
      </c>
      <c r="B6" s="140">
        <v>970946.79999999993</v>
      </c>
      <c r="C6" s="140">
        <v>215174.09</v>
      </c>
      <c r="D6" s="139"/>
    </row>
    <row r="7" spans="1:12" ht="12.75" x14ac:dyDescent="0.2">
      <c r="A7" s="139" t="s">
        <v>786</v>
      </c>
      <c r="B7" s="140">
        <v>169768.41999999998</v>
      </c>
      <c r="C7" s="140">
        <v>63041.189999999995</v>
      </c>
      <c r="D7" s="139"/>
    </row>
    <row r="8" spans="1:12" ht="12.75" x14ac:dyDescent="0.2">
      <c r="A8" s="139" t="s">
        <v>352</v>
      </c>
      <c r="B8" s="140">
        <v>4334950.66</v>
      </c>
      <c r="C8" s="140">
        <v>3125974.3400000008</v>
      </c>
      <c r="D8" s="139"/>
    </row>
    <row r="9" spans="1:12" ht="12.75" x14ac:dyDescent="0.2">
      <c r="A9" s="143" t="s">
        <v>787</v>
      </c>
      <c r="B9" s="140">
        <v>5475665.8799999999</v>
      </c>
      <c r="C9" s="140">
        <v>3404189.6200000006</v>
      </c>
      <c r="D9" s="139"/>
    </row>
    <row r="10" spans="1:12" ht="12.75" x14ac:dyDescent="0.2">
      <c r="D10" s="139"/>
    </row>
    <row r="11" spans="1:12" ht="12.75" x14ac:dyDescent="0.2">
      <c r="A11" s="4" t="s">
        <v>351</v>
      </c>
      <c r="B11" s="17">
        <v>9037097.8999999966</v>
      </c>
      <c r="C11" s="17">
        <v>2278267.13</v>
      </c>
      <c r="D11" s="139"/>
    </row>
    <row r="12" spans="1:12" ht="12.75" x14ac:dyDescent="0.2">
      <c r="A12" s="4" t="s">
        <v>786</v>
      </c>
      <c r="B12" s="17">
        <v>9067994.9400000013</v>
      </c>
      <c r="C12" s="17">
        <v>2832303.37</v>
      </c>
      <c r="D12" s="139"/>
    </row>
    <row r="13" spans="1:12" ht="12.75" x14ac:dyDescent="0.2">
      <c r="A13" s="4" t="s">
        <v>352</v>
      </c>
      <c r="B13" s="17">
        <v>13413411.77999999</v>
      </c>
      <c r="C13" s="17">
        <v>10779472.429999994</v>
      </c>
      <c r="D13" s="139"/>
    </row>
    <row r="14" spans="1:12" ht="12.75" x14ac:dyDescent="0.2">
      <c r="A14" s="4" t="s">
        <v>2028</v>
      </c>
      <c r="B14" s="17">
        <v>166222.76999999999</v>
      </c>
      <c r="C14" s="17">
        <v>37724.67</v>
      </c>
      <c r="D14" s="139"/>
    </row>
    <row r="15" spans="1:12" ht="12.75" x14ac:dyDescent="0.2">
      <c r="A15" s="142" t="s">
        <v>2029</v>
      </c>
      <c r="B15" s="17">
        <v>31684727.389999986</v>
      </c>
      <c r="C15" s="17">
        <v>15927767.599999994</v>
      </c>
      <c r="D15" s="139"/>
    </row>
    <row r="16" spans="1:12" ht="12.75" x14ac:dyDescent="0.2">
      <c r="D16" s="139"/>
    </row>
    <row r="17" spans="1:4" ht="12.75" x14ac:dyDescent="0.2">
      <c r="A17" s="4" t="s">
        <v>2642</v>
      </c>
      <c r="B17" s="17">
        <v>2504608.38</v>
      </c>
      <c r="C17" s="17">
        <v>2504608.38</v>
      </c>
      <c r="D17" s="139"/>
    </row>
    <row r="18" spans="1:4" ht="12.75" x14ac:dyDescent="0.2">
      <c r="A18" s="4" t="s">
        <v>351</v>
      </c>
      <c r="B18" s="17">
        <v>247670</v>
      </c>
      <c r="C18" s="17">
        <v>50133</v>
      </c>
      <c r="D18" s="139"/>
    </row>
    <row r="19" spans="1:4" ht="12.75" x14ac:dyDescent="0.2">
      <c r="A19" s="4" t="s">
        <v>2643</v>
      </c>
      <c r="B19" s="17">
        <v>9673199.8800000008</v>
      </c>
      <c r="C19" s="17">
        <v>9673199.8760000002</v>
      </c>
      <c r="D19" s="139"/>
    </row>
    <row r="20" spans="1:4" ht="12.75" x14ac:dyDescent="0.2">
      <c r="A20" s="4" t="s">
        <v>786</v>
      </c>
      <c r="B20" s="17">
        <v>145453.72</v>
      </c>
      <c r="C20" s="17">
        <v>32296.9</v>
      </c>
      <c r="D20" s="139"/>
    </row>
    <row r="21" spans="1:4" ht="12.75" x14ac:dyDescent="0.2">
      <c r="A21" s="4" t="s">
        <v>2644</v>
      </c>
      <c r="B21" s="17">
        <v>5316686.01</v>
      </c>
      <c r="C21" s="17">
        <v>5316686.01</v>
      </c>
      <c r="D21" s="139"/>
    </row>
    <row r="22" spans="1:4" ht="12.75" x14ac:dyDescent="0.2">
      <c r="A22" s="4" t="s">
        <v>352</v>
      </c>
      <c r="B22" s="17">
        <v>4038261.09</v>
      </c>
      <c r="C22" s="17">
        <v>3391357.7000000007</v>
      </c>
      <c r="D22" s="139"/>
    </row>
    <row r="23" spans="1:4" ht="12.75" x14ac:dyDescent="0.2">
      <c r="A23" s="4" t="s">
        <v>2645</v>
      </c>
      <c r="B23" s="17">
        <v>35865229.990000002</v>
      </c>
      <c r="C23" s="17">
        <v>35865249.390000001</v>
      </c>
      <c r="D23" s="139"/>
    </row>
    <row r="24" spans="1:4" ht="12.75" x14ac:dyDescent="0.2">
      <c r="A24" s="4" t="s">
        <v>4031</v>
      </c>
      <c r="B24" s="17">
        <v>5003637.4000000004</v>
      </c>
      <c r="C24" s="17">
        <v>5003637.4000000004</v>
      </c>
      <c r="D24" s="139"/>
    </row>
    <row r="25" spans="1:4" ht="12.75" x14ac:dyDescent="0.2">
      <c r="A25" s="4" t="s">
        <v>2028</v>
      </c>
      <c r="B25" s="17">
        <v>4959000</v>
      </c>
      <c r="C25" s="17">
        <v>856419.3</v>
      </c>
      <c r="D25" s="139"/>
    </row>
    <row r="26" spans="1:4" ht="12.75" x14ac:dyDescent="0.2">
      <c r="A26" s="4" t="s">
        <v>2646</v>
      </c>
      <c r="B26" s="17">
        <v>2765171.01</v>
      </c>
      <c r="C26" s="17">
        <v>2765171.01</v>
      </c>
      <c r="D26" s="139"/>
    </row>
    <row r="27" spans="1:4" ht="12.75" x14ac:dyDescent="0.2">
      <c r="A27" s="142" t="s">
        <v>2647</v>
      </c>
      <c r="B27" s="17">
        <v>70518917.480000004</v>
      </c>
      <c r="C27" s="17">
        <v>65458758.965999991</v>
      </c>
      <c r="D27" s="139"/>
    </row>
    <row r="28" spans="1:4" ht="12.75" x14ac:dyDescent="0.2">
      <c r="D28" s="139"/>
    </row>
    <row r="29" spans="1:4" ht="12.75" x14ac:dyDescent="0.2">
      <c r="A29" s="4" t="s">
        <v>351</v>
      </c>
      <c r="B29" s="17">
        <v>1037840.0900000002</v>
      </c>
      <c r="C29" s="17">
        <v>260565.3</v>
      </c>
      <c r="D29" s="139"/>
    </row>
    <row r="30" spans="1:4" ht="12.75" x14ac:dyDescent="0.2">
      <c r="A30" s="4" t="s">
        <v>2643</v>
      </c>
      <c r="B30" s="17">
        <v>32587898.240000017</v>
      </c>
      <c r="C30" s="17">
        <v>32587898.240000017</v>
      </c>
      <c r="D30" s="139"/>
    </row>
    <row r="31" spans="1:4" ht="12.75" x14ac:dyDescent="0.2">
      <c r="A31" s="4" t="s">
        <v>786</v>
      </c>
      <c r="B31" s="17">
        <v>6211246.7400000002</v>
      </c>
      <c r="C31" s="17">
        <v>1765396.34</v>
      </c>
      <c r="D31" s="139"/>
    </row>
    <row r="32" spans="1:4" ht="12.75" x14ac:dyDescent="0.2">
      <c r="A32" s="4" t="s">
        <v>3608</v>
      </c>
      <c r="B32" s="17">
        <v>4192862.26</v>
      </c>
      <c r="C32" s="17">
        <v>4192862.26</v>
      </c>
      <c r="D32" s="139"/>
    </row>
    <row r="33" spans="1:4" ht="25.5" x14ac:dyDescent="0.2">
      <c r="A33" s="4" t="s">
        <v>11660</v>
      </c>
      <c r="B33" s="17">
        <v>2108182.14</v>
      </c>
      <c r="C33" s="17">
        <v>1054091.07</v>
      </c>
      <c r="D33" s="139"/>
    </row>
    <row r="34" spans="1:4" ht="12.75" x14ac:dyDescent="0.2">
      <c r="A34" s="4" t="s">
        <v>352</v>
      </c>
      <c r="B34" s="17">
        <v>5461574.2299999995</v>
      </c>
      <c r="C34" s="17">
        <v>4447470.4999999991</v>
      </c>
      <c r="D34" s="139"/>
    </row>
    <row r="35" spans="1:4" ht="12.75" x14ac:dyDescent="0.2">
      <c r="A35" s="4" t="s">
        <v>3609</v>
      </c>
      <c r="B35" s="17">
        <v>36055613.390000008</v>
      </c>
      <c r="C35" s="17">
        <v>36055613.390000008</v>
      </c>
      <c r="D35" s="139"/>
    </row>
    <row r="36" spans="1:4" ht="12.75" x14ac:dyDescent="0.2">
      <c r="A36" s="4" t="s">
        <v>3610</v>
      </c>
      <c r="B36" s="17">
        <v>13136386.659999998</v>
      </c>
      <c r="C36" s="17">
        <v>15071518.82</v>
      </c>
      <c r="D36" s="139"/>
    </row>
    <row r="37" spans="1:4" ht="12.75" x14ac:dyDescent="0.2">
      <c r="A37" s="4" t="s">
        <v>2028</v>
      </c>
      <c r="B37" s="17">
        <v>146925.74</v>
      </c>
      <c r="C37" s="17">
        <v>62357.63</v>
      </c>
      <c r="D37" s="139"/>
    </row>
    <row r="38" spans="1:4" ht="12.75" x14ac:dyDescent="0.2">
      <c r="A38" s="4" t="s">
        <v>2646</v>
      </c>
      <c r="B38" s="17">
        <v>7215514.2200000007</v>
      </c>
      <c r="C38" s="17">
        <v>7215514.2200000007</v>
      </c>
      <c r="D38" s="139"/>
    </row>
    <row r="39" spans="1:4" ht="12.75" x14ac:dyDescent="0.2">
      <c r="A39" s="142" t="s">
        <v>3611</v>
      </c>
      <c r="B39" s="17">
        <v>108154043.71000002</v>
      </c>
      <c r="C39" s="17">
        <v>102713287.77000001</v>
      </c>
      <c r="D39" s="139"/>
    </row>
    <row r="40" spans="1:4" ht="12.75" x14ac:dyDescent="0.2">
      <c r="D40" s="139"/>
    </row>
    <row r="41" spans="1:4" ht="12.75" x14ac:dyDescent="0.2">
      <c r="A41" s="139" t="s">
        <v>351</v>
      </c>
      <c r="B41" s="140">
        <v>434215.51999999996</v>
      </c>
      <c r="C41" s="140">
        <v>123207.87999999999</v>
      </c>
      <c r="D41" s="139"/>
    </row>
    <row r="42" spans="1:4" ht="12.75" x14ac:dyDescent="0.2">
      <c r="A42" s="139" t="s">
        <v>352</v>
      </c>
      <c r="B42" s="140">
        <v>7046705.9499999983</v>
      </c>
      <c r="C42" s="140">
        <v>5695859.2700000005</v>
      </c>
      <c r="D42" s="139"/>
    </row>
    <row r="43" spans="1:4" ht="12.75" x14ac:dyDescent="0.2">
      <c r="A43" s="139" t="s">
        <v>4030</v>
      </c>
      <c r="B43" s="140">
        <v>5549189.1099999994</v>
      </c>
      <c r="C43" s="140">
        <v>5549189.1099999994</v>
      </c>
      <c r="D43" s="139"/>
    </row>
    <row r="44" spans="1:4" ht="12.75" x14ac:dyDescent="0.2">
      <c r="A44" s="139" t="s">
        <v>4031</v>
      </c>
      <c r="B44" s="140">
        <v>11626573.16</v>
      </c>
      <c r="C44" s="140">
        <v>11626573.16</v>
      </c>
      <c r="D44" s="139"/>
    </row>
    <row r="45" spans="1:4" ht="12.75" x14ac:dyDescent="0.2">
      <c r="A45" s="139" t="s">
        <v>2028</v>
      </c>
      <c r="B45" s="140">
        <v>69097.100000000006</v>
      </c>
      <c r="C45" s="140">
        <v>31093.7</v>
      </c>
      <c r="D45" s="139"/>
    </row>
    <row r="46" spans="1:4" ht="12.75" x14ac:dyDescent="0.2">
      <c r="A46" s="139" t="s">
        <v>2646</v>
      </c>
      <c r="B46" s="140">
        <v>5433207.2199999997</v>
      </c>
      <c r="C46" s="140">
        <v>5433207.2199999997</v>
      </c>
      <c r="D46" s="139"/>
    </row>
    <row r="47" spans="1:4" ht="12.75" x14ac:dyDescent="0.2">
      <c r="A47" s="143" t="s">
        <v>4032</v>
      </c>
      <c r="B47" s="140">
        <v>30158988.059999999</v>
      </c>
      <c r="C47" s="140">
        <v>28459130.34</v>
      </c>
      <c r="D47" s="139"/>
    </row>
    <row r="48" spans="1:4" ht="12.75" x14ac:dyDescent="0.2">
      <c r="D48" s="139"/>
    </row>
    <row r="49" spans="1:4" ht="12.75" x14ac:dyDescent="0.2">
      <c r="A49" s="4" t="s">
        <v>351</v>
      </c>
      <c r="B49" s="3">
        <v>558115.01</v>
      </c>
      <c r="C49" s="3">
        <v>165612.84</v>
      </c>
      <c r="D49" s="139"/>
    </row>
    <row r="50" spans="1:4" ht="12.75" x14ac:dyDescent="0.2">
      <c r="A50" s="4" t="s">
        <v>2643</v>
      </c>
      <c r="B50" s="3">
        <v>88458.78</v>
      </c>
      <c r="C50" s="3">
        <v>88458.78</v>
      </c>
      <c r="D50" s="139"/>
    </row>
    <row r="51" spans="1:4" ht="12.75" x14ac:dyDescent="0.2">
      <c r="A51" s="4" t="s">
        <v>786</v>
      </c>
      <c r="B51" s="3">
        <v>1606423.44</v>
      </c>
      <c r="C51" s="3">
        <v>549503.31999999995</v>
      </c>
      <c r="D51" s="139"/>
    </row>
    <row r="52" spans="1:4" ht="12.75" x14ac:dyDescent="0.2">
      <c r="A52" s="4" t="s">
        <v>352</v>
      </c>
      <c r="B52" s="3">
        <v>5676189.4700000025</v>
      </c>
      <c r="C52" s="3">
        <v>4794865.8500000034</v>
      </c>
      <c r="D52" s="139"/>
    </row>
    <row r="53" spans="1:4" ht="12.75" x14ac:dyDescent="0.2">
      <c r="A53" s="4" t="s">
        <v>2028</v>
      </c>
      <c r="B53" s="3">
        <v>284371.21999999997</v>
      </c>
      <c r="C53" s="3">
        <v>121890.78</v>
      </c>
      <c r="D53" s="139"/>
    </row>
    <row r="54" spans="1:4" ht="12.75" x14ac:dyDescent="0.2">
      <c r="A54" s="142" t="s">
        <v>4315</v>
      </c>
      <c r="B54" s="3">
        <v>8213557.9200000027</v>
      </c>
      <c r="C54" s="3">
        <v>5720331.5700000031</v>
      </c>
      <c r="D54" s="139"/>
    </row>
    <row r="55" spans="1:4" ht="12.75" x14ac:dyDescent="0.2">
      <c r="D55" s="139"/>
    </row>
    <row r="56" spans="1:4" ht="12.75" x14ac:dyDescent="0.2">
      <c r="A56" s="139" t="s">
        <v>2642</v>
      </c>
      <c r="B56" s="140">
        <v>1257924.28</v>
      </c>
      <c r="C56" s="139">
        <v>1257924.28</v>
      </c>
      <c r="D56" s="139"/>
    </row>
    <row r="57" spans="1:4" ht="12.75" x14ac:dyDescent="0.2">
      <c r="A57" s="139" t="s">
        <v>351</v>
      </c>
      <c r="B57" s="140">
        <v>624667.32999999996</v>
      </c>
      <c r="C57" s="139">
        <v>149570.91999999998</v>
      </c>
      <c r="D57" s="139"/>
    </row>
    <row r="58" spans="1:4" ht="12.75" x14ac:dyDescent="0.2">
      <c r="A58" s="139" t="s">
        <v>786</v>
      </c>
      <c r="B58" s="140">
        <v>423317.85</v>
      </c>
      <c r="C58" s="139">
        <v>124635.36</v>
      </c>
      <c r="D58" s="139"/>
    </row>
    <row r="59" spans="1:4" ht="12.75" x14ac:dyDescent="0.2">
      <c r="A59" s="139" t="s">
        <v>352</v>
      </c>
      <c r="B59" s="140">
        <v>4478650.7300000004</v>
      </c>
      <c r="C59" s="139">
        <v>3585715.45</v>
      </c>
      <c r="D59" s="139"/>
    </row>
    <row r="60" spans="1:4" ht="12.75" x14ac:dyDescent="0.2">
      <c r="A60" s="139" t="s">
        <v>2646</v>
      </c>
      <c r="B60" s="140">
        <v>26998.73</v>
      </c>
      <c r="C60" s="139">
        <v>26998.73</v>
      </c>
      <c r="D60" s="139"/>
    </row>
    <row r="61" spans="1:4" ht="12.75" x14ac:dyDescent="0.2">
      <c r="A61" s="143" t="s">
        <v>4664</v>
      </c>
      <c r="B61" s="140">
        <v>6811558.9200000009</v>
      </c>
      <c r="C61" s="139">
        <v>5144844.74</v>
      </c>
      <c r="D61" s="139"/>
    </row>
    <row r="62" spans="1:4" ht="12.75" x14ac:dyDescent="0.2">
      <c r="D62" s="139"/>
    </row>
    <row r="63" spans="1:4" ht="12.75" x14ac:dyDescent="0.2">
      <c r="A63" s="9" t="s">
        <v>351</v>
      </c>
      <c r="B63" s="3">
        <v>1528878.89</v>
      </c>
      <c r="C63" s="3">
        <v>343493.47000000003</v>
      </c>
      <c r="D63" s="139"/>
    </row>
    <row r="64" spans="1:4" ht="12.75" x14ac:dyDescent="0.2">
      <c r="A64" s="9" t="s">
        <v>2643</v>
      </c>
      <c r="B64" s="3">
        <v>3128950.8099999996</v>
      </c>
      <c r="C64" s="3">
        <v>3128950.81</v>
      </c>
      <c r="D64" s="139"/>
    </row>
    <row r="65" spans="1:4" ht="12.75" x14ac:dyDescent="0.2">
      <c r="A65" s="9" t="s">
        <v>786</v>
      </c>
      <c r="B65" s="3">
        <v>3978134.8</v>
      </c>
      <c r="C65" s="3">
        <v>1106651.5499999998</v>
      </c>
      <c r="D65" s="139"/>
    </row>
    <row r="66" spans="1:4" ht="25.5" x14ac:dyDescent="0.2">
      <c r="A66" s="9" t="s">
        <v>11660</v>
      </c>
      <c r="B66" s="3">
        <v>2264596.94</v>
      </c>
      <c r="C66" s="3">
        <v>905838.78</v>
      </c>
      <c r="D66" s="139"/>
    </row>
    <row r="67" spans="1:4" ht="12.75" x14ac:dyDescent="0.2">
      <c r="A67" s="9" t="s">
        <v>352</v>
      </c>
      <c r="B67" s="3">
        <v>4263499.3100000005</v>
      </c>
      <c r="C67" s="3">
        <v>3419484.9800000004</v>
      </c>
      <c r="D67" s="139"/>
    </row>
    <row r="68" spans="1:4" ht="12.75" x14ac:dyDescent="0.2">
      <c r="A68" s="9" t="s">
        <v>4030</v>
      </c>
      <c r="B68" s="12">
        <v>3238190.07</v>
      </c>
      <c r="C68" s="12">
        <v>3238190.07</v>
      </c>
      <c r="D68" s="139"/>
    </row>
    <row r="69" spans="1:4" ht="12.75" x14ac:dyDescent="0.2">
      <c r="A69" s="9" t="s">
        <v>4031</v>
      </c>
      <c r="B69" s="12">
        <v>2215036.9299999997</v>
      </c>
      <c r="C69" s="12">
        <v>2215036.9299999997</v>
      </c>
      <c r="D69" s="139"/>
    </row>
    <row r="70" spans="1:4" ht="12.75" x14ac:dyDescent="0.2">
      <c r="A70" s="144" t="s">
        <v>5015</v>
      </c>
      <c r="B70" s="12">
        <v>20617287.75</v>
      </c>
      <c r="C70" s="12">
        <v>14357646.59</v>
      </c>
      <c r="D70" s="139"/>
    </row>
    <row r="71" spans="1:4" ht="12.75" x14ac:dyDescent="0.2">
      <c r="D71" s="139"/>
    </row>
    <row r="72" spans="1:4" ht="12.75" x14ac:dyDescent="0.2">
      <c r="A72" s="4" t="s">
        <v>351</v>
      </c>
      <c r="B72" s="3">
        <v>1674906.45</v>
      </c>
      <c r="C72" s="3">
        <v>403702.93</v>
      </c>
      <c r="D72" s="139"/>
    </row>
    <row r="73" spans="1:4" ht="12.75" x14ac:dyDescent="0.2">
      <c r="A73" s="4" t="s">
        <v>786</v>
      </c>
      <c r="B73" s="3">
        <v>264000</v>
      </c>
      <c r="C73" s="3">
        <v>66000</v>
      </c>
      <c r="D73" s="139"/>
    </row>
    <row r="74" spans="1:4" ht="12.75" x14ac:dyDescent="0.2">
      <c r="A74" s="4" t="s">
        <v>352</v>
      </c>
      <c r="B74" s="3">
        <v>4338272.8100000024</v>
      </c>
      <c r="C74" s="3">
        <v>3374906.3</v>
      </c>
      <c r="D74" s="139"/>
    </row>
    <row r="75" spans="1:4" ht="12.75" x14ac:dyDescent="0.2">
      <c r="A75" s="142" t="s">
        <v>5812</v>
      </c>
      <c r="B75" s="3">
        <v>6277179.2600000026</v>
      </c>
      <c r="C75" s="3">
        <v>3844609.23</v>
      </c>
      <c r="D75" s="139"/>
    </row>
    <row r="76" spans="1:4" ht="12.75" x14ac:dyDescent="0.2">
      <c r="D76" s="139"/>
    </row>
    <row r="77" spans="1:4" ht="12.75" x14ac:dyDescent="0.2">
      <c r="A77" s="4" t="s">
        <v>2642</v>
      </c>
      <c r="B77" s="3">
        <v>905249.1</v>
      </c>
      <c r="C77" s="3">
        <v>905249.1</v>
      </c>
      <c r="D77" s="139"/>
    </row>
    <row r="78" spans="1:4" ht="12.75" x14ac:dyDescent="0.2">
      <c r="A78" s="4" t="s">
        <v>2643</v>
      </c>
      <c r="B78" s="3">
        <v>3649124.4499999997</v>
      </c>
      <c r="C78" s="3">
        <v>3649124.4499999997</v>
      </c>
      <c r="D78" s="139"/>
    </row>
    <row r="79" spans="1:4" ht="12.75" x14ac:dyDescent="0.2">
      <c r="A79" s="4" t="s">
        <v>786</v>
      </c>
      <c r="B79" s="3">
        <v>1166484.56</v>
      </c>
      <c r="C79" s="3">
        <v>348991.35</v>
      </c>
      <c r="D79" s="139"/>
    </row>
    <row r="80" spans="1:4" ht="12.75" x14ac:dyDescent="0.2">
      <c r="A80" s="4" t="s">
        <v>3608</v>
      </c>
      <c r="B80" s="3">
        <v>6000000</v>
      </c>
      <c r="C80" s="3">
        <v>6000000.0099999998</v>
      </c>
      <c r="D80" s="139"/>
    </row>
    <row r="81" spans="1:4" ht="12.75" x14ac:dyDescent="0.2">
      <c r="A81" s="4" t="s">
        <v>6177</v>
      </c>
      <c r="B81" s="3">
        <v>2669371</v>
      </c>
      <c r="C81" s="3">
        <v>1067747</v>
      </c>
      <c r="D81" s="139"/>
    </row>
    <row r="82" spans="1:4" ht="12.75" x14ac:dyDescent="0.2">
      <c r="A82" s="4" t="s">
        <v>352</v>
      </c>
      <c r="B82" s="3">
        <v>3371404.2499999995</v>
      </c>
      <c r="C82" s="3">
        <v>2839540.7999999989</v>
      </c>
      <c r="D82" s="139"/>
    </row>
    <row r="83" spans="1:4" ht="12.75" x14ac:dyDescent="0.2">
      <c r="A83" s="4" t="s">
        <v>2645</v>
      </c>
      <c r="B83" s="12">
        <v>9660932.1600000001</v>
      </c>
      <c r="C83" s="12">
        <v>9660932.1600000001</v>
      </c>
      <c r="D83" s="139"/>
    </row>
    <row r="84" spans="1:4" ht="12.75" x14ac:dyDescent="0.2">
      <c r="A84" s="4" t="s">
        <v>4031</v>
      </c>
      <c r="B84" s="12">
        <v>1228084.54</v>
      </c>
      <c r="C84" s="12">
        <v>1228084.54</v>
      </c>
      <c r="D84" s="139"/>
    </row>
    <row r="85" spans="1:4" ht="12.75" x14ac:dyDescent="0.2">
      <c r="A85" s="4" t="s">
        <v>2646</v>
      </c>
      <c r="B85" s="3">
        <v>2293928.71</v>
      </c>
      <c r="C85" s="3">
        <v>2293928.71</v>
      </c>
      <c r="D85" s="139"/>
    </row>
    <row r="86" spans="1:4" ht="12.75" x14ac:dyDescent="0.2">
      <c r="A86" s="4" t="s">
        <v>6178</v>
      </c>
      <c r="B86" s="3">
        <v>5526378.29</v>
      </c>
      <c r="C86" s="3">
        <v>5526378.29</v>
      </c>
      <c r="D86" s="139"/>
    </row>
    <row r="87" spans="1:4" ht="12.75" x14ac:dyDescent="0.2">
      <c r="A87" s="142" t="s">
        <v>6179</v>
      </c>
      <c r="B87" s="3">
        <v>36470957.060000002</v>
      </c>
      <c r="C87" s="3">
        <v>33519976.409999996</v>
      </c>
      <c r="D87" s="139"/>
    </row>
    <row r="88" spans="1:4" ht="12.75" x14ac:dyDescent="0.2">
      <c r="D88" s="139"/>
    </row>
    <row r="89" spans="1:4" ht="12.75" x14ac:dyDescent="0.2">
      <c r="A89" s="139" t="s">
        <v>351</v>
      </c>
      <c r="B89" s="140">
        <v>1198752.78</v>
      </c>
      <c r="C89" s="139">
        <v>318101.58999999997</v>
      </c>
      <c r="D89" s="139"/>
    </row>
    <row r="90" spans="1:4" ht="12.75" x14ac:dyDescent="0.2">
      <c r="A90" s="139" t="s">
        <v>786</v>
      </c>
      <c r="B90" s="140">
        <v>416221.31</v>
      </c>
      <c r="C90" s="139">
        <v>152580.46000000002</v>
      </c>
      <c r="D90" s="139"/>
    </row>
    <row r="91" spans="1:4" ht="12.75" x14ac:dyDescent="0.2">
      <c r="A91" s="139" t="s">
        <v>352</v>
      </c>
      <c r="B91" s="140">
        <v>5100507.45</v>
      </c>
      <c r="C91" s="139">
        <v>3711653.5999999996</v>
      </c>
      <c r="D91" s="139"/>
    </row>
    <row r="92" spans="1:4" ht="12.75" x14ac:dyDescent="0.2">
      <c r="A92" s="143" t="s">
        <v>6717</v>
      </c>
      <c r="B92" s="140">
        <v>6715481.54</v>
      </c>
      <c r="C92" s="139">
        <v>4182335.6499999994</v>
      </c>
      <c r="D92" s="139"/>
    </row>
    <row r="93" spans="1:4" ht="12.75" x14ac:dyDescent="0.2">
      <c r="D93" s="139"/>
    </row>
    <row r="94" spans="1:4" ht="12.75" x14ac:dyDescent="0.2">
      <c r="A94" s="139" t="s">
        <v>351</v>
      </c>
      <c r="B94" s="140">
        <v>322807.90999999992</v>
      </c>
      <c r="C94" s="139">
        <v>90386.41</v>
      </c>
      <c r="D94" s="139"/>
    </row>
    <row r="95" spans="1:4" ht="12.75" x14ac:dyDescent="0.2">
      <c r="A95" s="139" t="s">
        <v>786</v>
      </c>
      <c r="B95" s="140">
        <v>1111983.0799999998</v>
      </c>
      <c r="C95" s="139">
        <v>315517.95999999996</v>
      </c>
      <c r="D95" s="139"/>
    </row>
    <row r="96" spans="1:4" ht="12.75" x14ac:dyDescent="0.2">
      <c r="A96" s="139" t="s">
        <v>352</v>
      </c>
      <c r="B96" s="140">
        <v>4365529.71</v>
      </c>
      <c r="C96" s="139">
        <v>3542671.55</v>
      </c>
      <c r="D96" s="139"/>
    </row>
    <row r="97" spans="1:4" ht="12.75" x14ac:dyDescent="0.2">
      <c r="A97" s="139" t="s">
        <v>2028</v>
      </c>
      <c r="B97" s="140">
        <v>9633</v>
      </c>
      <c r="C97" s="139">
        <v>9633</v>
      </c>
      <c r="D97" s="139"/>
    </row>
    <row r="98" spans="1:4" ht="12.75" x14ac:dyDescent="0.2">
      <c r="A98" s="143" t="s">
        <v>7099</v>
      </c>
      <c r="B98" s="140">
        <v>5809953.6999999993</v>
      </c>
      <c r="C98" s="139">
        <v>3958208.92</v>
      </c>
      <c r="D98" s="139"/>
    </row>
    <row r="99" spans="1:4" ht="12.75" x14ac:dyDescent="0.2">
      <c r="D99" s="139"/>
    </row>
    <row r="100" spans="1:4" ht="12.75" x14ac:dyDescent="0.2">
      <c r="A100" s="4" t="s">
        <v>351</v>
      </c>
      <c r="B100" s="3">
        <v>212279.71000000002</v>
      </c>
      <c r="C100" s="3">
        <v>64801.31</v>
      </c>
      <c r="D100" s="139"/>
    </row>
    <row r="101" spans="1:4" ht="12.75" x14ac:dyDescent="0.2">
      <c r="A101" s="4" t="s">
        <v>786</v>
      </c>
      <c r="B101" s="3">
        <v>140348</v>
      </c>
      <c r="C101" s="3">
        <v>28070</v>
      </c>
      <c r="D101" s="139"/>
    </row>
    <row r="102" spans="1:4" ht="12.75" x14ac:dyDescent="0.2">
      <c r="A102" s="4" t="s">
        <v>352</v>
      </c>
      <c r="B102" s="3">
        <v>4397630.5299999984</v>
      </c>
      <c r="C102" s="3">
        <v>3239978.209999999</v>
      </c>
      <c r="D102" s="139"/>
    </row>
    <row r="103" spans="1:4" ht="12.75" x14ac:dyDescent="0.2">
      <c r="A103" s="4" t="s">
        <v>2028</v>
      </c>
      <c r="B103" s="3">
        <v>211126</v>
      </c>
      <c r="C103" s="3">
        <v>60040</v>
      </c>
      <c r="D103" s="139"/>
    </row>
    <row r="104" spans="1:4" ht="12.75" x14ac:dyDescent="0.2">
      <c r="A104" s="142" t="s">
        <v>7439</v>
      </c>
      <c r="B104" s="3">
        <v>4961384.2399999984</v>
      </c>
      <c r="C104" s="3">
        <v>3392889.5199999991</v>
      </c>
      <c r="D104" s="139"/>
    </row>
    <row r="105" spans="1:4" ht="12.75" x14ac:dyDescent="0.2">
      <c r="D105" s="139"/>
    </row>
    <row r="106" spans="1:4" ht="12.75" x14ac:dyDescent="0.2">
      <c r="A106" s="4" t="s">
        <v>2642</v>
      </c>
      <c r="B106" s="3">
        <v>956630.83000000007</v>
      </c>
      <c r="C106" s="3">
        <v>956630.83000000007</v>
      </c>
      <c r="D106" s="139"/>
    </row>
    <row r="107" spans="1:4" ht="12.75" x14ac:dyDescent="0.2">
      <c r="A107" s="4" t="s">
        <v>351</v>
      </c>
      <c r="B107" s="3">
        <v>611270.23</v>
      </c>
      <c r="C107" s="3">
        <v>176157.84999999998</v>
      </c>
      <c r="D107" s="139"/>
    </row>
    <row r="108" spans="1:4" ht="12.75" x14ac:dyDescent="0.2">
      <c r="A108" s="4" t="s">
        <v>2643</v>
      </c>
      <c r="B108" s="3">
        <v>179232</v>
      </c>
      <c r="C108" s="3">
        <v>179232</v>
      </c>
      <c r="D108" s="139"/>
    </row>
    <row r="109" spans="1:4" ht="12.75" x14ac:dyDescent="0.2">
      <c r="A109" s="4" t="s">
        <v>786</v>
      </c>
      <c r="B109" s="3">
        <v>3094440.3900000006</v>
      </c>
      <c r="C109" s="3">
        <v>701438.82000000007</v>
      </c>
      <c r="D109" s="139"/>
    </row>
    <row r="110" spans="1:4" ht="12.75" x14ac:dyDescent="0.2">
      <c r="A110" s="4" t="s">
        <v>352</v>
      </c>
      <c r="B110" s="3">
        <v>4803952.1899999985</v>
      </c>
      <c r="C110" s="3">
        <v>3728304.4099999974</v>
      </c>
      <c r="D110" s="139"/>
    </row>
    <row r="111" spans="1:4" ht="12.75" x14ac:dyDescent="0.2">
      <c r="A111" s="4" t="s">
        <v>2028</v>
      </c>
      <c r="B111" s="3">
        <v>128778.17</v>
      </c>
      <c r="C111" s="3">
        <v>44286.61</v>
      </c>
      <c r="D111" s="139"/>
    </row>
    <row r="112" spans="1:4" ht="12.75" x14ac:dyDescent="0.2">
      <c r="A112" s="4" t="s">
        <v>4030</v>
      </c>
      <c r="B112" s="12">
        <v>5340557.5599999996</v>
      </c>
      <c r="C112" s="12">
        <v>5340557.5599999996</v>
      </c>
      <c r="D112" s="139"/>
    </row>
    <row r="113" spans="1:4" ht="12.75" x14ac:dyDescent="0.2">
      <c r="A113" s="4" t="s">
        <v>2646</v>
      </c>
      <c r="B113" s="3">
        <v>260000</v>
      </c>
      <c r="C113" s="3">
        <v>260000</v>
      </c>
      <c r="D113" s="139"/>
    </row>
    <row r="114" spans="1:4" ht="12.75" x14ac:dyDescent="0.2">
      <c r="A114" s="142" t="s">
        <v>7938</v>
      </c>
      <c r="B114" s="3">
        <v>15374861.370000001</v>
      </c>
      <c r="C114" s="3">
        <v>11386608.079999998</v>
      </c>
      <c r="D114" s="139"/>
    </row>
    <row r="115" spans="1:4" ht="12.75" x14ac:dyDescent="0.2">
      <c r="D115" s="139"/>
    </row>
    <row r="116" spans="1:4" ht="12.75" x14ac:dyDescent="0.2">
      <c r="A116" s="4" t="s">
        <v>351</v>
      </c>
      <c r="B116" s="3">
        <v>2099719.06</v>
      </c>
      <c r="C116" s="3">
        <v>525231.84</v>
      </c>
      <c r="D116" s="139"/>
    </row>
    <row r="117" spans="1:4" ht="12.75" x14ac:dyDescent="0.2">
      <c r="A117" s="4" t="s">
        <v>786</v>
      </c>
      <c r="B117" s="3">
        <v>1505467</v>
      </c>
      <c r="C117" s="3">
        <v>476915.5</v>
      </c>
      <c r="D117" s="139"/>
    </row>
    <row r="118" spans="1:4" ht="12.75" x14ac:dyDescent="0.2">
      <c r="A118" s="4" t="s">
        <v>352</v>
      </c>
      <c r="B118" s="3">
        <v>3592227.73</v>
      </c>
      <c r="C118" s="3">
        <v>2866864.9699999997</v>
      </c>
      <c r="D118" s="139"/>
    </row>
    <row r="119" spans="1:4" ht="12.75" x14ac:dyDescent="0.2">
      <c r="A119" s="142" t="s">
        <v>8345</v>
      </c>
      <c r="B119" s="3">
        <v>7197413.79</v>
      </c>
      <c r="C119" s="3">
        <v>3869012.3099999996</v>
      </c>
      <c r="D119" s="139"/>
    </row>
    <row r="120" spans="1:4" ht="12.75" x14ac:dyDescent="0.2">
      <c r="D120" s="139"/>
    </row>
    <row r="121" spans="1:4" ht="12.75" x14ac:dyDescent="0.2">
      <c r="A121" s="139" t="s">
        <v>2642</v>
      </c>
      <c r="B121" s="140">
        <v>835928.85</v>
      </c>
      <c r="C121" s="139">
        <v>835928.85</v>
      </c>
      <c r="D121" s="139"/>
    </row>
    <row r="122" spans="1:4" ht="12.75" x14ac:dyDescent="0.2">
      <c r="A122" s="139" t="s">
        <v>351</v>
      </c>
      <c r="B122" s="140">
        <v>445449.43</v>
      </c>
      <c r="C122" s="139">
        <v>116838</v>
      </c>
      <c r="D122" s="139"/>
    </row>
    <row r="123" spans="1:4" ht="12.75" x14ac:dyDescent="0.2">
      <c r="A123" s="139" t="s">
        <v>2643</v>
      </c>
      <c r="B123" s="140">
        <v>5218526.6399999987</v>
      </c>
      <c r="C123" s="139">
        <v>5218526.6399999987</v>
      </c>
      <c r="D123" s="139"/>
    </row>
    <row r="124" spans="1:4" ht="12.75" x14ac:dyDescent="0.2">
      <c r="A124" s="139" t="s">
        <v>352</v>
      </c>
      <c r="B124" s="140">
        <v>3790084.0899999994</v>
      </c>
      <c r="C124" s="139">
        <v>2609195.1599999997</v>
      </c>
      <c r="D124" s="139"/>
    </row>
    <row r="125" spans="1:4" ht="12.75" x14ac:dyDescent="0.2">
      <c r="A125" s="139" t="s">
        <v>3587</v>
      </c>
      <c r="B125" s="140">
        <v>374106.53</v>
      </c>
      <c r="C125" s="139">
        <v>374106.53</v>
      </c>
      <c r="D125" s="139"/>
    </row>
    <row r="126" spans="1:4" ht="12.75" x14ac:dyDescent="0.2">
      <c r="A126" s="139" t="s">
        <v>2646</v>
      </c>
      <c r="B126" s="140">
        <v>432192.81</v>
      </c>
      <c r="C126" s="139">
        <v>432192.81</v>
      </c>
      <c r="D126" s="139"/>
    </row>
    <row r="127" spans="1:4" ht="12.75" x14ac:dyDescent="0.2">
      <c r="A127" s="139" t="s">
        <v>3608</v>
      </c>
      <c r="B127" s="140">
        <v>4669738.33</v>
      </c>
      <c r="C127" s="139">
        <v>4669738.33</v>
      </c>
      <c r="D127" s="139"/>
    </row>
    <row r="128" spans="1:4" ht="12.75" x14ac:dyDescent="0.2">
      <c r="A128" s="143" t="s">
        <v>8902</v>
      </c>
      <c r="B128" s="140">
        <v>15766026.679999998</v>
      </c>
      <c r="C128" s="139">
        <v>14256526.319999998</v>
      </c>
      <c r="D128" s="139"/>
    </row>
    <row r="129" spans="1:4" ht="12.75" x14ac:dyDescent="0.2">
      <c r="D129" s="139"/>
    </row>
    <row r="130" spans="1:4" ht="12.75" x14ac:dyDescent="0.2">
      <c r="A130" s="139" t="s">
        <v>351</v>
      </c>
      <c r="B130" s="140">
        <v>498179.32000000007</v>
      </c>
      <c r="C130" s="139">
        <v>137623.09</v>
      </c>
      <c r="D130" s="139"/>
    </row>
    <row r="131" spans="1:4" ht="12.75" x14ac:dyDescent="0.2">
      <c r="A131" s="139" t="s">
        <v>786</v>
      </c>
      <c r="B131" s="140">
        <v>953047.11</v>
      </c>
      <c r="C131" s="139">
        <v>321324.93</v>
      </c>
      <c r="D131" s="139"/>
    </row>
    <row r="132" spans="1:4" ht="12.75" x14ac:dyDescent="0.2">
      <c r="A132" s="139" t="s">
        <v>352</v>
      </c>
      <c r="B132" s="140">
        <v>3727859.67</v>
      </c>
      <c r="C132" s="139">
        <v>2924803.8399999994</v>
      </c>
      <c r="D132" s="139"/>
    </row>
    <row r="133" spans="1:4" ht="12.75" x14ac:dyDescent="0.2">
      <c r="A133" s="139" t="s">
        <v>2028</v>
      </c>
      <c r="B133" s="140">
        <v>244951.91999999998</v>
      </c>
      <c r="C133" s="139">
        <v>87431.6</v>
      </c>
      <c r="D133" s="139"/>
    </row>
    <row r="134" spans="1:4" ht="12.75" x14ac:dyDescent="0.2">
      <c r="A134" s="143" t="s">
        <v>9240</v>
      </c>
      <c r="B134" s="140">
        <v>5424038.0199999996</v>
      </c>
      <c r="C134" s="139">
        <v>3471183.4599999995</v>
      </c>
      <c r="D134" s="139"/>
    </row>
    <row r="135" spans="1:4" ht="12.75" x14ac:dyDescent="0.2">
      <c r="D135" s="139"/>
    </row>
    <row r="136" spans="1:4" ht="12.75" x14ac:dyDescent="0.2">
      <c r="A136" s="139" t="s">
        <v>351</v>
      </c>
      <c r="B136" s="140">
        <v>2162562.4799999995</v>
      </c>
      <c r="C136" s="139">
        <v>611433.6399999999</v>
      </c>
      <c r="D136" s="139"/>
    </row>
    <row r="137" spans="1:4" ht="12.75" x14ac:dyDescent="0.2">
      <c r="A137" s="139" t="s">
        <v>786</v>
      </c>
      <c r="B137" s="140">
        <v>107693</v>
      </c>
      <c r="C137" s="139">
        <v>37693</v>
      </c>
      <c r="D137" s="139"/>
    </row>
    <row r="138" spans="1:4" ht="12.75" x14ac:dyDescent="0.2">
      <c r="A138" s="139" t="s">
        <v>352</v>
      </c>
      <c r="B138" s="140">
        <v>5673376.6100000013</v>
      </c>
      <c r="C138" s="139">
        <v>4305651.2500000009</v>
      </c>
      <c r="D138" s="139"/>
    </row>
    <row r="139" spans="1:4" ht="12.75" x14ac:dyDescent="0.2">
      <c r="A139" s="143" t="s">
        <v>9748</v>
      </c>
      <c r="B139" s="140">
        <v>7943632.0900000008</v>
      </c>
      <c r="C139" s="139">
        <v>4954777.8900000006</v>
      </c>
      <c r="D139" s="139"/>
    </row>
    <row r="140" spans="1:4" ht="12.75" x14ac:dyDescent="0.2">
      <c r="D140" s="139"/>
    </row>
    <row r="141" spans="1:4" ht="12.75" x14ac:dyDescent="0.2">
      <c r="A141" s="139" t="s">
        <v>351</v>
      </c>
      <c r="B141" s="140">
        <v>805104.52999999991</v>
      </c>
      <c r="C141" s="139">
        <v>183993.48000000004</v>
      </c>
      <c r="D141" s="139"/>
    </row>
    <row r="142" spans="1:4" ht="12.75" x14ac:dyDescent="0.2">
      <c r="A142" s="139" t="s">
        <v>786</v>
      </c>
      <c r="B142" s="140">
        <v>704516.05</v>
      </c>
      <c r="C142" s="139">
        <v>221742.15</v>
      </c>
      <c r="D142" s="139"/>
    </row>
    <row r="143" spans="1:4" ht="12.75" x14ac:dyDescent="0.2">
      <c r="A143" s="139" t="s">
        <v>352</v>
      </c>
      <c r="B143" s="140">
        <v>5344267.6900000004</v>
      </c>
      <c r="C143" s="139">
        <v>4019267.0899999994</v>
      </c>
      <c r="D143" s="139"/>
    </row>
    <row r="144" spans="1:4" ht="12.75" x14ac:dyDescent="0.2">
      <c r="A144" s="143" t="s">
        <v>10190</v>
      </c>
      <c r="B144" s="140">
        <v>6853888.2700000005</v>
      </c>
      <c r="C144" s="139">
        <v>4425002.72</v>
      </c>
      <c r="D144" s="139"/>
    </row>
    <row r="145" spans="1:4" ht="12.75" x14ac:dyDescent="0.2">
      <c r="D145" s="139"/>
    </row>
    <row r="146" spans="1:4" ht="12.75" x14ac:dyDescent="0.2">
      <c r="D146" s="139"/>
    </row>
    <row r="147" spans="1:4" ht="12.75" x14ac:dyDescent="0.2">
      <c r="A147" s="145" t="s">
        <v>11768</v>
      </c>
      <c r="B147" s="146">
        <v>405182310.92000008</v>
      </c>
      <c r="C147" s="146">
        <v>335904373.50599998</v>
      </c>
      <c r="D147" s="139"/>
    </row>
    <row r="148" spans="1:4" ht="12.75" x14ac:dyDescent="0.2">
      <c r="D148" s="139"/>
    </row>
    <row r="149" spans="1:4" ht="12.75" x14ac:dyDescent="0.2">
      <c r="C149" s="140">
        <v>373755932.38599998</v>
      </c>
      <c r="D149" s="139" t="s">
        <v>11774</v>
      </c>
    </row>
    <row r="150" spans="1:4" ht="12.75" x14ac:dyDescent="0.2">
      <c r="C150" s="140">
        <f>SUM(C149-C147)</f>
        <v>37851558.879999995</v>
      </c>
      <c r="D150" s="139"/>
    </row>
    <row r="151" spans="1:4" ht="12.75" x14ac:dyDescent="0.2">
      <c r="D151" s="139"/>
    </row>
    <row r="152" spans="1:4" ht="12.75" x14ac:dyDescent="0.2">
      <c r="D152" s="139"/>
    </row>
    <row r="153" spans="1:4" ht="12.75" x14ac:dyDescent="0.2">
      <c r="D153" s="139"/>
    </row>
    <row r="154" spans="1:4" ht="12.75" x14ac:dyDescent="0.2">
      <c r="D154" s="139"/>
    </row>
    <row r="155" spans="1:4" ht="12.75" x14ac:dyDescent="0.2">
      <c r="D155" s="139"/>
    </row>
    <row r="156" spans="1:4" ht="12.75" x14ac:dyDescent="0.2">
      <c r="D156" s="139"/>
    </row>
    <row r="157" spans="1:4" ht="12.75" x14ac:dyDescent="0.2">
      <c r="D157" s="139"/>
    </row>
    <row r="158" spans="1:4" ht="12.75" x14ac:dyDescent="0.2">
      <c r="D158" s="139"/>
    </row>
    <row r="159" spans="1:4" ht="12.75" x14ac:dyDescent="0.2">
      <c r="D159" s="139"/>
    </row>
    <row r="160" spans="1:4" ht="12.75" x14ac:dyDescent="0.2">
      <c r="D160" s="139"/>
    </row>
    <row r="161" spans="4:4" ht="12.75" x14ac:dyDescent="0.2">
      <c r="D161" s="139"/>
    </row>
    <row r="162" spans="4:4" ht="12.75" x14ac:dyDescent="0.2">
      <c r="D162" s="139"/>
    </row>
    <row r="163" spans="4:4" ht="12.75" x14ac:dyDescent="0.2">
      <c r="D163" s="139"/>
    </row>
    <row r="164" spans="4:4" ht="12.75" x14ac:dyDescent="0.2">
      <c r="D164" s="139"/>
    </row>
    <row r="165" spans="4:4" ht="12.75" x14ac:dyDescent="0.2">
      <c r="D165" s="139"/>
    </row>
    <row r="166" spans="4:4" ht="12.75" x14ac:dyDescent="0.2">
      <c r="D166" s="139"/>
    </row>
    <row r="167" spans="4:4" ht="12.75" x14ac:dyDescent="0.2">
      <c r="D167" s="139"/>
    </row>
    <row r="168" spans="4:4" ht="12.75" x14ac:dyDescent="0.2">
      <c r="D168" s="139"/>
    </row>
    <row r="169" spans="4:4" ht="12.75" x14ac:dyDescent="0.2">
      <c r="D169" s="139"/>
    </row>
    <row r="170" spans="4:4" ht="12.75" x14ac:dyDescent="0.2">
      <c r="D170" s="139"/>
    </row>
    <row r="171" spans="4:4" ht="12.75" x14ac:dyDescent="0.2">
      <c r="D171" s="139"/>
    </row>
    <row r="172" spans="4:4" ht="12.75" x14ac:dyDescent="0.2">
      <c r="D172" s="139"/>
    </row>
    <row r="173" spans="4:4" ht="12.75" x14ac:dyDescent="0.2">
      <c r="D173" s="139"/>
    </row>
    <row r="174" spans="4:4" ht="12.75" x14ac:dyDescent="0.2">
      <c r="D174" s="139"/>
    </row>
    <row r="175" spans="4:4" ht="12.75" x14ac:dyDescent="0.2">
      <c r="D175" s="139"/>
    </row>
    <row r="176" spans="4:4" ht="12.75" x14ac:dyDescent="0.2">
      <c r="D176" s="139"/>
    </row>
    <row r="177" spans="4:4" ht="12.75" x14ac:dyDescent="0.2">
      <c r="D177" s="139"/>
    </row>
    <row r="178" spans="4:4" ht="12.75" x14ac:dyDescent="0.2">
      <c r="D178" s="139"/>
    </row>
    <row r="179" spans="4:4" ht="12.75" x14ac:dyDescent="0.2">
      <c r="D179" s="139"/>
    </row>
    <row r="180" spans="4:4" ht="12.75" x14ac:dyDescent="0.2">
      <c r="D180" s="139"/>
    </row>
    <row r="181" spans="4:4" ht="12.75" x14ac:dyDescent="0.2">
      <c r="D181" s="139"/>
    </row>
    <row r="182" spans="4:4" ht="12.75" x14ac:dyDescent="0.2">
      <c r="D182" s="139"/>
    </row>
    <row r="183" spans="4:4" ht="12.75" x14ac:dyDescent="0.2">
      <c r="D183" s="139"/>
    </row>
    <row r="184" spans="4:4" ht="12.75" x14ac:dyDescent="0.2">
      <c r="D184" s="139"/>
    </row>
    <row r="185" spans="4:4" ht="12.75" x14ac:dyDescent="0.2">
      <c r="D185" s="139"/>
    </row>
    <row r="186" spans="4:4" ht="12.75" x14ac:dyDescent="0.2">
      <c r="D186" s="139"/>
    </row>
    <row r="187" spans="4:4" ht="12.75" x14ac:dyDescent="0.2">
      <c r="D187" s="139"/>
    </row>
    <row r="188" spans="4:4" ht="12.75" x14ac:dyDescent="0.2">
      <c r="D188" s="139"/>
    </row>
    <row r="189" spans="4:4" ht="12.75" x14ac:dyDescent="0.2">
      <c r="D189" s="139"/>
    </row>
    <row r="190" spans="4:4" ht="12.75" x14ac:dyDescent="0.2">
      <c r="D190" s="139"/>
    </row>
    <row r="191" spans="4:4" ht="12.75" x14ac:dyDescent="0.2">
      <c r="D191" s="139"/>
    </row>
    <row r="192" spans="4:4" ht="12.75" x14ac:dyDescent="0.2">
      <c r="D192" s="139"/>
    </row>
    <row r="193" spans="4:4" ht="12.75" x14ac:dyDescent="0.2">
      <c r="D193" s="139"/>
    </row>
    <row r="194" spans="4:4" ht="12.75" x14ac:dyDescent="0.2">
      <c r="D194" s="139"/>
    </row>
    <row r="195" spans="4:4" ht="12.75" x14ac:dyDescent="0.2">
      <c r="D195" s="139"/>
    </row>
    <row r="196" spans="4:4" ht="12.75" x14ac:dyDescent="0.2">
      <c r="D196" s="139"/>
    </row>
    <row r="197" spans="4:4" ht="12.75" x14ac:dyDescent="0.2">
      <c r="D197" s="139"/>
    </row>
    <row r="198" spans="4:4" ht="12.75" x14ac:dyDescent="0.2">
      <c r="D198" s="139"/>
    </row>
    <row r="199" spans="4:4" ht="12.75" x14ac:dyDescent="0.2">
      <c r="D199" s="139"/>
    </row>
    <row r="200" spans="4:4" ht="12.75" x14ac:dyDescent="0.2">
      <c r="D200" s="139"/>
    </row>
    <row r="201" spans="4:4" ht="12.75" x14ac:dyDescent="0.2">
      <c r="D201" s="139"/>
    </row>
    <row r="202" spans="4:4" ht="12.75" x14ac:dyDescent="0.2">
      <c r="D202" s="139"/>
    </row>
    <row r="203" spans="4:4" ht="12.75" x14ac:dyDescent="0.2">
      <c r="D203" s="139"/>
    </row>
    <row r="204" spans="4:4" ht="12.75" x14ac:dyDescent="0.2">
      <c r="D204" s="139"/>
    </row>
    <row r="205" spans="4:4" ht="12.75" x14ac:dyDescent="0.2">
      <c r="D205" s="139"/>
    </row>
    <row r="206" spans="4:4" ht="12.75" x14ac:dyDescent="0.2">
      <c r="D206" s="139"/>
    </row>
    <row r="207" spans="4:4" ht="12.75" x14ac:dyDescent="0.2">
      <c r="D207" s="139"/>
    </row>
    <row r="208" spans="4:4" ht="12.75" x14ac:dyDescent="0.2">
      <c r="D208" s="139"/>
    </row>
    <row r="209" spans="4:4" ht="12.75" x14ac:dyDescent="0.2">
      <c r="D209" s="139"/>
    </row>
    <row r="210" spans="4:4" ht="12.75" x14ac:dyDescent="0.2">
      <c r="D210" s="139"/>
    </row>
    <row r="211" spans="4:4" ht="12.75" x14ac:dyDescent="0.2">
      <c r="D211" s="139"/>
    </row>
    <row r="212" spans="4:4" ht="12.75" x14ac:dyDescent="0.2">
      <c r="D212" s="139"/>
    </row>
    <row r="213" spans="4:4" ht="12.75" x14ac:dyDescent="0.2">
      <c r="D213" s="139"/>
    </row>
    <row r="214" spans="4:4" ht="12.75" x14ac:dyDescent="0.2">
      <c r="D214" s="139"/>
    </row>
    <row r="215" spans="4:4" ht="12.75" x14ac:dyDescent="0.2">
      <c r="D215" s="139"/>
    </row>
    <row r="216" spans="4:4" ht="12.75" x14ac:dyDescent="0.2">
      <c r="D216" s="139"/>
    </row>
    <row r="217" spans="4:4" ht="12.75" x14ac:dyDescent="0.2">
      <c r="D217" s="139"/>
    </row>
    <row r="218" spans="4:4" ht="12.75" x14ac:dyDescent="0.2">
      <c r="D218" s="139"/>
    </row>
    <row r="219" spans="4:4" ht="12.75" x14ac:dyDescent="0.2">
      <c r="D219" s="139"/>
    </row>
    <row r="220" spans="4:4" ht="12.75" x14ac:dyDescent="0.2">
      <c r="D220" s="139"/>
    </row>
    <row r="221" spans="4:4" ht="12.75" x14ac:dyDescent="0.2">
      <c r="D221" s="139"/>
    </row>
    <row r="222" spans="4:4" ht="12.75" x14ac:dyDescent="0.2">
      <c r="D222" s="139"/>
    </row>
    <row r="223" spans="4:4" ht="12.75" x14ac:dyDescent="0.2">
      <c r="D223" s="139"/>
    </row>
    <row r="224" spans="4:4" ht="12.75" x14ac:dyDescent="0.2">
      <c r="D224" s="139"/>
    </row>
    <row r="225" spans="4:4" ht="12.75" x14ac:dyDescent="0.2">
      <c r="D225" s="139"/>
    </row>
    <row r="226" spans="4:4" ht="12.75" x14ac:dyDescent="0.2">
      <c r="D226" s="139"/>
    </row>
    <row r="227" spans="4:4" ht="12.75" x14ac:dyDescent="0.2">
      <c r="D227" s="139"/>
    </row>
    <row r="228" spans="4:4" ht="12.75" x14ac:dyDescent="0.2">
      <c r="D228" s="139"/>
    </row>
    <row r="229" spans="4:4" ht="12.75" x14ac:dyDescent="0.2">
      <c r="D229" s="139"/>
    </row>
    <row r="230" spans="4:4" ht="12.75" x14ac:dyDescent="0.2">
      <c r="D230" s="139"/>
    </row>
    <row r="231" spans="4:4" ht="12.75" x14ac:dyDescent="0.2">
      <c r="D231" s="139"/>
    </row>
    <row r="232" spans="4:4" ht="12.75" x14ac:dyDescent="0.2">
      <c r="D232" s="139"/>
    </row>
    <row r="233" spans="4:4" ht="12.75" x14ac:dyDescent="0.2">
      <c r="D233" s="139"/>
    </row>
    <row r="234" spans="4:4" ht="12.75" x14ac:dyDescent="0.2">
      <c r="D234" s="139"/>
    </row>
    <row r="235" spans="4:4" ht="12.75" x14ac:dyDescent="0.2">
      <c r="D235" s="139"/>
    </row>
    <row r="236" spans="4:4" ht="12.75" x14ac:dyDescent="0.2">
      <c r="D236" s="139"/>
    </row>
    <row r="237" spans="4:4" ht="12.75" x14ac:dyDescent="0.2">
      <c r="D237" s="139"/>
    </row>
    <row r="238" spans="4:4" ht="12.75" x14ac:dyDescent="0.2">
      <c r="D238" s="139"/>
    </row>
    <row r="239" spans="4:4" ht="12.75" x14ac:dyDescent="0.2">
      <c r="D239" s="139"/>
    </row>
    <row r="240" spans="4:4" ht="12.75" x14ac:dyDescent="0.2">
      <c r="D240" s="139"/>
    </row>
    <row r="241" spans="4:4" ht="12.75" x14ac:dyDescent="0.2">
      <c r="D241" s="139"/>
    </row>
    <row r="242" spans="4:4" ht="12.75" x14ac:dyDescent="0.2">
      <c r="D242" s="139"/>
    </row>
    <row r="243" spans="4:4" ht="12.75" x14ac:dyDescent="0.2">
      <c r="D243" s="139"/>
    </row>
    <row r="244" spans="4:4" ht="12.75" x14ac:dyDescent="0.2">
      <c r="D244" s="139"/>
    </row>
    <row r="245" spans="4:4" ht="12.75" x14ac:dyDescent="0.2">
      <c r="D245" s="139"/>
    </row>
    <row r="246" spans="4:4" ht="12.75" x14ac:dyDescent="0.2">
      <c r="D246" s="139"/>
    </row>
    <row r="247" spans="4:4" ht="12.75" x14ac:dyDescent="0.2">
      <c r="D247" s="139"/>
    </row>
    <row r="248" spans="4:4" ht="12.75" x14ac:dyDescent="0.2">
      <c r="D248" s="139"/>
    </row>
    <row r="249" spans="4:4" ht="12.75" x14ac:dyDescent="0.2">
      <c r="D249" s="139"/>
    </row>
    <row r="250" spans="4:4" ht="12.75" x14ac:dyDescent="0.2">
      <c r="D250" s="139"/>
    </row>
    <row r="251" spans="4:4" ht="12.75" x14ac:dyDescent="0.2">
      <c r="D251" s="139"/>
    </row>
    <row r="252" spans="4:4" ht="12.75" x14ac:dyDescent="0.2">
      <c r="D252" s="139"/>
    </row>
    <row r="253" spans="4:4" ht="12.75" x14ac:dyDescent="0.2">
      <c r="D253" s="139"/>
    </row>
    <row r="254" spans="4:4" ht="12.75" x14ac:dyDescent="0.2">
      <c r="D254" s="139"/>
    </row>
    <row r="255" spans="4:4" ht="12.75" x14ac:dyDescent="0.2">
      <c r="D255" s="139"/>
    </row>
    <row r="256" spans="4:4" ht="12.75" x14ac:dyDescent="0.2">
      <c r="D256" s="139"/>
    </row>
    <row r="257" spans="4:4" ht="12.75" x14ac:dyDescent="0.2">
      <c r="D257" s="139"/>
    </row>
    <row r="258" spans="4:4" ht="12.75" x14ac:dyDescent="0.2">
      <c r="D258" s="139"/>
    </row>
    <row r="259" spans="4:4" ht="12.75" x14ac:dyDescent="0.2">
      <c r="D259" s="139"/>
    </row>
    <row r="260" spans="4:4" ht="12.75" x14ac:dyDescent="0.2">
      <c r="D260" s="139"/>
    </row>
    <row r="261" spans="4:4" ht="12.75" x14ac:dyDescent="0.2">
      <c r="D261" s="139"/>
    </row>
    <row r="262" spans="4:4" ht="12.75" x14ac:dyDescent="0.2">
      <c r="D262" s="139"/>
    </row>
    <row r="263" spans="4:4" ht="12.75" x14ac:dyDescent="0.2">
      <c r="D263" s="139"/>
    </row>
    <row r="264" spans="4:4" ht="12.75" x14ac:dyDescent="0.2">
      <c r="D264" s="139"/>
    </row>
    <row r="265" spans="4:4" ht="12.75" x14ac:dyDescent="0.2">
      <c r="D265" s="139"/>
    </row>
    <row r="266" spans="4:4" ht="12.75" x14ac:dyDescent="0.2">
      <c r="D266" s="139"/>
    </row>
    <row r="267" spans="4:4" ht="12.75" x14ac:dyDescent="0.2">
      <c r="D267" s="139"/>
    </row>
    <row r="268" spans="4:4" ht="12.75" x14ac:dyDescent="0.2">
      <c r="D268" s="139"/>
    </row>
    <row r="269" spans="4:4" ht="12.75" x14ac:dyDescent="0.2">
      <c r="D269" s="139"/>
    </row>
    <row r="270" spans="4:4" ht="12.75" x14ac:dyDescent="0.2">
      <c r="D270" s="139"/>
    </row>
    <row r="271" spans="4:4" ht="12.75" x14ac:dyDescent="0.2">
      <c r="D271" s="139"/>
    </row>
    <row r="272" spans="4:4" ht="12.75" x14ac:dyDescent="0.2">
      <c r="D272" s="139"/>
    </row>
    <row r="273" spans="4:4" ht="12.75" x14ac:dyDescent="0.2">
      <c r="D273" s="139"/>
    </row>
    <row r="274" spans="4:4" ht="12.75" x14ac:dyDescent="0.2">
      <c r="D274" s="139"/>
    </row>
    <row r="275" spans="4:4" ht="12.75" x14ac:dyDescent="0.2">
      <c r="D275" s="139"/>
    </row>
    <row r="276" spans="4:4" ht="12.75" x14ac:dyDescent="0.2">
      <c r="D276" s="139"/>
    </row>
    <row r="277" spans="4:4" ht="12.75" x14ac:dyDescent="0.2">
      <c r="D277" s="139"/>
    </row>
    <row r="278" spans="4:4" ht="12.75" x14ac:dyDescent="0.2">
      <c r="D278" s="139"/>
    </row>
    <row r="279" spans="4:4" ht="12.75" x14ac:dyDescent="0.2">
      <c r="D279" s="139"/>
    </row>
    <row r="280" spans="4:4" ht="12.75" x14ac:dyDescent="0.2">
      <c r="D280" s="139"/>
    </row>
    <row r="281" spans="4:4" ht="12.75" x14ac:dyDescent="0.2">
      <c r="D281" s="139"/>
    </row>
    <row r="282" spans="4:4" ht="12.75" x14ac:dyDescent="0.2">
      <c r="D282" s="139"/>
    </row>
    <row r="283" spans="4:4" ht="12.75" x14ac:dyDescent="0.2">
      <c r="D283" s="139"/>
    </row>
    <row r="284" spans="4:4" ht="12.75" x14ac:dyDescent="0.2">
      <c r="D284" s="139"/>
    </row>
    <row r="285" spans="4:4" ht="12.75" x14ac:dyDescent="0.2">
      <c r="D285" s="139"/>
    </row>
    <row r="286" spans="4:4" ht="12.75" x14ac:dyDescent="0.2">
      <c r="D286" s="139"/>
    </row>
    <row r="287" spans="4:4" ht="12.75" x14ac:dyDescent="0.2">
      <c r="D287" s="139"/>
    </row>
    <row r="288" spans="4:4" ht="12.75" x14ac:dyDescent="0.2">
      <c r="D288" s="139"/>
    </row>
    <row r="289" spans="4:4" ht="12.75" x14ac:dyDescent="0.2">
      <c r="D289" s="139"/>
    </row>
    <row r="290" spans="4:4" ht="12.75" x14ac:dyDescent="0.2">
      <c r="D290" s="139"/>
    </row>
    <row r="291" spans="4:4" ht="12.75" x14ac:dyDescent="0.2">
      <c r="D291" s="139"/>
    </row>
    <row r="292" spans="4:4" ht="12.75" x14ac:dyDescent="0.2">
      <c r="D292" s="139"/>
    </row>
    <row r="293" spans="4:4" ht="12.75" x14ac:dyDescent="0.2">
      <c r="D293" s="139"/>
    </row>
    <row r="294" spans="4:4" ht="12.75" x14ac:dyDescent="0.2">
      <c r="D294" s="139"/>
    </row>
    <row r="295" spans="4:4" ht="12.75" x14ac:dyDescent="0.2">
      <c r="D295" s="139"/>
    </row>
    <row r="296" spans="4:4" ht="12.75" x14ac:dyDescent="0.2">
      <c r="D296" s="139"/>
    </row>
    <row r="297" spans="4:4" ht="12.75" x14ac:dyDescent="0.2">
      <c r="D297" s="139"/>
    </row>
    <row r="298" spans="4:4" ht="12.75" x14ac:dyDescent="0.2">
      <c r="D298" s="139"/>
    </row>
    <row r="299" spans="4:4" ht="12.75" x14ac:dyDescent="0.2">
      <c r="D299" s="139"/>
    </row>
    <row r="300" spans="4:4" ht="12.75" x14ac:dyDescent="0.2">
      <c r="D300" s="139"/>
    </row>
    <row r="301" spans="4:4" ht="12.75" x14ac:dyDescent="0.2">
      <c r="D301" s="139"/>
    </row>
    <row r="302" spans="4:4" ht="12.75" x14ac:dyDescent="0.2">
      <c r="D302" s="139"/>
    </row>
    <row r="303" spans="4:4" ht="12.75" x14ac:dyDescent="0.2">
      <c r="D303" s="139"/>
    </row>
    <row r="304" spans="4:4" ht="12.75" x14ac:dyDescent="0.2">
      <c r="D304" s="139"/>
    </row>
    <row r="305" spans="4:4" ht="12.75" x14ac:dyDescent="0.2">
      <c r="D305" s="139"/>
    </row>
    <row r="306" spans="4:4" ht="12.75" x14ac:dyDescent="0.2">
      <c r="D306" s="139"/>
    </row>
    <row r="307" spans="4:4" ht="12.75" x14ac:dyDescent="0.2">
      <c r="D307" s="139"/>
    </row>
    <row r="308" spans="4:4" ht="12.75" x14ac:dyDescent="0.2">
      <c r="D308" s="139"/>
    </row>
    <row r="309" spans="4:4" ht="12.75" x14ac:dyDescent="0.2">
      <c r="D309" s="139"/>
    </row>
    <row r="310" spans="4:4" ht="12.75" x14ac:dyDescent="0.2">
      <c r="D310" s="139"/>
    </row>
    <row r="311" spans="4:4" ht="12.75" x14ac:dyDescent="0.2">
      <c r="D311" s="139"/>
    </row>
    <row r="312" spans="4:4" ht="12.75" x14ac:dyDescent="0.2">
      <c r="D312" s="139"/>
    </row>
    <row r="313" spans="4:4" ht="12.75" x14ac:dyDescent="0.2">
      <c r="D313" s="139"/>
    </row>
    <row r="314" spans="4:4" ht="12.75" x14ac:dyDescent="0.2">
      <c r="D314" s="139"/>
    </row>
    <row r="315" spans="4:4" ht="12.75" x14ac:dyDescent="0.2">
      <c r="D315" s="139"/>
    </row>
    <row r="316" spans="4:4" ht="12.75" x14ac:dyDescent="0.2">
      <c r="D316" s="139"/>
    </row>
    <row r="317" spans="4:4" ht="12.75" x14ac:dyDescent="0.2">
      <c r="D317" s="139"/>
    </row>
    <row r="318" spans="4:4" ht="12.75" x14ac:dyDescent="0.2">
      <c r="D318" s="139"/>
    </row>
    <row r="319" spans="4:4" ht="12.75" x14ac:dyDescent="0.2">
      <c r="D319" s="139"/>
    </row>
    <row r="320" spans="4:4" ht="12.75" x14ac:dyDescent="0.2">
      <c r="D320" s="139"/>
    </row>
    <row r="321" spans="4:4" ht="12.75" x14ac:dyDescent="0.2">
      <c r="D321" s="139"/>
    </row>
    <row r="322" spans="4:4" ht="12.75" x14ac:dyDescent="0.2">
      <c r="D322" s="139"/>
    </row>
    <row r="323" spans="4:4" ht="12.75" x14ac:dyDescent="0.2">
      <c r="D323" s="139"/>
    </row>
    <row r="324" spans="4:4" ht="12.75" x14ac:dyDescent="0.2">
      <c r="D324" s="139"/>
    </row>
    <row r="325" spans="4:4" ht="12.75" x14ac:dyDescent="0.2">
      <c r="D325" s="139"/>
    </row>
    <row r="326" spans="4:4" ht="12.75" x14ac:dyDescent="0.2">
      <c r="D326" s="139"/>
    </row>
    <row r="327" spans="4:4" ht="12.75" x14ac:dyDescent="0.2">
      <c r="D327" s="139"/>
    </row>
    <row r="328" spans="4:4" ht="12.75" x14ac:dyDescent="0.2">
      <c r="D328" s="139"/>
    </row>
    <row r="329" spans="4:4" ht="12.75" x14ac:dyDescent="0.2">
      <c r="D329" s="139"/>
    </row>
    <row r="330" spans="4:4" ht="12.75" x14ac:dyDescent="0.2">
      <c r="D330" s="139"/>
    </row>
    <row r="331" spans="4:4" ht="12.75" x14ac:dyDescent="0.2">
      <c r="D331" s="139"/>
    </row>
    <row r="332" spans="4:4" ht="12.75" x14ac:dyDescent="0.2">
      <c r="D332" s="139"/>
    </row>
    <row r="333" spans="4:4" ht="12.75" x14ac:dyDescent="0.2">
      <c r="D333" s="139"/>
    </row>
    <row r="334" spans="4:4" ht="12.75" x14ac:dyDescent="0.2">
      <c r="D334" s="139"/>
    </row>
    <row r="335" spans="4:4" ht="12.75" x14ac:dyDescent="0.2">
      <c r="D335" s="139"/>
    </row>
    <row r="336" spans="4:4" ht="12.75" x14ac:dyDescent="0.2">
      <c r="D336" s="139"/>
    </row>
    <row r="337" spans="4:4" ht="12.75" x14ac:dyDescent="0.2">
      <c r="D337" s="139"/>
    </row>
    <row r="338" spans="4:4" ht="12.75" x14ac:dyDescent="0.2">
      <c r="D338" s="139"/>
    </row>
    <row r="339" spans="4:4" ht="12.75" x14ac:dyDescent="0.2">
      <c r="D339" s="139"/>
    </row>
    <row r="340" spans="4:4" ht="12.75" x14ac:dyDescent="0.2">
      <c r="D340" s="139"/>
    </row>
    <row r="341" spans="4:4" ht="12.75" x14ac:dyDescent="0.2">
      <c r="D341" s="139"/>
    </row>
    <row r="342" spans="4:4" ht="12.75" x14ac:dyDescent="0.2">
      <c r="D342" s="139"/>
    </row>
    <row r="343" spans="4:4" ht="12.75" x14ac:dyDescent="0.2">
      <c r="D343" s="139"/>
    </row>
    <row r="344" spans="4:4" ht="12.75" x14ac:dyDescent="0.2">
      <c r="D344" s="139"/>
    </row>
    <row r="345" spans="4:4" ht="12.75" x14ac:dyDescent="0.2">
      <c r="D345" s="139"/>
    </row>
    <row r="346" spans="4:4" ht="12.75" x14ac:dyDescent="0.2">
      <c r="D346" s="139"/>
    </row>
    <row r="347" spans="4:4" ht="12.75" x14ac:dyDescent="0.2">
      <c r="D347" s="139"/>
    </row>
    <row r="348" spans="4:4" ht="12.75" x14ac:dyDescent="0.2">
      <c r="D348" s="139"/>
    </row>
    <row r="349" spans="4:4" ht="12.75" x14ac:dyDescent="0.2">
      <c r="D349" s="139"/>
    </row>
    <row r="350" spans="4:4" ht="12.75" x14ac:dyDescent="0.2">
      <c r="D350" s="139"/>
    </row>
    <row r="351" spans="4:4" ht="12.75" x14ac:dyDescent="0.2">
      <c r="D351" s="139"/>
    </row>
    <row r="352" spans="4:4" ht="12.75" x14ac:dyDescent="0.2">
      <c r="D352" s="139"/>
    </row>
    <row r="353" spans="4:4" ht="12.75" x14ac:dyDescent="0.2">
      <c r="D353" s="139"/>
    </row>
    <row r="354" spans="4:4" ht="12.75" x14ac:dyDescent="0.2">
      <c r="D354" s="139"/>
    </row>
    <row r="355" spans="4:4" ht="12.75" x14ac:dyDescent="0.2">
      <c r="D355" s="139"/>
    </row>
    <row r="356" spans="4:4" ht="12.75" x14ac:dyDescent="0.2">
      <c r="D356" s="139"/>
    </row>
    <row r="357" spans="4:4" ht="12.75" x14ac:dyDescent="0.2">
      <c r="D357" s="139"/>
    </row>
    <row r="358" spans="4:4" ht="12.75" x14ac:dyDescent="0.2">
      <c r="D358" s="139"/>
    </row>
    <row r="359" spans="4:4" ht="12.75" x14ac:dyDescent="0.2">
      <c r="D359" s="139"/>
    </row>
    <row r="360" spans="4:4" ht="12.75" x14ac:dyDescent="0.2">
      <c r="D360" s="139"/>
    </row>
    <row r="361" spans="4:4" ht="12.75" x14ac:dyDescent="0.2">
      <c r="D361" s="139"/>
    </row>
    <row r="362" spans="4:4" ht="12.75" x14ac:dyDescent="0.2">
      <c r="D362" s="139"/>
    </row>
    <row r="363" spans="4:4" ht="12.75" x14ac:dyDescent="0.2">
      <c r="D363" s="139"/>
    </row>
    <row r="364" spans="4:4" ht="12.75" x14ac:dyDescent="0.2">
      <c r="D364" s="139"/>
    </row>
    <row r="365" spans="4:4" ht="12.75" x14ac:dyDescent="0.2">
      <c r="D365" s="139"/>
    </row>
    <row r="366" spans="4:4" ht="12.75" x14ac:dyDescent="0.2">
      <c r="D366" s="139"/>
    </row>
    <row r="367" spans="4:4" ht="12.75" x14ac:dyDescent="0.2">
      <c r="D367" s="139"/>
    </row>
    <row r="368" spans="4:4" ht="12.75" x14ac:dyDescent="0.2">
      <c r="D368" s="139"/>
    </row>
    <row r="369" spans="4:4" ht="12.75" x14ac:dyDescent="0.2">
      <c r="D369" s="139"/>
    </row>
    <row r="370" spans="4:4" ht="12.75" x14ac:dyDescent="0.2">
      <c r="D370" s="139"/>
    </row>
    <row r="371" spans="4:4" ht="12.75" x14ac:dyDescent="0.2">
      <c r="D371" s="139"/>
    </row>
    <row r="372" spans="4:4" ht="12.75" x14ac:dyDescent="0.2">
      <c r="D372" s="139"/>
    </row>
    <row r="373" spans="4:4" ht="12.75" x14ac:dyDescent="0.2">
      <c r="D373" s="139"/>
    </row>
    <row r="374" spans="4:4" ht="12.75" x14ac:dyDescent="0.2">
      <c r="D374" s="139"/>
    </row>
    <row r="375" spans="4:4" ht="12.75" x14ac:dyDescent="0.2">
      <c r="D375" s="139"/>
    </row>
    <row r="376" spans="4:4" ht="12.75" x14ac:dyDescent="0.2">
      <c r="D376" s="139"/>
    </row>
    <row r="377" spans="4:4" ht="12.75" x14ac:dyDescent="0.2">
      <c r="D377" s="139"/>
    </row>
    <row r="378" spans="4:4" ht="12.75" x14ac:dyDescent="0.2">
      <c r="D378" s="139"/>
    </row>
    <row r="379" spans="4:4" ht="12.75" x14ac:dyDescent="0.2">
      <c r="D379" s="139"/>
    </row>
    <row r="380" spans="4:4" ht="12.75" x14ac:dyDescent="0.2">
      <c r="D380" s="139"/>
    </row>
    <row r="381" spans="4:4" ht="12.75" x14ac:dyDescent="0.2">
      <c r="D381" s="139"/>
    </row>
    <row r="382" spans="4:4" ht="12.75" x14ac:dyDescent="0.2">
      <c r="D382" s="139"/>
    </row>
    <row r="383" spans="4:4" ht="12.75" x14ac:dyDescent="0.2">
      <c r="D383" s="139"/>
    </row>
    <row r="384" spans="4:4" ht="12.75" x14ac:dyDescent="0.2">
      <c r="D384" s="139"/>
    </row>
    <row r="385" spans="4:4" ht="12.75" x14ac:dyDescent="0.2">
      <c r="D385" s="139"/>
    </row>
    <row r="386" spans="4:4" ht="12.75" x14ac:dyDescent="0.2">
      <c r="D386" s="139"/>
    </row>
    <row r="387" spans="4:4" ht="12.75" x14ac:dyDescent="0.2">
      <c r="D387" s="139"/>
    </row>
    <row r="388" spans="4:4" ht="12.75" x14ac:dyDescent="0.2">
      <c r="D388" s="139"/>
    </row>
    <row r="389" spans="4:4" ht="12.75" x14ac:dyDescent="0.2">
      <c r="D389" s="139"/>
    </row>
    <row r="390" spans="4:4" ht="12.75" x14ac:dyDescent="0.2">
      <c r="D390" s="139"/>
    </row>
    <row r="391" spans="4:4" ht="12.75" x14ac:dyDescent="0.2">
      <c r="D391" s="139"/>
    </row>
    <row r="392" spans="4:4" ht="12.75" x14ac:dyDescent="0.2">
      <c r="D392" s="139"/>
    </row>
    <row r="393" spans="4:4" ht="12.75" x14ac:dyDescent="0.2">
      <c r="D393" s="139"/>
    </row>
    <row r="394" spans="4:4" ht="12.75" x14ac:dyDescent="0.2">
      <c r="D394" s="139"/>
    </row>
    <row r="395" spans="4:4" ht="12.75" x14ac:dyDescent="0.2">
      <c r="D395" s="139"/>
    </row>
    <row r="396" spans="4:4" ht="12.75" x14ac:dyDescent="0.2">
      <c r="D396" s="139"/>
    </row>
    <row r="397" spans="4:4" ht="12.75" x14ac:dyDescent="0.2">
      <c r="D397" s="139"/>
    </row>
    <row r="398" spans="4:4" ht="12.75" x14ac:dyDescent="0.2">
      <c r="D398" s="139"/>
    </row>
    <row r="399" spans="4:4" ht="12.75" x14ac:dyDescent="0.2">
      <c r="D399" s="139"/>
    </row>
    <row r="400" spans="4:4" ht="12.75" x14ac:dyDescent="0.2">
      <c r="D400" s="139"/>
    </row>
    <row r="401" spans="4:4" ht="12.75" x14ac:dyDescent="0.2">
      <c r="D401" s="139"/>
    </row>
    <row r="402" spans="4:4" ht="12.75" x14ac:dyDescent="0.2">
      <c r="D402" s="139"/>
    </row>
    <row r="403" spans="4:4" ht="12.75" x14ac:dyDescent="0.2">
      <c r="D403" s="139"/>
    </row>
    <row r="404" spans="4:4" ht="12.75" x14ac:dyDescent="0.2">
      <c r="D404" s="139"/>
    </row>
    <row r="405" spans="4:4" ht="12.75" x14ac:dyDescent="0.2">
      <c r="D405" s="139"/>
    </row>
    <row r="406" spans="4:4" ht="12.75" x14ac:dyDescent="0.2">
      <c r="D406" s="139"/>
    </row>
    <row r="407" spans="4:4" ht="12.75" x14ac:dyDescent="0.2">
      <c r="D407" s="139"/>
    </row>
    <row r="408" spans="4:4" ht="12.75" x14ac:dyDescent="0.2">
      <c r="D408" s="139"/>
    </row>
    <row r="409" spans="4:4" ht="12.75" x14ac:dyDescent="0.2">
      <c r="D409" s="139"/>
    </row>
    <row r="410" spans="4:4" ht="12.75" x14ac:dyDescent="0.2">
      <c r="D410" s="139"/>
    </row>
    <row r="411" spans="4:4" ht="12.75" x14ac:dyDescent="0.2">
      <c r="D411" s="139"/>
    </row>
    <row r="412" spans="4:4" ht="12.75" x14ac:dyDescent="0.2">
      <c r="D412" s="139"/>
    </row>
    <row r="413" spans="4:4" ht="12.75" x14ac:dyDescent="0.2">
      <c r="D413" s="139"/>
    </row>
    <row r="414" spans="4:4" ht="12.75" x14ac:dyDescent="0.2">
      <c r="D414" s="139"/>
    </row>
    <row r="415" spans="4:4" ht="12.75" x14ac:dyDescent="0.2">
      <c r="D415" s="139"/>
    </row>
    <row r="416" spans="4:4" ht="12.75" x14ac:dyDescent="0.2">
      <c r="D416" s="139"/>
    </row>
    <row r="417" spans="4:4" ht="12.75" x14ac:dyDescent="0.2">
      <c r="D417" s="139"/>
    </row>
    <row r="418" spans="4:4" ht="12.75" x14ac:dyDescent="0.2">
      <c r="D418" s="139"/>
    </row>
    <row r="419" spans="4:4" ht="12.75" x14ac:dyDescent="0.2">
      <c r="D419" s="139"/>
    </row>
    <row r="420" spans="4:4" ht="12.75" x14ac:dyDescent="0.2">
      <c r="D420" s="139"/>
    </row>
    <row r="421" spans="4:4" ht="12.75" x14ac:dyDescent="0.2">
      <c r="D421" s="139"/>
    </row>
    <row r="422" spans="4:4" ht="12.75" x14ac:dyDescent="0.2">
      <c r="D422" s="139"/>
    </row>
    <row r="423" spans="4:4" ht="12.75" x14ac:dyDescent="0.2">
      <c r="D423" s="139"/>
    </row>
    <row r="424" spans="4:4" ht="12.75" x14ac:dyDescent="0.2">
      <c r="D424" s="139"/>
    </row>
    <row r="425" spans="4:4" ht="12.75" x14ac:dyDescent="0.2">
      <c r="D425" s="139"/>
    </row>
    <row r="426" spans="4:4" ht="12.75" x14ac:dyDescent="0.2">
      <c r="D426" s="139"/>
    </row>
    <row r="427" spans="4:4" ht="12.75" x14ac:dyDescent="0.2">
      <c r="D427" s="139"/>
    </row>
    <row r="428" spans="4:4" ht="12.75" x14ac:dyDescent="0.2">
      <c r="D428" s="139"/>
    </row>
    <row r="429" spans="4:4" ht="12.75" x14ac:dyDescent="0.2">
      <c r="D429" s="139"/>
    </row>
    <row r="430" spans="4:4" ht="12.75" x14ac:dyDescent="0.2">
      <c r="D430" s="139"/>
    </row>
    <row r="431" spans="4:4" ht="12.75" x14ac:dyDescent="0.2">
      <c r="D431" s="139"/>
    </row>
    <row r="432" spans="4:4" ht="12.75" x14ac:dyDescent="0.2">
      <c r="D432" s="139"/>
    </row>
    <row r="433" spans="4:4" ht="12.75" x14ac:dyDescent="0.2">
      <c r="D433" s="139"/>
    </row>
    <row r="434" spans="4:4" ht="12.75" x14ac:dyDescent="0.2">
      <c r="D434" s="139"/>
    </row>
    <row r="435" spans="4:4" ht="12.75" x14ac:dyDescent="0.2">
      <c r="D435" s="139"/>
    </row>
    <row r="436" spans="4:4" ht="12.75" x14ac:dyDescent="0.2">
      <c r="D436" s="139"/>
    </row>
    <row r="437" spans="4:4" ht="12.75" x14ac:dyDescent="0.2">
      <c r="D437" s="139"/>
    </row>
    <row r="438" spans="4:4" ht="12.75" x14ac:dyDescent="0.2">
      <c r="D438" s="139"/>
    </row>
    <row r="439" spans="4:4" ht="12.75" x14ac:dyDescent="0.2">
      <c r="D439" s="139"/>
    </row>
    <row r="440" spans="4:4" ht="12.75" x14ac:dyDescent="0.2">
      <c r="D440" s="139"/>
    </row>
    <row r="441" spans="4:4" ht="12.75" x14ac:dyDescent="0.2">
      <c r="D441" s="139"/>
    </row>
    <row r="442" spans="4:4" ht="12.75" x14ac:dyDescent="0.2">
      <c r="D442" s="139"/>
    </row>
    <row r="443" spans="4:4" ht="12.75" x14ac:dyDescent="0.2">
      <c r="D443" s="139"/>
    </row>
    <row r="444" spans="4:4" ht="12.75" x14ac:dyDescent="0.2">
      <c r="D444" s="139"/>
    </row>
    <row r="445" spans="4:4" ht="12.75" x14ac:dyDescent="0.2">
      <c r="D445" s="139"/>
    </row>
    <row r="446" spans="4:4" ht="12.75" x14ac:dyDescent="0.2">
      <c r="D446" s="139"/>
    </row>
    <row r="447" spans="4:4" ht="12.75" x14ac:dyDescent="0.2">
      <c r="D447" s="139"/>
    </row>
    <row r="448" spans="4:4" ht="12.75" x14ac:dyDescent="0.2">
      <c r="D448" s="139"/>
    </row>
    <row r="449" spans="4:4" ht="12.75" x14ac:dyDescent="0.2">
      <c r="D449" s="139"/>
    </row>
    <row r="450" spans="4:4" ht="12.75" x14ac:dyDescent="0.2">
      <c r="D450" s="139"/>
    </row>
    <row r="451" spans="4:4" ht="12.75" x14ac:dyDescent="0.2">
      <c r="D451" s="139"/>
    </row>
    <row r="452" spans="4:4" ht="12.75" x14ac:dyDescent="0.2">
      <c r="D452" s="139"/>
    </row>
    <row r="453" spans="4:4" ht="12.75" x14ac:dyDescent="0.2">
      <c r="D453" s="139"/>
    </row>
    <row r="454" spans="4:4" ht="12.75" x14ac:dyDescent="0.2">
      <c r="D454" s="139"/>
    </row>
    <row r="455" spans="4:4" ht="12.75" x14ac:dyDescent="0.2">
      <c r="D455" s="139"/>
    </row>
    <row r="456" spans="4:4" ht="12.75" x14ac:dyDescent="0.2">
      <c r="D456" s="139"/>
    </row>
    <row r="457" spans="4:4" ht="12.75" x14ac:dyDescent="0.2">
      <c r="D457" s="139"/>
    </row>
    <row r="458" spans="4:4" ht="12.75" x14ac:dyDescent="0.2">
      <c r="D458" s="139"/>
    </row>
    <row r="459" spans="4:4" ht="12.75" x14ac:dyDescent="0.2">
      <c r="D459" s="139"/>
    </row>
    <row r="460" spans="4:4" ht="12.75" x14ac:dyDescent="0.2">
      <c r="D460" s="139"/>
    </row>
    <row r="461" spans="4:4" ht="12.75" x14ac:dyDescent="0.2">
      <c r="D461" s="139"/>
    </row>
    <row r="462" spans="4:4" ht="12.75" x14ac:dyDescent="0.2">
      <c r="D462" s="139"/>
    </row>
    <row r="463" spans="4:4" ht="12.75" x14ac:dyDescent="0.2">
      <c r="D463" s="139"/>
    </row>
    <row r="464" spans="4:4" ht="12.75" x14ac:dyDescent="0.2">
      <c r="D464" s="139"/>
    </row>
    <row r="465" spans="4:4" ht="12.75" x14ac:dyDescent="0.2">
      <c r="D465" s="139"/>
    </row>
    <row r="466" spans="4:4" ht="12.75" x14ac:dyDescent="0.2">
      <c r="D466" s="139"/>
    </row>
    <row r="467" spans="4:4" ht="12.75" x14ac:dyDescent="0.2">
      <c r="D467" s="139"/>
    </row>
    <row r="468" spans="4:4" ht="12.75" x14ac:dyDescent="0.2">
      <c r="D468" s="139"/>
    </row>
    <row r="469" spans="4:4" ht="12.75" x14ac:dyDescent="0.2">
      <c r="D469" s="139"/>
    </row>
    <row r="470" spans="4:4" ht="12.75" x14ac:dyDescent="0.2">
      <c r="D470" s="139"/>
    </row>
    <row r="471" spans="4:4" ht="12.75" x14ac:dyDescent="0.2">
      <c r="D471" s="139"/>
    </row>
    <row r="472" spans="4:4" ht="12.75" x14ac:dyDescent="0.2">
      <c r="D472" s="139"/>
    </row>
    <row r="473" spans="4:4" ht="12.75" x14ac:dyDescent="0.2">
      <c r="D473" s="139"/>
    </row>
    <row r="474" spans="4:4" ht="12.75" x14ac:dyDescent="0.2">
      <c r="D474" s="139"/>
    </row>
    <row r="475" spans="4:4" ht="12.75" x14ac:dyDescent="0.2">
      <c r="D475" s="139"/>
    </row>
    <row r="476" spans="4:4" ht="12.75" x14ac:dyDescent="0.2">
      <c r="D476" s="139"/>
    </row>
    <row r="477" spans="4:4" ht="12.75" x14ac:dyDescent="0.2">
      <c r="D477" s="139"/>
    </row>
    <row r="478" spans="4:4" ht="12.75" x14ac:dyDescent="0.2">
      <c r="D478" s="139"/>
    </row>
    <row r="479" spans="4:4" ht="12.75" x14ac:dyDescent="0.2">
      <c r="D479" s="139"/>
    </row>
    <row r="480" spans="4:4" ht="12.75" x14ac:dyDescent="0.2">
      <c r="D480" s="139"/>
    </row>
    <row r="481" spans="4:4" ht="12.75" x14ac:dyDescent="0.2">
      <c r="D481" s="139"/>
    </row>
    <row r="482" spans="4:4" ht="12.75" x14ac:dyDescent="0.2">
      <c r="D482" s="139"/>
    </row>
    <row r="483" spans="4:4" ht="12.75" x14ac:dyDescent="0.2">
      <c r="D483" s="139"/>
    </row>
    <row r="484" spans="4:4" ht="12.75" x14ac:dyDescent="0.2">
      <c r="D484" s="139"/>
    </row>
    <row r="485" spans="4:4" ht="12.75" x14ac:dyDescent="0.2">
      <c r="D485" s="139"/>
    </row>
    <row r="486" spans="4:4" ht="12.75" x14ac:dyDescent="0.2">
      <c r="D486" s="139"/>
    </row>
    <row r="487" spans="4:4" ht="12.75" x14ac:dyDescent="0.2">
      <c r="D487" s="139"/>
    </row>
    <row r="488" spans="4:4" ht="12.75" x14ac:dyDescent="0.2">
      <c r="D488" s="139"/>
    </row>
    <row r="489" spans="4:4" ht="12.75" x14ac:dyDescent="0.2">
      <c r="D489" s="139"/>
    </row>
    <row r="490" spans="4:4" ht="12.75" x14ac:dyDescent="0.2">
      <c r="D490" s="139"/>
    </row>
    <row r="491" spans="4:4" ht="12.75" x14ac:dyDescent="0.2">
      <c r="D491" s="139"/>
    </row>
    <row r="492" spans="4:4" ht="12.75" x14ac:dyDescent="0.2">
      <c r="D492" s="139"/>
    </row>
    <row r="493" spans="4:4" ht="12.75" x14ac:dyDescent="0.2">
      <c r="D493" s="139"/>
    </row>
    <row r="494" spans="4:4" ht="12.75" x14ac:dyDescent="0.2">
      <c r="D494" s="139"/>
    </row>
    <row r="495" spans="4:4" ht="12.75" x14ac:dyDescent="0.2">
      <c r="D495" s="139"/>
    </row>
    <row r="496" spans="4:4" ht="12.75" x14ac:dyDescent="0.2">
      <c r="D496" s="139"/>
    </row>
    <row r="497" spans="4:4" ht="12.75" x14ac:dyDescent="0.2">
      <c r="D497" s="139"/>
    </row>
    <row r="498" spans="4:4" ht="12.75" x14ac:dyDescent="0.2">
      <c r="D498" s="139"/>
    </row>
    <row r="499" spans="4:4" ht="12.75" x14ac:dyDescent="0.2">
      <c r="D499" s="139"/>
    </row>
    <row r="500" spans="4:4" ht="12.75" x14ac:dyDescent="0.2">
      <c r="D500" s="139"/>
    </row>
    <row r="501" spans="4:4" ht="12.75" x14ac:dyDescent="0.2">
      <c r="D501" s="139"/>
    </row>
    <row r="502" spans="4:4" ht="12.75" x14ac:dyDescent="0.2">
      <c r="D502" s="139"/>
    </row>
    <row r="503" spans="4:4" ht="12.75" x14ac:dyDescent="0.2">
      <c r="D503" s="139"/>
    </row>
    <row r="504" spans="4:4" ht="12.75" x14ac:dyDescent="0.2">
      <c r="D504" s="139"/>
    </row>
    <row r="505" spans="4:4" ht="12.75" x14ac:dyDescent="0.2">
      <c r="D505" s="139"/>
    </row>
    <row r="506" spans="4:4" ht="12.75" x14ac:dyDescent="0.2">
      <c r="D506" s="139"/>
    </row>
    <row r="507" spans="4:4" ht="12.75" x14ac:dyDescent="0.2">
      <c r="D507" s="139"/>
    </row>
    <row r="508" spans="4:4" ht="12.75" x14ac:dyDescent="0.2">
      <c r="D508" s="139"/>
    </row>
    <row r="509" spans="4:4" ht="12.75" x14ac:dyDescent="0.2">
      <c r="D509" s="139"/>
    </row>
    <row r="510" spans="4:4" ht="12.75" x14ac:dyDescent="0.2">
      <c r="D510" s="139"/>
    </row>
    <row r="511" spans="4:4" ht="12.75" x14ac:dyDescent="0.2">
      <c r="D511" s="139"/>
    </row>
    <row r="512" spans="4:4" ht="12.75" x14ac:dyDescent="0.2">
      <c r="D512" s="139"/>
    </row>
    <row r="513" spans="4:4" ht="12.75" x14ac:dyDescent="0.2">
      <c r="D513" s="139"/>
    </row>
    <row r="514" spans="4:4" ht="12.75" x14ac:dyDescent="0.2">
      <c r="D514" s="139"/>
    </row>
    <row r="515" spans="4:4" ht="12.75" x14ac:dyDescent="0.2">
      <c r="D515" s="139"/>
    </row>
    <row r="516" spans="4:4" ht="12.75" x14ac:dyDescent="0.2">
      <c r="D516" s="139"/>
    </row>
    <row r="517" spans="4:4" ht="12.75" x14ac:dyDescent="0.2">
      <c r="D517" s="139"/>
    </row>
    <row r="518" spans="4:4" ht="12.75" x14ac:dyDescent="0.2">
      <c r="D518" s="139"/>
    </row>
    <row r="519" spans="4:4" ht="12.75" x14ac:dyDescent="0.2">
      <c r="D519" s="139"/>
    </row>
    <row r="520" spans="4:4" ht="12.75" x14ac:dyDescent="0.2">
      <c r="D520" s="139"/>
    </row>
    <row r="521" spans="4:4" ht="12.75" x14ac:dyDescent="0.2">
      <c r="D521" s="139"/>
    </row>
    <row r="522" spans="4:4" ht="12.75" x14ac:dyDescent="0.2">
      <c r="D522" s="139"/>
    </row>
    <row r="523" spans="4:4" ht="12.75" x14ac:dyDescent="0.2">
      <c r="D523" s="139"/>
    </row>
    <row r="524" spans="4:4" ht="12.75" x14ac:dyDescent="0.2">
      <c r="D524" s="139"/>
    </row>
    <row r="525" spans="4:4" ht="12.75" x14ac:dyDescent="0.2">
      <c r="D525" s="139"/>
    </row>
    <row r="526" spans="4:4" ht="12.75" x14ac:dyDescent="0.2">
      <c r="D526" s="139"/>
    </row>
    <row r="527" spans="4:4" ht="12.75" x14ac:dyDescent="0.2">
      <c r="D527" s="139"/>
    </row>
    <row r="528" spans="4:4" ht="12.75" x14ac:dyDescent="0.2">
      <c r="D528" s="139"/>
    </row>
    <row r="529" spans="4:4" ht="12.75" x14ac:dyDescent="0.2">
      <c r="D529" s="139"/>
    </row>
    <row r="530" spans="4:4" ht="12.75" x14ac:dyDescent="0.2">
      <c r="D530" s="139"/>
    </row>
    <row r="531" spans="4:4" ht="12.75" x14ac:dyDescent="0.2">
      <c r="D531" s="139"/>
    </row>
    <row r="532" spans="4:4" ht="12.75" x14ac:dyDescent="0.2">
      <c r="D532" s="139"/>
    </row>
    <row r="533" spans="4:4" ht="12.75" x14ac:dyDescent="0.2">
      <c r="D533" s="139"/>
    </row>
    <row r="534" spans="4:4" ht="12.75" x14ac:dyDescent="0.2">
      <c r="D534" s="139"/>
    </row>
    <row r="535" spans="4:4" ht="12.75" x14ac:dyDescent="0.2">
      <c r="D535" s="139"/>
    </row>
    <row r="536" spans="4:4" ht="12.75" x14ac:dyDescent="0.2">
      <c r="D536" s="139"/>
    </row>
    <row r="537" spans="4:4" ht="12.75" x14ac:dyDescent="0.2">
      <c r="D537" s="139"/>
    </row>
    <row r="538" spans="4:4" ht="12.75" x14ac:dyDescent="0.2">
      <c r="D538" s="139"/>
    </row>
    <row r="539" spans="4:4" ht="12.75" x14ac:dyDescent="0.2">
      <c r="D539" s="139"/>
    </row>
    <row r="540" spans="4:4" ht="12.75" x14ac:dyDescent="0.2">
      <c r="D540" s="139"/>
    </row>
    <row r="541" spans="4:4" ht="12.75" x14ac:dyDescent="0.2">
      <c r="D541" s="139"/>
    </row>
    <row r="542" spans="4:4" ht="12.75" x14ac:dyDescent="0.2">
      <c r="D542" s="139"/>
    </row>
    <row r="543" spans="4:4" ht="12.75" x14ac:dyDescent="0.2">
      <c r="D543" s="139"/>
    </row>
    <row r="544" spans="4:4" ht="12.75" x14ac:dyDescent="0.2">
      <c r="D544" s="139"/>
    </row>
    <row r="545" spans="4:4" ht="12.75" x14ac:dyDescent="0.2">
      <c r="D545" s="139"/>
    </row>
    <row r="546" spans="4:4" ht="12.75" x14ac:dyDescent="0.2">
      <c r="D546" s="139"/>
    </row>
    <row r="547" spans="4:4" ht="12.75" x14ac:dyDescent="0.2">
      <c r="D547" s="139"/>
    </row>
    <row r="548" spans="4:4" ht="12.75" x14ac:dyDescent="0.2">
      <c r="D548" s="139"/>
    </row>
    <row r="549" spans="4:4" ht="12.75" x14ac:dyDescent="0.2">
      <c r="D549" s="139"/>
    </row>
    <row r="550" spans="4:4" ht="12.75" x14ac:dyDescent="0.2">
      <c r="D550" s="139"/>
    </row>
    <row r="551" spans="4:4" ht="12.75" x14ac:dyDescent="0.2">
      <c r="D551" s="139"/>
    </row>
    <row r="552" spans="4:4" ht="12.75" x14ac:dyDescent="0.2">
      <c r="D552" s="139"/>
    </row>
    <row r="553" spans="4:4" ht="12.75" x14ac:dyDescent="0.2">
      <c r="D553" s="139"/>
    </row>
    <row r="554" spans="4:4" ht="12.75" x14ac:dyDescent="0.2">
      <c r="D554" s="139"/>
    </row>
    <row r="555" spans="4:4" ht="12.75" x14ac:dyDescent="0.2">
      <c r="D555" s="139"/>
    </row>
    <row r="556" spans="4:4" ht="12.75" x14ac:dyDescent="0.2">
      <c r="D556" s="139"/>
    </row>
    <row r="557" spans="4:4" ht="12.75" x14ac:dyDescent="0.2">
      <c r="D557" s="139"/>
    </row>
    <row r="558" spans="4:4" ht="12.75" x14ac:dyDescent="0.2">
      <c r="D558" s="139"/>
    </row>
    <row r="559" spans="4:4" ht="12.75" x14ac:dyDescent="0.2">
      <c r="D559" s="139"/>
    </row>
    <row r="560" spans="4:4" ht="12.75" x14ac:dyDescent="0.2">
      <c r="D560" s="139"/>
    </row>
    <row r="561" spans="4:4" ht="12.75" x14ac:dyDescent="0.2">
      <c r="D561" s="139"/>
    </row>
    <row r="562" spans="4:4" ht="12.75" x14ac:dyDescent="0.2">
      <c r="D562" s="139"/>
    </row>
    <row r="563" spans="4:4" ht="12.75" x14ac:dyDescent="0.2">
      <c r="D563" s="139"/>
    </row>
    <row r="564" spans="4:4" ht="12.75" x14ac:dyDescent="0.2">
      <c r="D564" s="139"/>
    </row>
    <row r="565" spans="4:4" ht="12.75" x14ac:dyDescent="0.2">
      <c r="D565" s="139"/>
    </row>
    <row r="566" spans="4:4" ht="12.75" x14ac:dyDescent="0.2">
      <c r="D566" s="139"/>
    </row>
    <row r="567" spans="4:4" ht="12.75" x14ac:dyDescent="0.2">
      <c r="D567" s="139"/>
    </row>
    <row r="568" spans="4:4" ht="12.75" x14ac:dyDescent="0.2">
      <c r="D568" s="139"/>
    </row>
    <row r="569" spans="4:4" ht="12.75" x14ac:dyDescent="0.2">
      <c r="D569" s="139"/>
    </row>
    <row r="570" spans="4:4" ht="12.75" x14ac:dyDescent="0.2">
      <c r="D570" s="139"/>
    </row>
    <row r="571" spans="4:4" ht="12.75" x14ac:dyDescent="0.2">
      <c r="D571" s="139"/>
    </row>
    <row r="572" spans="4:4" ht="12.75" x14ac:dyDescent="0.2">
      <c r="D572" s="139"/>
    </row>
    <row r="573" spans="4:4" ht="12.75" x14ac:dyDescent="0.2">
      <c r="D573" s="139"/>
    </row>
    <row r="574" spans="4:4" ht="12.75" x14ac:dyDescent="0.2">
      <c r="D574" s="139"/>
    </row>
    <row r="575" spans="4:4" ht="12.75" x14ac:dyDescent="0.2">
      <c r="D575" s="139"/>
    </row>
    <row r="576" spans="4:4" ht="12.75" x14ac:dyDescent="0.2">
      <c r="D576" s="139"/>
    </row>
    <row r="577" spans="4:4" ht="12.75" x14ac:dyDescent="0.2">
      <c r="D577" s="139"/>
    </row>
    <row r="578" spans="4:4" ht="12.75" x14ac:dyDescent="0.2">
      <c r="D578" s="139"/>
    </row>
    <row r="579" spans="4:4" ht="12.75" x14ac:dyDescent="0.2">
      <c r="D579" s="139"/>
    </row>
    <row r="580" spans="4:4" ht="12.75" x14ac:dyDescent="0.2">
      <c r="D580" s="139"/>
    </row>
    <row r="581" spans="4:4" ht="12.75" x14ac:dyDescent="0.2">
      <c r="D581" s="139"/>
    </row>
    <row r="582" spans="4:4" ht="12.75" x14ac:dyDescent="0.2">
      <c r="D582" s="139"/>
    </row>
    <row r="583" spans="4:4" ht="12.75" x14ac:dyDescent="0.2">
      <c r="D583" s="139"/>
    </row>
    <row r="584" spans="4:4" ht="12.75" x14ac:dyDescent="0.2">
      <c r="D584" s="139"/>
    </row>
    <row r="585" spans="4:4" ht="12.75" x14ac:dyDescent="0.2">
      <c r="D585" s="139"/>
    </row>
    <row r="586" spans="4:4" ht="12.75" x14ac:dyDescent="0.2">
      <c r="D586" s="139"/>
    </row>
    <row r="587" spans="4:4" ht="12.75" x14ac:dyDescent="0.2">
      <c r="D587" s="139"/>
    </row>
    <row r="588" spans="4:4" ht="12.75" x14ac:dyDescent="0.2">
      <c r="D588" s="139"/>
    </row>
    <row r="589" spans="4:4" ht="12.75" x14ac:dyDescent="0.2">
      <c r="D589" s="139"/>
    </row>
    <row r="590" spans="4:4" ht="12.75" x14ac:dyDescent="0.2">
      <c r="D590" s="139"/>
    </row>
    <row r="591" spans="4:4" ht="12.75" x14ac:dyDescent="0.2">
      <c r="D591" s="139"/>
    </row>
    <row r="592" spans="4:4" ht="12.75" x14ac:dyDescent="0.2">
      <c r="D592" s="139"/>
    </row>
    <row r="593" spans="4:4" ht="12.75" x14ac:dyDescent="0.2">
      <c r="D593" s="139"/>
    </row>
    <row r="594" spans="4:4" ht="12.75" x14ac:dyDescent="0.2">
      <c r="D594" s="139"/>
    </row>
    <row r="595" spans="4:4" ht="12.75" x14ac:dyDescent="0.2">
      <c r="D595" s="139"/>
    </row>
    <row r="596" spans="4:4" ht="12.75" x14ac:dyDescent="0.2">
      <c r="D596" s="139"/>
    </row>
    <row r="597" spans="4:4" ht="12.75" x14ac:dyDescent="0.2">
      <c r="D597" s="139"/>
    </row>
    <row r="598" spans="4:4" ht="12.75" x14ac:dyDescent="0.2">
      <c r="D598" s="139"/>
    </row>
    <row r="599" spans="4:4" ht="12.75" x14ac:dyDescent="0.2">
      <c r="D599" s="139"/>
    </row>
    <row r="600" spans="4:4" ht="12.75" x14ac:dyDescent="0.2">
      <c r="D600" s="139"/>
    </row>
    <row r="601" spans="4:4" ht="12.75" x14ac:dyDescent="0.2">
      <c r="D601" s="139"/>
    </row>
    <row r="602" spans="4:4" ht="12.75" x14ac:dyDescent="0.2">
      <c r="D602" s="139"/>
    </row>
    <row r="603" spans="4:4" ht="12.75" x14ac:dyDescent="0.2">
      <c r="D603" s="139"/>
    </row>
    <row r="604" spans="4:4" ht="12.75" x14ac:dyDescent="0.2">
      <c r="D604" s="139"/>
    </row>
    <row r="605" spans="4:4" ht="12.75" x14ac:dyDescent="0.2">
      <c r="D605" s="139"/>
    </row>
    <row r="606" spans="4:4" ht="12.75" x14ac:dyDescent="0.2">
      <c r="D606" s="139"/>
    </row>
    <row r="607" spans="4:4" ht="12.75" x14ac:dyDescent="0.2">
      <c r="D607" s="139"/>
    </row>
    <row r="608" spans="4:4" ht="12.75" x14ac:dyDescent="0.2">
      <c r="D608" s="139"/>
    </row>
    <row r="609" spans="4:4" ht="12.75" x14ac:dyDescent="0.2">
      <c r="D609" s="139"/>
    </row>
    <row r="610" spans="4:4" ht="12.75" x14ac:dyDescent="0.2">
      <c r="D610" s="139"/>
    </row>
    <row r="611" spans="4:4" ht="12.75" x14ac:dyDescent="0.2">
      <c r="D611" s="139"/>
    </row>
    <row r="612" spans="4:4" ht="12.75" x14ac:dyDescent="0.2">
      <c r="D612" s="139"/>
    </row>
    <row r="613" spans="4:4" ht="12.75" x14ac:dyDescent="0.2">
      <c r="D613" s="139"/>
    </row>
    <row r="614" spans="4:4" ht="12.75" x14ac:dyDescent="0.2">
      <c r="D614" s="139"/>
    </row>
    <row r="615" spans="4:4" ht="12.75" x14ac:dyDescent="0.2">
      <c r="D615" s="139"/>
    </row>
    <row r="616" spans="4:4" ht="12.75" x14ac:dyDescent="0.2">
      <c r="D616" s="139"/>
    </row>
    <row r="617" spans="4:4" ht="12.75" x14ac:dyDescent="0.2">
      <c r="D617" s="139"/>
    </row>
    <row r="618" spans="4:4" ht="12.75" x14ac:dyDescent="0.2">
      <c r="D618" s="139"/>
    </row>
    <row r="619" spans="4:4" ht="12.75" x14ac:dyDescent="0.2">
      <c r="D619" s="139"/>
    </row>
    <row r="620" spans="4:4" ht="12.75" x14ac:dyDescent="0.2">
      <c r="D620" s="139"/>
    </row>
    <row r="621" spans="4:4" ht="12.75" x14ac:dyDescent="0.2">
      <c r="D621" s="139"/>
    </row>
    <row r="622" spans="4:4" ht="12.75" x14ac:dyDescent="0.2">
      <c r="D622" s="139"/>
    </row>
    <row r="623" spans="4:4" ht="12.75" x14ac:dyDescent="0.2">
      <c r="D623" s="139"/>
    </row>
    <row r="624" spans="4:4" ht="12.75" x14ac:dyDescent="0.2">
      <c r="D624" s="139"/>
    </row>
    <row r="625" spans="4:4" ht="12.75" x14ac:dyDescent="0.2">
      <c r="D625" s="139"/>
    </row>
    <row r="626" spans="4:4" ht="12.75" x14ac:dyDescent="0.2">
      <c r="D626" s="139"/>
    </row>
    <row r="627" spans="4:4" ht="12.75" x14ac:dyDescent="0.2">
      <c r="D627" s="139"/>
    </row>
    <row r="628" spans="4:4" ht="12.75" x14ac:dyDescent="0.2">
      <c r="D628" s="139"/>
    </row>
    <row r="629" spans="4:4" ht="12.75" x14ac:dyDescent="0.2">
      <c r="D629" s="139"/>
    </row>
    <row r="630" spans="4:4" ht="12.75" x14ac:dyDescent="0.2">
      <c r="D630" s="139"/>
    </row>
    <row r="631" spans="4:4" ht="12.75" x14ac:dyDescent="0.2">
      <c r="D631" s="139"/>
    </row>
    <row r="632" spans="4:4" ht="12.75" x14ac:dyDescent="0.2">
      <c r="D632" s="139"/>
    </row>
    <row r="633" spans="4:4" ht="12.75" x14ac:dyDescent="0.2">
      <c r="D633" s="139"/>
    </row>
    <row r="634" spans="4:4" ht="12.75" x14ac:dyDescent="0.2">
      <c r="D634" s="139"/>
    </row>
    <row r="635" spans="4:4" ht="12.75" x14ac:dyDescent="0.2">
      <c r="D635" s="139"/>
    </row>
    <row r="636" spans="4:4" ht="12.75" x14ac:dyDescent="0.2">
      <c r="D636" s="139"/>
    </row>
    <row r="637" spans="4:4" ht="12.75" x14ac:dyDescent="0.2">
      <c r="D637" s="139"/>
    </row>
    <row r="638" spans="4:4" ht="12.75" x14ac:dyDescent="0.2">
      <c r="D638" s="139"/>
    </row>
    <row r="639" spans="4:4" ht="12.75" x14ac:dyDescent="0.2">
      <c r="D639" s="139"/>
    </row>
    <row r="640" spans="4:4" ht="12.75" x14ac:dyDescent="0.2">
      <c r="D640" s="139"/>
    </row>
    <row r="641" spans="4:4" ht="12.75" x14ac:dyDescent="0.2">
      <c r="D641" s="139"/>
    </row>
    <row r="642" spans="4:4" ht="12.75" x14ac:dyDescent="0.2">
      <c r="D642" s="139"/>
    </row>
    <row r="643" spans="4:4" ht="12.75" x14ac:dyDescent="0.2">
      <c r="D643" s="139"/>
    </row>
    <row r="644" spans="4:4" ht="12.75" x14ac:dyDescent="0.2">
      <c r="D644" s="139"/>
    </row>
    <row r="645" spans="4:4" ht="12.75" x14ac:dyDescent="0.2">
      <c r="D645" s="139"/>
    </row>
    <row r="646" spans="4:4" ht="12.75" x14ac:dyDescent="0.2">
      <c r="D646" s="139"/>
    </row>
    <row r="647" spans="4:4" ht="12.75" x14ac:dyDescent="0.2">
      <c r="D647" s="139"/>
    </row>
    <row r="648" spans="4:4" ht="12.75" x14ac:dyDescent="0.2">
      <c r="D648" s="139"/>
    </row>
    <row r="649" spans="4:4" ht="12.75" x14ac:dyDescent="0.2">
      <c r="D649" s="139"/>
    </row>
    <row r="650" spans="4:4" ht="12.75" x14ac:dyDescent="0.2">
      <c r="D650" s="139"/>
    </row>
    <row r="651" spans="4:4" ht="12.75" x14ac:dyDescent="0.2">
      <c r="D651" s="139"/>
    </row>
    <row r="652" spans="4:4" ht="12.75" x14ac:dyDescent="0.2">
      <c r="D652" s="139"/>
    </row>
    <row r="653" spans="4:4" ht="12.75" x14ac:dyDescent="0.2">
      <c r="D653" s="139"/>
    </row>
    <row r="654" spans="4:4" ht="12.75" x14ac:dyDescent="0.2">
      <c r="D654" s="139"/>
    </row>
    <row r="655" spans="4:4" ht="12.75" x14ac:dyDescent="0.2">
      <c r="D655" s="139"/>
    </row>
    <row r="656" spans="4:4" ht="12.75" x14ac:dyDescent="0.2">
      <c r="D656" s="139"/>
    </row>
    <row r="657" spans="4:4" ht="12.75" x14ac:dyDescent="0.2">
      <c r="D657" s="139"/>
    </row>
    <row r="658" spans="4:4" ht="12.75" x14ac:dyDescent="0.2">
      <c r="D658" s="139"/>
    </row>
    <row r="659" spans="4:4" ht="12.75" x14ac:dyDescent="0.2">
      <c r="D659" s="139"/>
    </row>
    <row r="660" spans="4:4" ht="12.75" x14ac:dyDescent="0.2">
      <c r="D660" s="139"/>
    </row>
    <row r="661" spans="4:4" ht="12.75" x14ac:dyDescent="0.2">
      <c r="D661" s="139"/>
    </row>
    <row r="662" spans="4:4" ht="12.75" x14ac:dyDescent="0.2">
      <c r="D662" s="139"/>
    </row>
    <row r="663" spans="4:4" ht="12.75" x14ac:dyDescent="0.2">
      <c r="D663" s="139"/>
    </row>
    <row r="664" spans="4:4" ht="12.75" x14ac:dyDescent="0.2">
      <c r="D664" s="139"/>
    </row>
    <row r="665" spans="4:4" ht="12.75" x14ac:dyDescent="0.2">
      <c r="D665" s="139"/>
    </row>
    <row r="666" spans="4:4" ht="12.75" x14ac:dyDescent="0.2">
      <c r="D666" s="139"/>
    </row>
    <row r="667" spans="4:4" ht="12.75" x14ac:dyDescent="0.2">
      <c r="D667" s="139"/>
    </row>
    <row r="668" spans="4:4" ht="12.75" x14ac:dyDescent="0.2">
      <c r="D668" s="139"/>
    </row>
    <row r="669" spans="4:4" ht="12.75" x14ac:dyDescent="0.2">
      <c r="D669" s="139"/>
    </row>
    <row r="670" spans="4:4" ht="12.75" x14ac:dyDescent="0.2">
      <c r="D670" s="139"/>
    </row>
    <row r="671" spans="4:4" ht="12.75" x14ac:dyDescent="0.2">
      <c r="D671" s="139"/>
    </row>
    <row r="672" spans="4:4" ht="12.75" x14ac:dyDescent="0.2">
      <c r="D672" s="139"/>
    </row>
    <row r="673" spans="4:4" ht="12.75" x14ac:dyDescent="0.2">
      <c r="D673" s="139"/>
    </row>
    <row r="674" spans="4:4" ht="12.75" x14ac:dyDescent="0.2">
      <c r="D674" s="139"/>
    </row>
    <row r="675" spans="4:4" ht="12.75" x14ac:dyDescent="0.2">
      <c r="D675" s="139"/>
    </row>
    <row r="676" spans="4:4" ht="12.75" x14ac:dyDescent="0.2">
      <c r="D676" s="139"/>
    </row>
    <row r="677" spans="4:4" ht="12.75" x14ac:dyDescent="0.2">
      <c r="D677" s="139"/>
    </row>
    <row r="678" spans="4:4" ht="12.75" x14ac:dyDescent="0.2">
      <c r="D678" s="139"/>
    </row>
    <row r="679" spans="4:4" ht="12.75" x14ac:dyDescent="0.2">
      <c r="D679" s="139"/>
    </row>
    <row r="680" spans="4:4" ht="12.75" x14ac:dyDescent="0.2">
      <c r="D680" s="139"/>
    </row>
    <row r="681" spans="4:4" ht="12.75" x14ac:dyDescent="0.2">
      <c r="D681" s="139"/>
    </row>
    <row r="682" spans="4:4" ht="12.75" x14ac:dyDescent="0.2">
      <c r="D682" s="139"/>
    </row>
    <row r="683" spans="4:4" ht="12.75" x14ac:dyDescent="0.2">
      <c r="D683" s="139"/>
    </row>
    <row r="684" spans="4:4" ht="12.75" x14ac:dyDescent="0.2">
      <c r="D684" s="139"/>
    </row>
    <row r="685" spans="4:4" ht="12.75" x14ac:dyDescent="0.2">
      <c r="D685" s="139"/>
    </row>
    <row r="686" spans="4:4" ht="12.75" x14ac:dyDescent="0.2">
      <c r="D686" s="139"/>
    </row>
    <row r="687" spans="4:4" ht="12.75" x14ac:dyDescent="0.2">
      <c r="D687" s="139"/>
    </row>
    <row r="688" spans="4:4" ht="12.75" x14ac:dyDescent="0.2">
      <c r="D688" s="139"/>
    </row>
    <row r="689" spans="4:4" ht="12.75" x14ac:dyDescent="0.2">
      <c r="D689" s="139"/>
    </row>
    <row r="690" spans="4:4" ht="12.75" x14ac:dyDescent="0.2">
      <c r="D690" s="139"/>
    </row>
    <row r="691" spans="4:4" ht="12.75" x14ac:dyDescent="0.2">
      <c r="D691" s="139"/>
    </row>
    <row r="692" spans="4:4" ht="12.75" x14ac:dyDescent="0.2">
      <c r="D692" s="139"/>
    </row>
    <row r="693" spans="4:4" ht="12.75" x14ac:dyDescent="0.2">
      <c r="D693" s="139"/>
    </row>
    <row r="694" spans="4:4" ht="12.75" x14ac:dyDescent="0.2">
      <c r="D694" s="139"/>
    </row>
    <row r="695" spans="4:4" ht="12.75" x14ac:dyDescent="0.2">
      <c r="D695" s="139"/>
    </row>
    <row r="696" spans="4:4" ht="12.75" x14ac:dyDescent="0.2">
      <c r="D696" s="139"/>
    </row>
    <row r="697" spans="4:4" ht="12.75" x14ac:dyDescent="0.2">
      <c r="D697" s="139"/>
    </row>
    <row r="698" spans="4:4" ht="12.75" x14ac:dyDescent="0.2">
      <c r="D698" s="139"/>
    </row>
    <row r="699" spans="4:4" ht="12.75" x14ac:dyDescent="0.2">
      <c r="D699" s="139"/>
    </row>
    <row r="700" spans="4:4" ht="12.75" x14ac:dyDescent="0.2">
      <c r="D700" s="139"/>
    </row>
    <row r="701" spans="4:4" ht="12.75" x14ac:dyDescent="0.2">
      <c r="D701" s="139"/>
    </row>
    <row r="702" spans="4:4" ht="12.75" x14ac:dyDescent="0.2">
      <c r="D702" s="139"/>
    </row>
    <row r="703" spans="4:4" ht="12.75" x14ac:dyDescent="0.2">
      <c r="D703" s="139"/>
    </row>
    <row r="704" spans="4:4" ht="12.75" x14ac:dyDescent="0.2">
      <c r="D704" s="139"/>
    </row>
    <row r="705" spans="4:4" ht="12.75" x14ac:dyDescent="0.2">
      <c r="D705" s="139"/>
    </row>
    <row r="706" spans="4:4" ht="12.75" x14ac:dyDescent="0.2">
      <c r="D706" s="139"/>
    </row>
    <row r="707" spans="4:4" ht="12.75" x14ac:dyDescent="0.2">
      <c r="D707" s="139"/>
    </row>
    <row r="708" spans="4:4" ht="12.75" x14ac:dyDescent="0.2">
      <c r="D708" s="139"/>
    </row>
    <row r="709" spans="4:4" ht="12.75" x14ac:dyDescent="0.2">
      <c r="D709" s="139"/>
    </row>
    <row r="710" spans="4:4" ht="12.75" x14ac:dyDescent="0.2">
      <c r="D710" s="139"/>
    </row>
    <row r="711" spans="4:4" ht="12.75" x14ac:dyDescent="0.2">
      <c r="D711" s="139"/>
    </row>
    <row r="712" spans="4:4" ht="12.75" x14ac:dyDescent="0.2">
      <c r="D712" s="139"/>
    </row>
    <row r="713" spans="4:4" ht="12.75" x14ac:dyDescent="0.2">
      <c r="D713" s="139"/>
    </row>
    <row r="714" spans="4:4" ht="12.75" x14ac:dyDescent="0.2">
      <c r="D714" s="139"/>
    </row>
    <row r="715" spans="4:4" ht="12.75" x14ac:dyDescent="0.2">
      <c r="D715" s="139"/>
    </row>
    <row r="716" spans="4:4" ht="12.75" x14ac:dyDescent="0.2">
      <c r="D716" s="139"/>
    </row>
    <row r="717" spans="4:4" ht="12.75" x14ac:dyDescent="0.2">
      <c r="D717" s="139"/>
    </row>
    <row r="718" spans="4:4" ht="12.75" x14ac:dyDescent="0.2">
      <c r="D718" s="139"/>
    </row>
    <row r="719" spans="4:4" ht="12.75" x14ac:dyDescent="0.2">
      <c r="D719" s="139"/>
    </row>
    <row r="720" spans="4:4" ht="12.75" x14ac:dyDescent="0.2">
      <c r="D720" s="139"/>
    </row>
    <row r="721" spans="4:4" ht="12.75" x14ac:dyDescent="0.2">
      <c r="D721" s="139"/>
    </row>
    <row r="722" spans="4:4" ht="12.75" x14ac:dyDescent="0.2">
      <c r="D722" s="139"/>
    </row>
    <row r="723" spans="4:4" ht="12.75" x14ac:dyDescent="0.2">
      <c r="D723" s="139"/>
    </row>
    <row r="724" spans="4:4" ht="12.75" x14ac:dyDescent="0.2">
      <c r="D724" s="139"/>
    </row>
    <row r="725" spans="4:4" ht="12.75" x14ac:dyDescent="0.2">
      <c r="D725" s="139"/>
    </row>
    <row r="726" spans="4:4" ht="12.75" x14ac:dyDescent="0.2">
      <c r="D726" s="139"/>
    </row>
    <row r="727" spans="4:4" ht="12.75" x14ac:dyDescent="0.2">
      <c r="D727" s="139"/>
    </row>
    <row r="728" spans="4:4" ht="12.75" x14ac:dyDescent="0.2">
      <c r="D728" s="139"/>
    </row>
    <row r="729" spans="4:4" ht="12.75" x14ac:dyDescent="0.2">
      <c r="D729" s="139"/>
    </row>
    <row r="730" spans="4:4" ht="12.75" x14ac:dyDescent="0.2">
      <c r="D730" s="139"/>
    </row>
    <row r="731" spans="4:4" ht="12.75" x14ac:dyDescent="0.2">
      <c r="D731" s="139"/>
    </row>
    <row r="732" spans="4:4" ht="12.75" x14ac:dyDescent="0.2">
      <c r="D732" s="139"/>
    </row>
    <row r="733" spans="4:4" ht="12.75" x14ac:dyDescent="0.2">
      <c r="D733" s="139"/>
    </row>
    <row r="734" spans="4:4" ht="12.75" x14ac:dyDescent="0.2">
      <c r="D734" s="139"/>
    </row>
    <row r="735" spans="4:4" ht="12.75" x14ac:dyDescent="0.2">
      <c r="D735" s="139"/>
    </row>
    <row r="736" spans="4:4" ht="12.75" x14ac:dyDescent="0.2">
      <c r="D736" s="139"/>
    </row>
    <row r="737" spans="4:4" ht="12.75" x14ac:dyDescent="0.2">
      <c r="D737" s="139"/>
    </row>
    <row r="738" spans="4:4" ht="12.75" x14ac:dyDescent="0.2">
      <c r="D738" s="139"/>
    </row>
    <row r="739" spans="4:4" ht="12.75" x14ac:dyDescent="0.2">
      <c r="D739" s="139"/>
    </row>
    <row r="740" spans="4:4" ht="12.75" x14ac:dyDescent="0.2">
      <c r="D740" s="139"/>
    </row>
    <row r="741" spans="4:4" ht="12.75" x14ac:dyDescent="0.2">
      <c r="D741" s="139"/>
    </row>
    <row r="742" spans="4:4" ht="12.75" x14ac:dyDescent="0.2">
      <c r="D742" s="139"/>
    </row>
    <row r="743" spans="4:4" ht="12.75" x14ac:dyDescent="0.2">
      <c r="D743" s="139"/>
    </row>
    <row r="744" spans="4:4" ht="12.75" x14ac:dyDescent="0.2">
      <c r="D744" s="139"/>
    </row>
    <row r="745" spans="4:4" ht="12.75" x14ac:dyDescent="0.2">
      <c r="D745" s="139"/>
    </row>
    <row r="746" spans="4:4" ht="12.75" x14ac:dyDescent="0.2">
      <c r="D746" s="139"/>
    </row>
    <row r="747" spans="4:4" ht="12.75" x14ac:dyDescent="0.2">
      <c r="D747" s="139"/>
    </row>
    <row r="748" spans="4:4" ht="12.75" x14ac:dyDescent="0.2">
      <c r="D748" s="139"/>
    </row>
    <row r="749" spans="4:4" ht="12.75" x14ac:dyDescent="0.2">
      <c r="D749" s="139"/>
    </row>
    <row r="750" spans="4:4" ht="12.75" x14ac:dyDescent="0.2">
      <c r="D750" s="139"/>
    </row>
    <row r="751" spans="4:4" ht="12.75" x14ac:dyDescent="0.2">
      <c r="D751" s="139"/>
    </row>
    <row r="752" spans="4:4" ht="12.75" x14ac:dyDescent="0.2">
      <c r="D752" s="139"/>
    </row>
    <row r="753" spans="4:4" ht="12.75" x14ac:dyDescent="0.2">
      <c r="D753" s="139"/>
    </row>
    <row r="754" spans="4:4" ht="12.75" x14ac:dyDescent="0.2">
      <c r="D754" s="139"/>
    </row>
    <row r="755" spans="4:4" ht="12.75" x14ac:dyDescent="0.2">
      <c r="D755" s="139"/>
    </row>
    <row r="756" spans="4:4" ht="12.75" x14ac:dyDescent="0.2">
      <c r="D756" s="139"/>
    </row>
    <row r="757" spans="4:4" ht="12.75" x14ac:dyDescent="0.2">
      <c r="D757" s="139"/>
    </row>
    <row r="758" spans="4:4" ht="12.75" x14ac:dyDescent="0.2">
      <c r="D758" s="139"/>
    </row>
    <row r="759" spans="4:4" ht="12.75" x14ac:dyDescent="0.2">
      <c r="D759" s="139"/>
    </row>
    <row r="760" spans="4:4" ht="12.75" x14ac:dyDescent="0.2">
      <c r="D760" s="139"/>
    </row>
    <row r="761" spans="4:4" ht="12.75" x14ac:dyDescent="0.2">
      <c r="D761" s="139"/>
    </row>
    <row r="762" spans="4:4" ht="12.75" x14ac:dyDescent="0.2">
      <c r="D762" s="139"/>
    </row>
    <row r="763" spans="4:4" ht="12.75" x14ac:dyDescent="0.2">
      <c r="D763" s="139"/>
    </row>
    <row r="764" spans="4:4" ht="12.75" x14ac:dyDescent="0.2">
      <c r="D764" s="139"/>
    </row>
    <row r="765" spans="4:4" ht="12.75" x14ac:dyDescent="0.2">
      <c r="D765" s="139"/>
    </row>
    <row r="766" spans="4:4" ht="12.75" x14ac:dyDescent="0.2">
      <c r="D766" s="139"/>
    </row>
    <row r="767" spans="4:4" ht="12.75" x14ac:dyDescent="0.2">
      <c r="D767" s="139"/>
    </row>
    <row r="768" spans="4:4" ht="12.75" x14ac:dyDescent="0.2">
      <c r="D768" s="139"/>
    </row>
    <row r="769" spans="4:4" ht="12.75" x14ac:dyDescent="0.2">
      <c r="D769" s="139"/>
    </row>
    <row r="770" spans="4:4" ht="12.75" x14ac:dyDescent="0.2">
      <c r="D770" s="139"/>
    </row>
    <row r="771" spans="4:4" ht="12.75" x14ac:dyDescent="0.2">
      <c r="D771" s="139"/>
    </row>
    <row r="772" spans="4:4" ht="12.75" x14ac:dyDescent="0.2">
      <c r="D772" s="139"/>
    </row>
    <row r="773" spans="4:4" ht="12.75" x14ac:dyDescent="0.2">
      <c r="D773" s="139"/>
    </row>
    <row r="774" spans="4:4" ht="12.75" x14ac:dyDescent="0.2">
      <c r="D774" s="139"/>
    </row>
    <row r="775" spans="4:4" ht="12.75" x14ac:dyDescent="0.2">
      <c r="D775" s="139"/>
    </row>
    <row r="776" spans="4:4" ht="12.75" x14ac:dyDescent="0.2">
      <c r="D776" s="139"/>
    </row>
    <row r="777" spans="4:4" ht="12.75" x14ac:dyDescent="0.2">
      <c r="D777" s="139"/>
    </row>
    <row r="778" spans="4:4" ht="12.75" x14ac:dyDescent="0.2">
      <c r="D778" s="139"/>
    </row>
    <row r="779" spans="4:4" ht="12.75" x14ac:dyDescent="0.2">
      <c r="D779" s="139"/>
    </row>
    <row r="780" spans="4:4" ht="12.75" x14ac:dyDescent="0.2">
      <c r="D780" s="139"/>
    </row>
    <row r="781" spans="4:4" ht="12.75" x14ac:dyDescent="0.2">
      <c r="D781" s="139"/>
    </row>
    <row r="782" spans="4:4" ht="12.75" x14ac:dyDescent="0.2">
      <c r="D782" s="139"/>
    </row>
    <row r="783" spans="4:4" ht="12.75" x14ac:dyDescent="0.2">
      <c r="D783" s="139"/>
    </row>
    <row r="784" spans="4:4" ht="12.75" x14ac:dyDescent="0.2">
      <c r="D784" s="139"/>
    </row>
    <row r="785" spans="4:4" ht="12.75" x14ac:dyDescent="0.2">
      <c r="D785" s="139"/>
    </row>
    <row r="786" spans="4:4" ht="12.75" x14ac:dyDescent="0.2">
      <c r="D786" s="139"/>
    </row>
    <row r="787" spans="4:4" ht="12.75" x14ac:dyDescent="0.2">
      <c r="D787" s="139"/>
    </row>
    <row r="788" spans="4:4" ht="12.75" x14ac:dyDescent="0.2">
      <c r="D788" s="139"/>
    </row>
    <row r="789" spans="4:4" ht="12.75" x14ac:dyDescent="0.2">
      <c r="D789" s="139"/>
    </row>
    <row r="790" spans="4:4" ht="12.75" x14ac:dyDescent="0.2">
      <c r="D790" s="139"/>
    </row>
    <row r="791" spans="4:4" ht="12.75" x14ac:dyDescent="0.2">
      <c r="D791" s="139"/>
    </row>
    <row r="792" spans="4:4" ht="12.75" x14ac:dyDescent="0.2">
      <c r="D792" s="139"/>
    </row>
    <row r="793" spans="4:4" ht="12.75" x14ac:dyDescent="0.2">
      <c r="D793" s="139"/>
    </row>
    <row r="794" spans="4:4" ht="12.75" x14ac:dyDescent="0.2">
      <c r="D794" s="139"/>
    </row>
    <row r="795" spans="4:4" ht="12.75" x14ac:dyDescent="0.2">
      <c r="D795" s="139"/>
    </row>
    <row r="796" spans="4:4" ht="12.75" x14ac:dyDescent="0.2">
      <c r="D796" s="139"/>
    </row>
    <row r="797" spans="4:4" ht="12.75" x14ac:dyDescent="0.2">
      <c r="D797" s="139"/>
    </row>
    <row r="798" spans="4:4" ht="12.75" x14ac:dyDescent="0.2">
      <c r="D798" s="139"/>
    </row>
    <row r="799" spans="4:4" ht="12.75" x14ac:dyDescent="0.2">
      <c r="D799" s="139"/>
    </row>
    <row r="800" spans="4:4" ht="12.75" x14ac:dyDescent="0.2">
      <c r="D800" s="139"/>
    </row>
    <row r="801" spans="4:4" ht="12.75" x14ac:dyDescent="0.2">
      <c r="D801" s="139"/>
    </row>
    <row r="802" spans="4:4" ht="12.75" x14ac:dyDescent="0.2">
      <c r="D802" s="139"/>
    </row>
    <row r="803" spans="4:4" ht="12.75" x14ac:dyDescent="0.2">
      <c r="D803" s="139"/>
    </row>
    <row r="804" spans="4:4" ht="12.75" x14ac:dyDescent="0.2">
      <c r="D804" s="139"/>
    </row>
    <row r="805" spans="4:4" ht="12.75" x14ac:dyDescent="0.2">
      <c r="D805" s="139"/>
    </row>
    <row r="806" spans="4:4" ht="12.75" x14ac:dyDescent="0.2">
      <c r="D806" s="139"/>
    </row>
    <row r="807" spans="4:4" ht="12.75" x14ac:dyDescent="0.2">
      <c r="D807" s="139"/>
    </row>
    <row r="808" spans="4:4" ht="12.75" x14ac:dyDescent="0.2">
      <c r="D808" s="139"/>
    </row>
    <row r="809" spans="4:4" ht="12.75" x14ac:dyDescent="0.2">
      <c r="D809" s="139"/>
    </row>
    <row r="810" spans="4:4" ht="12.75" x14ac:dyDescent="0.2">
      <c r="D810" s="139"/>
    </row>
    <row r="811" spans="4:4" ht="12.75" x14ac:dyDescent="0.2">
      <c r="D811" s="139"/>
    </row>
    <row r="812" spans="4:4" ht="12.75" x14ac:dyDescent="0.2">
      <c r="D812" s="139"/>
    </row>
    <row r="813" spans="4:4" ht="12.75" x14ac:dyDescent="0.2">
      <c r="D813" s="139"/>
    </row>
    <row r="814" spans="4:4" ht="12.75" x14ac:dyDescent="0.2">
      <c r="D814" s="139"/>
    </row>
    <row r="815" spans="4:4" ht="12.75" x14ac:dyDescent="0.2">
      <c r="D815" s="139"/>
    </row>
    <row r="816" spans="4:4" ht="12.75" x14ac:dyDescent="0.2">
      <c r="D816" s="139"/>
    </row>
    <row r="817" spans="4:4" ht="12.75" x14ac:dyDescent="0.2">
      <c r="D817" s="139"/>
    </row>
    <row r="818" spans="4:4" ht="12.75" x14ac:dyDescent="0.2">
      <c r="D818" s="139"/>
    </row>
    <row r="819" spans="4:4" ht="12.75" x14ac:dyDescent="0.2">
      <c r="D819" s="139"/>
    </row>
    <row r="820" spans="4:4" ht="12.75" x14ac:dyDescent="0.2">
      <c r="D820" s="139"/>
    </row>
    <row r="821" spans="4:4" ht="12.75" x14ac:dyDescent="0.2">
      <c r="D821" s="139"/>
    </row>
    <row r="822" spans="4:4" ht="12.75" x14ac:dyDescent="0.2">
      <c r="D822" s="139"/>
    </row>
    <row r="823" spans="4:4" ht="12.75" x14ac:dyDescent="0.2">
      <c r="D823" s="139"/>
    </row>
    <row r="824" spans="4:4" ht="12.75" x14ac:dyDescent="0.2">
      <c r="D824" s="139"/>
    </row>
    <row r="825" spans="4:4" ht="12.75" x14ac:dyDescent="0.2">
      <c r="D825" s="139"/>
    </row>
    <row r="826" spans="4:4" ht="12.75" x14ac:dyDescent="0.2">
      <c r="D826" s="139"/>
    </row>
    <row r="827" spans="4:4" ht="12.75" x14ac:dyDescent="0.2">
      <c r="D827" s="139"/>
    </row>
    <row r="828" spans="4:4" ht="12.75" x14ac:dyDescent="0.2">
      <c r="D828" s="139"/>
    </row>
    <row r="829" spans="4:4" ht="12.75" x14ac:dyDescent="0.2">
      <c r="D829" s="139"/>
    </row>
    <row r="830" spans="4:4" ht="12.75" x14ac:dyDescent="0.2">
      <c r="D830" s="139"/>
    </row>
    <row r="831" spans="4:4" ht="12.75" x14ac:dyDescent="0.2">
      <c r="D831" s="139"/>
    </row>
    <row r="832" spans="4:4" ht="12.75" x14ac:dyDescent="0.2">
      <c r="D832" s="139"/>
    </row>
    <row r="833" spans="4:4" ht="12.75" x14ac:dyDescent="0.2">
      <c r="D833" s="139"/>
    </row>
    <row r="834" spans="4:4" ht="12.75" x14ac:dyDescent="0.2">
      <c r="D834" s="139"/>
    </row>
    <row r="835" spans="4:4" ht="12.75" x14ac:dyDescent="0.2">
      <c r="D835" s="139"/>
    </row>
    <row r="836" spans="4:4" ht="12.75" x14ac:dyDescent="0.2">
      <c r="D836" s="139"/>
    </row>
    <row r="837" spans="4:4" ht="12.75" x14ac:dyDescent="0.2">
      <c r="D837" s="139"/>
    </row>
    <row r="838" spans="4:4" ht="12.75" x14ac:dyDescent="0.2">
      <c r="D838" s="139"/>
    </row>
    <row r="839" spans="4:4" ht="12.75" x14ac:dyDescent="0.2">
      <c r="D839" s="139"/>
    </row>
    <row r="840" spans="4:4" ht="12.75" x14ac:dyDescent="0.2">
      <c r="D840" s="139"/>
    </row>
    <row r="841" spans="4:4" ht="12.75" x14ac:dyDescent="0.2">
      <c r="D841" s="139"/>
    </row>
    <row r="842" spans="4:4" ht="12.75" x14ac:dyDescent="0.2">
      <c r="D842" s="139"/>
    </row>
    <row r="843" spans="4:4" ht="12.75" x14ac:dyDescent="0.2">
      <c r="D843" s="139"/>
    </row>
    <row r="844" spans="4:4" ht="12.75" x14ac:dyDescent="0.2">
      <c r="D844" s="139"/>
    </row>
    <row r="845" spans="4:4" ht="12.75" x14ac:dyDescent="0.2">
      <c r="D845" s="139"/>
    </row>
    <row r="846" spans="4:4" ht="12.75" x14ac:dyDescent="0.2">
      <c r="D846" s="139"/>
    </row>
    <row r="847" spans="4:4" ht="12.75" x14ac:dyDescent="0.2">
      <c r="D847" s="139"/>
    </row>
    <row r="848" spans="4:4" ht="12.75" x14ac:dyDescent="0.2">
      <c r="D848" s="139"/>
    </row>
    <row r="849" spans="4:4" ht="12.75" x14ac:dyDescent="0.2">
      <c r="D849" s="139"/>
    </row>
    <row r="850" spans="4:4" ht="12.75" x14ac:dyDescent="0.2">
      <c r="D850" s="139"/>
    </row>
    <row r="851" spans="4:4" ht="12.75" x14ac:dyDescent="0.2">
      <c r="D851" s="139"/>
    </row>
    <row r="852" spans="4:4" ht="12.75" x14ac:dyDescent="0.2">
      <c r="D852" s="139"/>
    </row>
    <row r="853" spans="4:4" ht="12.75" x14ac:dyDescent="0.2">
      <c r="D853" s="139"/>
    </row>
    <row r="854" spans="4:4" ht="12.75" x14ac:dyDescent="0.2">
      <c r="D854" s="139"/>
    </row>
    <row r="855" spans="4:4" ht="12.75" x14ac:dyDescent="0.2">
      <c r="D855" s="139"/>
    </row>
    <row r="856" spans="4:4" ht="12.75" x14ac:dyDescent="0.2">
      <c r="D856" s="139"/>
    </row>
    <row r="857" spans="4:4" ht="12.75" x14ac:dyDescent="0.2">
      <c r="D857" s="139"/>
    </row>
    <row r="858" spans="4:4" ht="12.75" x14ac:dyDescent="0.2">
      <c r="D858" s="139"/>
    </row>
    <row r="859" spans="4:4" ht="12.75" x14ac:dyDescent="0.2">
      <c r="D859" s="139"/>
    </row>
    <row r="860" spans="4:4" ht="12.75" x14ac:dyDescent="0.2">
      <c r="D860" s="139"/>
    </row>
    <row r="861" spans="4:4" ht="12.75" x14ac:dyDescent="0.2">
      <c r="D861" s="139"/>
    </row>
    <row r="862" spans="4:4" ht="12.75" x14ac:dyDescent="0.2">
      <c r="D862" s="139"/>
    </row>
    <row r="863" spans="4:4" ht="12.75" x14ac:dyDescent="0.2">
      <c r="D863" s="139"/>
    </row>
    <row r="864" spans="4:4" ht="12.75" x14ac:dyDescent="0.2">
      <c r="D864" s="139"/>
    </row>
    <row r="865" spans="4:4" ht="12.75" x14ac:dyDescent="0.2">
      <c r="D865" s="139"/>
    </row>
    <row r="866" spans="4:4" ht="12.75" x14ac:dyDescent="0.2">
      <c r="D866" s="139"/>
    </row>
    <row r="867" spans="4:4" ht="12.75" x14ac:dyDescent="0.2">
      <c r="D867" s="139"/>
    </row>
    <row r="868" spans="4:4" ht="12.75" x14ac:dyDescent="0.2">
      <c r="D868" s="139"/>
    </row>
    <row r="869" spans="4:4" ht="12.75" x14ac:dyDescent="0.2">
      <c r="D869" s="139"/>
    </row>
    <row r="870" spans="4:4" ht="12.75" x14ac:dyDescent="0.2">
      <c r="D870" s="139"/>
    </row>
    <row r="871" spans="4:4" ht="12.75" x14ac:dyDescent="0.2">
      <c r="D871" s="139"/>
    </row>
    <row r="872" spans="4:4" ht="12.75" x14ac:dyDescent="0.2">
      <c r="D872" s="139"/>
    </row>
    <row r="873" spans="4:4" ht="12.75" x14ac:dyDescent="0.2">
      <c r="D873" s="139"/>
    </row>
    <row r="874" spans="4:4" ht="12.75" x14ac:dyDescent="0.2">
      <c r="D874" s="139"/>
    </row>
    <row r="875" spans="4:4" ht="12.75" x14ac:dyDescent="0.2">
      <c r="D875" s="139"/>
    </row>
    <row r="876" spans="4:4" ht="12.75" x14ac:dyDescent="0.2">
      <c r="D876" s="139"/>
    </row>
    <row r="877" spans="4:4" ht="12.75" x14ac:dyDescent="0.2">
      <c r="D877" s="139"/>
    </row>
    <row r="878" spans="4:4" ht="12.75" x14ac:dyDescent="0.2">
      <c r="D878" s="139"/>
    </row>
    <row r="879" spans="4:4" ht="12.75" x14ac:dyDescent="0.2">
      <c r="D879" s="139"/>
    </row>
    <row r="880" spans="4:4" ht="12.75" x14ac:dyDescent="0.2">
      <c r="D880" s="139"/>
    </row>
    <row r="881" spans="4:4" ht="12.75" x14ac:dyDescent="0.2">
      <c r="D881" s="139"/>
    </row>
    <row r="882" spans="4:4" ht="12.75" x14ac:dyDescent="0.2">
      <c r="D882" s="139"/>
    </row>
    <row r="883" spans="4:4" ht="12.75" x14ac:dyDescent="0.2">
      <c r="D883" s="139"/>
    </row>
    <row r="884" spans="4:4" ht="12.75" x14ac:dyDescent="0.2">
      <c r="D884" s="139"/>
    </row>
    <row r="885" spans="4:4" ht="12.75" x14ac:dyDescent="0.2">
      <c r="D885" s="139"/>
    </row>
    <row r="886" spans="4:4" ht="12.75" x14ac:dyDescent="0.2">
      <c r="D886" s="139"/>
    </row>
    <row r="887" spans="4:4" ht="12.75" x14ac:dyDescent="0.2">
      <c r="D887" s="139"/>
    </row>
    <row r="888" spans="4:4" ht="12.75" x14ac:dyDescent="0.2">
      <c r="D888" s="139"/>
    </row>
    <row r="889" spans="4:4" ht="12.75" x14ac:dyDescent="0.2">
      <c r="D889" s="139"/>
    </row>
    <row r="890" spans="4:4" ht="12.75" x14ac:dyDescent="0.2">
      <c r="D890" s="139"/>
    </row>
    <row r="891" spans="4:4" ht="12.75" x14ac:dyDescent="0.2">
      <c r="D891" s="139"/>
    </row>
    <row r="892" spans="4:4" ht="12.75" x14ac:dyDescent="0.2">
      <c r="D892" s="139"/>
    </row>
    <row r="893" spans="4:4" ht="12.75" x14ac:dyDescent="0.2">
      <c r="D893" s="139"/>
    </row>
    <row r="894" spans="4:4" ht="12.75" x14ac:dyDescent="0.2">
      <c r="D894" s="139"/>
    </row>
    <row r="895" spans="4:4" ht="12.75" x14ac:dyDescent="0.2">
      <c r="D895" s="139"/>
    </row>
    <row r="896" spans="4:4" ht="12.75" x14ac:dyDescent="0.2">
      <c r="D896" s="139"/>
    </row>
    <row r="897" spans="4:4" ht="12.75" x14ac:dyDescent="0.2">
      <c r="D897" s="139"/>
    </row>
    <row r="898" spans="4:4" ht="12.75" x14ac:dyDescent="0.2">
      <c r="D898" s="139"/>
    </row>
    <row r="899" spans="4:4" ht="12.75" x14ac:dyDescent="0.2">
      <c r="D899" s="139"/>
    </row>
    <row r="900" spans="4:4" ht="12.75" x14ac:dyDescent="0.2">
      <c r="D900" s="139"/>
    </row>
    <row r="901" spans="4:4" ht="12.75" x14ac:dyDescent="0.2">
      <c r="D901" s="139"/>
    </row>
    <row r="902" spans="4:4" ht="12.75" x14ac:dyDescent="0.2">
      <c r="D902" s="139"/>
    </row>
    <row r="903" spans="4:4" ht="12.75" x14ac:dyDescent="0.2">
      <c r="D903" s="139"/>
    </row>
    <row r="904" spans="4:4" ht="12.75" x14ac:dyDescent="0.2">
      <c r="D904" s="139"/>
    </row>
    <row r="905" spans="4:4" ht="12.75" x14ac:dyDescent="0.2">
      <c r="D905" s="139"/>
    </row>
    <row r="906" spans="4:4" ht="12.75" x14ac:dyDescent="0.2">
      <c r="D906" s="139"/>
    </row>
    <row r="907" spans="4:4" ht="12.75" x14ac:dyDescent="0.2">
      <c r="D907" s="139"/>
    </row>
    <row r="908" spans="4:4" ht="12.75" x14ac:dyDescent="0.2">
      <c r="D908" s="139"/>
    </row>
    <row r="909" spans="4:4" ht="12.75" x14ac:dyDescent="0.2">
      <c r="D909" s="139"/>
    </row>
    <row r="910" spans="4:4" ht="12.75" x14ac:dyDescent="0.2">
      <c r="D910" s="139"/>
    </row>
    <row r="911" spans="4:4" ht="12.75" x14ac:dyDescent="0.2">
      <c r="D911" s="139"/>
    </row>
    <row r="912" spans="4:4" ht="12.75" x14ac:dyDescent="0.2">
      <c r="D912" s="139"/>
    </row>
    <row r="913" spans="4:4" ht="12.75" x14ac:dyDescent="0.2">
      <c r="D913" s="139"/>
    </row>
    <row r="914" spans="4:4" ht="12.75" x14ac:dyDescent="0.2">
      <c r="D914" s="139"/>
    </row>
    <row r="915" spans="4:4" ht="12.75" x14ac:dyDescent="0.2">
      <c r="D915" s="139"/>
    </row>
    <row r="916" spans="4:4" ht="12.75" x14ac:dyDescent="0.2">
      <c r="D916" s="139"/>
    </row>
    <row r="917" spans="4:4" ht="12.75" x14ac:dyDescent="0.2">
      <c r="D917" s="139"/>
    </row>
    <row r="918" spans="4:4" ht="12.75" x14ac:dyDescent="0.2">
      <c r="D918" s="139"/>
    </row>
    <row r="919" spans="4:4" ht="12.75" x14ac:dyDescent="0.2">
      <c r="D919" s="139"/>
    </row>
    <row r="920" spans="4:4" ht="12.75" x14ac:dyDescent="0.2">
      <c r="D920" s="139"/>
    </row>
    <row r="921" spans="4:4" ht="12.75" x14ac:dyDescent="0.2">
      <c r="D921" s="139"/>
    </row>
    <row r="922" spans="4:4" ht="12.75" x14ac:dyDescent="0.2">
      <c r="D922" s="139"/>
    </row>
    <row r="923" spans="4:4" ht="12.75" x14ac:dyDescent="0.2">
      <c r="D923" s="139"/>
    </row>
    <row r="924" spans="4:4" ht="12.75" x14ac:dyDescent="0.2">
      <c r="D924" s="139"/>
    </row>
    <row r="925" spans="4:4" ht="12.75" x14ac:dyDescent="0.2">
      <c r="D925" s="139"/>
    </row>
    <row r="926" spans="4:4" ht="12.75" x14ac:dyDescent="0.2">
      <c r="D926" s="139"/>
    </row>
    <row r="927" spans="4:4" ht="12.75" x14ac:dyDescent="0.2">
      <c r="D927" s="139"/>
    </row>
    <row r="928" spans="4:4" ht="12.75" x14ac:dyDescent="0.2">
      <c r="D928" s="139"/>
    </row>
    <row r="929" spans="4:4" ht="12.75" x14ac:dyDescent="0.2">
      <c r="D929" s="139"/>
    </row>
    <row r="930" spans="4:4" ht="12.75" x14ac:dyDescent="0.2">
      <c r="D930" s="139"/>
    </row>
    <row r="931" spans="4:4" ht="12.75" x14ac:dyDescent="0.2">
      <c r="D931" s="139"/>
    </row>
    <row r="932" spans="4:4" ht="12.75" x14ac:dyDescent="0.2">
      <c r="D932" s="139"/>
    </row>
    <row r="933" spans="4:4" ht="12.75" x14ac:dyDescent="0.2">
      <c r="D933" s="139"/>
    </row>
    <row r="934" spans="4:4" ht="12.75" x14ac:dyDescent="0.2">
      <c r="D934" s="139"/>
    </row>
    <row r="935" spans="4:4" ht="12.75" x14ac:dyDescent="0.2">
      <c r="D935" s="139"/>
    </row>
    <row r="936" spans="4:4" ht="12.75" x14ac:dyDescent="0.2">
      <c r="D936" s="139"/>
    </row>
    <row r="937" spans="4:4" ht="12.75" x14ac:dyDescent="0.2">
      <c r="D937" s="139"/>
    </row>
    <row r="938" spans="4:4" ht="12.75" x14ac:dyDescent="0.2">
      <c r="D938" s="139"/>
    </row>
    <row r="939" spans="4:4" ht="12.75" x14ac:dyDescent="0.2">
      <c r="D939" s="139"/>
    </row>
    <row r="940" spans="4:4" ht="12.75" x14ac:dyDescent="0.2">
      <c r="D940" s="139"/>
    </row>
    <row r="941" spans="4:4" ht="12.75" x14ac:dyDescent="0.2">
      <c r="D941" s="139"/>
    </row>
    <row r="942" spans="4:4" ht="12.75" x14ac:dyDescent="0.2">
      <c r="D942" s="139"/>
    </row>
    <row r="943" spans="4:4" ht="12.75" x14ac:dyDescent="0.2">
      <c r="D943" s="139"/>
    </row>
    <row r="944" spans="4:4" ht="12.75" x14ac:dyDescent="0.2">
      <c r="D944" s="139"/>
    </row>
    <row r="945" spans="4:4" ht="12.75" x14ac:dyDescent="0.2">
      <c r="D945" s="139"/>
    </row>
    <row r="946" spans="4:4" ht="12.75" x14ac:dyDescent="0.2">
      <c r="D946" s="139"/>
    </row>
    <row r="947" spans="4:4" ht="12.75" x14ac:dyDescent="0.2">
      <c r="D947" s="139"/>
    </row>
    <row r="948" spans="4:4" ht="12.75" x14ac:dyDescent="0.2">
      <c r="D948" s="139"/>
    </row>
    <row r="949" spans="4:4" ht="12.75" x14ac:dyDescent="0.2">
      <c r="D949" s="139"/>
    </row>
    <row r="950" spans="4:4" ht="12.75" x14ac:dyDescent="0.2">
      <c r="D950" s="139"/>
    </row>
    <row r="951" spans="4:4" ht="12.75" x14ac:dyDescent="0.2">
      <c r="D951" s="139"/>
    </row>
    <row r="952" spans="4:4" ht="12.75" x14ac:dyDescent="0.2">
      <c r="D952" s="139"/>
    </row>
    <row r="953" spans="4:4" ht="12.75" x14ac:dyDescent="0.2">
      <c r="D953" s="139"/>
    </row>
    <row r="954" spans="4:4" ht="12.75" x14ac:dyDescent="0.2">
      <c r="D954" s="139"/>
    </row>
    <row r="955" spans="4:4" ht="12.75" x14ac:dyDescent="0.2">
      <c r="D955" s="139"/>
    </row>
    <row r="956" spans="4:4" ht="12.75" x14ac:dyDescent="0.2">
      <c r="D956" s="139"/>
    </row>
    <row r="957" spans="4:4" ht="12.75" x14ac:dyDescent="0.2">
      <c r="D957" s="139"/>
    </row>
    <row r="958" spans="4:4" ht="12.75" x14ac:dyDescent="0.2">
      <c r="D958" s="139"/>
    </row>
    <row r="959" spans="4:4" ht="12.75" x14ac:dyDescent="0.2">
      <c r="D959" s="139"/>
    </row>
    <row r="960" spans="4:4" ht="12.75" x14ac:dyDescent="0.2">
      <c r="D960" s="139"/>
    </row>
    <row r="961" spans="4:4" ht="12.75" x14ac:dyDescent="0.2">
      <c r="D961" s="139"/>
    </row>
    <row r="962" spans="4:4" ht="12.75" x14ac:dyDescent="0.2">
      <c r="D962" s="139"/>
    </row>
    <row r="963" spans="4:4" ht="12.75" x14ac:dyDescent="0.2">
      <c r="D963" s="139"/>
    </row>
    <row r="964" spans="4:4" ht="12.75" x14ac:dyDescent="0.2">
      <c r="D964" s="139"/>
    </row>
    <row r="965" spans="4:4" ht="12.75" x14ac:dyDescent="0.2">
      <c r="D965" s="139"/>
    </row>
    <row r="966" spans="4:4" ht="12.75" x14ac:dyDescent="0.2">
      <c r="D966" s="139"/>
    </row>
    <row r="967" spans="4:4" ht="12.75" x14ac:dyDescent="0.2">
      <c r="D967" s="139"/>
    </row>
    <row r="968" spans="4:4" ht="12.75" x14ac:dyDescent="0.2">
      <c r="D968" s="139"/>
    </row>
    <row r="969" spans="4:4" ht="12.75" x14ac:dyDescent="0.2">
      <c r="D969" s="139"/>
    </row>
    <row r="970" spans="4:4" ht="12.75" x14ac:dyDescent="0.2">
      <c r="D970" s="139"/>
    </row>
    <row r="971" spans="4:4" ht="12.75" x14ac:dyDescent="0.2">
      <c r="D971" s="139"/>
    </row>
    <row r="972" spans="4:4" ht="12.75" x14ac:dyDescent="0.2">
      <c r="D972" s="139"/>
    </row>
    <row r="973" spans="4:4" ht="12.75" x14ac:dyDescent="0.2">
      <c r="D973" s="139"/>
    </row>
    <row r="974" spans="4:4" ht="12.75" x14ac:dyDescent="0.2">
      <c r="D974" s="139"/>
    </row>
    <row r="975" spans="4:4" ht="12.75" x14ac:dyDescent="0.2">
      <c r="D975" s="139"/>
    </row>
    <row r="976" spans="4:4" ht="12.75" x14ac:dyDescent="0.2">
      <c r="D976" s="139"/>
    </row>
    <row r="977" spans="4:4" ht="12.75" x14ac:dyDescent="0.2">
      <c r="D977" s="139"/>
    </row>
    <row r="978" spans="4:4" ht="12.75" x14ac:dyDescent="0.2">
      <c r="D978" s="139"/>
    </row>
    <row r="979" spans="4:4" ht="12.75" x14ac:dyDescent="0.2">
      <c r="D979" s="139"/>
    </row>
    <row r="980" spans="4:4" ht="12.75" x14ac:dyDescent="0.2">
      <c r="D980" s="139"/>
    </row>
    <row r="981" spans="4:4" ht="12.75" x14ac:dyDescent="0.2">
      <c r="D981" s="139"/>
    </row>
    <row r="982" spans="4:4" ht="12.75" x14ac:dyDescent="0.2">
      <c r="D982" s="139"/>
    </row>
    <row r="983" spans="4:4" ht="12.75" x14ac:dyDescent="0.2">
      <c r="D983" s="139"/>
    </row>
    <row r="984" spans="4:4" ht="12.75" x14ac:dyDescent="0.2">
      <c r="D984" s="139"/>
    </row>
    <row r="985" spans="4:4" ht="12.75" x14ac:dyDescent="0.2">
      <c r="D985" s="139"/>
    </row>
    <row r="986" spans="4:4" ht="12.75" x14ac:dyDescent="0.2">
      <c r="D986" s="139"/>
    </row>
    <row r="987" spans="4:4" ht="12.75" x14ac:dyDescent="0.2">
      <c r="D987" s="139"/>
    </row>
    <row r="988" spans="4:4" ht="12.75" x14ac:dyDescent="0.2">
      <c r="D988" s="139"/>
    </row>
    <row r="989" spans="4:4" ht="12.75" x14ac:dyDescent="0.2">
      <c r="D989" s="139"/>
    </row>
    <row r="990" spans="4:4" ht="12.75" x14ac:dyDescent="0.2">
      <c r="D990" s="139"/>
    </row>
    <row r="991" spans="4:4" ht="12.75" x14ac:dyDescent="0.2">
      <c r="D991" s="139"/>
    </row>
    <row r="992" spans="4:4" ht="12.75" x14ac:dyDescent="0.2">
      <c r="D992" s="139"/>
    </row>
    <row r="993" spans="4:4" ht="12.75" x14ac:dyDescent="0.2">
      <c r="D993" s="139"/>
    </row>
    <row r="994" spans="4:4" ht="12.75" x14ac:dyDescent="0.2">
      <c r="D994" s="139"/>
    </row>
    <row r="995" spans="4:4" ht="12.75" x14ac:dyDescent="0.2">
      <c r="D995" s="139"/>
    </row>
    <row r="996" spans="4:4" ht="12.75" x14ac:dyDescent="0.2">
      <c r="D996" s="139"/>
    </row>
    <row r="997" spans="4:4" ht="12.75" x14ac:dyDescent="0.2">
      <c r="D997" s="139"/>
    </row>
    <row r="998" spans="4:4" ht="12.75" x14ac:dyDescent="0.2">
      <c r="D998" s="139"/>
    </row>
    <row r="999" spans="4:4" ht="12.75" x14ac:dyDescent="0.2">
      <c r="D999" s="139"/>
    </row>
    <row r="1000" spans="4:4" ht="12.75" x14ac:dyDescent="0.2">
      <c r="D1000" s="139"/>
    </row>
    <row r="1001" spans="4:4" ht="12.75" x14ac:dyDescent="0.2">
      <c r="D1001" s="139"/>
    </row>
    <row r="1002" spans="4:4" ht="12.75" x14ac:dyDescent="0.2">
      <c r="D1002" s="139"/>
    </row>
    <row r="1003" spans="4:4" ht="12.75" x14ac:dyDescent="0.2">
      <c r="D1003" s="139"/>
    </row>
    <row r="1004" spans="4:4" ht="12.75" x14ac:dyDescent="0.2">
      <c r="D1004" s="139"/>
    </row>
    <row r="1005" spans="4:4" ht="12.75" x14ac:dyDescent="0.2">
      <c r="D1005" s="139"/>
    </row>
    <row r="1006" spans="4:4" ht="12.75" x14ac:dyDescent="0.2">
      <c r="D1006" s="139"/>
    </row>
    <row r="1007" spans="4:4" ht="12.75" x14ac:dyDescent="0.2">
      <c r="D1007" s="139"/>
    </row>
    <row r="1008" spans="4:4" ht="12.75" x14ac:dyDescent="0.2">
      <c r="D1008" s="139"/>
    </row>
    <row r="1009" spans="4:4" ht="12.75" x14ac:dyDescent="0.2">
      <c r="D1009" s="139"/>
    </row>
    <row r="1010" spans="4:4" ht="12.75" x14ac:dyDescent="0.2">
      <c r="D1010" s="139"/>
    </row>
    <row r="1011" spans="4:4" ht="12.75" x14ac:dyDescent="0.2">
      <c r="D1011" s="139"/>
    </row>
    <row r="1012" spans="4:4" ht="12.75" x14ac:dyDescent="0.2">
      <c r="D1012" s="139"/>
    </row>
    <row r="1013" spans="4:4" ht="12.75" x14ac:dyDescent="0.2">
      <c r="D1013" s="139"/>
    </row>
    <row r="1014" spans="4:4" ht="12.75" x14ac:dyDescent="0.2">
      <c r="D1014" s="139"/>
    </row>
    <row r="1015" spans="4:4" ht="12.75" x14ac:dyDescent="0.2">
      <c r="D1015" s="139"/>
    </row>
    <row r="1016" spans="4:4" ht="12.75" x14ac:dyDescent="0.2">
      <c r="D1016" s="139"/>
    </row>
    <row r="1017" spans="4:4" ht="12.75" x14ac:dyDescent="0.2">
      <c r="D1017" s="139"/>
    </row>
    <row r="1018" spans="4:4" ht="12.75" x14ac:dyDescent="0.2">
      <c r="D1018" s="139"/>
    </row>
    <row r="1019" spans="4:4" ht="12.75" x14ac:dyDescent="0.2">
      <c r="D1019" s="139"/>
    </row>
    <row r="1020" spans="4:4" ht="12.75" x14ac:dyDescent="0.2">
      <c r="D1020" s="139"/>
    </row>
    <row r="1021" spans="4:4" ht="12.75" x14ac:dyDescent="0.2">
      <c r="D1021" s="139"/>
    </row>
    <row r="1022" spans="4:4" ht="12.75" x14ac:dyDescent="0.2">
      <c r="D1022" s="139"/>
    </row>
    <row r="1023" spans="4:4" ht="12.75" x14ac:dyDescent="0.2">
      <c r="D1023" s="139"/>
    </row>
    <row r="1024" spans="4:4" ht="12.75" x14ac:dyDescent="0.2">
      <c r="D1024" s="139"/>
    </row>
    <row r="1025" spans="4:4" ht="12.75" x14ac:dyDescent="0.2">
      <c r="D1025" s="139"/>
    </row>
    <row r="1026" spans="4:4" ht="12.75" x14ac:dyDescent="0.2">
      <c r="D1026" s="139"/>
    </row>
    <row r="1027" spans="4:4" ht="12.75" x14ac:dyDescent="0.2">
      <c r="D1027" s="139"/>
    </row>
    <row r="1028" spans="4:4" ht="12.75" x14ac:dyDescent="0.2">
      <c r="D1028" s="139"/>
    </row>
    <row r="1029" spans="4:4" ht="12.75" x14ac:dyDescent="0.2">
      <c r="D1029" s="139"/>
    </row>
    <row r="1030" spans="4:4" ht="12.75" x14ac:dyDescent="0.2">
      <c r="D1030" s="139"/>
    </row>
    <row r="1031" spans="4:4" ht="12.75" x14ac:dyDescent="0.2">
      <c r="D1031" s="139"/>
    </row>
    <row r="1032" spans="4:4" ht="12.75" x14ac:dyDescent="0.2">
      <c r="D1032" s="139"/>
    </row>
    <row r="1033" spans="4:4" ht="12.75" x14ac:dyDescent="0.2">
      <c r="D1033" s="139"/>
    </row>
    <row r="1034" spans="4:4" ht="12.75" x14ac:dyDescent="0.2">
      <c r="D1034" s="139"/>
    </row>
    <row r="1035" spans="4:4" ht="12.75" x14ac:dyDescent="0.2">
      <c r="D1035" s="139"/>
    </row>
    <row r="1036" spans="4:4" ht="12.75" x14ac:dyDescent="0.2">
      <c r="D1036" s="139"/>
    </row>
    <row r="1037" spans="4:4" ht="12.75" x14ac:dyDescent="0.2">
      <c r="D1037" s="139"/>
    </row>
    <row r="1038" spans="4:4" ht="12.75" x14ac:dyDescent="0.2">
      <c r="D1038" s="139"/>
    </row>
    <row r="1039" spans="4:4" ht="12.75" x14ac:dyDescent="0.2">
      <c r="D1039" s="139"/>
    </row>
    <row r="1040" spans="4:4" ht="12.75" x14ac:dyDescent="0.2">
      <c r="D1040" s="139"/>
    </row>
    <row r="1041" spans="4:4" ht="12.75" x14ac:dyDescent="0.2">
      <c r="D1041" s="139"/>
    </row>
    <row r="1042" spans="4:4" ht="12.75" x14ac:dyDescent="0.2">
      <c r="D1042" s="139"/>
    </row>
    <row r="1043" spans="4:4" ht="12.75" x14ac:dyDescent="0.2">
      <c r="D1043" s="139"/>
    </row>
    <row r="1044" spans="4:4" ht="12.75" x14ac:dyDescent="0.2">
      <c r="D1044" s="139"/>
    </row>
    <row r="1045" spans="4:4" ht="12.75" x14ac:dyDescent="0.2">
      <c r="D1045" s="139"/>
    </row>
    <row r="1046" spans="4:4" ht="12.75" x14ac:dyDescent="0.2">
      <c r="D1046" s="139"/>
    </row>
    <row r="1047" spans="4:4" ht="12.75" x14ac:dyDescent="0.2">
      <c r="D1047" s="139"/>
    </row>
    <row r="1048" spans="4:4" ht="12.75" x14ac:dyDescent="0.2">
      <c r="D1048" s="139"/>
    </row>
    <row r="1049" spans="4:4" ht="12.75" x14ac:dyDescent="0.2">
      <c r="D1049" s="139"/>
    </row>
    <row r="1050" spans="4:4" ht="12.75" x14ac:dyDescent="0.2">
      <c r="D1050" s="139"/>
    </row>
    <row r="1051" spans="4:4" ht="12.75" x14ac:dyDescent="0.2">
      <c r="D1051" s="139"/>
    </row>
    <row r="1052" spans="4:4" ht="12.75" x14ac:dyDescent="0.2">
      <c r="D1052" s="139"/>
    </row>
    <row r="1053" spans="4:4" ht="12.75" x14ac:dyDescent="0.2">
      <c r="D1053" s="139"/>
    </row>
    <row r="1054" spans="4:4" ht="12.75" x14ac:dyDescent="0.2">
      <c r="D1054" s="139"/>
    </row>
    <row r="1055" spans="4:4" ht="12.75" x14ac:dyDescent="0.2">
      <c r="D1055" s="139"/>
    </row>
    <row r="1056" spans="4:4" ht="12.75" x14ac:dyDescent="0.2">
      <c r="D1056" s="139"/>
    </row>
    <row r="1057" spans="4:4" ht="12.75" x14ac:dyDescent="0.2">
      <c r="D1057" s="139"/>
    </row>
    <row r="1058" spans="4:4" ht="12.75" x14ac:dyDescent="0.2">
      <c r="D1058" s="139"/>
    </row>
    <row r="1059" spans="4:4" ht="12.75" x14ac:dyDescent="0.2">
      <c r="D1059" s="139"/>
    </row>
    <row r="1060" spans="4:4" ht="12.75" x14ac:dyDescent="0.2">
      <c r="D1060" s="139"/>
    </row>
    <row r="1061" spans="4:4" ht="12.75" x14ac:dyDescent="0.2">
      <c r="D1061" s="139"/>
    </row>
    <row r="1062" spans="4:4" ht="12.75" x14ac:dyDescent="0.2">
      <c r="D1062" s="139"/>
    </row>
    <row r="1063" spans="4:4" ht="12.75" x14ac:dyDescent="0.2">
      <c r="D1063" s="139"/>
    </row>
    <row r="1064" spans="4:4" ht="12.75" x14ac:dyDescent="0.2">
      <c r="D1064" s="139"/>
    </row>
    <row r="1065" spans="4:4" ht="12.75" x14ac:dyDescent="0.2">
      <c r="D1065" s="139"/>
    </row>
    <row r="1066" spans="4:4" ht="12.75" x14ac:dyDescent="0.2">
      <c r="D1066" s="139"/>
    </row>
    <row r="1067" spans="4:4" ht="12.75" x14ac:dyDescent="0.2">
      <c r="D1067" s="139"/>
    </row>
    <row r="1068" spans="4:4" ht="12.75" x14ac:dyDescent="0.2">
      <c r="D1068" s="139"/>
    </row>
    <row r="1069" spans="4:4" ht="12.75" x14ac:dyDescent="0.2">
      <c r="D1069" s="139"/>
    </row>
    <row r="1070" spans="4:4" ht="12.75" x14ac:dyDescent="0.2">
      <c r="D1070" s="139"/>
    </row>
    <row r="1071" spans="4:4" ht="12.75" x14ac:dyDescent="0.2">
      <c r="D1071" s="139"/>
    </row>
    <row r="1072" spans="4:4" ht="12.75" x14ac:dyDescent="0.2">
      <c r="D1072" s="139"/>
    </row>
    <row r="1073" spans="4:4" ht="12.75" x14ac:dyDescent="0.2">
      <c r="D1073" s="139"/>
    </row>
    <row r="1074" spans="4:4" ht="12.75" x14ac:dyDescent="0.2">
      <c r="D1074" s="139"/>
    </row>
    <row r="1075" spans="4:4" ht="12.75" x14ac:dyDescent="0.2">
      <c r="D1075" s="139"/>
    </row>
    <row r="1076" spans="4:4" ht="12.75" x14ac:dyDescent="0.2">
      <c r="D1076" s="139"/>
    </row>
    <row r="1077" spans="4:4" ht="12.75" x14ac:dyDescent="0.2">
      <c r="D1077" s="139"/>
    </row>
    <row r="1078" spans="4:4" ht="12.75" x14ac:dyDescent="0.2">
      <c r="D1078" s="139"/>
    </row>
    <row r="1079" spans="4:4" ht="12.75" x14ac:dyDescent="0.2">
      <c r="D1079" s="139"/>
    </row>
    <row r="1080" spans="4:4" ht="12.75" x14ac:dyDescent="0.2">
      <c r="D1080" s="139"/>
    </row>
    <row r="1081" spans="4:4" ht="12.75" x14ac:dyDescent="0.2">
      <c r="D1081" s="139"/>
    </row>
    <row r="1082" spans="4:4" ht="12.75" x14ac:dyDescent="0.2">
      <c r="D1082" s="139"/>
    </row>
    <row r="1083" spans="4:4" ht="12.75" x14ac:dyDescent="0.2">
      <c r="D1083" s="139"/>
    </row>
    <row r="1084" spans="4:4" ht="12.75" x14ac:dyDescent="0.2">
      <c r="D1084" s="139"/>
    </row>
    <row r="1085" spans="4:4" ht="12.75" x14ac:dyDescent="0.2">
      <c r="D1085" s="139"/>
    </row>
    <row r="1086" spans="4:4" ht="12.75" x14ac:dyDescent="0.2">
      <c r="D1086" s="139"/>
    </row>
    <row r="1087" spans="4:4" ht="12.75" x14ac:dyDescent="0.2">
      <c r="D1087" s="139"/>
    </row>
    <row r="1088" spans="4:4" ht="12.75" x14ac:dyDescent="0.2">
      <c r="D1088" s="139"/>
    </row>
    <row r="1089" spans="4:4" ht="12.75" x14ac:dyDescent="0.2">
      <c r="D1089" s="139"/>
    </row>
    <row r="1090" spans="4:4" ht="12.75" x14ac:dyDescent="0.2">
      <c r="D1090" s="139"/>
    </row>
    <row r="1091" spans="4:4" ht="12.75" x14ac:dyDescent="0.2">
      <c r="D1091" s="139"/>
    </row>
    <row r="1092" spans="4:4" ht="12.75" x14ac:dyDescent="0.2">
      <c r="D1092" s="139"/>
    </row>
    <row r="1093" spans="4:4" ht="12.75" x14ac:dyDescent="0.2">
      <c r="D1093" s="139"/>
    </row>
    <row r="1094" spans="4:4" ht="12.75" x14ac:dyDescent="0.2">
      <c r="D1094" s="139"/>
    </row>
    <row r="1095" spans="4:4" ht="12.75" x14ac:dyDescent="0.2">
      <c r="D1095" s="139"/>
    </row>
    <row r="1096" spans="4:4" ht="12.75" x14ac:dyDescent="0.2">
      <c r="D1096" s="139"/>
    </row>
    <row r="1097" spans="4:4" ht="12.75" x14ac:dyDescent="0.2">
      <c r="D1097" s="139"/>
    </row>
    <row r="1098" spans="4:4" ht="12.75" x14ac:dyDescent="0.2">
      <c r="D1098" s="139"/>
    </row>
    <row r="1099" spans="4:4" ht="12.75" x14ac:dyDescent="0.2">
      <c r="D1099" s="139"/>
    </row>
    <row r="1100" spans="4:4" ht="12.75" x14ac:dyDescent="0.2">
      <c r="D1100" s="139"/>
    </row>
    <row r="1101" spans="4:4" ht="12.75" x14ac:dyDescent="0.2">
      <c r="D1101" s="139"/>
    </row>
    <row r="1102" spans="4:4" ht="12.75" x14ac:dyDescent="0.2">
      <c r="D1102" s="139"/>
    </row>
    <row r="1103" spans="4:4" ht="12.75" x14ac:dyDescent="0.2">
      <c r="D1103" s="139"/>
    </row>
    <row r="1104" spans="4:4" ht="12.75" x14ac:dyDescent="0.2">
      <c r="D1104" s="139"/>
    </row>
    <row r="1105" spans="4:4" ht="12.75" x14ac:dyDescent="0.2">
      <c r="D1105" s="139"/>
    </row>
    <row r="1106" spans="4:4" ht="12.75" x14ac:dyDescent="0.2">
      <c r="D1106" s="139"/>
    </row>
    <row r="1107" spans="4:4" ht="12.75" x14ac:dyDescent="0.2">
      <c r="D1107" s="139"/>
    </row>
    <row r="1108" spans="4:4" ht="12.75" x14ac:dyDescent="0.2">
      <c r="D1108" s="139"/>
    </row>
    <row r="1109" spans="4:4" ht="12.75" x14ac:dyDescent="0.2">
      <c r="D1109" s="139"/>
    </row>
    <row r="1110" spans="4:4" ht="12.75" x14ac:dyDescent="0.2">
      <c r="D1110" s="139"/>
    </row>
    <row r="1111" spans="4:4" ht="12.75" x14ac:dyDescent="0.2">
      <c r="D1111" s="139"/>
    </row>
    <row r="1112" spans="4:4" ht="12.75" x14ac:dyDescent="0.2">
      <c r="D1112" s="139"/>
    </row>
    <row r="1113" spans="4:4" ht="12.75" x14ac:dyDescent="0.2">
      <c r="D1113" s="139"/>
    </row>
    <row r="1114" spans="4:4" ht="12.75" x14ac:dyDescent="0.2">
      <c r="D1114" s="139"/>
    </row>
    <row r="1115" spans="4:4" ht="12.75" x14ac:dyDescent="0.2">
      <c r="D1115" s="139"/>
    </row>
    <row r="1116" spans="4:4" ht="12.75" x14ac:dyDescent="0.2">
      <c r="D1116" s="139"/>
    </row>
    <row r="1117" spans="4:4" ht="12.75" x14ac:dyDescent="0.2">
      <c r="D1117" s="139"/>
    </row>
    <row r="1118" spans="4:4" ht="12.75" x14ac:dyDescent="0.2">
      <c r="D1118" s="139"/>
    </row>
    <row r="1119" spans="4:4" ht="12.75" x14ac:dyDescent="0.2">
      <c r="D1119" s="139"/>
    </row>
    <row r="1120" spans="4:4" ht="12.75" x14ac:dyDescent="0.2">
      <c r="D1120" s="139"/>
    </row>
    <row r="1121" spans="4:4" ht="12.75" x14ac:dyDescent="0.2">
      <c r="D1121" s="139"/>
    </row>
    <row r="1122" spans="4:4" ht="12.75" x14ac:dyDescent="0.2">
      <c r="D1122" s="139"/>
    </row>
    <row r="1123" spans="4:4" ht="12.75" x14ac:dyDescent="0.2">
      <c r="D1123" s="139"/>
    </row>
    <row r="1124" spans="4:4" ht="12.75" x14ac:dyDescent="0.2">
      <c r="D1124" s="139"/>
    </row>
    <row r="1125" spans="4:4" ht="12.75" x14ac:dyDescent="0.2">
      <c r="D1125" s="139"/>
    </row>
    <row r="1126" spans="4:4" ht="12.75" x14ac:dyDescent="0.2">
      <c r="D1126" s="139"/>
    </row>
    <row r="1127" spans="4:4" ht="12.75" x14ac:dyDescent="0.2">
      <c r="D1127" s="139"/>
    </row>
    <row r="1128" spans="4:4" ht="12.75" x14ac:dyDescent="0.2">
      <c r="D1128" s="139"/>
    </row>
    <row r="1129" spans="4:4" ht="12.75" x14ac:dyDescent="0.2">
      <c r="D1129" s="139"/>
    </row>
    <row r="1130" spans="4:4" ht="12.75" x14ac:dyDescent="0.2">
      <c r="D1130" s="139"/>
    </row>
    <row r="1131" spans="4:4" ht="12.75" x14ac:dyDescent="0.2">
      <c r="D1131" s="139"/>
    </row>
    <row r="1132" spans="4:4" ht="12.75" x14ac:dyDescent="0.2">
      <c r="D1132" s="139"/>
    </row>
    <row r="1133" spans="4:4" ht="12.75" x14ac:dyDescent="0.2">
      <c r="D1133" s="139"/>
    </row>
    <row r="1134" spans="4:4" ht="12.75" x14ac:dyDescent="0.2">
      <c r="D1134" s="139"/>
    </row>
    <row r="1135" spans="4:4" ht="12.75" x14ac:dyDescent="0.2">
      <c r="D1135" s="139"/>
    </row>
    <row r="1136" spans="4:4" ht="12.75" x14ac:dyDescent="0.2">
      <c r="D1136" s="139"/>
    </row>
    <row r="1137" spans="4:4" ht="12.75" x14ac:dyDescent="0.2">
      <c r="D1137" s="139"/>
    </row>
    <row r="1138" spans="4:4" ht="12.75" x14ac:dyDescent="0.2">
      <c r="D1138" s="139"/>
    </row>
    <row r="1139" spans="4:4" ht="12.75" x14ac:dyDescent="0.2">
      <c r="D1139" s="139"/>
    </row>
    <row r="1140" spans="4:4" ht="12.75" x14ac:dyDescent="0.2">
      <c r="D1140" s="139"/>
    </row>
    <row r="1141" spans="4:4" ht="12.75" x14ac:dyDescent="0.2">
      <c r="D1141" s="139"/>
    </row>
    <row r="1142" spans="4:4" ht="12.75" x14ac:dyDescent="0.2">
      <c r="D1142" s="139"/>
    </row>
    <row r="1143" spans="4:4" ht="12.75" x14ac:dyDescent="0.2">
      <c r="D1143" s="139"/>
    </row>
    <row r="1144" spans="4:4" ht="12.75" x14ac:dyDescent="0.2">
      <c r="D1144" s="139"/>
    </row>
    <row r="1145" spans="4:4" ht="12.75" x14ac:dyDescent="0.2">
      <c r="D1145" s="139"/>
    </row>
    <row r="1146" spans="4:4" ht="12.75" x14ac:dyDescent="0.2">
      <c r="D1146" s="139"/>
    </row>
    <row r="1147" spans="4:4" ht="12.75" x14ac:dyDescent="0.2">
      <c r="D1147" s="139"/>
    </row>
    <row r="1148" spans="4:4" ht="12.75" x14ac:dyDescent="0.2">
      <c r="D1148" s="139"/>
    </row>
    <row r="1149" spans="4:4" ht="12.75" x14ac:dyDescent="0.2">
      <c r="D1149" s="139"/>
    </row>
    <row r="1150" spans="4:4" ht="12.75" x14ac:dyDescent="0.2">
      <c r="D1150" s="139"/>
    </row>
    <row r="1151" spans="4:4" ht="12.75" x14ac:dyDescent="0.2">
      <c r="D1151" s="139"/>
    </row>
    <row r="1152" spans="4:4" ht="12.75" x14ac:dyDescent="0.2">
      <c r="D1152" s="139"/>
    </row>
    <row r="1153" spans="4:4" ht="12.75" x14ac:dyDescent="0.2">
      <c r="D1153" s="139"/>
    </row>
    <row r="1154" spans="4:4" ht="12.75" x14ac:dyDescent="0.2">
      <c r="D1154" s="139"/>
    </row>
    <row r="1155" spans="4:4" ht="12.75" x14ac:dyDescent="0.2">
      <c r="D1155" s="139"/>
    </row>
    <row r="1156" spans="4:4" ht="12.75" x14ac:dyDescent="0.2">
      <c r="D1156" s="139"/>
    </row>
    <row r="1157" spans="4:4" ht="12.75" x14ac:dyDescent="0.2">
      <c r="D1157" s="139"/>
    </row>
    <row r="1158" spans="4:4" ht="12.75" x14ac:dyDescent="0.2">
      <c r="D1158" s="139"/>
    </row>
    <row r="1159" spans="4:4" ht="12.75" x14ac:dyDescent="0.2">
      <c r="D1159" s="139"/>
    </row>
    <row r="1160" spans="4:4" ht="12.75" x14ac:dyDescent="0.2">
      <c r="D1160" s="139"/>
    </row>
    <row r="1161" spans="4:4" ht="12.75" x14ac:dyDescent="0.2">
      <c r="D1161" s="139"/>
    </row>
    <row r="1162" spans="4:4" ht="12.75" x14ac:dyDescent="0.2">
      <c r="D1162" s="139"/>
    </row>
    <row r="1163" spans="4:4" ht="12.75" x14ac:dyDescent="0.2">
      <c r="D1163" s="139"/>
    </row>
    <row r="1164" spans="4:4" ht="12.75" x14ac:dyDescent="0.2">
      <c r="D1164" s="139"/>
    </row>
    <row r="1165" spans="4:4" ht="12.75" x14ac:dyDescent="0.2">
      <c r="D1165" s="139"/>
    </row>
    <row r="1166" spans="4:4" ht="12.75" x14ac:dyDescent="0.2">
      <c r="D1166" s="139"/>
    </row>
    <row r="1167" spans="4:4" ht="12.75" x14ac:dyDescent="0.2">
      <c r="D1167" s="139"/>
    </row>
    <row r="1168" spans="4:4" ht="12.75" x14ac:dyDescent="0.2">
      <c r="D1168" s="139"/>
    </row>
    <row r="1169" spans="4:4" ht="12.75" x14ac:dyDescent="0.2">
      <c r="D1169" s="139"/>
    </row>
    <row r="1170" spans="4:4" ht="12.75" x14ac:dyDescent="0.2">
      <c r="D1170" s="139"/>
    </row>
    <row r="1171" spans="4:4" ht="12.75" x14ac:dyDescent="0.2">
      <c r="D1171" s="139"/>
    </row>
    <row r="1172" spans="4:4" ht="12.75" x14ac:dyDescent="0.2">
      <c r="D1172" s="139"/>
    </row>
    <row r="1173" spans="4:4" ht="12.75" x14ac:dyDescent="0.2">
      <c r="D1173" s="139"/>
    </row>
    <row r="1174" spans="4:4" ht="12.75" x14ac:dyDescent="0.2">
      <c r="D1174" s="139"/>
    </row>
    <row r="1175" spans="4:4" ht="12.75" x14ac:dyDescent="0.2">
      <c r="D1175" s="139"/>
    </row>
    <row r="1176" spans="4:4" ht="12.75" x14ac:dyDescent="0.2">
      <c r="D1176" s="139"/>
    </row>
    <row r="1177" spans="4:4" ht="12.75" x14ac:dyDescent="0.2">
      <c r="D1177" s="139"/>
    </row>
    <row r="1178" spans="4:4" ht="12.75" x14ac:dyDescent="0.2">
      <c r="D1178" s="139"/>
    </row>
    <row r="1179" spans="4:4" ht="12.75" x14ac:dyDescent="0.2">
      <c r="D1179" s="139"/>
    </row>
    <row r="1180" spans="4:4" ht="12.75" x14ac:dyDescent="0.2">
      <c r="D1180" s="139"/>
    </row>
    <row r="1181" spans="4:4" ht="12.75" x14ac:dyDescent="0.2">
      <c r="D1181" s="139"/>
    </row>
    <row r="1182" spans="4:4" ht="12.75" x14ac:dyDescent="0.2">
      <c r="D1182" s="139"/>
    </row>
    <row r="1183" spans="4:4" ht="12.75" x14ac:dyDescent="0.2">
      <c r="D1183" s="139"/>
    </row>
    <row r="1184" spans="4:4" ht="12.75" x14ac:dyDescent="0.2">
      <c r="D1184" s="139"/>
    </row>
    <row r="1185" spans="4:4" ht="12.75" x14ac:dyDescent="0.2">
      <c r="D1185" s="139"/>
    </row>
    <row r="1186" spans="4:4" ht="12.75" x14ac:dyDescent="0.2">
      <c r="D1186" s="139"/>
    </row>
    <row r="1187" spans="4:4" ht="12.75" x14ac:dyDescent="0.2">
      <c r="D1187" s="139"/>
    </row>
    <row r="1188" spans="4:4" ht="12.75" x14ac:dyDescent="0.2">
      <c r="D1188" s="139"/>
    </row>
    <row r="1189" spans="4:4" ht="12.75" x14ac:dyDescent="0.2">
      <c r="D1189" s="139"/>
    </row>
    <row r="1190" spans="4:4" ht="12.75" x14ac:dyDescent="0.2">
      <c r="D1190" s="139"/>
    </row>
    <row r="1191" spans="4:4" ht="12.75" x14ac:dyDescent="0.2">
      <c r="D1191" s="139"/>
    </row>
    <row r="1192" spans="4:4" ht="12.75" x14ac:dyDescent="0.2">
      <c r="D1192" s="139"/>
    </row>
    <row r="1193" spans="4:4" ht="12.75" x14ac:dyDescent="0.2">
      <c r="D1193" s="139"/>
    </row>
    <row r="1194" spans="4:4" ht="12.75" x14ac:dyDescent="0.2">
      <c r="D1194" s="139"/>
    </row>
    <row r="1195" spans="4:4" ht="12.75" x14ac:dyDescent="0.2">
      <c r="D1195" s="139"/>
    </row>
    <row r="1196" spans="4:4" ht="12.75" x14ac:dyDescent="0.2">
      <c r="D1196" s="139"/>
    </row>
    <row r="1197" spans="4:4" ht="12.75" x14ac:dyDescent="0.2">
      <c r="D1197" s="139"/>
    </row>
    <row r="1198" spans="4:4" ht="12.75" x14ac:dyDescent="0.2">
      <c r="D1198" s="139"/>
    </row>
    <row r="1199" spans="4:4" ht="12.75" x14ac:dyDescent="0.2">
      <c r="D1199" s="139"/>
    </row>
    <row r="1200" spans="4:4" ht="12.75" x14ac:dyDescent="0.2">
      <c r="D1200" s="139"/>
    </row>
    <row r="1201" spans="4:4" ht="12.75" x14ac:dyDescent="0.2">
      <c r="D1201" s="139"/>
    </row>
    <row r="1202" spans="4:4" ht="12.75" x14ac:dyDescent="0.2">
      <c r="D1202" s="139"/>
    </row>
    <row r="1203" spans="4:4" ht="12.75" x14ac:dyDescent="0.2">
      <c r="D1203" s="139"/>
    </row>
    <row r="1204" spans="4:4" ht="12.75" x14ac:dyDescent="0.2">
      <c r="D1204" s="139"/>
    </row>
    <row r="1205" spans="4:4" ht="12.75" x14ac:dyDescent="0.2">
      <c r="D1205" s="139"/>
    </row>
    <row r="1206" spans="4:4" ht="12.75" x14ac:dyDescent="0.2">
      <c r="D1206" s="139"/>
    </row>
    <row r="1207" spans="4:4" ht="12.75" x14ac:dyDescent="0.2">
      <c r="D1207" s="139"/>
    </row>
    <row r="1208" spans="4:4" ht="12.75" x14ac:dyDescent="0.2">
      <c r="D1208" s="139"/>
    </row>
    <row r="1209" spans="4:4" ht="12.75" x14ac:dyDescent="0.2">
      <c r="D1209" s="139"/>
    </row>
    <row r="1210" spans="4:4" ht="12.75" x14ac:dyDescent="0.2">
      <c r="D1210" s="139"/>
    </row>
    <row r="1211" spans="4:4" ht="12.75" x14ac:dyDescent="0.2">
      <c r="D1211" s="139"/>
    </row>
    <row r="1212" spans="4:4" ht="12.75" x14ac:dyDescent="0.2">
      <c r="D1212" s="139"/>
    </row>
    <row r="1213" spans="4:4" ht="12.75" x14ac:dyDescent="0.2">
      <c r="D1213" s="139"/>
    </row>
    <row r="1214" spans="4:4" ht="12.75" x14ac:dyDescent="0.2">
      <c r="D1214" s="139"/>
    </row>
    <row r="1215" spans="4:4" ht="12.75" x14ac:dyDescent="0.2">
      <c r="D1215" s="139"/>
    </row>
    <row r="1216" spans="4:4" ht="12.75" x14ac:dyDescent="0.2">
      <c r="D1216" s="139"/>
    </row>
    <row r="1217" spans="4:4" ht="12.75" x14ac:dyDescent="0.2">
      <c r="D1217" s="139"/>
    </row>
    <row r="1218" spans="4:4" ht="12.75" x14ac:dyDescent="0.2">
      <c r="D1218" s="139"/>
    </row>
    <row r="1219" spans="4:4" ht="12.75" x14ac:dyDescent="0.2">
      <c r="D1219" s="139"/>
    </row>
    <row r="1220" spans="4:4" ht="12.75" x14ac:dyDescent="0.2">
      <c r="D1220" s="139"/>
    </row>
    <row r="1221" spans="4:4" ht="12.75" x14ac:dyDescent="0.2">
      <c r="D1221" s="139"/>
    </row>
    <row r="1222" spans="4:4" ht="12.75" x14ac:dyDescent="0.2">
      <c r="D1222" s="139"/>
    </row>
    <row r="1223" spans="4:4" ht="12.75" x14ac:dyDescent="0.2">
      <c r="D1223" s="139"/>
    </row>
    <row r="1224" spans="4:4" ht="12.75" x14ac:dyDescent="0.2">
      <c r="D1224" s="139"/>
    </row>
    <row r="1225" spans="4:4" ht="12.75" x14ac:dyDescent="0.2">
      <c r="D1225" s="139"/>
    </row>
    <row r="1226" spans="4:4" ht="12.75" x14ac:dyDescent="0.2">
      <c r="D1226" s="139"/>
    </row>
    <row r="1227" spans="4:4" ht="12.75" x14ac:dyDescent="0.2">
      <c r="D1227" s="139"/>
    </row>
    <row r="1228" spans="4:4" ht="12.75" x14ac:dyDescent="0.2">
      <c r="D1228" s="139"/>
    </row>
    <row r="1229" spans="4:4" ht="12.75" x14ac:dyDescent="0.2">
      <c r="D1229" s="139"/>
    </row>
    <row r="1230" spans="4:4" ht="12.75" x14ac:dyDescent="0.2">
      <c r="D1230" s="139"/>
    </row>
    <row r="1231" spans="4:4" ht="12.75" x14ac:dyDescent="0.2">
      <c r="D1231" s="139"/>
    </row>
    <row r="1232" spans="4:4" ht="12.75" x14ac:dyDescent="0.2">
      <c r="D1232" s="139"/>
    </row>
    <row r="1233" spans="4:4" ht="12.75" x14ac:dyDescent="0.2">
      <c r="D1233" s="139"/>
    </row>
    <row r="1234" spans="4:4" ht="12.75" x14ac:dyDescent="0.2">
      <c r="D1234" s="139"/>
    </row>
    <row r="1235" spans="4:4" ht="12.75" x14ac:dyDescent="0.2">
      <c r="D1235" s="139"/>
    </row>
    <row r="1236" spans="4:4" ht="12.75" x14ac:dyDescent="0.2">
      <c r="D1236" s="139"/>
    </row>
    <row r="1237" spans="4:4" ht="12.75" x14ac:dyDescent="0.2">
      <c r="D1237" s="139"/>
    </row>
    <row r="1238" spans="4:4" ht="12.75" x14ac:dyDescent="0.2">
      <c r="D1238" s="139"/>
    </row>
    <row r="1239" spans="4:4" ht="12.75" x14ac:dyDescent="0.2">
      <c r="D1239" s="139"/>
    </row>
    <row r="1240" spans="4:4" ht="12.75" x14ac:dyDescent="0.2">
      <c r="D1240" s="139"/>
    </row>
    <row r="1241" spans="4:4" ht="12.75" x14ac:dyDescent="0.2">
      <c r="D1241" s="139"/>
    </row>
    <row r="1242" spans="4:4" ht="12.75" x14ac:dyDescent="0.2">
      <c r="D1242" s="139"/>
    </row>
    <row r="1243" spans="4:4" ht="12.75" x14ac:dyDescent="0.2">
      <c r="D1243" s="139"/>
    </row>
    <row r="1244" spans="4:4" ht="12.75" x14ac:dyDescent="0.2">
      <c r="D1244" s="139"/>
    </row>
    <row r="1245" spans="4:4" ht="12.75" x14ac:dyDescent="0.2">
      <c r="D1245" s="139"/>
    </row>
    <row r="1246" spans="4:4" ht="12.75" x14ac:dyDescent="0.2">
      <c r="D1246" s="139"/>
    </row>
    <row r="1247" spans="4:4" ht="12.75" x14ac:dyDescent="0.2">
      <c r="D1247" s="139"/>
    </row>
    <row r="1248" spans="4:4" ht="12.75" x14ac:dyDescent="0.2">
      <c r="D1248" s="139"/>
    </row>
    <row r="1249" spans="4:4" ht="12.75" x14ac:dyDescent="0.2">
      <c r="D1249" s="139"/>
    </row>
    <row r="1250" spans="4:4" ht="12.75" x14ac:dyDescent="0.2">
      <c r="D1250" s="139"/>
    </row>
    <row r="1251" spans="4:4" ht="12.75" x14ac:dyDescent="0.2">
      <c r="D1251" s="139"/>
    </row>
    <row r="1252" spans="4:4" ht="12.75" x14ac:dyDescent="0.2">
      <c r="D1252" s="139"/>
    </row>
    <row r="1253" spans="4:4" ht="12.75" x14ac:dyDescent="0.2">
      <c r="D1253" s="139"/>
    </row>
    <row r="1254" spans="4:4" ht="12.75" x14ac:dyDescent="0.2">
      <c r="D1254" s="139"/>
    </row>
    <row r="1255" spans="4:4" ht="12.75" x14ac:dyDescent="0.2">
      <c r="D1255" s="139"/>
    </row>
    <row r="1256" spans="4:4" ht="12.75" x14ac:dyDescent="0.2">
      <c r="D1256" s="139"/>
    </row>
    <row r="1257" spans="4:4" ht="12.75" x14ac:dyDescent="0.2">
      <c r="D1257" s="139"/>
    </row>
    <row r="1258" spans="4:4" ht="12.75" x14ac:dyDescent="0.2">
      <c r="D1258" s="139"/>
    </row>
    <row r="1259" spans="4:4" ht="12.75" x14ac:dyDescent="0.2">
      <c r="D1259" s="139"/>
    </row>
    <row r="1260" spans="4:4" ht="12.75" x14ac:dyDescent="0.2">
      <c r="D1260" s="139"/>
    </row>
    <row r="1261" spans="4:4" ht="12.75" x14ac:dyDescent="0.2">
      <c r="D1261" s="139"/>
    </row>
    <row r="1262" spans="4:4" ht="12.75" x14ac:dyDescent="0.2">
      <c r="D1262" s="139"/>
    </row>
    <row r="1263" spans="4:4" ht="12.75" x14ac:dyDescent="0.2">
      <c r="D1263" s="139"/>
    </row>
    <row r="1264" spans="4:4" ht="12.75" x14ac:dyDescent="0.2">
      <c r="D1264" s="139"/>
    </row>
    <row r="1265" spans="4:4" ht="12.75" x14ac:dyDescent="0.2">
      <c r="D1265" s="139"/>
    </row>
    <row r="1266" spans="4:4" ht="12.75" x14ac:dyDescent="0.2">
      <c r="D1266" s="139"/>
    </row>
    <row r="1267" spans="4:4" ht="12.75" x14ac:dyDescent="0.2">
      <c r="D1267" s="139"/>
    </row>
    <row r="1268" spans="4:4" ht="12.75" x14ac:dyDescent="0.2">
      <c r="D1268" s="139"/>
    </row>
    <row r="1269" spans="4:4" ht="12.75" x14ac:dyDescent="0.2">
      <c r="D1269" s="139"/>
    </row>
    <row r="1270" spans="4:4" ht="12.75" x14ac:dyDescent="0.2">
      <c r="D1270" s="139"/>
    </row>
    <row r="1271" spans="4:4" ht="12.75" x14ac:dyDescent="0.2">
      <c r="D1271" s="139"/>
    </row>
    <row r="1272" spans="4:4" ht="12.75" x14ac:dyDescent="0.2">
      <c r="D1272" s="139"/>
    </row>
    <row r="1273" spans="4:4" ht="12.75" x14ac:dyDescent="0.2">
      <c r="D1273" s="139"/>
    </row>
    <row r="1274" spans="4:4" ht="12.75" x14ac:dyDescent="0.2">
      <c r="D1274" s="139"/>
    </row>
    <row r="1275" spans="4:4" ht="12.75" x14ac:dyDescent="0.2">
      <c r="D1275" s="139"/>
    </row>
    <row r="1276" spans="4:4" ht="12.75" x14ac:dyDescent="0.2">
      <c r="D1276" s="139"/>
    </row>
    <row r="1277" spans="4:4" ht="12.75" x14ac:dyDescent="0.2">
      <c r="D1277" s="139"/>
    </row>
    <row r="1278" spans="4:4" ht="12.75" x14ac:dyDescent="0.2">
      <c r="D1278" s="139"/>
    </row>
    <row r="1279" spans="4:4" ht="12.75" x14ac:dyDescent="0.2">
      <c r="D1279" s="139"/>
    </row>
    <row r="1280" spans="4:4" ht="12.75" x14ac:dyDescent="0.2">
      <c r="D1280" s="139"/>
    </row>
    <row r="1281" spans="4:4" ht="12.75" x14ac:dyDescent="0.2">
      <c r="D1281" s="139"/>
    </row>
    <row r="1282" spans="4:4" ht="12.75" x14ac:dyDescent="0.2">
      <c r="D1282" s="139"/>
    </row>
    <row r="1283" spans="4:4" ht="12.75" x14ac:dyDescent="0.2">
      <c r="D1283" s="139"/>
    </row>
    <row r="1284" spans="4:4" ht="12.75" x14ac:dyDescent="0.2">
      <c r="D1284" s="139"/>
    </row>
    <row r="1285" spans="4:4" ht="12.75" x14ac:dyDescent="0.2">
      <c r="D1285" s="139"/>
    </row>
    <row r="1286" spans="4:4" ht="12.75" x14ac:dyDescent="0.2">
      <c r="D1286" s="139"/>
    </row>
    <row r="1287" spans="4:4" ht="12.75" x14ac:dyDescent="0.2">
      <c r="D1287" s="139"/>
    </row>
    <row r="1288" spans="4:4" ht="12.75" x14ac:dyDescent="0.2">
      <c r="D1288" s="139"/>
    </row>
    <row r="1289" spans="4:4" ht="12.75" x14ac:dyDescent="0.2">
      <c r="D1289" s="139"/>
    </row>
    <row r="1290" spans="4:4" ht="12.75" x14ac:dyDescent="0.2">
      <c r="D1290" s="139"/>
    </row>
    <row r="1291" spans="4:4" ht="12.75" x14ac:dyDescent="0.2">
      <c r="D1291" s="139"/>
    </row>
    <row r="1292" spans="4:4" ht="12.75" x14ac:dyDescent="0.2">
      <c r="D1292" s="139"/>
    </row>
    <row r="1293" spans="4:4" ht="12.75" x14ac:dyDescent="0.2">
      <c r="D1293" s="139"/>
    </row>
    <row r="1294" spans="4:4" ht="12.75" x14ac:dyDescent="0.2">
      <c r="D1294" s="139"/>
    </row>
    <row r="1295" spans="4:4" ht="12.75" x14ac:dyDescent="0.2">
      <c r="D1295" s="139"/>
    </row>
    <row r="1296" spans="4:4" ht="12.75" x14ac:dyDescent="0.2">
      <c r="D1296" s="139"/>
    </row>
    <row r="1297" spans="4:4" ht="12.75" x14ac:dyDescent="0.2">
      <c r="D1297" s="139"/>
    </row>
    <row r="1298" spans="4:4" ht="12.75" x14ac:dyDescent="0.2">
      <c r="D1298" s="139"/>
    </row>
    <row r="1299" spans="4:4" ht="12.75" x14ac:dyDescent="0.2">
      <c r="D1299" s="139"/>
    </row>
    <row r="1300" spans="4:4" ht="12.75" x14ac:dyDescent="0.2">
      <c r="D1300" s="139"/>
    </row>
    <row r="1301" spans="4:4" ht="12.75" x14ac:dyDescent="0.2">
      <c r="D1301" s="139"/>
    </row>
    <row r="1302" spans="4:4" ht="12.75" x14ac:dyDescent="0.2">
      <c r="D1302" s="139"/>
    </row>
    <row r="1303" spans="4:4" ht="12.75" x14ac:dyDescent="0.2">
      <c r="D1303" s="139"/>
    </row>
    <row r="1304" spans="4:4" ht="12.75" x14ac:dyDescent="0.2">
      <c r="D1304" s="139"/>
    </row>
    <row r="1305" spans="4:4" ht="12.75" x14ac:dyDescent="0.2">
      <c r="D1305" s="139"/>
    </row>
    <row r="1306" spans="4:4" ht="12.75" x14ac:dyDescent="0.2">
      <c r="D1306" s="139"/>
    </row>
    <row r="1307" spans="4:4" ht="12.75" x14ac:dyDescent="0.2">
      <c r="D1307" s="139"/>
    </row>
    <row r="1308" spans="4:4" ht="12.75" x14ac:dyDescent="0.2">
      <c r="D1308" s="139"/>
    </row>
    <row r="1309" spans="4:4" ht="12.75" x14ac:dyDescent="0.2">
      <c r="D1309" s="139"/>
    </row>
    <row r="1310" spans="4:4" ht="12.75" x14ac:dyDescent="0.2">
      <c r="D1310" s="139"/>
    </row>
    <row r="1311" spans="4:4" ht="12.75" x14ac:dyDescent="0.2">
      <c r="D1311" s="139"/>
    </row>
    <row r="1312" spans="4:4" ht="12.75" x14ac:dyDescent="0.2">
      <c r="D1312" s="139"/>
    </row>
    <row r="1313" spans="4:4" ht="12.75" x14ac:dyDescent="0.2">
      <c r="D1313" s="139"/>
    </row>
    <row r="1314" spans="4:4" ht="12.75" x14ac:dyDescent="0.2">
      <c r="D1314" s="139"/>
    </row>
    <row r="1315" spans="4:4" ht="12.75" x14ac:dyDescent="0.2">
      <c r="D1315" s="139"/>
    </row>
    <row r="1316" spans="4:4" ht="12.75" x14ac:dyDescent="0.2">
      <c r="D1316" s="139"/>
    </row>
    <row r="1317" spans="4:4" ht="12.75" x14ac:dyDescent="0.2">
      <c r="D1317" s="139"/>
    </row>
    <row r="1318" spans="4:4" ht="12.75" x14ac:dyDescent="0.2">
      <c r="D1318" s="139"/>
    </row>
    <row r="1319" spans="4:4" ht="12.75" x14ac:dyDescent="0.2">
      <c r="D1319" s="139"/>
    </row>
    <row r="1320" spans="4:4" ht="12.75" x14ac:dyDescent="0.2">
      <c r="D1320" s="139"/>
    </row>
    <row r="1321" spans="4:4" ht="12.75" x14ac:dyDescent="0.2">
      <c r="D1321" s="139"/>
    </row>
    <row r="1322" spans="4:4" ht="12.75" x14ac:dyDescent="0.2">
      <c r="D1322" s="139"/>
    </row>
    <row r="1323" spans="4:4" ht="12.75" x14ac:dyDescent="0.2">
      <c r="D1323" s="139"/>
    </row>
    <row r="1324" spans="4:4" ht="12.75" x14ac:dyDescent="0.2">
      <c r="D1324" s="139"/>
    </row>
    <row r="1325" spans="4:4" ht="12.75" x14ac:dyDescent="0.2">
      <c r="D1325" s="139"/>
    </row>
    <row r="1326" spans="4:4" ht="12.75" x14ac:dyDescent="0.2">
      <c r="D1326" s="139"/>
    </row>
    <row r="1327" spans="4:4" ht="12.75" x14ac:dyDescent="0.2">
      <c r="D1327" s="139"/>
    </row>
    <row r="1328" spans="4:4" ht="12.75" x14ac:dyDescent="0.2">
      <c r="D1328" s="139"/>
    </row>
    <row r="1329" spans="4:4" ht="12.75" x14ac:dyDescent="0.2">
      <c r="D1329" s="139"/>
    </row>
    <row r="1330" spans="4:4" ht="12.75" x14ac:dyDescent="0.2">
      <c r="D1330" s="139"/>
    </row>
    <row r="1331" spans="4:4" ht="12.75" x14ac:dyDescent="0.2">
      <c r="D1331" s="139"/>
    </row>
    <row r="1332" spans="4:4" ht="12.75" x14ac:dyDescent="0.2">
      <c r="D1332" s="139"/>
    </row>
    <row r="1333" spans="4:4" ht="12.75" x14ac:dyDescent="0.2">
      <c r="D1333" s="139"/>
    </row>
    <row r="1334" spans="4:4" ht="12.75" x14ac:dyDescent="0.2">
      <c r="D1334" s="139"/>
    </row>
    <row r="1335" spans="4:4" ht="12.75" x14ac:dyDescent="0.2">
      <c r="D1335" s="139"/>
    </row>
    <row r="1336" spans="4:4" ht="12.75" x14ac:dyDescent="0.2">
      <c r="D1336" s="139"/>
    </row>
    <row r="1337" spans="4:4" ht="12.75" x14ac:dyDescent="0.2">
      <c r="D1337" s="139"/>
    </row>
    <row r="1338" spans="4:4" ht="12.75" x14ac:dyDescent="0.2">
      <c r="D1338" s="139"/>
    </row>
    <row r="1339" spans="4:4" ht="12.75" x14ac:dyDescent="0.2">
      <c r="D1339" s="139"/>
    </row>
    <row r="1340" spans="4:4" ht="12.75" x14ac:dyDescent="0.2">
      <c r="D1340" s="139"/>
    </row>
    <row r="1341" spans="4:4" ht="12.75" x14ac:dyDescent="0.2">
      <c r="D1341" s="139"/>
    </row>
    <row r="1342" spans="4:4" ht="12.75" x14ac:dyDescent="0.2">
      <c r="D1342" s="139"/>
    </row>
    <row r="1343" spans="4:4" ht="12.75" x14ac:dyDescent="0.2">
      <c r="D1343" s="139"/>
    </row>
    <row r="1344" spans="4:4" ht="12.75" x14ac:dyDescent="0.2">
      <c r="D1344" s="139"/>
    </row>
    <row r="1345" spans="4:4" ht="12.75" x14ac:dyDescent="0.2">
      <c r="D1345" s="139"/>
    </row>
    <row r="1346" spans="4:4" ht="12.75" x14ac:dyDescent="0.2">
      <c r="D1346" s="139"/>
    </row>
    <row r="1347" spans="4:4" ht="12.75" x14ac:dyDescent="0.2">
      <c r="D1347" s="139"/>
    </row>
    <row r="1348" spans="4:4" ht="12.75" x14ac:dyDescent="0.2">
      <c r="D1348" s="139"/>
    </row>
    <row r="1349" spans="4:4" ht="12.75" x14ac:dyDescent="0.2">
      <c r="D1349" s="139"/>
    </row>
    <row r="1350" spans="4:4" ht="12.75" x14ac:dyDescent="0.2">
      <c r="D1350" s="139"/>
    </row>
    <row r="1351" spans="4:4" ht="12.75" x14ac:dyDescent="0.2">
      <c r="D1351" s="139"/>
    </row>
    <row r="1352" spans="4:4" ht="12.75" x14ac:dyDescent="0.2">
      <c r="D1352" s="139"/>
    </row>
    <row r="1353" spans="4:4" ht="12.75" x14ac:dyDescent="0.2">
      <c r="D1353" s="139"/>
    </row>
    <row r="1354" spans="4:4" ht="12.75" x14ac:dyDescent="0.2">
      <c r="D1354" s="139"/>
    </row>
    <row r="1355" spans="4:4" ht="12.75" x14ac:dyDescent="0.2">
      <c r="D1355" s="139"/>
    </row>
    <row r="1356" spans="4:4" ht="12.75" x14ac:dyDescent="0.2">
      <c r="D1356" s="139"/>
    </row>
    <row r="1357" spans="4:4" ht="12.75" x14ac:dyDescent="0.2">
      <c r="D1357" s="139"/>
    </row>
    <row r="1358" spans="4:4" ht="12.75" x14ac:dyDescent="0.2">
      <c r="D1358" s="139"/>
    </row>
    <row r="1359" spans="4:4" ht="12.75" x14ac:dyDescent="0.2">
      <c r="D1359" s="139"/>
    </row>
    <row r="1360" spans="4:4" ht="12.75" x14ac:dyDescent="0.2">
      <c r="D1360" s="139"/>
    </row>
    <row r="1361" spans="4:4" ht="12.75" x14ac:dyDescent="0.2">
      <c r="D1361" s="139"/>
    </row>
    <row r="1362" spans="4:4" ht="12.75" x14ac:dyDescent="0.2">
      <c r="D1362" s="139"/>
    </row>
    <row r="1363" spans="4:4" ht="12.75" x14ac:dyDescent="0.2">
      <c r="D1363" s="139"/>
    </row>
    <row r="1364" spans="4:4" ht="12.75" x14ac:dyDescent="0.2">
      <c r="D1364" s="139"/>
    </row>
    <row r="1365" spans="4:4" ht="12.75" x14ac:dyDescent="0.2">
      <c r="D1365" s="139"/>
    </row>
    <row r="1366" spans="4:4" ht="12.75" x14ac:dyDescent="0.2">
      <c r="D1366" s="139"/>
    </row>
    <row r="1367" spans="4:4" ht="12.75" x14ac:dyDescent="0.2">
      <c r="D1367" s="139"/>
    </row>
    <row r="1368" spans="4:4" ht="12.75" x14ac:dyDescent="0.2">
      <c r="D1368" s="139"/>
    </row>
    <row r="1369" spans="4:4" ht="12.75" x14ac:dyDescent="0.2">
      <c r="D1369" s="139"/>
    </row>
    <row r="1370" spans="4:4" ht="12.75" x14ac:dyDescent="0.2">
      <c r="D1370" s="139"/>
    </row>
    <row r="1371" spans="4:4" ht="12.75" x14ac:dyDescent="0.2">
      <c r="D1371" s="139"/>
    </row>
    <row r="1372" spans="4:4" ht="12.75" x14ac:dyDescent="0.2">
      <c r="D1372" s="139"/>
    </row>
    <row r="1373" spans="4:4" ht="12.75" x14ac:dyDescent="0.2">
      <c r="D1373" s="139"/>
    </row>
    <row r="1374" spans="4:4" ht="12.75" x14ac:dyDescent="0.2">
      <c r="D1374" s="139"/>
    </row>
    <row r="1375" spans="4:4" ht="12.75" x14ac:dyDescent="0.2">
      <c r="D1375" s="139"/>
    </row>
    <row r="1376" spans="4:4" ht="12.75" x14ac:dyDescent="0.2">
      <c r="D1376" s="139"/>
    </row>
    <row r="1377" spans="4:4" ht="12.75" x14ac:dyDescent="0.2">
      <c r="D1377" s="139"/>
    </row>
    <row r="1378" spans="4:4" ht="12.75" x14ac:dyDescent="0.2">
      <c r="D1378" s="139"/>
    </row>
    <row r="1379" spans="4:4" ht="12.75" x14ac:dyDescent="0.2">
      <c r="D1379" s="139"/>
    </row>
    <row r="1380" spans="4:4" ht="12.75" x14ac:dyDescent="0.2">
      <c r="D1380" s="139"/>
    </row>
    <row r="1381" spans="4:4" ht="12.75" x14ac:dyDescent="0.2">
      <c r="D1381" s="139"/>
    </row>
    <row r="1382" spans="4:4" ht="12.75" x14ac:dyDescent="0.2">
      <c r="D1382" s="139"/>
    </row>
    <row r="1383" spans="4:4" ht="12.75" x14ac:dyDescent="0.2">
      <c r="D1383" s="139"/>
    </row>
    <row r="1384" spans="4:4" ht="12.75" x14ac:dyDescent="0.2">
      <c r="D1384" s="139"/>
    </row>
    <row r="1385" spans="4:4" ht="12.75" x14ac:dyDescent="0.2">
      <c r="D1385" s="139"/>
    </row>
    <row r="1386" spans="4:4" ht="12.75" x14ac:dyDescent="0.2">
      <c r="D1386" s="139"/>
    </row>
    <row r="1387" spans="4:4" ht="12.75" x14ac:dyDescent="0.2">
      <c r="D1387" s="139"/>
    </row>
    <row r="1388" spans="4:4" ht="12.75" x14ac:dyDescent="0.2">
      <c r="D1388" s="139"/>
    </row>
    <row r="1389" spans="4:4" ht="12.75" x14ac:dyDescent="0.2">
      <c r="D1389" s="139"/>
    </row>
    <row r="1390" spans="4:4" ht="12.75" x14ac:dyDescent="0.2">
      <c r="D1390" s="139"/>
    </row>
    <row r="1391" spans="4:4" ht="12.75" x14ac:dyDescent="0.2">
      <c r="D1391" s="139"/>
    </row>
    <row r="1392" spans="4:4" ht="12.75" x14ac:dyDescent="0.2">
      <c r="D1392" s="139"/>
    </row>
    <row r="1393" spans="4:4" ht="12.75" x14ac:dyDescent="0.2">
      <c r="D1393" s="139"/>
    </row>
    <row r="1394" spans="4:4" ht="12.75" x14ac:dyDescent="0.2">
      <c r="D1394" s="139"/>
    </row>
    <row r="1395" spans="4:4" ht="12.75" x14ac:dyDescent="0.2">
      <c r="D1395" s="139"/>
    </row>
    <row r="1396" spans="4:4" ht="12.75" x14ac:dyDescent="0.2">
      <c r="D1396" s="139"/>
    </row>
    <row r="1397" spans="4:4" ht="12.75" x14ac:dyDescent="0.2">
      <c r="D1397" s="139"/>
    </row>
    <row r="1398" spans="4:4" ht="12.75" x14ac:dyDescent="0.2">
      <c r="D1398" s="139"/>
    </row>
    <row r="1399" spans="4:4" ht="12.75" x14ac:dyDescent="0.2">
      <c r="D1399" s="139"/>
    </row>
    <row r="1400" spans="4:4" ht="12.75" x14ac:dyDescent="0.2">
      <c r="D1400" s="139"/>
    </row>
    <row r="1401" spans="4:4" ht="12.75" x14ac:dyDescent="0.2">
      <c r="D1401" s="139"/>
    </row>
    <row r="1402" spans="4:4" ht="12.75" x14ac:dyDescent="0.2">
      <c r="D1402" s="139"/>
    </row>
    <row r="1403" spans="4:4" ht="12.75" x14ac:dyDescent="0.2">
      <c r="D1403" s="139"/>
    </row>
    <row r="1404" spans="4:4" ht="12.75" x14ac:dyDescent="0.2">
      <c r="D1404" s="139"/>
    </row>
    <row r="1405" spans="4:4" ht="12.75" x14ac:dyDescent="0.2">
      <c r="D1405" s="139"/>
    </row>
    <row r="1406" spans="4:4" ht="12.75" x14ac:dyDescent="0.2">
      <c r="D1406" s="139"/>
    </row>
    <row r="1407" spans="4:4" ht="12.75" x14ac:dyDescent="0.2">
      <c r="D1407" s="139"/>
    </row>
    <row r="1408" spans="4:4" ht="12.75" x14ac:dyDescent="0.2">
      <c r="D1408" s="139"/>
    </row>
    <row r="1409" spans="4:4" ht="12.75" x14ac:dyDescent="0.2">
      <c r="D1409" s="139"/>
    </row>
    <row r="1410" spans="4:4" ht="12.75" x14ac:dyDescent="0.2">
      <c r="D1410" s="139"/>
    </row>
    <row r="1411" spans="4:4" ht="12.75" x14ac:dyDescent="0.2">
      <c r="D1411" s="139"/>
    </row>
    <row r="1412" spans="4:4" ht="12.75" x14ac:dyDescent="0.2">
      <c r="D1412" s="139"/>
    </row>
    <row r="1413" spans="4:4" ht="12.75" x14ac:dyDescent="0.2">
      <c r="D1413" s="139"/>
    </row>
    <row r="1414" spans="4:4" ht="12.75" x14ac:dyDescent="0.2">
      <c r="D1414" s="139"/>
    </row>
    <row r="1415" spans="4:4" ht="12.75" x14ac:dyDescent="0.2">
      <c r="D1415" s="139"/>
    </row>
    <row r="1416" spans="4:4" ht="12.75" x14ac:dyDescent="0.2">
      <c r="D1416" s="139"/>
    </row>
    <row r="1417" spans="4:4" ht="12.75" x14ac:dyDescent="0.2">
      <c r="D1417" s="139"/>
    </row>
    <row r="1418" spans="4:4" ht="12.75" x14ac:dyDescent="0.2">
      <c r="D1418" s="139"/>
    </row>
    <row r="1419" spans="4:4" ht="12.75" x14ac:dyDescent="0.2">
      <c r="D1419" s="139"/>
    </row>
    <row r="1420" spans="4:4" ht="12.75" x14ac:dyDescent="0.2">
      <c r="D1420" s="139"/>
    </row>
    <row r="1421" spans="4:4" ht="12.75" x14ac:dyDescent="0.2">
      <c r="D1421" s="139"/>
    </row>
    <row r="1422" spans="4:4" ht="12.75" x14ac:dyDescent="0.2">
      <c r="D1422" s="139"/>
    </row>
    <row r="1423" spans="4:4" ht="12.75" x14ac:dyDescent="0.2">
      <c r="D1423" s="139"/>
    </row>
    <row r="1424" spans="4:4" ht="12.75" x14ac:dyDescent="0.2">
      <c r="D1424" s="139"/>
    </row>
    <row r="1425" spans="4:4" ht="12.75" x14ac:dyDescent="0.2">
      <c r="D1425" s="139"/>
    </row>
    <row r="1426" spans="4:4" ht="12.75" x14ac:dyDescent="0.2">
      <c r="D1426" s="139"/>
    </row>
    <row r="1427" spans="4:4" ht="12.75" x14ac:dyDescent="0.2">
      <c r="D1427" s="139"/>
    </row>
    <row r="1428" spans="4:4" ht="12.75" x14ac:dyDescent="0.2">
      <c r="D1428" s="139"/>
    </row>
    <row r="1429" spans="4:4" ht="12.75" x14ac:dyDescent="0.2">
      <c r="D1429" s="139"/>
    </row>
    <row r="1430" spans="4:4" ht="12.75" x14ac:dyDescent="0.2">
      <c r="D1430" s="139"/>
    </row>
    <row r="1431" spans="4:4" ht="12.75" x14ac:dyDescent="0.2">
      <c r="D1431" s="139"/>
    </row>
    <row r="1432" spans="4:4" ht="12.75" x14ac:dyDescent="0.2">
      <c r="D1432" s="139"/>
    </row>
    <row r="1433" spans="4:4" ht="12.75" x14ac:dyDescent="0.2">
      <c r="D1433" s="139"/>
    </row>
    <row r="1434" spans="4:4" ht="12.75" x14ac:dyDescent="0.2">
      <c r="D1434" s="139"/>
    </row>
    <row r="1435" spans="4:4" ht="12.75" x14ac:dyDescent="0.2">
      <c r="D1435" s="139"/>
    </row>
    <row r="1436" spans="4:4" ht="12.75" x14ac:dyDescent="0.2">
      <c r="D1436" s="139"/>
    </row>
    <row r="1437" spans="4:4" ht="12.75" x14ac:dyDescent="0.2">
      <c r="D1437" s="139"/>
    </row>
    <row r="1438" spans="4:4" ht="12.75" x14ac:dyDescent="0.2">
      <c r="D1438" s="139"/>
    </row>
    <row r="1439" spans="4:4" ht="12.75" x14ac:dyDescent="0.2">
      <c r="D1439" s="139"/>
    </row>
    <row r="1440" spans="4:4" ht="12.75" x14ac:dyDescent="0.2">
      <c r="D1440" s="139"/>
    </row>
    <row r="1441" spans="4:4" ht="12.75" x14ac:dyDescent="0.2">
      <c r="D1441" s="139"/>
    </row>
    <row r="1442" spans="4:4" ht="12.75" x14ac:dyDescent="0.2">
      <c r="D1442" s="139"/>
    </row>
    <row r="1443" spans="4:4" ht="12.75" x14ac:dyDescent="0.2">
      <c r="D1443" s="139"/>
    </row>
    <row r="1444" spans="4:4" ht="12.75" x14ac:dyDescent="0.2">
      <c r="D1444" s="139"/>
    </row>
    <row r="1445" spans="4:4" ht="12.75" x14ac:dyDescent="0.2">
      <c r="D1445" s="139"/>
    </row>
    <row r="1446" spans="4:4" ht="12.75" x14ac:dyDescent="0.2">
      <c r="D1446" s="139"/>
    </row>
    <row r="1447" spans="4:4" ht="12.75" x14ac:dyDescent="0.2">
      <c r="D1447" s="139"/>
    </row>
    <row r="1448" spans="4:4" ht="12.75" x14ac:dyDescent="0.2">
      <c r="D1448" s="139"/>
    </row>
    <row r="1449" spans="4:4" ht="12.75" x14ac:dyDescent="0.2">
      <c r="D1449" s="139"/>
    </row>
    <row r="1450" spans="4:4" ht="12.75" x14ac:dyDescent="0.2">
      <c r="D1450" s="139"/>
    </row>
    <row r="1451" spans="4:4" ht="12.75" x14ac:dyDescent="0.2">
      <c r="D1451" s="139"/>
    </row>
    <row r="1452" spans="4:4" ht="12.75" x14ac:dyDescent="0.2">
      <c r="D1452" s="139"/>
    </row>
    <row r="1453" spans="4:4" ht="12.75" x14ac:dyDescent="0.2">
      <c r="D1453" s="139"/>
    </row>
    <row r="1454" spans="4:4" ht="12.75" x14ac:dyDescent="0.2">
      <c r="D1454" s="139"/>
    </row>
    <row r="1455" spans="4:4" ht="12.75" x14ac:dyDescent="0.2">
      <c r="D1455" s="139"/>
    </row>
    <row r="1456" spans="4:4" ht="12.75" x14ac:dyDescent="0.2">
      <c r="D1456" s="139"/>
    </row>
    <row r="1457" spans="4:4" ht="12.75" x14ac:dyDescent="0.2">
      <c r="D1457" s="139"/>
    </row>
    <row r="1458" spans="4:4" ht="12.75" x14ac:dyDescent="0.2">
      <c r="D1458" s="139"/>
    </row>
    <row r="1459" spans="4:4" ht="12.75" x14ac:dyDescent="0.2">
      <c r="D1459" s="139"/>
    </row>
    <row r="1460" spans="4:4" ht="12.75" x14ac:dyDescent="0.2">
      <c r="D1460" s="139"/>
    </row>
    <row r="1461" spans="4:4" ht="12.75" x14ac:dyDescent="0.2">
      <c r="D1461" s="139"/>
    </row>
    <row r="1462" spans="4:4" ht="12.75" x14ac:dyDescent="0.2">
      <c r="D1462" s="139"/>
    </row>
    <row r="1463" spans="4:4" ht="12.75" x14ac:dyDescent="0.2">
      <c r="D1463" s="139"/>
    </row>
    <row r="1464" spans="4:4" ht="12.75" x14ac:dyDescent="0.2">
      <c r="D1464" s="139"/>
    </row>
    <row r="1465" spans="4:4" ht="12.75" x14ac:dyDescent="0.2">
      <c r="D1465" s="139"/>
    </row>
    <row r="1466" spans="4:4" ht="12.75" x14ac:dyDescent="0.2">
      <c r="D1466" s="139"/>
    </row>
    <row r="1467" spans="4:4" ht="12.75" x14ac:dyDescent="0.2">
      <c r="D1467" s="139"/>
    </row>
    <row r="1468" spans="4:4" ht="12.75" x14ac:dyDescent="0.2">
      <c r="D1468" s="139"/>
    </row>
    <row r="1469" spans="4:4" ht="12.75" x14ac:dyDescent="0.2">
      <c r="D1469" s="139"/>
    </row>
    <row r="1470" spans="4:4" ht="12.75" x14ac:dyDescent="0.2">
      <c r="D1470" s="139"/>
    </row>
    <row r="1471" spans="4:4" ht="12.75" x14ac:dyDescent="0.2">
      <c r="D1471" s="139"/>
    </row>
    <row r="1472" spans="4:4" ht="12.75" x14ac:dyDescent="0.2">
      <c r="D1472" s="139"/>
    </row>
    <row r="1473" spans="4:4" ht="12.75" x14ac:dyDescent="0.2">
      <c r="D1473" s="139"/>
    </row>
    <row r="1474" spans="4:4" ht="12.75" x14ac:dyDescent="0.2">
      <c r="D1474" s="139"/>
    </row>
    <row r="1475" spans="4:4" ht="12.75" x14ac:dyDescent="0.2">
      <c r="D1475" s="139"/>
    </row>
    <row r="1476" spans="4:4" ht="12.75" x14ac:dyDescent="0.2">
      <c r="D1476" s="139"/>
    </row>
    <row r="1477" spans="4:4" ht="12.75" x14ac:dyDescent="0.2">
      <c r="D1477" s="139"/>
    </row>
    <row r="1478" spans="4:4" ht="12.75" x14ac:dyDescent="0.2">
      <c r="D1478" s="139"/>
    </row>
    <row r="1479" spans="4:4" ht="12.75" x14ac:dyDescent="0.2">
      <c r="D1479" s="139"/>
    </row>
    <row r="1480" spans="4:4" ht="12.75" x14ac:dyDescent="0.2">
      <c r="D1480" s="139"/>
    </row>
    <row r="1481" spans="4:4" ht="12.75" x14ac:dyDescent="0.2">
      <c r="D1481" s="139"/>
    </row>
    <row r="1482" spans="4:4" ht="12.75" x14ac:dyDescent="0.2">
      <c r="D1482" s="139"/>
    </row>
    <row r="1483" spans="4:4" ht="12.75" x14ac:dyDescent="0.2">
      <c r="D1483" s="139"/>
    </row>
    <row r="1484" spans="4:4" ht="12.75" x14ac:dyDescent="0.2">
      <c r="D1484" s="139"/>
    </row>
    <row r="1485" spans="4:4" ht="12.75" x14ac:dyDescent="0.2">
      <c r="D1485" s="139"/>
    </row>
    <row r="1486" spans="4:4" ht="12.75" x14ac:dyDescent="0.2">
      <c r="D1486" s="139"/>
    </row>
    <row r="1487" spans="4:4" ht="12.75" x14ac:dyDescent="0.2">
      <c r="D1487" s="139"/>
    </row>
    <row r="1488" spans="4:4" ht="12.75" x14ac:dyDescent="0.2">
      <c r="D1488" s="139"/>
    </row>
    <row r="1489" spans="4:4" ht="12.75" x14ac:dyDescent="0.2">
      <c r="D1489" s="139"/>
    </row>
    <row r="1490" spans="4:4" ht="12.75" x14ac:dyDescent="0.2">
      <c r="D1490" s="139"/>
    </row>
    <row r="1491" spans="4:4" ht="12.75" x14ac:dyDescent="0.2">
      <c r="D1491" s="139"/>
    </row>
    <row r="1492" spans="4:4" ht="12.75" x14ac:dyDescent="0.2">
      <c r="D1492" s="139"/>
    </row>
    <row r="1493" spans="4:4" ht="12.75" x14ac:dyDescent="0.2">
      <c r="D1493" s="139"/>
    </row>
    <row r="1494" spans="4:4" ht="12.75" x14ac:dyDescent="0.2">
      <c r="D1494" s="139"/>
    </row>
    <row r="1495" spans="4:4" ht="12.75" x14ac:dyDescent="0.2">
      <c r="D1495" s="139"/>
    </row>
    <row r="1496" spans="4:4" ht="12.75" x14ac:dyDescent="0.2">
      <c r="D1496" s="139"/>
    </row>
    <row r="1497" spans="4:4" ht="12.75" x14ac:dyDescent="0.2">
      <c r="D1497" s="139"/>
    </row>
    <row r="1498" spans="4:4" ht="12.75" x14ac:dyDescent="0.2">
      <c r="D1498" s="139"/>
    </row>
    <row r="1499" spans="4:4" ht="12.75" x14ac:dyDescent="0.2">
      <c r="D1499" s="139"/>
    </row>
    <row r="1500" spans="4:4" ht="12.75" x14ac:dyDescent="0.2">
      <c r="D1500" s="139"/>
    </row>
    <row r="1501" spans="4:4" ht="12.75" x14ac:dyDescent="0.2">
      <c r="D1501" s="139"/>
    </row>
    <row r="1502" spans="4:4" ht="12.75" x14ac:dyDescent="0.2">
      <c r="D1502" s="139"/>
    </row>
    <row r="1503" spans="4:4" ht="12.75" x14ac:dyDescent="0.2">
      <c r="D1503" s="139"/>
    </row>
    <row r="1504" spans="4:4" ht="12.75" x14ac:dyDescent="0.2">
      <c r="D1504" s="139"/>
    </row>
    <row r="1505" spans="4:4" ht="12.75" x14ac:dyDescent="0.2">
      <c r="D1505" s="139"/>
    </row>
    <row r="1506" spans="4:4" ht="12.75" x14ac:dyDescent="0.2">
      <c r="D1506" s="139"/>
    </row>
    <row r="1507" spans="4:4" ht="12.75" x14ac:dyDescent="0.2">
      <c r="D1507" s="139"/>
    </row>
    <row r="1508" spans="4:4" ht="12.75" x14ac:dyDescent="0.2">
      <c r="D1508" s="139"/>
    </row>
    <row r="1509" spans="4:4" ht="12.75" x14ac:dyDescent="0.2">
      <c r="D1509" s="139"/>
    </row>
    <row r="1510" spans="4:4" ht="12.75" x14ac:dyDescent="0.2">
      <c r="D1510" s="139"/>
    </row>
    <row r="1511" spans="4:4" ht="12.75" x14ac:dyDescent="0.2">
      <c r="D1511" s="139"/>
    </row>
    <row r="1512" spans="4:4" ht="12.75" x14ac:dyDescent="0.2">
      <c r="D1512" s="139"/>
    </row>
    <row r="1513" spans="4:4" ht="12.75" x14ac:dyDescent="0.2">
      <c r="D1513" s="139"/>
    </row>
    <row r="1514" spans="4:4" ht="12.75" x14ac:dyDescent="0.2">
      <c r="D1514" s="139"/>
    </row>
    <row r="1515" spans="4:4" ht="12.75" x14ac:dyDescent="0.2">
      <c r="D1515" s="139"/>
    </row>
    <row r="1516" spans="4:4" ht="12.75" x14ac:dyDescent="0.2">
      <c r="D1516" s="139"/>
    </row>
    <row r="1517" spans="4:4" ht="12.75" x14ac:dyDescent="0.2">
      <c r="D1517" s="139"/>
    </row>
    <row r="1518" spans="4:4" ht="12.75" x14ac:dyDescent="0.2">
      <c r="D1518" s="139"/>
    </row>
    <row r="1519" spans="4:4" ht="12.75" x14ac:dyDescent="0.2">
      <c r="D1519" s="139"/>
    </row>
    <row r="1520" spans="4:4" ht="12.75" x14ac:dyDescent="0.2">
      <c r="D1520" s="139"/>
    </row>
    <row r="1521" spans="4:4" ht="12.75" x14ac:dyDescent="0.2">
      <c r="D1521" s="139"/>
    </row>
    <row r="1522" spans="4:4" ht="12.75" x14ac:dyDescent="0.2">
      <c r="D1522" s="139"/>
    </row>
    <row r="1523" spans="4:4" ht="12.75" x14ac:dyDescent="0.2">
      <c r="D1523" s="139"/>
    </row>
    <row r="1524" spans="4:4" ht="12.75" x14ac:dyDescent="0.2">
      <c r="D1524" s="139"/>
    </row>
    <row r="1525" spans="4:4" ht="12.75" x14ac:dyDescent="0.2">
      <c r="D1525" s="139"/>
    </row>
    <row r="1526" spans="4:4" ht="12.75" x14ac:dyDescent="0.2">
      <c r="D1526" s="139"/>
    </row>
    <row r="1527" spans="4:4" ht="12.75" x14ac:dyDescent="0.2">
      <c r="D1527" s="139"/>
    </row>
    <row r="1528" spans="4:4" ht="12.75" x14ac:dyDescent="0.2">
      <c r="D1528" s="139"/>
    </row>
    <row r="1529" spans="4:4" ht="12.75" x14ac:dyDescent="0.2">
      <c r="D1529" s="139"/>
    </row>
    <row r="1530" spans="4:4" ht="12.75" x14ac:dyDescent="0.2">
      <c r="D1530" s="139"/>
    </row>
    <row r="1531" spans="4:4" ht="12.75" x14ac:dyDescent="0.2">
      <c r="D1531" s="139"/>
    </row>
    <row r="1532" spans="4:4" ht="12.75" x14ac:dyDescent="0.2">
      <c r="D1532" s="139"/>
    </row>
    <row r="1533" spans="4:4" ht="12.75" x14ac:dyDescent="0.2">
      <c r="D1533" s="139"/>
    </row>
    <row r="1534" spans="4:4" ht="12.75" x14ac:dyDescent="0.2">
      <c r="D1534" s="139"/>
    </row>
    <row r="1535" spans="4:4" ht="12.75" x14ac:dyDescent="0.2">
      <c r="D1535" s="139"/>
    </row>
    <row r="1536" spans="4:4" ht="12.75" x14ac:dyDescent="0.2">
      <c r="D1536" s="139"/>
    </row>
    <row r="1537" spans="4:4" ht="12.75" x14ac:dyDescent="0.2">
      <c r="D1537" s="139"/>
    </row>
    <row r="1538" spans="4:4" ht="12.75" x14ac:dyDescent="0.2">
      <c r="D1538" s="139"/>
    </row>
    <row r="1539" spans="4:4" ht="12.75" x14ac:dyDescent="0.2">
      <c r="D1539" s="139"/>
    </row>
    <row r="1540" spans="4:4" ht="12.75" x14ac:dyDescent="0.2">
      <c r="D1540" s="139"/>
    </row>
    <row r="1541" spans="4:4" ht="12.75" x14ac:dyDescent="0.2">
      <c r="D1541" s="139"/>
    </row>
    <row r="1542" spans="4:4" ht="12.75" x14ac:dyDescent="0.2">
      <c r="D1542" s="139"/>
    </row>
    <row r="1543" spans="4:4" ht="12.75" x14ac:dyDescent="0.2">
      <c r="D1543" s="139"/>
    </row>
    <row r="1544" spans="4:4" ht="12.75" x14ac:dyDescent="0.2">
      <c r="D1544" s="139"/>
    </row>
    <row r="1545" spans="4:4" ht="12.75" x14ac:dyDescent="0.2">
      <c r="D1545" s="139"/>
    </row>
    <row r="1546" spans="4:4" ht="12.75" x14ac:dyDescent="0.2">
      <c r="D1546" s="139"/>
    </row>
    <row r="1547" spans="4:4" ht="12.75" x14ac:dyDescent="0.2">
      <c r="D1547" s="139"/>
    </row>
    <row r="1548" spans="4:4" ht="12.75" x14ac:dyDescent="0.2">
      <c r="D1548" s="139"/>
    </row>
    <row r="1549" spans="4:4" ht="12.75" x14ac:dyDescent="0.2">
      <c r="D1549" s="139"/>
    </row>
    <row r="1550" spans="4:4" ht="12.75" x14ac:dyDescent="0.2">
      <c r="D1550" s="139"/>
    </row>
    <row r="1551" spans="4:4" ht="12.75" x14ac:dyDescent="0.2">
      <c r="D1551" s="139"/>
    </row>
    <row r="1552" spans="4:4" ht="12.75" x14ac:dyDescent="0.2">
      <c r="D1552" s="139"/>
    </row>
    <row r="1553" spans="4:4" ht="12.75" x14ac:dyDescent="0.2">
      <c r="D1553" s="139"/>
    </row>
    <row r="1554" spans="4:4" ht="12.75" x14ac:dyDescent="0.2">
      <c r="D1554" s="139"/>
    </row>
    <row r="1555" spans="4:4" ht="12.75" x14ac:dyDescent="0.2">
      <c r="D1555" s="139"/>
    </row>
    <row r="1556" spans="4:4" ht="12.75" x14ac:dyDescent="0.2">
      <c r="D1556" s="139"/>
    </row>
    <row r="1557" spans="4:4" ht="12.75" x14ac:dyDescent="0.2">
      <c r="D1557" s="139"/>
    </row>
    <row r="1558" spans="4:4" ht="12.75" x14ac:dyDescent="0.2">
      <c r="D1558" s="139"/>
    </row>
    <row r="1559" spans="4:4" ht="12.75" x14ac:dyDescent="0.2">
      <c r="D1559" s="139"/>
    </row>
    <row r="1560" spans="4:4" ht="12.75" x14ac:dyDescent="0.2">
      <c r="D1560" s="139"/>
    </row>
    <row r="1561" spans="4:4" ht="12.75" x14ac:dyDescent="0.2">
      <c r="D1561" s="139"/>
    </row>
    <row r="1562" spans="4:4" ht="12.75" x14ac:dyDescent="0.2">
      <c r="D1562" s="139"/>
    </row>
    <row r="1563" spans="4:4" ht="12.75" x14ac:dyDescent="0.2">
      <c r="D1563" s="139"/>
    </row>
    <row r="1564" spans="4:4" ht="12.75" x14ac:dyDescent="0.2">
      <c r="D1564" s="139"/>
    </row>
    <row r="1565" spans="4:4" ht="12.75" x14ac:dyDescent="0.2">
      <c r="D1565" s="139"/>
    </row>
    <row r="1566" spans="4:4" ht="12.75" x14ac:dyDescent="0.2">
      <c r="D1566" s="139"/>
    </row>
    <row r="1567" spans="4:4" ht="12.75" x14ac:dyDescent="0.2">
      <c r="D1567" s="139"/>
    </row>
    <row r="1568" spans="4:4" ht="12.75" x14ac:dyDescent="0.2">
      <c r="D1568" s="139"/>
    </row>
    <row r="1569" spans="4:4" ht="12.75" x14ac:dyDescent="0.2">
      <c r="D1569" s="139"/>
    </row>
    <row r="1570" spans="4:4" ht="12.75" x14ac:dyDescent="0.2">
      <c r="D1570" s="139"/>
    </row>
    <row r="1571" spans="4:4" ht="12.75" x14ac:dyDescent="0.2">
      <c r="D1571" s="139"/>
    </row>
    <row r="1572" spans="4:4" ht="12.75" x14ac:dyDescent="0.2">
      <c r="D1572" s="139"/>
    </row>
    <row r="1573" spans="4:4" ht="12.75" x14ac:dyDescent="0.2">
      <c r="D1573" s="139"/>
    </row>
    <row r="1574" spans="4:4" ht="12.75" x14ac:dyDescent="0.2">
      <c r="D1574" s="139"/>
    </row>
    <row r="1575" spans="4:4" ht="12.75" x14ac:dyDescent="0.2">
      <c r="D1575" s="139"/>
    </row>
    <row r="1576" spans="4:4" ht="12.75" x14ac:dyDescent="0.2">
      <c r="D1576" s="139"/>
    </row>
    <row r="1577" spans="4:4" ht="12.75" x14ac:dyDescent="0.2">
      <c r="D1577" s="139"/>
    </row>
    <row r="1578" spans="4:4" ht="12.75" x14ac:dyDescent="0.2">
      <c r="D1578" s="139"/>
    </row>
    <row r="1579" spans="4:4" ht="12.75" x14ac:dyDescent="0.2">
      <c r="D1579" s="139"/>
    </row>
    <row r="1580" spans="4:4" ht="12.75" x14ac:dyDescent="0.2">
      <c r="D1580" s="139"/>
    </row>
    <row r="1581" spans="4:4" ht="12.75" x14ac:dyDescent="0.2">
      <c r="D1581" s="139"/>
    </row>
    <row r="1582" spans="4:4" ht="12.75" x14ac:dyDescent="0.2">
      <c r="D1582" s="139"/>
    </row>
    <row r="1583" spans="4:4" ht="12.75" x14ac:dyDescent="0.2">
      <c r="D1583" s="139"/>
    </row>
    <row r="1584" spans="4:4" ht="12.75" x14ac:dyDescent="0.2">
      <c r="D1584" s="139"/>
    </row>
    <row r="1585" spans="4:4" ht="12.75" x14ac:dyDescent="0.2">
      <c r="D1585" s="139"/>
    </row>
    <row r="1586" spans="4:4" ht="12.75" x14ac:dyDescent="0.2">
      <c r="D1586" s="139"/>
    </row>
    <row r="1587" spans="4:4" ht="12.75" x14ac:dyDescent="0.2">
      <c r="D1587" s="139"/>
    </row>
    <row r="1588" spans="4:4" ht="12.75" x14ac:dyDescent="0.2">
      <c r="D1588" s="139"/>
    </row>
    <row r="1589" spans="4:4" ht="12.75" x14ac:dyDescent="0.2">
      <c r="D1589" s="139"/>
    </row>
    <row r="1590" spans="4:4" ht="12.75" x14ac:dyDescent="0.2">
      <c r="D1590" s="139"/>
    </row>
    <row r="1591" spans="4:4" ht="12.75" x14ac:dyDescent="0.2">
      <c r="D1591" s="139"/>
    </row>
    <row r="1592" spans="4:4" ht="12.75" x14ac:dyDescent="0.2">
      <c r="D1592" s="139"/>
    </row>
    <row r="1593" spans="4:4" ht="12.75" x14ac:dyDescent="0.2">
      <c r="D1593" s="139"/>
    </row>
    <row r="1594" spans="4:4" ht="12.75" x14ac:dyDescent="0.2">
      <c r="D1594" s="139"/>
    </row>
    <row r="1595" spans="4:4" ht="12.75" x14ac:dyDescent="0.2">
      <c r="D1595" s="139"/>
    </row>
    <row r="1596" spans="4:4" ht="12.75" x14ac:dyDescent="0.2">
      <c r="D1596" s="139"/>
    </row>
    <row r="1597" spans="4:4" ht="12.75" x14ac:dyDescent="0.2">
      <c r="D1597" s="139"/>
    </row>
    <row r="1598" spans="4:4" ht="12.75" x14ac:dyDescent="0.2">
      <c r="D1598" s="139"/>
    </row>
    <row r="1599" spans="4:4" ht="12.75" x14ac:dyDescent="0.2">
      <c r="D1599" s="139"/>
    </row>
    <row r="1600" spans="4:4" ht="12.75" x14ac:dyDescent="0.2">
      <c r="D1600" s="139"/>
    </row>
    <row r="1601" spans="4:4" ht="12.75" x14ac:dyDescent="0.2">
      <c r="D1601" s="139"/>
    </row>
    <row r="1602" spans="4:4" ht="12.75" x14ac:dyDescent="0.2">
      <c r="D1602" s="139"/>
    </row>
    <row r="1603" spans="4:4" ht="12.75" x14ac:dyDescent="0.2">
      <c r="D1603" s="139"/>
    </row>
    <row r="1604" spans="4:4" ht="12.75" x14ac:dyDescent="0.2">
      <c r="D1604" s="139"/>
    </row>
    <row r="1605" spans="4:4" ht="12.75" x14ac:dyDescent="0.2">
      <c r="D1605" s="139"/>
    </row>
    <row r="1606" spans="4:4" ht="12.75" x14ac:dyDescent="0.2">
      <c r="D1606" s="139"/>
    </row>
    <row r="1607" spans="4:4" ht="12.75" x14ac:dyDescent="0.2">
      <c r="D1607" s="139"/>
    </row>
    <row r="1608" spans="4:4" ht="12.75" x14ac:dyDescent="0.2">
      <c r="D1608" s="139"/>
    </row>
    <row r="1609" spans="4:4" ht="12.75" x14ac:dyDescent="0.2">
      <c r="D1609" s="139"/>
    </row>
    <row r="1610" spans="4:4" ht="12.75" x14ac:dyDescent="0.2">
      <c r="D1610" s="139"/>
    </row>
    <row r="1611" spans="4:4" ht="12.75" x14ac:dyDescent="0.2">
      <c r="D1611" s="139"/>
    </row>
    <row r="1612" spans="4:4" ht="12.75" x14ac:dyDescent="0.2">
      <c r="D1612" s="139"/>
    </row>
    <row r="1613" spans="4:4" ht="12.75" x14ac:dyDescent="0.2">
      <c r="D1613" s="139"/>
    </row>
    <row r="1614" spans="4:4" ht="12.75" x14ac:dyDescent="0.2">
      <c r="D1614" s="139"/>
    </row>
    <row r="1615" spans="4:4" ht="12.75" x14ac:dyDescent="0.2">
      <c r="D1615" s="139"/>
    </row>
    <row r="1616" spans="4:4" ht="12.75" x14ac:dyDescent="0.2">
      <c r="D1616" s="139"/>
    </row>
    <row r="1617" spans="4:4" ht="12.75" x14ac:dyDescent="0.2">
      <c r="D1617" s="139"/>
    </row>
    <row r="1618" spans="4:4" ht="12.75" x14ac:dyDescent="0.2">
      <c r="D1618" s="139"/>
    </row>
    <row r="1619" spans="4:4" ht="12.75" x14ac:dyDescent="0.2">
      <c r="D1619" s="139"/>
    </row>
    <row r="1620" spans="4:4" ht="12.75" x14ac:dyDescent="0.2">
      <c r="D1620" s="139"/>
    </row>
    <row r="1621" spans="4:4" ht="12.75" x14ac:dyDescent="0.2">
      <c r="D1621" s="139"/>
    </row>
    <row r="1622" spans="4:4" ht="12.75" x14ac:dyDescent="0.2">
      <c r="D1622" s="139"/>
    </row>
    <row r="1623" spans="4:4" ht="12.75" x14ac:dyDescent="0.2">
      <c r="D1623" s="139"/>
    </row>
    <row r="1624" spans="4:4" ht="12.75" x14ac:dyDescent="0.2">
      <c r="D1624" s="139"/>
    </row>
    <row r="1625" spans="4:4" ht="12.75" x14ac:dyDescent="0.2">
      <c r="D1625" s="139"/>
    </row>
    <row r="1626" spans="4:4" ht="12.75" x14ac:dyDescent="0.2">
      <c r="D1626" s="139"/>
    </row>
    <row r="1627" spans="4:4" ht="12.75" x14ac:dyDescent="0.2">
      <c r="D1627" s="139"/>
    </row>
    <row r="1628" spans="4:4" ht="12.75" x14ac:dyDescent="0.2">
      <c r="D1628" s="139"/>
    </row>
    <row r="1629" spans="4:4" ht="12.75" x14ac:dyDescent="0.2">
      <c r="D1629" s="139"/>
    </row>
    <row r="1630" spans="4:4" ht="12.75" x14ac:dyDescent="0.2">
      <c r="D1630" s="139"/>
    </row>
    <row r="1631" spans="4:4" ht="12.75" x14ac:dyDescent="0.2">
      <c r="D1631" s="139"/>
    </row>
    <row r="1632" spans="4:4" ht="12.75" x14ac:dyDescent="0.2">
      <c r="D1632" s="139"/>
    </row>
    <row r="1633" spans="4:4" ht="12.75" x14ac:dyDescent="0.2">
      <c r="D1633" s="139"/>
    </row>
    <row r="1634" spans="4:4" ht="12.75" x14ac:dyDescent="0.2">
      <c r="D1634" s="139"/>
    </row>
    <row r="1635" spans="4:4" ht="12.75" x14ac:dyDescent="0.2">
      <c r="D1635" s="139"/>
    </row>
    <row r="1636" spans="4:4" ht="12.75" x14ac:dyDescent="0.2">
      <c r="D1636" s="139"/>
    </row>
    <row r="1637" spans="4:4" ht="12.75" x14ac:dyDescent="0.2">
      <c r="D1637" s="139"/>
    </row>
    <row r="1638" spans="4:4" ht="12.75" x14ac:dyDescent="0.2">
      <c r="D1638" s="139"/>
    </row>
    <row r="1639" spans="4:4" ht="12.75" x14ac:dyDescent="0.2">
      <c r="D1639" s="139"/>
    </row>
    <row r="1640" spans="4:4" ht="12.75" x14ac:dyDescent="0.2">
      <c r="D1640" s="139"/>
    </row>
    <row r="1641" spans="4:4" ht="12.75" x14ac:dyDescent="0.2">
      <c r="D1641" s="139"/>
    </row>
    <row r="1642" spans="4:4" ht="12.75" x14ac:dyDescent="0.2">
      <c r="D1642" s="139"/>
    </row>
    <row r="1643" spans="4:4" ht="12.75" x14ac:dyDescent="0.2">
      <c r="D1643" s="139"/>
    </row>
    <row r="1644" spans="4:4" ht="12.75" x14ac:dyDescent="0.2">
      <c r="D1644" s="139"/>
    </row>
    <row r="1645" spans="4:4" ht="12.75" x14ac:dyDescent="0.2">
      <c r="D1645" s="139"/>
    </row>
    <row r="1646" spans="4:4" ht="12.75" x14ac:dyDescent="0.2">
      <c r="D1646" s="139"/>
    </row>
    <row r="1647" spans="4:4" ht="12.75" x14ac:dyDescent="0.2">
      <c r="D1647" s="139"/>
    </row>
    <row r="1648" spans="4:4" ht="12.75" x14ac:dyDescent="0.2">
      <c r="D1648" s="139"/>
    </row>
    <row r="1649" spans="4:4" ht="12.75" x14ac:dyDescent="0.2">
      <c r="D1649" s="139"/>
    </row>
    <row r="1650" spans="4:4" ht="12.75" x14ac:dyDescent="0.2">
      <c r="D1650" s="139"/>
    </row>
    <row r="1651" spans="4:4" ht="12.75" x14ac:dyDescent="0.2">
      <c r="D1651" s="139"/>
    </row>
    <row r="1652" spans="4:4" ht="12.75" x14ac:dyDescent="0.2">
      <c r="D1652" s="139"/>
    </row>
    <row r="1653" spans="4:4" ht="12.75" x14ac:dyDescent="0.2">
      <c r="D1653" s="139"/>
    </row>
    <row r="1654" spans="4:4" ht="12.75" x14ac:dyDescent="0.2">
      <c r="D1654" s="139"/>
    </row>
    <row r="1655" spans="4:4" ht="12.75" x14ac:dyDescent="0.2">
      <c r="D1655" s="139"/>
    </row>
    <row r="1656" spans="4:4" ht="12.75" x14ac:dyDescent="0.2">
      <c r="D1656" s="139"/>
    </row>
    <row r="1657" spans="4:4" ht="12.75" x14ac:dyDescent="0.2">
      <c r="D1657" s="139"/>
    </row>
    <row r="1658" spans="4:4" ht="12.75" x14ac:dyDescent="0.2">
      <c r="D1658" s="139"/>
    </row>
    <row r="1659" spans="4:4" ht="12.75" x14ac:dyDescent="0.2">
      <c r="D1659" s="139"/>
    </row>
    <row r="1660" spans="4:4" ht="12.75" x14ac:dyDescent="0.2">
      <c r="D1660" s="139"/>
    </row>
    <row r="1661" spans="4:4" ht="12.75" x14ac:dyDescent="0.2">
      <c r="D1661" s="139"/>
    </row>
    <row r="1662" spans="4:4" ht="12.75" x14ac:dyDescent="0.2">
      <c r="D1662" s="139"/>
    </row>
    <row r="1663" spans="4:4" ht="12.75" x14ac:dyDescent="0.2">
      <c r="D1663" s="139"/>
    </row>
    <row r="1664" spans="4:4" ht="12.75" x14ac:dyDescent="0.2">
      <c r="D1664" s="139"/>
    </row>
    <row r="1665" spans="4:4" ht="12.75" x14ac:dyDescent="0.2">
      <c r="D1665" s="139"/>
    </row>
    <row r="1666" spans="4:4" ht="12.75" x14ac:dyDescent="0.2">
      <c r="D1666" s="139"/>
    </row>
    <row r="1667" spans="4:4" ht="12.75" x14ac:dyDescent="0.2">
      <c r="D1667" s="139"/>
    </row>
    <row r="1668" spans="4:4" ht="12.75" x14ac:dyDescent="0.2">
      <c r="D1668" s="139"/>
    </row>
    <row r="1669" spans="4:4" ht="12.75" x14ac:dyDescent="0.2">
      <c r="D1669" s="139"/>
    </row>
    <row r="1670" spans="4:4" ht="12.75" x14ac:dyDescent="0.2">
      <c r="D1670" s="139"/>
    </row>
    <row r="1671" spans="4:4" ht="12.75" x14ac:dyDescent="0.2">
      <c r="D1671" s="139"/>
    </row>
    <row r="1672" spans="4:4" ht="12.75" x14ac:dyDescent="0.2">
      <c r="D1672" s="139"/>
    </row>
    <row r="1673" spans="4:4" ht="12.75" x14ac:dyDescent="0.2">
      <c r="D1673" s="139"/>
    </row>
    <row r="1674" spans="4:4" ht="12.75" x14ac:dyDescent="0.2">
      <c r="D1674" s="139"/>
    </row>
    <row r="1675" spans="4:4" ht="12.75" x14ac:dyDescent="0.2">
      <c r="D1675" s="139"/>
    </row>
    <row r="1676" spans="4:4" ht="12.75" x14ac:dyDescent="0.2">
      <c r="D1676" s="139"/>
    </row>
    <row r="1677" spans="4:4" ht="12.75" x14ac:dyDescent="0.2">
      <c r="D1677" s="139"/>
    </row>
    <row r="1678" spans="4:4" ht="12.75" x14ac:dyDescent="0.2">
      <c r="D1678" s="139"/>
    </row>
    <row r="1679" spans="4:4" ht="12.75" x14ac:dyDescent="0.2">
      <c r="D1679" s="139"/>
    </row>
    <row r="1680" spans="4:4" ht="12.75" x14ac:dyDescent="0.2">
      <c r="D1680" s="139"/>
    </row>
    <row r="1681" spans="4:4" ht="12.75" x14ac:dyDescent="0.2">
      <c r="D1681" s="139"/>
    </row>
    <row r="1682" spans="4:4" ht="12.75" x14ac:dyDescent="0.2">
      <c r="D1682" s="139"/>
    </row>
    <row r="1683" spans="4:4" ht="12.75" x14ac:dyDescent="0.2">
      <c r="D1683" s="139"/>
    </row>
    <row r="1684" spans="4:4" ht="12.75" x14ac:dyDescent="0.2">
      <c r="D1684" s="139"/>
    </row>
    <row r="1685" spans="4:4" ht="12.75" x14ac:dyDescent="0.2">
      <c r="D1685" s="139"/>
    </row>
    <row r="1686" spans="4:4" ht="12.75" x14ac:dyDescent="0.2">
      <c r="D1686" s="139"/>
    </row>
    <row r="1687" spans="4:4" ht="12.75" x14ac:dyDescent="0.2">
      <c r="D1687" s="139"/>
    </row>
    <row r="1688" spans="4:4" ht="12.75" x14ac:dyDescent="0.2">
      <c r="D1688" s="139"/>
    </row>
    <row r="1689" spans="4:4" ht="12.75" x14ac:dyDescent="0.2">
      <c r="D1689" s="139"/>
    </row>
    <row r="1690" spans="4:4" ht="12.75" x14ac:dyDescent="0.2">
      <c r="D1690" s="139"/>
    </row>
    <row r="1691" spans="4:4" ht="12.75" x14ac:dyDescent="0.2">
      <c r="D1691" s="139"/>
    </row>
    <row r="1692" spans="4:4" ht="12.75" x14ac:dyDescent="0.2">
      <c r="D1692" s="139"/>
    </row>
    <row r="1693" spans="4:4" ht="12.75" x14ac:dyDescent="0.2">
      <c r="D1693" s="139"/>
    </row>
    <row r="1694" spans="4:4" ht="12.75" x14ac:dyDescent="0.2">
      <c r="D1694" s="139"/>
    </row>
    <row r="1695" spans="4:4" ht="12.75" x14ac:dyDescent="0.2">
      <c r="D1695" s="139"/>
    </row>
    <row r="1696" spans="4:4" ht="12.75" x14ac:dyDescent="0.2">
      <c r="D1696" s="139"/>
    </row>
    <row r="1697" spans="4:4" ht="12.75" x14ac:dyDescent="0.2">
      <c r="D1697" s="139"/>
    </row>
    <row r="1698" spans="4:4" ht="12.75" x14ac:dyDescent="0.2">
      <c r="D1698" s="139"/>
    </row>
    <row r="1699" spans="4:4" ht="12.75" x14ac:dyDescent="0.2">
      <c r="D1699" s="139"/>
    </row>
    <row r="1700" spans="4:4" ht="12.75" x14ac:dyDescent="0.2">
      <c r="D1700" s="139"/>
    </row>
    <row r="1701" spans="4:4" ht="12.75" x14ac:dyDescent="0.2">
      <c r="D1701" s="139"/>
    </row>
    <row r="1702" spans="4:4" ht="12.75" x14ac:dyDescent="0.2">
      <c r="D1702" s="139"/>
    </row>
    <row r="1703" spans="4:4" ht="12.75" x14ac:dyDescent="0.2">
      <c r="D1703" s="139"/>
    </row>
    <row r="1704" spans="4:4" ht="12.75" x14ac:dyDescent="0.2">
      <c r="D1704" s="139"/>
    </row>
    <row r="1705" spans="4:4" ht="12.75" x14ac:dyDescent="0.2">
      <c r="D1705" s="139"/>
    </row>
    <row r="1706" spans="4:4" ht="12.75" x14ac:dyDescent="0.2">
      <c r="D1706" s="139"/>
    </row>
    <row r="1707" spans="4:4" ht="12.75" x14ac:dyDescent="0.2">
      <c r="D1707" s="139"/>
    </row>
    <row r="1708" spans="4:4" ht="12.75" x14ac:dyDescent="0.2">
      <c r="D1708" s="139"/>
    </row>
    <row r="1709" spans="4:4" ht="12.75" x14ac:dyDescent="0.2">
      <c r="D1709" s="139"/>
    </row>
    <row r="1710" spans="4:4" ht="12.75" x14ac:dyDescent="0.2">
      <c r="D1710" s="139"/>
    </row>
    <row r="1711" spans="4:4" ht="12.75" x14ac:dyDescent="0.2">
      <c r="D1711" s="139"/>
    </row>
    <row r="1712" spans="4:4" ht="12.75" x14ac:dyDescent="0.2">
      <c r="D1712" s="139"/>
    </row>
    <row r="1713" spans="4:4" ht="12.75" x14ac:dyDescent="0.2">
      <c r="D1713" s="139"/>
    </row>
    <row r="1714" spans="4:4" ht="12.75" x14ac:dyDescent="0.2">
      <c r="D1714" s="139"/>
    </row>
    <row r="1715" spans="4:4" ht="12.75" x14ac:dyDescent="0.2">
      <c r="D1715" s="139"/>
    </row>
    <row r="1716" spans="4:4" ht="12.75" x14ac:dyDescent="0.2">
      <c r="D1716" s="139"/>
    </row>
    <row r="1717" spans="4:4" ht="12.75" x14ac:dyDescent="0.2">
      <c r="D1717" s="139"/>
    </row>
    <row r="1718" spans="4:4" ht="12.75" x14ac:dyDescent="0.2">
      <c r="D1718" s="139"/>
    </row>
    <row r="1719" spans="4:4" ht="12.75" x14ac:dyDescent="0.2">
      <c r="D1719" s="139"/>
    </row>
    <row r="1720" spans="4:4" ht="12.75" x14ac:dyDescent="0.2">
      <c r="D1720" s="139"/>
    </row>
    <row r="1721" spans="4:4" ht="12.75" x14ac:dyDescent="0.2">
      <c r="D1721" s="139"/>
    </row>
    <row r="1722" spans="4:4" ht="12.75" x14ac:dyDescent="0.2">
      <c r="D1722" s="139"/>
    </row>
    <row r="1723" spans="4:4" ht="12.75" x14ac:dyDescent="0.2">
      <c r="D1723" s="139"/>
    </row>
    <row r="1724" spans="4:4" ht="12.75" x14ac:dyDescent="0.2">
      <c r="D1724" s="139"/>
    </row>
    <row r="1725" spans="4:4" ht="12.75" x14ac:dyDescent="0.2">
      <c r="D1725" s="139"/>
    </row>
    <row r="1726" spans="4:4" ht="12.75" x14ac:dyDescent="0.2">
      <c r="D1726" s="139"/>
    </row>
    <row r="1727" spans="4:4" ht="12.75" x14ac:dyDescent="0.2">
      <c r="D1727" s="139"/>
    </row>
    <row r="1728" spans="4:4" ht="12.75" x14ac:dyDescent="0.2">
      <c r="D1728" s="139"/>
    </row>
    <row r="1729" spans="4:4" ht="12.75" x14ac:dyDescent="0.2">
      <c r="D1729" s="139"/>
    </row>
    <row r="1730" spans="4:4" ht="12.75" x14ac:dyDescent="0.2">
      <c r="D1730" s="139"/>
    </row>
    <row r="1731" spans="4:4" ht="12.75" x14ac:dyDescent="0.2">
      <c r="D1731" s="139"/>
    </row>
    <row r="1732" spans="4:4" ht="12.75" x14ac:dyDescent="0.2">
      <c r="D1732" s="139"/>
    </row>
    <row r="1733" spans="4:4" ht="12.75" x14ac:dyDescent="0.2">
      <c r="D1733" s="139"/>
    </row>
    <row r="1734" spans="4:4" ht="12.75" x14ac:dyDescent="0.2">
      <c r="D1734" s="139"/>
    </row>
    <row r="1735" spans="4:4" ht="12.75" x14ac:dyDescent="0.2">
      <c r="D1735" s="139"/>
    </row>
    <row r="1736" spans="4:4" ht="12.75" x14ac:dyDescent="0.2">
      <c r="D1736" s="139"/>
    </row>
    <row r="1737" spans="4:4" ht="12.75" x14ac:dyDescent="0.2">
      <c r="D1737" s="139"/>
    </row>
    <row r="1738" spans="4:4" ht="12.75" x14ac:dyDescent="0.2">
      <c r="D1738" s="139"/>
    </row>
    <row r="1739" spans="4:4" ht="12.75" x14ac:dyDescent="0.2">
      <c r="D1739" s="139"/>
    </row>
    <row r="1740" spans="4:4" ht="12.75" x14ac:dyDescent="0.2">
      <c r="D1740" s="139"/>
    </row>
    <row r="1741" spans="4:4" ht="12.75" x14ac:dyDescent="0.2">
      <c r="D1741" s="139"/>
    </row>
    <row r="1742" spans="4:4" ht="12.75" x14ac:dyDescent="0.2">
      <c r="D1742" s="139"/>
    </row>
    <row r="1743" spans="4:4" ht="12.75" x14ac:dyDescent="0.2">
      <c r="D1743" s="139"/>
    </row>
    <row r="1744" spans="4:4" ht="12.75" x14ac:dyDescent="0.2">
      <c r="D1744" s="139"/>
    </row>
    <row r="1745" spans="4:4" ht="12.75" x14ac:dyDescent="0.2">
      <c r="D1745" s="139"/>
    </row>
    <row r="1746" spans="4:4" ht="12.75" x14ac:dyDescent="0.2">
      <c r="D1746" s="139"/>
    </row>
    <row r="1747" spans="4:4" ht="12.75" x14ac:dyDescent="0.2">
      <c r="D1747" s="139"/>
    </row>
    <row r="1748" spans="4:4" ht="12.75" x14ac:dyDescent="0.2">
      <c r="D1748" s="139"/>
    </row>
    <row r="1749" spans="4:4" ht="12.75" x14ac:dyDescent="0.2">
      <c r="D1749" s="139"/>
    </row>
    <row r="1750" spans="4:4" ht="12.75" x14ac:dyDescent="0.2">
      <c r="D1750" s="139"/>
    </row>
    <row r="1751" spans="4:4" ht="12.75" x14ac:dyDescent="0.2">
      <c r="D1751" s="139"/>
    </row>
    <row r="1752" spans="4:4" ht="12.75" x14ac:dyDescent="0.2">
      <c r="D1752" s="139"/>
    </row>
    <row r="1753" spans="4:4" ht="12.75" x14ac:dyDescent="0.2">
      <c r="D1753" s="139"/>
    </row>
    <row r="1754" spans="4:4" ht="12.75" x14ac:dyDescent="0.2">
      <c r="D1754" s="139"/>
    </row>
    <row r="1755" spans="4:4" ht="12.75" x14ac:dyDescent="0.2">
      <c r="D1755" s="139"/>
    </row>
    <row r="1756" spans="4:4" ht="12.75" x14ac:dyDescent="0.2">
      <c r="D1756" s="139"/>
    </row>
    <row r="1757" spans="4:4" ht="12.75" x14ac:dyDescent="0.2">
      <c r="D1757" s="139"/>
    </row>
    <row r="1758" spans="4:4" ht="12.75" x14ac:dyDescent="0.2">
      <c r="D1758" s="139"/>
    </row>
    <row r="1759" spans="4:4" ht="12.75" x14ac:dyDescent="0.2">
      <c r="D1759" s="139"/>
    </row>
    <row r="1760" spans="4:4" ht="12.75" x14ac:dyDescent="0.2">
      <c r="D1760" s="139"/>
    </row>
    <row r="1761" spans="4:4" ht="12.75" x14ac:dyDescent="0.2">
      <c r="D1761" s="139"/>
    </row>
    <row r="1762" spans="4:4" ht="12.75" x14ac:dyDescent="0.2">
      <c r="D1762" s="139"/>
    </row>
    <row r="1763" spans="4:4" ht="12.75" x14ac:dyDescent="0.2">
      <c r="D1763" s="139"/>
    </row>
    <row r="1764" spans="4:4" ht="12.75" x14ac:dyDescent="0.2">
      <c r="D1764" s="139"/>
    </row>
    <row r="1765" spans="4:4" ht="12.75" x14ac:dyDescent="0.2">
      <c r="D1765" s="139"/>
    </row>
    <row r="1766" spans="4:4" ht="12.75" x14ac:dyDescent="0.2">
      <c r="D1766" s="139"/>
    </row>
    <row r="1767" spans="4:4" ht="12.75" x14ac:dyDescent="0.2">
      <c r="D1767" s="139"/>
    </row>
    <row r="1768" spans="4:4" ht="12.75" x14ac:dyDescent="0.2">
      <c r="D1768" s="139"/>
    </row>
    <row r="1769" spans="4:4" ht="12.75" x14ac:dyDescent="0.2">
      <c r="D1769" s="139"/>
    </row>
    <row r="1770" spans="4:4" ht="12.75" x14ac:dyDescent="0.2">
      <c r="D1770" s="139"/>
    </row>
    <row r="1771" spans="4:4" ht="12.75" x14ac:dyDescent="0.2">
      <c r="D1771" s="139"/>
    </row>
    <row r="1772" spans="4:4" ht="12.75" x14ac:dyDescent="0.2">
      <c r="D1772" s="139"/>
    </row>
    <row r="1773" spans="4:4" ht="12.75" x14ac:dyDescent="0.2">
      <c r="D1773" s="139"/>
    </row>
    <row r="1774" spans="4:4" ht="12.75" x14ac:dyDescent="0.2">
      <c r="D1774" s="139"/>
    </row>
    <row r="1775" spans="4:4" ht="12.75" x14ac:dyDescent="0.2">
      <c r="D1775" s="139"/>
    </row>
    <row r="1776" spans="4:4" ht="12.75" x14ac:dyDescent="0.2">
      <c r="D1776" s="139"/>
    </row>
    <row r="1777" spans="4:4" ht="12.75" x14ac:dyDescent="0.2">
      <c r="D1777" s="139"/>
    </row>
    <row r="1778" spans="4:4" ht="12.75" x14ac:dyDescent="0.2">
      <c r="D1778" s="139"/>
    </row>
    <row r="1779" spans="4:4" ht="12.75" x14ac:dyDescent="0.2">
      <c r="D1779" s="139"/>
    </row>
    <row r="1780" spans="4:4" ht="12.75" x14ac:dyDescent="0.2">
      <c r="D1780" s="139"/>
    </row>
    <row r="1781" spans="4:4" ht="12.75" x14ac:dyDescent="0.2">
      <c r="D1781" s="139"/>
    </row>
    <row r="1782" spans="4:4" ht="12.75" x14ac:dyDescent="0.2">
      <c r="D1782" s="139"/>
    </row>
    <row r="1783" spans="4:4" ht="12.75" x14ac:dyDescent="0.2">
      <c r="D1783" s="139"/>
    </row>
    <row r="1784" spans="4:4" ht="12.75" x14ac:dyDescent="0.2">
      <c r="D1784" s="139"/>
    </row>
    <row r="1785" spans="4:4" ht="12.75" x14ac:dyDescent="0.2">
      <c r="D1785" s="139"/>
    </row>
    <row r="1786" spans="4:4" ht="12.75" x14ac:dyDescent="0.2">
      <c r="D1786" s="139"/>
    </row>
    <row r="1787" spans="4:4" ht="12.75" x14ac:dyDescent="0.2">
      <c r="D1787" s="139"/>
    </row>
    <row r="1788" spans="4:4" ht="12.75" x14ac:dyDescent="0.2">
      <c r="D1788" s="139"/>
    </row>
    <row r="1789" spans="4:4" ht="12.75" x14ac:dyDescent="0.2">
      <c r="D1789" s="139"/>
    </row>
    <row r="1790" spans="4:4" ht="12.75" x14ac:dyDescent="0.2">
      <c r="D1790" s="139"/>
    </row>
    <row r="1791" spans="4:4" ht="12.75" x14ac:dyDescent="0.2">
      <c r="D1791" s="139"/>
    </row>
    <row r="1792" spans="4:4" ht="12.75" x14ac:dyDescent="0.2">
      <c r="D1792" s="139"/>
    </row>
    <row r="1793" spans="4:4" ht="12.75" x14ac:dyDescent="0.2">
      <c r="D1793" s="139"/>
    </row>
    <row r="1794" spans="4:4" ht="12.75" x14ac:dyDescent="0.2">
      <c r="D1794" s="139"/>
    </row>
    <row r="1795" spans="4:4" ht="12.75" x14ac:dyDescent="0.2">
      <c r="D1795" s="139"/>
    </row>
    <row r="1796" spans="4:4" ht="12.75" x14ac:dyDescent="0.2">
      <c r="D1796" s="139"/>
    </row>
    <row r="1797" spans="4:4" ht="12.75" x14ac:dyDescent="0.2">
      <c r="D1797" s="139"/>
    </row>
    <row r="1798" spans="4:4" ht="12.75" x14ac:dyDescent="0.2">
      <c r="D1798" s="139"/>
    </row>
    <row r="1799" spans="4:4" ht="12.75" x14ac:dyDescent="0.2">
      <c r="D1799" s="139"/>
    </row>
    <row r="1800" spans="4:4" ht="12.75" x14ac:dyDescent="0.2">
      <c r="D1800" s="139"/>
    </row>
    <row r="1801" spans="4:4" ht="12.75" x14ac:dyDescent="0.2">
      <c r="D1801" s="139"/>
    </row>
    <row r="1802" spans="4:4" ht="12.75" x14ac:dyDescent="0.2">
      <c r="D1802" s="139"/>
    </row>
    <row r="1803" spans="4:4" ht="12.75" x14ac:dyDescent="0.2">
      <c r="D1803" s="139"/>
    </row>
    <row r="1804" spans="4:4" ht="12.75" x14ac:dyDescent="0.2">
      <c r="D1804" s="139"/>
    </row>
    <row r="1805" spans="4:4" ht="12.75" x14ac:dyDescent="0.2">
      <c r="D1805" s="139"/>
    </row>
    <row r="1806" spans="4:4" ht="12.75" x14ac:dyDescent="0.2">
      <c r="D1806" s="139"/>
    </row>
    <row r="1807" spans="4:4" ht="12.75" x14ac:dyDescent="0.2">
      <c r="D1807" s="139"/>
    </row>
    <row r="1808" spans="4:4" ht="12.75" x14ac:dyDescent="0.2">
      <c r="D1808" s="139"/>
    </row>
    <row r="1809" spans="4:4" ht="12.75" x14ac:dyDescent="0.2">
      <c r="D1809" s="139"/>
    </row>
    <row r="1810" spans="4:4" ht="12.75" x14ac:dyDescent="0.2">
      <c r="D1810" s="139"/>
    </row>
    <row r="1811" spans="4:4" ht="12.75" x14ac:dyDescent="0.2">
      <c r="D1811" s="139"/>
    </row>
    <row r="1812" spans="4:4" ht="12.75" x14ac:dyDescent="0.2">
      <c r="D1812" s="139"/>
    </row>
    <row r="1813" spans="4:4" ht="12.75" x14ac:dyDescent="0.2">
      <c r="D1813" s="139"/>
    </row>
    <row r="1814" spans="4:4" ht="12.75" x14ac:dyDescent="0.2">
      <c r="D1814" s="139"/>
    </row>
    <row r="1815" spans="4:4" ht="12.75" x14ac:dyDescent="0.2">
      <c r="D1815" s="139"/>
    </row>
    <row r="1816" spans="4:4" ht="12.75" x14ac:dyDescent="0.2">
      <c r="D1816" s="139"/>
    </row>
    <row r="1817" spans="4:4" ht="12.75" x14ac:dyDescent="0.2">
      <c r="D1817" s="139"/>
    </row>
    <row r="1818" spans="4:4" ht="12.75" x14ac:dyDescent="0.2">
      <c r="D1818" s="139"/>
    </row>
    <row r="1819" spans="4:4" ht="12.75" x14ac:dyDescent="0.2">
      <c r="D1819" s="139"/>
    </row>
    <row r="1820" spans="4:4" ht="12.75" x14ac:dyDescent="0.2">
      <c r="D1820" s="139"/>
    </row>
    <row r="1821" spans="4:4" ht="12.75" x14ac:dyDescent="0.2">
      <c r="D1821" s="139"/>
    </row>
    <row r="1822" spans="4:4" ht="12.75" x14ac:dyDescent="0.2">
      <c r="D1822" s="139"/>
    </row>
    <row r="1823" spans="4:4" ht="12.75" x14ac:dyDescent="0.2">
      <c r="D1823" s="139"/>
    </row>
    <row r="1824" spans="4:4" ht="12.75" x14ac:dyDescent="0.2">
      <c r="D1824" s="139"/>
    </row>
    <row r="1825" spans="4:4" ht="12.75" x14ac:dyDescent="0.2">
      <c r="D1825" s="139"/>
    </row>
    <row r="1826" spans="4:4" ht="12.75" x14ac:dyDescent="0.2">
      <c r="D1826" s="139"/>
    </row>
    <row r="1827" spans="4:4" ht="12.75" x14ac:dyDescent="0.2">
      <c r="D1827" s="139"/>
    </row>
    <row r="1828" spans="4:4" ht="12.75" x14ac:dyDescent="0.2">
      <c r="D1828" s="139"/>
    </row>
    <row r="1829" spans="4:4" ht="12.75" x14ac:dyDescent="0.2">
      <c r="D1829" s="139"/>
    </row>
    <row r="1830" spans="4:4" ht="12.75" x14ac:dyDescent="0.2">
      <c r="D1830" s="139"/>
    </row>
    <row r="1831" spans="4:4" ht="12.75" x14ac:dyDescent="0.2">
      <c r="D1831" s="139"/>
    </row>
    <row r="1832" spans="4:4" ht="12.75" x14ac:dyDescent="0.2">
      <c r="D1832" s="139"/>
    </row>
    <row r="1833" spans="4:4" ht="12.75" x14ac:dyDescent="0.2">
      <c r="D1833" s="139"/>
    </row>
    <row r="1834" spans="4:4" ht="12.75" x14ac:dyDescent="0.2">
      <c r="D1834" s="139"/>
    </row>
    <row r="1835" spans="4:4" ht="12.75" x14ac:dyDescent="0.2">
      <c r="D1835" s="139"/>
    </row>
    <row r="1836" spans="4:4" ht="12.75" x14ac:dyDescent="0.2">
      <c r="D1836" s="139"/>
    </row>
    <row r="1837" spans="4:4" ht="12.75" x14ac:dyDescent="0.2">
      <c r="D1837" s="139"/>
    </row>
    <row r="1838" spans="4:4" ht="12.75" x14ac:dyDescent="0.2">
      <c r="D1838" s="139"/>
    </row>
    <row r="1839" spans="4:4" ht="12.75" x14ac:dyDescent="0.2">
      <c r="D1839" s="139"/>
    </row>
    <row r="1840" spans="4:4" ht="12.75" x14ac:dyDescent="0.2">
      <c r="D1840" s="139"/>
    </row>
    <row r="1841" spans="4:4" ht="12.75" x14ac:dyDescent="0.2">
      <c r="D1841" s="139"/>
    </row>
    <row r="1842" spans="4:4" ht="12.75" x14ac:dyDescent="0.2">
      <c r="D1842" s="139"/>
    </row>
    <row r="1843" spans="4:4" ht="12.75" x14ac:dyDescent="0.2">
      <c r="D1843" s="139"/>
    </row>
    <row r="1844" spans="4:4" ht="12.75" x14ac:dyDescent="0.2">
      <c r="D1844" s="139"/>
    </row>
    <row r="1845" spans="4:4" ht="12.75" x14ac:dyDescent="0.2">
      <c r="D1845" s="139"/>
    </row>
    <row r="1846" spans="4:4" ht="12.75" x14ac:dyDescent="0.2">
      <c r="D1846" s="139"/>
    </row>
    <row r="1847" spans="4:4" ht="12.75" x14ac:dyDescent="0.2">
      <c r="D1847" s="139"/>
    </row>
    <row r="1848" spans="4:4" ht="12.75" x14ac:dyDescent="0.2">
      <c r="D1848" s="139"/>
    </row>
    <row r="1849" spans="4:4" ht="12.75" x14ac:dyDescent="0.2">
      <c r="D1849" s="139"/>
    </row>
    <row r="1850" spans="4:4" ht="12.75" x14ac:dyDescent="0.2">
      <c r="D1850" s="139"/>
    </row>
    <row r="1851" spans="4:4" ht="12.75" x14ac:dyDescent="0.2">
      <c r="D1851" s="139"/>
    </row>
    <row r="1852" spans="4:4" ht="12.75" x14ac:dyDescent="0.2">
      <c r="D1852" s="139"/>
    </row>
    <row r="1853" spans="4:4" ht="12.75" x14ac:dyDescent="0.2">
      <c r="D1853" s="139"/>
    </row>
    <row r="1854" spans="4:4" ht="12.75" x14ac:dyDescent="0.2">
      <c r="D1854" s="139"/>
    </row>
    <row r="1855" spans="4:4" ht="12.75" x14ac:dyDescent="0.2">
      <c r="D1855" s="139"/>
    </row>
    <row r="1856" spans="4:4" ht="12.75" x14ac:dyDescent="0.2">
      <c r="D1856" s="139"/>
    </row>
    <row r="1857" spans="4:4" ht="12.75" x14ac:dyDescent="0.2">
      <c r="D1857" s="139"/>
    </row>
    <row r="1858" spans="4:4" ht="12.75" x14ac:dyDescent="0.2">
      <c r="D1858" s="139"/>
    </row>
    <row r="1859" spans="4:4" ht="12.75" x14ac:dyDescent="0.2">
      <c r="D1859" s="139"/>
    </row>
    <row r="1860" spans="4:4" ht="12.75" x14ac:dyDescent="0.2">
      <c r="D1860" s="139"/>
    </row>
    <row r="1861" spans="4:4" ht="12.75" x14ac:dyDescent="0.2">
      <c r="D1861" s="139"/>
    </row>
    <row r="1862" spans="4:4" ht="12.75" x14ac:dyDescent="0.2">
      <c r="D1862" s="139"/>
    </row>
    <row r="1863" spans="4:4" ht="12.75" x14ac:dyDescent="0.2">
      <c r="D1863" s="139"/>
    </row>
    <row r="1864" spans="4:4" ht="12.75" x14ac:dyDescent="0.2">
      <c r="D1864" s="139"/>
    </row>
    <row r="1865" spans="4:4" ht="12.75" x14ac:dyDescent="0.2">
      <c r="D1865" s="139"/>
    </row>
    <row r="1866" spans="4:4" ht="12.75" x14ac:dyDescent="0.2">
      <c r="D1866" s="139"/>
    </row>
    <row r="1867" spans="4:4" ht="12.75" x14ac:dyDescent="0.2">
      <c r="D1867" s="139"/>
    </row>
    <row r="1868" spans="4:4" ht="12.75" x14ac:dyDescent="0.2">
      <c r="D1868" s="139"/>
    </row>
    <row r="1869" spans="4:4" ht="12.75" x14ac:dyDescent="0.2">
      <c r="D1869" s="139"/>
    </row>
    <row r="1870" spans="4:4" ht="12.75" x14ac:dyDescent="0.2">
      <c r="D1870" s="139"/>
    </row>
    <row r="1871" spans="4:4" ht="12.75" x14ac:dyDescent="0.2">
      <c r="D1871" s="139"/>
    </row>
    <row r="1872" spans="4:4" ht="12.75" x14ac:dyDescent="0.2">
      <c r="D1872" s="139"/>
    </row>
    <row r="1873" spans="4:4" ht="12.75" x14ac:dyDescent="0.2">
      <c r="D1873" s="139"/>
    </row>
    <row r="1874" spans="4:4" ht="12.75" x14ac:dyDescent="0.2">
      <c r="D1874" s="139"/>
    </row>
    <row r="1875" spans="4:4" ht="12.75" x14ac:dyDescent="0.2">
      <c r="D1875" s="139"/>
    </row>
    <row r="1876" spans="4:4" ht="12.75" x14ac:dyDescent="0.2">
      <c r="D1876" s="139"/>
    </row>
    <row r="1877" spans="4:4" ht="12.75" x14ac:dyDescent="0.2">
      <c r="D1877" s="139"/>
    </row>
    <row r="1878" spans="4:4" ht="12.75" x14ac:dyDescent="0.2">
      <c r="D1878" s="139"/>
    </row>
    <row r="1879" spans="4:4" ht="12.75" x14ac:dyDescent="0.2">
      <c r="D1879" s="139"/>
    </row>
    <row r="1880" spans="4:4" ht="12.75" x14ac:dyDescent="0.2">
      <c r="D1880" s="139"/>
    </row>
    <row r="1881" spans="4:4" ht="12.75" x14ac:dyDescent="0.2">
      <c r="D1881" s="139"/>
    </row>
    <row r="1882" spans="4:4" ht="12.75" x14ac:dyDescent="0.2">
      <c r="D1882" s="139"/>
    </row>
    <row r="1883" spans="4:4" ht="12.75" x14ac:dyDescent="0.2">
      <c r="D1883" s="139"/>
    </row>
    <row r="1884" spans="4:4" ht="12.75" x14ac:dyDescent="0.2">
      <c r="D1884" s="139"/>
    </row>
    <row r="1885" spans="4:4" ht="12.75" x14ac:dyDescent="0.2">
      <c r="D1885" s="139"/>
    </row>
    <row r="1886" spans="4:4" ht="12.75" x14ac:dyDescent="0.2">
      <c r="D1886" s="139"/>
    </row>
    <row r="1887" spans="4:4" ht="12.75" x14ac:dyDescent="0.2">
      <c r="D1887" s="139"/>
    </row>
    <row r="1888" spans="4:4" ht="12.75" x14ac:dyDescent="0.2">
      <c r="D1888" s="139"/>
    </row>
    <row r="1889" spans="4:4" ht="12.75" x14ac:dyDescent="0.2">
      <c r="D1889" s="139"/>
    </row>
    <row r="1890" spans="4:4" ht="12.75" x14ac:dyDescent="0.2">
      <c r="D1890" s="139"/>
    </row>
    <row r="1891" spans="4:4" ht="12.75" x14ac:dyDescent="0.2">
      <c r="D1891" s="139"/>
    </row>
    <row r="1892" spans="4:4" ht="12.75" x14ac:dyDescent="0.2">
      <c r="D1892" s="139"/>
    </row>
    <row r="1893" spans="4:4" ht="12.75" x14ac:dyDescent="0.2">
      <c r="D1893" s="139"/>
    </row>
    <row r="1894" spans="4:4" ht="12.75" x14ac:dyDescent="0.2">
      <c r="D1894" s="139"/>
    </row>
    <row r="1895" spans="4:4" ht="12.75" x14ac:dyDescent="0.2">
      <c r="D1895" s="139"/>
    </row>
    <row r="1896" spans="4:4" ht="12.75" x14ac:dyDescent="0.2">
      <c r="D1896" s="139"/>
    </row>
    <row r="1897" spans="4:4" ht="12.75" x14ac:dyDescent="0.2">
      <c r="D1897" s="139"/>
    </row>
    <row r="1898" spans="4:4" ht="12.75" x14ac:dyDescent="0.2">
      <c r="D1898" s="139"/>
    </row>
    <row r="1899" spans="4:4" ht="12.75" x14ac:dyDescent="0.2">
      <c r="D1899" s="139"/>
    </row>
    <row r="1900" spans="4:4" ht="12.75" x14ac:dyDescent="0.2">
      <c r="D1900" s="139"/>
    </row>
    <row r="1901" spans="4:4" ht="12.75" x14ac:dyDescent="0.2">
      <c r="D1901" s="139"/>
    </row>
    <row r="1902" spans="4:4" ht="12.75" x14ac:dyDescent="0.2">
      <c r="D1902" s="139"/>
    </row>
    <row r="1903" spans="4:4" ht="12.75" x14ac:dyDescent="0.2">
      <c r="D1903" s="139"/>
    </row>
    <row r="1904" spans="4:4" ht="12.75" x14ac:dyDescent="0.2">
      <c r="D1904" s="139"/>
    </row>
    <row r="1905" spans="4:4" ht="12.75" x14ac:dyDescent="0.2">
      <c r="D1905" s="139"/>
    </row>
    <row r="1906" spans="4:4" ht="12.75" x14ac:dyDescent="0.2">
      <c r="D1906" s="139"/>
    </row>
    <row r="1907" spans="4:4" ht="12.75" x14ac:dyDescent="0.2">
      <c r="D1907" s="139"/>
    </row>
    <row r="1908" spans="4:4" ht="12.75" x14ac:dyDescent="0.2">
      <c r="D1908" s="139"/>
    </row>
    <row r="1909" spans="4:4" ht="12.75" x14ac:dyDescent="0.2">
      <c r="D1909" s="139"/>
    </row>
    <row r="1910" spans="4:4" ht="12.75" x14ac:dyDescent="0.2">
      <c r="D1910" s="139"/>
    </row>
    <row r="1911" spans="4:4" ht="12.75" x14ac:dyDescent="0.2">
      <c r="D1911" s="139"/>
    </row>
    <row r="1912" spans="4:4" ht="12.75" x14ac:dyDescent="0.2">
      <c r="D1912" s="139"/>
    </row>
    <row r="1913" spans="4:4" ht="12.75" x14ac:dyDescent="0.2">
      <c r="D1913" s="139"/>
    </row>
    <row r="1914" spans="4:4" ht="12.75" x14ac:dyDescent="0.2">
      <c r="D1914" s="139"/>
    </row>
    <row r="1915" spans="4:4" ht="12.75" x14ac:dyDescent="0.2">
      <c r="D1915" s="139"/>
    </row>
    <row r="1916" spans="4:4" ht="12.75" x14ac:dyDescent="0.2">
      <c r="D1916" s="139"/>
    </row>
    <row r="1917" spans="4:4" ht="12.75" x14ac:dyDescent="0.2">
      <c r="D1917" s="139"/>
    </row>
    <row r="1918" spans="4:4" ht="12.75" x14ac:dyDescent="0.2">
      <c r="D1918" s="139"/>
    </row>
    <row r="1919" spans="4:4" ht="12.75" x14ac:dyDescent="0.2">
      <c r="D1919" s="139"/>
    </row>
    <row r="1920" spans="4:4" ht="12.75" x14ac:dyDescent="0.2">
      <c r="D1920" s="139"/>
    </row>
    <row r="1921" spans="4:4" ht="12.75" x14ac:dyDescent="0.2">
      <c r="D1921" s="139"/>
    </row>
    <row r="1922" spans="4:4" ht="12.75" x14ac:dyDescent="0.2">
      <c r="D1922" s="139"/>
    </row>
    <row r="1923" spans="4:4" ht="12.75" x14ac:dyDescent="0.2">
      <c r="D1923" s="139"/>
    </row>
    <row r="1924" spans="4:4" ht="12.75" x14ac:dyDescent="0.2">
      <c r="D1924" s="139"/>
    </row>
    <row r="1925" spans="4:4" ht="12.75" x14ac:dyDescent="0.2">
      <c r="D1925" s="139"/>
    </row>
    <row r="1926" spans="4:4" ht="12.75" x14ac:dyDescent="0.2">
      <c r="D1926" s="139"/>
    </row>
    <row r="1927" spans="4:4" ht="12.75" x14ac:dyDescent="0.2">
      <c r="D1927" s="139"/>
    </row>
    <row r="1928" spans="4:4" ht="12.75" x14ac:dyDescent="0.2">
      <c r="D1928" s="139"/>
    </row>
    <row r="1929" spans="4:4" ht="12.75" x14ac:dyDescent="0.2">
      <c r="D1929" s="139"/>
    </row>
    <row r="1930" spans="4:4" ht="12.75" x14ac:dyDescent="0.2">
      <c r="D1930" s="139"/>
    </row>
    <row r="1931" spans="4:4" ht="12.75" x14ac:dyDescent="0.2">
      <c r="D1931" s="139"/>
    </row>
    <row r="1932" spans="4:4" ht="12.75" x14ac:dyDescent="0.2">
      <c r="D1932" s="139"/>
    </row>
    <row r="1933" spans="4:4" ht="12.75" x14ac:dyDescent="0.2">
      <c r="D1933" s="139"/>
    </row>
    <row r="1934" spans="4:4" ht="12.75" x14ac:dyDescent="0.2">
      <c r="D1934" s="139"/>
    </row>
    <row r="1935" spans="4:4" ht="12.75" x14ac:dyDescent="0.2">
      <c r="D1935" s="139"/>
    </row>
    <row r="1936" spans="4:4" ht="12.75" x14ac:dyDescent="0.2">
      <c r="D1936" s="139"/>
    </row>
    <row r="1937" spans="4:4" ht="12.75" x14ac:dyDescent="0.2">
      <c r="D1937" s="139"/>
    </row>
    <row r="1938" spans="4:4" ht="12.75" x14ac:dyDescent="0.2">
      <c r="D1938" s="139"/>
    </row>
    <row r="1939" spans="4:4" ht="12.75" x14ac:dyDescent="0.2">
      <c r="D1939" s="139"/>
    </row>
    <row r="1940" spans="4:4" ht="12.75" x14ac:dyDescent="0.2">
      <c r="D1940" s="139"/>
    </row>
    <row r="1941" spans="4:4" ht="12.75" x14ac:dyDescent="0.2">
      <c r="D1941" s="139"/>
    </row>
    <row r="1942" spans="4:4" ht="12.75" x14ac:dyDescent="0.2">
      <c r="D1942" s="139"/>
    </row>
    <row r="1943" spans="4:4" ht="12.75" x14ac:dyDescent="0.2">
      <c r="D1943" s="139"/>
    </row>
    <row r="1944" spans="4:4" ht="12.75" x14ac:dyDescent="0.2">
      <c r="D1944" s="139"/>
    </row>
    <row r="1945" spans="4:4" ht="12.75" x14ac:dyDescent="0.2">
      <c r="D1945" s="139"/>
    </row>
    <row r="1946" spans="4:4" ht="12.75" x14ac:dyDescent="0.2">
      <c r="D1946" s="139"/>
    </row>
    <row r="1947" spans="4:4" ht="12.75" x14ac:dyDescent="0.2">
      <c r="D1947" s="139"/>
    </row>
    <row r="1948" spans="4:4" ht="12.75" x14ac:dyDescent="0.2">
      <c r="D1948" s="139"/>
    </row>
    <row r="1949" spans="4:4" ht="12.75" x14ac:dyDescent="0.2">
      <c r="D1949" s="139"/>
    </row>
    <row r="1950" spans="4:4" ht="12.75" x14ac:dyDescent="0.2">
      <c r="D1950" s="139"/>
    </row>
    <row r="1951" spans="4:4" ht="12.75" x14ac:dyDescent="0.2">
      <c r="D1951" s="139"/>
    </row>
    <row r="1952" spans="4:4" ht="12.75" x14ac:dyDescent="0.2">
      <c r="D1952" s="139"/>
    </row>
    <row r="1953" spans="4:4" ht="12.75" x14ac:dyDescent="0.2">
      <c r="D1953" s="139"/>
    </row>
    <row r="1954" spans="4:4" ht="12.75" x14ac:dyDescent="0.2">
      <c r="D1954" s="139"/>
    </row>
    <row r="1955" spans="4:4" ht="12.75" x14ac:dyDescent="0.2">
      <c r="D1955" s="139"/>
    </row>
    <row r="1956" spans="4:4" ht="12.75" x14ac:dyDescent="0.2">
      <c r="D1956" s="139"/>
    </row>
    <row r="1957" spans="4:4" ht="12.75" x14ac:dyDescent="0.2">
      <c r="D1957" s="139"/>
    </row>
    <row r="1958" spans="4:4" ht="12.75" x14ac:dyDescent="0.2">
      <c r="D1958" s="139"/>
    </row>
    <row r="1959" spans="4:4" ht="12.75" x14ac:dyDescent="0.2">
      <c r="D1959" s="139"/>
    </row>
    <row r="1960" spans="4:4" ht="12.75" x14ac:dyDescent="0.2">
      <c r="D1960" s="139"/>
    </row>
    <row r="1961" spans="4:4" ht="12.75" x14ac:dyDescent="0.2">
      <c r="D1961" s="139"/>
    </row>
    <row r="1962" spans="4:4" ht="12.75" x14ac:dyDescent="0.2">
      <c r="D1962" s="139"/>
    </row>
    <row r="1963" spans="4:4" ht="12.75" x14ac:dyDescent="0.2">
      <c r="D1963" s="139"/>
    </row>
    <row r="1964" spans="4:4" ht="12.75" x14ac:dyDescent="0.2">
      <c r="D1964" s="139"/>
    </row>
    <row r="1965" spans="4:4" ht="12.75" x14ac:dyDescent="0.2">
      <c r="D1965" s="139"/>
    </row>
    <row r="1966" spans="4:4" ht="12.75" x14ac:dyDescent="0.2">
      <c r="D1966" s="139"/>
    </row>
    <row r="1967" spans="4:4" ht="12.75" x14ac:dyDescent="0.2">
      <c r="D1967" s="139"/>
    </row>
    <row r="1968" spans="4:4" ht="12.75" x14ac:dyDescent="0.2">
      <c r="D1968" s="139"/>
    </row>
    <row r="1969" spans="4:4" ht="12.75" x14ac:dyDescent="0.2">
      <c r="D1969" s="139"/>
    </row>
    <row r="1970" spans="4:4" ht="12.75" x14ac:dyDescent="0.2">
      <c r="D1970" s="139"/>
    </row>
    <row r="1971" spans="4:4" ht="12.75" x14ac:dyDescent="0.2">
      <c r="D1971" s="139"/>
    </row>
    <row r="1972" spans="4:4" ht="12.75" x14ac:dyDescent="0.2">
      <c r="D1972" s="139"/>
    </row>
    <row r="1973" spans="4:4" ht="12.75" x14ac:dyDescent="0.2">
      <c r="D1973" s="139"/>
    </row>
    <row r="1974" spans="4:4" ht="12.75" x14ac:dyDescent="0.2">
      <c r="D1974" s="139"/>
    </row>
    <row r="1975" spans="4:4" ht="12.75" x14ac:dyDescent="0.2">
      <c r="D1975" s="139"/>
    </row>
    <row r="1976" spans="4:4" ht="12.75" x14ac:dyDescent="0.2">
      <c r="D1976" s="139"/>
    </row>
    <row r="1977" spans="4:4" ht="12.75" x14ac:dyDescent="0.2">
      <c r="D1977" s="139"/>
    </row>
    <row r="1978" spans="4:4" ht="12.75" x14ac:dyDescent="0.2">
      <c r="D1978" s="139"/>
    </row>
    <row r="1979" spans="4:4" ht="12.75" x14ac:dyDescent="0.2">
      <c r="D1979" s="139"/>
    </row>
    <row r="1980" spans="4:4" ht="12.75" x14ac:dyDescent="0.2">
      <c r="D1980" s="139"/>
    </row>
    <row r="1981" spans="4:4" ht="12.75" x14ac:dyDescent="0.2">
      <c r="D1981" s="139"/>
    </row>
    <row r="1982" spans="4:4" ht="12.75" x14ac:dyDescent="0.2">
      <c r="D1982" s="139"/>
    </row>
    <row r="1983" spans="4:4" ht="12.75" x14ac:dyDescent="0.2">
      <c r="D1983" s="139"/>
    </row>
    <row r="1984" spans="4:4" ht="12.75" x14ac:dyDescent="0.2">
      <c r="D1984" s="139"/>
    </row>
    <row r="1985" spans="4:4" ht="12.75" x14ac:dyDescent="0.2">
      <c r="D1985" s="139"/>
    </row>
    <row r="1986" spans="4:4" ht="12.75" x14ac:dyDescent="0.2">
      <c r="D1986" s="139"/>
    </row>
    <row r="1987" spans="4:4" ht="12.75" x14ac:dyDescent="0.2">
      <c r="D1987" s="139"/>
    </row>
    <row r="1988" spans="4:4" ht="12.75" x14ac:dyDescent="0.2">
      <c r="D1988" s="139"/>
    </row>
    <row r="1989" spans="4:4" ht="12.75" x14ac:dyDescent="0.2">
      <c r="D1989" s="139"/>
    </row>
    <row r="1990" spans="4:4" ht="12.75" x14ac:dyDescent="0.2">
      <c r="D1990" s="139"/>
    </row>
    <row r="1991" spans="4:4" ht="12.75" x14ac:dyDescent="0.2">
      <c r="D1991" s="139"/>
    </row>
    <row r="1992" spans="4:4" ht="12.75" x14ac:dyDescent="0.2">
      <c r="D1992" s="139"/>
    </row>
    <row r="1993" spans="4:4" ht="12.75" x14ac:dyDescent="0.2">
      <c r="D1993" s="139"/>
    </row>
    <row r="1994" spans="4:4" ht="12.75" x14ac:dyDescent="0.2">
      <c r="D1994" s="139"/>
    </row>
    <row r="1995" spans="4:4" ht="12.75" x14ac:dyDescent="0.2">
      <c r="D1995" s="139"/>
    </row>
    <row r="1996" spans="4:4" ht="12.75" x14ac:dyDescent="0.2">
      <c r="D1996" s="139"/>
    </row>
    <row r="1997" spans="4:4" ht="12.75" x14ac:dyDescent="0.2">
      <c r="D1997" s="139"/>
    </row>
    <row r="1998" spans="4:4" ht="12.75" x14ac:dyDescent="0.2">
      <c r="D1998" s="139"/>
    </row>
    <row r="1999" spans="4:4" ht="12.75" x14ac:dyDescent="0.2">
      <c r="D1999" s="139"/>
    </row>
    <row r="2000" spans="4:4" ht="12.75" x14ac:dyDescent="0.2">
      <c r="D2000" s="139"/>
    </row>
    <row r="2001" spans="4:4" ht="12.75" x14ac:dyDescent="0.2">
      <c r="D2001" s="139"/>
    </row>
    <row r="2002" spans="4:4" ht="12.75" x14ac:dyDescent="0.2">
      <c r="D2002" s="139"/>
    </row>
    <row r="2003" spans="4:4" ht="12.75" x14ac:dyDescent="0.2">
      <c r="D2003" s="139"/>
    </row>
    <row r="2004" spans="4:4" ht="12.75" x14ac:dyDescent="0.2">
      <c r="D2004" s="139"/>
    </row>
    <row r="2005" spans="4:4" ht="12.75" x14ac:dyDescent="0.2">
      <c r="D2005" s="139"/>
    </row>
    <row r="2006" spans="4:4" ht="12.75" x14ac:dyDescent="0.2">
      <c r="D2006" s="139"/>
    </row>
    <row r="2007" spans="4:4" ht="12.75" x14ac:dyDescent="0.2">
      <c r="D2007" s="139"/>
    </row>
    <row r="2008" spans="4:4" ht="12.75" x14ac:dyDescent="0.2">
      <c r="D2008" s="139"/>
    </row>
    <row r="2009" spans="4:4" ht="12.75" x14ac:dyDescent="0.2">
      <c r="D2009" s="139"/>
    </row>
    <row r="2010" spans="4:4" ht="12.75" x14ac:dyDescent="0.2">
      <c r="D2010" s="139"/>
    </row>
    <row r="2011" spans="4:4" ht="12.75" x14ac:dyDescent="0.2">
      <c r="D2011" s="139"/>
    </row>
    <row r="2012" spans="4:4" ht="12.75" x14ac:dyDescent="0.2">
      <c r="D2012" s="139"/>
    </row>
    <row r="2013" spans="4:4" ht="12.75" x14ac:dyDescent="0.2">
      <c r="D2013" s="139"/>
    </row>
    <row r="2014" spans="4:4" ht="12.75" x14ac:dyDescent="0.2">
      <c r="D2014" s="139"/>
    </row>
    <row r="2015" spans="4:4" ht="12.75" x14ac:dyDescent="0.2">
      <c r="D2015" s="139"/>
    </row>
    <row r="2016" spans="4:4" ht="12.75" x14ac:dyDescent="0.2">
      <c r="D2016" s="139"/>
    </row>
    <row r="2017" spans="4:4" ht="12.75" x14ac:dyDescent="0.2">
      <c r="D2017" s="139"/>
    </row>
    <row r="2018" spans="4:4" ht="12.75" x14ac:dyDescent="0.2">
      <c r="D2018" s="139"/>
    </row>
    <row r="2019" spans="4:4" ht="12.75" x14ac:dyDescent="0.2">
      <c r="D2019" s="139"/>
    </row>
    <row r="2020" spans="4:4" ht="12.75" x14ac:dyDescent="0.2">
      <c r="D2020" s="139"/>
    </row>
    <row r="2021" spans="4:4" ht="12.75" x14ac:dyDescent="0.2">
      <c r="D2021" s="139"/>
    </row>
    <row r="2022" spans="4:4" ht="12.75" x14ac:dyDescent="0.2">
      <c r="D2022" s="139"/>
    </row>
    <row r="2023" spans="4:4" ht="12.75" x14ac:dyDescent="0.2">
      <c r="D2023" s="139"/>
    </row>
    <row r="2024" spans="4:4" ht="12.75" x14ac:dyDescent="0.2">
      <c r="D2024" s="139"/>
    </row>
    <row r="2025" spans="4:4" ht="12.75" x14ac:dyDescent="0.2">
      <c r="D2025" s="139"/>
    </row>
    <row r="2026" spans="4:4" ht="12.75" x14ac:dyDescent="0.2">
      <c r="D2026" s="139"/>
    </row>
    <row r="2027" spans="4:4" ht="12.75" x14ac:dyDescent="0.2">
      <c r="D2027" s="139"/>
    </row>
    <row r="2028" spans="4:4" ht="12.75" x14ac:dyDescent="0.2">
      <c r="D2028" s="139"/>
    </row>
    <row r="2029" spans="4:4" ht="12.75" x14ac:dyDescent="0.2">
      <c r="D2029" s="139"/>
    </row>
    <row r="2030" spans="4:4" ht="12.75" x14ac:dyDescent="0.2">
      <c r="D2030" s="139"/>
    </row>
    <row r="2031" spans="4:4" ht="12.75" x14ac:dyDescent="0.2">
      <c r="D2031" s="139"/>
    </row>
    <row r="2032" spans="4:4" ht="12.75" x14ac:dyDescent="0.2">
      <c r="D2032" s="139"/>
    </row>
    <row r="2033" spans="4:4" ht="12.75" x14ac:dyDescent="0.2">
      <c r="D2033" s="139"/>
    </row>
    <row r="2034" spans="4:4" ht="12.75" x14ac:dyDescent="0.2">
      <c r="D2034" s="139"/>
    </row>
    <row r="2035" spans="4:4" ht="12.75" x14ac:dyDescent="0.2">
      <c r="D2035" s="139"/>
    </row>
    <row r="2036" spans="4:4" ht="12.75" x14ac:dyDescent="0.2">
      <c r="D2036" s="139"/>
    </row>
    <row r="2037" spans="4:4" ht="12.75" x14ac:dyDescent="0.2">
      <c r="D2037" s="139"/>
    </row>
    <row r="2038" spans="4:4" ht="12.75" x14ac:dyDescent="0.2">
      <c r="D2038" s="139"/>
    </row>
    <row r="2039" spans="4:4" ht="12.75" x14ac:dyDescent="0.2">
      <c r="D2039" s="139"/>
    </row>
    <row r="2040" spans="4:4" ht="12.75" x14ac:dyDescent="0.2">
      <c r="D2040" s="139"/>
    </row>
    <row r="2041" spans="4:4" ht="12.75" x14ac:dyDescent="0.2">
      <c r="D2041" s="139"/>
    </row>
    <row r="2042" spans="4:4" ht="12.75" x14ac:dyDescent="0.2">
      <c r="D2042" s="139"/>
    </row>
    <row r="2043" spans="4:4" ht="12.75" x14ac:dyDescent="0.2">
      <c r="D2043" s="139"/>
    </row>
    <row r="2044" spans="4:4" ht="12.75" x14ac:dyDescent="0.2">
      <c r="D2044" s="139"/>
    </row>
    <row r="2045" spans="4:4" ht="12.75" x14ac:dyDescent="0.2">
      <c r="D2045" s="139"/>
    </row>
    <row r="2046" spans="4:4" ht="12.75" x14ac:dyDescent="0.2">
      <c r="D2046" s="139"/>
    </row>
    <row r="2047" spans="4:4" ht="12.75" x14ac:dyDescent="0.2">
      <c r="D2047" s="139"/>
    </row>
    <row r="2048" spans="4:4" ht="12.75" x14ac:dyDescent="0.2">
      <c r="D2048" s="139"/>
    </row>
    <row r="2049" spans="4:4" ht="12.75" x14ac:dyDescent="0.2">
      <c r="D2049" s="139"/>
    </row>
    <row r="2050" spans="4:4" ht="12.75" x14ac:dyDescent="0.2">
      <c r="D2050" s="139"/>
    </row>
    <row r="2051" spans="4:4" ht="12.75" x14ac:dyDescent="0.2">
      <c r="D2051" s="139"/>
    </row>
    <row r="2052" spans="4:4" ht="12.75" x14ac:dyDescent="0.2">
      <c r="D2052" s="139"/>
    </row>
    <row r="2053" spans="4:4" ht="12.75" x14ac:dyDescent="0.2">
      <c r="D2053" s="139"/>
    </row>
    <row r="2054" spans="4:4" ht="12.75" x14ac:dyDescent="0.2">
      <c r="D2054" s="139"/>
    </row>
    <row r="2055" spans="4:4" ht="12.75" x14ac:dyDescent="0.2">
      <c r="D2055" s="139"/>
    </row>
    <row r="2056" spans="4:4" ht="12.75" x14ac:dyDescent="0.2">
      <c r="D2056" s="139"/>
    </row>
    <row r="2057" spans="4:4" ht="12.75" x14ac:dyDescent="0.2">
      <c r="D2057" s="139"/>
    </row>
    <row r="2058" spans="4:4" ht="12.75" x14ac:dyDescent="0.2">
      <c r="D2058" s="139"/>
    </row>
    <row r="2059" spans="4:4" ht="12.75" x14ac:dyDescent="0.2">
      <c r="D2059" s="139"/>
    </row>
    <row r="2060" spans="4:4" ht="12.75" x14ac:dyDescent="0.2">
      <c r="D2060" s="139"/>
    </row>
    <row r="2061" spans="4:4" ht="12.75" x14ac:dyDescent="0.2">
      <c r="D2061" s="139"/>
    </row>
    <row r="2062" spans="4:4" ht="12.75" x14ac:dyDescent="0.2">
      <c r="D2062" s="139"/>
    </row>
    <row r="2063" spans="4:4" ht="12.75" x14ac:dyDescent="0.2">
      <c r="D2063" s="139"/>
    </row>
    <row r="2064" spans="4:4" ht="12.75" x14ac:dyDescent="0.2">
      <c r="D2064" s="139"/>
    </row>
    <row r="2065" spans="4:4" ht="12.75" x14ac:dyDescent="0.2">
      <c r="D2065" s="139"/>
    </row>
    <row r="2066" spans="4:4" ht="12.75" x14ac:dyDescent="0.2">
      <c r="D2066" s="139"/>
    </row>
    <row r="2067" spans="4:4" ht="12.75" x14ac:dyDescent="0.2">
      <c r="D2067" s="139"/>
    </row>
    <row r="2068" spans="4:4" ht="12.75" x14ac:dyDescent="0.2">
      <c r="D2068" s="139"/>
    </row>
    <row r="2069" spans="4:4" ht="12.75" x14ac:dyDescent="0.2">
      <c r="D2069" s="139"/>
    </row>
    <row r="2070" spans="4:4" ht="12.75" x14ac:dyDescent="0.2">
      <c r="D2070" s="139"/>
    </row>
    <row r="2071" spans="4:4" ht="12.75" x14ac:dyDescent="0.2">
      <c r="D2071" s="139"/>
    </row>
    <row r="2072" spans="4:4" ht="12.75" x14ac:dyDescent="0.2">
      <c r="D2072" s="139"/>
    </row>
    <row r="2073" spans="4:4" ht="12.75" x14ac:dyDescent="0.2">
      <c r="D2073" s="139"/>
    </row>
    <row r="2074" spans="4:4" ht="12.75" x14ac:dyDescent="0.2">
      <c r="D2074" s="139"/>
    </row>
    <row r="2075" spans="4:4" ht="12.75" x14ac:dyDescent="0.2">
      <c r="D2075" s="139"/>
    </row>
    <row r="2076" spans="4:4" ht="12.75" x14ac:dyDescent="0.2">
      <c r="D2076" s="139"/>
    </row>
    <row r="2077" spans="4:4" ht="12.75" x14ac:dyDescent="0.2">
      <c r="D2077" s="139"/>
    </row>
    <row r="2078" spans="4:4" ht="12.75" x14ac:dyDescent="0.2">
      <c r="D2078" s="139"/>
    </row>
    <row r="2079" spans="4:4" ht="12.75" x14ac:dyDescent="0.2">
      <c r="D2079" s="139"/>
    </row>
    <row r="2080" spans="4:4" ht="12.75" x14ac:dyDescent="0.2">
      <c r="D2080" s="139"/>
    </row>
    <row r="2081" spans="4:4" ht="12.75" x14ac:dyDescent="0.2">
      <c r="D2081" s="139"/>
    </row>
    <row r="2082" spans="4:4" ht="12.75" x14ac:dyDescent="0.2">
      <c r="D2082" s="139"/>
    </row>
    <row r="2083" spans="4:4" ht="12.75" x14ac:dyDescent="0.2">
      <c r="D2083" s="139"/>
    </row>
    <row r="2084" spans="4:4" ht="12.75" x14ac:dyDescent="0.2">
      <c r="D2084" s="139"/>
    </row>
    <row r="2085" spans="4:4" ht="12.75" x14ac:dyDescent="0.2">
      <c r="D2085" s="139"/>
    </row>
    <row r="2086" spans="4:4" ht="12.75" x14ac:dyDescent="0.2">
      <c r="D2086" s="139"/>
    </row>
    <row r="2087" spans="4:4" ht="12.75" x14ac:dyDescent="0.2">
      <c r="D2087" s="139"/>
    </row>
    <row r="2088" spans="4:4" ht="12.75" x14ac:dyDescent="0.2">
      <c r="D2088" s="139"/>
    </row>
    <row r="2089" spans="4:4" ht="12.75" x14ac:dyDescent="0.2">
      <c r="D2089" s="139"/>
    </row>
    <row r="2090" spans="4:4" ht="12.75" x14ac:dyDescent="0.2">
      <c r="D2090" s="139"/>
    </row>
    <row r="2091" spans="4:4" ht="12.75" x14ac:dyDescent="0.2">
      <c r="D2091" s="139"/>
    </row>
    <row r="2092" spans="4:4" ht="12.75" x14ac:dyDescent="0.2">
      <c r="D2092" s="139"/>
    </row>
    <row r="2093" spans="4:4" ht="12.75" x14ac:dyDescent="0.2">
      <c r="D2093" s="139"/>
    </row>
    <row r="2094" spans="4:4" ht="12.75" x14ac:dyDescent="0.2">
      <c r="D2094" s="139"/>
    </row>
    <row r="2095" spans="4:4" ht="12.75" x14ac:dyDescent="0.2">
      <c r="D2095" s="139"/>
    </row>
    <row r="2096" spans="4:4" ht="12.75" x14ac:dyDescent="0.2">
      <c r="D2096" s="139"/>
    </row>
    <row r="2097" spans="4:4" ht="12.75" x14ac:dyDescent="0.2">
      <c r="D2097" s="139"/>
    </row>
    <row r="2098" spans="4:4" ht="12.75" x14ac:dyDescent="0.2">
      <c r="D2098" s="139"/>
    </row>
    <row r="2099" spans="4:4" ht="12.75" x14ac:dyDescent="0.2">
      <c r="D2099" s="139"/>
    </row>
    <row r="2100" spans="4:4" ht="12.75" x14ac:dyDescent="0.2">
      <c r="D2100" s="139"/>
    </row>
    <row r="2101" spans="4:4" ht="12.75" x14ac:dyDescent="0.2">
      <c r="D2101" s="139"/>
    </row>
    <row r="2102" spans="4:4" ht="12.75" x14ac:dyDescent="0.2">
      <c r="D2102" s="139"/>
    </row>
    <row r="2103" spans="4:4" ht="12.75" x14ac:dyDescent="0.2">
      <c r="D2103" s="139"/>
    </row>
    <row r="2104" spans="4:4" ht="12.75" x14ac:dyDescent="0.2">
      <c r="D2104" s="139"/>
    </row>
    <row r="2105" spans="4:4" ht="12.75" x14ac:dyDescent="0.2">
      <c r="D2105" s="139"/>
    </row>
    <row r="2106" spans="4:4" ht="12.75" x14ac:dyDescent="0.2">
      <c r="D2106" s="139"/>
    </row>
    <row r="2107" spans="4:4" ht="12.75" x14ac:dyDescent="0.2">
      <c r="D2107" s="139"/>
    </row>
    <row r="2108" spans="4:4" ht="12.75" x14ac:dyDescent="0.2">
      <c r="D2108" s="139"/>
    </row>
    <row r="2109" spans="4:4" ht="12.75" x14ac:dyDescent="0.2">
      <c r="D2109" s="139"/>
    </row>
    <row r="2110" spans="4:4" ht="12.75" x14ac:dyDescent="0.2">
      <c r="D2110" s="139"/>
    </row>
    <row r="2111" spans="4:4" ht="12.75" x14ac:dyDescent="0.2">
      <c r="D2111" s="139"/>
    </row>
    <row r="2112" spans="4:4" ht="12.75" x14ac:dyDescent="0.2">
      <c r="D2112" s="139"/>
    </row>
    <row r="2113" spans="4:4" ht="12.75" x14ac:dyDescent="0.2">
      <c r="D2113" s="139"/>
    </row>
    <row r="2114" spans="4:4" ht="12.75" x14ac:dyDescent="0.2">
      <c r="D2114" s="139"/>
    </row>
    <row r="2115" spans="4:4" ht="12.75" x14ac:dyDescent="0.2">
      <c r="D2115" s="139"/>
    </row>
    <row r="2116" spans="4:4" ht="12.75" x14ac:dyDescent="0.2">
      <c r="D2116" s="139"/>
    </row>
    <row r="2117" spans="4:4" ht="12.75" x14ac:dyDescent="0.2">
      <c r="D2117" s="139"/>
    </row>
    <row r="2118" spans="4:4" ht="12.75" x14ac:dyDescent="0.2">
      <c r="D2118" s="139"/>
    </row>
    <row r="2119" spans="4:4" ht="12.75" x14ac:dyDescent="0.2">
      <c r="D2119" s="139"/>
    </row>
    <row r="2120" spans="4:4" ht="12.75" x14ac:dyDescent="0.2">
      <c r="D2120" s="139"/>
    </row>
    <row r="2121" spans="4:4" ht="12.75" x14ac:dyDescent="0.2">
      <c r="D2121" s="139"/>
    </row>
    <row r="2122" spans="4:4" ht="12.75" x14ac:dyDescent="0.2">
      <c r="D2122" s="139"/>
    </row>
    <row r="2123" spans="4:4" ht="12.75" x14ac:dyDescent="0.2">
      <c r="D2123" s="139"/>
    </row>
    <row r="2124" spans="4:4" ht="12.75" x14ac:dyDescent="0.2">
      <c r="D2124" s="139"/>
    </row>
    <row r="2125" spans="4:4" ht="12.75" x14ac:dyDescent="0.2">
      <c r="D2125" s="139"/>
    </row>
    <row r="2126" spans="4:4" ht="12.75" x14ac:dyDescent="0.2">
      <c r="D2126" s="139"/>
    </row>
    <row r="2127" spans="4:4" ht="12.75" x14ac:dyDescent="0.2">
      <c r="D2127" s="139"/>
    </row>
    <row r="2128" spans="4:4" ht="12.75" x14ac:dyDescent="0.2">
      <c r="D2128" s="139"/>
    </row>
    <row r="2129" spans="4:4" ht="12.75" x14ac:dyDescent="0.2">
      <c r="D2129" s="139"/>
    </row>
    <row r="2130" spans="4:4" ht="12.75" x14ac:dyDescent="0.2">
      <c r="D2130" s="139"/>
    </row>
    <row r="2131" spans="4:4" ht="12.75" x14ac:dyDescent="0.2">
      <c r="D2131" s="139"/>
    </row>
    <row r="2132" spans="4:4" ht="12.75" x14ac:dyDescent="0.2">
      <c r="D2132" s="139"/>
    </row>
    <row r="2133" spans="4:4" ht="12.75" x14ac:dyDescent="0.2">
      <c r="D2133" s="139"/>
    </row>
    <row r="2134" spans="4:4" ht="12.75" x14ac:dyDescent="0.2">
      <c r="D2134" s="139"/>
    </row>
    <row r="2135" spans="4:4" ht="12.75" x14ac:dyDescent="0.2">
      <c r="D2135" s="139"/>
    </row>
    <row r="2136" spans="4:4" ht="12.75" x14ac:dyDescent="0.2">
      <c r="D2136" s="139"/>
    </row>
    <row r="2137" spans="4:4" ht="12.75" x14ac:dyDescent="0.2">
      <c r="D2137" s="139"/>
    </row>
    <row r="2138" spans="4:4" ht="12.75" x14ac:dyDescent="0.2">
      <c r="D2138" s="139"/>
    </row>
    <row r="2139" spans="4:4" ht="12.75" x14ac:dyDescent="0.2">
      <c r="D2139" s="139"/>
    </row>
    <row r="2140" spans="4:4" ht="12.75" x14ac:dyDescent="0.2">
      <c r="D2140" s="139"/>
    </row>
    <row r="2141" spans="4:4" ht="12.75" x14ac:dyDescent="0.2">
      <c r="D2141" s="139"/>
    </row>
    <row r="2142" spans="4:4" ht="12.75" x14ac:dyDescent="0.2">
      <c r="D2142" s="139"/>
    </row>
    <row r="2143" spans="4:4" ht="12.75" x14ac:dyDescent="0.2">
      <c r="D2143" s="139"/>
    </row>
    <row r="2144" spans="4:4" ht="12.75" x14ac:dyDescent="0.2">
      <c r="D2144" s="139"/>
    </row>
    <row r="2145" spans="4:4" ht="12.75" x14ac:dyDescent="0.2">
      <c r="D2145" s="139"/>
    </row>
    <row r="2146" spans="4:4" ht="12.75" x14ac:dyDescent="0.2">
      <c r="D2146" s="139"/>
    </row>
    <row r="2147" spans="4:4" ht="12.75" x14ac:dyDescent="0.2">
      <c r="D2147" s="139"/>
    </row>
    <row r="2148" spans="4:4" ht="12.75" x14ac:dyDescent="0.2">
      <c r="D2148" s="139"/>
    </row>
    <row r="2149" spans="4:4" ht="12.75" x14ac:dyDescent="0.2">
      <c r="D2149" s="139"/>
    </row>
    <row r="2150" spans="4:4" ht="12.75" x14ac:dyDescent="0.2">
      <c r="D2150" s="139"/>
    </row>
    <row r="2151" spans="4:4" ht="12.75" x14ac:dyDescent="0.2">
      <c r="D2151" s="139"/>
    </row>
    <row r="2152" spans="4:4" ht="12.75" x14ac:dyDescent="0.2">
      <c r="D2152" s="139"/>
    </row>
    <row r="2153" spans="4:4" ht="12.75" x14ac:dyDescent="0.2">
      <c r="D2153" s="139"/>
    </row>
    <row r="2154" spans="4:4" ht="12.75" x14ac:dyDescent="0.2">
      <c r="D2154" s="139"/>
    </row>
    <row r="2155" spans="4:4" ht="12.75" x14ac:dyDescent="0.2">
      <c r="D2155" s="139"/>
    </row>
    <row r="2156" spans="4:4" ht="12.75" x14ac:dyDescent="0.2">
      <c r="D2156" s="139"/>
    </row>
    <row r="2157" spans="4:4" ht="12.75" x14ac:dyDescent="0.2">
      <c r="D2157" s="139"/>
    </row>
    <row r="2158" spans="4:4" ht="12.75" x14ac:dyDescent="0.2">
      <c r="D2158" s="139"/>
    </row>
    <row r="2159" spans="4:4" ht="12.75" x14ac:dyDescent="0.2">
      <c r="D2159" s="139"/>
    </row>
    <row r="2160" spans="4:4" ht="12.75" x14ac:dyDescent="0.2">
      <c r="D2160" s="139"/>
    </row>
    <row r="2161" spans="4:4" ht="12.75" x14ac:dyDescent="0.2">
      <c r="D2161" s="139"/>
    </row>
    <row r="2162" spans="4:4" ht="12.75" x14ac:dyDescent="0.2">
      <c r="D2162" s="139"/>
    </row>
    <row r="2163" spans="4:4" ht="12.75" x14ac:dyDescent="0.2">
      <c r="D2163" s="139"/>
    </row>
    <row r="2164" spans="4:4" ht="12.75" x14ac:dyDescent="0.2">
      <c r="D2164" s="139"/>
    </row>
    <row r="2165" spans="4:4" ht="12.75" x14ac:dyDescent="0.2">
      <c r="D2165" s="139"/>
    </row>
    <row r="2166" spans="4:4" ht="12.75" x14ac:dyDescent="0.2">
      <c r="D2166" s="139"/>
    </row>
    <row r="2167" spans="4:4" ht="12.75" x14ac:dyDescent="0.2">
      <c r="D2167" s="139"/>
    </row>
    <row r="2168" spans="4:4" ht="12.75" x14ac:dyDescent="0.2">
      <c r="D2168" s="139"/>
    </row>
    <row r="2169" spans="4:4" ht="12.75" x14ac:dyDescent="0.2">
      <c r="D2169" s="139"/>
    </row>
    <row r="2170" spans="4:4" ht="12.75" x14ac:dyDescent="0.2">
      <c r="D2170" s="139"/>
    </row>
    <row r="2171" spans="4:4" ht="12.75" x14ac:dyDescent="0.2">
      <c r="D2171" s="139"/>
    </row>
    <row r="2172" spans="4:4" ht="12.75" x14ac:dyDescent="0.2">
      <c r="D2172" s="139"/>
    </row>
    <row r="2173" spans="4:4" ht="12.75" x14ac:dyDescent="0.2">
      <c r="D2173" s="139"/>
    </row>
    <row r="2174" spans="4:4" ht="12.75" x14ac:dyDescent="0.2">
      <c r="D2174" s="139"/>
    </row>
    <row r="2175" spans="4:4" ht="12.75" x14ac:dyDescent="0.2">
      <c r="D2175" s="139"/>
    </row>
    <row r="2176" spans="4:4" ht="12.75" x14ac:dyDescent="0.2">
      <c r="D2176" s="139"/>
    </row>
    <row r="2177" spans="4:4" ht="12.75" x14ac:dyDescent="0.2">
      <c r="D2177" s="139"/>
    </row>
    <row r="2178" spans="4:4" ht="12.75" x14ac:dyDescent="0.2">
      <c r="D2178" s="139"/>
    </row>
    <row r="2179" spans="4:4" ht="12.75" x14ac:dyDescent="0.2">
      <c r="D2179" s="139"/>
    </row>
    <row r="2180" spans="4:4" ht="12.75" x14ac:dyDescent="0.2">
      <c r="D2180" s="139"/>
    </row>
    <row r="2181" spans="4:4" ht="12.75" x14ac:dyDescent="0.2">
      <c r="D2181" s="139"/>
    </row>
    <row r="2182" spans="4:4" ht="12.75" x14ac:dyDescent="0.2">
      <c r="D2182" s="139"/>
    </row>
    <row r="2183" spans="4:4" ht="12.75" x14ac:dyDescent="0.2">
      <c r="D2183" s="139"/>
    </row>
    <row r="2184" spans="4:4" ht="12.75" x14ac:dyDescent="0.2">
      <c r="D2184" s="139"/>
    </row>
    <row r="2185" spans="4:4" ht="12.75" x14ac:dyDescent="0.2">
      <c r="D2185" s="139"/>
    </row>
    <row r="2186" spans="4:4" ht="12.75" x14ac:dyDescent="0.2">
      <c r="D2186" s="139"/>
    </row>
    <row r="2187" spans="4:4" ht="12.75" x14ac:dyDescent="0.2">
      <c r="D2187" s="139"/>
    </row>
    <row r="2188" spans="4:4" ht="12.75" x14ac:dyDescent="0.2">
      <c r="D2188" s="139"/>
    </row>
    <row r="2189" spans="4:4" ht="12.75" x14ac:dyDescent="0.2">
      <c r="D2189" s="139"/>
    </row>
    <row r="2190" spans="4:4" ht="12.75" x14ac:dyDescent="0.2">
      <c r="D2190" s="139"/>
    </row>
    <row r="2191" spans="4:4" ht="12.75" x14ac:dyDescent="0.2">
      <c r="D2191" s="139"/>
    </row>
    <row r="2192" spans="4:4" ht="12.75" x14ac:dyDescent="0.2">
      <c r="D2192" s="139"/>
    </row>
    <row r="2193" spans="4:4" ht="12.75" x14ac:dyDescent="0.2">
      <c r="D2193" s="139"/>
    </row>
    <row r="2194" spans="4:4" ht="12.75" x14ac:dyDescent="0.2">
      <c r="D2194" s="139"/>
    </row>
    <row r="2195" spans="4:4" ht="12.75" x14ac:dyDescent="0.2">
      <c r="D2195" s="139"/>
    </row>
    <row r="2196" spans="4:4" ht="12.75" x14ac:dyDescent="0.2">
      <c r="D2196" s="139"/>
    </row>
    <row r="2197" spans="4:4" ht="12.75" x14ac:dyDescent="0.2">
      <c r="D2197" s="139"/>
    </row>
    <row r="2198" spans="4:4" ht="12.75" x14ac:dyDescent="0.2">
      <c r="D2198" s="139"/>
    </row>
    <row r="2199" spans="4:4" ht="12.75" x14ac:dyDescent="0.2">
      <c r="D2199" s="139"/>
    </row>
    <row r="2200" spans="4:4" ht="12.75" x14ac:dyDescent="0.2">
      <c r="D2200" s="139"/>
    </row>
    <row r="2201" spans="4:4" ht="12.75" x14ac:dyDescent="0.2">
      <c r="D2201" s="139"/>
    </row>
    <row r="2202" spans="4:4" ht="12.75" x14ac:dyDescent="0.2">
      <c r="D2202" s="139"/>
    </row>
    <row r="2203" spans="4:4" ht="12.75" x14ac:dyDescent="0.2">
      <c r="D2203" s="139"/>
    </row>
    <row r="2204" spans="4:4" ht="12.75" x14ac:dyDescent="0.2">
      <c r="D2204" s="139"/>
    </row>
    <row r="2205" spans="4:4" ht="12.75" x14ac:dyDescent="0.2">
      <c r="D2205" s="139"/>
    </row>
    <row r="2206" spans="4:4" ht="12.75" x14ac:dyDescent="0.2">
      <c r="D2206" s="139"/>
    </row>
    <row r="2207" spans="4:4" ht="12.75" x14ac:dyDescent="0.2">
      <c r="D2207" s="139"/>
    </row>
    <row r="2208" spans="4:4" ht="12.75" x14ac:dyDescent="0.2">
      <c r="D2208" s="139"/>
    </row>
    <row r="2209" spans="4:4" ht="12.75" x14ac:dyDescent="0.2">
      <c r="D2209" s="139"/>
    </row>
    <row r="2210" spans="4:4" ht="12.75" x14ac:dyDescent="0.2">
      <c r="D2210" s="139"/>
    </row>
    <row r="2211" spans="4:4" ht="12.75" x14ac:dyDescent="0.2">
      <c r="D2211" s="139"/>
    </row>
    <row r="2212" spans="4:4" ht="12.75" x14ac:dyDescent="0.2">
      <c r="D2212" s="139"/>
    </row>
    <row r="2213" spans="4:4" ht="12.75" x14ac:dyDescent="0.2">
      <c r="D2213" s="139"/>
    </row>
    <row r="2214" spans="4:4" ht="12.75" x14ac:dyDescent="0.2">
      <c r="D2214" s="139"/>
    </row>
    <row r="2215" spans="4:4" ht="12.75" x14ac:dyDescent="0.2">
      <c r="D2215" s="139"/>
    </row>
    <row r="2216" spans="4:4" ht="12.75" x14ac:dyDescent="0.2">
      <c r="D2216" s="139"/>
    </row>
    <row r="2217" spans="4:4" ht="12.75" x14ac:dyDescent="0.2">
      <c r="D2217" s="139"/>
    </row>
    <row r="2218" spans="4:4" ht="12.75" x14ac:dyDescent="0.2">
      <c r="D2218" s="139"/>
    </row>
    <row r="2219" spans="4:4" ht="12.75" x14ac:dyDescent="0.2">
      <c r="D2219" s="139"/>
    </row>
    <row r="2220" spans="4:4" ht="12.75" x14ac:dyDescent="0.2">
      <c r="D2220" s="139"/>
    </row>
    <row r="2221" spans="4:4" ht="12.75" x14ac:dyDescent="0.2">
      <c r="D2221" s="139"/>
    </row>
    <row r="2222" spans="4:4" ht="12.75" x14ac:dyDescent="0.2">
      <c r="D2222" s="139"/>
    </row>
    <row r="2223" spans="4:4" ht="12.75" x14ac:dyDescent="0.2">
      <c r="D2223" s="139"/>
    </row>
    <row r="2224" spans="4:4" ht="12.75" x14ac:dyDescent="0.2">
      <c r="D2224" s="139"/>
    </row>
    <row r="2225" spans="4:4" ht="12.75" x14ac:dyDescent="0.2">
      <c r="D2225" s="139"/>
    </row>
    <row r="2226" spans="4:4" ht="12.75" x14ac:dyDescent="0.2">
      <c r="D2226" s="139"/>
    </row>
    <row r="2227" spans="4:4" ht="12.75" x14ac:dyDescent="0.2">
      <c r="D2227" s="139"/>
    </row>
    <row r="2228" spans="4:4" ht="12.75" x14ac:dyDescent="0.2">
      <c r="D2228" s="139"/>
    </row>
    <row r="2229" spans="4:4" ht="12.75" x14ac:dyDescent="0.2">
      <c r="D2229" s="139"/>
    </row>
    <row r="2230" spans="4:4" ht="12.75" x14ac:dyDescent="0.2">
      <c r="D2230" s="139"/>
    </row>
    <row r="2231" spans="4:4" ht="12.75" x14ac:dyDescent="0.2">
      <c r="D2231" s="139"/>
    </row>
    <row r="2232" spans="4:4" ht="12.75" x14ac:dyDescent="0.2">
      <c r="D2232" s="139"/>
    </row>
    <row r="2233" spans="4:4" ht="12.75" x14ac:dyDescent="0.2">
      <c r="D2233" s="139"/>
    </row>
    <row r="2234" spans="4:4" ht="12.75" x14ac:dyDescent="0.2">
      <c r="D2234" s="139"/>
    </row>
    <row r="2235" spans="4:4" ht="12.75" x14ac:dyDescent="0.2">
      <c r="D2235" s="139"/>
    </row>
    <row r="2236" spans="4:4" ht="12.75" x14ac:dyDescent="0.2">
      <c r="D2236" s="139"/>
    </row>
    <row r="2237" spans="4:4" ht="12.75" x14ac:dyDescent="0.2">
      <c r="D2237" s="139"/>
    </row>
    <row r="2238" spans="4:4" ht="12.75" x14ac:dyDescent="0.2">
      <c r="D2238" s="139"/>
    </row>
    <row r="2239" spans="4:4" ht="12.75" x14ac:dyDescent="0.2">
      <c r="D2239" s="139"/>
    </row>
    <row r="2240" spans="4:4" ht="12.75" x14ac:dyDescent="0.2">
      <c r="D2240" s="139"/>
    </row>
    <row r="2241" spans="4:4" ht="12.75" x14ac:dyDescent="0.2">
      <c r="D2241" s="139"/>
    </row>
    <row r="2242" spans="4:4" ht="12.75" x14ac:dyDescent="0.2">
      <c r="D2242" s="139"/>
    </row>
    <row r="2243" spans="4:4" ht="12.75" x14ac:dyDescent="0.2">
      <c r="D2243" s="139"/>
    </row>
    <row r="2244" spans="4:4" ht="12.75" x14ac:dyDescent="0.2">
      <c r="D2244" s="139"/>
    </row>
    <row r="2245" spans="4:4" ht="12.75" x14ac:dyDescent="0.2">
      <c r="D2245" s="139"/>
    </row>
    <row r="2246" spans="4:4" ht="12.75" x14ac:dyDescent="0.2">
      <c r="D2246" s="139"/>
    </row>
    <row r="2247" spans="4:4" ht="12.75" x14ac:dyDescent="0.2">
      <c r="D2247" s="139"/>
    </row>
    <row r="2248" spans="4:4" ht="12.75" x14ac:dyDescent="0.2">
      <c r="D2248" s="139"/>
    </row>
    <row r="2249" spans="4:4" ht="12.75" x14ac:dyDescent="0.2">
      <c r="D2249" s="139"/>
    </row>
    <row r="2250" spans="4:4" ht="12.75" x14ac:dyDescent="0.2">
      <c r="D2250" s="139"/>
    </row>
    <row r="2251" spans="4:4" ht="12.75" x14ac:dyDescent="0.2">
      <c r="D2251" s="139"/>
    </row>
    <row r="2252" spans="4:4" ht="12.75" x14ac:dyDescent="0.2">
      <c r="D2252" s="139"/>
    </row>
    <row r="2253" spans="4:4" ht="12.75" x14ac:dyDescent="0.2">
      <c r="D2253" s="139"/>
    </row>
    <row r="2254" spans="4:4" ht="12.75" x14ac:dyDescent="0.2">
      <c r="D2254" s="139"/>
    </row>
    <row r="2255" spans="4:4" ht="12.75" x14ac:dyDescent="0.2">
      <c r="D2255" s="139"/>
    </row>
    <row r="2256" spans="4:4" ht="12.75" x14ac:dyDescent="0.2">
      <c r="D2256" s="139"/>
    </row>
    <row r="2257" spans="4:4" ht="12.75" x14ac:dyDescent="0.2">
      <c r="D2257" s="139"/>
    </row>
    <row r="2258" spans="4:4" ht="12.75" x14ac:dyDescent="0.2">
      <c r="D2258" s="139"/>
    </row>
    <row r="2259" spans="4:4" ht="12.75" x14ac:dyDescent="0.2">
      <c r="D2259" s="139"/>
    </row>
    <row r="2260" spans="4:4" ht="12.75" x14ac:dyDescent="0.2">
      <c r="D2260" s="139"/>
    </row>
    <row r="2261" spans="4:4" ht="12.75" x14ac:dyDescent="0.2">
      <c r="D2261" s="139"/>
    </row>
    <row r="2262" spans="4:4" ht="12.75" x14ac:dyDescent="0.2">
      <c r="D2262" s="139"/>
    </row>
    <row r="2263" spans="4:4" ht="12.75" x14ac:dyDescent="0.2">
      <c r="D2263" s="139"/>
    </row>
    <row r="2264" spans="4:4" ht="12.75" x14ac:dyDescent="0.2">
      <c r="D2264" s="139"/>
    </row>
    <row r="2265" spans="4:4" ht="12.75" x14ac:dyDescent="0.2">
      <c r="D2265" s="139"/>
    </row>
    <row r="2266" spans="4:4" ht="12.75" x14ac:dyDescent="0.2">
      <c r="D2266" s="139"/>
    </row>
    <row r="2267" spans="4:4" ht="12.75" x14ac:dyDescent="0.2">
      <c r="D2267" s="139"/>
    </row>
    <row r="2268" spans="4:4" ht="12.75" x14ac:dyDescent="0.2">
      <c r="D2268" s="139"/>
    </row>
    <row r="2269" spans="4:4" ht="12.75" x14ac:dyDescent="0.2">
      <c r="D2269" s="139"/>
    </row>
    <row r="2270" spans="4:4" ht="12.75" x14ac:dyDescent="0.2">
      <c r="D2270" s="139"/>
    </row>
    <row r="2271" spans="4:4" ht="12.75" x14ac:dyDescent="0.2">
      <c r="D2271" s="139"/>
    </row>
    <row r="2272" spans="4:4" ht="12.75" x14ac:dyDescent="0.2">
      <c r="D2272" s="139"/>
    </row>
    <row r="2273" spans="4:4" ht="12.75" x14ac:dyDescent="0.2">
      <c r="D2273" s="139"/>
    </row>
    <row r="2274" spans="4:4" ht="12.75" x14ac:dyDescent="0.2">
      <c r="D2274" s="139"/>
    </row>
    <row r="2275" spans="4:4" ht="12.75" x14ac:dyDescent="0.2">
      <c r="D2275" s="139"/>
    </row>
    <row r="2276" spans="4:4" ht="12.75" x14ac:dyDescent="0.2">
      <c r="D2276" s="139"/>
    </row>
    <row r="2277" spans="4:4" ht="12.75" x14ac:dyDescent="0.2">
      <c r="D2277" s="139"/>
    </row>
    <row r="2278" spans="4:4" ht="12.75" x14ac:dyDescent="0.2">
      <c r="D2278" s="139"/>
    </row>
    <row r="2279" spans="4:4" ht="12.75" x14ac:dyDescent="0.2">
      <c r="D2279" s="139"/>
    </row>
    <row r="2280" spans="4:4" ht="12.75" x14ac:dyDescent="0.2">
      <c r="D2280" s="139"/>
    </row>
    <row r="2281" spans="4:4" ht="12.75" x14ac:dyDescent="0.2">
      <c r="D2281" s="139"/>
    </row>
    <row r="2282" spans="4:4" ht="12.75" x14ac:dyDescent="0.2">
      <c r="D2282" s="139"/>
    </row>
    <row r="2283" spans="4:4" ht="12.75" x14ac:dyDescent="0.2">
      <c r="D2283" s="139"/>
    </row>
    <row r="2284" spans="4:4" ht="12.75" x14ac:dyDescent="0.2">
      <c r="D2284" s="139"/>
    </row>
    <row r="2285" spans="4:4" ht="12.75" x14ac:dyDescent="0.2">
      <c r="D2285" s="139"/>
    </row>
    <row r="2286" spans="4:4" ht="12.75" x14ac:dyDescent="0.2">
      <c r="D2286" s="139"/>
    </row>
    <row r="2287" spans="4:4" ht="12.75" x14ac:dyDescent="0.2">
      <c r="D2287" s="139"/>
    </row>
    <row r="2288" spans="4:4" ht="12.75" x14ac:dyDescent="0.2">
      <c r="D2288" s="139"/>
    </row>
    <row r="2289" spans="4:4" ht="12.75" x14ac:dyDescent="0.2">
      <c r="D2289" s="139"/>
    </row>
    <row r="2290" spans="4:4" ht="12.75" x14ac:dyDescent="0.2">
      <c r="D2290" s="139"/>
    </row>
    <row r="2291" spans="4:4" ht="12.75" x14ac:dyDescent="0.2">
      <c r="D2291" s="139"/>
    </row>
    <row r="2292" spans="4:4" ht="12.75" x14ac:dyDescent="0.2">
      <c r="D2292" s="139"/>
    </row>
    <row r="2293" spans="4:4" ht="12.75" x14ac:dyDescent="0.2">
      <c r="D2293" s="139"/>
    </row>
    <row r="2294" spans="4:4" ht="12.75" x14ac:dyDescent="0.2">
      <c r="D2294" s="139"/>
    </row>
    <row r="2295" spans="4:4" ht="12.75" x14ac:dyDescent="0.2">
      <c r="D2295" s="139"/>
    </row>
    <row r="2296" spans="4:4" ht="12.75" x14ac:dyDescent="0.2">
      <c r="D2296" s="139"/>
    </row>
    <row r="2297" spans="4:4" ht="12.75" x14ac:dyDescent="0.2">
      <c r="D2297" s="139"/>
    </row>
    <row r="2298" spans="4:4" ht="12.75" x14ac:dyDescent="0.2">
      <c r="D2298" s="139"/>
    </row>
    <row r="2299" spans="4:4" ht="12.75" x14ac:dyDescent="0.2">
      <c r="D2299" s="139"/>
    </row>
    <row r="2300" spans="4:4" ht="12.75" x14ac:dyDescent="0.2">
      <c r="D2300" s="139"/>
    </row>
    <row r="2301" spans="4:4" ht="12.75" x14ac:dyDescent="0.2">
      <c r="D2301" s="139"/>
    </row>
    <row r="2302" spans="4:4" ht="12.75" x14ac:dyDescent="0.2">
      <c r="D2302" s="139"/>
    </row>
    <row r="2303" spans="4:4" ht="12.75" x14ac:dyDescent="0.2">
      <c r="D2303" s="139"/>
    </row>
    <row r="2304" spans="4:4" ht="12.75" x14ac:dyDescent="0.2">
      <c r="D2304" s="139"/>
    </row>
    <row r="2305" spans="4:4" ht="12.75" x14ac:dyDescent="0.2">
      <c r="D2305" s="139"/>
    </row>
    <row r="2306" spans="4:4" ht="12.75" x14ac:dyDescent="0.2">
      <c r="D2306" s="139"/>
    </row>
    <row r="2307" spans="4:4" ht="12.75" x14ac:dyDescent="0.2">
      <c r="D2307" s="139"/>
    </row>
    <row r="2308" spans="4:4" ht="12.75" x14ac:dyDescent="0.2">
      <c r="D2308" s="139"/>
    </row>
    <row r="2309" spans="4:4" ht="12.75" x14ac:dyDescent="0.2">
      <c r="D2309" s="139"/>
    </row>
    <row r="2310" spans="4:4" ht="12.75" x14ac:dyDescent="0.2">
      <c r="D2310" s="139"/>
    </row>
    <row r="2311" spans="4:4" ht="12.75" x14ac:dyDescent="0.2">
      <c r="D2311" s="139"/>
    </row>
    <row r="2312" spans="4:4" ht="12.75" x14ac:dyDescent="0.2">
      <c r="D2312" s="139"/>
    </row>
    <row r="2313" spans="4:4" ht="12.75" x14ac:dyDescent="0.2">
      <c r="D2313" s="139"/>
    </row>
    <row r="2314" spans="4:4" ht="12.75" x14ac:dyDescent="0.2">
      <c r="D2314" s="139"/>
    </row>
    <row r="2315" spans="4:4" ht="12.75" x14ac:dyDescent="0.2">
      <c r="D2315" s="139"/>
    </row>
    <row r="2316" spans="4:4" ht="12.75" x14ac:dyDescent="0.2">
      <c r="D2316" s="139"/>
    </row>
    <row r="2317" spans="4:4" ht="12.75" x14ac:dyDescent="0.2">
      <c r="D2317" s="139"/>
    </row>
    <row r="2318" spans="4:4" ht="12.75" x14ac:dyDescent="0.2">
      <c r="D2318" s="139"/>
    </row>
    <row r="2319" spans="4:4" ht="12.75" x14ac:dyDescent="0.2">
      <c r="D2319" s="139"/>
    </row>
    <row r="2320" spans="4:4" ht="12.75" x14ac:dyDescent="0.2">
      <c r="D2320" s="139"/>
    </row>
    <row r="2321" spans="4:4" ht="12.75" x14ac:dyDescent="0.2">
      <c r="D2321" s="139"/>
    </row>
    <row r="2322" spans="4:4" ht="12.75" x14ac:dyDescent="0.2">
      <c r="D2322" s="139"/>
    </row>
    <row r="2323" spans="4:4" ht="12.75" x14ac:dyDescent="0.2">
      <c r="D2323" s="139"/>
    </row>
    <row r="2324" spans="4:4" ht="12.75" x14ac:dyDescent="0.2">
      <c r="D2324" s="139"/>
    </row>
    <row r="2325" spans="4:4" ht="12.75" x14ac:dyDescent="0.2">
      <c r="D2325" s="139"/>
    </row>
    <row r="2326" spans="4:4" ht="12.75" x14ac:dyDescent="0.2">
      <c r="D2326" s="139"/>
    </row>
    <row r="2327" spans="4:4" ht="12.75" x14ac:dyDescent="0.2">
      <c r="D2327" s="139"/>
    </row>
    <row r="2328" spans="4:4" ht="12.75" x14ac:dyDescent="0.2">
      <c r="D2328" s="139"/>
    </row>
    <row r="2329" spans="4:4" ht="12.75" x14ac:dyDescent="0.2">
      <c r="D2329" s="139"/>
    </row>
    <row r="2330" spans="4:4" ht="12.75" x14ac:dyDescent="0.2">
      <c r="D2330" s="139"/>
    </row>
    <row r="2331" spans="4:4" ht="12.75" x14ac:dyDescent="0.2">
      <c r="D2331" s="139"/>
    </row>
    <row r="2332" spans="4:4" ht="12.75" x14ac:dyDescent="0.2">
      <c r="D2332" s="139"/>
    </row>
    <row r="2333" spans="4:4" ht="12.75" x14ac:dyDescent="0.2">
      <c r="D2333" s="139"/>
    </row>
    <row r="2334" spans="4:4" ht="12.75" x14ac:dyDescent="0.2">
      <c r="D2334" s="139"/>
    </row>
    <row r="2335" spans="4:4" ht="12.75" x14ac:dyDescent="0.2">
      <c r="D2335" s="139"/>
    </row>
    <row r="2336" spans="4:4" ht="12.75" x14ac:dyDescent="0.2">
      <c r="D2336" s="139"/>
    </row>
    <row r="2337" spans="4:4" ht="12.75" x14ac:dyDescent="0.2">
      <c r="D2337" s="139"/>
    </row>
    <row r="2338" spans="4:4" ht="12.75" x14ac:dyDescent="0.2">
      <c r="D2338" s="139"/>
    </row>
    <row r="2339" spans="4:4" ht="12.75" x14ac:dyDescent="0.2">
      <c r="D2339" s="139"/>
    </row>
    <row r="2340" spans="4:4" ht="12.75" x14ac:dyDescent="0.2">
      <c r="D2340" s="139"/>
    </row>
    <row r="2341" spans="4:4" ht="12.75" x14ac:dyDescent="0.2">
      <c r="D2341" s="139"/>
    </row>
    <row r="2342" spans="4:4" ht="12.75" x14ac:dyDescent="0.2">
      <c r="D2342" s="139"/>
    </row>
    <row r="2343" spans="4:4" ht="12.75" x14ac:dyDescent="0.2">
      <c r="D2343" s="139"/>
    </row>
    <row r="2344" spans="4:4" ht="12.75" x14ac:dyDescent="0.2">
      <c r="D2344" s="139"/>
    </row>
    <row r="2345" spans="4:4" ht="12.75" x14ac:dyDescent="0.2">
      <c r="D2345" s="139"/>
    </row>
    <row r="2346" spans="4:4" ht="12.75" x14ac:dyDescent="0.2">
      <c r="D2346" s="139"/>
    </row>
    <row r="2347" spans="4:4" ht="12.75" x14ac:dyDescent="0.2">
      <c r="D2347" s="139"/>
    </row>
    <row r="2348" spans="4:4" ht="12.75" x14ac:dyDescent="0.2">
      <c r="D2348" s="139"/>
    </row>
    <row r="2349" spans="4:4" ht="12.75" x14ac:dyDescent="0.2">
      <c r="D2349" s="139"/>
    </row>
    <row r="2350" spans="4:4" ht="12.75" x14ac:dyDescent="0.2">
      <c r="D2350" s="139"/>
    </row>
    <row r="2351" spans="4:4" ht="12.75" x14ac:dyDescent="0.2">
      <c r="D2351" s="139"/>
    </row>
    <row r="2352" spans="4:4" ht="12.75" x14ac:dyDescent="0.2">
      <c r="D2352" s="139"/>
    </row>
    <row r="2353" spans="4:4" ht="12.75" x14ac:dyDescent="0.2">
      <c r="D2353" s="139"/>
    </row>
    <row r="2354" spans="4:4" ht="12.75" x14ac:dyDescent="0.2">
      <c r="D2354" s="139"/>
    </row>
    <row r="2355" spans="4:4" ht="12.75" x14ac:dyDescent="0.2">
      <c r="D2355" s="139"/>
    </row>
    <row r="2356" spans="4:4" ht="12.75" x14ac:dyDescent="0.2">
      <c r="D2356" s="139"/>
    </row>
    <row r="2357" spans="4:4" ht="12.75" x14ac:dyDescent="0.2">
      <c r="D2357" s="139"/>
    </row>
    <row r="2358" spans="4:4" ht="12.75" x14ac:dyDescent="0.2">
      <c r="D2358" s="139"/>
    </row>
    <row r="2359" spans="4:4" ht="12.75" x14ac:dyDescent="0.2">
      <c r="D2359" s="139"/>
    </row>
    <row r="2360" spans="4:4" ht="12.75" x14ac:dyDescent="0.2">
      <c r="D2360" s="139"/>
    </row>
    <row r="2361" spans="4:4" ht="12.75" x14ac:dyDescent="0.2">
      <c r="D2361" s="139"/>
    </row>
    <row r="2362" spans="4:4" ht="12.75" x14ac:dyDescent="0.2">
      <c r="D2362" s="139"/>
    </row>
    <row r="2363" spans="4:4" ht="12.75" x14ac:dyDescent="0.2">
      <c r="D2363" s="139"/>
    </row>
    <row r="2364" spans="4:4" ht="12.75" x14ac:dyDescent="0.2">
      <c r="D2364" s="139"/>
    </row>
    <row r="2365" spans="4:4" ht="12.75" x14ac:dyDescent="0.2">
      <c r="D2365" s="139"/>
    </row>
    <row r="2366" spans="4:4" ht="12.75" x14ac:dyDescent="0.2">
      <c r="D2366" s="139"/>
    </row>
    <row r="2367" spans="4:4" ht="12.75" x14ac:dyDescent="0.2">
      <c r="D2367" s="139"/>
    </row>
    <row r="2368" spans="4:4" ht="12.75" x14ac:dyDescent="0.2">
      <c r="D2368" s="139"/>
    </row>
    <row r="2369" spans="4:4" ht="12.75" x14ac:dyDescent="0.2">
      <c r="D2369" s="139"/>
    </row>
    <row r="2370" spans="4:4" ht="12.75" x14ac:dyDescent="0.2">
      <c r="D2370" s="139"/>
    </row>
    <row r="2371" spans="4:4" ht="12.75" x14ac:dyDescent="0.2">
      <c r="D2371" s="139"/>
    </row>
    <row r="2372" spans="4:4" ht="12.75" x14ac:dyDescent="0.2">
      <c r="D2372" s="139"/>
    </row>
    <row r="2373" spans="4:4" ht="12.75" x14ac:dyDescent="0.2">
      <c r="D2373" s="139"/>
    </row>
    <row r="2374" spans="4:4" ht="12.75" x14ac:dyDescent="0.2">
      <c r="D2374" s="139"/>
    </row>
    <row r="2375" spans="4:4" ht="12.75" x14ac:dyDescent="0.2">
      <c r="D2375" s="139"/>
    </row>
    <row r="2376" spans="4:4" ht="12.75" x14ac:dyDescent="0.2">
      <c r="D2376" s="139"/>
    </row>
    <row r="2377" spans="4:4" ht="12.75" x14ac:dyDescent="0.2">
      <c r="D2377" s="139"/>
    </row>
    <row r="2378" spans="4:4" ht="12.75" x14ac:dyDescent="0.2">
      <c r="D2378" s="139"/>
    </row>
    <row r="2379" spans="4:4" ht="12.75" x14ac:dyDescent="0.2">
      <c r="D2379" s="139"/>
    </row>
    <row r="2380" spans="4:4" ht="12.75" x14ac:dyDescent="0.2">
      <c r="D2380" s="139"/>
    </row>
    <row r="2381" spans="4:4" ht="12.75" x14ac:dyDescent="0.2">
      <c r="D2381" s="139"/>
    </row>
    <row r="2382" spans="4:4" ht="12.75" x14ac:dyDescent="0.2">
      <c r="D2382" s="139"/>
    </row>
    <row r="2383" spans="4:4" ht="12.75" x14ac:dyDescent="0.2">
      <c r="D2383" s="139"/>
    </row>
    <row r="2384" spans="4:4" ht="12.75" x14ac:dyDescent="0.2">
      <c r="D2384" s="139"/>
    </row>
    <row r="2385" spans="4:4" ht="12.75" x14ac:dyDescent="0.2">
      <c r="D2385" s="139"/>
    </row>
    <row r="2386" spans="4:4" ht="12.75" x14ac:dyDescent="0.2">
      <c r="D2386" s="139"/>
    </row>
    <row r="2387" spans="4:4" ht="12.75" x14ac:dyDescent="0.2">
      <c r="D2387" s="139"/>
    </row>
    <row r="2388" spans="4:4" ht="12.75" x14ac:dyDescent="0.2">
      <c r="D2388" s="139"/>
    </row>
    <row r="2389" spans="4:4" ht="12.75" x14ac:dyDescent="0.2">
      <c r="D2389" s="139"/>
    </row>
    <row r="2390" spans="4:4" ht="12.75" x14ac:dyDescent="0.2">
      <c r="D2390" s="139"/>
    </row>
    <row r="2391" spans="4:4" ht="12.75" x14ac:dyDescent="0.2">
      <c r="D2391" s="139"/>
    </row>
    <row r="2392" spans="4:4" ht="12.75" x14ac:dyDescent="0.2">
      <c r="D2392" s="139"/>
    </row>
    <row r="2393" spans="4:4" ht="12.75" x14ac:dyDescent="0.2">
      <c r="D2393" s="139"/>
    </row>
    <row r="2394" spans="4:4" ht="12.75" x14ac:dyDescent="0.2">
      <c r="D2394" s="139"/>
    </row>
    <row r="2395" spans="4:4" ht="12.75" x14ac:dyDescent="0.2">
      <c r="D2395" s="139"/>
    </row>
    <row r="2396" spans="4:4" ht="12.75" x14ac:dyDescent="0.2">
      <c r="D2396" s="139"/>
    </row>
    <row r="2397" spans="4:4" ht="12.75" x14ac:dyDescent="0.2">
      <c r="D2397" s="139"/>
    </row>
    <row r="2398" spans="4:4" ht="12.75" x14ac:dyDescent="0.2">
      <c r="D2398" s="139"/>
    </row>
    <row r="2399" spans="4:4" ht="12.75" x14ac:dyDescent="0.2">
      <c r="D2399" s="139"/>
    </row>
    <row r="2400" spans="4:4" ht="12.75" x14ac:dyDescent="0.2">
      <c r="D2400" s="139"/>
    </row>
    <row r="2401" spans="4:4" ht="12.75" x14ac:dyDescent="0.2">
      <c r="D2401" s="139"/>
    </row>
    <row r="2402" spans="4:4" ht="12.75" x14ac:dyDescent="0.2">
      <c r="D2402" s="139"/>
    </row>
    <row r="2403" spans="4:4" ht="12.75" x14ac:dyDescent="0.2">
      <c r="D2403" s="139"/>
    </row>
    <row r="2404" spans="4:4" ht="12.75" x14ac:dyDescent="0.2">
      <c r="D2404" s="139"/>
    </row>
    <row r="2405" spans="4:4" ht="12.75" x14ac:dyDescent="0.2">
      <c r="D2405" s="139"/>
    </row>
    <row r="2406" spans="4:4" ht="12.75" x14ac:dyDescent="0.2">
      <c r="D2406" s="139"/>
    </row>
    <row r="2407" spans="4:4" ht="12.75" x14ac:dyDescent="0.2">
      <c r="D2407" s="139"/>
    </row>
    <row r="2408" spans="4:4" ht="12.75" x14ac:dyDescent="0.2">
      <c r="D2408" s="139"/>
    </row>
    <row r="2409" spans="4:4" ht="12.75" x14ac:dyDescent="0.2">
      <c r="D2409" s="139"/>
    </row>
    <row r="2410" spans="4:4" ht="12.75" x14ac:dyDescent="0.2">
      <c r="D2410" s="139"/>
    </row>
    <row r="2411" spans="4:4" ht="12.75" x14ac:dyDescent="0.2">
      <c r="D2411" s="139"/>
    </row>
    <row r="2412" spans="4:4" ht="12.75" x14ac:dyDescent="0.2">
      <c r="D2412" s="139"/>
    </row>
    <row r="2413" spans="4:4" ht="12.75" x14ac:dyDescent="0.2">
      <c r="D2413" s="139"/>
    </row>
    <row r="2414" spans="4:4" ht="12.75" x14ac:dyDescent="0.2">
      <c r="D2414" s="139"/>
    </row>
    <row r="2415" spans="4:4" ht="12.75" x14ac:dyDescent="0.2">
      <c r="D2415" s="139"/>
    </row>
    <row r="2416" spans="4:4" ht="12.75" x14ac:dyDescent="0.2">
      <c r="D2416" s="139"/>
    </row>
    <row r="2417" spans="4:4" ht="12.75" x14ac:dyDescent="0.2">
      <c r="D2417" s="139"/>
    </row>
    <row r="2418" spans="4:4" ht="12.75" x14ac:dyDescent="0.2">
      <c r="D2418" s="139"/>
    </row>
    <row r="2419" spans="4:4" ht="12.75" x14ac:dyDescent="0.2">
      <c r="D2419" s="139"/>
    </row>
    <row r="2420" spans="4:4" ht="12.75" x14ac:dyDescent="0.2">
      <c r="D2420" s="139"/>
    </row>
    <row r="2421" spans="4:4" ht="12.75" x14ac:dyDescent="0.2">
      <c r="D2421" s="139"/>
    </row>
    <row r="2422" spans="4:4" ht="12.75" x14ac:dyDescent="0.2">
      <c r="D2422" s="139"/>
    </row>
    <row r="2423" spans="4:4" ht="12.75" x14ac:dyDescent="0.2">
      <c r="D2423" s="139"/>
    </row>
    <row r="2424" spans="4:4" ht="12.75" x14ac:dyDescent="0.2">
      <c r="D2424" s="139"/>
    </row>
    <row r="2425" spans="4:4" ht="12.75" x14ac:dyDescent="0.2">
      <c r="D2425" s="139"/>
    </row>
    <row r="2426" spans="4:4" ht="12.75" x14ac:dyDescent="0.2">
      <c r="D2426" s="139"/>
    </row>
    <row r="2427" spans="4:4" ht="12.75" x14ac:dyDescent="0.2">
      <c r="D2427" s="139"/>
    </row>
    <row r="2428" spans="4:4" ht="12.75" x14ac:dyDescent="0.2">
      <c r="D2428" s="139"/>
    </row>
    <row r="2429" spans="4:4" ht="12.75" x14ac:dyDescent="0.2">
      <c r="D2429" s="139"/>
    </row>
    <row r="2430" spans="4:4" ht="12.75" x14ac:dyDescent="0.2">
      <c r="D2430" s="139"/>
    </row>
    <row r="2431" spans="4:4" ht="12.75" x14ac:dyDescent="0.2">
      <c r="D2431" s="139"/>
    </row>
    <row r="2432" spans="4:4" ht="12.75" x14ac:dyDescent="0.2">
      <c r="D2432" s="139"/>
    </row>
    <row r="2433" spans="4:4" ht="12.75" x14ac:dyDescent="0.2">
      <c r="D2433" s="139"/>
    </row>
    <row r="2434" spans="4:4" ht="12.75" x14ac:dyDescent="0.2">
      <c r="D2434" s="139"/>
    </row>
    <row r="2435" spans="4:4" ht="12.75" x14ac:dyDescent="0.2">
      <c r="D2435" s="139"/>
    </row>
    <row r="2436" spans="4:4" ht="12.75" x14ac:dyDescent="0.2">
      <c r="D2436" s="139"/>
    </row>
    <row r="2437" spans="4:4" ht="12.75" x14ac:dyDescent="0.2">
      <c r="D2437" s="139"/>
    </row>
    <row r="2438" spans="4:4" ht="12.75" x14ac:dyDescent="0.2">
      <c r="D2438" s="139"/>
    </row>
    <row r="2439" spans="4:4" ht="12.75" x14ac:dyDescent="0.2">
      <c r="D2439" s="139"/>
    </row>
    <row r="2440" spans="4:4" ht="12.75" x14ac:dyDescent="0.2">
      <c r="D2440" s="139"/>
    </row>
    <row r="2441" spans="4:4" ht="12.75" x14ac:dyDescent="0.2">
      <c r="D2441" s="139"/>
    </row>
    <row r="2442" spans="4:4" ht="12.75" x14ac:dyDescent="0.2">
      <c r="D2442" s="139"/>
    </row>
    <row r="2443" spans="4:4" ht="12.75" x14ac:dyDescent="0.2">
      <c r="D2443" s="139"/>
    </row>
    <row r="2444" spans="4:4" ht="12.75" x14ac:dyDescent="0.2">
      <c r="D2444" s="139"/>
    </row>
    <row r="2445" spans="4:4" ht="12.75" x14ac:dyDescent="0.2">
      <c r="D2445" s="139"/>
    </row>
    <row r="2446" spans="4:4" ht="12.75" x14ac:dyDescent="0.2">
      <c r="D2446" s="139"/>
    </row>
    <row r="2447" spans="4:4" ht="12.75" x14ac:dyDescent="0.2">
      <c r="D2447" s="139"/>
    </row>
    <row r="2448" spans="4:4" ht="12.75" x14ac:dyDescent="0.2">
      <c r="D2448" s="139"/>
    </row>
    <row r="2449" spans="4:4" ht="12.75" x14ac:dyDescent="0.2">
      <c r="D2449" s="139"/>
    </row>
    <row r="2450" spans="4:4" ht="12.75" x14ac:dyDescent="0.2">
      <c r="D2450" s="139"/>
    </row>
    <row r="2451" spans="4:4" ht="12.75" x14ac:dyDescent="0.2">
      <c r="D2451" s="139"/>
    </row>
    <row r="2452" spans="4:4" ht="12.75" x14ac:dyDescent="0.2">
      <c r="D2452" s="139"/>
    </row>
    <row r="2453" spans="4:4" ht="12.75" x14ac:dyDescent="0.2">
      <c r="D2453" s="139"/>
    </row>
    <row r="2454" spans="4:4" ht="12.75" x14ac:dyDescent="0.2">
      <c r="D2454" s="139"/>
    </row>
    <row r="2455" spans="4:4" ht="12.75" x14ac:dyDescent="0.2">
      <c r="D2455" s="139"/>
    </row>
    <row r="2456" spans="4:4" ht="12.75" x14ac:dyDescent="0.2">
      <c r="D2456" s="139"/>
    </row>
    <row r="2457" spans="4:4" ht="12.75" x14ac:dyDescent="0.2">
      <c r="D2457" s="139"/>
    </row>
    <row r="2458" spans="4:4" ht="12.75" x14ac:dyDescent="0.2">
      <c r="D2458" s="139"/>
    </row>
    <row r="2459" spans="4:4" ht="12.75" x14ac:dyDescent="0.2">
      <c r="D2459" s="139"/>
    </row>
    <row r="2460" spans="4:4" ht="12.75" x14ac:dyDescent="0.2">
      <c r="D2460" s="139"/>
    </row>
    <row r="2461" spans="4:4" ht="12.75" x14ac:dyDescent="0.2">
      <c r="D2461" s="139"/>
    </row>
    <row r="2462" spans="4:4" ht="12.75" x14ac:dyDescent="0.2">
      <c r="D2462" s="139"/>
    </row>
    <row r="2463" spans="4:4" ht="12.75" x14ac:dyDescent="0.2">
      <c r="D2463" s="139"/>
    </row>
    <row r="2464" spans="4:4" ht="12.75" x14ac:dyDescent="0.2">
      <c r="D2464" s="139"/>
    </row>
    <row r="2465" spans="4:4" ht="12.75" x14ac:dyDescent="0.2">
      <c r="D2465" s="139"/>
    </row>
    <row r="2466" spans="4:4" ht="12.75" x14ac:dyDescent="0.2">
      <c r="D2466" s="139"/>
    </row>
    <row r="2467" spans="4:4" ht="12.75" x14ac:dyDescent="0.2">
      <c r="D2467" s="139"/>
    </row>
    <row r="2468" spans="4:4" ht="12.75" x14ac:dyDescent="0.2">
      <c r="D2468" s="139"/>
    </row>
    <row r="2469" spans="4:4" ht="12.75" x14ac:dyDescent="0.2">
      <c r="D2469" s="139"/>
    </row>
    <row r="2470" spans="4:4" ht="12.75" x14ac:dyDescent="0.2">
      <c r="D2470" s="139"/>
    </row>
    <row r="2471" spans="4:4" ht="12.75" x14ac:dyDescent="0.2">
      <c r="D2471" s="139"/>
    </row>
    <row r="2472" spans="4:4" ht="12.75" x14ac:dyDescent="0.2">
      <c r="D2472" s="139"/>
    </row>
    <row r="2473" spans="4:4" ht="12.75" x14ac:dyDescent="0.2">
      <c r="D2473" s="139"/>
    </row>
    <row r="2474" spans="4:4" ht="12.75" x14ac:dyDescent="0.2">
      <c r="D2474" s="139"/>
    </row>
    <row r="2475" spans="4:4" ht="12.75" x14ac:dyDescent="0.2">
      <c r="D2475" s="139"/>
    </row>
    <row r="2476" spans="4:4" ht="12.75" x14ac:dyDescent="0.2">
      <c r="D2476" s="139"/>
    </row>
    <row r="2477" spans="4:4" ht="12.75" x14ac:dyDescent="0.2">
      <c r="D2477" s="139"/>
    </row>
    <row r="2478" spans="4:4" ht="12.75" x14ac:dyDescent="0.2">
      <c r="D2478" s="139"/>
    </row>
    <row r="2479" spans="4:4" ht="12.75" x14ac:dyDescent="0.2">
      <c r="D2479" s="139"/>
    </row>
    <row r="2480" spans="4:4" ht="12.75" x14ac:dyDescent="0.2">
      <c r="D2480" s="139"/>
    </row>
    <row r="2481" spans="4:4" ht="12.75" x14ac:dyDescent="0.2">
      <c r="D2481" s="139"/>
    </row>
    <row r="2482" spans="4:4" ht="12.75" x14ac:dyDescent="0.2">
      <c r="D2482" s="139"/>
    </row>
    <row r="2483" spans="4:4" ht="12.75" x14ac:dyDescent="0.2">
      <c r="D2483" s="139"/>
    </row>
    <row r="2484" spans="4:4" ht="12.75" x14ac:dyDescent="0.2">
      <c r="D2484" s="139"/>
    </row>
    <row r="2485" spans="4:4" ht="12.75" x14ac:dyDescent="0.2">
      <c r="D2485" s="139"/>
    </row>
    <row r="2486" spans="4:4" ht="12.75" x14ac:dyDescent="0.2">
      <c r="D2486" s="139"/>
    </row>
    <row r="2487" spans="4:4" ht="12.75" x14ac:dyDescent="0.2">
      <c r="D2487" s="139"/>
    </row>
    <row r="2488" spans="4:4" ht="12.75" x14ac:dyDescent="0.2">
      <c r="D2488" s="139"/>
    </row>
    <row r="2489" spans="4:4" ht="12.75" x14ac:dyDescent="0.2">
      <c r="D2489" s="139"/>
    </row>
    <row r="2490" spans="4:4" ht="12.75" x14ac:dyDescent="0.2">
      <c r="D2490" s="139"/>
    </row>
    <row r="2491" spans="4:4" ht="12.75" x14ac:dyDescent="0.2">
      <c r="D2491" s="139"/>
    </row>
    <row r="2492" spans="4:4" ht="12.75" x14ac:dyDescent="0.2">
      <c r="D2492" s="139"/>
    </row>
    <row r="2493" spans="4:4" ht="12.75" x14ac:dyDescent="0.2">
      <c r="D2493" s="139"/>
    </row>
    <row r="2494" spans="4:4" ht="12.75" x14ac:dyDescent="0.2">
      <c r="D2494" s="139"/>
    </row>
    <row r="2495" spans="4:4" ht="12.75" x14ac:dyDescent="0.2">
      <c r="D2495" s="139"/>
    </row>
    <row r="2496" spans="4:4" ht="12.75" x14ac:dyDescent="0.2">
      <c r="D2496" s="139"/>
    </row>
    <row r="2497" spans="4:4" ht="12.75" x14ac:dyDescent="0.2">
      <c r="D2497" s="139"/>
    </row>
    <row r="2498" spans="4:4" ht="12.75" x14ac:dyDescent="0.2">
      <c r="D2498" s="139"/>
    </row>
    <row r="2499" spans="4:4" ht="12.75" x14ac:dyDescent="0.2">
      <c r="D2499" s="139"/>
    </row>
    <row r="2500" spans="4:4" ht="12.75" x14ac:dyDescent="0.2">
      <c r="D2500" s="139"/>
    </row>
    <row r="2501" spans="4:4" ht="12.75" x14ac:dyDescent="0.2">
      <c r="D2501" s="139"/>
    </row>
    <row r="2502" spans="4:4" ht="12.75" x14ac:dyDescent="0.2">
      <c r="D2502" s="139"/>
    </row>
    <row r="2503" spans="4:4" ht="12.75" x14ac:dyDescent="0.2">
      <c r="D2503" s="139"/>
    </row>
    <row r="2504" spans="4:4" ht="12.75" x14ac:dyDescent="0.2">
      <c r="D2504" s="139"/>
    </row>
    <row r="2505" spans="4:4" ht="12.75" x14ac:dyDescent="0.2">
      <c r="D2505" s="139"/>
    </row>
    <row r="2506" spans="4:4" ht="12.75" x14ac:dyDescent="0.2">
      <c r="D2506" s="139"/>
    </row>
    <row r="2507" spans="4:4" ht="12.75" x14ac:dyDescent="0.2">
      <c r="D2507" s="139"/>
    </row>
    <row r="2508" spans="4:4" ht="12.75" x14ac:dyDescent="0.2">
      <c r="D2508" s="139"/>
    </row>
    <row r="2509" spans="4:4" ht="12.75" x14ac:dyDescent="0.2">
      <c r="D2509" s="139"/>
    </row>
    <row r="2510" spans="4:4" ht="12.75" x14ac:dyDescent="0.2">
      <c r="D2510" s="139"/>
    </row>
    <row r="2511" spans="4:4" ht="12.75" x14ac:dyDescent="0.2">
      <c r="D2511" s="139"/>
    </row>
    <row r="2512" spans="4:4" ht="12.75" x14ac:dyDescent="0.2">
      <c r="D2512" s="139"/>
    </row>
    <row r="2513" spans="4:4" ht="12.75" x14ac:dyDescent="0.2">
      <c r="D2513" s="139"/>
    </row>
    <row r="2514" spans="4:4" ht="12.75" x14ac:dyDescent="0.2">
      <c r="D2514" s="139"/>
    </row>
    <row r="2515" spans="4:4" ht="12.75" x14ac:dyDescent="0.2">
      <c r="D2515" s="139"/>
    </row>
    <row r="2516" spans="4:4" ht="12.75" x14ac:dyDescent="0.2">
      <c r="D2516" s="139"/>
    </row>
    <row r="2517" spans="4:4" ht="12.75" x14ac:dyDescent="0.2">
      <c r="D2517" s="139"/>
    </row>
    <row r="2518" spans="4:4" ht="12.75" x14ac:dyDescent="0.2">
      <c r="D2518" s="139"/>
    </row>
    <row r="2519" spans="4:4" ht="12.75" x14ac:dyDescent="0.2">
      <c r="D2519" s="139"/>
    </row>
    <row r="2520" spans="4:4" ht="12.75" x14ac:dyDescent="0.2">
      <c r="D2520" s="139"/>
    </row>
    <row r="2521" spans="4:4" ht="12.75" x14ac:dyDescent="0.2">
      <c r="D2521" s="139"/>
    </row>
    <row r="2522" spans="4:4" ht="12.75" x14ac:dyDescent="0.2">
      <c r="D2522" s="139"/>
    </row>
    <row r="2523" spans="4:4" ht="12.75" x14ac:dyDescent="0.2">
      <c r="D2523" s="139"/>
    </row>
    <row r="2524" spans="4:4" ht="12.75" x14ac:dyDescent="0.2">
      <c r="D2524" s="139"/>
    </row>
    <row r="2525" spans="4:4" ht="12.75" x14ac:dyDescent="0.2">
      <c r="D2525" s="139"/>
    </row>
    <row r="2526" spans="4:4" ht="12.75" x14ac:dyDescent="0.2">
      <c r="D2526" s="139"/>
    </row>
    <row r="2527" spans="4:4" ht="12.75" x14ac:dyDescent="0.2">
      <c r="D2527" s="139"/>
    </row>
    <row r="2528" spans="4:4" ht="12.75" x14ac:dyDescent="0.2">
      <c r="D2528" s="139"/>
    </row>
    <row r="2529" spans="4:4" ht="12.75" x14ac:dyDescent="0.2">
      <c r="D2529" s="139"/>
    </row>
    <row r="2530" spans="4:4" ht="12.75" x14ac:dyDescent="0.2">
      <c r="D2530" s="139"/>
    </row>
    <row r="2531" spans="4:4" ht="12.75" x14ac:dyDescent="0.2">
      <c r="D2531" s="139"/>
    </row>
    <row r="2532" spans="4:4" ht="12.75" x14ac:dyDescent="0.2">
      <c r="D2532" s="139"/>
    </row>
    <row r="2533" spans="4:4" ht="12.75" x14ac:dyDescent="0.2">
      <c r="D2533" s="139"/>
    </row>
    <row r="2534" spans="4:4" ht="12.75" x14ac:dyDescent="0.2">
      <c r="D2534" s="139"/>
    </row>
    <row r="2535" spans="4:4" ht="12.75" x14ac:dyDescent="0.2">
      <c r="D2535" s="139"/>
    </row>
    <row r="2536" spans="4:4" ht="12.75" x14ac:dyDescent="0.2">
      <c r="D2536" s="139"/>
    </row>
    <row r="2537" spans="4:4" ht="12.75" x14ac:dyDescent="0.2">
      <c r="D2537" s="139"/>
    </row>
    <row r="2538" spans="4:4" ht="12.75" x14ac:dyDescent="0.2">
      <c r="D2538" s="139"/>
    </row>
    <row r="2539" spans="4:4" ht="12.75" x14ac:dyDescent="0.2">
      <c r="D2539" s="139"/>
    </row>
    <row r="2540" spans="4:4" ht="12.75" x14ac:dyDescent="0.2">
      <c r="D2540" s="139"/>
    </row>
    <row r="2541" spans="4:4" ht="12.75" x14ac:dyDescent="0.2">
      <c r="D2541" s="139"/>
    </row>
    <row r="2542" spans="4:4" ht="12.75" x14ac:dyDescent="0.2">
      <c r="D2542" s="139"/>
    </row>
    <row r="2543" spans="4:4" ht="12.75" x14ac:dyDescent="0.2">
      <c r="D2543" s="139"/>
    </row>
    <row r="2544" spans="4:4" ht="12.75" x14ac:dyDescent="0.2">
      <c r="D2544" s="139"/>
    </row>
    <row r="2545" spans="4:4" ht="12.75" x14ac:dyDescent="0.2">
      <c r="D2545" s="139"/>
    </row>
    <row r="2546" spans="4:4" ht="12.75" x14ac:dyDescent="0.2">
      <c r="D2546" s="139"/>
    </row>
    <row r="2547" spans="4:4" ht="12.75" x14ac:dyDescent="0.2">
      <c r="D2547" s="139"/>
    </row>
    <row r="2548" spans="4:4" ht="12.75" x14ac:dyDescent="0.2">
      <c r="D2548" s="139"/>
    </row>
    <row r="2549" spans="4:4" ht="12.75" x14ac:dyDescent="0.2">
      <c r="D2549" s="139"/>
    </row>
    <row r="2550" spans="4:4" ht="12.75" x14ac:dyDescent="0.2">
      <c r="D2550" s="139"/>
    </row>
    <row r="2551" spans="4:4" ht="12.75" x14ac:dyDescent="0.2">
      <c r="D2551" s="139"/>
    </row>
    <row r="2552" spans="4:4" ht="12.75" x14ac:dyDescent="0.2">
      <c r="D2552" s="139"/>
    </row>
    <row r="2553" spans="4:4" ht="12.75" x14ac:dyDescent="0.2">
      <c r="D2553" s="139"/>
    </row>
    <row r="2554" spans="4:4" ht="12.75" x14ac:dyDescent="0.2">
      <c r="D2554" s="139"/>
    </row>
    <row r="2555" spans="4:4" ht="12.75" x14ac:dyDescent="0.2">
      <c r="D2555" s="139"/>
    </row>
    <row r="2556" spans="4:4" ht="12.75" x14ac:dyDescent="0.2">
      <c r="D2556" s="139"/>
    </row>
    <row r="2557" spans="4:4" ht="12.75" x14ac:dyDescent="0.2">
      <c r="D2557" s="139"/>
    </row>
    <row r="2558" spans="4:4" ht="12.75" x14ac:dyDescent="0.2">
      <c r="D2558" s="139"/>
    </row>
    <row r="2559" spans="4:4" ht="12.75" x14ac:dyDescent="0.2">
      <c r="D2559" s="139"/>
    </row>
    <row r="2560" spans="4:4" ht="12.75" x14ac:dyDescent="0.2">
      <c r="D2560" s="139"/>
    </row>
    <row r="2561" spans="4:4" ht="12.75" x14ac:dyDescent="0.2">
      <c r="D2561" s="139"/>
    </row>
    <row r="2562" spans="4:4" ht="12.75" x14ac:dyDescent="0.2">
      <c r="D2562" s="139"/>
    </row>
    <row r="2563" spans="4:4" ht="12.75" x14ac:dyDescent="0.2">
      <c r="D2563" s="139"/>
    </row>
    <row r="2564" spans="4:4" ht="12.75" x14ac:dyDescent="0.2">
      <c r="D2564" s="139"/>
    </row>
    <row r="2565" spans="4:4" ht="12.75" x14ac:dyDescent="0.2">
      <c r="D2565" s="139"/>
    </row>
    <row r="2566" spans="4:4" ht="12.75" x14ac:dyDescent="0.2">
      <c r="D2566" s="139"/>
    </row>
    <row r="2567" spans="4:4" ht="12.75" x14ac:dyDescent="0.2">
      <c r="D2567" s="139"/>
    </row>
    <row r="2568" spans="4:4" ht="12.75" x14ac:dyDescent="0.2">
      <c r="D2568" s="139"/>
    </row>
    <row r="2569" spans="4:4" ht="12.75" x14ac:dyDescent="0.2">
      <c r="D2569" s="139"/>
    </row>
    <row r="2570" spans="4:4" ht="12.75" x14ac:dyDescent="0.2">
      <c r="D2570" s="139"/>
    </row>
    <row r="2571" spans="4:4" ht="12.75" x14ac:dyDescent="0.2">
      <c r="D2571" s="139"/>
    </row>
    <row r="2572" spans="4:4" ht="12.75" x14ac:dyDescent="0.2">
      <c r="D2572" s="139"/>
    </row>
    <row r="2573" spans="4:4" ht="12.75" x14ac:dyDescent="0.2">
      <c r="D2573" s="139"/>
    </row>
    <row r="2574" spans="4:4" ht="12.75" x14ac:dyDescent="0.2">
      <c r="D2574" s="139"/>
    </row>
    <row r="2575" spans="4:4" ht="12.75" x14ac:dyDescent="0.2">
      <c r="D2575" s="139"/>
    </row>
    <row r="2576" spans="4:4" ht="12.75" x14ac:dyDescent="0.2">
      <c r="D2576" s="139"/>
    </row>
    <row r="2577" spans="4:4" ht="12.75" x14ac:dyDescent="0.2">
      <c r="D2577" s="139"/>
    </row>
    <row r="2578" spans="4:4" ht="12.75" x14ac:dyDescent="0.2">
      <c r="D2578" s="139"/>
    </row>
    <row r="2579" spans="4:4" ht="12.75" x14ac:dyDescent="0.2">
      <c r="D2579" s="139"/>
    </row>
    <row r="2580" spans="4:4" ht="12.75" x14ac:dyDescent="0.2">
      <c r="D2580" s="139"/>
    </row>
    <row r="2581" spans="4:4" ht="12.75" x14ac:dyDescent="0.2">
      <c r="D2581" s="139"/>
    </row>
    <row r="2582" spans="4:4" ht="12.75" x14ac:dyDescent="0.2">
      <c r="D2582" s="139"/>
    </row>
    <row r="2583" spans="4:4" ht="12.75" x14ac:dyDescent="0.2">
      <c r="D2583" s="139"/>
    </row>
    <row r="2584" spans="4:4" ht="12.75" x14ac:dyDescent="0.2">
      <c r="D2584" s="139"/>
    </row>
    <row r="2585" spans="4:4" ht="12.75" x14ac:dyDescent="0.2">
      <c r="D2585" s="139"/>
    </row>
    <row r="2586" spans="4:4" ht="12.75" x14ac:dyDescent="0.2">
      <c r="D2586" s="139"/>
    </row>
    <row r="2587" spans="4:4" ht="12.75" x14ac:dyDescent="0.2">
      <c r="D2587" s="139"/>
    </row>
    <row r="2588" spans="4:4" ht="12.75" x14ac:dyDescent="0.2">
      <c r="D2588" s="139"/>
    </row>
    <row r="2589" spans="4:4" ht="12.75" x14ac:dyDescent="0.2">
      <c r="D2589" s="139"/>
    </row>
    <row r="2590" spans="4:4" ht="12.75" x14ac:dyDescent="0.2">
      <c r="D2590" s="139"/>
    </row>
    <row r="2591" spans="4:4" ht="12.75" x14ac:dyDescent="0.2">
      <c r="D2591" s="139"/>
    </row>
    <row r="2592" spans="4:4" ht="12.75" x14ac:dyDescent="0.2">
      <c r="D2592" s="139"/>
    </row>
    <row r="2593" spans="4:4" ht="12.75" x14ac:dyDescent="0.2">
      <c r="D2593" s="139"/>
    </row>
    <row r="2594" spans="4:4" ht="12.75" x14ac:dyDescent="0.2">
      <c r="D2594" s="139"/>
    </row>
    <row r="2595" spans="4:4" ht="12.75" x14ac:dyDescent="0.2">
      <c r="D2595" s="139"/>
    </row>
    <row r="2596" spans="4:4" ht="12.75" x14ac:dyDescent="0.2">
      <c r="D2596" s="139"/>
    </row>
    <row r="2597" spans="4:4" ht="12.75" x14ac:dyDescent="0.2">
      <c r="D2597" s="139"/>
    </row>
    <row r="2598" spans="4:4" ht="12.75" x14ac:dyDescent="0.2">
      <c r="D2598" s="139"/>
    </row>
    <row r="2599" spans="4:4" ht="12.75" x14ac:dyDescent="0.2">
      <c r="D2599" s="139"/>
    </row>
    <row r="2600" spans="4:4" ht="12.75" x14ac:dyDescent="0.2">
      <c r="D2600" s="139"/>
    </row>
    <row r="2601" spans="4:4" ht="12.75" x14ac:dyDescent="0.2">
      <c r="D2601" s="139"/>
    </row>
    <row r="2602" spans="4:4" ht="12.75" x14ac:dyDescent="0.2">
      <c r="D2602" s="139"/>
    </row>
    <row r="2603" spans="4:4" ht="12.75" x14ac:dyDescent="0.2">
      <c r="D2603" s="139"/>
    </row>
    <row r="2604" spans="4:4" ht="12.75" x14ac:dyDescent="0.2">
      <c r="D2604" s="139"/>
    </row>
    <row r="2605" spans="4:4" ht="12.75" x14ac:dyDescent="0.2">
      <c r="D2605" s="139"/>
    </row>
    <row r="2606" spans="4:4" ht="12.75" x14ac:dyDescent="0.2">
      <c r="D2606" s="139"/>
    </row>
    <row r="2607" spans="4:4" ht="12.75" x14ac:dyDescent="0.2">
      <c r="D2607" s="139"/>
    </row>
    <row r="2608" spans="4:4" ht="12.75" x14ac:dyDescent="0.2">
      <c r="D2608" s="139"/>
    </row>
    <row r="2609" spans="4:4" ht="12.75" x14ac:dyDescent="0.2">
      <c r="D2609" s="139"/>
    </row>
    <row r="2610" spans="4:4" ht="12.75" x14ac:dyDescent="0.2">
      <c r="D2610" s="139"/>
    </row>
    <row r="2611" spans="4:4" ht="12.75" x14ac:dyDescent="0.2">
      <c r="D2611" s="139"/>
    </row>
    <row r="2612" spans="4:4" ht="12.75" x14ac:dyDescent="0.2">
      <c r="D2612" s="139"/>
    </row>
    <row r="2613" spans="4:4" ht="12.75" x14ac:dyDescent="0.2">
      <c r="D2613" s="139"/>
    </row>
    <row r="2614" spans="4:4" ht="12.75" x14ac:dyDescent="0.2">
      <c r="D2614" s="139"/>
    </row>
    <row r="2615" spans="4:4" ht="12.75" x14ac:dyDescent="0.2">
      <c r="D2615" s="139"/>
    </row>
    <row r="2616" spans="4:4" ht="12.75" x14ac:dyDescent="0.2">
      <c r="D2616" s="139"/>
    </row>
    <row r="2617" spans="4:4" ht="12.75" x14ac:dyDescent="0.2">
      <c r="D2617" s="139"/>
    </row>
    <row r="2618" spans="4:4" ht="12.75" x14ac:dyDescent="0.2">
      <c r="D2618" s="139"/>
    </row>
    <row r="2619" spans="4:4" ht="12.75" x14ac:dyDescent="0.2">
      <c r="D2619" s="139"/>
    </row>
    <row r="2620" spans="4:4" ht="12.75" x14ac:dyDescent="0.2">
      <c r="D2620" s="139"/>
    </row>
    <row r="2621" spans="4:4" ht="12.75" x14ac:dyDescent="0.2">
      <c r="D2621" s="139"/>
    </row>
    <row r="2622" spans="4:4" ht="12.75" x14ac:dyDescent="0.2">
      <c r="D2622" s="139"/>
    </row>
    <row r="2623" spans="4:4" ht="12.75" x14ac:dyDescent="0.2">
      <c r="D2623" s="139"/>
    </row>
    <row r="2624" spans="4:4" ht="12.75" x14ac:dyDescent="0.2">
      <c r="D2624" s="139"/>
    </row>
    <row r="2625" spans="4:4" ht="12.75" x14ac:dyDescent="0.2">
      <c r="D2625" s="139"/>
    </row>
    <row r="2626" spans="4:4" ht="12.75" x14ac:dyDescent="0.2">
      <c r="D2626" s="139"/>
    </row>
    <row r="2627" spans="4:4" ht="12.75" x14ac:dyDescent="0.2">
      <c r="D2627" s="139"/>
    </row>
    <row r="2628" spans="4:4" ht="12.75" x14ac:dyDescent="0.2">
      <c r="D2628" s="139"/>
    </row>
    <row r="2629" spans="4:4" ht="12.75" x14ac:dyDescent="0.2">
      <c r="D2629" s="139"/>
    </row>
    <row r="2630" spans="4:4" ht="12.75" x14ac:dyDescent="0.2">
      <c r="D2630" s="139"/>
    </row>
    <row r="2631" spans="4:4" ht="12.75" x14ac:dyDescent="0.2">
      <c r="D2631" s="139"/>
    </row>
    <row r="2632" spans="4:4" ht="12.75" x14ac:dyDescent="0.2">
      <c r="D2632" s="139"/>
    </row>
    <row r="2633" spans="4:4" ht="12.75" x14ac:dyDescent="0.2">
      <c r="D2633" s="139"/>
    </row>
    <row r="2634" spans="4:4" ht="12.75" x14ac:dyDescent="0.2">
      <c r="D2634" s="139"/>
    </row>
    <row r="2635" spans="4:4" ht="12.75" x14ac:dyDescent="0.2">
      <c r="D2635" s="139"/>
    </row>
    <row r="2636" spans="4:4" ht="12.75" x14ac:dyDescent="0.2">
      <c r="D2636" s="139"/>
    </row>
    <row r="2637" spans="4:4" ht="12.75" x14ac:dyDescent="0.2">
      <c r="D2637" s="139"/>
    </row>
    <row r="2638" spans="4:4" ht="12.75" x14ac:dyDescent="0.2">
      <c r="D2638" s="139"/>
    </row>
    <row r="2639" spans="4:4" ht="12.75" x14ac:dyDescent="0.2">
      <c r="D2639" s="139"/>
    </row>
    <row r="2640" spans="4:4" ht="12.75" x14ac:dyDescent="0.2">
      <c r="D2640" s="139"/>
    </row>
    <row r="2641" spans="4:4" ht="12.75" x14ac:dyDescent="0.2">
      <c r="D2641" s="139"/>
    </row>
    <row r="2642" spans="4:4" ht="12.75" x14ac:dyDescent="0.2">
      <c r="D2642" s="139"/>
    </row>
    <row r="2643" spans="4:4" ht="12.75" x14ac:dyDescent="0.2">
      <c r="D2643" s="139"/>
    </row>
    <row r="2644" spans="4:4" ht="12.75" x14ac:dyDescent="0.2">
      <c r="D2644" s="139"/>
    </row>
    <row r="2645" spans="4:4" ht="12.75" x14ac:dyDescent="0.2">
      <c r="D2645" s="139"/>
    </row>
    <row r="2646" spans="4:4" ht="12.75" x14ac:dyDescent="0.2">
      <c r="D2646" s="139"/>
    </row>
    <row r="2647" spans="4:4" ht="12.75" x14ac:dyDescent="0.2">
      <c r="D2647" s="139"/>
    </row>
    <row r="2648" spans="4:4" ht="12.75" x14ac:dyDescent="0.2">
      <c r="D2648" s="139"/>
    </row>
    <row r="2649" spans="4:4" ht="12.75" x14ac:dyDescent="0.2">
      <c r="D2649" s="139"/>
    </row>
    <row r="2650" spans="4:4" ht="12.75" x14ac:dyDescent="0.2">
      <c r="D2650" s="139"/>
    </row>
    <row r="2651" spans="4:4" ht="12.75" x14ac:dyDescent="0.2">
      <c r="D2651" s="139"/>
    </row>
    <row r="2652" spans="4:4" ht="12.75" x14ac:dyDescent="0.2">
      <c r="D2652" s="139"/>
    </row>
    <row r="2653" spans="4:4" ht="12.75" x14ac:dyDescent="0.2">
      <c r="D2653" s="139"/>
    </row>
    <row r="2654" spans="4:4" ht="12.75" x14ac:dyDescent="0.2">
      <c r="D2654" s="139"/>
    </row>
    <row r="2655" spans="4:4" ht="12.75" x14ac:dyDescent="0.2">
      <c r="D2655" s="139"/>
    </row>
    <row r="2657" spans="4:4" ht="12.75" x14ac:dyDescent="0.2">
      <c r="D2657" s="139"/>
    </row>
    <row r="2658" spans="4:4" ht="12.75" x14ac:dyDescent="0.2">
      <c r="D2658" s="139"/>
    </row>
    <row r="2659" spans="4:4" ht="12.75" x14ac:dyDescent="0.2">
      <c r="D2659" s="139"/>
    </row>
    <row r="2660" spans="4:4" ht="12.75" x14ac:dyDescent="0.2">
      <c r="D2660" s="139"/>
    </row>
    <row r="2661" spans="4:4" ht="12.75" x14ac:dyDescent="0.2">
      <c r="D2661" s="139"/>
    </row>
    <row r="2662" spans="4:4" ht="12.75" x14ac:dyDescent="0.2">
      <c r="D2662" s="139"/>
    </row>
    <row r="2663" spans="4:4" ht="12.75" x14ac:dyDescent="0.2">
      <c r="D2663" s="139"/>
    </row>
    <row r="2664" spans="4:4" ht="12.75" x14ac:dyDescent="0.2">
      <c r="D2664" s="139"/>
    </row>
    <row r="2665" spans="4:4" ht="12.75" x14ac:dyDescent="0.2">
      <c r="D2665" s="139"/>
    </row>
    <row r="2666" spans="4:4" ht="12.75" x14ac:dyDescent="0.2">
      <c r="D2666" s="139"/>
    </row>
    <row r="2667" spans="4:4" ht="12.75" x14ac:dyDescent="0.2">
      <c r="D2667" s="139"/>
    </row>
    <row r="2668" spans="4:4" ht="12.75" x14ac:dyDescent="0.2">
      <c r="D2668" s="139"/>
    </row>
    <row r="2669" spans="4:4" ht="12.75" x14ac:dyDescent="0.2">
      <c r="D2669" s="139"/>
    </row>
    <row r="2670" spans="4:4" ht="12.75" x14ac:dyDescent="0.2">
      <c r="D2670" s="139"/>
    </row>
    <row r="2671" spans="4:4" ht="12.75" x14ac:dyDescent="0.2">
      <c r="D2671" s="139"/>
    </row>
    <row r="2672" spans="4:4" ht="12.75" x14ac:dyDescent="0.2">
      <c r="D2672" s="139"/>
    </row>
    <row r="2673" spans="4:4" ht="12.75" x14ac:dyDescent="0.2">
      <c r="D2673" s="139"/>
    </row>
    <row r="2674" spans="4:4" ht="12.75" x14ac:dyDescent="0.2">
      <c r="D2674" s="139"/>
    </row>
    <row r="2675" spans="4:4" ht="12.75" x14ac:dyDescent="0.2">
      <c r="D2675" s="139"/>
    </row>
    <row r="2676" spans="4:4" ht="12.75" x14ac:dyDescent="0.2">
      <c r="D2676" s="139"/>
    </row>
    <row r="2677" spans="4:4" ht="12.75" x14ac:dyDescent="0.2">
      <c r="D2677" s="139"/>
    </row>
    <row r="2678" spans="4:4" ht="12.75" x14ac:dyDescent="0.2">
      <c r="D2678" s="139"/>
    </row>
    <row r="2679" spans="4:4" ht="12.75" x14ac:dyDescent="0.2">
      <c r="D2679" s="139"/>
    </row>
    <row r="2680" spans="4:4" ht="12.75" x14ac:dyDescent="0.2">
      <c r="D2680" s="139"/>
    </row>
    <row r="2681" spans="4:4" ht="12.75" x14ac:dyDescent="0.2">
      <c r="D2681" s="139"/>
    </row>
    <row r="2682" spans="4:4" ht="12.75" x14ac:dyDescent="0.2">
      <c r="D2682" s="139"/>
    </row>
    <row r="2683" spans="4:4" ht="12.75" x14ac:dyDescent="0.2">
      <c r="D2683" s="139"/>
    </row>
    <row r="2684" spans="4:4" ht="12.75" x14ac:dyDescent="0.2">
      <c r="D2684" s="139"/>
    </row>
    <row r="2685" spans="4:4" ht="12.75" x14ac:dyDescent="0.2">
      <c r="D2685" s="139"/>
    </row>
    <row r="2686" spans="4:4" ht="12.75" x14ac:dyDescent="0.2">
      <c r="D2686" s="139"/>
    </row>
    <row r="2687" spans="4:4" ht="12.75" x14ac:dyDescent="0.2">
      <c r="D2687" s="139"/>
    </row>
    <row r="2688" spans="4:4" ht="12.75" x14ac:dyDescent="0.2">
      <c r="D2688" s="139"/>
    </row>
    <row r="2689" spans="4:4" ht="12.75" x14ac:dyDescent="0.2">
      <c r="D2689" s="139"/>
    </row>
    <row r="2690" spans="4:4" ht="12.75" x14ac:dyDescent="0.2">
      <c r="D2690" s="139"/>
    </row>
    <row r="2691" spans="4:4" ht="12.75" x14ac:dyDescent="0.2">
      <c r="D2691" s="139"/>
    </row>
    <row r="2692" spans="4:4" ht="12.75" x14ac:dyDescent="0.2">
      <c r="D2692" s="139"/>
    </row>
    <row r="2693" spans="4:4" ht="12.75" x14ac:dyDescent="0.2">
      <c r="D2693" s="139"/>
    </row>
    <row r="2694" spans="4:4" ht="12.75" x14ac:dyDescent="0.2">
      <c r="D2694" s="139"/>
    </row>
    <row r="2695" spans="4:4" ht="12.75" x14ac:dyDescent="0.2">
      <c r="D2695" s="139"/>
    </row>
    <row r="2696" spans="4:4" ht="12.75" x14ac:dyDescent="0.2">
      <c r="D2696" s="139"/>
    </row>
    <row r="2697" spans="4:4" ht="12.75" x14ac:dyDescent="0.2">
      <c r="D2697" s="139"/>
    </row>
    <row r="2698" spans="4:4" ht="12.75" x14ac:dyDescent="0.2">
      <c r="D2698" s="139"/>
    </row>
    <row r="2699" spans="4:4" ht="12.75" x14ac:dyDescent="0.2">
      <c r="D2699" s="139"/>
    </row>
    <row r="2700" spans="4:4" ht="12.75" x14ac:dyDescent="0.2">
      <c r="D2700" s="139"/>
    </row>
    <row r="2701" spans="4:4" ht="12.75" x14ac:dyDescent="0.2">
      <c r="D2701" s="139"/>
    </row>
    <row r="2702" spans="4:4" ht="12.75" x14ac:dyDescent="0.2">
      <c r="D2702" s="139"/>
    </row>
    <row r="2703" spans="4:4" ht="12.75" x14ac:dyDescent="0.2">
      <c r="D2703" s="139"/>
    </row>
    <row r="2704" spans="4:4" ht="12.75" x14ac:dyDescent="0.2">
      <c r="D2704" s="139"/>
    </row>
    <row r="2705" spans="4:4" ht="12.75" x14ac:dyDescent="0.2">
      <c r="D2705" s="139"/>
    </row>
    <row r="2706" spans="4:4" ht="12.75" x14ac:dyDescent="0.2">
      <c r="D2706" s="139"/>
    </row>
    <row r="2707" spans="4:4" ht="12.75" x14ac:dyDescent="0.2">
      <c r="D2707" s="139"/>
    </row>
    <row r="2708" spans="4:4" ht="12.75" x14ac:dyDescent="0.2">
      <c r="D2708" s="139"/>
    </row>
    <row r="2709" spans="4:4" ht="12.75" x14ac:dyDescent="0.2">
      <c r="D2709" s="139"/>
    </row>
    <row r="2710" spans="4:4" ht="12.75" x14ac:dyDescent="0.2">
      <c r="D2710" s="139"/>
    </row>
    <row r="2711" spans="4:4" ht="12.75" x14ac:dyDescent="0.2">
      <c r="D2711" s="139"/>
    </row>
    <row r="2712" spans="4:4" ht="12.75" x14ac:dyDescent="0.2">
      <c r="D2712" s="139"/>
    </row>
    <row r="2713" spans="4:4" ht="12.75" x14ac:dyDescent="0.2">
      <c r="D2713" s="139"/>
    </row>
    <row r="2714" spans="4:4" ht="12.75" x14ac:dyDescent="0.2">
      <c r="D2714" s="139"/>
    </row>
    <row r="2715" spans="4:4" ht="12.75" x14ac:dyDescent="0.2">
      <c r="D2715" s="139"/>
    </row>
    <row r="2716" spans="4:4" ht="12.75" x14ac:dyDescent="0.2">
      <c r="D2716" s="139"/>
    </row>
    <row r="2717" spans="4:4" ht="12.75" x14ac:dyDescent="0.2">
      <c r="D2717" s="139"/>
    </row>
    <row r="2718" spans="4:4" ht="12.75" x14ac:dyDescent="0.2">
      <c r="D2718" s="139"/>
    </row>
    <row r="2719" spans="4:4" ht="12.75" x14ac:dyDescent="0.2">
      <c r="D2719" s="139"/>
    </row>
    <row r="2720" spans="4:4" ht="12.75" x14ac:dyDescent="0.2">
      <c r="D2720" s="139"/>
    </row>
    <row r="2721" spans="4:4" ht="12.75" x14ac:dyDescent="0.2">
      <c r="D2721" s="139"/>
    </row>
    <row r="2722" spans="4:4" ht="12.75" x14ac:dyDescent="0.2">
      <c r="D2722" s="139"/>
    </row>
    <row r="2723" spans="4:4" ht="12.75" x14ac:dyDescent="0.2">
      <c r="D2723" s="139"/>
    </row>
    <row r="2724" spans="4:4" ht="12.75" x14ac:dyDescent="0.2">
      <c r="D2724" s="139"/>
    </row>
    <row r="2725" spans="4:4" ht="12.75" x14ac:dyDescent="0.2">
      <c r="D2725" s="139"/>
    </row>
    <row r="2726" spans="4:4" ht="12.75" x14ac:dyDescent="0.2">
      <c r="D2726" s="139"/>
    </row>
    <row r="2727" spans="4:4" ht="12.75" x14ac:dyDescent="0.2">
      <c r="D2727" s="139"/>
    </row>
    <row r="2728" spans="4:4" ht="12.75" x14ac:dyDescent="0.2">
      <c r="D2728" s="139"/>
    </row>
    <row r="2729" spans="4:4" ht="12.75" x14ac:dyDescent="0.2">
      <c r="D2729" s="139"/>
    </row>
    <row r="2730" spans="4:4" ht="12.75" x14ac:dyDescent="0.2">
      <c r="D2730" s="139"/>
    </row>
    <row r="2731" spans="4:4" ht="12.75" x14ac:dyDescent="0.2">
      <c r="D2731" s="139"/>
    </row>
    <row r="2732" spans="4:4" ht="12.75" x14ac:dyDescent="0.2">
      <c r="D2732" s="139"/>
    </row>
    <row r="2733" spans="4:4" ht="12.75" x14ac:dyDescent="0.2">
      <c r="D2733" s="139"/>
    </row>
    <row r="2734" spans="4:4" ht="12.75" x14ac:dyDescent="0.2">
      <c r="D2734" s="139"/>
    </row>
    <row r="2735" spans="4:4" ht="12.75" x14ac:dyDescent="0.2">
      <c r="D2735" s="139"/>
    </row>
    <row r="2736" spans="4:4" ht="12.75" x14ac:dyDescent="0.2">
      <c r="D2736" s="139"/>
    </row>
    <row r="2737" spans="4:4" ht="12.75" x14ac:dyDescent="0.2">
      <c r="D2737" s="139"/>
    </row>
    <row r="2738" spans="4:4" ht="12.75" x14ac:dyDescent="0.2">
      <c r="D2738" s="139"/>
    </row>
    <row r="2739" spans="4:4" ht="12.75" x14ac:dyDescent="0.2">
      <c r="D2739" s="139"/>
    </row>
    <row r="2740" spans="4:4" ht="12.75" x14ac:dyDescent="0.2">
      <c r="D2740" s="139"/>
    </row>
    <row r="2741" spans="4:4" ht="12.75" x14ac:dyDescent="0.2">
      <c r="D2741" s="139"/>
    </row>
    <row r="2742" spans="4:4" ht="12.75" x14ac:dyDescent="0.2">
      <c r="D2742" s="139"/>
    </row>
    <row r="2743" spans="4:4" ht="12.75" x14ac:dyDescent="0.2">
      <c r="D2743" s="139"/>
    </row>
    <row r="2744" spans="4:4" ht="12.75" x14ac:dyDescent="0.2">
      <c r="D2744" s="139"/>
    </row>
    <row r="2745" spans="4:4" ht="12.75" x14ac:dyDescent="0.2">
      <c r="D2745" s="139"/>
    </row>
    <row r="2746" spans="4:4" ht="12.75" x14ac:dyDescent="0.2">
      <c r="D2746" s="139"/>
    </row>
    <row r="2747" spans="4:4" ht="12.75" x14ac:dyDescent="0.2">
      <c r="D2747" s="139"/>
    </row>
    <row r="2748" spans="4:4" ht="12.75" x14ac:dyDescent="0.2">
      <c r="D2748" s="139"/>
    </row>
    <row r="2749" spans="4:4" ht="12.75" x14ac:dyDescent="0.2">
      <c r="D2749" s="139"/>
    </row>
    <row r="2750" spans="4:4" ht="12.75" x14ac:dyDescent="0.2">
      <c r="D2750" s="139"/>
    </row>
    <row r="2751" spans="4:4" ht="12.75" x14ac:dyDescent="0.2">
      <c r="D2751" s="139"/>
    </row>
    <row r="2752" spans="4:4" ht="12.75" x14ac:dyDescent="0.2">
      <c r="D2752" s="139"/>
    </row>
    <row r="2753" spans="4:4" ht="12.75" x14ac:dyDescent="0.2">
      <c r="D2753" s="139"/>
    </row>
    <row r="2754" spans="4:4" ht="12.75" x14ac:dyDescent="0.2">
      <c r="D2754" s="139"/>
    </row>
    <row r="2755" spans="4:4" ht="12.75" x14ac:dyDescent="0.2">
      <c r="D2755" s="139"/>
    </row>
    <row r="2756" spans="4:4" ht="12.75" x14ac:dyDescent="0.2">
      <c r="D2756" s="139"/>
    </row>
    <row r="2757" spans="4:4" ht="12.75" x14ac:dyDescent="0.2">
      <c r="D2757" s="139"/>
    </row>
    <row r="2758" spans="4:4" ht="12.75" x14ac:dyDescent="0.2">
      <c r="D2758" s="139"/>
    </row>
    <row r="2759" spans="4:4" ht="12.75" x14ac:dyDescent="0.2">
      <c r="D2759" s="139"/>
    </row>
    <row r="2760" spans="4:4" ht="12.75" x14ac:dyDescent="0.2">
      <c r="D2760" s="139"/>
    </row>
    <row r="2761" spans="4:4" ht="12.75" x14ac:dyDescent="0.2">
      <c r="D2761" s="139"/>
    </row>
    <row r="2762" spans="4:4" ht="12.75" x14ac:dyDescent="0.2">
      <c r="D2762" s="139"/>
    </row>
    <row r="2763" spans="4:4" ht="12.75" x14ac:dyDescent="0.2">
      <c r="D2763" s="139"/>
    </row>
    <row r="2764" spans="4:4" ht="12.75" x14ac:dyDescent="0.2">
      <c r="D2764" s="139"/>
    </row>
    <row r="2765" spans="4:4" ht="12.75" x14ac:dyDescent="0.2">
      <c r="D2765" s="139"/>
    </row>
    <row r="2766" spans="4:4" ht="12.75" x14ac:dyDescent="0.2">
      <c r="D2766" s="139"/>
    </row>
    <row r="2767" spans="4:4" ht="12.75" x14ac:dyDescent="0.2">
      <c r="D2767" s="139"/>
    </row>
    <row r="2768" spans="4:4" ht="12.75" x14ac:dyDescent="0.2">
      <c r="D2768" s="139"/>
    </row>
    <row r="2769" spans="4:4" ht="12.75" x14ac:dyDescent="0.2">
      <c r="D2769" s="139"/>
    </row>
    <row r="2770" spans="4:4" ht="12.75" x14ac:dyDescent="0.2">
      <c r="D2770" s="139"/>
    </row>
    <row r="2771" spans="4:4" ht="12.75" x14ac:dyDescent="0.2">
      <c r="D2771" s="139"/>
    </row>
    <row r="2772" spans="4:4" ht="12.75" x14ac:dyDescent="0.2">
      <c r="D2772" s="139"/>
    </row>
    <row r="2773" spans="4:4" ht="12.75" x14ac:dyDescent="0.2">
      <c r="D2773" s="139"/>
    </row>
    <row r="2774" spans="4:4" ht="12.75" x14ac:dyDescent="0.2">
      <c r="D2774" s="139"/>
    </row>
    <row r="2775" spans="4:4" ht="12.75" x14ac:dyDescent="0.2">
      <c r="D2775" s="139"/>
    </row>
    <row r="2776" spans="4:4" ht="12.75" x14ac:dyDescent="0.2">
      <c r="D2776" s="139"/>
    </row>
    <row r="2777" spans="4:4" ht="12.75" x14ac:dyDescent="0.2">
      <c r="D2777" s="139"/>
    </row>
    <row r="2778" spans="4:4" ht="12.75" x14ac:dyDescent="0.2">
      <c r="D2778" s="139"/>
    </row>
    <row r="2779" spans="4:4" ht="12.75" x14ac:dyDescent="0.2">
      <c r="D2779" s="139"/>
    </row>
    <row r="2780" spans="4:4" ht="12.75" x14ac:dyDescent="0.2">
      <c r="D2780" s="139"/>
    </row>
    <row r="2781" spans="4:4" ht="12.75" x14ac:dyDescent="0.2">
      <c r="D2781" s="139"/>
    </row>
    <row r="2782" spans="4:4" ht="12.75" x14ac:dyDescent="0.2">
      <c r="D2782" s="139"/>
    </row>
    <row r="2783" spans="4:4" ht="12.75" x14ac:dyDescent="0.2">
      <c r="D2783" s="139"/>
    </row>
    <row r="2784" spans="4:4" ht="12.75" x14ac:dyDescent="0.2">
      <c r="D2784" s="139"/>
    </row>
    <row r="2785" spans="4:4" ht="12.75" x14ac:dyDescent="0.2">
      <c r="D2785" s="139"/>
    </row>
    <row r="2786" spans="4:4" ht="12.75" x14ac:dyDescent="0.2">
      <c r="D2786" s="139"/>
    </row>
    <row r="2787" spans="4:4" ht="12.75" x14ac:dyDescent="0.2">
      <c r="D2787" s="139"/>
    </row>
    <row r="2788" spans="4:4" ht="12.75" x14ac:dyDescent="0.2">
      <c r="D2788" s="139"/>
    </row>
    <row r="2789" spans="4:4" ht="12.75" x14ac:dyDescent="0.2">
      <c r="D2789" s="139"/>
    </row>
    <row r="2790" spans="4:4" ht="12.75" x14ac:dyDescent="0.2">
      <c r="D2790" s="139"/>
    </row>
    <row r="2791" spans="4:4" ht="12.75" x14ac:dyDescent="0.2">
      <c r="D2791" s="139"/>
    </row>
    <row r="2792" spans="4:4" ht="12.75" x14ac:dyDescent="0.2">
      <c r="D2792" s="139"/>
    </row>
    <row r="2793" spans="4:4" ht="12.75" x14ac:dyDescent="0.2">
      <c r="D2793" s="139"/>
    </row>
    <row r="2794" spans="4:4" ht="12.75" x14ac:dyDescent="0.2">
      <c r="D2794" s="139"/>
    </row>
    <row r="2795" spans="4:4" ht="12.75" x14ac:dyDescent="0.2">
      <c r="D2795" s="139"/>
    </row>
    <row r="2796" spans="4:4" ht="12.75" x14ac:dyDescent="0.2">
      <c r="D2796" s="139"/>
    </row>
    <row r="2797" spans="4:4" ht="12.75" x14ac:dyDescent="0.2">
      <c r="D2797" s="139"/>
    </row>
    <row r="2798" spans="4:4" ht="12.75" x14ac:dyDescent="0.2">
      <c r="D2798" s="139"/>
    </row>
    <row r="2799" spans="4:4" ht="12.75" x14ac:dyDescent="0.2">
      <c r="D2799" s="139"/>
    </row>
    <row r="2800" spans="4:4" ht="12.75" x14ac:dyDescent="0.2">
      <c r="D2800" s="139"/>
    </row>
    <row r="2801" spans="4:4" ht="12.75" x14ac:dyDescent="0.2">
      <c r="D2801" s="139"/>
    </row>
    <row r="2802" spans="4:4" ht="12.75" x14ac:dyDescent="0.2">
      <c r="D2802" s="139"/>
    </row>
    <row r="2803" spans="4:4" ht="12.75" x14ac:dyDescent="0.2">
      <c r="D2803" s="139"/>
    </row>
    <row r="2804" spans="4:4" ht="12.75" x14ac:dyDescent="0.2">
      <c r="D2804" s="139"/>
    </row>
    <row r="2805" spans="4:4" ht="12.75" x14ac:dyDescent="0.2">
      <c r="D2805" s="139"/>
    </row>
    <row r="2806" spans="4:4" ht="12.75" x14ac:dyDescent="0.2">
      <c r="D2806" s="139"/>
    </row>
    <row r="2807" spans="4:4" ht="12.75" x14ac:dyDescent="0.2">
      <c r="D2807" s="139"/>
    </row>
    <row r="2808" spans="4:4" ht="12.75" x14ac:dyDescent="0.2">
      <c r="D2808" s="139"/>
    </row>
    <row r="2809" spans="4:4" ht="12.75" x14ac:dyDescent="0.2">
      <c r="D2809" s="139"/>
    </row>
    <row r="2810" spans="4:4" ht="12.75" x14ac:dyDescent="0.2">
      <c r="D2810" s="139"/>
    </row>
    <row r="2811" spans="4:4" ht="12.75" x14ac:dyDescent="0.2">
      <c r="D2811" s="139"/>
    </row>
    <row r="2812" spans="4:4" ht="12.75" x14ac:dyDescent="0.2">
      <c r="D2812" s="139"/>
    </row>
    <row r="2813" spans="4:4" ht="12.75" x14ac:dyDescent="0.2">
      <c r="D2813" s="139"/>
    </row>
    <row r="2814" spans="4:4" ht="12.75" x14ac:dyDescent="0.2">
      <c r="D2814" s="139"/>
    </row>
    <row r="2815" spans="4:4" ht="12.75" x14ac:dyDescent="0.2">
      <c r="D2815" s="139"/>
    </row>
    <row r="2816" spans="4:4" ht="12.75" x14ac:dyDescent="0.2">
      <c r="D2816" s="139"/>
    </row>
    <row r="2817" spans="4:4" ht="12.75" x14ac:dyDescent="0.2">
      <c r="D2817" s="139"/>
    </row>
    <row r="2818" spans="4:4" ht="12.75" x14ac:dyDescent="0.2">
      <c r="D2818" s="139"/>
    </row>
    <row r="2819" spans="4:4" ht="12.75" x14ac:dyDescent="0.2">
      <c r="D2819" s="139"/>
    </row>
    <row r="2820" spans="4:4" ht="12.75" x14ac:dyDescent="0.2">
      <c r="D2820" s="139"/>
    </row>
    <row r="2821" spans="4:4" ht="12.75" x14ac:dyDescent="0.2">
      <c r="D2821" s="139"/>
    </row>
    <row r="2822" spans="4:4" ht="12.75" x14ac:dyDescent="0.2">
      <c r="D2822" s="139"/>
    </row>
    <row r="2823" spans="4:4" ht="12.75" x14ac:dyDescent="0.2">
      <c r="D2823" s="139"/>
    </row>
    <row r="2824" spans="4:4" ht="12.75" x14ac:dyDescent="0.2">
      <c r="D2824" s="139"/>
    </row>
    <row r="2825" spans="4:4" ht="12.75" x14ac:dyDescent="0.2">
      <c r="D2825" s="139"/>
    </row>
    <row r="2826" spans="4:4" ht="12.75" x14ac:dyDescent="0.2">
      <c r="D2826" s="139"/>
    </row>
    <row r="2827" spans="4:4" ht="12.75" x14ac:dyDescent="0.2">
      <c r="D2827" s="139"/>
    </row>
    <row r="2828" spans="4:4" ht="12.75" x14ac:dyDescent="0.2">
      <c r="D2828" s="139"/>
    </row>
    <row r="2829" spans="4:4" ht="12.75" x14ac:dyDescent="0.2">
      <c r="D2829" s="139"/>
    </row>
    <row r="2830" spans="4:4" ht="12.75" x14ac:dyDescent="0.2">
      <c r="D2830" s="139"/>
    </row>
    <row r="2831" spans="4:4" ht="12.75" x14ac:dyDescent="0.2">
      <c r="D2831" s="139"/>
    </row>
    <row r="2832" spans="4:4" ht="12.75" x14ac:dyDescent="0.2">
      <c r="D2832" s="139"/>
    </row>
    <row r="2833" spans="4:4" ht="12.75" x14ac:dyDescent="0.2">
      <c r="D2833" s="139"/>
    </row>
    <row r="2834" spans="4:4" ht="12.75" x14ac:dyDescent="0.2">
      <c r="D2834" s="139"/>
    </row>
    <row r="2835" spans="4:4" ht="12.75" x14ac:dyDescent="0.2">
      <c r="D2835" s="139"/>
    </row>
    <row r="2836" spans="4:4" ht="12.75" x14ac:dyDescent="0.2">
      <c r="D2836" s="139"/>
    </row>
    <row r="2837" spans="4:4" ht="12.75" x14ac:dyDescent="0.2">
      <c r="D2837" s="139"/>
    </row>
    <row r="2838" spans="4:4" ht="12.75" x14ac:dyDescent="0.2">
      <c r="D2838" s="139"/>
    </row>
    <row r="2839" spans="4:4" ht="12.75" x14ac:dyDescent="0.2">
      <c r="D2839" s="139"/>
    </row>
    <row r="2840" spans="4:4" ht="12.75" x14ac:dyDescent="0.2">
      <c r="D2840" s="139"/>
    </row>
    <row r="2841" spans="4:4" ht="12.75" x14ac:dyDescent="0.2">
      <c r="D2841" s="139"/>
    </row>
    <row r="2842" spans="4:4" ht="12.75" x14ac:dyDescent="0.2">
      <c r="D2842" s="139"/>
    </row>
    <row r="2843" spans="4:4" ht="12.75" x14ac:dyDescent="0.2">
      <c r="D2843" s="139"/>
    </row>
    <row r="2844" spans="4:4" ht="12.75" x14ac:dyDescent="0.2">
      <c r="D2844" s="139"/>
    </row>
    <row r="2845" spans="4:4" ht="12.75" x14ac:dyDescent="0.2">
      <c r="D2845" s="139"/>
    </row>
    <row r="2846" spans="4:4" ht="12.75" x14ac:dyDescent="0.2">
      <c r="D2846" s="139"/>
    </row>
    <row r="2847" spans="4:4" ht="12.75" x14ac:dyDescent="0.2">
      <c r="D2847" s="139"/>
    </row>
    <row r="2848" spans="4:4" ht="12.75" x14ac:dyDescent="0.2">
      <c r="D2848" s="139"/>
    </row>
    <row r="2849" spans="4:4" ht="12.75" x14ac:dyDescent="0.2">
      <c r="D2849" s="139"/>
    </row>
    <row r="2850" spans="4:4" ht="12.75" x14ac:dyDescent="0.2">
      <c r="D2850" s="139"/>
    </row>
    <row r="2851" spans="4:4" ht="12.75" x14ac:dyDescent="0.2">
      <c r="D2851" s="139"/>
    </row>
    <row r="2852" spans="4:4" ht="12.75" x14ac:dyDescent="0.2">
      <c r="D2852" s="139"/>
    </row>
    <row r="2853" spans="4:4" ht="12.75" x14ac:dyDescent="0.2">
      <c r="D2853" s="139"/>
    </row>
    <row r="2854" spans="4:4" ht="12.75" x14ac:dyDescent="0.2">
      <c r="D2854" s="139"/>
    </row>
    <row r="2855" spans="4:4" ht="12.75" x14ac:dyDescent="0.2">
      <c r="D2855" s="139"/>
    </row>
    <row r="2856" spans="4:4" ht="12.75" x14ac:dyDescent="0.2">
      <c r="D2856" s="139"/>
    </row>
    <row r="2857" spans="4:4" ht="12.75" x14ac:dyDescent="0.2">
      <c r="D2857" s="139"/>
    </row>
    <row r="2858" spans="4:4" ht="12.75" x14ac:dyDescent="0.2">
      <c r="D2858" s="139"/>
    </row>
    <row r="2859" spans="4:4" ht="12.75" x14ac:dyDescent="0.2">
      <c r="D2859" s="139"/>
    </row>
    <row r="2860" spans="4:4" ht="12.75" x14ac:dyDescent="0.2">
      <c r="D2860" s="139"/>
    </row>
    <row r="2861" spans="4:4" ht="12.75" x14ac:dyDescent="0.2">
      <c r="D2861" s="139"/>
    </row>
    <row r="2862" spans="4:4" ht="12.75" x14ac:dyDescent="0.2">
      <c r="D2862" s="139"/>
    </row>
    <row r="2863" spans="4:4" ht="12.75" x14ac:dyDescent="0.2">
      <c r="D2863" s="139"/>
    </row>
    <row r="2864" spans="4:4" ht="12.75" x14ac:dyDescent="0.2">
      <c r="D2864" s="139"/>
    </row>
    <row r="2865" spans="4:4" ht="12.75" x14ac:dyDescent="0.2">
      <c r="D2865" s="139"/>
    </row>
    <row r="2866" spans="4:4" ht="12.75" x14ac:dyDescent="0.2">
      <c r="D2866" s="139"/>
    </row>
    <row r="2867" spans="4:4" ht="12.75" x14ac:dyDescent="0.2">
      <c r="D2867" s="139"/>
    </row>
    <row r="2868" spans="4:4" ht="12.75" x14ac:dyDescent="0.2">
      <c r="D2868" s="139"/>
    </row>
    <row r="2869" spans="4:4" ht="12.75" x14ac:dyDescent="0.2">
      <c r="D2869" s="139"/>
    </row>
    <row r="2870" spans="4:4" ht="12.75" x14ac:dyDescent="0.2">
      <c r="D2870" s="139"/>
    </row>
    <row r="2871" spans="4:4" ht="12.75" x14ac:dyDescent="0.2">
      <c r="D2871" s="139"/>
    </row>
    <row r="2872" spans="4:4" ht="12.75" x14ac:dyDescent="0.2">
      <c r="D2872" s="139"/>
    </row>
    <row r="2873" spans="4:4" ht="12.75" x14ac:dyDescent="0.2">
      <c r="D2873" s="139"/>
    </row>
    <row r="2874" spans="4:4" ht="12.75" x14ac:dyDescent="0.2">
      <c r="D2874" s="139"/>
    </row>
    <row r="2875" spans="4:4" ht="12.75" x14ac:dyDescent="0.2">
      <c r="D2875" s="139"/>
    </row>
    <row r="2876" spans="4:4" ht="12.75" x14ac:dyDescent="0.2">
      <c r="D2876" s="139"/>
    </row>
    <row r="2877" spans="4:4" ht="12.75" x14ac:dyDescent="0.2">
      <c r="D2877" s="139"/>
    </row>
    <row r="2878" spans="4:4" ht="12.75" x14ac:dyDescent="0.2">
      <c r="D2878" s="139"/>
    </row>
    <row r="2879" spans="4:4" ht="12.75" x14ac:dyDescent="0.2">
      <c r="D2879" s="139"/>
    </row>
    <row r="2880" spans="4:4" ht="12.75" x14ac:dyDescent="0.2">
      <c r="D2880" s="139"/>
    </row>
    <row r="2881" spans="4:4" ht="12.75" x14ac:dyDescent="0.2">
      <c r="D2881" s="139"/>
    </row>
    <row r="2882" spans="4:4" ht="12.75" x14ac:dyDescent="0.2">
      <c r="D2882" s="139"/>
    </row>
    <row r="2883" spans="4:4" ht="12.75" x14ac:dyDescent="0.2">
      <c r="D2883" s="139"/>
    </row>
    <row r="2884" spans="4:4" ht="12.75" x14ac:dyDescent="0.2">
      <c r="D2884" s="139"/>
    </row>
    <row r="2885" spans="4:4" ht="12.75" x14ac:dyDescent="0.2">
      <c r="D2885" s="139"/>
    </row>
    <row r="2886" spans="4:4" ht="12.75" x14ac:dyDescent="0.2">
      <c r="D2886" s="139"/>
    </row>
    <row r="2887" spans="4:4" ht="12.75" x14ac:dyDescent="0.2">
      <c r="D2887" s="139"/>
    </row>
    <row r="2888" spans="4:4" ht="12.75" x14ac:dyDescent="0.2">
      <c r="D2888" s="139"/>
    </row>
    <row r="2889" spans="4:4" ht="12.75" x14ac:dyDescent="0.2">
      <c r="D2889" s="139"/>
    </row>
    <row r="2890" spans="4:4" ht="12.75" x14ac:dyDescent="0.2">
      <c r="D2890" s="139"/>
    </row>
    <row r="2891" spans="4:4" ht="12.75" x14ac:dyDescent="0.2">
      <c r="D2891" s="139"/>
    </row>
    <row r="2892" spans="4:4" ht="12.75" x14ac:dyDescent="0.2">
      <c r="D2892" s="139"/>
    </row>
    <row r="2893" spans="4:4" ht="12.75" x14ac:dyDescent="0.2">
      <c r="D2893" s="139"/>
    </row>
    <row r="2894" spans="4:4" ht="12.75" x14ac:dyDescent="0.2">
      <c r="D2894" s="139"/>
    </row>
    <row r="2895" spans="4:4" ht="12.75" x14ac:dyDescent="0.2">
      <c r="D2895" s="139"/>
    </row>
    <row r="2896" spans="4:4" ht="12.75" x14ac:dyDescent="0.2">
      <c r="D2896" s="139"/>
    </row>
    <row r="2897" spans="4:4" ht="12.75" x14ac:dyDescent="0.2">
      <c r="D2897" s="139"/>
    </row>
    <row r="2898" spans="4:4" ht="12.75" x14ac:dyDescent="0.2">
      <c r="D2898" s="139"/>
    </row>
    <row r="2899" spans="4:4" ht="12.75" x14ac:dyDescent="0.2">
      <c r="D2899" s="139"/>
    </row>
    <row r="2900" spans="4:4" ht="12.75" x14ac:dyDescent="0.2">
      <c r="D2900" s="139"/>
    </row>
    <row r="2901" spans="4:4" ht="12.75" x14ac:dyDescent="0.2">
      <c r="D2901" s="139"/>
    </row>
    <row r="2902" spans="4:4" ht="12.75" x14ac:dyDescent="0.2">
      <c r="D2902" s="139"/>
    </row>
    <row r="2903" spans="4:4" ht="12.75" x14ac:dyDescent="0.2">
      <c r="D2903" s="139"/>
    </row>
    <row r="2904" spans="4:4" ht="12.75" x14ac:dyDescent="0.2">
      <c r="D2904" s="139"/>
    </row>
    <row r="2905" spans="4:4" ht="12.75" x14ac:dyDescent="0.2">
      <c r="D2905" s="139"/>
    </row>
    <row r="2906" spans="4:4" ht="12.75" x14ac:dyDescent="0.2">
      <c r="D2906" s="139"/>
    </row>
    <row r="2907" spans="4:4" ht="12.75" x14ac:dyDescent="0.2">
      <c r="D2907" s="139"/>
    </row>
    <row r="2908" spans="4:4" ht="12.75" x14ac:dyDescent="0.2">
      <c r="D2908" s="139"/>
    </row>
    <row r="2909" spans="4:4" ht="12.75" x14ac:dyDescent="0.2">
      <c r="D2909" s="139"/>
    </row>
    <row r="2910" spans="4:4" ht="12.75" x14ac:dyDescent="0.2">
      <c r="D2910" s="139"/>
    </row>
    <row r="2911" spans="4:4" ht="12.75" x14ac:dyDescent="0.2">
      <c r="D2911" s="139"/>
    </row>
    <row r="2912" spans="4:4" ht="12.75" x14ac:dyDescent="0.2">
      <c r="D2912" s="139"/>
    </row>
    <row r="2913" spans="4:4" ht="12.75" x14ac:dyDescent="0.2">
      <c r="D2913" s="139"/>
    </row>
    <row r="2914" spans="4:4" ht="12.75" x14ac:dyDescent="0.2">
      <c r="D2914" s="139"/>
    </row>
    <row r="2915" spans="4:4" ht="12.75" x14ac:dyDescent="0.2">
      <c r="D2915" s="139"/>
    </row>
    <row r="2916" spans="4:4" ht="12.75" x14ac:dyDescent="0.2">
      <c r="D2916" s="139"/>
    </row>
    <row r="2917" spans="4:4" ht="12.75" x14ac:dyDescent="0.2">
      <c r="D2917" s="139"/>
    </row>
    <row r="2918" spans="4:4" ht="12.75" x14ac:dyDescent="0.2">
      <c r="D2918" s="139"/>
    </row>
    <row r="2919" spans="4:4" ht="12.75" x14ac:dyDescent="0.2">
      <c r="D2919" s="139"/>
    </row>
    <row r="2920" spans="4:4" ht="12.75" x14ac:dyDescent="0.2">
      <c r="D2920" s="139"/>
    </row>
    <row r="2921" spans="4:4" ht="12.75" x14ac:dyDescent="0.2">
      <c r="D2921" s="139"/>
    </row>
    <row r="2922" spans="4:4" ht="12.75" x14ac:dyDescent="0.2">
      <c r="D2922" s="139"/>
    </row>
    <row r="2923" spans="4:4" ht="12.75" x14ac:dyDescent="0.2">
      <c r="D2923" s="139"/>
    </row>
    <row r="2924" spans="4:4" ht="12.75" x14ac:dyDescent="0.2">
      <c r="D2924" s="139"/>
    </row>
    <row r="2925" spans="4:4" ht="12.75" x14ac:dyDescent="0.2">
      <c r="D2925" s="139"/>
    </row>
    <row r="2926" spans="4:4" ht="12.75" x14ac:dyDescent="0.2">
      <c r="D2926" s="139"/>
    </row>
    <row r="2927" spans="4:4" ht="12.75" x14ac:dyDescent="0.2">
      <c r="D2927" s="139"/>
    </row>
    <row r="2928" spans="4:4" ht="12.75" x14ac:dyDescent="0.2">
      <c r="D2928" s="139"/>
    </row>
    <row r="2929" spans="4:4" ht="12.75" x14ac:dyDescent="0.2">
      <c r="D2929" s="139"/>
    </row>
    <row r="2930" spans="4:4" ht="12.75" x14ac:dyDescent="0.2">
      <c r="D2930" s="139"/>
    </row>
    <row r="2931" spans="4:4" ht="12.75" x14ac:dyDescent="0.2">
      <c r="D2931" s="139"/>
    </row>
    <row r="2932" spans="4:4" ht="12.75" x14ac:dyDescent="0.2">
      <c r="D2932" s="139"/>
    </row>
    <row r="2933" spans="4:4" ht="12.75" x14ac:dyDescent="0.2">
      <c r="D2933" s="139"/>
    </row>
    <row r="2934" spans="4:4" ht="12.75" x14ac:dyDescent="0.2">
      <c r="D2934" s="139"/>
    </row>
    <row r="2935" spans="4:4" ht="12.75" x14ac:dyDescent="0.2">
      <c r="D2935" s="139"/>
    </row>
    <row r="2936" spans="4:4" ht="12.75" x14ac:dyDescent="0.2">
      <c r="D2936" s="139"/>
    </row>
    <row r="2937" spans="4:4" ht="12.75" x14ac:dyDescent="0.2">
      <c r="D2937" s="139"/>
    </row>
    <row r="2938" spans="4:4" ht="12.75" x14ac:dyDescent="0.2">
      <c r="D2938" s="139"/>
    </row>
    <row r="2939" spans="4:4" ht="12.75" x14ac:dyDescent="0.2">
      <c r="D2939" s="139"/>
    </row>
    <row r="2940" spans="4:4" ht="12.75" x14ac:dyDescent="0.2">
      <c r="D2940" s="139"/>
    </row>
    <row r="2941" spans="4:4" ht="12.75" x14ac:dyDescent="0.2">
      <c r="D2941" s="139"/>
    </row>
    <row r="2942" spans="4:4" ht="12.75" x14ac:dyDescent="0.2">
      <c r="D2942" s="139"/>
    </row>
    <row r="2943" spans="4:4" ht="12.75" x14ac:dyDescent="0.2">
      <c r="D2943" s="139"/>
    </row>
    <row r="2944" spans="4:4" ht="12.75" x14ac:dyDescent="0.2">
      <c r="D2944" s="139"/>
    </row>
    <row r="2945" spans="4:4" ht="12.75" x14ac:dyDescent="0.2">
      <c r="D2945" s="139"/>
    </row>
    <row r="2946" spans="4:4" ht="12.75" x14ac:dyDescent="0.2">
      <c r="D2946" s="139"/>
    </row>
    <row r="2947" spans="4:4" ht="12.75" x14ac:dyDescent="0.2">
      <c r="D2947" s="139"/>
    </row>
    <row r="2948" spans="4:4" ht="12.75" x14ac:dyDescent="0.2">
      <c r="D2948" s="139"/>
    </row>
    <row r="2949" spans="4:4" ht="12.75" x14ac:dyDescent="0.2">
      <c r="D2949" s="139"/>
    </row>
    <row r="2950" spans="4:4" ht="12.75" x14ac:dyDescent="0.2">
      <c r="D2950" s="139"/>
    </row>
    <row r="2951" spans="4:4" ht="12.75" x14ac:dyDescent="0.2">
      <c r="D2951" s="139"/>
    </row>
    <row r="2952" spans="4:4" ht="12.75" x14ac:dyDescent="0.2">
      <c r="D2952" s="139"/>
    </row>
    <row r="2953" spans="4:4" ht="12.75" x14ac:dyDescent="0.2">
      <c r="D2953" s="139"/>
    </row>
    <row r="2954" spans="4:4" ht="12.75" x14ac:dyDescent="0.2">
      <c r="D2954" s="139"/>
    </row>
    <row r="2955" spans="4:4" ht="12.75" x14ac:dyDescent="0.2">
      <c r="D2955" s="139"/>
    </row>
    <row r="2956" spans="4:4" ht="12.75" x14ac:dyDescent="0.2">
      <c r="D2956" s="139"/>
    </row>
    <row r="2957" spans="4:4" ht="12.75" x14ac:dyDescent="0.2">
      <c r="D2957" s="139"/>
    </row>
    <row r="2958" spans="4:4" ht="12.75" x14ac:dyDescent="0.2">
      <c r="D2958" s="139"/>
    </row>
    <row r="2959" spans="4:4" ht="12.75" x14ac:dyDescent="0.2">
      <c r="D2959" s="139"/>
    </row>
    <row r="2960" spans="4:4" ht="12.75" x14ac:dyDescent="0.2">
      <c r="D2960" s="139"/>
    </row>
    <row r="2961" spans="4:4" ht="12.75" x14ac:dyDescent="0.2">
      <c r="D2961" s="139"/>
    </row>
    <row r="2962" spans="4:4" ht="12.75" x14ac:dyDescent="0.2">
      <c r="D2962" s="139"/>
    </row>
    <row r="2963" spans="4:4" ht="12.75" x14ac:dyDescent="0.2">
      <c r="D2963" s="139"/>
    </row>
    <row r="2964" spans="4:4" ht="12.75" x14ac:dyDescent="0.2">
      <c r="D2964" s="139"/>
    </row>
    <row r="2965" spans="4:4" ht="12.75" x14ac:dyDescent="0.2">
      <c r="D2965" s="139"/>
    </row>
    <row r="2966" spans="4:4" ht="12.75" x14ac:dyDescent="0.2">
      <c r="D2966" s="139"/>
    </row>
    <row r="2967" spans="4:4" ht="12.75" x14ac:dyDescent="0.2">
      <c r="D2967" s="139"/>
    </row>
    <row r="2968" spans="4:4" ht="12.75" x14ac:dyDescent="0.2">
      <c r="D2968" s="139"/>
    </row>
    <row r="2969" spans="4:4" ht="12.75" x14ac:dyDescent="0.2">
      <c r="D2969" s="139"/>
    </row>
    <row r="2970" spans="4:4" ht="12.75" x14ac:dyDescent="0.2">
      <c r="D2970" s="139"/>
    </row>
    <row r="2971" spans="4:4" ht="12.75" x14ac:dyDescent="0.2">
      <c r="D2971" s="139"/>
    </row>
    <row r="2972" spans="4:4" ht="12.75" x14ac:dyDescent="0.2">
      <c r="D2972" s="139"/>
    </row>
    <row r="2973" spans="4:4" ht="12.75" x14ac:dyDescent="0.2">
      <c r="D2973" s="139"/>
    </row>
    <row r="2974" spans="4:4" ht="12.75" x14ac:dyDescent="0.2">
      <c r="D2974" s="139"/>
    </row>
    <row r="2975" spans="4:4" ht="12.75" x14ac:dyDescent="0.2">
      <c r="D2975" s="139"/>
    </row>
    <row r="2976" spans="4:4" ht="12.75" x14ac:dyDescent="0.2">
      <c r="D2976" s="139"/>
    </row>
    <row r="2977" spans="4:4" ht="12.75" x14ac:dyDescent="0.2">
      <c r="D2977" s="139"/>
    </row>
    <row r="2978" spans="4:4" ht="12.75" x14ac:dyDescent="0.2">
      <c r="D2978" s="139"/>
    </row>
    <row r="2979" spans="4:4" ht="12.75" x14ac:dyDescent="0.2">
      <c r="D2979" s="139"/>
    </row>
    <row r="2980" spans="4:4" ht="12.75" x14ac:dyDescent="0.2">
      <c r="D2980" s="139"/>
    </row>
    <row r="2981" spans="4:4" ht="12.75" x14ac:dyDescent="0.2">
      <c r="D2981" s="139"/>
    </row>
    <row r="2982" spans="4:4" ht="12.75" x14ac:dyDescent="0.2">
      <c r="D2982" s="139"/>
    </row>
    <row r="2983" spans="4:4" ht="12.75" x14ac:dyDescent="0.2">
      <c r="D2983" s="139"/>
    </row>
    <row r="2984" spans="4:4" ht="12.75" x14ac:dyDescent="0.2">
      <c r="D2984" s="139"/>
    </row>
    <row r="2985" spans="4:4" ht="12.75" x14ac:dyDescent="0.2">
      <c r="D2985" s="139"/>
    </row>
    <row r="2986" spans="4:4" ht="12.75" x14ac:dyDescent="0.2">
      <c r="D2986" s="139"/>
    </row>
    <row r="2987" spans="4:4" ht="12.75" x14ac:dyDescent="0.2">
      <c r="D2987" s="139"/>
    </row>
    <row r="2988" spans="4:4" ht="12.75" x14ac:dyDescent="0.2">
      <c r="D2988" s="139"/>
    </row>
    <row r="2989" spans="4:4" ht="12.75" x14ac:dyDescent="0.2">
      <c r="D2989" s="139"/>
    </row>
    <row r="2990" spans="4:4" ht="12.75" x14ac:dyDescent="0.2">
      <c r="D2990" s="139"/>
    </row>
    <row r="2991" spans="4:4" ht="12.75" x14ac:dyDescent="0.2">
      <c r="D2991" s="139"/>
    </row>
    <row r="2992" spans="4:4" ht="12.75" x14ac:dyDescent="0.2">
      <c r="D2992" s="139"/>
    </row>
    <row r="2993" spans="4:4" ht="12.75" x14ac:dyDescent="0.2">
      <c r="D2993" s="139"/>
    </row>
    <row r="2994" spans="4:4" ht="12.75" x14ac:dyDescent="0.2">
      <c r="D2994" s="139"/>
    </row>
    <row r="2995" spans="4:4" ht="12.75" x14ac:dyDescent="0.2">
      <c r="D2995" s="139"/>
    </row>
    <row r="2996" spans="4:4" ht="12.75" x14ac:dyDescent="0.2">
      <c r="D2996" s="139"/>
    </row>
    <row r="2997" spans="4:4" ht="12.75" x14ac:dyDescent="0.2">
      <c r="D2997" s="139"/>
    </row>
    <row r="2998" spans="4:4" ht="12.75" x14ac:dyDescent="0.2">
      <c r="D2998" s="139"/>
    </row>
    <row r="2999" spans="4:4" ht="12.75" x14ac:dyDescent="0.2">
      <c r="D2999" s="139"/>
    </row>
    <row r="3000" spans="4:4" ht="12.75" x14ac:dyDescent="0.2">
      <c r="D3000" s="139"/>
    </row>
    <row r="3001" spans="4:4" ht="12.75" x14ac:dyDescent="0.2">
      <c r="D3001" s="139"/>
    </row>
    <row r="3002" spans="4:4" ht="12.75" x14ac:dyDescent="0.2">
      <c r="D3002" s="139"/>
    </row>
    <row r="3003" spans="4:4" ht="12.75" x14ac:dyDescent="0.2">
      <c r="D3003" s="139"/>
    </row>
    <row r="3004" spans="4:4" ht="12.75" x14ac:dyDescent="0.2">
      <c r="D3004" s="139"/>
    </row>
    <row r="3005" spans="4:4" ht="12.75" x14ac:dyDescent="0.2">
      <c r="D3005" s="139"/>
    </row>
    <row r="3006" spans="4:4" ht="12.75" x14ac:dyDescent="0.2">
      <c r="D3006" s="139"/>
    </row>
    <row r="3007" spans="4:4" ht="12.75" x14ac:dyDescent="0.2">
      <c r="D3007" s="139"/>
    </row>
    <row r="3008" spans="4:4" ht="12.75" x14ac:dyDescent="0.2">
      <c r="D3008" s="139"/>
    </row>
    <row r="3009" spans="4:4" ht="12.75" x14ac:dyDescent="0.2">
      <c r="D3009" s="139"/>
    </row>
    <row r="3010" spans="4:4" ht="12.75" x14ac:dyDescent="0.2">
      <c r="D3010" s="139"/>
    </row>
    <row r="3011" spans="4:4" ht="12.75" x14ac:dyDescent="0.2">
      <c r="D3011" s="139"/>
    </row>
    <row r="3012" spans="4:4" ht="12.75" x14ac:dyDescent="0.2">
      <c r="D3012" s="139"/>
    </row>
    <row r="3013" spans="4:4" ht="12.75" x14ac:dyDescent="0.2">
      <c r="D3013" s="139"/>
    </row>
    <row r="3014" spans="4:4" ht="12.75" x14ac:dyDescent="0.2">
      <c r="D3014" s="139"/>
    </row>
    <row r="3015" spans="4:4" ht="12.75" x14ac:dyDescent="0.2">
      <c r="D3015" s="139"/>
    </row>
    <row r="3016" spans="4:4" ht="12.75" x14ac:dyDescent="0.2">
      <c r="D3016" s="139"/>
    </row>
    <row r="3017" spans="4:4" ht="12.75" x14ac:dyDescent="0.2">
      <c r="D3017" s="139"/>
    </row>
    <row r="3018" spans="4:4" ht="12.75" x14ac:dyDescent="0.2">
      <c r="D3018" s="139"/>
    </row>
    <row r="3019" spans="4:4" ht="12.75" x14ac:dyDescent="0.2">
      <c r="D3019" s="139"/>
    </row>
    <row r="3020" spans="4:4" ht="12.75" x14ac:dyDescent="0.2">
      <c r="D3020" s="139"/>
    </row>
    <row r="3021" spans="4:4" ht="12.75" x14ac:dyDescent="0.2">
      <c r="D3021" s="139"/>
    </row>
    <row r="3022" spans="4:4" ht="12.75" x14ac:dyDescent="0.2">
      <c r="D3022" s="139"/>
    </row>
    <row r="3023" spans="4:4" ht="12.75" x14ac:dyDescent="0.2">
      <c r="D3023" s="139"/>
    </row>
    <row r="3024" spans="4:4" ht="12.75" x14ac:dyDescent="0.2">
      <c r="D3024" s="139"/>
    </row>
    <row r="3025" spans="4:4" ht="12.75" x14ac:dyDescent="0.2">
      <c r="D3025" s="139"/>
    </row>
    <row r="3026" spans="4:4" ht="12.75" x14ac:dyDescent="0.2">
      <c r="D3026" s="139"/>
    </row>
    <row r="3027" spans="4:4" ht="12.75" x14ac:dyDescent="0.2">
      <c r="D3027" s="139"/>
    </row>
    <row r="3028" spans="4:4" ht="12.75" x14ac:dyDescent="0.2">
      <c r="D3028" s="139"/>
    </row>
    <row r="3029" spans="4:4" ht="12.75" x14ac:dyDescent="0.2">
      <c r="D3029" s="139"/>
    </row>
    <row r="3030" spans="4:4" ht="12.75" x14ac:dyDescent="0.2">
      <c r="D3030" s="139"/>
    </row>
    <row r="3031" spans="4:4" ht="12.75" x14ac:dyDescent="0.2">
      <c r="D3031" s="139"/>
    </row>
    <row r="3032" spans="4:4" ht="12.75" x14ac:dyDescent="0.2">
      <c r="D3032" s="139"/>
    </row>
    <row r="3033" spans="4:4" ht="12.75" x14ac:dyDescent="0.2">
      <c r="D3033" s="139"/>
    </row>
    <row r="3034" spans="4:4" ht="12.75" x14ac:dyDescent="0.2">
      <c r="D3034" s="139"/>
    </row>
    <row r="3035" spans="4:4" ht="12.75" x14ac:dyDescent="0.2">
      <c r="D3035" s="139"/>
    </row>
    <row r="3036" spans="4:4" ht="12.75" x14ac:dyDescent="0.2">
      <c r="D3036" s="139"/>
    </row>
    <row r="3037" spans="4:4" ht="12.75" x14ac:dyDescent="0.2">
      <c r="D3037" s="139"/>
    </row>
    <row r="3038" spans="4:4" ht="12.75" x14ac:dyDescent="0.2">
      <c r="D3038" s="139"/>
    </row>
    <row r="3039" spans="4:4" ht="12.75" x14ac:dyDescent="0.2">
      <c r="D3039" s="139"/>
    </row>
    <row r="3040" spans="4:4" ht="12.75" x14ac:dyDescent="0.2">
      <c r="D3040" s="139"/>
    </row>
    <row r="3041" spans="4:4" ht="12.75" x14ac:dyDescent="0.2">
      <c r="D3041" s="139"/>
    </row>
    <row r="3042" spans="4:4" ht="12.75" x14ac:dyDescent="0.2">
      <c r="D3042" s="139"/>
    </row>
    <row r="3043" spans="4:4" ht="12.75" x14ac:dyDescent="0.2">
      <c r="D3043" s="139"/>
    </row>
    <row r="3044" spans="4:4" ht="12.75" x14ac:dyDescent="0.2">
      <c r="D3044" s="139"/>
    </row>
    <row r="3045" spans="4:4" ht="12.75" x14ac:dyDescent="0.2">
      <c r="D3045" s="139"/>
    </row>
    <row r="3046" spans="4:4" ht="12.75" x14ac:dyDescent="0.2">
      <c r="D3046" s="139"/>
    </row>
    <row r="3047" spans="4:4" ht="12.75" x14ac:dyDescent="0.2">
      <c r="D3047" s="139"/>
    </row>
    <row r="3048" spans="4:4" ht="12.75" x14ac:dyDescent="0.2">
      <c r="D3048" s="139"/>
    </row>
    <row r="3049" spans="4:4" ht="12.75" x14ac:dyDescent="0.2">
      <c r="D3049" s="139"/>
    </row>
    <row r="3050" spans="4:4" ht="12.75" x14ac:dyDescent="0.2">
      <c r="D3050" s="139"/>
    </row>
    <row r="3051" spans="4:4" ht="12.75" x14ac:dyDescent="0.2">
      <c r="D3051" s="139"/>
    </row>
    <row r="3052" spans="4:4" ht="12.75" x14ac:dyDescent="0.2">
      <c r="D3052" s="139"/>
    </row>
    <row r="3053" spans="4:4" ht="12.75" x14ac:dyDescent="0.2">
      <c r="D3053" s="139"/>
    </row>
    <row r="3054" spans="4:4" ht="12.75" x14ac:dyDescent="0.2">
      <c r="D3054" s="139"/>
    </row>
    <row r="3055" spans="4:4" ht="12.75" x14ac:dyDescent="0.2">
      <c r="D3055" s="139"/>
    </row>
    <row r="3056" spans="4:4" ht="12.75" x14ac:dyDescent="0.2">
      <c r="D3056" s="139"/>
    </row>
    <row r="3057" spans="4:4" ht="12.75" x14ac:dyDescent="0.2">
      <c r="D3057" s="139"/>
    </row>
    <row r="3058" spans="4:4" ht="12.75" x14ac:dyDescent="0.2">
      <c r="D3058" s="139"/>
    </row>
    <row r="3059" spans="4:4" ht="12.75" x14ac:dyDescent="0.2">
      <c r="D3059" s="139"/>
    </row>
    <row r="3060" spans="4:4" ht="12.75" x14ac:dyDescent="0.2">
      <c r="D3060" s="139"/>
    </row>
    <row r="3061" spans="4:4" ht="12.75" x14ac:dyDescent="0.2">
      <c r="D3061" s="139"/>
    </row>
    <row r="3062" spans="4:4" ht="12.75" x14ac:dyDescent="0.2">
      <c r="D3062" s="139"/>
    </row>
    <row r="3063" spans="4:4" ht="12.75" x14ac:dyDescent="0.2">
      <c r="D3063" s="139"/>
    </row>
    <row r="3064" spans="4:4" ht="12.75" x14ac:dyDescent="0.2">
      <c r="D3064" s="139"/>
    </row>
    <row r="3065" spans="4:4" ht="12.75" x14ac:dyDescent="0.2">
      <c r="D3065" s="139"/>
    </row>
    <row r="3066" spans="4:4" ht="12.75" x14ac:dyDescent="0.2">
      <c r="D3066" s="139"/>
    </row>
    <row r="3067" spans="4:4" ht="12.75" x14ac:dyDescent="0.2">
      <c r="D3067" s="139"/>
    </row>
    <row r="3068" spans="4:4" ht="12.75" x14ac:dyDescent="0.2">
      <c r="D3068" s="139"/>
    </row>
    <row r="3069" spans="4:4" ht="12.75" x14ac:dyDescent="0.2">
      <c r="D3069" s="139"/>
    </row>
    <row r="3070" spans="4:4" ht="12.75" x14ac:dyDescent="0.2">
      <c r="D3070" s="139"/>
    </row>
    <row r="3071" spans="4:4" ht="12.75" x14ac:dyDescent="0.2">
      <c r="D3071" s="139"/>
    </row>
    <row r="3072" spans="4:4" ht="12.75" x14ac:dyDescent="0.2">
      <c r="D3072" s="139"/>
    </row>
    <row r="3073" spans="4:4" ht="12.75" x14ac:dyDescent="0.2">
      <c r="D3073" s="139"/>
    </row>
    <row r="3074" spans="4:4" ht="12.75" x14ac:dyDescent="0.2">
      <c r="D3074" s="139"/>
    </row>
    <row r="3075" spans="4:4" ht="12.75" x14ac:dyDescent="0.2">
      <c r="D3075" s="139"/>
    </row>
    <row r="3076" spans="4:4" ht="12.75" x14ac:dyDescent="0.2">
      <c r="D3076" s="139"/>
    </row>
    <row r="3077" spans="4:4" ht="12.75" x14ac:dyDescent="0.2">
      <c r="D3077" s="139"/>
    </row>
    <row r="3078" spans="4:4" ht="12.75" x14ac:dyDescent="0.2">
      <c r="D3078" s="139"/>
    </row>
    <row r="3079" spans="4:4" ht="12.75" x14ac:dyDescent="0.2">
      <c r="D3079" s="139"/>
    </row>
    <row r="3080" spans="4:4" ht="12.75" x14ac:dyDescent="0.2">
      <c r="D3080" s="139"/>
    </row>
    <row r="3081" spans="4:4" ht="12.75" x14ac:dyDescent="0.2">
      <c r="D3081" s="139"/>
    </row>
    <row r="3082" spans="4:4" ht="12.75" x14ac:dyDescent="0.2">
      <c r="D3082" s="139"/>
    </row>
    <row r="3083" spans="4:4" ht="12.75" x14ac:dyDescent="0.2">
      <c r="D3083" s="139"/>
    </row>
    <row r="3084" spans="4:4" ht="12.75" x14ac:dyDescent="0.2">
      <c r="D3084" s="139"/>
    </row>
    <row r="3085" spans="4:4" ht="12.75" x14ac:dyDescent="0.2">
      <c r="D3085" s="139"/>
    </row>
    <row r="3086" spans="4:4" ht="12.75" x14ac:dyDescent="0.2">
      <c r="D3086" s="139"/>
    </row>
    <row r="3087" spans="4:4" ht="12.75" x14ac:dyDescent="0.2">
      <c r="D3087" s="139"/>
    </row>
    <row r="3088" spans="4:4" ht="12.75" x14ac:dyDescent="0.2">
      <c r="D3088" s="139"/>
    </row>
    <row r="3089" spans="4:4" ht="12.75" x14ac:dyDescent="0.2">
      <c r="D3089" s="139"/>
    </row>
    <row r="3090" spans="4:4" ht="12.75" x14ac:dyDescent="0.2">
      <c r="D3090" s="139"/>
    </row>
    <row r="3091" spans="4:4" ht="12.75" x14ac:dyDescent="0.2">
      <c r="D3091" s="139"/>
    </row>
    <row r="3092" spans="4:4" ht="12.75" x14ac:dyDescent="0.2">
      <c r="D3092" s="139"/>
    </row>
    <row r="3093" spans="4:4" ht="12.75" x14ac:dyDescent="0.2">
      <c r="D3093" s="139"/>
    </row>
    <row r="3094" spans="4:4" ht="12.75" x14ac:dyDescent="0.2">
      <c r="D3094" s="139"/>
    </row>
    <row r="3095" spans="4:4" ht="12.75" x14ac:dyDescent="0.2">
      <c r="D3095" s="139"/>
    </row>
    <row r="3096" spans="4:4" ht="12.75" x14ac:dyDescent="0.2">
      <c r="D3096" s="139"/>
    </row>
    <row r="3097" spans="4:4" ht="12.75" x14ac:dyDescent="0.2">
      <c r="D3097" s="139"/>
    </row>
    <row r="3098" spans="4:4" ht="12.75" x14ac:dyDescent="0.2">
      <c r="D3098" s="139"/>
    </row>
    <row r="3099" spans="4:4" ht="12.75" x14ac:dyDescent="0.2">
      <c r="D3099" s="139"/>
    </row>
    <row r="3100" spans="4:4" ht="12.75" x14ac:dyDescent="0.2">
      <c r="D3100" s="139"/>
    </row>
    <row r="3101" spans="4:4" ht="12.75" x14ac:dyDescent="0.2">
      <c r="D3101" s="139"/>
    </row>
    <row r="3102" spans="4:4" ht="12.75" x14ac:dyDescent="0.2">
      <c r="D3102" s="139"/>
    </row>
    <row r="3103" spans="4:4" ht="12.75" x14ac:dyDescent="0.2">
      <c r="D3103" s="139"/>
    </row>
    <row r="3104" spans="4:4" ht="12.75" x14ac:dyDescent="0.2">
      <c r="D3104" s="139"/>
    </row>
    <row r="3105" spans="4:4" ht="12.75" x14ac:dyDescent="0.2">
      <c r="D3105" s="139"/>
    </row>
    <row r="3106" spans="4:4" ht="12.75" x14ac:dyDescent="0.2">
      <c r="D3106" s="139"/>
    </row>
    <row r="3107" spans="4:4" ht="12.75" x14ac:dyDescent="0.2">
      <c r="D3107" s="139"/>
    </row>
    <row r="3108" spans="4:4" ht="12.75" x14ac:dyDescent="0.2">
      <c r="D3108" s="139"/>
    </row>
    <row r="3109" spans="4:4" ht="12.75" x14ac:dyDescent="0.2">
      <c r="D3109" s="139"/>
    </row>
    <row r="3110" spans="4:4" ht="12.75" x14ac:dyDescent="0.2">
      <c r="D3110" s="139"/>
    </row>
    <row r="3111" spans="4:4" ht="12.75" x14ac:dyDescent="0.2">
      <c r="D3111" s="139"/>
    </row>
    <row r="3112" spans="4:4" ht="12.75" x14ac:dyDescent="0.2">
      <c r="D3112" s="139"/>
    </row>
    <row r="3113" spans="4:4" ht="12.75" x14ac:dyDescent="0.2">
      <c r="D3113" s="139"/>
    </row>
    <row r="3114" spans="4:4" ht="12.75" x14ac:dyDescent="0.2">
      <c r="D3114" s="139"/>
    </row>
    <row r="3115" spans="4:4" ht="12.75" x14ac:dyDescent="0.2">
      <c r="D3115" s="139"/>
    </row>
    <row r="3116" spans="4:4" ht="12.75" x14ac:dyDescent="0.2">
      <c r="D3116" s="139"/>
    </row>
    <row r="3117" spans="4:4" ht="12.75" x14ac:dyDescent="0.2">
      <c r="D3117" s="139"/>
    </row>
    <row r="3118" spans="4:4" ht="12.75" x14ac:dyDescent="0.2">
      <c r="D3118" s="139"/>
    </row>
    <row r="3119" spans="4:4" ht="12.75" x14ac:dyDescent="0.2">
      <c r="D3119" s="139"/>
    </row>
    <row r="3120" spans="4:4" ht="12.75" x14ac:dyDescent="0.2">
      <c r="D3120" s="139"/>
    </row>
    <row r="3121" spans="4:4" ht="12.75" x14ac:dyDescent="0.2">
      <c r="D3121" s="139"/>
    </row>
    <row r="3122" spans="4:4" ht="12.75" x14ac:dyDescent="0.2">
      <c r="D3122" s="139"/>
    </row>
    <row r="3123" spans="4:4" ht="12.75" x14ac:dyDescent="0.2">
      <c r="D3123" s="139"/>
    </row>
    <row r="3124" spans="4:4" ht="12.75" x14ac:dyDescent="0.2">
      <c r="D3124" s="139"/>
    </row>
    <row r="3125" spans="4:4" ht="12.75" x14ac:dyDescent="0.2">
      <c r="D3125" s="139"/>
    </row>
    <row r="3126" spans="4:4" ht="12.75" x14ac:dyDescent="0.2">
      <c r="D3126" s="139"/>
    </row>
    <row r="3127" spans="4:4" ht="12.75" x14ac:dyDescent="0.2">
      <c r="D3127" s="139"/>
    </row>
    <row r="3128" spans="4:4" ht="12.75" x14ac:dyDescent="0.2">
      <c r="D3128" s="139"/>
    </row>
    <row r="3129" spans="4:4" ht="12.75" x14ac:dyDescent="0.2">
      <c r="D3129" s="139"/>
    </row>
    <row r="3130" spans="4:4" ht="12.75" x14ac:dyDescent="0.2">
      <c r="D3130" s="139"/>
    </row>
    <row r="3131" spans="4:4" ht="12.75" x14ac:dyDescent="0.2">
      <c r="D3131" s="139"/>
    </row>
    <row r="3132" spans="4:4" ht="12.75" x14ac:dyDescent="0.2">
      <c r="D3132" s="139"/>
    </row>
    <row r="3133" spans="4:4" ht="12.75" x14ac:dyDescent="0.2">
      <c r="D3133" s="139"/>
    </row>
    <row r="3134" spans="4:4" ht="12.75" x14ac:dyDescent="0.2">
      <c r="D3134" s="139"/>
    </row>
    <row r="3135" spans="4:4" ht="12.75" x14ac:dyDescent="0.2">
      <c r="D3135" s="139"/>
    </row>
    <row r="3136" spans="4:4" ht="12.75" x14ac:dyDescent="0.2">
      <c r="D3136" s="139"/>
    </row>
    <row r="3137" spans="4:4" ht="12.75" x14ac:dyDescent="0.2">
      <c r="D3137" s="139"/>
    </row>
    <row r="3138" spans="4:4" ht="12.75" x14ac:dyDescent="0.2">
      <c r="D3138" s="139"/>
    </row>
    <row r="3139" spans="4:4" ht="12.75" x14ac:dyDescent="0.2">
      <c r="D3139" s="139"/>
    </row>
    <row r="3140" spans="4:4" ht="12.75" x14ac:dyDescent="0.2">
      <c r="D3140" s="139"/>
    </row>
    <row r="3141" spans="4:4" ht="12.75" x14ac:dyDescent="0.2">
      <c r="D3141" s="139"/>
    </row>
    <row r="3142" spans="4:4" ht="12.75" x14ac:dyDescent="0.2">
      <c r="D3142" s="139"/>
    </row>
    <row r="3143" spans="4:4" ht="12.75" x14ac:dyDescent="0.2">
      <c r="D3143" s="139"/>
    </row>
    <row r="3144" spans="4:4" ht="12.75" x14ac:dyDescent="0.2">
      <c r="D3144" s="139"/>
    </row>
    <row r="3145" spans="4:4" ht="12.75" x14ac:dyDescent="0.2">
      <c r="D3145" s="139"/>
    </row>
    <row r="3146" spans="4:4" ht="12.75" x14ac:dyDescent="0.2">
      <c r="D3146" s="139"/>
    </row>
    <row r="3147" spans="4:4" ht="12.75" x14ac:dyDescent="0.2">
      <c r="D3147" s="139"/>
    </row>
    <row r="3148" spans="4:4" ht="12.75" x14ac:dyDescent="0.2">
      <c r="D3148" s="139"/>
    </row>
    <row r="3149" spans="4:4" ht="12.75" x14ac:dyDescent="0.2">
      <c r="D3149" s="139"/>
    </row>
    <row r="3150" spans="4:4" ht="12.75" x14ac:dyDescent="0.2">
      <c r="D3150" s="139"/>
    </row>
    <row r="3151" spans="4:4" ht="12.75" x14ac:dyDescent="0.2">
      <c r="D3151" s="139"/>
    </row>
    <row r="3152" spans="4:4" ht="12.75" x14ac:dyDescent="0.2">
      <c r="D3152" s="139"/>
    </row>
    <row r="3153" spans="4:4" ht="12.75" x14ac:dyDescent="0.2">
      <c r="D3153" s="139"/>
    </row>
    <row r="3154" spans="4:4" ht="12.75" x14ac:dyDescent="0.2">
      <c r="D3154" s="139"/>
    </row>
    <row r="3155" spans="4:4" ht="12.75" x14ac:dyDescent="0.2">
      <c r="D3155" s="139"/>
    </row>
    <row r="3156" spans="4:4" ht="12.75" x14ac:dyDescent="0.2">
      <c r="D3156" s="139"/>
    </row>
    <row r="3157" spans="4:4" ht="12.75" x14ac:dyDescent="0.2">
      <c r="D3157" s="139"/>
    </row>
    <row r="3158" spans="4:4" ht="12.75" x14ac:dyDescent="0.2">
      <c r="D3158" s="139"/>
    </row>
    <row r="3159" spans="4:4" ht="12.75" x14ac:dyDescent="0.2">
      <c r="D3159" s="139"/>
    </row>
    <row r="3160" spans="4:4" ht="12.75" x14ac:dyDescent="0.2">
      <c r="D3160" s="139"/>
    </row>
    <row r="3161" spans="4:4" ht="12.75" x14ac:dyDescent="0.2">
      <c r="D3161" s="139"/>
    </row>
    <row r="3162" spans="4:4" ht="12.75" x14ac:dyDescent="0.2">
      <c r="D3162" s="139"/>
    </row>
    <row r="3163" spans="4:4" ht="12.75" x14ac:dyDescent="0.2">
      <c r="D3163" s="139"/>
    </row>
    <row r="3164" spans="4:4" ht="12.75" x14ac:dyDescent="0.2">
      <c r="D3164" s="139"/>
    </row>
    <row r="3165" spans="4:4" ht="12.75" x14ac:dyDescent="0.2">
      <c r="D3165" s="139"/>
    </row>
    <row r="3166" spans="4:4" ht="12.75" x14ac:dyDescent="0.2">
      <c r="D3166" s="139"/>
    </row>
    <row r="3167" spans="4:4" ht="12.75" x14ac:dyDescent="0.2">
      <c r="D3167" s="139"/>
    </row>
    <row r="3168" spans="4:4" ht="12.75" x14ac:dyDescent="0.2">
      <c r="D3168" s="139"/>
    </row>
    <row r="3169" spans="4:4" ht="12.75" x14ac:dyDescent="0.2">
      <c r="D3169" s="139"/>
    </row>
    <row r="3170" spans="4:4" ht="12.75" x14ac:dyDescent="0.2">
      <c r="D3170" s="139"/>
    </row>
    <row r="3171" spans="4:4" ht="12.75" x14ac:dyDescent="0.2">
      <c r="D3171" s="139"/>
    </row>
    <row r="3172" spans="4:4" ht="12.75" x14ac:dyDescent="0.2">
      <c r="D3172" s="139"/>
    </row>
    <row r="3173" spans="4:4" ht="12.75" x14ac:dyDescent="0.2">
      <c r="D3173" s="139"/>
    </row>
    <row r="3174" spans="4:4" ht="12.75" x14ac:dyDescent="0.2">
      <c r="D3174" s="139"/>
    </row>
    <row r="3175" spans="4:4" ht="12.75" x14ac:dyDescent="0.2">
      <c r="D3175" s="139"/>
    </row>
    <row r="3176" spans="4:4" ht="12.75" x14ac:dyDescent="0.2">
      <c r="D3176" s="139"/>
    </row>
    <row r="3177" spans="4:4" ht="12.75" x14ac:dyDescent="0.2">
      <c r="D3177" s="139"/>
    </row>
    <row r="3178" spans="4:4" ht="12.75" x14ac:dyDescent="0.2">
      <c r="D3178" s="139"/>
    </row>
    <row r="3179" spans="4:4" ht="12.75" x14ac:dyDescent="0.2">
      <c r="D3179" s="139"/>
    </row>
    <row r="3180" spans="4:4" ht="12.75" x14ac:dyDescent="0.2">
      <c r="D3180" s="139"/>
    </row>
    <row r="3181" spans="4:4" ht="12.75" x14ac:dyDescent="0.2">
      <c r="D3181" s="139"/>
    </row>
    <row r="3182" spans="4:4" ht="12.75" x14ac:dyDescent="0.2">
      <c r="D3182" s="139"/>
    </row>
    <row r="3183" spans="4:4" ht="12.75" x14ac:dyDescent="0.2">
      <c r="D3183" s="139"/>
    </row>
    <row r="3184" spans="4:4" ht="12.75" x14ac:dyDescent="0.2">
      <c r="D3184" s="139"/>
    </row>
    <row r="3185" spans="4:4" ht="12.75" x14ac:dyDescent="0.2">
      <c r="D3185" s="139"/>
    </row>
    <row r="3186" spans="4:4" ht="12.75" x14ac:dyDescent="0.2">
      <c r="D3186" s="139"/>
    </row>
    <row r="3187" spans="4:4" ht="12.75" x14ac:dyDescent="0.2">
      <c r="D3187" s="139"/>
    </row>
    <row r="3188" spans="4:4" ht="12.75" x14ac:dyDescent="0.2">
      <c r="D3188" s="139"/>
    </row>
    <row r="3189" spans="4:4" ht="12.75" x14ac:dyDescent="0.2">
      <c r="D3189" s="139"/>
    </row>
    <row r="3190" spans="4:4" ht="12.75" x14ac:dyDescent="0.2">
      <c r="D3190" s="139"/>
    </row>
    <row r="3191" spans="4:4" ht="12.75" x14ac:dyDescent="0.2">
      <c r="D3191" s="139"/>
    </row>
    <row r="3192" spans="4:4" ht="12.75" x14ac:dyDescent="0.2">
      <c r="D3192" s="139"/>
    </row>
    <row r="3193" spans="4:4" ht="12.75" x14ac:dyDescent="0.2">
      <c r="D3193" s="139"/>
    </row>
    <row r="3194" spans="4:4" ht="12.75" x14ac:dyDescent="0.2">
      <c r="D3194" s="139"/>
    </row>
    <row r="3195" spans="4:4" ht="12.75" x14ac:dyDescent="0.2">
      <c r="D3195" s="139"/>
    </row>
    <row r="3196" spans="4:4" ht="12.75" x14ac:dyDescent="0.2">
      <c r="D3196" s="139"/>
    </row>
    <row r="3197" spans="4:4" ht="12.75" x14ac:dyDescent="0.2">
      <c r="D3197" s="139"/>
    </row>
    <row r="3198" spans="4:4" ht="12.75" x14ac:dyDescent="0.2">
      <c r="D3198" s="139"/>
    </row>
    <row r="3199" spans="4:4" ht="12.75" x14ac:dyDescent="0.2">
      <c r="D3199" s="139"/>
    </row>
    <row r="3200" spans="4:4" ht="12.75" x14ac:dyDescent="0.2">
      <c r="D3200" s="139"/>
    </row>
    <row r="3201" spans="4:4" ht="12.75" x14ac:dyDescent="0.2">
      <c r="D3201" s="139"/>
    </row>
    <row r="3202" spans="4:4" ht="12.75" x14ac:dyDescent="0.2">
      <c r="D3202" s="139"/>
    </row>
    <row r="3203" spans="4:4" ht="12.75" x14ac:dyDescent="0.2">
      <c r="D3203" s="139"/>
    </row>
    <row r="3204" spans="4:4" ht="12.75" x14ac:dyDescent="0.2">
      <c r="D3204" s="139"/>
    </row>
    <row r="3205" spans="4:4" ht="12.75" x14ac:dyDescent="0.2">
      <c r="D3205" s="139"/>
    </row>
    <row r="3206" spans="4:4" ht="12.75" x14ac:dyDescent="0.2">
      <c r="D3206" s="139"/>
    </row>
    <row r="3207" spans="4:4" ht="12.75" x14ac:dyDescent="0.2">
      <c r="D3207" s="139"/>
    </row>
    <row r="3208" spans="4:4" ht="12.75" x14ac:dyDescent="0.2">
      <c r="D3208" s="139"/>
    </row>
    <row r="3209" spans="4:4" ht="12.75" x14ac:dyDescent="0.2">
      <c r="D3209" s="139"/>
    </row>
    <row r="3210" spans="4:4" ht="12.75" x14ac:dyDescent="0.2">
      <c r="D3210" s="139"/>
    </row>
    <row r="3211" spans="4:4" ht="12.75" x14ac:dyDescent="0.2">
      <c r="D3211" s="139"/>
    </row>
    <row r="3212" spans="4:4" ht="12.75" x14ac:dyDescent="0.2">
      <c r="D3212" s="139"/>
    </row>
    <row r="3213" spans="4:4" ht="12.75" x14ac:dyDescent="0.2">
      <c r="D3213" s="139"/>
    </row>
    <row r="3214" spans="4:4" ht="12.75" x14ac:dyDescent="0.2">
      <c r="D3214" s="139"/>
    </row>
    <row r="3215" spans="4:4" ht="12.75" x14ac:dyDescent="0.2">
      <c r="D3215" s="139"/>
    </row>
    <row r="3216" spans="4:4" ht="12.75" x14ac:dyDescent="0.2">
      <c r="D3216" s="139"/>
    </row>
    <row r="3217" spans="4:4" ht="12.75" x14ac:dyDescent="0.2">
      <c r="D3217" s="139"/>
    </row>
    <row r="3218" spans="4:4" ht="12.75" x14ac:dyDescent="0.2">
      <c r="D3218" s="139"/>
    </row>
    <row r="3219" spans="4:4" ht="12.75" x14ac:dyDescent="0.2">
      <c r="D3219" s="139"/>
    </row>
    <row r="3220" spans="4:4" ht="12.75" x14ac:dyDescent="0.2">
      <c r="D3220" s="139"/>
    </row>
    <row r="3221" spans="4:4" ht="12.75" x14ac:dyDescent="0.2">
      <c r="D3221" s="139"/>
    </row>
    <row r="3222" spans="4:4" ht="12.75" x14ac:dyDescent="0.2">
      <c r="D3222" s="139"/>
    </row>
    <row r="3223" spans="4:4" ht="12.75" x14ac:dyDescent="0.2">
      <c r="D3223" s="139"/>
    </row>
    <row r="3224" spans="4:4" ht="12.75" x14ac:dyDescent="0.2">
      <c r="D3224" s="139"/>
    </row>
    <row r="3225" spans="4:4" ht="12.75" x14ac:dyDescent="0.2">
      <c r="D3225" s="139"/>
    </row>
    <row r="3226" spans="4:4" ht="12.75" x14ac:dyDescent="0.2">
      <c r="D3226" s="139"/>
    </row>
    <row r="3227" spans="4:4" ht="12.75" x14ac:dyDescent="0.2">
      <c r="D3227" s="139"/>
    </row>
    <row r="3228" spans="4:4" ht="12.75" x14ac:dyDescent="0.2">
      <c r="D3228" s="139"/>
    </row>
    <row r="3229" spans="4:4" ht="12.75" x14ac:dyDescent="0.2">
      <c r="D3229" s="139"/>
    </row>
    <row r="3230" spans="4:4" ht="12.75" x14ac:dyDescent="0.2">
      <c r="D3230" s="139"/>
    </row>
    <row r="3231" spans="4:4" ht="12.75" x14ac:dyDescent="0.2">
      <c r="D3231" s="139"/>
    </row>
    <row r="3232" spans="4:4" ht="12.75" x14ac:dyDescent="0.2">
      <c r="D3232" s="139"/>
    </row>
    <row r="3233" spans="4:4" ht="12.75" x14ac:dyDescent="0.2">
      <c r="D3233" s="139"/>
    </row>
    <row r="3234" spans="4:4" ht="12.75" x14ac:dyDescent="0.2">
      <c r="D3234" s="139"/>
    </row>
    <row r="3235" spans="4:4" ht="12.75" x14ac:dyDescent="0.2">
      <c r="D3235" s="139"/>
    </row>
    <row r="3236" spans="4:4" ht="12.75" x14ac:dyDescent="0.2">
      <c r="D3236" s="139"/>
    </row>
    <row r="3237" spans="4:4" ht="12.75" x14ac:dyDescent="0.2">
      <c r="D3237" s="139"/>
    </row>
    <row r="3238" spans="4:4" ht="12.75" x14ac:dyDescent="0.2">
      <c r="D3238" s="139"/>
    </row>
    <row r="3239" spans="4:4" ht="12.75" x14ac:dyDescent="0.2">
      <c r="D3239" s="139"/>
    </row>
    <row r="3240" spans="4:4" ht="12.75" x14ac:dyDescent="0.2">
      <c r="D3240" s="139"/>
    </row>
    <row r="3241" spans="4:4" ht="12.75" x14ac:dyDescent="0.2">
      <c r="D3241" s="139"/>
    </row>
    <row r="3242" spans="4:4" ht="12.75" x14ac:dyDescent="0.2">
      <c r="D3242" s="139"/>
    </row>
    <row r="3243" spans="4:4" ht="12.75" x14ac:dyDescent="0.2">
      <c r="D3243" s="139"/>
    </row>
    <row r="3244" spans="4:4" ht="12.75" x14ac:dyDescent="0.2">
      <c r="D3244" s="139"/>
    </row>
    <row r="3245" spans="4:4" ht="12.75" x14ac:dyDescent="0.2">
      <c r="D3245" s="139"/>
    </row>
    <row r="3246" spans="4:4" ht="12.75" x14ac:dyDescent="0.2">
      <c r="D3246" s="139"/>
    </row>
    <row r="3247" spans="4:4" ht="12.75" x14ac:dyDescent="0.2">
      <c r="D3247" s="139"/>
    </row>
    <row r="3248" spans="4:4" ht="12.75" x14ac:dyDescent="0.2">
      <c r="D3248" s="139"/>
    </row>
    <row r="3249" spans="4:4" ht="12.75" x14ac:dyDescent="0.2">
      <c r="D3249" s="139"/>
    </row>
    <row r="3250" spans="4:4" ht="12.75" x14ac:dyDescent="0.2">
      <c r="D3250" s="139"/>
    </row>
    <row r="3251" spans="4:4" ht="12.75" x14ac:dyDescent="0.2">
      <c r="D3251" s="139"/>
    </row>
    <row r="3252" spans="4:4" ht="12.75" x14ac:dyDescent="0.2">
      <c r="D3252" s="139"/>
    </row>
    <row r="3253" spans="4:4" ht="12.75" x14ac:dyDescent="0.2">
      <c r="D3253" s="139"/>
    </row>
    <row r="3254" spans="4:4" ht="12.75" x14ac:dyDescent="0.2">
      <c r="D3254" s="139"/>
    </row>
    <row r="3255" spans="4:4" ht="12.75" x14ac:dyDescent="0.2">
      <c r="D3255" s="139"/>
    </row>
    <row r="3256" spans="4:4" ht="12.75" x14ac:dyDescent="0.2">
      <c r="D3256" s="139"/>
    </row>
    <row r="3257" spans="4:4" ht="12.75" x14ac:dyDescent="0.2">
      <c r="D3257" s="139"/>
    </row>
    <row r="3258" spans="4:4" ht="12.75" x14ac:dyDescent="0.2">
      <c r="D3258" s="139"/>
    </row>
    <row r="3259" spans="4:4" ht="12.75" x14ac:dyDescent="0.2">
      <c r="D3259" s="139"/>
    </row>
    <row r="3260" spans="4:4" ht="12.75" x14ac:dyDescent="0.2">
      <c r="D3260" s="139"/>
    </row>
    <row r="3261" spans="4:4" ht="12.75" x14ac:dyDescent="0.2">
      <c r="D3261" s="139"/>
    </row>
    <row r="3262" spans="4:4" ht="12.75" x14ac:dyDescent="0.2">
      <c r="D3262" s="139"/>
    </row>
    <row r="3263" spans="4:4" ht="12.75" x14ac:dyDescent="0.2">
      <c r="D3263" s="139"/>
    </row>
    <row r="3264" spans="4:4" ht="12.75" x14ac:dyDescent="0.2">
      <c r="D3264" s="139"/>
    </row>
    <row r="3265" spans="4:4" ht="12.75" x14ac:dyDescent="0.2">
      <c r="D3265" s="139"/>
    </row>
    <row r="3266" spans="4:4" ht="12.75" x14ac:dyDescent="0.2">
      <c r="D3266" s="139"/>
    </row>
    <row r="3267" spans="4:4" ht="12.75" x14ac:dyDescent="0.2">
      <c r="D3267" s="139"/>
    </row>
    <row r="3268" spans="4:4" ht="12.75" x14ac:dyDescent="0.2">
      <c r="D3268" s="139"/>
    </row>
    <row r="3269" spans="4:4" ht="12.75" x14ac:dyDescent="0.2">
      <c r="D3269" s="139"/>
    </row>
    <row r="3270" spans="4:4" ht="12.75" x14ac:dyDescent="0.2">
      <c r="D3270" s="139"/>
    </row>
    <row r="3271" spans="4:4" ht="12.75" x14ac:dyDescent="0.2">
      <c r="D3271" s="139"/>
    </row>
    <row r="3272" spans="4:4" ht="12.75" x14ac:dyDescent="0.2">
      <c r="D3272" s="139"/>
    </row>
    <row r="3273" spans="4:4" ht="12.75" x14ac:dyDescent="0.2">
      <c r="D3273" s="139"/>
    </row>
    <row r="3274" spans="4:4" ht="12.75" x14ac:dyDescent="0.2">
      <c r="D3274" s="139"/>
    </row>
    <row r="3275" spans="4:4" ht="12.75" x14ac:dyDescent="0.2">
      <c r="D3275" s="139"/>
    </row>
    <row r="3276" spans="4:4" ht="12.75" x14ac:dyDescent="0.2">
      <c r="D3276" s="139"/>
    </row>
    <row r="3277" spans="4:4" ht="12.75" x14ac:dyDescent="0.2">
      <c r="D3277" s="139"/>
    </row>
    <row r="3278" spans="4:4" ht="12.75" x14ac:dyDescent="0.2">
      <c r="D3278" s="139"/>
    </row>
    <row r="3279" spans="4:4" ht="12.75" x14ac:dyDescent="0.2">
      <c r="D3279" s="139"/>
    </row>
    <row r="3280" spans="4:4" ht="12.75" x14ac:dyDescent="0.2">
      <c r="D3280" s="139"/>
    </row>
    <row r="3281" spans="4:4" ht="12.75" x14ac:dyDescent="0.2">
      <c r="D3281" s="139"/>
    </row>
    <row r="3282" spans="4:4" ht="12.75" x14ac:dyDescent="0.2">
      <c r="D3282" s="139"/>
    </row>
    <row r="3283" spans="4:4" ht="12.75" x14ac:dyDescent="0.2">
      <c r="D3283" s="139"/>
    </row>
    <row r="3284" spans="4:4" ht="12.75" x14ac:dyDescent="0.2">
      <c r="D3284" s="139"/>
    </row>
    <row r="3285" spans="4:4" ht="12.75" x14ac:dyDescent="0.2">
      <c r="D3285" s="139"/>
    </row>
    <row r="3286" spans="4:4" ht="12.75" x14ac:dyDescent="0.2">
      <c r="D3286" s="139"/>
    </row>
    <row r="3287" spans="4:4" ht="12.75" x14ac:dyDescent="0.2">
      <c r="D3287" s="139"/>
    </row>
    <row r="3288" spans="4:4" ht="12.75" x14ac:dyDescent="0.2">
      <c r="D3288" s="139"/>
    </row>
    <row r="3289" spans="4:4" ht="12.75" x14ac:dyDescent="0.2">
      <c r="D3289" s="139"/>
    </row>
    <row r="3290" spans="4:4" ht="12.75" x14ac:dyDescent="0.2">
      <c r="D3290" s="139"/>
    </row>
    <row r="3291" spans="4:4" ht="12.75" x14ac:dyDescent="0.2">
      <c r="D3291" s="139"/>
    </row>
    <row r="3292" spans="4:4" ht="12.75" x14ac:dyDescent="0.2">
      <c r="D3292" s="139"/>
    </row>
    <row r="3293" spans="4:4" ht="12.75" x14ac:dyDescent="0.2">
      <c r="D3293" s="139"/>
    </row>
    <row r="3294" spans="4:4" ht="12.75" x14ac:dyDescent="0.2">
      <c r="D3294" s="139"/>
    </row>
    <row r="3295" spans="4:4" ht="12.75" x14ac:dyDescent="0.2">
      <c r="D3295" s="139"/>
    </row>
    <row r="3296" spans="4:4" ht="12.75" x14ac:dyDescent="0.2">
      <c r="D3296" s="139"/>
    </row>
    <row r="3297" spans="4:4" ht="12.75" x14ac:dyDescent="0.2">
      <c r="D3297" s="139"/>
    </row>
    <row r="3298" spans="4:4" ht="12.75" x14ac:dyDescent="0.2">
      <c r="D3298" s="139"/>
    </row>
    <row r="3299" spans="4:4" ht="12.75" x14ac:dyDescent="0.2">
      <c r="D3299" s="139"/>
    </row>
    <row r="3300" spans="4:4" ht="12.75" x14ac:dyDescent="0.2">
      <c r="D3300" s="139"/>
    </row>
    <row r="3301" spans="4:4" ht="12.75" x14ac:dyDescent="0.2">
      <c r="D3301" s="139"/>
    </row>
    <row r="3302" spans="4:4" ht="12.75" x14ac:dyDescent="0.2">
      <c r="D3302" s="139"/>
    </row>
    <row r="3303" spans="4:4" ht="12.75" x14ac:dyDescent="0.2">
      <c r="D3303" s="139"/>
    </row>
    <row r="3304" spans="4:4" ht="12.75" x14ac:dyDescent="0.2">
      <c r="D3304" s="139"/>
    </row>
    <row r="3305" spans="4:4" ht="12.75" x14ac:dyDescent="0.2">
      <c r="D3305" s="139"/>
    </row>
    <row r="3306" spans="4:4" ht="12.75" x14ac:dyDescent="0.2">
      <c r="D3306" s="139"/>
    </row>
    <row r="3307" spans="4:4" ht="12.75" x14ac:dyDescent="0.2">
      <c r="D3307" s="139"/>
    </row>
    <row r="3308" spans="4:4" ht="12.75" x14ac:dyDescent="0.2">
      <c r="D3308" s="139"/>
    </row>
    <row r="3309" spans="4:4" ht="12.75" x14ac:dyDescent="0.2">
      <c r="D3309" s="139"/>
    </row>
    <row r="3310" spans="4:4" ht="12.75" x14ac:dyDescent="0.2">
      <c r="D3310" s="139"/>
    </row>
    <row r="3311" spans="4:4" ht="12.75" x14ac:dyDescent="0.2">
      <c r="D3311" s="139"/>
    </row>
    <row r="3312" spans="4:4" ht="12.75" x14ac:dyDescent="0.2">
      <c r="D3312" s="139"/>
    </row>
    <row r="3313" spans="4:4" ht="12.75" x14ac:dyDescent="0.2">
      <c r="D3313" s="139"/>
    </row>
    <row r="3314" spans="4:4" ht="12.75" x14ac:dyDescent="0.2">
      <c r="D3314" s="139"/>
    </row>
    <row r="3315" spans="4:4" ht="12.75" x14ac:dyDescent="0.2">
      <c r="D3315" s="139"/>
    </row>
    <row r="3316" spans="4:4" ht="12.75" x14ac:dyDescent="0.2">
      <c r="D3316" s="139"/>
    </row>
    <row r="3317" spans="4:4" ht="12.75" x14ac:dyDescent="0.2">
      <c r="D3317" s="139"/>
    </row>
    <row r="3318" spans="4:4" ht="12.75" x14ac:dyDescent="0.2">
      <c r="D3318" s="139"/>
    </row>
    <row r="3319" spans="4:4" ht="12.75" x14ac:dyDescent="0.2">
      <c r="D3319" s="139"/>
    </row>
    <row r="3320" spans="4:4" ht="12.75" x14ac:dyDescent="0.2">
      <c r="D3320" s="139"/>
    </row>
    <row r="3321" spans="4:4" ht="12.75" x14ac:dyDescent="0.2">
      <c r="D3321" s="139"/>
    </row>
    <row r="3322" spans="4:4" ht="12.75" x14ac:dyDescent="0.2">
      <c r="D3322" s="139"/>
    </row>
    <row r="3323" spans="4:4" ht="12.75" x14ac:dyDescent="0.2">
      <c r="D3323" s="139"/>
    </row>
    <row r="3324" spans="4:4" ht="12.75" x14ac:dyDescent="0.2">
      <c r="D3324" s="139"/>
    </row>
    <row r="3325" spans="4:4" ht="12.75" x14ac:dyDescent="0.2">
      <c r="D3325" s="139"/>
    </row>
    <row r="3326" spans="4:4" ht="12.75" x14ac:dyDescent="0.2">
      <c r="D3326" s="139"/>
    </row>
    <row r="3327" spans="4:4" ht="12.75" x14ac:dyDescent="0.2">
      <c r="D3327" s="139"/>
    </row>
    <row r="3328" spans="4:4" ht="12.75" x14ac:dyDescent="0.2">
      <c r="D3328" s="139"/>
    </row>
    <row r="3329" spans="4:4" ht="12.75" x14ac:dyDescent="0.2">
      <c r="D3329" s="139"/>
    </row>
    <row r="3330" spans="4:4" ht="12.75" x14ac:dyDescent="0.2">
      <c r="D3330" s="139"/>
    </row>
    <row r="3331" spans="4:4" ht="12.75" x14ac:dyDescent="0.2">
      <c r="D3331" s="139"/>
    </row>
    <row r="3332" spans="4:4" ht="12.75" x14ac:dyDescent="0.2">
      <c r="D3332" s="139"/>
    </row>
    <row r="3333" spans="4:4" ht="12.75" x14ac:dyDescent="0.2">
      <c r="D3333" s="139"/>
    </row>
    <row r="3334" spans="4:4" ht="12.75" x14ac:dyDescent="0.2">
      <c r="D3334" s="139"/>
    </row>
    <row r="3335" spans="4:4" ht="12.75" x14ac:dyDescent="0.2">
      <c r="D3335" s="139"/>
    </row>
    <row r="3336" spans="4:4" ht="12.75" x14ac:dyDescent="0.2">
      <c r="D3336" s="139"/>
    </row>
    <row r="3337" spans="4:4" ht="12.75" x14ac:dyDescent="0.2">
      <c r="D3337" s="139"/>
    </row>
    <row r="3338" spans="4:4" ht="12.75" x14ac:dyDescent="0.2">
      <c r="D3338" s="139"/>
    </row>
    <row r="3339" spans="4:4" ht="12.75" x14ac:dyDescent="0.2">
      <c r="D3339" s="139"/>
    </row>
    <row r="3340" spans="4:4" ht="12.75" x14ac:dyDescent="0.2">
      <c r="D3340" s="139"/>
    </row>
    <row r="3341" spans="4:4" ht="12.75" x14ac:dyDescent="0.2">
      <c r="D3341" s="139"/>
    </row>
    <row r="3342" spans="4:4" ht="12.75" x14ac:dyDescent="0.2">
      <c r="D3342" s="139"/>
    </row>
    <row r="3343" spans="4:4" ht="12.75" x14ac:dyDescent="0.2">
      <c r="D3343" s="139"/>
    </row>
    <row r="3344" spans="4:4" ht="12.75" x14ac:dyDescent="0.2">
      <c r="D3344" s="139"/>
    </row>
    <row r="3345" spans="4:4" ht="12.75" x14ac:dyDescent="0.2">
      <c r="D3345" s="139"/>
    </row>
    <row r="3346" spans="4:4" ht="12.75" x14ac:dyDescent="0.2">
      <c r="D3346" s="139"/>
    </row>
    <row r="3347" spans="4:4" ht="12.75" x14ac:dyDescent="0.2">
      <c r="D3347" s="139"/>
    </row>
    <row r="3348" spans="4:4" ht="12.75" x14ac:dyDescent="0.2">
      <c r="D3348" s="139"/>
    </row>
    <row r="3349" spans="4:4" ht="12.75" x14ac:dyDescent="0.2">
      <c r="D3349" s="139"/>
    </row>
    <row r="3350" spans="4:4" ht="12.75" x14ac:dyDescent="0.2">
      <c r="D3350" s="139"/>
    </row>
    <row r="3351" spans="4:4" ht="12.75" x14ac:dyDescent="0.2">
      <c r="D3351" s="139"/>
    </row>
    <row r="3352" spans="4:4" ht="12.75" x14ac:dyDescent="0.2">
      <c r="D3352" s="139"/>
    </row>
    <row r="3353" spans="4:4" ht="12.75" x14ac:dyDescent="0.2">
      <c r="D3353" s="139"/>
    </row>
    <row r="3354" spans="4:4" ht="12.75" x14ac:dyDescent="0.2">
      <c r="D3354" s="139"/>
    </row>
    <row r="3355" spans="4:4" ht="12.75" x14ac:dyDescent="0.2">
      <c r="D3355" s="139"/>
    </row>
    <row r="3356" spans="4:4" ht="12.75" x14ac:dyDescent="0.2">
      <c r="D3356" s="139"/>
    </row>
    <row r="3357" spans="4:4" ht="12.75" x14ac:dyDescent="0.2">
      <c r="D3357" s="139"/>
    </row>
    <row r="3358" spans="4:4" ht="12.75" x14ac:dyDescent="0.2">
      <c r="D3358" s="139"/>
    </row>
    <row r="3359" spans="4:4" ht="12.75" x14ac:dyDescent="0.2">
      <c r="D3359" s="139"/>
    </row>
    <row r="3360" spans="4:4" ht="12.75" x14ac:dyDescent="0.2">
      <c r="D3360" s="139"/>
    </row>
    <row r="3361" spans="4:4" ht="12.75" x14ac:dyDescent="0.2">
      <c r="D3361" s="139"/>
    </row>
    <row r="3362" spans="4:4" ht="12.75" x14ac:dyDescent="0.2">
      <c r="D3362" s="139"/>
    </row>
    <row r="3363" spans="4:4" ht="12.75" x14ac:dyDescent="0.2">
      <c r="D3363" s="139"/>
    </row>
    <row r="3364" spans="4:4" ht="12.75" x14ac:dyDescent="0.2">
      <c r="D3364" s="139"/>
    </row>
    <row r="3365" spans="4:4" ht="12.75" x14ac:dyDescent="0.2">
      <c r="D3365" s="139"/>
    </row>
    <row r="3366" spans="4:4" ht="12.75" x14ac:dyDescent="0.2">
      <c r="D3366" s="139"/>
    </row>
    <row r="3367" spans="4:4" ht="12.75" x14ac:dyDescent="0.2">
      <c r="D3367" s="139"/>
    </row>
    <row r="3368" spans="4:4" ht="12.75" x14ac:dyDescent="0.2">
      <c r="D3368" s="139"/>
    </row>
    <row r="3369" spans="4:4" ht="12.75" x14ac:dyDescent="0.2">
      <c r="D3369" s="139"/>
    </row>
    <row r="3370" spans="4:4" ht="12.75" x14ac:dyDescent="0.2">
      <c r="D3370" s="139"/>
    </row>
    <row r="3371" spans="4:4" ht="12.75" x14ac:dyDescent="0.2">
      <c r="D3371" s="139"/>
    </row>
    <row r="3372" spans="4:4" ht="12.75" x14ac:dyDescent="0.2">
      <c r="D3372" s="139"/>
    </row>
    <row r="3373" spans="4:4" ht="12.75" x14ac:dyDescent="0.2">
      <c r="D3373" s="139"/>
    </row>
    <row r="3374" spans="4:4" ht="12.75" x14ac:dyDescent="0.2">
      <c r="D3374" s="139"/>
    </row>
    <row r="3375" spans="4:4" ht="12.75" x14ac:dyDescent="0.2">
      <c r="D3375" s="139"/>
    </row>
    <row r="3376" spans="4:4" ht="12.75" x14ac:dyDescent="0.2">
      <c r="D3376" s="139"/>
    </row>
    <row r="3377" spans="4:4" ht="12.75" x14ac:dyDescent="0.2">
      <c r="D3377" s="139"/>
    </row>
    <row r="3378" spans="4:4" ht="12.75" x14ac:dyDescent="0.2">
      <c r="D3378" s="139"/>
    </row>
    <row r="3379" spans="4:4" ht="12.75" x14ac:dyDescent="0.2">
      <c r="D3379" s="139"/>
    </row>
    <row r="3380" spans="4:4" ht="12.75" x14ac:dyDescent="0.2">
      <c r="D3380" s="139"/>
    </row>
    <row r="3381" spans="4:4" ht="12.75" x14ac:dyDescent="0.2">
      <c r="D3381" s="139"/>
    </row>
    <row r="3382" spans="4:4" ht="12.75" x14ac:dyDescent="0.2">
      <c r="D3382" s="139"/>
    </row>
    <row r="3383" spans="4:4" ht="12.75" x14ac:dyDescent="0.2">
      <c r="D3383" s="139"/>
    </row>
    <row r="3384" spans="4:4" ht="12.75" x14ac:dyDescent="0.2">
      <c r="D3384" s="139"/>
    </row>
    <row r="3385" spans="4:4" ht="12.75" x14ac:dyDescent="0.2">
      <c r="D3385" s="139"/>
    </row>
    <row r="3386" spans="4:4" ht="12.75" x14ac:dyDescent="0.2">
      <c r="D3386" s="139"/>
    </row>
    <row r="3387" spans="4:4" ht="12.75" x14ac:dyDescent="0.2">
      <c r="D3387" s="139"/>
    </row>
    <row r="3388" spans="4:4" ht="12.75" x14ac:dyDescent="0.2">
      <c r="D3388" s="139"/>
    </row>
    <row r="3389" spans="4:4" ht="12.75" x14ac:dyDescent="0.2">
      <c r="D3389" s="139"/>
    </row>
    <row r="3390" spans="4:4" ht="12.75" x14ac:dyDescent="0.2">
      <c r="D3390" s="139"/>
    </row>
    <row r="3391" spans="4:4" ht="12.75" x14ac:dyDescent="0.2">
      <c r="D3391" s="139"/>
    </row>
    <row r="3392" spans="4:4" ht="12.75" x14ac:dyDescent="0.2">
      <c r="D3392" s="139"/>
    </row>
    <row r="3393" spans="4:4" ht="12.75" x14ac:dyDescent="0.2">
      <c r="D3393" s="139"/>
    </row>
    <row r="3394" spans="4:4" ht="12.75" x14ac:dyDescent="0.2">
      <c r="D3394" s="139"/>
    </row>
    <row r="3395" spans="4:4" ht="12.75" x14ac:dyDescent="0.2">
      <c r="D3395" s="139"/>
    </row>
    <row r="3396" spans="4:4" ht="12.75" x14ac:dyDescent="0.2">
      <c r="D3396" s="139"/>
    </row>
    <row r="3397" spans="4:4" ht="12.75" x14ac:dyDescent="0.2">
      <c r="D3397" s="139"/>
    </row>
    <row r="3398" spans="4:4" ht="12.75" x14ac:dyDescent="0.2">
      <c r="D3398" s="139"/>
    </row>
    <row r="3399" spans="4:4" ht="12.75" x14ac:dyDescent="0.2">
      <c r="D3399" s="139"/>
    </row>
    <row r="3400" spans="4:4" ht="12.75" x14ac:dyDescent="0.2">
      <c r="D3400" s="139"/>
    </row>
    <row r="3401" spans="4:4" ht="12.75" x14ac:dyDescent="0.2">
      <c r="D3401" s="139"/>
    </row>
    <row r="3402" spans="4:4" ht="12.75" x14ac:dyDescent="0.2">
      <c r="D3402" s="139"/>
    </row>
    <row r="3403" spans="4:4" ht="12.75" x14ac:dyDescent="0.2">
      <c r="D3403" s="139"/>
    </row>
    <row r="3404" spans="4:4" ht="12.75" x14ac:dyDescent="0.2">
      <c r="D3404" s="139"/>
    </row>
    <row r="3405" spans="4:4" ht="12.75" x14ac:dyDescent="0.2">
      <c r="D3405" s="139"/>
    </row>
    <row r="3406" spans="4:4" ht="12.75" x14ac:dyDescent="0.2">
      <c r="D3406" s="139"/>
    </row>
    <row r="3407" spans="4:4" ht="12.75" x14ac:dyDescent="0.2">
      <c r="D3407" s="139"/>
    </row>
    <row r="3408" spans="4:4" ht="12.75" x14ac:dyDescent="0.2">
      <c r="D3408" s="139"/>
    </row>
    <row r="3409" spans="4:4" ht="12.75" x14ac:dyDescent="0.2">
      <c r="D3409" s="139"/>
    </row>
    <row r="3410" spans="4:4" ht="12.75" x14ac:dyDescent="0.2">
      <c r="D3410" s="139"/>
    </row>
    <row r="3411" spans="4:4" ht="12.75" x14ac:dyDescent="0.2">
      <c r="D3411" s="139"/>
    </row>
    <row r="3412" spans="4:4" ht="12.75" x14ac:dyDescent="0.2">
      <c r="D3412" s="139"/>
    </row>
    <row r="3413" spans="4:4" ht="12.75" x14ac:dyDescent="0.2">
      <c r="D3413" s="139"/>
    </row>
    <row r="3414" spans="4:4" ht="12.75" x14ac:dyDescent="0.2">
      <c r="D3414" s="139"/>
    </row>
    <row r="3415" spans="4:4" ht="12.75" x14ac:dyDescent="0.2">
      <c r="D3415" s="139"/>
    </row>
    <row r="3416" spans="4:4" ht="12.75" x14ac:dyDescent="0.2">
      <c r="D3416" s="139"/>
    </row>
    <row r="3417" spans="4:4" ht="12.75" x14ac:dyDescent="0.2">
      <c r="D3417" s="139"/>
    </row>
    <row r="3418" spans="4:4" ht="12.75" x14ac:dyDescent="0.2">
      <c r="D3418" s="139"/>
    </row>
    <row r="3419" spans="4:4" ht="12.75" x14ac:dyDescent="0.2">
      <c r="D3419" s="139"/>
    </row>
    <row r="3420" spans="4:4" ht="12.75" x14ac:dyDescent="0.2">
      <c r="D3420" s="139"/>
    </row>
    <row r="3421" spans="4:4" ht="12.75" x14ac:dyDescent="0.2">
      <c r="D3421" s="139"/>
    </row>
    <row r="3422" spans="4:4" ht="12.75" x14ac:dyDescent="0.2">
      <c r="D3422" s="139"/>
    </row>
    <row r="3423" spans="4:4" ht="12.75" x14ac:dyDescent="0.2">
      <c r="D3423" s="139"/>
    </row>
    <row r="3424" spans="4:4" ht="12.75" x14ac:dyDescent="0.2">
      <c r="D3424" s="139"/>
    </row>
    <row r="3425" spans="4:4" ht="12.75" x14ac:dyDescent="0.2">
      <c r="D3425" s="139"/>
    </row>
    <row r="3426" spans="4:4" ht="12.75" x14ac:dyDescent="0.2">
      <c r="D3426" s="139"/>
    </row>
    <row r="3427" spans="4:4" ht="12.75" x14ac:dyDescent="0.2">
      <c r="D3427" s="139"/>
    </row>
    <row r="3428" spans="4:4" ht="12.75" x14ac:dyDescent="0.2">
      <c r="D3428" s="139"/>
    </row>
    <row r="3429" spans="4:4" ht="12.75" x14ac:dyDescent="0.2">
      <c r="D3429" s="139"/>
    </row>
    <row r="3430" spans="4:4" ht="12.75" x14ac:dyDescent="0.2">
      <c r="D3430" s="139"/>
    </row>
    <row r="3431" spans="4:4" ht="12.75" x14ac:dyDescent="0.2">
      <c r="D3431" s="139"/>
    </row>
    <row r="3432" spans="4:4" ht="12.75" x14ac:dyDescent="0.2">
      <c r="D3432" s="139"/>
    </row>
    <row r="3433" spans="4:4" ht="12.75" x14ac:dyDescent="0.2">
      <c r="D3433" s="139"/>
    </row>
    <row r="3434" spans="4:4" ht="12.75" x14ac:dyDescent="0.2">
      <c r="D3434" s="139"/>
    </row>
    <row r="3435" spans="4:4" ht="12.75" x14ac:dyDescent="0.2">
      <c r="D3435" s="139"/>
    </row>
    <row r="3436" spans="4:4" ht="12.75" x14ac:dyDescent="0.2">
      <c r="D3436" s="139"/>
    </row>
    <row r="3437" spans="4:4" ht="12.75" x14ac:dyDescent="0.2">
      <c r="D3437" s="139"/>
    </row>
    <row r="3438" spans="4:4" ht="12.75" x14ac:dyDescent="0.2">
      <c r="D3438" s="139"/>
    </row>
    <row r="3439" spans="4:4" ht="12.75" x14ac:dyDescent="0.2">
      <c r="D3439" s="139"/>
    </row>
    <row r="3440" spans="4:4" ht="12.75" x14ac:dyDescent="0.2">
      <c r="D3440" s="139"/>
    </row>
    <row r="3441" spans="4:4" ht="12.75" x14ac:dyDescent="0.2">
      <c r="D3441" s="139"/>
    </row>
    <row r="3442" spans="4:4" ht="12.75" x14ac:dyDescent="0.2">
      <c r="D3442" s="139"/>
    </row>
    <row r="3443" spans="4:4" ht="12.75" x14ac:dyDescent="0.2">
      <c r="D3443" s="139"/>
    </row>
    <row r="3444" spans="4:4" ht="12.75" x14ac:dyDescent="0.2">
      <c r="D3444" s="139"/>
    </row>
    <row r="3445" spans="4:4" ht="12.75" x14ac:dyDescent="0.2">
      <c r="D3445" s="139"/>
    </row>
    <row r="3446" spans="4:4" ht="12.75" x14ac:dyDescent="0.2">
      <c r="D3446" s="139"/>
    </row>
    <row r="3447" spans="4:4" ht="12.75" x14ac:dyDescent="0.2">
      <c r="D3447" s="139"/>
    </row>
    <row r="3448" spans="4:4" ht="12.75" x14ac:dyDescent="0.2">
      <c r="D3448" s="139"/>
    </row>
    <row r="3449" spans="4:4" ht="12.75" x14ac:dyDescent="0.2">
      <c r="D3449" s="139"/>
    </row>
    <row r="3450" spans="4:4" ht="12.75" x14ac:dyDescent="0.2">
      <c r="D3450" s="139"/>
    </row>
    <row r="3451" spans="4:4" ht="12.75" x14ac:dyDescent="0.2">
      <c r="D3451" s="139"/>
    </row>
    <row r="3452" spans="4:4" ht="12.75" x14ac:dyDescent="0.2">
      <c r="D3452" s="139"/>
    </row>
    <row r="3453" spans="4:4" ht="12.75" x14ac:dyDescent="0.2">
      <c r="D3453" s="139"/>
    </row>
    <row r="3454" spans="4:4" ht="12.75" x14ac:dyDescent="0.2">
      <c r="D3454" s="139"/>
    </row>
    <row r="3455" spans="4:4" ht="12.75" x14ac:dyDescent="0.2">
      <c r="D3455" s="139"/>
    </row>
    <row r="3456" spans="4:4" ht="12.75" x14ac:dyDescent="0.2">
      <c r="D3456" s="139"/>
    </row>
    <row r="3457" spans="4:4" ht="12.75" x14ac:dyDescent="0.2">
      <c r="D3457" s="139"/>
    </row>
    <row r="3458" spans="4:4" ht="12.75" x14ac:dyDescent="0.2">
      <c r="D3458" s="139"/>
    </row>
    <row r="3459" spans="4:4" ht="12.75" x14ac:dyDescent="0.2">
      <c r="D3459" s="139"/>
    </row>
    <row r="3460" spans="4:4" ht="12.75" x14ac:dyDescent="0.2">
      <c r="D3460" s="139"/>
    </row>
    <row r="3461" spans="4:4" ht="12.75" x14ac:dyDescent="0.2">
      <c r="D3461" s="139"/>
    </row>
    <row r="3462" spans="4:4" ht="12.75" x14ac:dyDescent="0.2">
      <c r="D3462" s="139"/>
    </row>
    <row r="3463" spans="4:4" ht="12.75" x14ac:dyDescent="0.2">
      <c r="D3463" s="139"/>
    </row>
    <row r="3464" spans="4:4" ht="12.75" x14ac:dyDescent="0.2">
      <c r="D3464" s="139"/>
    </row>
    <row r="3465" spans="4:4" ht="12.75" x14ac:dyDescent="0.2">
      <c r="D3465" s="139"/>
    </row>
    <row r="3466" spans="4:4" ht="12.75" x14ac:dyDescent="0.2">
      <c r="D3466" s="139"/>
    </row>
    <row r="3467" spans="4:4" ht="12.75" x14ac:dyDescent="0.2">
      <c r="D3467" s="139"/>
    </row>
    <row r="3468" spans="4:4" ht="12.75" x14ac:dyDescent="0.2">
      <c r="D3468" s="139"/>
    </row>
    <row r="3469" spans="4:4" ht="12.75" x14ac:dyDescent="0.2">
      <c r="D3469" s="139"/>
    </row>
    <row r="3470" spans="4:4" ht="12.75" x14ac:dyDescent="0.2">
      <c r="D3470" s="139"/>
    </row>
    <row r="3471" spans="4:4" ht="12.75" x14ac:dyDescent="0.2">
      <c r="D3471" s="139"/>
    </row>
    <row r="3472" spans="4:4" ht="12.75" x14ac:dyDescent="0.2">
      <c r="D3472" s="139"/>
    </row>
    <row r="3473" spans="4:4" ht="12.75" x14ac:dyDescent="0.2">
      <c r="D3473" s="139"/>
    </row>
    <row r="3474" spans="4:4" ht="12.75" x14ac:dyDescent="0.2">
      <c r="D3474" s="139"/>
    </row>
    <row r="3475" spans="4:4" ht="12.75" x14ac:dyDescent="0.2">
      <c r="D3475" s="139"/>
    </row>
    <row r="3476" spans="4:4" ht="12.75" x14ac:dyDescent="0.2">
      <c r="D3476" s="139"/>
    </row>
    <row r="3477" spans="4:4" ht="12.75" x14ac:dyDescent="0.2">
      <c r="D3477" s="139"/>
    </row>
    <row r="3478" spans="4:4" ht="12.75" x14ac:dyDescent="0.2">
      <c r="D3478" s="139"/>
    </row>
    <row r="3479" spans="4:4" ht="12.75" x14ac:dyDescent="0.2">
      <c r="D3479" s="139"/>
    </row>
    <row r="3480" spans="4:4" ht="12.75" x14ac:dyDescent="0.2">
      <c r="D3480" s="139"/>
    </row>
    <row r="3481" spans="4:4" ht="12.75" x14ac:dyDescent="0.2">
      <c r="D3481" s="139"/>
    </row>
    <row r="3482" spans="4:4" ht="12.75" x14ac:dyDescent="0.2">
      <c r="D3482" s="139"/>
    </row>
    <row r="3483" spans="4:4" ht="12.75" x14ac:dyDescent="0.2">
      <c r="D3483" s="139"/>
    </row>
    <row r="3484" spans="4:4" ht="12.75" x14ac:dyDescent="0.2">
      <c r="D3484" s="139"/>
    </row>
    <row r="3485" spans="4:4" ht="12.75" x14ac:dyDescent="0.2">
      <c r="D3485" s="139"/>
    </row>
    <row r="3486" spans="4:4" ht="12.75" x14ac:dyDescent="0.2">
      <c r="D3486" s="139"/>
    </row>
    <row r="3487" spans="4:4" ht="12.75" x14ac:dyDescent="0.2">
      <c r="D3487" s="139"/>
    </row>
    <row r="3488" spans="4:4" ht="12.75" x14ac:dyDescent="0.2">
      <c r="D3488" s="139"/>
    </row>
    <row r="3489" spans="4:4" ht="12.75" x14ac:dyDescent="0.2">
      <c r="D3489" s="139"/>
    </row>
    <row r="3490" spans="4:4" ht="12.75" x14ac:dyDescent="0.2">
      <c r="D3490" s="139"/>
    </row>
    <row r="3491" spans="4:4" ht="12.75" x14ac:dyDescent="0.2">
      <c r="D3491" s="139"/>
    </row>
    <row r="3492" spans="4:4" ht="12.75" x14ac:dyDescent="0.2">
      <c r="D3492" s="139"/>
    </row>
    <row r="3493" spans="4:4" ht="12.75" x14ac:dyDescent="0.2">
      <c r="D3493" s="139"/>
    </row>
    <row r="3494" spans="4:4" ht="12.75" x14ac:dyDescent="0.2">
      <c r="D3494" s="139"/>
    </row>
    <row r="3495" spans="4:4" ht="12.75" x14ac:dyDescent="0.2">
      <c r="D3495" s="139"/>
    </row>
    <row r="3496" spans="4:4" ht="12.75" x14ac:dyDescent="0.2">
      <c r="D3496" s="139"/>
    </row>
    <row r="3497" spans="4:4" ht="12.75" x14ac:dyDescent="0.2">
      <c r="D3497" s="139"/>
    </row>
    <row r="3498" spans="4:4" ht="12.75" x14ac:dyDescent="0.2">
      <c r="D3498" s="139"/>
    </row>
    <row r="3499" spans="4:4" ht="12.75" x14ac:dyDescent="0.2">
      <c r="D3499" s="139"/>
    </row>
    <row r="3500" spans="4:4" ht="12.75" x14ac:dyDescent="0.2">
      <c r="D3500" s="139"/>
    </row>
    <row r="3501" spans="4:4" ht="12.75" x14ac:dyDescent="0.2">
      <c r="D3501" s="139"/>
    </row>
    <row r="3502" spans="4:4" ht="12.75" x14ac:dyDescent="0.2">
      <c r="D3502" s="139"/>
    </row>
    <row r="3503" spans="4:4" ht="12.75" x14ac:dyDescent="0.2">
      <c r="D3503" s="139"/>
    </row>
    <row r="3504" spans="4:4" ht="12.75" x14ac:dyDescent="0.2">
      <c r="D3504" s="139"/>
    </row>
    <row r="3505" spans="4:4" ht="12.75" x14ac:dyDescent="0.2">
      <c r="D3505" s="139"/>
    </row>
    <row r="3506" spans="4:4" ht="12.75" x14ac:dyDescent="0.2">
      <c r="D3506" s="139"/>
    </row>
    <row r="3507" spans="4:4" ht="12.75" x14ac:dyDescent="0.2">
      <c r="D3507" s="139"/>
    </row>
    <row r="3508" spans="4:4" ht="12.75" x14ac:dyDescent="0.2">
      <c r="D3508" s="139"/>
    </row>
    <row r="3509" spans="4:4" ht="12.75" x14ac:dyDescent="0.2">
      <c r="D3509" s="139"/>
    </row>
    <row r="3510" spans="4:4" ht="12.75" x14ac:dyDescent="0.2">
      <c r="D3510" s="139"/>
    </row>
    <row r="3511" spans="4:4" ht="12.75" x14ac:dyDescent="0.2">
      <c r="D3511" s="139"/>
    </row>
    <row r="3512" spans="4:4" ht="12.75" x14ac:dyDescent="0.2">
      <c r="D3512" s="139"/>
    </row>
    <row r="3513" spans="4:4" ht="12.75" x14ac:dyDescent="0.2">
      <c r="D3513" s="139"/>
    </row>
    <row r="3514" spans="4:4" ht="12.75" x14ac:dyDescent="0.2">
      <c r="D3514" s="139"/>
    </row>
    <row r="3515" spans="4:4" ht="12.75" x14ac:dyDescent="0.2">
      <c r="D3515" s="139"/>
    </row>
    <row r="3516" spans="4:4" ht="12.75" x14ac:dyDescent="0.2">
      <c r="D3516" s="139"/>
    </row>
    <row r="3517" spans="4:4" ht="12.75" x14ac:dyDescent="0.2">
      <c r="D3517" s="139"/>
    </row>
    <row r="3518" spans="4:4" ht="12.75" x14ac:dyDescent="0.2">
      <c r="D3518" s="139"/>
    </row>
    <row r="3519" spans="4:4" ht="12.75" x14ac:dyDescent="0.2">
      <c r="D3519" s="139"/>
    </row>
    <row r="3520" spans="4:4" ht="12.75" x14ac:dyDescent="0.2">
      <c r="D3520" s="139"/>
    </row>
    <row r="3521" spans="4:4" ht="12.75" x14ac:dyDescent="0.2">
      <c r="D3521" s="139"/>
    </row>
    <row r="3522" spans="4:4" ht="12.75" x14ac:dyDescent="0.2">
      <c r="D3522" s="139"/>
    </row>
    <row r="3523" spans="4:4" ht="12.75" x14ac:dyDescent="0.2">
      <c r="D3523" s="139"/>
    </row>
    <row r="3524" spans="4:4" ht="12.75" x14ac:dyDescent="0.2">
      <c r="D3524" s="139"/>
    </row>
    <row r="3525" spans="4:4" ht="12.75" x14ac:dyDescent="0.2">
      <c r="D3525" s="139"/>
    </row>
    <row r="3526" spans="4:4" ht="12.75" x14ac:dyDescent="0.2">
      <c r="D3526" s="139"/>
    </row>
    <row r="3527" spans="4:4" ht="12.75" x14ac:dyDescent="0.2">
      <c r="D3527" s="139"/>
    </row>
    <row r="3528" spans="4:4" ht="12.75" x14ac:dyDescent="0.2">
      <c r="D3528" s="139"/>
    </row>
    <row r="3529" spans="4:4" ht="12.75" x14ac:dyDescent="0.2">
      <c r="D3529" s="139"/>
    </row>
    <row r="3530" spans="4:4" ht="12.75" x14ac:dyDescent="0.2">
      <c r="D3530" s="139"/>
    </row>
    <row r="3531" spans="4:4" ht="12.75" x14ac:dyDescent="0.2">
      <c r="D3531" s="139"/>
    </row>
    <row r="3532" spans="4:4" ht="12.75" x14ac:dyDescent="0.2">
      <c r="D3532" s="139"/>
    </row>
    <row r="3533" spans="4:4" ht="12.75" x14ac:dyDescent="0.2">
      <c r="D3533" s="139"/>
    </row>
    <row r="3534" spans="4:4" ht="12.75" x14ac:dyDescent="0.2">
      <c r="D3534" s="139"/>
    </row>
    <row r="3535" spans="4:4" ht="12.75" x14ac:dyDescent="0.2">
      <c r="D3535" s="139"/>
    </row>
    <row r="3536" spans="4:4" ht="12.75" x14ac:dyDescent="0.2">
      <c r="D3536" s="139"/>
    </row>
    <row r="3537" spans="4:4" ht="12.75" x14ac:dyDescent="0.2">
      <c r="D3537" s="139"/>
    </row>
    <row r="3538" spans="4:4" ht="12.75" x14ac:dyDescent="0.2">
      <c r="D3538" s="139"/>
    </row>
    <row r="3539" spans="4:4" ht="12.75" x14ac:dyDescent="0.2">
      <c r="D3539" s="139"/>
    </row>
    <row r="3540" spans="4:4" ht="12.75" x14ac:dyDescent="0.2">
      <c r="D3540" s="139"/>
    </row>
    <row r="3541" spans="4:4" ht="12.75" x14ac:dyDescent="0.2">
      <c r="D3541" s="139"/>
    </row>
    <row r="3542" spans="4:4" ht="12.75" x14ac:dyDescent="0.2">
      <c r="D3542" s="139"/>
    </row>
    <row r="3543" spans="4:4" ht="12.75" x14ac:dyDescent="0.2">
      <c r="D3543" s="139"/>
    </row>
    <row r="3544" spans="4:4" ht="12.75" x14ac:dyDescent="0.2">
      <c r="D3544" s="139"/>
    </row>
    <row r="3545" spans="4:4" ht="12.75" x14ac:dyDescent="0.2">
      <c r="D3545" s="139"/>
    </row>
    <row r="3546" spans="4:4" ht="12.75" x14ac:dyDescent="0.2">
      <c r="D3546" s="139"/>
    </row>
    <row r="3547" spans="4:4" ht="12.75" x14ac:dyDescent="0.2">
      <c r="D3547" s="139"/>
    </row>
    <row r="3548" spans="4:4" ht="12.75" x14ac:dyDescent="0.2">
      <c r="D3548" s="139"/>
    </row>
    <row r="3549" spans="4:4" ht="12.75" x14ac:dyDescent="0.2">
      <c r="D3549" s="139"/>
    </row>
    <row r="3550" spans="4:4" ht="12.75" x14ac:dyDescent="0.2">
      <c r="D3550" s="139"/>
    </row>
    <row r="3551" spans="4:4" ht="12.75" x14ac:dyDescent="0.2">
      <c r="D3551" s="139"/>
    </row>
    <row r="3552" spans="4:4" ht="12.75" x14ac:dyDescent="0.2">
      <c r="D3552" s="139"/>
    </row>
    <row r="3553" spans="4:4" ht="12.75" x14ac:dyDescent="0.2">
      <c r="D3553" s="139"/>
    </row>
    <row r="3554" spans="4:4" ht="12.75" x14ac:dyDescent="0.2">
      <c r="D3554" s="139"/>
    </row>
    <row r="3555" spans="4:4" ht="12.75" x14ac:dyDescent="0.2">
      <c r="D3555" s="139"/>
    </row>
    <row r="3556" spans="4:4" ht="12.75" x14ac:dyDescent="0.2">
      <c r="D3556" s="139"/>
    </row>
    <row r="3557" spans="4:4" ht="12.75" x14ac:dyDescent="0.2">
      <c r="D3557" s="139"/>
    </row>
    <row r="3558" spans="4:4" ht="12.75" x14ac:dyDescent="0.2">
      <c r="D3558" s="139"/>
    </row>
    <row r="3559" spans="4:4" ht="12.75" x14ac:dyDescent="0.2">
      <c r="D3559" s="139"/>
    </row>
    <row r="3560" spans="4:4" ht="12.75" x14ac:dyDescent="0.2">
      <c r="D3560" s="139"/>
    </row>
    <row r="3561" spans="4:4" ht="12.75" x14ac:dyDescent="0.2">
      <c r="D3561" s="139"/>
    </row>
    <row r="3562" spans="4:4" ht="12.75" x14ac:dyDescent="0.2">
      <c r="D3562" s="139"/>
    </row>
    <row r="3563" spans="4:4" ht="12.75" x14ac:dyDescent="0.2">
      <c r="D3563" s="139"/>
    </row>
    <row r="3564" spans="4:4" ht="12.75" x14ac:dyDescent="0.2">
      <c r="D3564" s="139"/>
    </row>
    <row r="3565" spans="4:4" ht="12.75" x14ac:dyDescent="0.2">
      <c r="D3565" s="139"/>
    </row>
    <row r="3566" spans="4:4" ht="12.75" x14ac:dyDescent="0.2">
      <c r="D3566" s="139"/>
    </row>
    <row r="3567" spans="4:4" ht="12.75" x14ac:dyDescent="0.2">
      <c r="D3567" s="139"/>
    </row>
    <row r="3568" spans="4:4" ht="12.75" x14ac:dyDescent="0.2">
      <c r="D3568" s="139"/>
    </row>
    <row r="3569" spans="4:4" ht="12.75" x14ac:dyDescent="0.2">
      <c r="D3569" s="139"/>
    </row>
    <row r="3570" spans="4:4" ht="12.75" x14ac:dyDescent="0.2">
      <c r="D3570" s="139"/>
    </row>
    <row r="3571" spans="4:4" ht="12.75" x14ac:dyDescent="0.2">
      <c r="D3571" s="139"/>
    </row>
    <row r="3572" spans="4:4" ht="12.75" x14ac:dyDescent="0.2">
      <c r="D3572" s="139"/>
    </row>
    <row r="3573" spans="4:4" ht="12.75" x14ac:dyDescent="0.2">
      <c r="D3573" s="139"/>
    </row>
    <row r="3574" spans="4:4" ht="12.75" x14ac:dyDescent="0.2">
      <c r="D3574" s="139"/>
    </row>
    <row r="3575" spans="4:4" ht="12.75" x14ac:dyDescent="0.2">
      <c r="D3575" s="139"/>
    </row>
    <row r="3576" spans="4:4" ht="12.75" x14ac:dyDescent="0.2">
      <c r="D3576" s="139"/>
    </row>
    <row r="3577" spans="4:4" ht="12.75" x14ac:dyDescent="0.2">
      <c r="D3577" s="139"/>
    </row>
    <row r="3578" spans="4:4" ht="12.75" x14ac:dyDescent="0.2">
      <c r="D3578" s="139"/>
    </row>
    <row r="3579" spans="4:4" ht="12.75" x14ac:dyDescent="0.2">
      <c r="D3579" s="139"/>
    </row>
    <row r="3580" spans="4:4" ht="12.75" x14ac:dyDescent="0.2">
      <c r="D3580" s="139"/>
    </row>
    <row r="3581" spans="4:4" ht="12.75" x14ac:dyDescent="0.2">
      <c r="D3581" s="139"/>
    </row>
    <row r="3582" spans="4:4" ht="12.75" x14ac:dyDescent="0.2">
      <c r="D3582" s="139"/>
    </row>
    <row r="3583" spans="4:4" ht="12.75" x14ac:dyDescent="0.2">
      <c r="D3583" s="139"/>
    </row>
    <row r="3584" spans="4:4" ht="12.75" x14ac:dyDescent="0.2">
      <c r="D3584" s="139"/>
    </row>
    <row r="3585" spans="4:4" ht="12.75" x14ac:dyDescent="0.2">
      <c r="D3585" s="139"/>
    </row>
    <row r="3586" spans="4:4" ht="12.75" x14ac:dyDescent="0.2">
      <c r="D3586" s="139"/>
    </row>
    <row r="3587" spans="4:4" ht="12.75" x14ac:dyDescent="0.2">
      <c r="D3587" s="139"/>
    </row>
    <row r="3588" spans="4:4" ht="12.75" x14ac:dyDescent="0.2">
      <c r="D3588" s="139"/>
    </row>
    <row r="3589" spans="4:4" ht="12.75" x14ac:dyDescent="0.2">
      <c r="D3589" s="139"/>
    </row>
    <row r="3590" spans="4:4" ht="12.75" x14ac:dyDescent="0.2">
      <c r="D3590" s="139"/>
    </row>
    <row r="3591" spans="4:4" ht="12.75" x14ac:dyDescent="0.2">
      <c r="D3591" s="139"/>
    </row>
    <row r="3592" spans="4:4" ht="12.75" x14ac:dyDescent="0.2">
      <c r="D3592" s="139"/>
    </row>
    <row r="3593" spans="4:4" ht="12.75" x14ac:dyDescent="0.2">
      <c r="D3593" s="139"/>
    </row>
    <row r="3594" spans="4:4" ht="12.75" x14ac:dyDescent="0.2">
      <c r="D3594" s="139"/>
    </row>
    <row r="3595" spans="4:4" ht="12.75" x14ac:dyDescent="0.2">
      <c r="D3595" s="139"/>
    </row>
    <row r="3596" spans="4:4" ht="12.75" x14ac:dyDescent="0.2">
      <c r="D3596" s="139"/>
    </row>
    <row r="3597" spans="4:4" ht="12.75" x14ac:dyDescent="0.2">
      <c r="D3597" s="139"/>
    </row>
    <row r="3598" spans="4:4" ht="12.75" x14ac:dyDescent="0.2">
      <c r="D3598" s="139"/>
    </row>
    <row r="3599" spans="4:4" ht="12.75" x14ac:dyDescent="0.2">
      <c r="D3599" s="139"/>
    </row>
    <row r="3600" spans="4:4" ht="12.75" x14ac:dyDescent="0.2">
      <c r="D3600" s="139"/>
    </row>
    <row r="3601" spans="4:4" ht="12.75" x14ac:dyDescent="0.2">
      <c r="D3601" s="139"/>
    </row>
    <row r="3602" spans="4:4" ht="12.75" x14ac:dyDescent="0.2">
      <c r="D3602" s="139"/>
    </row>
    <row r="3603" spans="4:4" ht="12.75" x14ac:dyDescent="0.2">
      <c r="D3603" s="139"/>
    </row>
    <row r="3604" spans="4:4" ht="12.75" x14ac:dyDescent="0.2">
      <c r="D3604" s="139"/>
    </row>
    <row r="3605" spans="4:4" ht="12.75" x14ac:dyDescent="0.2">
      <c r="D3605" s="139"/>
    </row>
    <row r="3606" spans="4:4" ht="12.75" x14ac:dyDescent="0.2">
      <c r="D3606" s="139"/>
    </row>
    <row r="3607" spans="4:4" ht="12.75" x14ac:dyDescent="0.2">
      <c r="D3607" s="139"/>
    </row>
    <row r="3608" spans="4:4" ht="12.75" x14ac:dyDescent="0.2">
      <c r="D3608" s="139"/>
    </row>
    <row r="3609" spans="4:4" ht="12.75" x14ac:dyDescent="0.2">
      <c r="D3609" s="139"/>
    </row>
    <row r="3610" spans="4:4" ht="12.75" x14ac:dyDescent="0.2">
      <c r="D3610" s="139"/>
    </row>
    <row r="3611" spans="4:4" ht="12.75" x14ac:dyDescent="0.2">
      <c r="D3611" s="139"/>
    </row>
    <row r="3612" spans="4:4" ht="12.75" x14ac:dyDescent="0.2">
      <c r="D3612" s="139"/>
    </row>
    <row r="3613" spans="4:4" ht="12.75" x14ac:dyDescent="0.2">
      <c r="D3613" s="139"/>
    </row>
    <row r="3614" spans="4:4" ht="12.75" x14ac:dyDescent="0.2">
      <c r="D3614" s="139"/>
    </row>
    <row r="3615" spans="4:4" ht="12.75" x14ac:dyDescent="0.2">
      <c r="D3615" s="139"/>
    </row>
    <row r="3616" spans="4:4" ht="12.75" x14ac:dyDescent="0.2">
      <c r="D3616" s="139"/>
    </row>
    <row r="3617" spans="4:4" ht="12.75" x14ac:dyDescent="0.2">
      <c r="D3617" s="139"/>
    </row>
    <row r="3618" spans="4:4" ht="12.75" x14ac:dyDescent="0.2">
      <c r="D3618" s="139"/>
    </row>
    <row r="3619" spans="4:4" ht="12.75" x14ac:dyDescent="0.2">
      <c r="D3619" s="139"/>
    </row>
    <row r="3620" spans="4:4" ht="12.75" x14ac:dyDescent="0.2">
      <c r="D3620" s="139"/>
    </row>
    <row r="3621" spans="4:4" ht="12.75" x14ac:dyDescent="0.2">
      <c r="D3621" s="139"/>
    </row>
    <row r="3622" spans="4:4" ht="12.75" x14ac:dyDescent="0.2">
      <c r="D3622" s="139"/>
    </row>
    <row r="3623" spans="4:4" ht="12.75" x14ac:dyDescent="0.2">
      <c r="D3623" s="139"/>
    </row>
    <row r="3624" spans="4:4" ht="12.75" x14ac:dyDescent="0.2">
      <c r="D3624" s="139"/>
    </row>
    <row r="3625" spans="4:4" ht="12.75" x14ac:dyDescent="0.2">
      <c r="D3625" s="139"/>
    </row>
    <row r="3626" spans="4:4" ht="12.75" x14ac:dyDescent="0.2">
      <c r="D3626" s="139"/>
    </row>
    <row r="3627" spans="4:4" ht="12.75" x14ac:dyDescent="0.2">
      <c r="D3627" s="139"/>
    </row>
    <row r="3628" spans="4:4" ht="12.75" x14ac:dyDescent="0.2">
      <c r="D3628" s="139"/>
    </row>
    <row r="3629" spans="4:4" ht="12.75" x14ac:dyDescent="0.2">
      <c r="D3629" s="139"/>
    </row>
    <row r="3630" spans="4:4" ht="12.75" x14ac:dyDescent="0.2">
      <c r="D3630" s="139"/>
    </row>
    <row r="3631" spans="4:4" ht="12.75" x14ac:dyDescent="0.2">
      <c r="D3631" s="139"/>
    </row>
    <row r="3632" spans="4:4" ht="12.75" x14ac:dyDescent="0.2">
      <c r="D3632" s="139"/>
    </row>
    <row r="3633" spans="4:4" ht="12.75" x14ac:dyDescent="0.2">
      <c r="D3633" s="139"/>
    </row>
    <row r="3634" spans="4:4" ht="12.75" x14ac:dyDescent="0.2">
      <c r="D3634" s="139"/>
    </row>
    <row r="3635" spans="4:4" ht="12.75" x14ac:dyDescent="0.2">
      <c r="D3635" s="139"/>
    </row>
    <row r="3636" spans="4:4" ht="12.75" x14ac:dyDescent="0.2">
      <c r="D3636" s="139"/>
    </row>
    <row r="3637" spans="4:4" ht="12.75" x14ac:dyDescent="0.2">
      <c r="D3637" s="139"/>
    </row>
    <row r="3638" spans="4:4" ht="12.75" x14ac:dyDescent="0.2">
      <c r="D3638" s="139"/>
    </row>
    <row r="3639" spans="4:4" ht="12.75" x14ac:dyDescent="0.2">
      <c r="D3639" s="139"/>
    </row>
    <row r="3640" spans="4:4" ht="12.75" x14ac:dyDescent="0.2">
      <c r="D3640" s="139"/>
    </row>
    <row r="3641" spans="4:4" ht="12.75" x14ac:dyDescent="0.2">
      <c r="D3641" s="139"/>
    </row>
    <row r="3642" spans="4:4" ht="12.75" x14ac:dyDescent="0.2">
      <c r="D3642" s="139"/>
    </row>
    <row r="3643" spans="4:4" ht="12.75" x14ac:dyDescent="0.2">
      <c r="D3643" s="139"/>
    </row>
    <row r="3644" spans="4:4" ht="12.75" x14ac:dyDescent="0.2">
      <c r="D3644" s="139"/>
    </row>
    <row r="3645" spans="4:4" ht="12.75" x14ac:dyDescent="0.2">
      <c r="D3645" s="139"/>
    </row>
    <row r="3646" spans="4:4" ht="12.75" x14ac:dyDescent="0.2">
      <c r="D3646" s="139"/>
    </row>
    <row r="3647" spans="4:4" ht="12.75" x14ac:dyDescent="0.2">
      <c r="D3647" s="139"/>
    </row>
    <row r="3648" spans="4:4" ht="12.75" x14ac:dyDescent="0.2">
      <c r="D3648" s="139"/>
    </row>
    <row r="3649" spans="4:4" ht="12.75" x14ac:dyDescent="0.2">
      <c r="D3649" s="139"/>
    </row>
    <row r="3650" spans="4:4" ht="12.75" x14ac:dyDescent="0.2">
      <c r="D3650" s="139"/>
    </row>
    <row r="3651" spans="4:4" ht="12.75" x14ac:dyDescent="0.2">
      <c r="D3651" s="139"/>
    </row>
    <row r="3652" spans="4:4" ht="12.75" x14ac:dyDescent="0.2">
      <c r="D3652" s="139"/>
    </row>
    <row r="3653" spans="4:4" ht="12.75" x14ac:dyDescent="0.2">
      <c r="D3653" s="139"/>
    </row>
    <row r="3654" spans="4:4" ht="12.75" x14ac:dyDescent="0.2">
      <c r="D3654" s="139"/>
    </row>
    <row r="3655" spans="4:4" ht="12.75" x14ac:dyDescent="0.2">
      <c r="D3655" s="139"/>
    </row>
    <row r="3656" spans="4:4" ht="12.75" x14ac:dyDescent="0.2">
      <c r="D3656" s="139"/>
    </row>
    <row r="3657" spans="4:4" ht="12.75" x14ac:dyDescent="0.2">
      <c r="D3657" s="139"/>
    </row>
    <row r="3658" spans="4:4" ht="12.75" x14ac:dyDescent="0.2">
      <c r="D3658" s="139"/>
    </row>
    <row r="3659" spans="4:4" ht="12.75" x14ac:dyDescent="0.2">
      <c r="D3659" s="139"/>
    </row>
    <row r="3660" spans="4:4" ht="12.75" x14ac:dyDescent="0.2">
      <c r="D3660" s="139"/>
    </row>
    <row r="3661" spans="4:4" ht="12.75" x14ac:dyDescent="0.2">
      <c r="D3661" s="139"/>
    </row>
    <row r="3662" spans="4:4" ht="12.75" x14ac:dyDescent="0.2">
      <c r="D3662" s="139"/>
    </row>
    <row r="3663" spans="4:4" ht="12.75" x14ac:dyDescent="0.2">
      <c r="D3663" s="139"/>
    </row>
    <row r="3664" spans="4:4" ht="12.75" x14ac:dyDescent="0.2">
      <c r="D3664" s="139"/>
    </row>
    <row r="3665" spans="4:4" ht="12.75" x14ac:dyDescent="0.2">
      <c r="D3665" s="139"/>
    </row>
    <row r="3666" spans="4:4" ht="12.75" x14ac:dyDescent="0.2">
      <c r="D3666" s="139"/>
    </row>
    <row r="3667" spans="4:4" ht="12.75" x14ac:dyDescent="0.2">
      <c r="D3667" s="139"/>
    </row>
    <row r="3668" spans="4:4" ht="12.75" x14ac:dyDescent="0.2">
      <c r="D3668" s="139"/>
    </row>
    <row r="3669" spans="4:4" ht="12.75" x14ac:dyDescent="0.2">
      <c r="D3669" s="139"/>
    </row>
    <row r="3670" spans="4:4" ht="12.75" x14ac:dyDescent="0.2">
      <c r="D3670" s="139"/>
    </row>
    <row r="3671" spans="4:4" ht="12.75" x14ac:dyDescent="0.2">
      <c r="D3671" s="139"/>
    </row>
    <row r="3672" spans="4:4" ht="12.75" x14ac:dyDescent="0.2">
      <c r="D3672" s="139"/>
    </row>
    <row r="3673" spans="4:4" ht="12.75" x14ac:dyDescent="0.2">
      <c r="D3673" s="139"/>
    </row>
    <row r="3674" spans="4:4" ht="12.75" x14ac:dyDescent="0.2">
      <c r="D3674" s="139"/>
    </row>
    <row r="3675" spans="4:4" ht="12.75" x14ac:dyDescent="0.2">
      <c r="D3675" s="139"/>
    </row>
    <row r="3676" spans="4:4" ht="12.75" x14ac:dyDescent="0.2">
      <c r="D3676" s="139"/>
    </row>
    <row r="3677" spans="4:4" ht="12.75" x14ac:dyDescent="0.2">
      <c r="D3677" s="139"/>
    </row>
    <row r="3678" spans="4:4" ht="12.75" x14ac:dyDescent="0.2">
      <c r="D3678" s="139"/>
    </row>
    <row r="3679" spans="4:4" ht="12.75" x14ac:dyDescent="0.2">
      <c r="D3679" s="139"/>
    </row>
    <row r="3680" spans="4:4" ht="12.75" x14ac:dyDescent="0.2">
      <c r="D3680" s="139"/>
    </row>
    <row r="3681" spans="4:4" ht="12.75" x14ac:dyDescent="0.2">
      <c r="D3681" s="139"/>
    </row>
    <row r="3682" spans="4:4" ht="12.75" x14ac:dyDescent="0.2">
      <c r="D3682" s="139"/>
    </row>
    <row r="3683" spans="4:4" ht="12.75" x14ac:dyDescent="0.2">
      <c r="D3683" s="139"/>
    </row>
    <row r="3684" spans="4:4" ht="12.75" x14ac:dyDescent="0.2">
      <c r="D3684" s="139"/>
    </row>
    <row r="3685" spans="4:4" ht="12.75" x14ac:dyDescent="0.2">
      <c r="D3685" s="139"/>
    </row>
    <row r="3686" spans="4:4" ht="12.75" x14ac:dyDescent="0.2">
      <c r="D3686" s="139"/>
    </row>
    <row r="3687" spans="4:4" ht="12.75" x14ac:dyDescent="0.2">
      <c r="D3687" s="139"/>
    </row>
    <row r="3688" spans="4:4" ht="12.75" x14ac:dyDescent="0.2">
      <c r="D3688" s="139"/>
    </row>
    <row r="3689" spans="4:4" ht="12.75" x14ac:dyDescent="0.2">
      <c r="D3689" s="139"/>
    </row>
    <row r="3690" spans="4:4" ht="12.75" x14ac:dyDescent="0.2">
      <c r="D3690" s="139"/>
    </row>
    <row r="3691" spans="4:4" ht="12.75" x14ac:dyDescent="0.2">
      <c r="D3691" s="139"/>
    </row>
    <row r="3692" spans="4:4" ht="12.75" x14ac:dyDescent="0.2">
      <c r="D3692" s="139"/>
    </row>
    <row r="3693" spans="4:4" ht="12.75" x14ac:dyDescent="0.2">
      <c r="D3693" s="139"/>
    </row>
    <row r="3694" spans="4:4" ht="12.75" x14ac:dyDescent="0.2">
      <c r="D3694" s="139"/>
    </row>
    <row r="3695" spans="4:4" ht="12.75" x14ac:dyDescent="0.2">
      <c r="D3695" s="139"/>
    </row>
    <row r="3696" spans="4:4" ht="12.75" x14ac:dyDescent="0.2">
      <c r="D3696" s="139"/>
    </row>
    <row r="3697" spans="4:4" ht="12.75" x14ac:dyDescent="0.2">
      <c r="D3697" s="139"/>
    </row>
    <row r="3698" spans="4:4" ht="12.75" x14ac:dyDescent="0.2">
      <c r="D3698" s="139"/>
    </row>
    <row r="3699" spans="4:4" ht="12.75" x14ac:dyDescent="0.2">
      <c r="D3699" s="139"/>
    </row>
    <row r="3700" spans="4:4" ht="12.75" x14ac:dyDescent="0.2">
      <c r="D3700" s="139"/>
    </row>
    <row r="3701" spans="4:4" ht="12.75" x14ac:dyDescent="0.2">
      <c r="D3701" s="139"/>
    </row>
    <row r="3702" spans="4:4" ht="12.75" x14ac:dyDescent="0.2">
      <c r="D3702" s="139"/>
    </row>
    <row r="3703" spans="4:4" ht="12.75" x14ac:dyDescent="0.2">
      <c r="D3703" s="139"/>
    </row>
    <row r="3704" spans="4:4" ht="12.75" x14ac:dyDescent="0.2">
      <c r="D3704" s="139"/>
    </row>
    <row r="3705" spans="4:4" ht="12.75" x14ac:dyDescent="0.2">
      <c r="D3705" s="139"/>
    </row>
    <row r="3706" spans="4:4" ht="12.75" x14ac:dyDescent="0.2">
      <c r="D3706" s="139"/>
    </row>
    <row r="3707" spans="4:4" ht="12.75" x14ac:dyDescent="0.2">
      <c r="D3707" s="139"/>
    </row>
    <row r="3708" spans="4:4" ht="12.75" x14ac:dyDescent="0.2">
      <c r="D3708" s="139"/>
    </row>
    <row r="3709" spans="4:4" ht="12.75" x14ac:dyDescent="0.2">
      <c r="D3709" s="139"/>
    </row>
    <row r="3710" spans="4:4" ht="12.75" x14ac:dyDescent="0.2">
      <c r="D3710" s="139"/>
    </row>
    <row r="3711" spans="4:4" ht="12.75" x14ac:dyDescent="0.2">
      <c r="D3711" s="139"/>
    </row>
    <row r="3712" spans="4:4" ht="12.75" x14ac:dyDescent="0.2">
      <c r="D3712" s="139"/>
    </row>
    <row r="3713" spans="4:4" ht="12.75" x14ac:dyDescent="0.2">
      <c r="D3713" s="139"/>
    </row>
    <row r="3714" spans="4:4" ht="12.75" x14ac:dyDescent="0.2">
      <c r="D3714" s="139"/>
    </row>
    <row r="3715" spans="4:4" ht="12.75" x14ac:dyDescent="0.2">
      <c r="D3715" s="139"/>
    </row>
    <row r="3716" spans="4:4" ht="12.75" x14ac:dyDescent="0.2">
      <c r="D3716" s="139"/>
    </row>
    <row r="3717" spans="4:4" ht="12.75" x14ac:dyDescent="0.2">
      <c r="D3717" s="139"/>
    </row>
    <row r="3718" spans="4:4" ht="12.75" x14ac:dyDescent="0.2">
      <c r="D3718" s="139"/>
    </row>
    <row r="3719" spans="4:4" ht="12.75" x14ac:dyDescent="0.2">
      <c r="D3719" s="139"/>
    </row>
    <row r="3720" spans="4:4" ht="12.75" x14ac:dyDescent="0.2">
      <c r="D3720" s="139"/>
    </row>
    <row r="3721" spans="4:4" ht="12.75" x14ac:dyDescent="0.2">
      <c r="D3721" s="139"/>
    </row>
    <row r="3722" spans="4:4" ht="12.75" x14ac:dyDescent="0.2">
      <c r="D3722" s="139"/>
    </row>
    <row r="3723" spans="4:4" ht="12.75" x14ac:dyDescent="0.2">
      <c r="D3723" s="139"/>
    </row>
    <row r="3724" spans="4:4" ht="12.75" x14ac:dyDescent="0.2">
      <c r="D3724" s="139"/>
    </row>
    <row r="3725" spans="4:4" ht="12.75" x14ac:dyDescent="0.2">
      <c r="D3725" s="139"/>
    </row>
    <row r="3726" spans="4:4" ht="12.75" x14ac:dyDescent="0.2">
      <c r="D3726" s="139"/>
    </row>
    <row r="3727" spans="4:4" ht="12.75" x14ac:dyDescent="0.2">
      <c r="D3727" s="139"/>
    </row>
    <row r="3728" spans="4:4" ht="12.75" x14ac:dyDescent="0.2">
      <c r="D3728" s="139"/>
    </row>
    <row r="3729" spans="4:4" ht="12.75" x14ac:dyDescent="0.2">
      <c r="D3729" s="139"/>
    </row>
    <row r="3730" spans="4:4" ht="12.75" x14ac:dyDescent="0.2">
      <c r="D3730" s="139"/>
    </row>
    <row r="3731" spans="4:4" ht="12.75" x14ac:dyDescent="0.2">
      <c r="D3731" s="139"/>
    </row>
    <row r="3732" spans="4:4" ht="12.75" x14ac:dyDescent="0.2">
      <c r="D3732" s="139"/>
    </row>
    <row r="3733" spans="4:4" ht="12.75" x14ac:dyDescent="0.2">
      <c r="D3733" s="139"/>
    </row>
    <row r="3734" spans="4:4" ht="12.75" x14ac:dyDescent="0.2">
      <c r="D3734" s="139"/>
    </row>
    <row r="3735" spans="4:4" ht="12.75" x14ac:dyDescent="0.2">
      <c r="D3735" s="139"/>
    </row>
    <row r="3736" spans="4:4" ht="12.75" x14ac:dyDescent="0.2">
      <c r="D3736" s="139"/>
    </row>
    <row r="3737" spans="4:4" ht="12.75" x14ac:dyDescent="0.2">
      <c r="D3737" s="139"/>
    </row>
    <row r="3738" spans="4:4" ht="12.75" x14ac:dyDescent="0.2">
      <c r="D3738" s="139"/>
    </row>
    <row r="3739" spans="4:4" ht="12.75" x14ac:dyDescent="0.2">
      <c r="D3739" s="139"/>
    </row>
    <row r="3740" spans="4:4" ht="12.75" x14ac:dyDescent="0.2">
      <c r="D3740" s="139"/>
    </row>
    <row r="3741" spans="4:4" ht="12.75" x14ac:dyDescent="0.2">
      <c r="D3741" s="139"/>
    </row>
    <row r="3742" spans="4:4" ht="12.75" x14ac:dyDescent="0.2">
      <c r="D3742" s="139"/>
    </row>
    <row r="3743" spans="4:4" ht="12.75" x14ac:dyDescent="0.2">
      <c r="D3743" s="139"/>
    </row>
    <row r="3744" spans="4:4" ht="12.75" x14ac:dyDescent="0.2">
      <c r="D3744" s="139"/>
    </row>
    <row r="3745" spans="4:4" ht="12.75" x14ac:dyDescent="0.2">
      <c r="D3745" s="139"/>
    </row>
    <row r="3746" spans="4:4" ht="12.75" x14ac:dyDescent="0.2">
      <c r="D3746" s="139"/>
    </row>
    <row r="3747" spans="4:4" ht="12.75" x14ac:dyDescent="0.2">
      <c r="D3747" s="139"/>
    </row>
    <row r="3748" spans="4:4" ht="12.75" x14ac:dyDescent="0.2">
      <c r="D3748" s="139"/>
    </row>
    <row r="3749" spans="4:4" ht="12.75" x14ac:dyDescent="0.2">
      <c r="D3749" s="139"/>
    </row>
    <row r="3750" spans="4:4" ht="12.75" x14ac:dyDescent="0.2">
      <c r="D3750" s="139"/>
    </row>
    <row r="3751" spans="4:4" ht="12.75" x14ac:dyDescent="0.2">
      <c r="D3751" s="139"/>
    </row>
    <row r="3752" spans="4:4" ht="12.75" x14ac:dyDescent="0.2">
      <c r="D3752" s="139"/>
    </row>
    <row r="3753" spans="4:4" ht="12.75" x14ac:dyDescent="0.2">
      <c r="D3753" s="139"/>
    </row>
    <row r="3754" spans="4:4" ht="12.75" x14ac:dyDescent="0.2">
      <c r="D3754" s="139"/>
    </row>
    <row r="3755" spans="4:4" ht="12.75" x14ac:dyDescent="0.2">
      <c r="D3755" s="139"/>
    </row>
    <row r="3756" spans="4:4" ht="12.75" x14ac:dyDescent="0.2">
      <c r="D3756" s="139"/>
    </row>
    <row r="3757" spans="4:4" ht="12.75" x14ac:dyDescent="0.2">
      <c r="D3757" s="139"/>
    </row>
    <row r="3758" spans="4:4" ht="12.75" x14ac:dyDescent="0.2">
      <c r="D3758" s="139"/>
    </row>
    <row r="3759" spans="4:4" ht="12.75" x14ac:dyDescent="0.2">
      <c r="D3759" s="139"/>
    </row>
    <row r="3760" spans="4:4" ht="12.75" x14ac:dyDescent="0.2">
      <c r="D3760" s="139"/>
    </row>
    <row r="3761" spans="4:4" ht="12.75" x14ac:dyDescent="0.2">
      <c r="D3761" s="139"/>
    </row>
    <row r="3762" spans="4:4" ht="12.75" x14ac:dyDescent="0.2">
      <c r="D3762" s="139"/>
    </row>
    <row r="3763" spans="4:4" ht="12.75" x14ac:dyDescent="0.2">
      <c r="D3763" s="139"/>
    </row>
    <row r="3764" spans="4:4" ht="12.75" x14ac:dyDescent="0.2">
      <c r="D3764" s="139"/>
    </row>
    <row r="3765" spans="4:4" ht="12.75" x14ac:dyDescent="0.2">
      <c r="D3765" s="139"/>
    </row>
    <row r="3766" spans="4:4" ht="12.75" x14ac:dyDescent="0.2">
      <c r="D3766" s="139"/>
    </row>
    <row r="3767" spans="4:4" ht="12.75" x14ac:dyDescent="0.2">
      <c r="D3767" s="139"/>
    </row>
    <row r="3768" spans="4:4" ht="12.75" x14ac:dyDescent="0.2">
      <c r="D3768" s="139"/>
    </row>
    <row r="3769" spans="4:4" ht="12.75" x14ac:dyDescent="0.2">
      <c r="D3769" s="139"/>
    </row>
    <row r="3770" spans="4:4" ht="12.75" x14ac:dyDescent="0.2">
      <c r="D3770" s="139"/>
    </row>
    <row r="3771" spans="4:4" ht="12.75" x14ac:dyDescent="0.2">
      <c r="D3771" s="139"/>
    </row>
    <row r="3772" spans="4:4" ht="12.75" x14ac:dyDescent="0.2">
      <c r="D3772" s="139"/>
    </row>
    <row r="3773" spans="4:4" ht="12.75" x14ac:dyDescent="0.2">
      <c r="D3773" s="139"/>
    </row>
    <row r="3774" spans="4:4" ht="12.75" x14ac:dyDescent="0.2">
      <c r="D3774" s="139"/>
    </row>
    <row r="3775" spans="4:4" ht="12.75" x14ac:dyDescent="0.2">
      <c r="D3775" s="139"/>
    </row>
    <row r="3776" spans="4:4" ht="12.75" x14ac:dyDescent="0.2">
      <c r="D3776" s="139"/>
    </row>
    <row r="3777" spans="4:4" ht="12.75" x14ac:dyDescent="0.2">
      <c r="D3777" s="139"/>
    </row>
    <row r="3778" spans="4:4" ht="12.75" x14ac:dyDescent="0.2">
      <c r="D3778" s="139"/>
    </row>
    <row r="3779" spans="4:4" ht="12.75" x14ac:dyDescent="0.2">
      <c r="D3779" s="139"/>
    </row>
    <row r="3780" spans="4:4" ht="12.75" x14ac:dyDescent="0.2">
      <c r="D3780" s="139"/>
    </row>
    <row r="3781" spans="4:4" ht="12.75" x14ac:dyDescent="0.2">
      <c r="D3781" s="139"/>
    </row>
    <row r="3782" spans="4:4" ht="12.75" x14ac:dyDescent="0.2">
      <c r="D3782" s="139"/>
    </row>
    <row r="3783" spans="4:4" ht="12.75" x14ac:dyDescent="0.2">
      <c r="D3783" s="139"/>
    </row>
    <row r="3784" spans="4:4" ht="12.75" x14ac:dyDescent="0.2">
      <c r="D3784" s="139"/>
    </row>
    <row r="3785" spans="4:4" ht="12.75" x14ac:dyDescent="0.2">
      <c r="D3785" s="139"/>
    </row>
    <row r="3786" spans="4:4" ht="12.75" x14ac:dyDescent="0.2">
      <c r="D3786" s="139"/>
    </row>
    <row r="3787" spans="4:4" ht="12.75" x14ac:dyDescent="0.2">
      <c r="D3787" s="139"/>
    </row>
    <row r="3788" spans="4:4" ht="12.75" x14ac:dyDescent="0.2">
      <c r="D3788" s="139"/>
    </row>
    <row r="3789" spans="4:4" ht="12.75" x14ac:dyDescent="0.2">
      <c r="D3789" s="139"/>
    </row>
    <row r="3790" spans="4:4" ht="12.75" x14ac:dyDescent="0.2">
      <c r="D3790" s="139"/>
    </row>
    <row r="3791" spans="4:4" ht="12.75" x14ac:dyDescent="0.2">
      <c r="D3791" s="139"/>
    </row>
    <row r="3792" spans="4:4" ht="12.75" x14ac:dyDescent="0.2">
      <c r="D3792" s="139"/>
    </row>
    <row r="3793" spans="4:4" ht="12.75" x14ac:dyDescent="0.2">
      <c r="D3793" s="139"/>
    </row>
    <row r="3794" spans="4:4" ht="12.75" x14ac:dyDescent="0.2">
      <c r="D3794" s="139"/>
    </row>
    <row r="3795" spans="4:4" ht="12.75" x14ac:dyDescent="0.2">
      <c r="D3795" s="139"/>
    </row>
    <row r="3796" spans="4:4" ht="12.75" x14ac:dyDescent="0.2">
      <c r="D3796" s="139"/>
    </row>
    <row r="3797" spans="4:4" ht="12.75" x14ac:dyDescent="0.2">
      <c r="D3797" s="139"/>
    </row>
    <row r="3798" spans="4:4" ht="12.75" x14ac:dyDescent="0.2">
      <c r="D3798" s="139"/>
    </row>
    <row r="3799" spans="4:4" ht="12.75" x14ac:dyDescent="0.2">
      <c r="D3799" s="139"/>
    </row>
    <row r="3800" spans="4:4" ht="12.75" x14ac:dyDescent="0.2">
      <c r="D3800" s="139"/>
    </row>
    <row r="3801" spans="4:4" ht="12.75" x14ac:dyDescent="0.2">
      <c r="D3801" s="139"/>
    </row>
    <row r="3802" spans="4:4" ht="12.75" x14ac:dyDescent="0.2">
      <c r="D3802" s="139"/>
    </row>
    <row r="3803" spans="4:4" ht="12.75" x14ac:dyDescent="0.2">
      <c r="D3803" s="139"/>
    </row>
    <row r="3804" spans="4:4" ht="12.75" x14ac:dyDescent="0.2">
      <c r="D3804" s="139"/>
    </row>
    <row r="3805" spans="4:4" ht="12.75" x14ac:dyDescent="0.2">
      <c r="D3805" s="139"/>
    </row>
    <row r="3806" spans="4:4" ht="12.75" x14ac:dyDescent="0.2">
      <c r="D3806" s="139"/>
    </row>
    <row r="3807" spans="4:4" ht="12.75" x14ac:dyDescent="0.2">
      <c r="D3807" s="139"/>
    </row>
    <row r="3808" spans="4:4" ht="12.75" x14ac:dyDescent="0.2">
      <c r="D3808" s="139"/>
    </row>
    <row r="3809" spans="4:4" ht="12.75" x14ac:dyDescent="0.2">
      <c r="D3809" s="139"/>
    </row>
    <row r="3810" spans="4:4" ht="12.75" x14ac:dyDescent="0.2">
      <c r="D3810" s="139"/>
    </row>
    <row r="3811" spans="4:4" ht="12.75" x14ac:dyDescent="0.2">
      <c r="D3811" s="139"/>
    </row>
    <row r="3812" spans="4:4" ht="12.75" x14ac:dyDescent="0.2">
      <c r="D3812" s="139"/>
    </row>
    <row r="3813" spans="4:4" ht="12.75" x14ac:dyDescent="0.2">
      <c r="D3813" s="139"/>
    </row>
    <row r="3814" spans="4:4" ht="12.75" x14ac:dyDescent="0.2">
      <c r="D3814" s="139"/>
    </row>
    <row r="3815" spans="4:4" ht="12.75" x14ac:dyDescent="0.2">
      <c r="D3815" s="139"/>
    </row>
    <row r="3816" spans="4:4" ht="12.75" x14ac:dyDescent="0.2">
      <c r="D3816" s="139"/>
    </row>
    <row r="3817" spans="4:4" ht="12.75" x14ac:dyDescent="0.2">
      <c r="D3817" s="139"/>
    </row>
    <row r="3818" spans="4:4" ht="12.75" x14ac:dyDescent="0.2">
      <c r="D3818" s="139"/>
    </row>
    <row r="3819" spans="4:4" ht="12.75" x14ac:dyDescent="0.2">
      <c r="D3819" s="139"/>
    </row>
    <row r="3820" spans="4:4" ht="12.75" x14ac:dyDescent="0.2">
      <c r="D3820" s="139"/>
    </row>
    <row r="3821" spans="4:4" ht="12.75" x14ac:dyDescent="0.2">
      <c r="D3821" s="139"/>
    </row>
    <row r="3822" spans="4:4" ht="12.75" x14ac:dyDescent="0.2">
      <c r="D3822" s="139"/>
    </row>
    <row r="3823" spans="4:4" ht="12.75" x14ac:dyDescent="0.2">
      <c r="D3823" s="139"/>
    </row>
    <row r="3824" spans="4:4" ht="12.75" x14ac:dyDescent="0.2">
      <c r="D3824" s="139"/>
    </row>
    <row r="3825" spans="4:4" ht="12.75" x14ac:dyDescent="0.2">
      <c r="D3825" s="139"/>
    </row>
    <row r="3826" spans="4:4" ht="12.75" x14ac:dyDescent="0.2">
      <c r="D3826" s="139"/>
    </row>
    <row r="3827" spans="4:4" ht="12.75" x14ac:dyDescent="0.2">
      <c r="D3827" s="139"/>
    </row>
    <row r="3828" spans="4:4" ht="12.75" x14ac:dyDescent="0.2">
      <c r="D3828" s="139"/>
    </row>
    <row r="3829" spans="4:4" ht="12.75" x14ac:dyDescent="0.2">
      <c r="D3829" s="139"/>
    </row>
    <row r="3830" spans="4:4" ht="12.75" x14ac:dyDescent="0.2">
      <c r="D3830" s="139"/>
    </row>
    <row r="3831" spans="4:4" ht="12.75" x14ac:dyDescent="0.2">
      <c r="D3831" s="139"/>
    </row>
    <row r="3832" spans="4:4" ht="12.75" x14ac:dyDescent="0.2">
      <c r="D3832" s="139"/>
    </row>
    <row r="3833" spans="4:4" ht="12.75" x14ac:dyDescent="0.2">
      <c r="D3833" s="139"/>
    </row>
    <row r="3834" spans="4:4" ht="12.75" x14ac:dyDescent="0.2">
      <c r="D3834" s="139"/>
    </row>
    <row r="3835" spans="4:4" ht="12.75" x14ac:dyDescent="0.2">
      <c r="D3835" s="139"/>
    </row>
    <row r="3836" spans="4:4" ht="12.75" x14ac:dyDescent="0.2">
      <c r="D3836" s="139"/>
    </row>
    <row r="3837" spans="4:4" ht="12.75" x14ac:dyDescent="0.2">
      <c r="D3837" s="139"/>
    </row>
    <row r="3838" spans="4:4" ht="12.75" x14ac:dyDescent="0.2">
      <c r="D3838" s="139"/>
    </row>
    <row r="3839" spans="4:4" ht="12.75" x14ac:dyDescent="0.2">
      <c r="D3839" s="139"/>
    </row>
    <row r="3840" spans="4:4" ht="12.75" x14ac:dyDescent="0.2">
      <c r="D3840" s="139"/>
    </row>
    <row r="3841" spans="4:4" ht="12.75" x14ac:dyDescent="0.2">
      <c r="D3841" s="139"/>
    </row>
    <row r="3842" spans="4:4" ht="12.75" x14ac:dyDescent="0.2">
      <c r="D3842" s="139"/>
    </row>
    <row r="3843" spans="4:4" ht="12.75" x14ac:dyDescent="0.2">
      <c r="D3843" s="139"/>
    </row>
    <row r="3844" spans="4:4" ht="12.75" x14ac:dyDescent="0.2">
      <c r="D3844" s="139"/>
    </row>
    <row r="3845" spans="4:4" ht="12.75" x14ac:dyDescent="0.2">
      <c r="D3845" s="139"/>
    </row>
    <row r="3846" spans="4:4" ht="12.75" x14ac:dyDescent="0.2">
      <c r="D3846" s="139"/>
    </row>
    <row r="3847" spans="4:4" ht="12.75" x14ac:dyDescent="0.2">
      <c r="D3847" s="139"/>
    </row>
    <row r="3848" spans="4:4" ht="12.75" x14ac:dyDescent="0.2">
      <c r="D3848" s="139"/>
    </row>
    <row r="3849" spans="4:4" ht="12.75" x14ac:dyDescent="0.2">
      <c r="D3849" s="139"/>
    </row>
    <row r="3850" spans="4:4" ht="12.75" x14ac:dyDescent="0.2">
      <c r="D3850" s="139"/>
    </row>
    <row r="3851" spans="4:4" ht="12.75" x14ac:dyDescent="0.2">
      <c r="D3851" s="139"/>
    </row>
    <row r="3852" spans="4:4" ht="12.75" x14ac:dyDescent="0.2">
      <c r="D3852" s="139"/>
    </row>
    <row r="3853" spans="4:4" ht="12.75" x14ac:dyDescent="0.2">
      <c r="D3853" s="139"/>
    </row>
    <row r="3854" spans="4:4" ht="12.75" x14ac:dyDescent="0.2">
      <c r="D3854" s="139"/>
    </row>
    <row r="3855" spans="4:4" ht="12.75" x14ac:dyDescent="0.2">
      <c r="D3855" s="139"/>
    </row>
    <row r="3856" spans="4:4" ht="12.75" x14ac:dyDescent="0.2">
      <c r="D3856" s="139"/>
    </row>
    <row r="3857" spans="4:4" ht="12.75" x14ac:dyDescent="0.2">
      <c r="D3857" s="139"/>
    </row>
    <row r="3858" spans="4:4" ht="12.75" x14ac:dyDescent="0.2">
      <c r="D3858" s="139"/>
    </row>
    <row r="3859" spans="4:4" ht="12.75" x14ac:dyDescent="0.2">
      <c r="D3859" s="139"/>
    </row>
    <row r="3860" spans="4:4" ht="12.75" x14ac:dyDescent="0.2">
      <c r="D3860" s="139"/>
    </row>
    <row r="3861" spans="4:4" ht="12.75" x14ac:dyDescent="0.2">
      <c r="D3861" s="139"/>
    </row>
    <row r="3862" spans="4:4" ht="12.75" x14ac:dyDescent="0.2">
      <c r="D3862" s="139"/>
    </row>
    <row r="3863" spans="4:4" ht="12.75" x14ac:dyDescent="0.2">
      <c r="D3863" s="139"/>
    </row>
    <row r="3864" spans="4:4" ht="12.75" x14ac:dyDescent="0.2">
      <c r="D3864" s="139"/>
    </row>
    <row r="3865" spans="4:4" ht="12.75" x14ac:dyDescent="0.2">
      <c r="D3865" s="139"/>
    </row>
    <row r="3866" spans="4:4" ht="12.75" x14ac:dyDescent="0.2">
      <c r="D3866" s="139"/>
    </row>
    <row r="3867" spans="4:4" ht="12.75" x14ac:dyDescent="0.2">
      <c r="D3867" s="139"/>
    </row>
    <row r="3868" spans="4:4" ht="12.75" x14ac:dyDescent="0.2">
      <c r="D3868" s="139"/>
    </row>
    <row r="3869" spans="4:4" ht="12.75" x14ac:dyDescent="0.2">
      <c r="D3869" s="139"/>
    </row>
    <row r="3870" spans="4:4" ht="12.75" x14ac:dyDescent="0.2">
      <c r="D3870" s="139"/>
    </row>
    <row r="3871" spans="4:4" ht="12.75" x14ac:dyDescent="0.2">
      <c r="D3871" s="139"/>
    </row>
    <row r="3872" spans="4:4" ht="12.75" x14ac:dyDescent="0.2">
      <c r="D3872" s="139"/>
    </row>
    <row r="3873" spans="4:4" ht="12.75" x14ac:dyDescent="0.2">
      <c r="D3873" s="139"/>
    </row>
    <row r="3874" spans="4:4" ht="12.75" x14ac:dyDescent="0.2">
      <c r="D3874" s="139"/>
    </row>
    <row r="3875" spans="4:4" ht="12.75" x14ac:dyDescent="0.2">
      <c r="D3875" s="139"/>
    </row>
    <row r="3876" spans="4:4" ht="12.75" x14ac:dyDescent="0.2">
      <c r="D3876" s="139"/>
    </row>
    <row r="3877" spans="4:4" ht="12.75" x14ac:dyDescent="0.2">
      <c r="D3877" s="139"/>
    </row>
    <row r="3878" spans="4:4" ht="12.75" x14ac:dyDescent="0.2">
      <c r="D3878" s="139"/>
    </row>
    <row r="3879" spans="4:4" ht="12.75" x14ac:dyDescent="0.2">
      <c r="D3879" s="139"/>
    </row>
    <row r="3880" spans="4:4" ht="12.75" x14ac:dyDescent="0.2">
      <c r="D3880" s="139"/>
    </row>
    <row r="3881" spans="4:4" ht="12.75" x14ac:dyDescent="0.2">
      <c r="D3881" s="139"/>
    </row>
    <row r="3882" spans="4:4" ht="12.75" x14ac:dyDescent="0.2">
      <c r="D3882" s="139"/>
    </row>
    <row r="3883" spans="4:4" ht="12.75" x14ac:dyDescent="0.2">
      <c r="D3883" s="139"/>
    </row>
    <row r="3884" spans="4:4" ht="12.75" x14ac:dyDescent="0.2">
      <c r="D3884" s="139"/>
    </row>
    <row r="3885" spans="4:4" ht="12.75" x14ac:dyDescent="0.2">
      <c r="D3885" s="139"/>
    </row>
    <row r="3886" spans="4:4" ht="12.75" x14ac:dyDescent="0.2">
      <c r="D3886" s="139"/>
    </row>
    <row r="3887" spans="4:4" ht="12.75" x14ac:dyDescent="0.2">
      <c r="D3887" s="139"/>
    </row>
    <row r="3888" spans="4:4" ht="12.75" x14ac:dyDescent="0.2">
      <c r="D3888" s="139"/>
    </row>
    <row r="3889" spans="4:4" ht="12.75" x14ac:dyDescent="0.2">
      <c r="D3889" s="139"/>
    </row>
    <row r="3890" spans="4:4" ht="12.75" x14ac:dyDescent="0.2">
      <c r="D3890" s="139"/>
    </row>
    <row r="3891" spans="4:4" ht="12.75" x14ac:dyDescent="0.2">
      <c r="D3891" s="139"/>
    </row>
    <row r="3892" spans="4:4" ht="12.75" x14ac:dyDescent="0.2">
      <c r="D3892" s="139"/>
    </row>
    <row r="3893" spans="4:4" ht="12.75" x14ac:dyDescent="0.2">
      <c r="D3893" s="139"/>
    </row>
    <row r="3894" spans="4:4" ht="12.75" x14ac:dyDescent="0.2">
      <c r="D3894" s="139"/>
    </row>
    <row r="3895" spans="4:4" ht="12.75" x14ac:dyDescent="0.2">
      <c r="D3895" s="139"/>
    </row>
    <row r="3896" spans="4:4" ht="12.75" x14ac:dyDescent="0.2">
      <c r="D3896" s="139"/>
    </row>
    <row r="3897" spans="4:4" ht="12.75" x14ac:dyDescent="0.2">
      <c r="D3897" s="139"/>
    </row>
    <row r="3898" spans="4:4" ht="12.75" x14ac:dyDescent="0.2">
      <c r="D3898" s="139"/>
    </row>
    <row r="3899" spans="4:4" ht="12.75" x14ac:dyDescent="0.2">
      <c r="D3899" s="139"/>
    </row>
    <row r="3900" spans="4:4" ht="12.75" x14ac:dyDescent="0.2">
      <c r="D3900" s="139"/>
    </row>
    <row r="3901" spans="4:4" ht="12.75" x14ac:dyDescent="0.2">
      <c r="D3901" s="139"/>
    </row>
    <row r="3902" spans="4:4" ht="12.75" x14ac:dyDescent="0.2">
      <c r="D3902" s="139"/>
    </row>
    <row r="3903" spans="4:4" ht="12.75" x14ac:dyDescent="0.2">
      <c r="D3903" s="139"/>
    </row>
    <row r="3904" spans="4:4" ht="12.75" x14ac:dyDescent="0.2">
      <c r="D3904" s="139"/>
    </row>
    <row r="3905" spans="4:4" ht="12.75" x14ac:dyDescent="0.2">
      <c r="D3905" s="139"/>
    </row>
    <row r="3906" spans="4:4" ht="12.75" x14ac:dyDescent="0.2">
      <c r="D3906" s="139"/>
    </row>
    <row r="3907" spans="4:4" ht="12.75" x14ac:dyDescent="0.2">
      <c r="D3907" s="139"/>
    </row>
    <row r="3908" spans="4:4" ht="12.75" x14ac:dyDescent="0.2">
      <c r="D3908" s="139"/>
    </row>
    <row r="3909" spans="4:4" ht="12.75" x14ac:dyDescent="0.2">
      <c r="D3909" s="139"/>
    </row>
    <row r="3910" spans="4:4" ht="12.75" x14ac:dyDescent="0.2">
      <c r="D3910" s="139"/>
    </row>
    <row r="3911" spans="4:4" ht="12.75" x14ac:dyDescent="0.2">
      <c r="D3911" s="139"/>
    </row>
    <row r="3912" spans="4:4" ht="12.75" x14ac:dyDescent="0.2">
      <c r="D3912" s="139"/>
    </row>
    <row r="3913" spans="4:4" ht="12.75" x14ac:dyDescent="0.2">
      <c r="D3913" s="139"/>
    </row>
    <row r="3914" spans="4:4" ht="12.75" x14ac:dyDescent="0.2">
      <c r="D3914" s="139"/>
    </row>
    <row r="3915" spans="4:4" ht="12.75" x14ac:dyDescent="0.2">
      <c r="D3915" s="139"/>
    </row>
    <row r="3916" spans="4:4" ht="12.75" x14ac:dyDescent="0.2">
      <c r="D3916" s="139"/>
    </row>
    <row r="3917" spans="4:4" ht="12.75" x14ac:dyDescent="0.2">
      <c r="D3917" s="139"/>
    </row>
    <row r="3918" spans="4:4" ht="12.75" x14ac:dyDescent="0.2">
      <c r="D3918" s="139"/>
    </row>
    <row r="3919" spans="4:4" ht="12.75" x14ac:dyDescent="0.2">
      <c r="D3919" s="139"/>
    </row>
    <row r="3920" spans="4:4" ht="12.75" x14ac:dyDescent="0.2">
      <c r="D3920" s="139"/>
    </row>
    <row r="3921" spans="4:4" ht="12.75" x14ac:dyDescent="0.2">
      <c r="D3921" s="139"/>
    </row>
    <row r="3922" spans="4:4" ht="12.75" x14ac:dyDescent="0.2">
      <c r="D3922" s="139"/>
    </row>
    <row r="3923" spans="4:4" ht="12.75" x14ac:dyDescent="0.2">
      <c r="D3923" s="139"/>
    </row>
    <row r="3924" spans="4:4" ht="12.75" x14ac:dyDescent="0.2">
      <c r="D3924" s="139"/>
    </row>
    <row r="3925" spans="4:4" ht="12.75" x14ac:dyDescent="0.2">
      <c r="D3925" s="139"/>
    </row>
    <row r="3926" spans="4:4" ht="12.75" x14ac:dyDescent="0.2">
      <c r="D3926" s="139"/>
    </row>
    <row r="3927" spans="4:4" ht="12.75" x14ac:dyDescent="0.2">
      <c r="D3927" s="139"/>
    </row>
    <row r="3928" spans="4:4" ht="12.75" x14ac:dyDescent="0.2">
      <c r="D3928" s="139"/>
    </row>
    <row r="3929" spans="4:4" ht="12.75" x14ac:dyDescent="0.2">
      <c r="D3929" s="139"/>
    </row>
    <row r="3930" spans="4:4" ht="12.75" x14ac:dyDescent="0.2">
      <c r="D3930" s="139"/>
    </row>
    <row r="3931" spans="4:4" ht="12.75" x14ac:dyDescent="0.2">
      <c r="D3931" s="139"/>
    </row>
    <row r="3932" spans="4:4" ht="12.75" x14ac:dyDescent="0.2">
      <c r="D3932" s="139"/>
    </row>
    <row r="3933" spans="4:4" ht="12.75" x14ac:dyDescent="0.2">
      <c r="D3933" s="139"/>
    </row>
    <row r="3934" spans="4:4" ht="12.75" x14ac:dyDescent="0.2">
      <c r="D3934" s="139"/>
    </row>
    <row r="3935" spans="4:4" ht="12.75" x14ac:dyDescent="0.2">
      <c r="D3935" s="139"/>
    </row>
    <row r="3936" spans="4:4" ht="12.75" x14ac:dyDescent="0.2">
      <c r="D3936" s="139"/>
    </row>
    <row r="3937" spans="4:4" ht="12.75" x14ac:dyDescent="0.2">
      <c r="D3937" s="139"/>
    </row>
    <row r="3938" spans="4:4" ht="12.75" x14ac:dyDescent="0.2">
      <c r="D3938" s="139"/>
    </row>
    <row r="3939" spans="4:4" ht="12.75" x14ac:dyDescent="0.2">
      <c r="D3939" s="139"/>
    </row>
    <row r="3940" spans="4:4" ht="12.75" x14ac:dyDescent="0.2">
      <c r="D3940" s="139"/>
    </row>
    <row r="3941" spans="4:4" ht="12.75" x14ac:dyDescent="0.2">
      <c r="D3941" s="139"/>
    </row>
    <row r="3942" spans="4:4" ht="12.75" x14ac:dyDescent="0.2">
      <c r="D3942" s="139"/>
    </row>
    <row r="3943" spans="4:4" ht="12.75" x14ac:dyDescent="0.2">
      <c r="D3943" s="139"/>
    </row>
    <row r="3944" spans="4:4" ht="12.75" x14ac:dyDescent="0.2">
      <c r="D3944" s="139"/>
    </row>
    <row r="3945" spans="4:4" ht="12.75" x14ac:dyDescent="0.2">
      <c r="D3945" s="139"/>
    </row>
    <row r="3946" spans="4:4" ht="12.75" x14ac:dyDescent="0.2">
      <c r="D3946" s="139"/>
    </row>
    <row r="3947" spans="4:4" ht="12.75" x14ac:dyDescent="0.2">
      <c r="D3947" s="139"/>
    </row>
    <row r="3948" spans="4:4" ht="12.75" x14ac:dyDescent="0.2">
      <c r="D3948" s="139"/>
    </row>
    <row r="3949" spans="4:4" ht="12.75" x14ac:dyDescent="0.2">
      <c r="D3949" s="139"/>
    </row>
    <row r="3950" spans="4:4" ht="12.75" x14ac:dyDescent="0.2">
      <c r="D3950" s="139"/>
    </row>
    <row r="3951" spans="4:4" ht="12.75" x14ac:dyDescent="0.2">
      <c r="D3951" s="139"/>
    </row>
    <row r="3952" spans="4:4" ht="12.75" x14ac:dyDescent="0.2">
      <c r="D3952" s="139"/>
    </row>
    <row r="3953" spans="4:4" ht="12.75" x14ac:dyDescent="0.2">
      <c r="D3953" s="139"/>
    </row>
    <row r="3954" spans="4:4" ht="12.75" x14ac:dyDescent="0.2">
      <c r="D3954" s="139"/>
    </row>
    <row r="3955" spans="4:4" ht="12.75" x14ac:dyDescent="0.2">
      <c r="D3955" s="139"/>
    </row>
    <row r="3956" spans="4:4" ht="12.75" x14ac:dyDescent="0.2">
      <c r="D3956" s="139"/>
    </row>
    <row r="3957" spans="4:4" ht="12.75" x14ac:dyDescent="0.2">
      <c r="D3957" s="139"/>
    </row>
    <row r="3958" spans="4:4" ht="12.75" x14ac:dyDescent="0.2">
      <c r="D3958" s="139"/>
    </row>
    <row r="3959" spans="4:4" ht="12.75" x14ac:dyDescent="0.2">
      <c r="D3959" s="139"/>
    </row>
    <row r="3960" spans="4:4" ht="12.75" x14ac:dyDescent="0.2">
      <c r="D3960" s="139"/>
    </row>
    <row r="3961" spans="4:4" ht="12.75" x14ac:dyDescent="0.2">
      <c r="D3961" s="139"/>
    </row>
    <row r="3962" spans="4:4" ht="12.75" x14ac:dyDescent="0.2">
      <c r="D3962" s="139"/>
    </row>
    <row r="3963" spans="4:4" ht="12.75" x14ac:dyDescent="0.2">
      <c r="D3963" s="139"/>
    </row>
    <row r="3964" spans="4:4" ht="12.75" x14ac:dyDescent="0.2">
      <c r="D3964" s="139"/>
    </row>
    <row r="3965" spans="4:4" ht="12.75" x14ac:dyDescent="0.2">
      <c r="D3965" s="139"/>
    </row>
    <row r="3966" spans="4:4" ht="12.75" x14ac:dyDescent="0.2">
      <c r="D3966" s="139"/>
    </row>
    <row r="3967" spans="4:4" ht="12.75" x14ac:dyDescent="0.2">
      <c r="D3967" s="139"/>
    </row>
    <row r="3968" spans="4:4" ht="12.75" x14ac:dyDescent="0.2">
      <c r="D3968" s="139"/>
    </row>
    <row r="3969" spans="4:4" ht="12.75" x14ac:dyDescent="0.2">
      <c r="D3969" s="139"/>
    </row>
    <row r="3970" spans="4:4" ht="12.75" x14ac:dyDescent="0.2">
      <c r="D3970" s="139"/>
    </row>
    <row r="3971" spans="4:4" ht="12.75" x14ac:dyDescent="0.2">
      <c r="D3971" s="139"/>
    </row>
    <row r="3972" spans="4:4" ht="12.75" x14ac:dyDescent="0.2">
      <c r="D3972" s="139"/>
    </row>
    <row r="3973" spans="4:4" ht="12.75" x14ac:dyDescent="0.2">
      <c r="D3973" s="139"/>
    </row>
    <row r="3974" spans="4:4" ht="12.75" x14ac:dyDescent="0.2">
      <c r="D3974" s="139"/>
    </row>
    <row r="3975" spans="4:4" ht="12.75" x14ac:dyDescent="0.2">
      <c r="D3975" s="139"/>
    </row>
    <row r="3976" spans="4:4" ht="12.75" x14ac:dyDescent="0.2">
      <c r="D3976" s="139"/>
    </row>
    <row r="3977" spans="4:4" ht="12.75" x14ac:dyDescent="0.2">
      <c r="D3977" s="139"/>
    </row>
    <row r="3978" spans="4:4" ht="12.75" x14ac:dyDescent="0.2">
      <c r="D3978" s="139"/>
    </row>
    <row r="3979" spans="4:4" ht="12.75" x14ac:dyDescent="0.2">
      <c r="D3979" s="139"/>
    </row>
    <row r="3980" spans="4:4" ht="12.75" x14ac:dyDescent="0.2">
      <c r="D3980" s="139"/>
    </row>
    <row r="3981" spans="4:4" ht="12.75" x14ac:dyDescent="0.2">
      <c r="D3981" s="139"/>
    </row>
    <row r="3982" spans="4:4" ht="12.75" x14ac:dyDescent="0.2">
      <c r="D3982" s="139"/>
    </row>
    <row r="3983" spans="4:4" ht="12.75" x14ac:dyDescent="0.2">
      <c r="D3983" s="139"/>
    </row>
    <row r="3984" spans="4:4" ht="12.75" x14ac:dyDescent="0.2">
      <c r="D3984" s="139"/>
    </row>
    <row r="3985" spans="4:4" ht="12.75" x14ac:dyDescent="0.2">
      <c r="D3985" s="139"/>
    </row>
    <row r="3986" spans="4:4" ht="12.75" x14ac:dyDescent="0.2">
      <c r="D3986" s="139"/>
    </row>
    <row r="3987" spans="4:4" ht="12.75" x14ac:dyDescent="0.2">
      <c r="D3987" s="139"/>
    </row>
    <row r="3988" spans="4:4" ht="12.75" x14ac:dyDescent="0.2">
      <c r="D3988" s="139"/>
    </row>
    <row r="3989" spans="4:4" ht="12.75" x14ac:dyDescent="0.2">
      <c r="D3989" s="139"/>
    </row>
    <row r="3990" spans="4:4" ht="12.75" x14ac:dyDescent="0.2">
      <c r="D3990" s="139"/>
    </row>
    <row r="3991" spans="4:4" ht="12.75" x14ac:dyDescent="0.2">
      <c r="D3991" s="139"/>
    </row>
    <row r="3992" spans="4:4" ht="12.75" x14ac:dyDescent="0.2">
      <c r="D3992" s="139"/>
    </row>
    <row r="3993" spans="4:4" ht="12.75" x14ac:dyDescent="0.2">
      <c r="D3993" s="139"/>
    </row>
    <row r="3994" spans="4:4" ht="12.75" x14ac:dyDescent="0.2">
      <c r="D3994" s="139"/>
    </row>
    <row r="3995" spans="4:4" ht="12.75" x14ac:dyDescent="0.2">
      <c r="D3995" s="139"/>
    </row>
    <row r="3996" spans="4:4" ht="12.75" x14ac:dyDescent="0.2">
      <c r="D3996" s="139"/>
    </row>
    <row r="3997" spans="4:4" ht="12.75" x14ac:dyDescent="0.2">
      <c r="D3997" s="139"/>
    </row>
    <row r="3998" spans="4:4" ht="12.75" x14ac:dyDescent="0.2">
      <c r="D3998" s="139"/>
    </row>
    <row r="3999" spans="4:4" ht="12.75" x14ac:dyDescent="0.2">
      <c r="D3999" s="139"/>
    </row>
    <row r="4000" spans="4:4" ht="12.75" x14ac:dyDescent="0.2">
      <c r="D4000" s="139"/>
    </row>
    <row r="4001" spans="4:4" ht="12.75" x14ac:dyDescent="0.2">
      <c r="D4001" s="139"/>
    </row>
    <row r="4002" spans="4:4" ht="12.75" x14ac:dyDescent="0.2">
      <c r="D4002" s="139"/>
    </row>
    <row r="4003" spans="4:4" ht="12.75" x14ac:dyDescent="0.2">
      <c r="D4003" s="139"/>
    </row>
    <row r="4004" spans="4:4" ht="12.75" x14ac:dyDescent="0.2">
      <c r="D4004" s="139"/>
    </row>
    <row r="4005" spans="4:4" ht="12.75" x14ac:dyDescent="0.2">
      <c r="D4005" s="139"/>
    </row>
    <row r="4006" spans="4:4" ht="12.75" x14ac:dyDescent="0.2">
      <c r="D4006" s="139"/>
    </row>
    <row r="4007" spans="4:4" ht="12.75" x14ac:dyDescent="0.2">
      <c r="D4007" s="139"/>
    </row>
    <row r="4008" spans="4:4" ht="12.75" x14ac:dyDescent="0.2">
      <c r="D4008" s="139"/>
    </row>
    <row r="4009" spans="4:4" ht="12.75" x14ac:dyDescent="0.2">
      <c r="D4009" s="139"/>
    </row>
    <row r="4010" spans="4:4" ht="12.75" x14ac:dyDescent="0.2">
      <c r="D4010" s="139"/>
    </row>
    <row r="4011" spans="4:4" ht="12.75" x14ac:dyDescent="0.2">
      <c r="D4011" s="139"/>
    </row>
    <row r="4012" spans="4:4" ht="12.75" x14ac:dyDescent="0.2">
      <c r="D4012" s="139"/>
    </row>
    <row r="4013" spans="4:4" ht="12.75" x14ac:dyDescent="0.2">
      <c r="D4013" s="139"/>
    </row>
    <row r="4014" spans="4:4" ht="12.75" x14ac:dyDescent="0.2">
      <c r="D4014" s="139"/>
    </row>
    <row r="4015" spans="4:4" ht="12.75" x14ac:dyDescent="0.2">
      <c r="D4015" s="139"/>
    </row>
    <row r="4016" spans="4:4" ht="12.75" x14ac:dyDescent="0.2">
      <c r="D4016" s="139"/>
    </row>
    <row r="4017" spans="4:4" ht="12.75" x14ac:dyDescent="0.2">
      <c r="D4017" s="139"/>
    </row>
    <row r="4018" spans="4:4" ht="12.75" x14ac:dyDescent="0.2">
      <c r="D4018" s="139"/>
    </row>
    <row r="4019" spans="4:4" ht="12.75" x14ac:dyDescent="0.2">
      <c r="D4019" s="139"/>
    </row>
    <row r="4020" spans="4:4" ht="12.75" x14ac:dyDescent="0.2">
      <c r="D4020" s="139"/>
    </row>
    <row r="4021" spans="4:4" ht="12.75" x14ac:dyDescent="0.2">
      <c r="D4021" s="139"/>
    </row>
    <row r="4022" spans="4:4" ht="12.75" x14ac:dyDescent="0.2">
      <c r="D4022" s="139"/>
    </row>
    <row r="4023" spans="4:4" ht="12.75" x14ac:dyDescent="0.2">
      <c r="D4023" s="139"/>
    </row>
    <row r="4024" spans="4:4" ht="12.75" x14ac:dyDescent="0.2">
      <c r="D4024" s="139"/>
    </row>
    <row r="4025" spans="4:4" ht="12.75" x14ac:dyDescent="0.2">
      <c r="D4025" s="139"/>
    </row>
    <row r="4026" spans="4:4" ht="12.75" x14ac:dyDescent="0.2">
      <c r="D4026" s="139"/>
    </row>
    <row r="4027" spans="4:4" ht="12.75" x14ac:dyDescent="0.2">
      <c r="D4027" s="139"/>
    </row>
    <row r="4028" spans="4:4" ht="12.75" x14ac:dyDescent="0.2">
      <c r="D4028" s="139"/>
    </row>
    <row r="4029" spans="4:4" ht="12.75" x14ac:dyDescent="0.2">
      <c r="D4029" s="139"/>
    </row>
    <row r="4030" spans="4:4" ht="12.75" x14ac:dyDescent="0.2">
      <c r="D4030" s="139"/>
    </row>
    <row r="4031" spans="4:4" ht="12.75" x14ac:dyDescent="0.2">
      <c r="D4031" s="139"/>
    </row>
    <row r="4032" spans="4:4" ht="12.75" x14ac:dyDescent="0.2">
      <c r="D4032" s="139"/>
    </row>
    <row r="4033" spans="4:4" ht="12.75" x14ac:dyDescent="0.2">
      <c r="D4033" s="139"/>
    </row>
    <row r="4034" spans="4:4" ht="12.75" x14ac:dyDescent="0.2">
      <c r="D4034" s="139"/>
    </row>
    <row r="4035" spans="4:4" ht="12.75" x14ac:dyDescent="0.2">
      <c r="D4035" s="139"/>
    </row>
    <row r="4036" spans="4:4" ht="12.75" x14ac:dyDescent="0.2">
      <c r="D4036" s="139"/>
    </row>
    <row r="4037" spans="4:4" ht="12.75" x14ac:dyDescent="0.2">
      <c r="D4037" s="139"/>
    </row>
    <row r="4038" spans="4:4" ht="12.75" x14ac:dyDescent="0.2">
      <c r="D4038" s="139"/>
    </row>
    <row r="4039" spans="4:4" ht="12.75" x14ac:dyDescent="0.2">
      <c r="D4039" s="139"/>
    </row>
    <row r="4040" spans="4:4" ht="12.75" x14ac:dyDescent="0.2">
      <c r="D4040" s="139"/>
    </row>
    <row r="4041" spans="4:4" ht="12.75" x14ac:dyDescent="0.2">
      <c r="D4041" s="139"/>
    </row>
    <row r="4042" spans="4:4" ht="12.75" x14ac:dyDescent="0.2">
      <c r="D4042" s="139"/>
    </row>
    <row r="4043" spans="4:4" ht="12.75" x14ac:dyDescent="0.2">
      <c r="D4043" s="139"/>
    </row>
    <row r="4044" spans="4:4" ht="12.75" x14ac:dyDescent="0.2">
      <c r="D4044" s="139"/>
    </row>
    <row r="4045" spans="4:4" ht="12.75" x14ac:dyDescent="0.2">
      <c r="D4045" s="139"/>
    </row>
    <row r="4046" spans="4:4" ht="12.75" x14ac:dyDescent="0.2">
      <c r="D4046" s="139"/>
    </row>
    <row r="4047" spans="4:4" ht="12.75" x14ac:dyDescent="0.2">
      <c r="D4047" s="139"/>
    </row>
    <row r="4048" spans="4:4" ht="12.75" x14ac:dyDescent="0.2">
      <c r="D4048" s="139"/>
    </row>
    <row r="4049" spans="4:4" ht="12.75" x14ac:dyDescent="0.2">
      <c r="D4049" s="139"/>
    </row>
    <row r="4050" spans="4:4" ht="12.75" x14ac:dyDescent="0.2">
      <c r="D4050" s="139"/>
    </row>
    <row r="4051" spans="4:4" ht="12.75" x14ac:dyDescent="0.2">
      <c r="D4051" s="139"/>
    </row>
    <row r="4052" spans="4:4" ht="12.75" x14ac:dyDescent="0.2">
      <c r="D4052" s="139"/>
    </row>
    <row r="4053" spans="4:4" ht="12.75" x14ac:dyDescent="0.2">
      <c r="D4053" s="139"/>
    </row>
    <row r="4054" spans="4:4" ht="12.75" x14ac:dyDescent="0.2">
      <c r="D4054" s="139"/>
    </row>
    <row r="4055" spans="4:4" ht="12.75" x14ac:dyDescent="0.2">
      <c r="D4055" s="139"/>
    </row>
    <row r="4056" spans="4:4" ht="12.75" x14ac:dyDescent="0.2">
      <c r="D4056" s="139"/>
    </row>
    <row r="4057" spans="4:4" ht="12.75" x14ac:dyDescent="0.2">
      <c r="D4057" s="139"/>
    </row>
    <row r="4058" spans="4:4" ht="12.75" x14ac:dyDescent="0.2">
      <c r="D4058" s="139"/>
    </row>
    <row r="4059" spans="4:4" ht="12.75" x14ac:dyDescent="0.2">
      <c r="D4059" s="139"/>
    </row>
    <row r="4060" spans="4:4" ht="12.75" x14ac:dyDescent="0.2">
      <c r="D4060" s="139"/>
    </row>
    <row r="4061" spans="4:4" ht="12.75" x14ac:dyDescent="0.2">
      <c r="D4061" s="139"/>
    </row>
    <row r="4062" spans="4:4" ht="12.75" x14ac:dyDescent="0.2">
      <c r="D4062" s="139"/>
    </row>
    <row r="4063" spans="4:4" ht="12.75" x14ac:dyDescent="0.2">
      <c r="D4063" s="139"/>
    </row>
    <row r="4064" spans="4:4" ht="12.75" x14ac:dyDescent="0.2">
      <c r="D4064" s="139"/>
    </row>
    <row r="4065" spans="4:4" ht="12.75" x14ac:dyDescent="0.2">
      <c r="D4065" s="139"/>
    </row>
    <row r="4066" spans="4:4" ht="12.75" x14ac:dyDescent="0.2">
      <c r="D4066" s="139"/>
    </row>
    <row r="4067" spans="4:4" ht="12.75" x14ac:dyDescent="0.2">
      <c r="D4067" s="139"/>
    </row>
    <row r="4068" spans="4:4" ht="12.75" x14ac:dyDescent="0.2">
      <c r="D4068" s="139"/>
    </row>
    <row r="4069" spans="4:4" ht="12.75" x14ac:dyDescent="0.2">
      <c r="D4069" s="139"/>
    </row>
    <row r="4070" spans="4:4" ht="12.75" x14ac:dyDescent="0.2">
      <c r="D4070" s="139"/>
    </row>
    <row r="4071" spans="4:4" ht="12.75" x14ac:dyDescent="0.2">
      <c r="D4071" s="139"/>
    </row>
    <row r="4072" spans="4:4" ht="12.75" x14ac:dyDescent="0.2">
      <c r="D4072" s="139"/>
    </row>
    <row r="4073" spans="4:4" ht="12.75" x14ac:dyDescent="0.2">
      <c r="D4073" s="139"/>
    </row>
    <row r="4074" spans="4:4" ht="12.75" x14ac:dyDescent="0.2">
      <c r="D4074" s="139"/>
    </row>
    <row r="4075" spans="4:4" ht="12.75" x14ac:dyDescent="0.2">
      <c r="D4075" s="139"/>
    </row>
    <row r="4076" spans="4:4" ht="12.75" x14ac:dyDescent="0.2">
      <c r="D4076" s="139"/>
    </row>
    <row r="4077" spans="4:4" ht="12.75" x14ac:dyDescent="0.2">
      <c r="D4077" s="139"/>
    </row>
    <row r="4078" spans="4:4" ht="12.75" x14ac:dyDescent="0.2">
      <c r="D4078" s="139"/>
    </row>
    <row r="4079" spans="4:4" ht="12.75" x14ac:dyDescent="0.2">
      <c r="D4079" s="139"/>
    </row>
    <row r="4080" spans="4:4" ht="12.75" x14ac:dyDescent="0.2">
      <c r="D4080" s="139"/>
    </row>
    <row r="4081" spans="4:4" ht="12.75" x14ac:dyDescent="0.2">
      <c r="D4081" s="139"/>
    </row>
    <row r="4082" spans="4:4" ht="12.75" x14ac:dyDescent="0.2">
      <c r="D4082" s="139"/>
    </row>
    <row r="4083" spans="4:4" ht="12.75" x14ac:dyDescent="0.2">
      <c r="D4083" s="139"/>
    </row>
    <row r="4084" spans="4:4" ht="12.75" x14ac:dyDescent="0.2">
      <c r="D4084" s="139"/>
    </row>
    <row r="4085" spans="4:4" ht="12.75" x14ac:dyDescent="0.2">
      <c r="D4085" s="139"/>
    </row>
    <row r="4086" spans="4:4" ht="12.75" x14ac:dyDescent="0.2">
      <c r="D4086" s="139"/>
    </row>
    <row r="4087" spans="4:4" ht="12.75" x14ac:dyDescent="0.2">
      <c r="D4087" s="139"/>
    </row>
    <row r="4088" spans="4:4" ht="12.75" x14ac:dyDescent="0.2">
      <c r="D4088" s="139"/>
    </row>
    <row r="4089" spans="4:4" ht="12.75" x14ac:dyDescent="0.2">
      <c r="D4089" s="139"/>
    </row>
    <row r="4090" spans="4:4" ht="12.75" x14ac:dyDescent="0.2">
      <c r="D4090" s="139"/>
    </row>
    <row r="4091" spans="4:4" ht="12.75" x14ac:dyDescent="0.2">
      <c r="D4091" s="139"/>
    </row>
    <row r="4092" spans="4:4" ht="12.75" x14ac:dyDescent="0.2">
      <c r="D4092" s="139"/>
    </row>
    <row r="4093" spans="4:4" ht="12.75" x14ac:dyDescent="0.2">
      <c r="D4093" s="139"/>
    </row>
    <row r="4094" spans="4:4" ht="12.75" x14ac:dyDescent="0.2">
      <c r="D4094" s="139"/>
    </row>
    <row r="4095" spans="4:4" ht="12.75" x14ac:dyDescent="0.2">
      <c r="D4095" s="139"/>
    </row>
    <row r="4096" spans="4:4" ht="12.75" x14ac:dyDescent="0.2">
      <c r="D4096" s="139"/>
    </row>
    <row r="4097" spans="4:4" ht="12.75" x14ac:dyDescent="0.2">
      <c r="D4097" s="139"/>
    </row>
    <row r="4098" spans="4:4" ht="12.75" x14ac:dyDescent="0.2">
      <c r="D4098" s="139"/>
    </row>
    <row r="4099" spans="4:4" ht="12.75" x14ac:dyDescent="0.2">
      <c r="D4099" s="139"/>
    </row>
    <row r="4100" spans="4:4" ht="12.75" x14ac:dyDescent="0.2">
      <c r="D4100" s="139"/>
    </row>
    <row r="4101" spans="4:4" ht="12.75" x14ac:dyDescent="0.2">
      <c r="D4101" s="139"/>
    </row>
    <row r="4102" spans="4:4" ht="12.75" x14ac:dyDescent="0.2">
      <c r="D4102" s="139"/>
    </row>
    <row r="4103" spans="4:4" ht="12.75" x14ac:dyDescent="0.2">
      <c r="D4103" s="139"/>
    </row>
    <row r="4104" spans="4:4" ht="12.75" x14ac:dyDescent="0.2">
      <c r="D4104" s="139"/>
    </row>
    <row r="4105" spans="4:4" ht="12.75" x14ac:dyDescent="0.2">
      <c r="D4105" s="139"/>
    </row>
    <row r="4106" spans="4:4" ht="12.75" x14ac:dyDescent="0.2">
      <c r="D4106" s="139"/>
    </row>
    <row r="4107" spans="4:4" ht="12.75" x14ac:dyDescent="0.2">
      <c r="D4107" s="139"/>
    </row>
    <row r="4108" spans="4:4" ht="12.75" x14ac:dyDescent="0.2">
      <c r="D4108" s="139"/>
    </row>
    <row r="4109" spans="4:4" ht="12.75" x14ac:dyDescent="0.2">
      <c r="D4109" s="139"/>
    </row>
    <row r="4110" spans="4:4" ht="12.75" x14ac:dyDescent="0.2">
      <c r="D4110" s="139"/>
    </row>
    <row r="4111" spans="4:4" ht="12.75" x14ac:dyDescent="0.2">
      <c r="D4111" s="139"/>
    </row>
    <row r="4112" spans="4:4" ht="12.75" x14ac:dyDescent="0.2">
      <c r="D4112" s="139"/>
    </row>
    <row r="4113" spans="4:4" ht="12.75" x14ac:dyDescent="0.2">
      <c r="D4113" s="139"/>
    </row>
    <row r="4114" spans="4:4" ht="12.75" x14ac:dyDescent="0.2">
      <c r="D4114" s="139"/>
    </row>
    <row r="4115" spans="4:4" ht="12.75" x14ac:dyDescent="0.2">
      <c r="D4115" s="139"/>
    </row>
    <row r="4116" spans="4:4" ht="12.75" x14ac:dyDescent="0.2">
      <c r="D4116" s="139"/>
    </row>
    <row r="4117" spans="4:4" ht="12.75" x14ac:dyDescent="0.2">
      <c r="D4117" s="139"/>
    </row>
    <row r="4118" spans="4:4" ht="12.75" x14ac:dyDescent="0.2">
      <c r="D4118" s="139"/>
    </row>
    <row r="4119" spans="4:4" ht="12.75" x14ac:dyDescent="0.2">
      <c r="D4119" s="139"/>
    </row>
    <row r="4120" spans="4:4" ht="12.75" x14ac:dyDescent="0.2">
      <c r="D4120" s="139"/>
    </row>
    <row r="4121" spans="4:4" ht="12.75" x14ac:dyDescent="0.2">
      <c r="D4121" s="139"/>
    </row>
    <row r="4122" spans="4:4" ht="12.75" x14ac:dyDescent="0.2">
      <c r="D4122" s="139"/>
    </row>
    <row r="4123" spans="4:4" ht="12.75" x14ac:dyDescent="0.2">
      <c r="D4123" s="139"/>
    </row>
    <row r="4124" spans="4:4" ht="12.75" x14ac:dyDescent="0.2">
      <c r="D4124" s="139"/>
    </row>
    <row r="4125" spans="4:4" ht="12.75" x14ac:dyDescent="0.2">
      <c r="D4125" s="139"/>
    </row>
    <row r="4126" spans="4:4" ht="12.75" x14ac:dyDescent="0.2">
      <c r="D4126" s="139"/>
    </row>
    <row r="4127" spans="4:4" ht="12.75" x14ac:dyDescent="0.2">
      <c r="D4127" s="139"/>
    </row>
    <row r="4128" spans="4:4" ht="12.75" x14ac:dyDescent="0.2">
      <c r="D4128" s="139"/>
    </row>
    <row r="4129" spans="4:4" ht="12.75" x14ac:dyDescent="0.2">
      <c r="D4129" s="139"/>
    </row>
    <row r="4130" spans="4:4" ht="12.75" x14ac:dyDescent="0.2">
      <c r="D4130" s="139"/>
    </row>
    <row r="4131" spans="4:4" ht="12.75" x14ac:dyDescent="0.2">
      <c r="D4131" s="139"/>
    </row>
    <row r="4132" spans="4:4" ht="12.75" x14ac:dyDescent="0.2">
      <c r="D4132" s="139"/>
    </row>
    <row r="4133" spans="4:4" ht="12.75" x14ac:dyDescent="0.2">
      <c r="D4133" s="139"/>
    </row>
    <row r="4134" spans="4:4" ht="12.75" x14ac:dyDescent="0.2">
      <c r="D4134" s="139"/>
    </row>
    <row r="4135" spans="4:4" ht="12.75" x14ac:dyDescent="0.2">
      <c r="D4135" s="139"/>
    </row>
    <row r="4136" spans="4:4" ht="12.75" x14ac:dyDescent="0.2">
      <c r="D4136" s="139"/>
    </row>
    <row r="4137" spans="4:4" ht="12.75" x14ac:dyDescent="0.2">
      <c r="D4137" s="139"/>
    </row>
    <row r="4138" spans="4:4" ht="12.75" x14ac:dyDescent="0.2">
      <c r="D4138" s="139"/>
    </row>
    <row r="4139" spans="4:4" ht="12.75" x14ac:dyDescent="0.2">
      <c r="D4139" s="139"/>
    </row>
    <row r="4140" spans="4:4" ht="12.75" x14ac:dyDescent="0.2">
      <c r="D4140" s="139"/>
    </row>
    <row r="4141" spans="4:4" ht="12.75" x14ac:dyDescent="0.2">
      <c r="D4141" s="139"/>
    </row>
    <row r="4142" spans="4:4" ht="12.75" x14ac:dyDescent="0.2">
      <c r="D4142" s="139"/>
    </row>
    <row r="4143" spans="4:4" ht="12.75" x14ac:dyDescent="0.2">
      <c r="D4143" s="139"/>
    </row>
    <row r="4144" spans="4:4" ht="12.75" x14ac:dyDescent="0.2">
      <c r="D4144" s="139"/>
    </row>
    <row r="4145" spans="4:4" ht="12.75" x14ac:dyDescent="0.2">
      <c r="D4145" s="139"/>
    </row>
    <row r="4146" spans="4:4" ht="12.75" x14ac:dyDescent="0.2">
      <c r="D4146" s="139"/>
    </row>
    <row r="4147" spans="4:4" ht="12.75" x14ac:dyDescent="0.2">
      <c r="D4147" s="139"/>
    </row>
    <row r="4148" spans="4:4" ht="12.75" x14ac:dyDescent="0.2">
      <c r="D4148" s="139"/>
    </row>
    <row r="4149" spans="4:4" ht="12.75" x14ac:dyDescent="0.2">
      <c r="D4149" s="139"/>
    </row>
    <row r="4150" spans="4:4" ht="12.75" x14ac:dyDescent="0.2">
      <c r="D4150" s="139"/>
    </row>
    <row r="4151" spans="4:4" ht="12.75" x14ac:dyDescent="0.2">
      <c r="D4151" s="139"/>
    </row>
    <row r="4152" spans="4:4" ht="12.75" x14ac:dyDescent="0.2">
      <c r="D4152" s="139"/>
    </row>
    <row r="4153" spans="4:4" ht="12.75" x14ac:dyDescent="0.2">
      <c r="D4153" s="139"/>
    </row>
    <row r="4154" spans="4:4" ht="12.75" x14ac:dyDescent="0.2">
      <c r="D4154" s="139"/>
    </row>
    <row r="4155" spans="4:4" ht="12.75" x14ac:dyDescent="0.2">
      <c r="D4155" s="139"/>
    </row>
    <row r="4156" spans="4:4" ht="12.75" x14ac:dyDescent="0.2">
      <c r="D4156" s="139"/>
    </row>
    <row r="4157" spans="4:4" ht="12.75" x14ac:dyDescent="0.2">
      <c r="D4157" s="139"/>
    </row>
    <row r="4158" spans="4:4" ht="12.75" x14ac:dyDescent="0.2">
      <c r="D4158" s="139"/>
    </row>
    <row r="4159" spans="4:4" ht="12.75" x14ac:dyDescent="0.2">
      <c r="D4159" s="139"/>
    </row>
    <row r="4160" spans="4:4" ht="12.75" x14ac:dyDescent="0.2">
      <c r="D4160" s="139"/>
    </row>
    <row r="4161" spans="4:4" ht="12.75" x14ac:dyDescent="0.2">
      <c r="D4161" s="139"/>
    </row>
    <row r="4162" spans="4:4" ht="12.75" x14ac:dyDescent="0.2">
      <c r="D4162" s="139"/>
    </row>
    <row r="4163" spans="4:4" ht="12.75" x14ac:dyDescent="0.2">
      <c r="D4163" s="139"/>
    </row>
    <row r="4164" spans="4:4" ht="12.75" x14ac:dyDescent="0.2">
      <c r="D4164" s="139"/>
    </row>
    <row r="4165" spans="4:4" ht="12.75" x14ac:dyDescent="0.2">
      <c r="D4165" s="139"/>
    </row>
    <row r="4166" spans="4:4" ht="12.75" x14ac:dyDescent="0.2">
      <c r="D4166" s="139"/>
    </row>
    <row r="4167" spans="4:4" ht="12.75" x14ac:dyDescent="0.2">
      <c r="D4167" s="139"/>
    </row>
    <row r="4168" spans="4:4" ht="12.75" x14ac:dyDescent="0.2">
      <c r="D4168" s="139"/>
    </row>
    <row r="4169" spans="4:4" ht="12.75" x14ac:dyDescent="0.2">
      <c r="D4169" s="139"/>
    </row>
    <row r="4170" spans="4:4" ht="12.75" x14ac:dyDescent="0.2">
      <c r="D4170" s="139"/>
    </row>
    <row r="4171" spans="4:4" ht="12.75" x14ac:dyDescent="0.2">
      <c r="D4171" s="139"/>
    </row>
    <row r="4172" spans="4:4" ht="12.75" x14ac:dyDescent="0.2">
      <c r="D4172" s="139"/>
    </row>
    <row r="4173" spans="4:4" ht="12.75" x14ac:dyDescent="0.2">
      <c r="D4173" s="139"/>
    </row>
    <row r="4174" spans="4:4" ht="12.75" x14ac:dyDescent="0.2">
      <c r="D4174" s="139"/>
    </row>
    <row r="4175" spans="4:4" ht="12.75" x14ac:dyDescent="0.2">
      <c r="D4175" s="139"/>
    </row>
    <row r="4176" spans="4:4" ht="12.75" x14ac:dyDescent="0.2">
      <c r="D4176" s="139"/>
    </row>
    <row r="4177" spans="4:4" ht="12.75" x14ac:dyDescent="0.2">
      <c r="D4177" s="139"/>
    </row>
    <row r="4178" spans="4:4" ht="12.75" x14ac:dyDescent="0.2">
      <c r="D4178" s="139"/>
    </row>
    <row r="4179" spans="4:4" ht="12.75" x14ac:dyDescent="0.2">
      <c r="D4179" s="139"/>
    </row>
    <row r="4180" spans="4:4" ht="12.75" x14ac:dyDescent="0.2">
      <c r="D4180" s="139"/>
    </row>
    <row r="4181" spans="4:4" ht="12.75" x14ac:dyDescent="0.2">
      <c r="D4181" s="139"/>
    </row>
    <row r="4182" spans="4:4" ht="12.75" x14ac:dyDescent="0.2">
      <c r="D4182" s="139"/>
    </row>
    <row r="4183" spans="4:4" ht="12.75" x14ac:dyDescent="0.2">
      <c r="D4183" s="139"/>
    </row>
    <row r="4184" spans="4:4" ht="12.75" x14ac:dyDescent="0.2">
      <c r="D4184" s="139"/>
    </row>
    <row r="4185" spans="4:4" ht="12.75" x14ac:dyDescent="0.2">
      <c r="D4185" s="139"/>
    </row>
    <row r="4186" spans="4:4" ht="12.75" x14ac:dyDescent="0.2">
      <c r="D4186" s="139"/>
    </row>
    <row r="4187" spans="4:4" ht="12.75" x14ac:dyDescent="0.2">
      <c r="D4187" s="139"/>
    </row>
    <row r="4188" spans="4:4" ht="12.75" x14ac:dyDescent="0.2">
      <c r="D4188" s="139"/>
    </row>
    <row r="4189" spans="4:4" ht="12.75" x14ac:dyDescent="0.2">
      <c r="D4189" s="139"/>
    </row>
    <row r="4190" spans="4:4" ht="12.75" x14ac:dyDescent="0.2">
      <c r="D4190" s="139"/>
    </row>
    <row r="4191" spans="4:4" ht="12.75" x14ac:dyDescent="0.2">
      <c r="D4191" s="139"/>
    </row>
    <row r="4192" spans="4:4" ht="12.75" x14ac:dyDescent="0.2">
      <c r="D4192" s="139"/>
    </row>
    <row r="4193" spans="4:4" ht="12.75" x14ac:dyDescent="0.2">
      <c r="D4193" s="139"/>
    </row>
    <row r="4194" spans="4:4" ht="12.75" x14ac:dyDescent="0.2">
      <c r="D4194" s="139"/>
    </row>
    <row r="4195" spans="4:4" ht="12.75" x14ac:dyDescent="0.2">
      <c r="D4195" s="139"/>
    </row>
    <row r="4196" spans="4:4" ht="12.75" x14ac:dyDescent="0.2">
      <c r="D4196" s="139"/>
    </row>
    <row r="4197" spans="4:4" ht="12.75" x14ac:dyDescent="0.2">
      <c r="D4197" s="139"/>
    </row>
    <row r="4198" spans="4:4" ht="12.75" x14ac:dyDescent="0.2">
      <c r="D4198" s="139"/>
    </row>
    <row r="4199" spans="4:4" ht="12.75" x14ac:dyDescent="0.2">
      <c r="D4199" s="139"/>
    </row>
    <row r="4200" spans="4:4" ht="12.75" x14ac:dyDescent="0.2">
      <c r="D4200" s="139"/>
    </row>
    <row r="4201" spans="4:4" ht="12.75" x14ac:dyDescent="0.2">
      <c r="D4201" s="139"/>
    </row>
    <row r="4202" spans="4:4" ht="12.75" x14ac:dyDescent="0.2">
      <c r="D4202" s="139"/>
    </row>
    <row r="4203" spans="4:4" ht="12.75" x14ac:dyDescent="0.2">
      <c r="D4203" s="139"/>
    </row>
    <row r="4204" spans="4:4" ht="12.75" x14ac:dyDescent="0.2">
      <c r="D4204" s="139"/>
    </row>
    <row r="4205" spans="4:4" ht="12.75" x14ac:dyDescent="0.2">
      <c r="D4205" s="139"/>
    </row>
    <row r="4206" spans="4:4" ht="12.75" x14ac:dyDescent="0.2">
      <c r="D4206" s="139"/>
    </row>
    <row r="4207" spans="4:4" ht="12.75" x14ac:dyDescent="0.2">
      <c r="D4207" s="139"/>
    </row>
    <row r="4208" spans="4:4" ht="12.75" x14ac:dyDescent="0.2">
      <c r="D4208" s="139"/>
    </row>
    <row r="4209" spans="4:4" ht="12.75" x14ac:dyDescent="0.2">
      <c r="D4209" s="139"/>
    </row>
    <row r="4210" spans="4:4" ht="12.75" x14ac:dyDescent="0.2">
      <c r="D4210" s="139"/>
    </row>
    <row r="4211" spans="4:4" ht="12.75" x14ac:dyDescent="0.2">
      <c r="D4211" s="139"/>
    </row>
    <row r="4212" spans="4:4" ht="12.75" x14ac:dyDescent="0.2">
      <c r="D4212" s="139"/>
    </row>
    <row r="4213" spans="4:4" ht="12.75" x14ac:dyDescent="0.2">
      <c r="D4213" s="139"/>
    </row>
    <row r="4214" spans="4:4" ht="12.75" x14ac:dyDescent="0.2">
      <c r="D4214" s="139"/>
    </row>
    <row r="4215" spans="4:4" ht="12.75" x14ac:dyDescent="0.2">
      <c r="D4215" s="139"/>
    </row>
    <row r="4216" spans="4:4" ht="12.75" x14ac:dyDescent="0.2">
      <c r="D4216" s="139"/>
    </row>
    <row r="4217" spans="4:4" ht="12.75" x14ac:dyDescent="0.2">
      <c r="D4217" s="139"/>
    </row>
    <row r="4218" spans="4:4" ht="12.75" x14ac:dyDescent="0.2">
      <c r="D4218" s="139"/>
    </row>
    <row r="4219" spans="4:4" ht="12.75" x14ac:dyDescent="0.2">
      <c r="D4219" s="139"/>
    </row>
    <row r="4220" spans="4:4" ht="12.75" x14ac:dyDescent="0.2">
      <c r="D4220" s="139"/>
    </row>
    <row r="4221" spans="4:4" ht="12.75" x14ac:dyDescent="0.2">
      <c r="D4221" s="139"/>
    </row>
    <row r="4222" spans="4:4" ht="12.75" x14ac:dyDescent="0.2">
      <c r="D4222" s="139"/>
    </row>
    <row r="4223" spans="4:4" ht="12.75" x14ac:dyDescent="0.2">
      <c r="D4223" s="139"/>
    </row>
    <row r="4224" spans="4:4" ht="12.75" x14ac:dyDescent="0.2">
      <c r="D4224" s="139"/>
    </row>
    <row r="4225" spans="4:4" ht="12.75" x14ac:dyDescent="0.2">
      <c r="D4225" s="139"/>
    </row>
    <row r="4226" spans="4:4" ht="12.75" x14ac:dyDescent="0.2">
      <c r="D4226" s="139"/>
    </row>
    <row r="4227" spans="4:4" ht="12.75" x14ac:dyDescent="0.2">
      <c r="D4227" s="139"/>
    </row>
    <row r="4228" spans="4:4" ht="12.75" x14ac:dyDescent="0.2">
      <c r="D4228" s="139"/>
    </row>
    <row r="4229" spans="4:4" ht="12.75" x14ac:dyDescent="0.2">
      <c r="D4229" s="139"/>
    </row>
    <row r="4230" spans="4:4" ht="12.75" x14ac:dyDescent="0.2">
      <c r="D4230" s="139"/>
    </row>
    <row r="4231" spans="4:4" ht="12.75" x14ac:dyDescent="0.2">
      <c r="D4231" s="139"/>
    </row>
    <row r="4232" spans="4:4" ht="12.75" x14ac:dyDescent="0.2">
      <c r="D4232" s="139"/>
    </row>
    <row r="4233" spans="4:4" ht="12.75" x14ac:dyDescent="0.2">
      <c r="D4233" s="139"/>
    </row>
    <row r="4234" spans="4:4" ht="12.75" x14ac:dyDescent="0.2">
      <c r="D4234" s="139"/>
    </row>
    <row r="4235" spans="4:4" ht="12.75" x14ac:dyDescent="0.2">
      <c r="D4235" s="139"/>
    </row>
    <row r="4236" spans="4:4" ht="12.75" x14ac:dyDescent="0.2">
      <c r="D4236" s="139"/>
    </row>
    <row r="4237" spans="4:4" ht="12.75" x14ac:dyDescent="0.2">
      <c r="D4237" s="139"/>
    </row>
    <row r="4238" spans="4:4" ht="12.75" x14ac:dyDescent="0.2">
      <c r="D4238" s="139"/>
    </row>
    <row r="4239" spans="4:4" ht="12.75" x14ac:dyDescent="0.2">
      <c r="D4239" s="139"/>
    </row>
    <row r="4240" spans="4:4" ht="12.75" x14ac:dyDescent="0.2">
      <c r="D4240" s="139"/>
    </row>
    <row r="4241" spans="4:4" ht="12.75" x14ac:dyDescent="0.2">
      <c r="D4241" s="139"/>
    </row>
    <row r="4242" spans="4:4" ht="12.75" x14ac:dyDescent="0.2">
      <c r="D4242" s="139"/>
    </row>
    <row r="4243" spans="4:4" ht="12.75" x14ac:dyDescent="0.2">
      <c r="D4243" s="139"/>
    </row>
    <row r="4244" spans="4:4" ht="12.75" x14ac:dyDescent="0.2">
      <c r="D4244" s="139"/>
    </row>
    <row r="4245" spans="4:4" ht="12.75" x14ac:dyDescent="0.2">
      <c r="D4245" s="139"/>
    </row>
    <row r="4246" spans="4:4" ht="12.75" x14ac:dyDescent="0.2">
      <c r="D4246" s="139"/>
    </row>
    <row r="4247" spans="4:4" ht="12.75" x14ac:dyDescent="0.2">
      <c r="D4247" s="139"/>
    </row>
    <row r="4248" spans="4:4" ht="12.75" x14ac:dyDescent="0.2">
      <c r="D4248" s="139"/>
    </row>
    <row r="4249" spans="4:4" ht="12.75" x14ac:dyDescent="0.2">
      <c r="D4249" s="139"/>
    </row>
    <row r="4250" spans="4:4" ht="12.75" x14ac:dyDescent="0.2">
      <c r="D4250" s="139"/>
    </row>
    <row r="4251" spans="4:4" ht="12.75" x14ac:dyDescent="0.2">
      <c r="D4251" s="139"/>
    </row>
    <row r="4252" spans="4:4" ht="12.75" x14ac:dyDescent="0.2">
      <c r="D4252" s="139"/>
    </row>
    <row r="4253" spans="4:4" ht="12.75" x14ac:dyDescent="0.2">
      <c r="D4253" s="139"/>
    </row>
    <row r="4254" spans="4:4" ht="12.75" x14ac:dyDescent="0.2">
      <c r="D4254" s="139"/>
    </row>
    <row r="4255" spans="4:4" ht="12.75" x14ac:dyDescent="0.2">
      <c r="D4255" s="139"/>
    </row>
    <row r="4256" spans="4:4" ht="12.75" x14ac:dyDescent="0.2">
      <c r="D4256" s="139"/>
    </row>
    <row r="4257" spans="4:4" ht="12.75" x14ac:dyDescent="0.2">
      <c r="D4257" s="139"/>
    </row>
    <row r="4258" spans="4:4" ht="12.75" x14ac:dyDescent="0.2">
      <c r="D4258" s="139"/>
    </row>
    <row r="4259" spans="4:4" ht="12.75" x14ac:dyDescent="0.2">
      <c r="D4259" s="139"/>
    </row>
    <row r="4260" spans="4:4" ht="12.75" x14ac:dyDescent="0.2">
      <c r="D4260" s="139"/>
    </row>
    <row r="4261" spans="4:4" ht="12.75" x14ac:dyDescent="0.2">
      <c r="D4261" s="139"/>
    </row>
    <row r="4262" spans="4:4" ht="12.75" x14ac:dyDescent="0.2">
      <c r="D4262" s="139"/>
    </row>
    <row r="4263" spans="4:4" ht="12.75" x14ac:dyDescent="0.2">
      <c r="D4263" s="139"/>
    </row>
    <row r="4264" spans="4:4" ht="12.75" x14ac:dyDescent="0.2">
      <c r="D4264" s="139"/>
    </row>
    <row r="4265" spans="4:4" ht="12.75" x14ac:dyDescent="0.2">
      <c r="D4265" s="139"/>
    </row>
    <row r="4266" spans="4:4" ht="12.75" x14ac:dyDescent="0.2">
      <c r="D4266" s="139"/>
    </row>
    <row r="4267" spans="4:4" ht="12.75" x14ac:dyDescent="0.2">
      <c r="D4267" s="139"/>
    </row>
    <row r="4268" spans="4:4" ht="12.75" x14ac:dyDescent="0.2">
      <c r="D4268" s="139"/>
    </row>
    <row r="4269" spans="4:4" ht="12.75" x14ac:dyDescent="0.2">
      <c r="D4269" s="139"/>
    </row>
    <row r="4270" spans="4:4" ht="12.75" x14ac:dyDescent="0.2">
      <c r="D4270" s="139"/>
    </row>
    <row r="4271" spans="4:4" ht="12.75" x14ac:dyDescent="0.2">
      <c r="D4271" s="139"/>
    </row>
    <row r="4272" spans="4:4" ht="12.75" x14ac:dyDescent="0.2">
      <c r="D4272" s="139"/>
    </row>
    <row r="4273" spans="4:4" ht="12.75" x14ac:dyDescent="0.2">
      <c r="D4273" s="139"/>
    </row>
    <row r="4274" spans="4:4" ht="12.75" x14ac:dyDescent="0.2">
      <c r="D4274" s="139"/>
    </row>
    <row r="4275" spans="4:4" ht="12.75" x14ac:dyDescent="0.2">
      <c r="D4275" s="139"/>
    </row>
    <row r="4276" spans="4:4" ht="12.75" x14ac:dyDescent="0.2">
      <c r="D4276" s="139"/>
    </row>
    <row r="4277" spans="4:4" ht="12.75" x14ac:dyDescent="0.2">
      <c r="D4277" s="139"/>
    </row>
    <row r="4278" spans="4:4" ht="12.75" x14ac:dyDescent="0.2">
      <c r="D4278" s="139"/>
    </row>
    <row r="4279" spans="4:4" ht="12.75" x14ac:dyDescent="0.2">
      <c r="D4279" s="139"/>
    </row>
    <row r="4280" spans="4:4" ht="12.75" x14ac:dyDescent="0.2">
      <c r="D4280" s="139"/>
    </row>
    <row r="4281" spans="4:4" ht="12.75" x14ac:dyDescent="0.2">
      <c r="D4281" s="139"/>
    </row>
    <row r="4282" spans="4:4" ht="12.75" x14ac:dyDescent="0.2">
      <c r="D4282" s="139"/>
    </row>
    <row r="4283" spans="4:4" ht="12.75" x14ac:dyDescent="0.2">
      <c r="D4283" s="139"/>
    </row>
    <row r="4284" spans="4:4" ht="12.75" x14ac:dyDescent="0.2">
      <c r="D4284" s="139"/>
    </row>
    <row r="4285" spans="4:4" ht="12.75" x14ac:dyDescent="0.2">
      <c r="D4285" s="139"/>
    </row>
    <row r="4286" spans="4:4" ht="12.75" x14ac:dyDescent="0.2">
      <c r="D4286" s="139"/>
    </row>
    <row r="4287" spans="4:4" ht="12.75" x14ac:dyDescent="0.2">
      <c r="D4287" s="139"/>
    </row>
    <row r="4288" spans="4:4" ht="12.75" x14ac:dyDescent="0.2">
      <c r="D4288" s="139"/>
    </row>
    <row r="4289" spans="4:4" ht="12.75" x14ac:dyDescent="0.2">
      <c r="D4289" s="139"/>
    </row>
    <row r="4290" spans="4:4" ht="12.75" x14ac:dyDescent="0.2">
      <c r="D4290" s="139"/>
    </row>
    <row r="4291" spans="4:4" ht="12.75" x14ac:dyDescent="0.2">
      <c r="D4291" s="139"/>
    </row>
    <row r="4292" spans="4:4" ht="12.75" x14ac:dyDescent="0.2">
      <c r="D4292" s="139"/>
    </row>
    <row r="4293" spans="4:4" ht="12.75" x14ac:dyDescent="0.2">
      <c r="D4293" s="139"/>
    </row>
    <row r="4294" spans="4:4" ht="12.75" x14ac:dyDescent="0.2">
      <c r="D4294" s="139"/>
    </row>
    <row r="4295" spans="4:4" ht="12.75" x14ac:dyDescent="0.2">
      <c r="D4295" s="139"/>
    </row>
    <row r="4296" spans="4:4" ht="12.75" x14ac:dyDescent="0.2">
      <c r="D4296" s="139"/>
    </row>
    <row r="4297" spans="4:4" ht="12.75" x14ac:dyDescent="0.2">
      <c r="D4297" s="139"/>
    </row>
    <row r="4298" spans="4:4" ht="12.75" x14ac:dyDescent="0.2">
      <c r="D4298" s="139"/>
    </row>
    <row r="4299" spans="4:4" ht="12.75" x14ac:dyDescent="0.2">
      <c r="D4299" s="139"/>
    </row>
    <row r="4300" spans="4:4" ht="12.75" x14ac:dyDescent="0.2">
      <c r="D4300" s="139"/>
    </row>
    <row r="4301" spans="4:4" ht="12.75" x14ac:dyDescent="0.2">
      <c r="D4301" s="139"/>
    </row>
    <row r="4302" spans="4:4" ht="12.75" x14ac:dyDescent="0.2">
      <c r="D4302" s="139"/>
    </row>
    <row r="4303" spans="4:4" ht="12.75" x14ac:dyDescent="0.2">
      <c r="D4303" s="139"/>
    </row>
    <row r="4304" spans="4:4" ht="12.75" x14ac:dyDescent="0.2">
      <c r="D4304" s="139"/>
    </row>
    <row r="4305" spans="4:4" ht="12.75" x14ac:dyDescent="0.2">
      <c r="D4305" s="139"/>
    </row>
    <row r="4306" spans="4:4" ht="12.75" x14ac:dyDescent="0.2">
      <c r="D4306" s="139"/>
    </row>
    <row r="4307" spans="4:4" ht="12.75" x14ac:dyDescent="0.2">
      <c r="D4307" s="139"/>
    </row>
    <row r="4308" spans="4:4" ht="12.75" x14ac:dyDescent="0.2">
      <c r="D4308" s="139"/>
    </row>
    <row r="4309" spans="4:4" ht="12.75" x14ac:dyDescent="0.2">
      <c r="D4309" s="139"/>
    </row>
    <row r="4310" spans="4:4" ht="12.75" x14ac:dyDescent="0.2">
      <c r="D4310" s="139"/>
    </row>
    <row r="4311" spans="4:4" ht="12.75" x14ac:dyDescent="0.2">
      <c r="D4311" s="139"/>
    </row>
    <row r="4312" spans="4:4" ht="12.75" x14ac:dyDescent="0.2">
      <c r="D4312" s="139"/>
    </row>
    <row r="4313" spans="4:4" ht="12.75" x14ac:dyDescent="0.2">
      <c r="D4313" s="139"/>
    </row>
    <row r="4314" spans="4:4" ht="12.75" x14ac:dyDescent="0.2">
      <c r="D4314" s="139"/>
    </row>
    <row r="4315" spans="4:4" ht="12.75" x14ac:dyDescent="0.2">
      <c r="D4315" s="139"/>
    </row>
    <row r="4316" spans="4:4" ht="12.75" x14ac:dyDescent="0.2">
      <c r="D4316" s="139"/>
    </row>
    <row r="4317" spans="4:4" ht="12.75" x14ac:dyDescent="0.2">
      <c r="D4317" s="139"/>
    </row>
    <row r="4318" spans="4:4" ht="12.75" x14ac:dyDescent="0.2">
      <c r="D4318" s="139"/>
    </row>
    <row r="4319" spans="4:4" ht="12.75" x14ac:dyDescent="0.2">
      <c r="D4319" s="139"/>
    </row>
    <row r="4320" spans="4:4" ht="12.75" x14ac:dyDescent="0.2">
      <c r="D4320" s="139"/>
    </row>
    <row r="4321" spans="4:4" ht="12.75" x14ac:dyDescent="0.2">
      <c r="D4321" s="139"/>
    </row>
    <row r="4322" spans="4:4" ht="12.75" x14ac:dyDescent="0.2">
      <c r="D4322" s="139"/>
    </row>
    <row r="4323" spans="4:4" ht="12.75" x14ac:dyDescent="0.2">
      <c r="D4323" s="139"/>
    </row>
    <row r="4324" spans="4:4" ht="12.75" x14ac:dyDescent="0.2">
      <c r="D4324" s="139"/>
    </row>
    <row r="4325" spans="4:4" ht="12.75" x14ac:dyDescent="0.2">
      <c r="D4325" s="139"/>
    </row>
    <row r="4326" spans="4:4" ht="12.75" x14ac:dyDescent="0.2">
      <c r="D4326" s="139"/>
    </row>
    <row r="4327" spans="4:4" ht="12.75" x14ac:dyDescent="0.2">
      <c r="D4327" s="139"/>
    </row>
    <row r="4328" spans="4:4" ht="12.75" x14ac:dyDescent="0.2">
      <c r="D4328" s="139"/>
    </row>
    <row r="4329" spans="4:4" ht="12.75" x14ac:dyDescent="0.2">
      <c r="D4329" s="139"/>
    </row>
    <row r="4330" spans="4:4" ht="12.75" x14ac:dyDescent="0.2">
      <c r="D4330" s="139"/>
    </row>
    <row r="4331" spans="4:4" ht="12.75" x14ac:dyDescent="0.2">
      <c r="D4331" s="139"/>
    </row>
    <row r="4332" spans="4:4" ht="12.75" x14ac:dyDescent="0.2">
      <c r="D4332" s="139"/>
    </row>
    <row r="4333" spans="4:4" ht="12.75" x14ac:dyDescent="0.2">
      <c r="D4333" s="139"/>
    </row>
    <row r="4334" spans="4:4" ht="12.75" x14ac:dyDescent="0.2">
      <c r="D4334" s="139"/>
    </row>
    <row r="4335" spans="4:4" ht="12.75" x14ac:dyDescent="0.2">
      <c r="D4335" s="139"/>
    </row>
    <row r="4336" spans="4:4" ht="12.75" x14ac:dyDescent="0.2">
      <c r="D4336" s="139"/>
    </row>
    <row r="4337" spans="4:4" ht="12.75" x14ac:dyDescent="0.2">
      <c r="D4337" s="139"/>
    </row>
    <row r="4338" spans="4:4" ht="12.75" x14ac:dyDescent="0.2">
      <c r="D4338" s="139"/>
    </row>
    <row r="4339" spans="4:4" ht="12.75" x14ac:dyDescent="0.2">
      <c r="D4339" s="139"/>
    </row>
    <row r="4340" spans="4:4" ht="12.75" x14ac:dyDescent="0.2">
      <c r="D4340" s="139"/>
    </row>
    <row r="4341" spans="4:4" ht="12.75" x14ac:dyDescent="0.2">
      <c r="D4341" s="139"/>
    </row>
    <row r="4342" spans="4:4" ht="12.75" x14ac:dyDescent="0.2">
      <c r="D4342" s="139"/>
    </row>
    <row r="4343" spans="4:4" ht="12.75" x14ac:dyDescent="0.2">
      <c r="D4343" s="139"/>
    </row>
    <row r="4344" spans="4:4" ht="12.75" x14ac:dyDescent="0.2">
      <c r="D4344" s="139"/>
    </row>
    <row r="4345" spans="4:4" ht="12.75" x14ac:dyDescent="0.2">
      <c r="D4345" s="139"/>
    </row>
    <row r="4346" spans="4:4" ht="12.75" x14ac:dyDescent="0.2">
      <c r="D4346" s="139"/>
    </row>
    <row r="4347" spans="4:4" ht="12.75" x14ac:dyDescent="0.2">
      <c r="D4347" s="139"/>
    </row>
    <row r="4348" spans="4:4" ht="12.75" x14ac:dyDescent="0.2">
      <c r="D4348" s="139"/>
    </row>
    <row r="4349" spans="4:4" ht="12.75" x14ac:dyDescent="0.2">
      <c r="D4349" s="139"/>
    </row>
    <row r="4350" spans="4:4" ht="12.75" x14ac:dyDescent="0.2">
      <c r="D4350" s="139"/>
    </row>
    <row r="4351" spans="4:4" ht="12.75" x14ac:dyDescent="0.2">
      <c r="D4351" s="139"/>
    </row>
    <row r="4352" spans="4:4" ht="12.75" x14ac:dyDescent="0.2">
      <c r="D4352" s="139"/>
    </row>
    <row r="4353" spans="4:4" ht="12.75" x14ac:dyDescent="0.2">
      <c r="D4353" s="139"/>
    </row>
    <row r="4354" spans="4:4" ht="12.75" x14ac:dyDescent="0.2">
      <c r="D4354" s="139"/>
    </row>
    <row r="4355" spans="4:4" ht="12.75" x14ac:dyDescent="0.2">
      <c r="D4355" s="139"/>
    </row>
    <row r="4356" spans="4:4" ht="12.75" x14ac:dyDescent="0.2">
      <c r="D4356" s="139"/>
    </row>
    <row r="4357" spans="4:4" ht="12.75" x14ac:dyDescent="0.2">
      <c r="D4357" s="139"/>
    </row>
    <row r="4358" spans="4:4" ht="12.75" x14ac:dyDescent="0.2">
      <c r="D4358" s="139"/>
    </row>
    <row r="4359" spans="4:4" ht="12.75" x14ac:dyDescent="0.2">
      <c r="D4359" s="139"/>
    </row>
    <row r="4360" spans="4:4" ht="12.75" x14ac:dyDescent="0.2">
      <c r="D4360" s="139"/>
    </row>
    <row r="4361" spans="4:4" ht="12.75" x14ac:dyDescent="0.2">
      <c r="D4361" s="139"/>
    </row>
    <row r="4362" spans="4:4" ht="12.75" x14ac:dyDescent="0.2">
      <c r="D4362" s="139"/>
    </row>
    <row r="4363" spans="4:4" ht="12.75" x14ac:dyDescent="0.2">
      <c r="D4363" s="139"/>
    </row>
    <row r="4364" spans="4:4" ht="12.75" x14ac:dyDescent="0.2">
      <c r="D4364" s="139"/>
    </row>
    <row r="4365" spans="4:4" ht="12.75" x14ac:dyDescent="0.2">
      <c r="D4365" s="139"/>
    </row>
    <row r="4366" spans="4:4" ht="12.75" x14ac:dyDescent="0.2">
      <c r="D4366" s="139"/>
    </row>
    <row r="4367" spans="4:4" ht="12.75" x14ac:dyDescent="0.2">
      <c r="D4367" s="139"/>
    </row>
    <row r="4368" spans="4:4" ht="12.75" x14ac:dyDescent="0.2">
      <c r="D4368" s="139"/>
    </row>
    <row r="4369" spans="4:4" ht="12.75" x14ac:dyDescent="0.2">
      <c r="D4369" s="139"/>
    </row>
    <row r="4370" spans="4:4" ht="12.75" x14ac:dyDescent="0.2">
      <c r="D4370" s="139"/>
    </row>
    <row r="4371" spans="4:4" ht="12.75" x14ac:dyDescent="0.2">
      <c r="D4371" s="139"/>
    </row>
    <row r="4372" spans="4:4" ht="12.75" x14ac:dyDescent="0.2">
      <c r="D4372" s="139"/>
    </row>
    <row r="4373" spans="4:4" ht="12.75" x14ac:dyDescent="0.2">
      <c r="D4373" s="139"/>
    </row>
    <row r="4374" spans="4:4" ht="12.75" x14ac:dyDescent="0.2">
      <c r="D4374" s="139"/>
    </row>
    <row r="4375" spans="4:4" ht="12.75" x14ac:dyDescent="0.2">
      <c r="D4375" s="139"/>
    </row>
    <row r="4376" spans="4:4" ht="12.75" x14ac:dyDescent="0.2">
      <c r="D4376" s="139"/>
    </row>
    <row r="4377" spans="4:4" ht="12.75" x14ac:dyDescent="0.2">
      <c r="D4377" s="139"/>
    </row>
    <row r="4378" spans="4:4" ht="12.75" x14ac:dyDescent="0.2">
      <c r="D4378" s="139"/>
    </row>
    <row r="4379" spans="4:4" ht="12.75" x14ac:dyDescent="0.2">
      <c r="D4379" s="139"/>
    </row>
    <row r="4380" spans="4:4" ht="12.75" x14ac:dyDescent="0.2">
      <c r="D4380" s="139"/>
    </row>
    <row r="4381" spans="4:4" ht="12.75" x14ac:dyDescent="0.2">
      <c r="D4381" s="139"/>
    </row>
    <row r="4382" spans="4:4" ht="12.75" x14ac:dyDescent="0.2">
      <c r="D4382" s="139"/>
    </row>
    <row r="4383" spans="4:4" ht="12.75" x14ac:dyDescent="0.2">
      <c r="D4383" s="139"/>
    </row>
    <row r="4384" spans="4:4" ht="12.75" x14ac:dyDescent="0.2">
      <c r="D4384" s="139"/>
    </row>
    <row r="4385" spans="4:4" ht="12.75" x14ac:dyDescent="0.2">
      <c r="D4385" s="139"/>
    </row>
    <row r="4386" spans="4:4" ht="12.75" x14ac:dyDescent="0.2">
      <c r="D4386" s="139"/>
    </row>
    <row r="4387" spans="4:4" ht="12.75" x14ac:dyDescent="0.2">
      <c r="D4387" s="139"/>
    </row>
    <row r="4388" spans="4:4" ht="12.75" x14ac:dyDescent="0.2">
      <c r="D4388" s="139"/>
    </row>
    <row r="4389" spans="4:4" ht="12.75" x14ac:dyDescent="0.2">
      <c r="D4389" s="139"/>
    </row>
    <row r="4390" spans="4:4" ht="12.75" x14ac:dyDescent="0.2">
      <c r="D4390" s="139"/>
    </row>
    <row r="4391" spans="4:4" ht="12.75" x14ac:dyDescent="0.2">
      <c r="D4391" s="139"/>
    </row>
    <row r="4392" spans="4:4" ht="12.75" x14ac:dyDescent="0.2">
      <c r="D4392" s="139"/>
    </row>
    <row r="4393" spans="4:4" ht="12.75" x14ac:dyDescent="0.2">
      <c r="D4393" s="139"/>
    </row>
    <row r="4394" spans="4:4" ht="12.75" x14ac:dyDescent="0.2">
      <c r="D4394" s="139"/>
    </row>
    <row r="4395" spans="4:4" ht="12.75" x14ac:dyDescent="0.2">
      <c r="D4395" s="139"/>
    </row>
    <row r="4396" spans="4:4" ht="12.75" x14ac:dyDescent="0.2">
      <c r="D4396" s="139"/>
    </row>
    <row r="4397" spans="4:4" ht="12.75" x14ac:dyDescent="0.2">
      <c r="D4397" s="139"/>
    </row>
    <row r="4398" spans="4:4" ht="12.75" x14ac:dyDescent="0.2">
      <c r="D4398" s="139"/>
    </row>
    <row r="4399" spans="4:4" ht="12.75" x14ac:dyDescent="0.2">
      <c r="D4399" s="139"/>
    </row>
    <row r="4400" spans="4:4" ht="12.75" x14ac:dyDescent="0.2">
      <c r="D4400" s="139"/>
    </row>
    <row r="4401" spans="4:4" ht="12.75" x14ac:dyDescent="0.2">
      <c r="D4401" s="139"/>
    </row>
    <row r="4402" spans="4:4" ht="12.75" x14ac:dyDescent="0.2">
      <c r="D4402" s="139"/>
    </row>
    <row r="4403" spans="4:4" ht="12.75" x14ac:dyDescent="0.2">
      <c r="D4403" s="139"/>
    </row>
    <row r="4404" spans="4:4" ht="12.75" x14ac:dyDescent="0.2">
      <c r="D4404" s="139"/>
    </row>
    <row r="4405" spans="4:4" ht="12.75" x14ac:dyDescent="0.2">
      <c r="D4405" s="139"/>
    </row>
    <row r="4406" spans="4:4" ht="12.75" x14ac:dyDescent="0.2">
      <c r="D4406" s="139"/>
    </row>
    <row r="4407" spans="4:4" ht="12.75" x14ac:dyDescent="0.2">
      <c r="D4407" s="139"/>
    </row>
    <row r="4408" spans="4:4" ht="12.75" x14ac:dyDescent="0.2">
      <c r="D4408" s="139"/>
    </row>
    <row r="4409" spans="4:4" ht="12.75" x14ac:dyDescent="0.2">
      <c r="D4409" s="139"/>
    </row>
    <row r="4410" spans="4:4" ht="12.75" x14ac:dyDescent="0.2">
      <c r="D4410" s="139"/>
    </row>
    <row r="4411" spans="4:4" ht="12.75" x14ac:dyDescent="0.2">
      <c r="D4411" s="139"/>
    </row>
    <row r="4412" spans="4:4" ht="12.75" x14ac:dyDescent="0.2">
      <c r="D4412" s="139"/>
    </row>
    <row r="4413" spans="4:4" ht="12.75" x14ac:dyDescent="0.2">
      <c r="D4413" s="139"/>
    </row>
    <row r="4414" spans="4:4" ht="12.75" x14ac:dyDescent="0.2">
      <c r="D4414" s="139"/>
    </row>
    <row r="4415" spans="4:4" ht="12.75" x14ac:dyDescent="0.2">
      <c r="D4415" s="139"/>
    </row>
    <row r="4416" spans="4:4" ht="12.75" x14ac:dyDescent="0.2">
      <c r="D4416" s="139"/>
    </row>
    <row r="4417" spans="4:4" ht="12.75" x14ac:dyDescent="0.2">
      <c r="D4417" s="139"/>
    </row>
    <row r="4418" spans="4:4" ht="12.75" x14ac:dyDescent="0.2">
      <c r="D4418" s="139"/>
    </row>
    <row r="4419" spans="4:4" ht="12.75" x14ac:dyDescent="0.2">
      <c r="D4419" s="139"/>
    </row>
    <row r="4420" spans="4:4" ht="12.75" x14ac:dyDescent="0.2">
      <c r="D4420" s="139"/>
    </row>
    <row r="4421" spans="4:4" ht="12.75" x14ac:dyDescent="0.2">
      <c r="D4421" s="139"/>
    </row>
    <row r="4422" spans="4:4" ht="12.75" x14ac:dyDescent="0.2">
      <c r="D4422" s="139"/>
    </row>
    <row r="4423" spans="4:4" ht="12.75" x14ac:dyDescent="0.2">
      <c r="D4423" s="139"/>
    </row>
    <row r="4424" spans="4:4" ht="12.75" x14ac:dyDescent="0.2">
      <c r="D4424" s="139"/>
    </row>
    <row r="4425" spans="4:4" ht="12.75" x14ac:dyDescent="0.2">
      <c r="D4425" s="139"/>
    </row>
    <row r="4426" spans="4:4" ht="12.75" x14ac:dyDescent="0.2">
      <c r="D4426" s="139"/>
    </row>
    <row r="4427" spans="4:4" ht="12.75" x14ac:dyDescent="0.2">
      <c r="D4427" s="139"/>
    </row>
    <row r="4428" spans="4:4" ht="12.75" x14ac:dyDescent="0.2">
      <c r="D4428" s="139"/>
    </row>
    <row r="4429" spans="4:4" ht="12.75" x14ac:dyDescent="0.2">
      <c r="D4429" s="139"/>
    </row>
    <row r="4430" spans="4:4" ht="12.75" x14ac:dyDescent="0.2">
      <c r="D4430" s="139"/>
    </row>
    <row r="4431" spans="4:4" ht="12.75" x14ac:dyDescent="0.2">
      <c r="D4431" s="139"/>
    </row>
    <row r="4432" spans="4:4" ht="12.75" x14ac:dyDescent="0.2">
      <c r="D4432" s="139"/>
    </row>
    <row r="4433" spans="4:4" ht="12.75" x14ac:dyDescent="0.2">
      <c r="D4433" s="139"/>
    </row>
    <row r="4434" spans="4:4" ht="12.75" x14ac:dyDescent="0.2">
      <c r="D4434" s="139"/>
    </row>
    <row r="4435" spans="4:4" ht="12.75" x14ac:dyDescent="0.2">
      <c r="D4435" s="139"/>
    </row>
    <row r="4436" spans="4:4" ht="12.75" x14ac:dyDescent="0.2">
      <c r="D4436" s="139"/>
    </row>
    <row r="4437" spans="4:4" ht="12.75" x14ac:dyDescent="0.2">
      <c r="D4437" s="139"/>
    </row>
    <row r="4438" spans="4:4" ht="12.75" x14ac:dyDescent="0.2">
      <c r="D4438" s="139"/>
    </row>
    <row r="4439" spans="4:4" ht="12.75" x14ac:dyDescent="0.2">
      <c r="D4439" s="139"/>
    </row>
    <row r="4440" spans="4:4" ht="12.75" x14ac:dyDescent="0.2">
      <c r="D4440" s="139"/>
    </row>
    <row r="4441" spans="4:4" ht="12.75" x14ac:dyDescent="0.2">
      <c r="D4441" s="139"/>
    </row>
    <row r="4442" spans="4:4" ht="12.75" x14ac:dyDescent="0.2">
      <c r="D4442" s="139"/>
    </row>
    <row r="4443" spans="4:4" ht="12.75" x14ac:dyDescent="0.2">
      <c r="D4443" s="139"/>
    </row>
    <row r="4444" spans="4:4" ht="12.75" x14ac:dyDescent="0.2">
      <c r="D4444" s="139"/>
    </row>
    <row r="4445" spans="4:4" ht="12.75" x14ac:dyDescent="0.2">
      <c r="D4445" s="139"/>
    </row>
    <row r="4446" spans="4:4" ht="12.75" x14ac:dyDescent="0.2">
      <c r="D4446" s="139"/>
    </row>
    <row r="4447" spans="4:4" ht="12.75" x14ac:dyDescent="0.2">
      <c r="D4447" s="139"/>
    </row>
    <row r="4448" spans="4:4" ht="12.75" x14ac:dyDescent="0.2">
      <c r="D4448" s="139"/>
    </row>
    <row r="4449" spans="4:4" ht="12.75" x14ac:dyDescent="0.2">
      <c r="D4449" s="139"/>
    </row>
    <row r="4450" spans="4:4" ht="12.75" x14ac:dyDescent="0.2">
      <c r="D4450" s="139"/>
    </row>
    <row r="4451" spans="4:4" ht="12.75" x14ac:dyDescent="0.2">
      <c r="D4451" s="139"/>
    </row>
    <row r="4452" spans="4:4" ht="12.75" x14ac:dyDescent="0.2">
      <c r="D4452" s="139"/>
    </row>
    <row r="4453" spans="4:4" ht="12.75" x14ac:dyDescent="0.2">
      <c r="D4453" s="139"/>
    </row>
    <row r="4454" spans="4:4" ht="12.75" x14ac:dyDescent="0.2">
      <c r="D4454" s="139"/>
    </row>
    <row r="4455" spans="4:4" ht="12.75" x14ac:dyDescent="0.2">
      <c r="D4455" s="139"/>
    </row>
    <row r="4456" spans="4:4" ht="12.75" x14ac:dyDescent="0.2">
      <c r="D4456" s="139"/>
    </row>
    <row r="4457" spans="4:4" ht="12.75" x14ac:dyDescent="0.2">
      <c r="D4457" s="139"/>
    </row>
    <row r="4458" spans="4:4" ht="12.75" x14ac:dyDescent="0.2">
      <c r="D4458" s="139"/>
    </row>
    <row r="4459" spans="4:4" ht="12.75" x14ac:dyDescent="0.2">
      <c r="D4459" s="139"/>
    </row>
    <row r="4460" spans="4:4" ht="12.75" x14ac:dyDescent="0.2">
      <c r="D4460" s="139"/>
    </row>
    <row r="4461" spans="4:4" ht="12.75" x14ac:dyDescent="0.2">
      <c r="D4461" s="139"/>
    </row>
    <row r="4462" spans="4:4" ht="12.75" x14ac:dyDescent="0.2">
      <c r="D4462" s="139"/>
    </row>
    <row r="4463" spans="4:4" ht="12.75" x14ac:dyDescent="0.2">
      <c r="D4463" s="139"/>
    </row>
    <row r="4464" spans="4:4" ht="12.75" x14ac:dyDescent="0.2">
      <c r="D4464" s="139"/>
    </row>
    <row r="4465" spans="4:4" ht="12.75" x14ac:dyDescent="0.2">
      <c r="D4465" s="139"/>
    </row>
    <row r="4466" spans="4:4" ht="12.75" x14ac:dyDescent="0.2">
      <c r="D4466" s="139"/>
    </row>
    <row r="4467" spans="4:4" ht="12.75" x14ac:dyDescent="0.2">
      <c r="D4467" s="139"/>
    </row>
    <row r="4468" spans="4:4" ht="12.75" x14ac:dyDescent="0.2">
      <c r="D4468" s="139"/>
    </row>
    <row r="4469" spans="4:4" ht="12.75" x14ac:dyDescent="0.2">
      <c r="D4469" s="139"/>
    </row>
    <row r="4470" spans="4:4" ht="12.75" x14ac:dyDescent="0.2">
      <c r="D4470" s="139"/>
    </row>
    <row r="4471" spans="4:4" ht="12.75" x14ac:dyDescent="0.2">
      <c r="D4471" s="139"/>
    </row>
    <row r="4472" spans="4:4" ht="12.75" x14ac:dyDescent="0.2">
      <c r="D4472" s="139"/>
    </row>
    <row r="4473" spans="4:4" ht="12.75" x14ac:dyDescent="0.2">
      <c r="D4473" s="139"/>
    </row>
    <row r="4474" spans="4:4" ht="12.75" x14ac:dyDescent="0.2">
      <c r="D4474" s="139"/>
    </row>
    <row r="4475" spans="4:4" ht="12.75" x14ac:dyDescent="0.2">
      <c r="D4475" s="139"/>
    </row>
    <row r="4476" spans="4:4" ht="12.75" x14ac:dyDescent="0.2">
      <c r="D4476" s="139"/>
    </row>
    <row r="4477" spans="4:4" ht="12.75" x14ac:dyDescent="0.2">
      <c r="D4477" s="139"/>
    </row>
    <row r="4478" spans="4:4" ht="12.75" x14ac:dyDescent="0.2">
      <c r="D4478" s="139"/>
    </row>
    <row r="4479" spans="4:4" ht="12.75" x14ac:dyDescent="0.2">
      <c r="D4479" s="139"/>
    </row>
    <row r="4480" spans="4:4" ht="12.75" x14ac:dyDescent="0.2">
      <c r="D4480" s="139"/>
    </row>
    <row r="4481" spans="4:4" ht="12.75" x14ac:dyDescent="0.2">
      <c r="D4481" s="139"/>
    </row>
    <row r="4482" spans="4:4" ht="12.75" x14ac:dyDescent="0.2">
      <c r="D4482" s="139"/>
    </row>
    <row r="4483" spans="4:4" ht="12.75" x14ac:dyDescent="0.2">
      <c r="D4483" s="139"/>
    </row>
    <row r="4484" spans="4:4" ht="12.75" x14ac:dyDescent="0.2">
      <c r="D4484" s="139"/>
    </row>
    <row r="4485" spans="4:4" ht="12.75" x14ac:dyDescent="0.2">
      <c r="D4485" s="139"/>
    </row>
    <row r="4486" spans="4:4" ht="12.75" x14ac:dyDescent="0.2">
      <c r="D4486" s="139"/>
    </row>
    <row r="4487" spans="4:4" ht="12.75" x14ac:dyDescent="0.2">
      <c r="D4487" s="139"/>
    </row>
    <row r="4488" spans="4:4" ht="12.75" x14ac:dyDescent="0.2">
      <c r="D4488" s="139"/>
    </row>
    <row r="4489" spans="4:4" ht="12.75" x14ac:dyDescent="0.2">
      <c r="D4489" s="139"/>
    </row>
    <row r="4490" spans="4:4" ht="12.75" x14ac:dyDescent="0.2">
      <c r="D4490" s="139"/>
    </row>
    <row r="4491" spans="4:4" ht="12.75" x14ac:dyDescent="0.2">
      <c r="D4491" s="139"/>
    </row>
    <row r="4492" spans="4:4" ht="12.75" x14ac:dyDescent="0.2">
      <c r="D4492" s="139"/>
    </row>
    <row r="4493" spans="4:4" ht="12.75" x14ac:dyDescent="0.2">
      <c r="D4493" s="139"/>
    </row>
    <row r="4494" spans="4:4" ht="12.75" x14ac:dyDescent="0.2">
      <c r="D4494" s="139"/>
    </row>
    <row r="4495" spans="4:4" ht="12.75" x14ac:dyDescent="0.2">
      <c r="D4495" s="139"/>
    </row>
    <row r="4496" spans="4:4" ht="12.75" x14ac:dyDescent="0.2">
      <c r="D4496" s="139"/>
    </row>
    <row r="4497" spans="4:4" ht="12.75" x14ac:dyDescent="0.2">
      <c r="D4497" s="139"/>
    </row>
    <row r="4498" spans="4:4" ht="12.75" x14ac:dyDescent="0.2">
      <c r="D4498" s="139"/>
    </row>
    <row r="4499" spans="4:4" ht="12.75" x14ac:dyDescent="0.2">
      <c r="D4499" s="139"/>
    </row>
    <row r="4500" spans="4:4" ht="12.75" x14ac:dyDescent="0.2">
      <c r="D4500" s="139"/>
    </row>
    <row r="4501" spans="4:4" ht="12.75" x14ac:dyDescent="0.2">
      <c r="D4501" s="139"/>
    </row>
    <row r="4502" spans="4:4" ht="12.75" x14ac:dyDescent="0.2">
      <c r="D4502" s="139"/>
    </row>
    <row r="4503" spans="4:4" ht="12.75" x14ac:dyDescent="0.2">
      <c r="D4503" s="139"/>
    </row>
    <row r="4504" spans="4:4" ht="12.75" x14ac:dyDescent="0.2">
      <c r="D4504" s="139"/>
    </row>
    <row r="4505" spans="4:4" ht="12.75" x14ac:dyDescent="0.2">
      <c r="D4505" s="139"/>
    </row>
    <row r="4506" spans="4:4" ht="12.75" x14ac:dyDescent="0.2">
      <c r="D4506" s="139"/>
    </row>
    <row r="4507" spans="4:4" ht="12.75" x14ac:dyDescent="0.2">
      <c r="D4507" s="139"/>
    </row>
    <row r="4508" spans="4:4" ht="12.75" x14ac:dyDescent="0.2">
      <c r="D4508" s="139"/>
    </row>
    <row r="4509" spans="4:4" ht="12.75" x14ac:dyDescent="0.2">
      <c r="D4509" s="139"/>
    </row>
    <row r="4510" spans="4:4" ht="12.75" x14ac:dyDescent="0.2">
      <c r="D4510" s="139"/>
    </row>
    <row r="4511" spans="4:4" ht="12.75" x14ac:dyDescent="0.2">
      <c r="D4511" s="139"/>
    </row>
    <row r="4512" spans="4:4" ht="12.75" x14ac:dyDescent="0.2">
      <c r="D4512" s="139"/>
    </row>
    <row r="4513" spans="4:4" ht="12.75" x14ac:dyDescent="0.2">
      <c r="D4513" s="139"/>
    </row>
    <row r="4514" spans="4:4" ht="12.75" x14ac:dyDescent="0.2">
      <c r="D4514" s="139"/>
    </row>
    <row r="4515" spans="4:4" ht="12.75" x14ac:dyDescent="0.2">
      <c r="D4515" s="139"/>
    </row>
    <row r="4516" spans="4:4" ht="12.75" x14ac:dyDescent="0.2">
      <c r="D4516" s="139"/>
    </row>
    <row r="4517" spans="4:4" ht="12.75" x14ac:dyDescent="0.2">
      <c r="D4517" s="139"/>
    </row>
    <row r="4518" spans="4:4" ht="12.75" x14ac:dyDescent="0.2">
      <c r="D4518" s="139"/>
    </row>
    <row r="4519" spans="4:4" ht="12.75" x14ac:dyDescent="0.2">
      <c r="D4519" s="139"/>
    </row>
    <row r="4520" spans="4:4" ht="12.75" x14ac:dyDescent="0.2">
      <c r="D4520" s="139"/>
    </row>
    <row r="4521" spans="4:4" ht="12.75" x14ac:dyDescent="0.2">
      <c r="D4521" s="139"/>
    </row>
    <row r="4522" spans="4:4" ht="12.75" x14ac:dyDescent="0.2">
      <c r="D4522" s="139"/>
    </row>
    <row r="4523" spans="4:4" ht="12.75" x14ac:dyDescent="0.2">
      <c r="D4523" s="139"/>
    </row>
    <row r="4524" spans="4:4" ht="12.75" x14ac:dyDescent="0.2">
      <c r="D4524" s="139"/>
    </row>
    <row r="4525" spans="4:4" ht="12.75" x14ac:dyDescent="0.2">
      <c r="D4525" s="139"/>
    </row>
    <row r="4526" spans="4:4" ht="12.75" x14ac:dyDescent="0.2">
      <c r="D4526" s="139"/>
    </row>
    <row r="4527" spans="4:4" ht="12.75" x14ac:dyDescent="0.2">
      <c r="D4527" s="139"/>
    </row>
    <row r="4528" spans="4:4" ht="12.75" x14ac:dyDescent="0.2">
      <c r="D4528" s="139"/>
    </row>
    <row r="4529" spans="4:4" ht="12.75" x14ac:dyDescent="0.2">
      <c r="D4529" s="139"/>
    </row>
    <row r="4530" spans="4:4" ht="12.75" x14ac:dyDescent="0.2">
      <c r="D4530" s="139"/>
    </row>
    <row r="4531" spans="4:4" ht="12.75" x14ac:dyDescent="0.2">
      <c r="D4531" s="139"/>
    </row>
    <row r="4532" spans="4:4" ht="12.75" x14ac:dyDescent="0.2">
      <c r="D4532" s="139"/>
    </row>
    <row r="4533" spans="4:4" ht="12.75" x14ac:dyDescent="0.2">
      <c r="D4533" s="139"/>
    </row>
    <row r="4534" spans="4:4" ht="12.75" x14ac:dyDescent="0.2">
      <c r="D4534" s="139"/>
    </row>
    <row r="4535" spans="4:4" ht="12.75" x14ac:dyDescent="0.2">
      <c r="D4535" s="139"/>
    </row>
    <row r="4536" spans="4:4" ht="12.75" x14ac:dyDescent="0.2">
      <c r="D4536" s="139"/>
    </row>
    <row r="4537" spans="4:4" ht="12.75" x14ac:dyDescent="0.2">
      <c r="D4537" s="139"/>
    </row>
    <row r="4538" spans="4:4" ht="12.75" x14ac:dyDescent="0.2">
      <c r="D4538" s="139"/>
    </row>
    <row r="4539" spans="4:4" ht="12.75" x14ac:dyDescent="0.2">
      <c r="D4539" s="139"/>
    </row>
    <row r="4540" spans="4:4" ht="12.75" x14ac:dyDescent="0.2">
      <c r="D4540" s="139"/>
    </row>
    <row r="4541" spans="4:4" ht="12.75" x14ac:dyDescent="0.2">
      <c r="D4541" s="139"/>
    </row>
    <row r="4542" spans="4:4" ht="12.75" x14ac:dyDescent="0.2">
      <c r="D4542" s="139"/>
    </row>
    <row r="4543" spans="4:4" ht="12.75" x14ac:dyDescent="0.2">
      <c r="D4543" s="139"/>
    </row>
    <row r="4544" spans="4:4" ht="12.75" x14ac:dyDescent="0.2">
      <c r="D4544" s="139"/>
    </row>
    <row r="4545" spans="4:4" ht="12.75" x14ac:dyDescent="0.2">
      <c r="D4545" s="139"/>
    </row>
    <row r="4546" spans="4:4" ht="12.75" x14ac:dyDescent="0.2">
      <c r="D4546" s="139"/>
    </row>
    <row r="4547" spans="4:4" ht="12.75" x14ac:dyDescent="0.2">
      <c r="D4547" s="139"/>
    </row>
    <row r="4548" spans="4:4" ht="12.75" x14ac:dyDescent="0.2">
      <c r="D4548" s="139"/>
    </row>
    <row r="4549" spans="4:4" ht="12.75" x14ac:dyDescent="0.2">
      <c r="D4549" s="139"/>
    </row>
    <row r="4550" spans="4:4" ht="12.75" x14ac:dyDescent="0.2">
      <c r="D4550" s="139"/>
    </row>
    <row r="4551" spans="4:4" ht="12.75" x14ac:dyDescent="0.2">
      <c r="D4551" s="139"/>
    </row>
    <row r="4552" spans="4:4" ht="12.75" x14ac:dyDescent="0.2">
      <c r="D4552" s="139"/>
    </row>
    <row r="4553" spans="4:4" ht="12.75" x14ac:dyDescent="0.2">
      <c r="D4553" s="139"/>
    </row>
    <row r="4554" spans="4:4" ht="12.75" x14ac:dyDescent="0.2">
      <c r="D4554" s="139"/>
    </row>
    <row r="4555" spans="4:4" ht="12.75" x14ac:dyDescent="0.2">
      <c r="D4555" s="139"/>
    </row>
    <row r="4556" spans="4:4" ht="12.75" x14ac:dyDescent="0.2">
      <c r="D4556" s="139"/>
    </row>
    <row r="4557" spans="4:4" ht="12.75" x14ac:dyDescent="0.2">
      <c r="D4557" s="139"/>
    </row>
    <row r="4558" spans="4:4" ht="12.75" x14ac:dyDescent="0.2">
      <c r="D4558" s="139"/>
    </row>
    <row r="4559" spans="4:4" ht="12.75" x14ac:dyDescent="0.2">
      <c r="D4559" s="139"/>
    </row>
    <row r="4560" spans="4:4" ht="12.75" x14ac:dyDescent="0.2">
      <c r="D4560" s="139"/>
    </row>
    <row r="4561" spans="4:4" ht="12.75" x14ac:dyDescent="0.2">
      <c r="D4561" s="139"/>
    </row>
    <row r="4562" spans="4:4" ht="12.75" x14ac:dyDescent="0.2">
      <c r="D4562" s="139"/>
    </row>
    <row r="4563" spans="4:4" ht="12.75" x14ac:dyDescent="0.2">
      <c r="D4563" s="139"/>
    </row>
    <row r="4564" spans="4:4" ht="12.75" x14ac:dyDescent="0.2">
      <c r="D4564" s="139"/>
    </row>
    <row r="4565" spans="4:4" ht="12.75" x14ac:dyDescent="0.2">
      <c r="D4565" s="139"/>
    </row>
    <row r="4566" spans="4:4" ht="12.75" x14ac:dyDescent="0.2">
      <c r="D4566" s="139"/>
    </row>
    <row r="4567" spans="4:4" ht="12.75" x14ac:dyDescent="0.2">
      <c r="D4567" s="139"/>
    </row>
    <row r="4568" spans="4:4" ht="12.75" x14ac:dyDescent="0.2">
      <c r="D4568" s="139"/>
    </row>
    <row r="4569" spans="4:4" ht="12.75" x14ac:dyDescent="0.2">
      <c r="D4569" s="139"/>
    </row>
    <row r="4570" spans="4:4" ht="12.75" x14ac:dyDescent="0.2">
      <c r="D4570" s="139"/>
    </row>
    <row r="4571" spans="4:4" ht="12.75" x14ac:dyDescent="0.2">
      <c r="D4571" s="139"/>
    </row>
    <row r="4572" spans="4:4" ht="12.75" x14ac:dyDescent="0.2">
      <c r="D4572" s="139"/>
    </row>
    <row r="4573" spans="4:4" ht="12.75" x14ac:dyDescent="0.2">
      <c r="D4573" s="139"/>
    </row>
    <row r="4574" spans="4:4" ht="12.75" x14ac:dyDescent="0.2">
      <c r="D4574" s="139"/>
    </row>
    <row r="4575" spans="4:4" ht="12.75" x14ac:dyDescent="0.2">
      <c r="D4575" s="139"/>
    </row>
    <row r="4576" spans="4:4" ht="12.75" x14ac:dyDescent="0.2">
      <c r="D4576" s="139"/>
    </row>
    <row r="4577" spans="4:4" ht="12.75" x14ac:dyDescent="0.2">
      <c r="D4577" s="139"/>
    </row>
    <row r="4578" spans="4:4" ht="12.75" x14ac:dyDescent="0.2">
      <c r="D4578" s="139"/>
    </row>
    <row r="4579" spans="4:4" ht="12.75" x14ac:dyDescent="0.2">
      <c r="D4579" s="139"/>
    </row>
    <row r="4580" spans="4:4" ht="12.75" x14ac:dyDescent="0.2">
      <c r="D4580" s="139"/>
    </row>
    <row r="4581" spans="4:4" ht="12.75" x14ac:dyDescent="0.2">
      <c r="D4581" s="139"/>
    </row>
    <row r="4582" spans="4:4" ht="12.75" x14ac:dyDescent="0.2">
      <c r="D4582" s="139"/>
    </row>
    <row r="4583" spans="4:4" ht="12.75" x14ac:dyDescent="0.2">
      <c r="D4583" s="139"/>
    </row>
    <row r="4584" spans="4:4" ht="12.75" x14ac:dyDescent="0.2">
      <c r="D4584" s="139"/>
    </row>
    <row r="4585" spans="4:4" ht="12.75" x14ac:dyDescent="0.2">
      <c r="D4585" s="139"/>
    </row>
    <row r="4586" spans="4:4" ht="12.75" x14ac:dyDescent="0.2">
      <c r="D4586" s="139"/>
    </row>
    <row r="4587" spans="4:4" ht="12.75" x14ac:dyDescent="0.2">
      <c r="D4587" s="139"/>
    </row>
    <row r="4588" spans="4:4" ht="12.75" x14ac:dyDescent="0.2">
      <c r="D4588" s="139"/>
    </row>
    <row r="4589" spans="4:4" ht="12.75" x14ac:dyDescent="0.2">
      <c r="D4589" s="139"/>
    </row>
    <row r="4590" spans="4:4" ht="12.75" x14ac:dyDescent="0.2">
      <c r="D4590" s="139"/>
    </row>
    <row r="4591" spans="4:4" ht="12.75" x14ac:dyDescent="0.2">
      <c r="D4591" s="139"/>
    </row>
    <row r="4592" spans="4:4" ht="12.75" x14ac:dyDescent="0.2">
      <c r="D4592" s="139"/>
    </row>
    <row r="4593" spans="4:4" ht="12.75" x14ac:dyDescent="0.2">
      <c r="D4593" s="139"/>
    </row>
    <row r="4594" spans="4:4" ht="12.75" x14ac:dyDescent="0.2">
      <c r="D4594" s="139"/>
    </row>
    <row r="4595" spans="4:4" ht="12.75" x14ac:dyDescent="0.2">
      <c r="D4595" s="139"/>
    </row>
    <row r="4596" spans="4:4" ht="12.75" x14ac:dyDescent="0.2">
      <c r="D4596" s="139"/>
    </row>
    <row r="4597" spans="4:4" ht="12.75" x14ac:dyDescent="0.2">
      <c r="D4597" s="139"/>
    </row>
    <row r="4598" spans="4:4" ht="12.75" x14ac:dyDescent="0.2">
      <c r="D4598" s="139"/>
    </row>
    <row r="4599" spans="4:4" ht="12.75" x14ac:dyDescent="0.2">
      <c r="D4599" s="139"/>
    </row>
    <row r="4600" spans="4:4" ht="12.75" x14ac:dyDescent="0.2">
      <c r="D4600" s="139"/>
    </row>
    <row r="4601" spans="4:4" ht="12.75" x14ac:dyDescent="0.2">
      <c r="D4601" s="139"/>
    </row>
    <row r="4602" spans="4:4" ht="12.75" x14ac:dyDescent="0.2">
      <c r="D4602" s="139"/>
    </row>
    <row r="4603" spans="4:4" ht="12.75" x14ac:dyDescent="0.2">
      <c r="D4603" s="139"/>
    </row>
    <row r="4604" spans="4:4" ht="12.75" x14ac:dyDescent="0.2">
      <c r="D4604" s="139"/>
    </row>
    <row r="4605" spans="4:4" ht="12.75" x14ac:dyDescent="0.2">
      <c r="D4605" s="139"/>
    </row>
    <row r="4606" spans="4:4" ht="12.75" x14ac:dyDescent="0.2">
      <c r="D4606" s="139"/>
    </row>
    <row r="4607" spans="4:4" ht="12.75" x14ac:dyDescent="0.2">
      <c r="D4607" s="139"/>
    </row>
    <row r="4608" spans="4:4" ht="12.75" x14ac:dyDescent="0.2">
      <c r="D4608" s="139"/>
    </row>
    <row r="4609" spans="4:4" ht="12.75" x14ac:dyDescent="0.2">
      <c r="D4609" s="139"/>
    </row>
    <row r="4610" spans="4:4" ht="12.75" x14ac:dyDescent="0.2">
      <c r="D4610" s="139"/>
    </row>
    <row r="4611" spans="4:4" ht="12.75" x14ac:dyDescent="0.2">
      <c r="D4611" s="139"/>
    </row>
    <row r="4612" spans="4:4" ht="12.75" x14ac:dyDescent="0.2">
      <c r="D4612" s="139"/>
    </row>
    <row r="4613" spans="4:4" ht="12.75" x14ac:dyDescent="0.2">
      <c r="D4613" s="139"/>
    </row>
    <row r="4614" spans="4:4" ht="12.75" x14ac:dyDescent="0.2">
      <c r="D4614" s="139"/>
    </row>
    <row r="4615" spans="4:4" ht="12.75" x14ac:dyDescent="0.2">
      <c r="D4615" s="139"/>
    </row>
    <row r="4616" spans="4:4" ht="12.75" x14ac:dyDescent="0.2">
      <c r="D4616" s="139"/>
    </row>
    <row r="4617" spans="4:4" ht="12.75" x14ac:dyDescent="0.2">
      <c r="D4617" s="139"/>
    </row>
    <row r="4618" spans="4:4" ht="12.75" x14ac:dyDescent="0.2">
      <c r="D4618" s="139"/>
    </row>
    <row r="4619" spans="4:4" ht="12.75" x14ac:dyDescent="0.2">
      <c r="D4619" s="139"/>
    </row>
    <row r="4620" spans="4:4" ht="12.75" x14ac:dyDescent="0.2">
      <c r="D4620" s="139"/>
    </row>
    <row r="4621" spans="4:4" ht="12.75" x14ac:dyDescent="0.2">
      <c r="D4621" s="139"/>
    </row>
    <row r="4622" spans="4:4" ht="12.75" x14ac:dyDescent="0.2">
      <c r="D4622" s="139"/>
    </row>
    <row r="4623" spans="4:4" ht="12.75" x14ac:dyDescent="0.2">
      <c r="D4623" s="139"/>
    </row>
    <row r="4624" spans="4:4" ht="12.75" x14ac:dyDescent="0.2">
      <c r="D4624" s="139"/>
    </row>
    <row r="4625" spans="4:4" ht="12.75" x14ac:dyDescent="0.2">
      <c r="D4625" s="139"/>
    </row>
    <row r="4626" spans="4:4" ht="12.75" x14ac:dyDescent="0.2">
      <c r="D4626" s="139"/>
    </row>
    <row r="4627" spans="4:4" ht="12.75" x14ac:dyDescent="0.2">
      <c r="D4627" s="139"/>
    </row>
    <row r="4628" spans="4:4" ht="12.75" x14ac:dyDescent="0.2">
      <c r="D4628" s="139"/>
    </row>
    <row r="4629" spans="4:4" ht="12.75" x14ac:dyDescent="0.2">
      <c r="D4629" s="139"/>
    </row>
    <row r="4630" spans="4:4" ht="12.75" x14ac:dyDescent="0.2">
      <c r="D4630" s="139"/>
    </row>
    <row r="4631" spans="4:4" ht="12.75" x14ac:dyDescent="0.2">
      <c r="D4631" s="139"/>
    </row>
    <row r="4632" spans="4:4" ht="12.75" x14ac:dyDescent="0.2">
      <c r="D4632" s="139"/>
    </row>
    <row r="4633" spans="4:4" ht="12.75" x14ac:dyDescent="0.2">
      <c r="D4633" s="139"/>
    </row>
    <row r="4634" spans="4:4" ht="12.75" x14ac:dyDescent="0.2">
      <c r="D4634" s="139"/>
    </row>
    <row r="4635" spans="4:4" ht="12.75" x14ac:dyDescent="0.2">
      <c r="D4635" s="139"/>
    </row>
    <row r="4636" spans="4:4" ht="12.75" x14ac:dyDescent="0.2">
      <c r="D4636" s="139"/>
    </row>
    <row r="4637" spans="4:4" ht="12.75" x14ac:dyDescent="0.2">
      <c r="D4637" s="139"/>
    </row>
    <row r="4638" spans="4:4" ht="12.75" x14ac:dyDescent="0.2">
      <c r="D4638" s="139"/>
    </row>
    <row r="4639" spans="4:4" ht="12.75" x14ac:dyDescent="0.2">
      <c r="D4639" s="139"/>
    </row>
    <row r="4640" spans="4:4" ht="12.75" x14ac:dyDescent="0.2">
      <c r="D4640" s="139"/>
    </row>
    <row r="4641" spans="4:4" ht="12.75" x14ac:dyDescent="0.2">
      <c r="D4641" s="139"/>
    </row>
    <row r="4642" spans="4:4" ht="12.75" x14ac:dyDescent="0.2">
      <c r="D4642" s="139"/>
    </row>
    <row r="4643" spans="4:4" ht="12.75" x14ac:dyDescent="0.2">
      <c r="D4643" s="139"/>
    </row>
    <row r="4644" spans="4:4" ht="12.75" x14ac:dyDescent="0.2">
      <c r="D4644" s="139"/>
    </row>
    <row r="4645" spans="4:4" ht="12.75" x14ac:dyDescent="0.2">
      <c r="D4645" s="139"/>
    </row>
    <row r="4646" spans="4:4" ht="12.75" x14ac:dyDescent="0.2">
      <c r="D4646" s="139"/>
    </row>
    <row r="4647" spans="4:4" ht="12.75" x14ac:dyDescent="0.2">
      <c r="D4647" s="139"/>
    </row>
    <row r="4648" spans="4:4" ht="12.75" x14ac:dyDescent="0.2">
      <c r="D4648" s="139"/>
    </row>
    <row r="4649" spans="4:4" ht="12.75" x14ac:dyDescent="0.2">
      <c r="D4649" s="139"/>
    </row>
    <row r="4650" spans="4:4" ht="12.75" x14ac:dyDescent="0.2">
      <c r="D4650" s="139"/>
    </row>
    <row r="4651" spans="4:4" ht="12.75" x14ac:dyDescent="0.2">
      <c r="D4651" s="139"/>
    </row>
    <row r="4652" spans="4:4" ht="12.75" x14ac:dyDescent="0.2">
      <c r="D4652" s="139"/>
    </row>
    <row r="4653" spans="4:4" ht="12.75" x14ac:dyDescent="0.2">
      <c r="D4653" s="139"/>
    </row>
    <row r="4654" spans="4:4" ht="12.75" x14ac:dyDescent="0.2">
      <c r="D4654" s="139"/>
    </row>
    <row r="4655" spans="4:4" ht="12.75" x14ac:dyDescent="0.2">
      <c r="D4655" s="139"/>
    </row>
    <row r="4656" spans="4:4" ht="12.75" x14ac:dyDescent="0.2">
      <c r="D4656" s="139"/>
    </row>
    <row r="4657" spans="4:4" ht="12.75" x14ac:dyDescent="0.2">
      <c r="D4657" s="139"/>
    </row>
    <row r="4658" spans="4:4" ht="12.75" x14ac:dyDescent="0.2">
      <c r="D4658" s="139"/>
    </row>
    <row r="4659" spans="4:4" ht="12.75" x14ac:dyDescent="0.2">
      <c r="D4659" s="139"/>
    </row>
    <row r="4660" spans="4:4" ht="12.75" x14ac:dyDescent="0.2">
      <c r="D4660" s="139"/>
    </row>
    <row r="4661" spans="4:4" ht="12.75" x14ac:dyDescent="0.2">
      <c r="D4661" s="139"/>
    </row>
    <row r="4662" spans="4:4" ht="12.75" x14ac:dyDescent="0.2">
      <c r="D4662" s="139"/>
    </row>
    <row r="4663" spans="4:4" ht="12.75" x14ac:dyDescent="0.2">
      <c r="D4663" s="139"/>
    </row>
    <row r="4664" spans="4:4" ht="12.75" x14ac:dyDescent="0.2">
      <c r="D4664" s="139"/>
    </row>
    <row r="4665" spans="4:4" ht="12.75" x14ac:dyDescent="0.2">
      <c r="D4665" s="139"/>
    </row>
    <row r="4666" spans="4:4" ht="12.75" x14ac:dyDescent="0.2">
      <c r="D4666" s="139"/>
    </row>
    <row r="4667" spans="4:4" ht="12.75" x14ac:dyDescent="0.2">
      <c r="D4667" s="139"/>
    </row>
    <row r="4668" spans="4:4" ht="12.75" x14ac:dyDescent="0.2">
      <c r="D4668" s="139"/>
    </row>
    <row r="4669" spans="4:4" ht="12.75" x14ac:dyDescent="0.2">
      <c r="D4669" s="139"/>
    </row>
    <row r="4670" spans="4:4" ht="12.75" x14ac:dyDescent="0.2">
      <c r="D4670" s="139"/>
    </row>
    <row r="4671" spans="4:4" ht="12.75" x14ac:dyDescent="0.2">
      <c r="D4671" s="139"/>
    </row>
    <row r="4672" spans="4:4" ht="12.75" x14ac:dyDescent="0.2">
      <c r="D4672" s="139"/>
    </row>
    <row r="4673" spans="4:4" ht="12.75" x14ac:dyDescent="0.2">
      <c r="D4673" s="139"/>
    </row>
    <row r="4674" spans="4:4" ht="12.75" x14ac:dyDescent="0.2">
      <c r="D4674" s="139"/>
    </row>
    <row r="4675" spans="4:4" ht="12.75" x14ac:dyDescent="0.2">
      <c r="D4675" s="139"/>
    </row>
    <row r="4676" spans="4:4" ht="12.75" x14ac:dyDescent="0.2">
      <c r="D4676" s="139"/>
    </row>
    <row r="4677" spans="4:4" ht="12.75" x14ac:dyDescent="0.2">
      <c r="D4677" s="139"/>
    </row>
    <row r="4678" spans="4:4" ht="12.75" x14ac:dyDescent="0.2">
      <c r="D4678" s="139"/>
    </row>
    <row r="4679" spans="4:4" ht="12.75" x14ac:dyDescent="0.2">
      <c r="D4679" s="139"/>
    </row>
    <row r="4680" spans="4:4" ht="12.75" x14ac:dyDescent="0.2">
      <c r="D4680" s="139"/>
    </row>
    <row r="4681" spans="4:4" ht="12.75" x14ac:dyDescent="0.2">
      <c r="D4681" s="139"/>
    </row>
    <row r="4682" spans="4:4" ht="12.75" x14ac:dyDescent="0.2">
      <c r="D4682" s="139"/>
    </row>
    <row r="4683" spans="4:4" ht="12.75" x14ac:dyDescent="0.2">
      <c r="D4683" s="139"/>
    </row>
    <row r="4684" spans="4:4" ht="12.75" x14ac:dyDescent="0.2">
      <c r="D4684" s="139"/>
    </row>
    <row r="4685" spans="4:4" ht="12.75" x14ac:dyDescent="0.2">
      <c r="D4685" s="139"/>
    </row>
    <row r="4686" spans="4:4" ht="12.75" x14ac:dyDescent="0.2">
      <c r="D4686" s="139"/>
    </row>
    <row r="4687" spans="4:4" ht="12.75" x14ac:dyDescent="0.2">
      <c r="D4687" s="139"/>
    </row>
    <row r="4688" spans="4:4" ht="12.75" x14ac:dyDescent="0.2">
      <c r="D4688" s="139"/>
    </row>
    <row r="4689" spans="4:4" ht="12.75" x14ac:dyDescent="0.2">
      <c r="D4689" s="139"/>
    </row>
    <row r="4690" spans="4:4" ht="12.75" x14ac:dyDescent="0.2">
      <c r="D4690" s="139"/>
    </row>
    <row r="4691" spans="4:4" ht="12.75" x14ac:dyDescent="0.2">
      <c r="D4691" s="139"/>
    </row>
    <row r="4692" spans="4:4" ht="12.75" x14ac:dyDescent="0.2">
      <c r="D4692" s="139"/>
    </row>
    <row r="4693" spans="4:4" ht="12.75" x14ac:dyDescent="0.2">
      <c r="D4693" s="139"/>
    </row>
    <row r="4694" spans="4:4" ht="12.75" x14ac:dyDescent="0.2">
      <c r="D4694" s="139"/>
    </row>
    <row r="4695" spans="4:4" ht="12.75" x14ac:dyDescent="0.2">
      <c r="D4695" s="139"/>
    </row>
    <row r="4696" spans="4:4" ht="12.75" x14ac:dyDescent="0.2">
      <c r="D4696" s="139"/>
    </row>
    <row r="4697" spans="4:4" ht="12.75" x14ac:dyDescent="0.2">
      <c r="D4697" s="139"/>
    </row>
    <row r="4698" spans="4:4" ht="12.75" x14ac:dyDescent="0.2">
      <c r="D4698" s="139"/>
    </row>
    <row r="4699" spans="4:4" ht="12.75" x14ac:dyDescent="0.2">
      <c r="D4699" s="139"/>
    </row>
    <row r="4700" spans="4:4" ht="12.75" x14ac:dyDescent="0.2">
      <c r="D4700" s="139"/>
    </row>
    <row r="4701" spans="4:4" ht="12.75" x14ac:dyDescent="0.2">
      <c r="D4701" s="139"/>
    </row>
    <row r="4702" spans="4:4" ht="12.75" x14ac:dyDescent="0.2">
      <c r="D4702" s="139"/>
    </row>
    <row r="4703" spans="4:4" ht="12.75" x14ac:dyDescent="0.2">
      <c r="D4703" s="139"/>
    </row>
    <row r="4704" spans="4:4" ht="12.75" x14ac:dyDescent="0.2">
      <c r="D4704" s="139"/>
    </row>
    <row r="4705" spans="4:4" ht="12.75" x14ac:dyDescent="0.2">
      <c r="D4705" s="139"/>
    </row>
    <row r="4706" spans="4:4" ht="12.75" x14ac:dyDescent="0.2">
      <c r="D4706" s="139"/>
    </row>
    <row r="4707" spans="4:4" ht="12.75" x14ac:dyDescent="0.2">
      <c r="D4707" s="139"/>
    </row>
    <row r="4708" spans="4:4" ht="12.75" x14ac:dyDescent="0.2">
      <c r="D4708" s="139"/>
    </row>
    <row r="4709" spans="4:4" ht="12.75" x14ac:dyDescent="0.2">
      <c r="D4709" s="139"/>
    </row>
    <row r="4710" spans="4:4" ht="12.75" x14ac:dyDescent="0.2">
      <c r="D4710" s="139"/>
    </row>
    <row r="4711" spans="4:4" ht="12.75" x14ac:dyDescent="0.2">
      <c r="D4711" s="139"/>
    </row>
    <row r="4712" spans="4:4" ht="12.75" x14ac:dyDescent="0.2">
      <c r="D4712" s="139"/>
    </row>
    <row r="4713" spans="4:4" ht="12.75" x14ac:dyDescent="0.2">
      <c r="D4713" s="139"/>
    </row>
    <row r="4714" spans="4:4" ht="12.75" x14ac:dyDescent="0.2">
      <c r="D4714" s="139"/>
    </row>
    <row r="4715" spans="4:4" ht="12.75" x14ac:dyDescent="0.2">
      <c r="D4715" s="139"/>
    </row>
    <row r="4716" spans="4:4" ht="12.75" x14ac:dyDescent="0.2">
      <c r="D4716" s="139"/>
    </row>
    <row r="4717" spans="4:4" ht="12.75" x14ac:dyDescent="0.2">
      <c r="D4717" s="139"/>
    </row>
    <row r="4718" spans="4:4" ht="12.75" x14ac:dyDescent="0.2">
      <c r="D4718" s="139"/>
    </row>
    <row r="4719" spans="4:4" ht="12.75" x14ac:dyDescent="0.2">
      <c r="D4719" s="139"/>
    </row>
    <row r="4720" spans="4:4" ht="12.75" x14ac:dyDescent="0.2">
      <c r="D4720" s="139"/>
    </row>
    <row r="4721" spans="4:4" ht="12.75" x14ac:dyDescent="0.2">
      <c r="D4721" s="139"/>
    </row>
    <row r="4722" spans="4:4" ht="12.75" x14ac:dyDescent="0.2">
      <c r="D4722" s="139"/>
    </row>
    <row r="4723" spans="4:4" ht="12.75" x14ac:dyDescent="0.2">
      <c r="D4723" s="139"/>
    </row>
    <row r="4724" spans="4:4" ht="12.75" x14ac:dyDescent="0.2">
      <c r="D4724" s="139"/>
    </row>
    <row r="4725" spans="4:4" ht="12.75" x14ac:dyDescent="0.2">
      <c r="D4725" s="139"/>
    </row>
    <row r="4726" spans="4:4" ht="12.75" x14ac:dyDescent="0.2">
      <c r="D4726" s="139"/>
    </row>
    <row r="4727" spans="4:4" ht="12.75" x14ac:dyDescent="0.2">
      <c r="D4727" s="139"/>
    </row>
    <row r="4728" spans="4:4" ht="12.75" x14ac:dyDescent="0.2">
      <c r="D4728" s="139"/>
    </row>
    <row r="4729" spans="4:4" ht="12.75" x14ac:dyDescent="0.2">
      <c r="D4729" s="139"/>
    </row>
    <row r="4730" spans="4:4" ht="12.75" x14ac:dyDescent="0.2">
      <c r="D4730" s="139"/>
    </row>
    <row r="4731" spans="4:4" ht="12.75" x14ac:dyDescent="0.2">
      <c r="D4731" s="139"/>
    </row>
    <row r="4732" spans="4:4" ht="12.75" x14ac:dyDescent="0.2">
      <c r="D4732" s="139"/>
    </row>
    <row r="4733" spans="4:4" ht="12.75" x14ac:dyDescent="0.2">
      <c r="D4733" s="139"/>
    </row>
    <row r="4734" spans="4:4" ht="12.75" x14ac:dyDescent="0.2">
      <c r="D4734" s="139"/>
    </row>
    <row r="4735" spans="4:4" ht="12.75" x14ac:dyDescent="0.2">
      <c r="D4735" s="139"/>
    </row>
    <row r="4736" spans="4:4" ht="12.75" x14ac:dyDescent="0.2">
      <c r="D4736" s="139"/>
    </row>
    <row r="4737" spans="4:4" ht="12.75" x14ac:dyDescent="0.2">
      <c r="D4737" s="139"/>
    </row>
    <row r="4738" spans="4:4" ht="12.75" x14ac:dyDescent="0.2">
      <c r="D4738" s="139"/>
    </row>
    <row r="4739" spans="4:4" ht="12.75" x14ac:dyDescent="0.2">
      <c r="D4739" s="139"/>
    </row>
    <row r="4740" spans="4:4" ht="12.75" x14ac:dyDescent="0.2">
      <c r="D4740" s="139"/>
    </row>
    <row r="4741" spans="4:4" ht="12.75" x14ac:dyDescent="0.2">
      <c r="D4741" s="139"/>
    </row>
    <row r="4742" spans="4:4" ht="12.75" x14ac:dyDescent="0.2">
      <c r="D4742" s="139"/>
    </row>
    <row r="4743" spans="4:4" ht="12.75" x14ac:dyDescent="0.2">
      <c r="D4743" s="139"/>
    </row>
    <row r="4744" spans="4:4" ht="12.75" x14ac:dyDescent="0.2">
      <c r="D4744" s="139"/>
    </row>
    <row r="4745" spans="4:4" ht="12.75" x14ac:dyDescent="0.2">
      <c r="D4745" s="139"/>
    </row>
    <row r="4746" spans="4:4" ht="12.75" x14ac:dyDescent="0.2">
      <c r="D4746" s="139"/>
    </row>
    <row r="4747" spans="4:4" ht="12.75" x14ac:dyDescent="0.2">
      <c r="D4747" s="139"/>
    </row>
    <row r="4748" spans="4:4" ht="12.75" x14ac:dyDescent="0.2">
      <c r="D4748" s="139"/>
    </row>
    <row r="4749" spans="4:4" ht="12.75" x14ac:dyDescent="0.2">
      <c r="D4749" s="139"/>
    </row>
    <row r="4750" spans="4:4" ht="12.75" x14ac:dyDescent="0.2">
      <c r="D4750" s="139"/>
    </row>
    <row r="4751" spans="4:4" ht="12.75" x14ac:dyDescent="0.2">
      <c r="D4751" s="139"/>
    </row>
    <row r="4752" spans="4:4" ht="12.75" x14ac:dyDescent="0.2">
      <c r="D4752" s="139"/>
    </row>
    <row r="4753" spans="4:4" ht="12.75" x14ac:dyDescent="0.2">
      <c r="D4753" s="139"/>
    </row>
    <row r="4754" spans="4:4" ht="12.75" x14ac:dyDescent="0.2">
      <c r="D4754" s="139"/>
    </row>
    <row r="4755" spans="4:4" ht="12.75" x14ac:dyDescent="0.2">
      <c r="D4755" s="139"/>
    </row>
    <row r="4756" spans="4:4" ht="12.75" x14ac:dyDescent="0.2">
      <c r="D4756" s="139"/>
    </row>
    <row r="4757" spans="4:4" ht="12.75" x14ac:dyDescent="0.2">
      <c r="D4757" s="139"/>
    </row>
    <row r="4758" spans="4:4" ht="12.75" x14ac:dyDescent="0.2">
      <c r="D4758" s="139"/>
    </row>
    <row r="4759" spans="4:4" ht="12.75" x14ac:dyDescent="0.2">
      <c r="D4759" s="139"/>
    </row>
    <row r="4760" spans="4:4" ht="12.75" x14ac:dyDescent="0.2">
      <c r="D4760" s="139"/>
    </row>
    <row r="4761" spans="4:4" ht="12.75" x14ac:dyDescent="0.2">
      <c r="D4761" s="139"/>
    </row>
    <row r="4762" spans="4:4" ht="12.75" x14ac:dyDescent="0.2">
      <c r="D4762" s="139"/>
    </row>
    <row r="4763" spans="4:4" ht="12.75" x14ac:dyDescent="0.2">
      <c r="D4763" s="139"/>
    </row>
    <row r="4764" spans="4:4" ht="12.75" x14ac:dyDescent="0.2">
      <c r="D4764" s="139"/>
    </row>
    <row r="4765" spans="4:4" ht="12.75" x14ac:dyDescent="0.2">
      <c r="D4765" s="139"/>
    </row>
    <row r="4766" spans="4:4" ht="12.75" x14ac:dyDescent="0.2">
      <c r="D4766" s="139"/>
    </row>
    <row r="4767" spans="4:4" ht="12.75" x14ac:dyDescent="0.2">
      <c r="D4767" s="139"/>
    </row>
    <row r="4768" spans="4:4" ht="12.75" x14ac:dyDescent="0.2">
      <c r="D4768" s="139"/>
    </row>
    <row r="4769" spans="4:4" ht="12.75" x14ac:dyDescent="0.2">
      <c r="D4769" s="139"/>
    </row>
    <row r="4770" spans="4:4" ht="12.75" x14ac:dyDescent="0.2">
      <c r="D4770" s="139"/>
    </row>
    <row r="4771" spans="4:4" ht="12.75" x14ac:dyDescent="0.2">
      <c r="D4771" s="139"/>
    </row>
    <row r="4772" spans="4:4" ht="12.75" x14ac:dyDescent="0.2">
      <c r="D4772" s="139"/>
    </row>
    <row r="4773" spans="4:4" ht="12.75" x14ac:dyDescent="0.2">
      <c r="D4773" s="139"/>
    </row>
    <row r="4774" spans="4:4" ht="12.75" x14ac:dyDescent="0.2">
      <c r="D4774" s="139"/>
    </row>
    <row r="4775" spans="4:4" ht="12.75" x14ac:dyDescent="0.2">
      <c r="D4775" s="139"/>
    </row>
    <row r="4776" spans="4:4" ht="12.75" x14ac:dyDescent="0.2">
      <c r="D4776" s="139"/>
    </row>
    <row r="4777" spans="4:4" ht="12.75" x14ac:dyDescent="0.2">
      <c r="D4777" s="139"/>
    </row>
    <row r="4778" spans="4:4" ht="12.75" x14ac:dyDescent="0.2">
      <c r="D4778" s="139"/>
    </row>
    <row r="4779" spans="4:4" ht="12.75" x14ac:dyDescent="0.2">
      <c r="D4779" s="139"/>
    </row>
    <row r="4780" spans="4:4" ht="12.75" x14ac:dyDescent="0.2">
      <c r="D4780" s="139"/>
    </row>
    <row r="4781" spans="4:4" ht="12.75" x14ac:dyDescent="0.2">
      <c r="D4781" s="139"/>
    </row>
    <row r="4782" spans="4:4" ht="12.75" x14ac:dyDescent="0.2">
      <c r="D4782" s="139"/>
    </row>
    <row r="4783" spans="4:4" ht="12.75" x14ac:dyDescent="0.2">
      <c r="D4783" s="139"/>
    </row>
    <row r="4784" spans="4:4" ht="12.75" x14ac:dyDescent="0.2">
      <c r="D4784" s="139"/>
    </row>
    <row r="4785" spans="4:4" ht="12.75" x14ac:dyDescent="0.2">
      <c r="D4785" s="139"/>
    </row>
    <row r="4786" spans="4:4" ht="12.75" x14ac:dyDescent="0.2">
      <c r="D4786" s="139"/>
    </row>
    <row r="4787" spans="4:4" ht="12.75" x14ac:dyDescent="0.2">
      <c r="D4787" s="139"/>
    </row>
    <row r="4788" spans="4:4" ht="12.75" x14ac:dyDescent="0.2">
      <c r="D4788" s="139"/>
    </row>
    <row r="4789" spans="4:4" ht="12.75" x14ac:dyDescent="0.2">
      <c r="D4789" s="139"/>
    </row>
    <row r="4790" spans="4:4" ht="12.75" x14ac:dyDescent="0.2">
      <c r="D4790" s="139"/>
    </row>
    <row r="4791" spans="4:4" ht="12.75" x14ac:dyDescent="0.2">
      <c r="D4791" s="139"/>
    </row>
    <row r="4792" spans="4:4" ht="12.75" x14ac:dyDescent="0.2">
      <c r="D4792" s="139"/>
    </row>
    <row r="4793" spans="4:4" ht="12.75" x14ac:dyDescent="0.2">
      <c r="D4793" s="139"/>
    </row>
    <row r="4794" spans="4:4" ht="12.75" x14ac:dyDescent="0.2">
      <c r="D4794" s="139"/>
    </row>
    <row r="4795" spans="4:4" ht="12.75" x14ac:dyDescent="0.2">
      <c r="D4795" s="139"/>
    </row>
    <row r="4796" spans="4:4" ht="12.75" x14ac:dyDescent="0.2">
      <c r="D4796" s="139"/>
    </row>
    <row r="4797" spans="4:4" ht="12.75" x14ac:dyDescent="0.2">
      <c r="D4797" s="139"/>
    </row>
    <row r="4798" spans="4:4" ht="12.75" x14ac:dyDescent="0.2">
      <c r="D4798" s="139"/>
    </row>
    <row r="4799" spans="4:4" ht="12.75" x14ac:dyDescent="0.2">
      <c r="D4799" s="139"/>
    </row>
    <row r="4800" spans="4:4" ht="12.75" x14ac:dyDescent="0.2">
      <c r="D4800" s="139"/>
    </row>
    <row r="4801" spans="4:4" ht="12.75" x14ac:dyDescent="0.2">
      <c r="D4801" s="139"/>
    </row>
    <row r="4802" spans="4:4" ht="12.75" x14ac:dyDescent="0.2">
      <c r="D4802" s="139"/>
    </row>
    <row r="4803" spans="4:4" ht="12.75" x14ac:dyDescent="0.2">
      <c r="D4803" s="139"/>
    </row>
    <row r="4804" spans="4:4" ht="12.75" x14ac:dyDescent="0.2">
      <c r="D4804" s="139"/>
    </row>
    <row r="4805" spans="4:4" ht="12.75" x14ac:dyDescent="0.2">
      <c r="D4805" s="139"/>
    </row>
    <row r="4806" spans="4:4" ht="12.75" x14ac:dyDescent="0.2">
      <c r="D4806" s="139"/>
    </row>
    <row r="4807" spans="4:4" ht="12.75" x14ac:dyDescent="0.2">
      <c r="D4807" s="139"/>
    </row>
    <row r="4808" spans="4:4" ht="12.75" x14ac:dyDescent="0.2">
      <c r="D4808" s="139"/>
    </row>
    <row r="4809" spans="4:4" ht="12.75" x14ac:dyDescent="0.2">
      <c r="D4809" s="139"/>
    </row>
    <row r="4810" spans="4:4" ht="12.75" x14ac:dyDescent="0.2">
      <c r="D4810" s="139"/>
    </row>
    <row r="4811" spans="4:4" ht="12.75" x14ac:dyDescent="0.2">
      <c r="D4811" s="139"/>
    </row>
    <row r="4812" spans="4:4" ht="12.75" x14ac:dyDescent="0.2">
      <c r="D4812" s="139"/>
    </row>
    <row r="4813" spans="4:4" ht="12.75" x14ac:dyDescent="0.2">
      <c r="D4813" s="139"/>
    </row>
    <row r="4814" spans="4:4" ht="12.75" x14ac:dyDescent="0.2">
      <c r="D4814" s="139"/>
    </row>
    <row r="4815" spans="4:4" ht="12.75" x14ac:dyDescent="0.2">
      <c r="D4815" s="139"/>
    </row>
    <row r="4816" spans="4:4" ht="12.75" x14ac:dyDescent="0.2">
      <c r="D4816" s="139"/>
    </row>
    <row r="4817" spans="4:4" ht="12.75" x14ac:dyDescent="0.2">
      <c r="D4817" s="139"/>
    </row>
    <row r="4818" spans="4:4" ht="12.75" x14ac:dyDescent="0.2">
      <c r="D4818" s="139"/>
    </row>
    <row r="4819" spans="4:4" ht="12.75" x14ac:dyDescent="0.2">
      <c r="D4819" s="139"/>
    </row>
    <row r="4820" spans="4:4" ht="12.75" x14ac:dyDescent="0.2">
      <c r="D4820" s="139"/>
    </row>
    <row r="4821" spans="4:4" ht="12.75" x14ac:dyDescent="0.2">
      <c r="D4821" s="139"/>
    </row>
    <row r="4822" spans="4:4" ht="12.75" x14ac:dyDescent="0.2">
      <c r="D4822" s="139"/>
    </row>
    <row r="4823" spans="4:4" ht="12.75" x14ac:dyDescent="0.2">
      <c r="D4823" s="139"/>
    </row>
    <row r="4824" spans="4:4" ht="12.75" x14ac:dyDescent="0.2">
      <c r="D4824" s="139"/>
    </row>
    <row r="4825" spans="4:4" ht="12.75" x14ac:dyDescent="0.2">
      <c r="D4825" s="139"/>
    </row>
    <row r="4826" spans="4:4" ht="12.75" x14ac:dyDescent="0.2">
      <c r="D4826" s="139"/>
    </row>
    <row r="4827" spans="4:4" ht="12.75" x14ac:dyDescent="0.2">
      <c r="D4827" s="139"/>
    </row>
    <row r="4828" spans="4:4" ht="12.75" x14ac:dyDescent="0.2">
      <c r="D4828" s="139"/>
    </row>
    <row r="4829" spans="4:4" ht="12.75" x14ac:dyDescent="0.2">
      <c r="D4829" s="139"/>
    </row>
    <row r="4830" spans="4:4" ht="12.75" x14ac:dyDescent="0.2">
      <c r="D4830" s="139"/>
    </row>
    <row r="4831" spans="4:4" ht="12.75" x14ac:dyDescent="0.2">
      <c r="D4831" s="139"/>
    </row>
    <row r="4832" spans="4:4" ht="12.75" x14ac:dyDescent="0.2">
      <c r="D4832" s="139"/>
    </row>
    <row r="4833" spans="4:4" ht="12.75" x14ac:dyDescent="0.2">
      <c r="D4833" s="139"/>
    </row>
    <row r="4834" spans="4:4" ht="12.75" x14ac:dyDescent="0.2">
      <c r="D4834" s="139"/>
    </row>
    <row r="4835" spans="4:4" ht="12.75" x14ac:dyDescent="0.2">
      <c r="D4835" s="139"/>
    </row>
    <row r="4836" spans="4:4" ht="12.75" x14ac:dyDescent="0.2">
      <c r="D4836" s="139"/>
    </row>
    <row r="4837" spans="4:4" ht="12.75" x14ac:dyDescent="0.2">
      <c r="D4837" s="139"/>
    </row>
    <row r="4838" spans="4:4" ht="12.75" x14ac:dyDescent="0.2">
      <c r="D4838" s="139"/>
    </row>
    <row r="4839" spans="4:4" ht="12.75" x14ac:dyDescent="0.2">
      <c r="D4839" s="139"/>
    </row>
    <row r="4840" spans="4:4" ht="12.75" x14ac:dyDescent="0.2">
      <c r="D4840" s="139"/>
    </row>
    <row r="4841" spans="4:4" ht="12.75" x14ac:dyDescent="0.2">
      <c r="D4841" s="139"/>
    </row>
    <row r="4842" spans="4:4" ht="12.75" x14ac:dyDescent="0.2">
      <c r="D4842" s="139"/>
    </row>
    <row r="4843" spans="4:4" ht="12.75" x14ac:dyDescent="0.2">
      <c r="D4843" s="139"/>
    </row>
    <row r="4844" spans="4:4" ht="12.75" x14ac:dyDescent="0.2">
      <c r="D4844" s="139"/>
    </row>
    <row r="4845" spans="4:4" ht="12.75" x14ac:dyDescent="0.2">
      <c r="D4845" s="139"/>
    </row>
    <row r="4846" spans="4:4" ht="12.75" x14ac:dyDescent="0.2">
      <c r="D4846" s="139"/>
    </row>
    <row r="4847" spans="4:4" ht="12.75" x14ac:dyDescent="0.2">
      <c r="D4847" s="139"/>
    </row>
    <row r="4848" spans="4:4" ht="12.75" x14ac:dyDescent="0.2">
      <c r="D4848" s="139"/>
    </row>
    <row r="4849" spans="4:4" ht="12.75" x14ac:dyDescent="0.2">
      <c r="D4849" s="139"/>
    </row>
    <row r="4850" spans="4:4" ht="12.75" x14ac:dyDescent="0.2">
      <c r="D4850" s="139"/>
    </row>
    <row r="4851" spans="4:4" ht="12.75" x14ac:dyDescent="0.2">
      <c r="D4851" s="139"/>
    </row>
    <row r="4852" spans="4:4" ht="12.75" x14ac:dyDescent="0.2">
      <c r="D4852" s="139"/>
    </row>
    <row r="4853" spans="4:4" ht="12.75" x14ac:dyDescent="0.2">
      <c r="D4853" s="139"/>
    </row>
    <row r="4854" spans="4:4" ht="12.75" x14ac:dyDescent="0.2">
      <c r="D4854" s="139"/>
    </row>
    <row r="4855" spans="4:4" ht="12.75" x14ac:dyDescent="0.2">
      <c r="D4855" s="139"/>
    </row>
    <row r="4856" spans="4:4" ht="12.75" x14ac:dyDescent="0.2">
      <c r="D4856" s="139"/>
    </row>
    <row r="4857" spans="4:4" ht="12.75" x14ac:dyDescent="0.2">
      <c r="D4857" s="139"/>
    </row>
    <row r="4858" spans="4:4" ht="12.75" x14ac:dyDescent="0.2">
      <c r="D4858" s="139"/>
    </row>
    <row r="4859" spans="4:4" ht="12.75" x14ac:dyDescent="0.2">
      <c r="D4859" s="139"/>
    </row>
    <row r="4860" spans="4:4" ht="12.75" x14ac:dyDescent="0.2">
      <c r="D4860" s="139"/>
    </row>
    <row r="4861" spans="4:4" ht="12.75" x14ac:dyDescent="0.2">
      <c r="D4861" s="139"/>
    </row>
    <row r="4862" spans="4:4" ht="12.75" x14ac:dyDescent="0.2">
      <c r="D4862" s="139"/>
    </row>
    <row r="4863" spans="4:4" ht="12.75" x14ac:dyDescent="0.2">
      <c r="D4863" s="139"/>
    </row>
    <row r="4864" spans="4:4" ht="12.75" x14ac:dyDescent="0.2">
      <c r="D4864" s="139"/>
    </row>
    <row r="4865" spans="4:4" ht="12.75" x14ac:dyDescent="0.2">
      <c r="D4865" s="139"/>
    </row>
    <row r="4866" spans="4:4" ht="12.75" x14ac:dyDescent="0.2">
      <c r="D4866" s="139"/>
    </row>
    <row r="4867" spans="4:4" ht="12.75" x14ac:dyDescent="0.2">
      <c r="D4867" s="139"/>
    </row>
    <row r="4868" spans="4:4" ht="12.75" x14ac:dyDescent="0.2">
      <c r="D4868" s="139"/>
    </row>
    <row r="4869" spans="4:4" ht="12.75" x14ac:dyDescent="0.2">
      <c r="D4869" s="139"/>
    </row>
    <row r="4870" spans="4:4" ht="12.75" x14ac:dyDescent="0.2">
      <c r="D4870" s="139"/>
    </row>
    <row r="4871" spans="4:4" ht="12.75" x14ac:dyDescent="0.2">
      <c r="D4871" s="139"/>
    </row>
    <row r="4872" spans="4:4" ht="12.75" x14ac:dyDescent="0.2">
      <c r="D4872" s="139"/>
    </row>
    <row r="4873" spans="4:4" ht="12.75" x14ac:dyDescent="0.2">
      <c r="D4873" s="139"/>
    </row>
    <row r="4874" spans="4:4" ht="12.75" x14ac:dyDescent="0.2">
      <c r="D4874" s="139"/>
    </row>
    <row r="4875" spans="4:4" ht="12.75" x14ac:dyDescent="0.2">
      <c r="D4875" s="139"/>
    </row>
    <row r="4876" spans="4:4" ht="12.75" x14ac:dyDescent="0.2">
      <c r="D4876" s="139"/>
    </row>
    <row r="4877" spans="4:4" ht="12.75" x14ac:dyDescent="0.2">
      <c r="D4877" s="139"/>
    </row>
    <row r="4878" spans="4:4" ht="12.75" x14ac:dyDescent="0.2">
      <c r="D4878" s="139"/>
    </row>
    <row r="4879" spans="4:4" ht="12.75" x14ac:dyDescent="0.2">
      <c r="D4879" s="139"/>
    </row>
    <row r="4880" spans="4:4" ht="12.75" x14ac:dyDescent="0.2">
      <c r="D4880" s="139"/>
    </row>
    <row r="4881" spans="4:4" ht="12.75" x14ac:dyDescent="0.2">
      <c r="D4881" s="139"/>
    </row>
    <row r="4882" spans="4:4" ht="12.75" x14ac:dyDescent="0.2">
      <c r="D4882" s="139"/>
    </row>
    <row r="4883" spans="4:4" ht="12.75" x14ac:dyDescent="0.2">
      <c r="D4883" s="139"/>
    </row>
    <row r="4884" spans="4:4" ht="12.75" x14ac:dyDescent="0.2">
      <c r="D4884" s="139"/>
    </row>
    <row r="4885" spans="4:4" ht="12.75" x14ac:dyDescent="0.2">
      <c r="D4885" s="139"/>
    </row>
    <row r="4886" spans="4:4" ht="12.75" x14ac:dyDescent="0.2">
      <c r="D4886" s="139"/>
    </row>
    <row r="4887" spans="4:4" ht="12.75" x14ac:dyDescent="0.2">
      <c r="D4887" s="139"/>
    </row>
    <row r="4888" spans="4:4" ht="12.75" x14ac:dyDescent="0.2">
      <c r="D4888" s="139"/>
    </row>
    <row r="4889" spans="4:4" ht="12.75" x14ac:dyDescent="0.2">
      <c r="D4889" s="139"/>
    </row>
    <row r="4890" spans="4:4" ht="12.75" x14ac:dyDescent="0.2">
      <c r="D4890" s="139"/>
    </row>
    <row r="4891" spans="4:4" ht="12.75" x14ac:dyDescent="0.2">
      <c r="D4891" s="139"/>
    </row>
    <row r="4892" spans="4:4" ht="12.75" x14ac:dyDescent="0.2">
      <c r="D4892" s="139"/>
    </row>
    <row r="4893" spans="4:4" ht="12.75" x14ac:dyDescent="0.2">
      <c r="D4893" s="139"/>
    </row>
    <row r="4894" spans="4:4" ht="12.75" x14ac:dyDescent="0.2">
      <c r="D4894" s="139"/>
    </row>
    <row r="4895" spans="4:4" ht="12.75" x14ac:dyDescent="0.2">
      <c r="D4895" s="139"/>
    </row>
    <row r="4896" spans="4:4" ht="12.75" x14ac:dyDescent="0.2">
      <c r="D4896" s="139"/>
    </row>
    <row r="4897" spans="4:4" ht="12.75" x14ac:dyDescent="0.2">
      <c r="D4897" s="139"/>
    </row>
    <row r="4898" spans="4:4" ht="12.75" x14ac:dyDescent="0.2">
      <c r="D4898" s="139"/>
    </row>
    <row r="4899" spans="4:4" ht="12.75" x14ac:dyDescent="0.2">
      <c r="D4899" s="139"/>
    </row>
    <row r="4900" spans="4:4" ht="12.75" x14ac:dyDescent="0.2">
      <c r="D4900" s="139"/>
    </row>
    <row r="4901" spans="4:4" ht="12.75" x14ac:dyDescent="0.2">
      <c r="D4901" s="139"/>
    </row>
    <row r="4902" spans="4:4" ht="12.75" x14ac:dyDescent="0.2">
      <c r="D4902" s="139"/>
    </row>
    <row r="4903" spans="4:4" ht="12.75" x14ac:dyDescent="0.2">
      <c r="D4903" s="139"/>
    </row>
    <row r="4904" spans="4:4" ht="12.75" x14ac:dyDescent="0.2">
      <c r="D4904" s="139"/>
    </row>
    <row r="4905" spans="4:4" ht="12.75" x14ac:dyDescent="0.2">
      <c r="D4905" s="139"/>
    </row>
    <row r="4906" spans="4:4" ht="12.75" x14ac:dyDescent="0.2">
      <c r="D4906" s="139"/>
    </row>
    <row r="4907" spans="4:4" ht="12.75" x14ac:dyDescent="0.2">
      <c r="D4907" s="139"/>
    </row>
    <row r="4908" spans="4:4" ht="12.75" x14ac:dyDescent="0.2">
      <c r="D4908" s="139"/>
    </row>
    <row r="4909" spans="4:4" ht="12.75" x14ac:dyDescent="0.2">
      <c r="D4909" s="139"/>
    </row>
    <row r="4910" spans="4:4" ht="12.75" x14ac:dyDescent="0.2">
      <c r="D4910" s="139"/>
    </row>
    <row r="4911" spans="4:4" ht="12.75" x14ac:dyDescent="0.2">
      <c r="D4911" s="139"/>
    </row>
    <row r="4912" spans="4:4" ht="12.75" x14ac:dyDescent="0.2">
      <c r="D4912" s="139"/>
    </row>
    <row r="4913" spans="4:4" ht="12.75" x14ac:dyDescent="0.2">
      <c r="D4913" s="139"/>
    </row>
    <row r="4914" spans="4:4" ht="12.75" x14ac:dyDescent="0.2">
      <c r="D4914" s="139"/>
    </row>
    <row r="4915" spans="4:4" ht="12.75" x14ac:dyDescent="0.2">
      <c r="D4915" s="139"/>
    </row>
    <row r="4916" spans="4:4" ht="12.75" x14ac:dyDescent="0.2">
      <c r="D4916" s="139"/>
    </row>
    <row r="4917" spans="4:4" ht="12.75" x14ac:dyDescent="0.2">
      <c r="D4917" s="139"/>
    </row>
    <row r="4918" spans="4:4" ht="12.75" x14ac:dyDescent="0.2">
      <c r="D4918" s="139"/>
    </row>
    <row r="4919" spans="4:4" ht="12.75" x14ac:dyDescent="0.2">
      <c r="D4919" s="139"/>
    </row>
    <row r="4920" spans="4:4" ht="12.75" x14ac:dyDescent="0.2">
      <c r="D4920" s="139"/>
    </row>
    <row r="4921" spans="4:4" ht="12.75" x14ac:dyDescent="0.2">
      <c r="D4921" s="139"/>
    </row>
    <row r="4922" spans="4:4" ht="12.75" x14ac:dyDescent="0.2">
      <c r="D4922" s="139"/>
    </row>
    <row r="4923" spans="4:4" ht="12.75" x14ac:dyDescent="0.2">
      <c r="D4923" s="139"/>
    </row>
    <row r="4924" spans="4:4" ht="12.75" x14ac:dyDescent="0.2">
      <c r="D4924" s="139"/>
    </row>
    <row r="4925" spans="4:4" ht="12.75" x14ac:dyDescent="0.2">
      <c r="D4925" s="139"/>
    </row>
    <row r="4926" spans="4:4" ht="12.75" x14ac:dyDescent="0.2">
      <c r="D4926" s="139"/>
    </row>
    <row r="4927" spans="4:4" ht="12.75" x14ac:dyDescent="0.2">
      <c r="D4927" s="139"/>
    </row>
    <row r="4928" spans="4:4" ht="12.75" x14ac:dyDescent="0.2">
      <c r="D4928" s="139"/>
    </row>
    <row r="4929" spans="4:4" ht="12.75" x14ac:dyDescent="0.2">
      <c r="D4929" s="139"/>
    </row>
    <row r="4930" spans="4:4" ht="12.75" x14ac:dyDescent="0.2">
      <c r="D4930" s="139"/>
    </row>
    <row r="4931" spans="4:4" ht="12.75" x14ac:dyDescent="0.2">
      <c r="D4931" s="139"/>
    </row>
    <row r="4932" spans="4:4" ht="12.75" x14ac:dyDescent="0.2">
      <c r="D4932" s="139"/>
    </row>
    <row r="4933" spans="4:4" ht="12.75" x14ac:dyDescent="0.2">
      <c r="D4933" s="139"/>
    </row>
    <row r="4934" spans="4:4" ht="12.75" x14ac:dyDescent="0.2">
      <c r="D4934" s="139"/>
    </row>
    <row r="4935" spans="4:4" ht="12.75" x14ac:dyDescent="0.2">
      <c r="D4935" s="139"/>
    </row>
    <row r="4936" spans="4:4" ht="12.75" x14ac:dyDescent="0.2">
      <c r="D4936" s="139"/>
    </row>
    <row r="4937" spans="4:4" ht="12.75" x14ac:dyDescent="0.2">
      <c r="D4937" s="139"/>
    </row>
    <row r="4938" spans="4:4" ht="12.75" x14ac:dyDescent="0.2">
      <c r="D4938" s="139"/>
    </row>
    <row r="4939" spans="4:4" ht="12.75" x14ac:dyDescent="0.2">
      <c r="D4939" s="139"/>
    </row>
    <row r="4940" spans="4:4" ht="12.75" x14ac:dyDescent="0.2">
      <c r="D4940" s="139"/>
    </row>
    <row r="4941" spans="4:4" ht="12.75" x14ac:dyDescent="0.2">
      <c r="D4941" s="139"/>
    </row>
    <row r="4942" spans="4:4" ht="12.75" x14ac:dyDescent="0.2">
      <c r="D4942" s="139"/>
    </row>
    <row r="4943" spans="4:4" ht="12.75" x14ac:dyDescent="0.2">
      <c r="D4943" s="139"/>
    </row>
    <row r="4944" spans="4:4" ht="12.75" x14ac:dyDescent="0.2">
      <c r="D4944" s="139"/>
    </row>
    <row r="4945" spans="4:4" ht="12.75" x14ac:dyDescent="0.2">
      <c r="D4945" s="139"/>
    </row>
    <row r="4946" spans="4:4" ht="12.75" x14ac:dyDescent="0.2">
      <c r="D4946" s="139"/>
    </row>
    <row r="4947" spans="4:4" ht="12.75" x14ac:dyDescent="0.2">
      <c r="D4947" s="139"/>
    </row>
    <row r="4948" spans="4:4" ht="12.75" x14ac:dyDescent="0.2">
      <c r="D4948" s="139"/>
    </row>
    <row r="4949" spans="4:4" ht="12.75" x14ac:dyDescent="0.2">
      <c r="D4949" s="139"/>
    </row>
    <row r="4950" spans="4:4" ht="12.75" x14ac:dyDescent="0.2">
      <c r="D4950" s="139"/>
    </row>
    <row r="4951" spans="4:4" ht="12.75" x14ac:dyDescent="0.2">
      <c r="D4951" s="139"/>
    </row>
    <row r="4952" spans="4:4" ht="12.75" x14ac:dyDescent="0.2">
      <c r="D4952" s="139"/>
    </row>
    <row r="4953" spans="4:4" ht="12.75" x14ac:dyDescent="0.2">
      <c r="D4953" s="139"/>
    </row>
    <row r="4954" spans="4:4" ht="12.75" x14ac:dyDescent="0.2">
      <c r="D4954" s="139"/>
    </row>
    <row r="4955" spans="4:4" ht="12.75" x14ac:dyDescent="0.2">
      <c r="D4955" s="139"/>
    </row>
    <row r="4956" spans="4:4" ht="12.75" x14ac:dyDescent="0.2">
      <c r="D4956" s="139"/>
    </row>
    <row r="4957" spans="4:4" ht="12.75" x14ac:dyDescent="0.2">
      <c r="D4957" s="139"/>
    </row>
    <row r="4958" spans="4:4" ht="12.75" x14ac:dyDescent="0.2">
      <c r="D4958" s="139"/>
    </row>
    <row r="4959" spans="4:4" ht="12.75" x14ac:dyDescent="0.2">
      <c r="D4959" s="139"/>
    </row>
    <row r="4960" spans="4:4" ht="12.75" x14ac:dyDescent="0.2">
      <c r="D4960" s="139"/>
    </row>
    <row r="4961" spans="4:4" ht="12.75" x14ac:dyDescent="0.2">
      <c r="D4961" s="139"/>
    </row>
    <row r="4962" spans="4:4" ht="12.75" x14ac:dyDescent="0.2">
      <c r="D4962" s="139"/>
    </row>
    <row r="4963" spans="4:4" ht="12.75" x14ac:dyDescent="0.2">
      <c r="D4963" s="139"/>
    </row>
    <row r="4964" spans="4:4" ht="12.75" x14ac:dyDescent="0.2">
      <c r="D4964" s="139"/>
    </row>
    <row r="4965" spans="4:4" ht="12.75" x14ac:dyDescent="0.2">
      <c r="D4965" s="139"/>
    </row>
    <row r="4966" spans="4:4" ht="12.75" x14ac:dyDescent="0.2">
      <c r="D4966" s="139"/>
    </row>
    <row r="4967" spans="4:4" ht="12.75" x14ac:dyDescent="0.2">
      <c r="D4967" s="139"/>
    </row>
    <row r="4968" spans="4:4" ht="12.75" x14ac:dyDescent="0.2">
      <c r="D4968" s="139"/>
    </row>
    <row r="4969" spans="4:4" ht="12.75" x14ac:dyDescent="0.2">
      <c r="D4969" s="139"/>
    </row>
    <row r="4970" spans="4:4" ht="12.75" x14ac:dyDescent="0.2">
      <c r="D4970" s="139"/>
    </row>
    <row r="4971" spans="4:4" ht="12.75" x14ac:dyDescent="0.2">
      <c r="D4971" s="139"/>
    </row>
    <row r="4972" spans="4:4" ht="12.75" x14ac:dyDescent="0.2">
      <c r="D4972" s="139"/>
    </row>
    <row r="4973" spans="4:4" ht="12.75" x14ac:dyDescent="0.2">
      <c r="D4973" s="139"/>
    </row>
    <row r="4974" spans="4:4" ht="12.75" x14ac:dyDescent="0.2">
      <c r="D4974" s="139"/>
    </row>
    <row r="4975" spans="4:4" ht="12.75" x14ac:dyDescent="0.2">
      <c r="D4975" s="139"/>
    </row>
    <row r="4976" spans="4:4" ht="12.75" x14ac:dyDescent="0.2">
      <c r="D4976" s="139"/>
    </row>
    <row r="4977" spans="4:4" ht="12.75" x14ac:dyDescent="0.2">
      <c r="D4977" s="139"/>
    </row>
    <row r="4978" spans="4:4" ht="12.75" x14ac:dyDescent="0.2">
      <c r="D4978" s="139"/>
    </row>
    <row r="4979" spans="4:4" ht="12.75" x14ac:dyDescent="0.2">
      <c r="D4979" s="139"/>
    </row>
    <row r="4980" spans="4:4" ht="12.75" x14ac:dyDescent="0.2">
      <c r="D4980" s="139"/>
    </row>
    <row r="4981" spans="4:4" ht="12.75" x14ac:dyDescent="0.2">
      <c r="D4981" s="139"/>
    </row>
    <row r="4982" spans="4:4" ht="12.75" x14ac:dyDescent="0.2">
      <c r="D4982" s="139"/>
    </row>
    <row r="4983" spans="4:4" ht="12.75" x14ac:dyDescent="0.2">
      <c r="D4983" s="139"/>
    </row>
    <row r="4984" spans="4:4" ht="12.75" x14ac:dyDescent="0.2">
      <c r="D4984" s="139"/>
    </row>
    <row r="4985" spans="4:4" ht="12.75" x14ac:dyDescent="0.2">
      <c r="D4985" s="139"/>
    </row>
    <row r="4986" spans="4:4" ht="12.75" x14ac:dyDescent="0.2">
      <c r="D4986" s="139"/>
    </row>
    <row r="4987" spans="4:4" ht="12.75" x14ac:dyDescent="0.2">
      <c r="D4987" s="139"/>
    </row>
    <row r="4988" spans="4:4" ht="12.75" x14ac:dyDescent="0.2">
      <c r="D4988" s="139"/>
    </row>
    <row r="4989" spans="4:4" ht="12.75" x14ac:dyDescent="0.2">
      <c r="D4989" s="139"/>
    </row>
    <row r="4990" spans="4:4" ht="12.75" x14ac:dyDescent="0.2">
      <c r="D4990" s="139"/>
    </row>
    <row r="4991" spans="4:4" ht="12.75" x14ac:dyDescent="0.2">
      <c r="D4991" s="139"/>
    </row>
    <row r="4992" spans="4:4" ht="12.75" x14ac:dyDescent="0.2">
      <c r="D4992" s="139"/>
    </row>
    <row r="4993" spans="4:4" ht="12.75" x14ac:dyDescent="0.2">
      <c r="D4993" s="139"/>
    </row>
    <row r="4994" spans="4:4" ht="12.75" x14ac:dyDescent="0.2">
      <c r="D4994" s="139"/>
    </row>
    <row r="4995" spans="4:4" ht="12.75" x14ac:dyDescent="0.2">
      <c r="D4995" s="139"/>
    </row>
    <row r="4996" spans="4:4" ht="12.75" x14ac:dyDescent="0.2">
      <c r="D4996" s="139"/>
    </row>
    <row r="4997" spans="4:4" ht="12.75" x14ac:dyDescent="0.2">
      <c r="D4997" s="139"/>
    </row>
    <row r="4998" spans="4:4" ht="12.75" x14ac:dyDescent="0.2">
      <c r="D4998" s="139"/>
    </row>
    <row r="4999" spans="4:4" ht="12.75" x14ac:dyDescent="0.2">
      <c r="D4999" s="139"/>
    </row>
    <row r="5000" spans="4:4" ht="12.75" x14ac:dyDescent="0.2">
      <c r="D5000" s="139"/>
    </row>
    <row r="5001" spans="4:4" ht="12.75" x14ac:dyDescent="0.2">
      <c r="D5001" s="139"/>
    </row>
    <row r="5002" spans="4:4" ht="12.75" x14ac:dyDescent="0.2">
      <c r="D5002" s="139"/>
    </row>
    <row r="5003" spans="4:4" ht="12.75" x14ac:dyDescent="0.2">
      <c r="D5003" s="139"/>
    </row>
    <row r="5004" spans="4:4" ht="12.75" x14ac:dyDescent="0.2">
      <c r="D5004" s="139"/>
    </row>
    <row r="5005" spans="4:4" ht="12.75" x14ac:dyDescent="0.2">
      <c r="D5005" s="139"/>
    </row>
    <row r="5006" spans="4:4" ht="12.75" x14ac:dyDescent="0.2">
      <c r="D5006" s="139"/>
    </row>
    <row r="5007" spans="4:4" ht="12.75" x14ac:dyDescent="0.2">
      <c r="D5007" s="139"/>
    </row>
    <row r="5008" spans="4:4" ht="12.75" x14ac:dyDescent="0.2">
      <c r="D5008" s="139"/>
    </row>
    <row r="5009" spans="4:4" ht="12.75" x14ac:dyDescent="0.2">
      <c r="D5009" s="139"/>
    </row>
    <row r="5010" spans="4:4" ht="12.75" x14ac:dyDescent="0.2">
      <c r="D5010" s="139"/>
    </row>
    <row r="5011" spans="4:4" ht="12.75" x14ac:dyDescent="0.2">
      <c r="D5011" s="139"/>
    </row>
    <row r="5012" spans="4:4" ht="12.75" x14ac:dyDescent="0.2">
      <c r="D5012" s="139"/>
    </row>
    <row r="5013" spans="4:4" ht="12.75" x14ac:dyDescent="0.2">
      <c r="D5013" s="139"/>
    </row>
    <row r="5014" spans="4:4" ht="12.75" x14ac:dyDescent="0.2">
      <c r="D5014" s="139"/>
    </row>
    <row r="5015" spans="4:4" ht="12.75" x14ac:dyDescent="0.2">
      <c r="D5015" s="139"/>
    </row>
    <row r="5016" spans="4:4" ht="12.75" x14ac:dyDescent="0.2">
      <c r="D5016" s="139"/>
    </row>
    <row r="5017" spans="4:4" ht="12.75" x14ac:dyDescent="0.2">
      <c r="D5017" s="139"/>
    </row>
    <row r="5018" spans="4:4" ht="12.75" x14ac:dyDescent="0.2">
      <c r="D5018" s="139"/>
    </row>
    <row r="5019" spans="4:4" ht="12.75" x14ac:dyDescent="0.2">
      <c r="D5019" s="139"/>
    </row>
    <row r="5020" spans="4:4" ht="12.75" x14ac:dyDescent="0.2">
      <c r="D5020" s="139"/>
    </row>
    <row r="5021" spans="4:4" ht="12.75" x14ac:dyDescent="0.2">
      <c r="D5021" s="139"/>
    </row>
    <row r="5022" spans="4:4" ht="12.75" x14ac:dyDescent="0.2">
      <c r="D5022" s="139"/>
    </row>
    <row r="5023" spans="4:4" ht="12.75" x14ac:dyDescent="0.2">
      <c r="D5023" s="139"/>
    </row>
    <row r="5024" spans="4:4" ht="12.75" x14ac:dyDescent="0.2">
      <c r="D5024" s="139"/>
    </row>
    <row r="5025" spans="4:4" ht="12.75" x14ac:dyDescent="0.2">
      <c r="D5025" s="139"/>
    </row>
    <row r="5026" spans="4:4" ht="12.75" x14ac:dyDescent="0.2">
      <c r="D5026" s="139"/>
    </row>
    <row r="5027" spans="4:4" ht="12.75" x14ac:dyDescent="0.2">
      <c r="D5027" s="139"/>
    </row>
    <row r="5028" spans="4:4" ht="12.75" x14ac:dyDescent="0.2">
      <c r="D5028" s="139"/>
    </row>
    <row r="5029" spans="4:4" ht="12.75" x14ac:dyDescent="0.2">
      <c r="D5029" s="139"/>
    </row>
    <row r="5030" spans="4:4" ht="12.75" x14ac:dyDescent="0.2">
      <c r="D5030" s="139"/>
    </row>
    <row r="5031" spans="4:4" ht="12.75" x14ac:dyDescent="0.2">
      <c r="D5031" s="139"/>
    </row>
    <row r="5032" spans="4:4" ht="12.75" x14ac:dyDescent="0.2">
      <c r="D5032" s="139"/>
    </row>
    <row r="5033" spans="4:4" ht="12.75" x14ac:dyDescent="0.2">
      <c r="D5033" s="139"/>
    </row>
    <row r="5034" spans="4:4" ht="12.75" x14ac:dyDescent="0.2">
      <c r="D5034" s="139"/>
    </row>
    <row r="5035" spans="4:4" ht="12.75" x14ac:dyDescent="0.2">
      <c r="D5035" s="139"/>
    </row>
    <row r="5036" spans="4:4" ht="12.75" x14ac:dyDescent="0.2">
      <c r="D5036" s="139"/>
    </row>
    <row r="5037" spans="4:4" ht="12.75" x14ac:dyDescent="0.2">
      <c r="D5037" s="139"/>
    </row>
    <row r="5038" spans="4:4" ht="12.75" x14ac:dyDescent="0.2">
      <c r="D5038" s="139"/>
    </row>
    <row r="5039" spans="4:4" ht="12.75" x14ac:dyDescent="0.2">
      <c r="D5039" s="139"/>
    </row>
    <row r="5040" spans="4:4" ht="12.75" x14ac:dyDescent="0.2">
      <c r="D5040" s="139"/>
    </row>
    <row r="5041" spans="4:4" ht="12.75" x14ac:dyDescent="0.2">
      <c r="D5041" s="139"/>
    </row>
    <row r="5042" spans="4:4" ht="12.75" x14ac:dyDescent="0.2">
      <c r="D5042" s="139"/>
    </row>
    <row r="5043" spans="4:4" ht="12.75" x14ac:dyDescent="0.2">
      <c r="D5043" s="139"/>
    </row>
    <row r="5044" spans="4:4" ht="12.75" x14ac:dyDescent="0.2">
      <c r="D5044" s="139"/>
    </row>
    <row r="5045" spans="4:4" ht="12.75" x14ac:dyDescent="0.2">
      <c r="D5045" s="139"/>
    </row>
    <row r="5046" spans="4:4" ht="12.75" x14ac:dyDescent="0.2">
      <c r="D5046" s="139"/>
    </row>
    <row r="5047" spans="4:4" ht="12.75" x14ac:dyDescent="0.2">
      <c r="D5047" s="139"/>
    </row>
    <row r="5048" spans="4:4" ht="12.75" x14ac:dyDescent="0.2">
      <c r="D5048" s="139"/>
    </row>
    <row r="5049" spans="4:4" ht="12.75" x14ac:dyDescent="0.2">
      <c r="D5049" s="139"/>
    </row>
    <row r="5050" spans="4:4" ht="12.75" x14ac:dyDescent="0.2">
      <c r="D5050" s="139"/>
    </row>
    <row r="5051" spans="4:4" ht="12.75" x14ac:dyDescent="0.2">
      <c r="D5051" s="139"/>
    </row>
    <row r="5052" spans="4:4" ht="12.75" x14ac:dyDescent="0.2">
      <c r="D5052" s="139"/>
    </row>
    <row r="5053" spans="4:4" ht="12.75" x14ac:dyDescent="0.2">
      <c r="D5053" s="139"/>
    </row>
    <row r="5054" spans="4:4" ht="12.75" x14ac:dyDescent="0.2">
      <c r="D5054" s="139"/>
    </row>
    <row r="5055" spans="4:4" ht="12.75" x14ac:dyDescent="0.2">
      <c r="D5055" s="139"/>
    </row>
    <row r="5056" spans="4:4" ht="12.75" x14ac:dyDescent="0.2">
      <c r="D5056" s="139"/>
    </row>
    <row r="5057" spans="4:4" ht="12.75" x14ac:dyDescent="0.2">
      <c r="D5057" s="139"/>
    </row>
    <row r="5058" spans="4:4" ht="12.75" x14ac:dyDescent="0.2">
      <c r="D5058" s="139"/>
    </row>
    <row r="5059" spans="4:4" ht="12.75" x14ac:dyDescent="0.2">
      <c r="D5059" s="139"/>
    </row>
    <row r="5060" spans="4:4" ht="12.75" x14ac:dyDescent="0.2">
      <c r="D5060" s="139"/>
    </row>
    <row r="5061" spans="4:4" ht="12.75" x14ac:dyDescent="0.2">
      <c r="D5061" s="139"/>
    </row>
    <row r="5062" spans="4:4" ht="12.75" x14ac:dyDescent="0.2">
      <c r="D5062" s="139"/>
    </row>
    <row r="5063" spans="4:4" ht="12.75" x14ac:dyDescent="0.2">
      <c r="D5063" s="139"/>
    </row>
    <row r="5064" spans="4:4" ht="12.75" x14ac:dyDescent="0.2">
      <c r="D5064" s="139"/>
    </row>
    <row r="5065" spans="4:4" ht="12.75" x14ac:dyDescent="0.2">
      <c r="D5065" s="139"/>
    </row>
    <row r="5066" spans="4:4" ht="12.75" x14ac:dyDescent="0.2">
      <c r="D5066" s="139"/>
    </row>
    <row r="5067" spans="4:4" ht="12.75" x14ac:dyDescent="0.2">
      <c r="D5067" s="139"/>
    </row>
    <row r="5068" spans="4:4" ht="12.75" x14ac:dyDescent="0.2">
      <c r="D5068" s="139"/>
    </row>
    <row r="5069" spans="4:4" ht="12.75" x14ac:dyDescent="0.2">
      <c r="D5069" s="139"/>
    </row>
    <row r="5070" spans="4:4" ht="12.75" x14ac:dyDescent="0.2">
      <c r="D5070" s="139"/>
    </row>
    <row r="5071" spans="4:4" ht="12.75" x14ac:dyDescent="0.2">
      <c r="D5071" s="139"/>
    </row>
    <row r="5072" spans="4:4" ht="12.75" x14ac:dyDescent="0.2">
      <c r="D5072" s="139"/>
    </row>
    <row r="5073" spans="4:4" ht="12.75" x14ac:dyDescent="0.2">
      <c r="D5073" s="139"/>
    </row>
    <row r="5074" spans="4:4" ht="12.75" x14ac:dyDescent="0.2">
      <c r="D5074" s="139"/>
    </row>
    <row r="5075" spans="4:4" ht="12.75" x14ac:dyDescent="0.2">
      <c r="D5075" s="139"/>
    </row>
    <row r="5076" spans="4:4" ht="12.75" x14ac:dyDescent="0.2">
      <c r="D5076" s="139"/>
    </row>
    <row r="5077" spans="4:4" ht="12.75" x14ac:dyDescent="0.2">
      <c r="D5077" s="139"/>
    </row>
    <row r="5078" spans="4:4" ht="12.75" x14ac:dyDescent="0.2">
      <c r="D5078" s="139"/>
    </row>
    <row r="5079" spans="4:4" ht="12.75" x14ac:dyDescent="0.2">
      <c r="D5079" s="139"/>
    </row>
    <row r="5080" spans="4:4" ht="12.75" x14ac:dyDescent="0.2">
      <c r="D5080" s="139"/>
    </row>
    <row r="5081" spans="4:4" ht="12.75" x14ac:dyDescent="0.2">
      <c r="D5081" s="139"/>
    </row>
    <row r="5082" spans="4:4" ht="12.75" x14ac:dyDescent="0.2">
      <c r="D5082" s="139"/>
    </row>
    <row r="5083" spans="4:4" ht="12.75" x14ac:dyDescent="0.2">
      <c r="D5083" s="139"/>
    </row>
    <row r="5084" spans="4:4" ht="12.75" x14ac:dyDescent="0.2">
      <c r="D5084" s="139"/>
    </row>
    <row r="5085" spans="4:4" ht="12.75" x14ac:dyDescent="0.2">
      <c r="D5085" s="139"/>
    </row>
    <row r="5086" spans="4:4" ht="12.75" x14ac:dyDescent="0.2">
      <c r="D5086" s="139"/>
    </row>
    <row r="5087" spans="4:4" ht="12.75" x14ac:dyDescent="0.2">
      <c r="D5087" s="139"/>
    </row>
    <row r="5088" spans="4:4" ht="12.75" x14ac:dyDescent="0.2">
      <c r="D5088" s="139"/>
    </row>
    <row r="5089" spans="4:4" ht="12.75" x14ac:dyDescent="0.2">
      <c r="D5089" s="139"/>
    </row>
    <row r="5090" spans="4:4" ht="12.75" x14ac:dyDescent="0.2">
      <c r="D5090" s="139"/>
    </row>
    <row r="5091" spans="4:4" ht="12.75" x14ac:dyDescent="0.2">
      <c r="D5091" s="139"/>
    </row>
    <row r="5092" spans="4:4" ht="12.75" x14ac:dyDescent="0.2">
      <c r="D5092" s="139"/>
    </row>
    <row r="5093" spans="4:4" ht="12.75" x14ac:dyDescent="0.2">
      <c r="D5093" s="139"/>
    </row>
    <row r="5094" spans="4:4" ht="12.75" x14ac:dyDescent="0.2">
      <c r="D5094" s="139"/>
    </row>
    <row r="5095" spans="4:4" ht="12.75" x14ac:dyDescent="0.2">
      <c r="D5095" s="139"/>
    </row>
    <row r="5096" spans="4:4" ht="12.75" x14ac:dyDescent="0.2">
      <c r="D5096" s="139"/>
    </row>
    <row r="5097" spans="4:4" ht="12.75" x14ac:dyDescent="0.2">
      <c r="D5097" s="139"/>
    </row>
    <row r="5098" spans="4:4" ht="12.75" x14ac:dyDescent="0.2">
      <c r="D5098" s="139"/>
    </row>
    <row r="5099" spans="4:4" ht="12.75" x14ac:dyDescent="0.2">
      <c r="D5099" s="139"/>
    </row>
    <row r="5100" spans="4:4" ht="12.75" x14ac:dyDescent="0.2">
      <c r="D5100" s="139"/>
    </row>
    <row r="5101" spans="4:4" ht="12.75" x14ac:dyDescent="0.2">
      <c r="D5101" s="139"/>
    </row>
    <row r="5102" spans="4:4" ht="12.75" x14ac:dyDescent="0.2">
      <c r="D5102" s="139"/>
    </row>
    <row r="5103" spans="4:4" ht="12.75" x14ac:dyDescent="0.2">
      <c r="D5103" s="139"/>
    </row>
    <row r="5104" spans="4:4" ht="12.75" x14ac:dyDescent="0.2">
      <c r="D5104" s="139"/>
    </row>
    <row r="5105" spans="4:4" ht="12.75" x14ac:dyDescent="0.2">
      <c r="D5105" s="139"/>
    </row>
    <row r="5106" spans="4:4" ht="12.75" x14ac:dyDescent="0.2">
      <c r="D5106" s="139"/>
    </row>
    <row r="5107" spans="4:4" ht="12.75" x14ac:dyDescent="0.2">
      <c r="D5107" s="139"/>
    </row>
    <row r="5108" spans="4:4" ht="12.75" x14ac:dyDescent="0.2">
      <c r="D5108" s="139"/>
    </row>
    <row r="5109" spans="4:4" ht="12.75" x14ac:dyDescent="0.2">
      <c r="D5109" s="139"/>
    </row>
    <row r="5110" spans="4:4" ht="12.75" x14ac:dyDescent="0.2">
      <c r="D5110" s="139"/>
    </row>
    <row r="5111" spans="4:4" ht="12.75" x14ac:dyDescent="0.2">
      <c r="D5111" s="139"/>
    </row>
    <row r="5112" spans="4:4" ht="12.75" x14ac:dyDescent="0.2">
      <c r="D5112" s="139"/>
    </row>
    <row r="5113" spans="4:4" ht="12.75" x14ac:dyDescent="0.2">
      <c r="D5113" s="139"/>
    </row>
    <row r="5114" spans="4:4" ht="12.75" x14ac:dyDescent="0.2">
      <c r="D5114" s="139"/>
    </row>
    <row r="5115" spans="4:4" ht="12.75" x14ac:dyDescent="0.2">
      <c r="D5115" s="139"/>
    </row>
    <row r="5116" spans="4:4" ht="12.75" x14ac:dyDescent="0.2">
      <c r="D5116" s="139"/>
    </row>
    <row r="5117" spans="4:4" ht="12.75" x14ac:dyDescent="0.2">
      <c r="D5117" s="139"/>
    </row>
    <row r="5118" spans="4:4" ht="12.75" x14ac:dyDescent="0.2">
      <c r="D5118" s="139"/>
    </row>
    <row r="5119" spans="4:4" ht="12.75" x14ac:dyDescent="0.2">
      <c r="D5119" s="139"/>
    </row>
    <row r="5120" spans="4:4" ht="12.75" x14ac:dyDescent="0.2">
      <c r="D5120" s="139"/>
    </row>
    <row r="5121" spans="4:4" ht="12.75" x14ac:dyDescent="0.2">
      <c r="D5121" s="139"/>
    </row>
    <row r="5122" spans="4:4" ht="12.75" x14ac:dyDescent="0.2">
      <c r="D5122" s="139"/>
    </row>
    <row r="5123" spans="4:4" ht="12.75" x14ac:dyDescent="0.2">
      <c r="D5123" s="139"/>
    </row>
    <row r="5124" spans="4:4" ht="12.75" x14ac:dyDescent="0.2">
      <c r="D5124" s="139"/>
    </row>
    <row r="5125" spans="4:4" ht="12.75" x14ac:dyDescent="0.2">
      <c r="D5125" s="139"/>
    </row>
    <row r="5126" spans="4:4" ht="12.75" x14ac:dyDescent="0.2">
      <c r="D5126" s="139"/>
    </row>
    <row r="5127" spans="4:4" ht="12.75" x14ac:dyDescent="0.2">
      <c r="D5127" s="139"/>
    </row>
    <row r="5128" spans="4:4" ht="12.75" x14ac:dyDescent="0.2">
      <c r="D5128" s="139"/>
    </row>
    <row r="5129" spans="4:4" ht="12.75" x14ac:dyDescent="0.2">
      <c r="D5129" s="139"/>
    </row>
    <row r="5130" spans="4:4" ht="12.75" x14ac:dyDescent="0.2">
      <c r="D5130" s="139"/>
    </row>
    <row r="5131" spans="4:4" ht="12.75" x14ac:dyDescent="0.2">
      <c r="D5131" s="139"/>
    </row>
    <row r="5132" spans="4:4" ht="12.75" x14ac:dyDescent="0.2">
      <c r="D5132" s="139"/>
    </row>
    <row r="5133" spans="4:4" ht="12.75" x14ac:dyDescent="0.2">
      <c r="D5133" s="139"/>
    </row>
    <row r="5134" spans="4:4" ht="12.75" x14ac:dyDescent="0.2">
      <c r="D5134" s="139"/>
    </row>
    <row r="5135" spans="4:4" ht="12.75" x14ac:dyDescent="0.2">
      <c r="D5135" s="139"/>
    </row>
    <row r="5136" spans="4:4" ht="12.75" x14ac:dyDescent="0.2">
      <c r="D5136" s="139"/>
    </row>
    <row r="5137" spans="4:4" ht="12.75" x14ac:dyDescent="0.2">
      <c r="D5137" s="139"/>
    </row>
    <row r="5138" spans="4:4" ht="12.75" x14ac:dyDescent="0.2">
      <c r="D5138" s="139"/>
    </row>
    <row r="5139" spans="4:4" ht="12.75" x14ac:dyDescent="0.2">
      <c r="D5139" s="139"/>
    </row>
    <row r="5140" spans="4:4" ht="12.75" x14ac:dyDescent="0.2">
      <c r="D5140" s="139"/>
    </row>
    <row r="5141" spans="4:4" ht="12.75" x14ac:dyDescent="0.2">
      <c r="D5141" s="139"/>
    </row>
    <row r="5142" spans="4:4" ht="12.75" x14ac:dyDescent="0.2">
      <c r="D5142" s="139"/>
    </row>
    <row r="5143" spans="4:4" ht="12.75" x14ac:dyDescent="0.2">
      <c r="D5143" s="139"/>
    </row>
    <row r="5144" spans="4:4" ht="12.75" x14ac:dyDescent="0.2">
      <c r="D5144" s="139"/>
    </row>
    <row r="5145" spans="4:4" ht="12.75" x14ac:dyDescent="0.2">
      <c r="D5145" s="139"/>
    </row>
    <row r="5146" spans="4:4" ht="12.75" x14ac:dyDescent="0.2">
      <c r="D5146" s="139"/>
    </row>
    <row r="5147" spans="4:4" ht="12.75" x14ac:dyDescent="0.2">
      <c r="D5147" s="139"/>
    </row>
    <row r="5148" spans="4:4" ht="12.75" x14ac:dyDescent="0.2">
      <c r="D5148" s="139"/>
    </row>
    <row r="5149" spans="4:4" ht="12.75" x14ac:dyDescent="0.2">
      <c r="D5149" s="139"/>
    </row>
    <row r="5150" spans="4:4" ht="12.75" x14ac:dyDescent="0.2">
      <c r="D5150" s="139"/>
    </row>
    <row r="5151" spans="4:4" ht="12.75" x14ac:dyDescent="0.2">
      <c r="D5151" s="139"/>
    </row>
    <row r="5152" spans="4:4" ht="12.75" x14ac:dyDescent="0.2">
      <c r="D5152" s="139"/>
    </row>
    <row r="5153" spans="4:4" ht="12.75" x14ac:dyDescent="0.2">
      <c r="D5153" s="139"/>
    </row>
    <row r="5154" spans="4:4" ht="12.75" x14ac:dyDescent="0.2">
      <c r="D5154" s="139"/>
    </row>
    <row r="5155" spans="4:4" ht="12.75" x14ac:dyDescent="0.2">
      <c r="D5155" s="139"/>
    </row>
    <row r="5156" spans="4:4" ht="12.75" x14ac:dyDescent="0.2">
      <c r="D5156" s="139"/>
    </row>
    <row r="5157" spans="4:4" ht="12.75" x14ac:dyDescent="0.2">
      <c r="D5157" s="139"/>
    </row>
    <row r="5158" spans="4:4" ht="12.75" x14ac:dyDescent="0.2">
      <c r="D5158" s="139"/>
    </row>
    <row r="5159" spans="4:4" ht="12.75" x14ac:dyDescent="0.2">
      <c r="D5159" s="139"/>
    </row>
    <row r="5160" spans="4:4" ht="12.75" x14ac:dyDescent="0.2">
      <c r="D5160" s="139"/>
    </row>
    <row r="5161" spans="4:4" ht="12.75" x14ac:dyDescent="0.2">
      <c r="D5161" s="139"/>
    </row>
    <row r="5162" spans="4:4" ht="12.75" x14ac:dyDescent="0.2">
      <c r="D5162" s="139"/>
    </row>
    <row r="5163" spans="4:4" ht="12.75" x14ac:dyDescent="0.2">
      <c r="D5163" s="139"/>
    </row>
    <row r="5164" spans="4:4" ht="12.75" x14ac:dyDescent="0.2">
      <c r="D5164" s="139"/>
    </row>
    <row r="5165" spans="4:4" ht="12.75" x14ac:dyDescent="0.2">
      <c r="D5165" s="139"/>
    </row>
    <row r="5166" spans="4:4" ht="12.75" x14ac:dyDescent="0.2">
      <c r="D5166" s="139"/>
    </row>
    <row r="5167" spans="4:4" ht="12.75" x14ac:dyDescent="0.2">
      <c r="D5167" s="139"/>
    </row>
    <row r="5168" spans="4:4" ht="12.75" x14ac:dyDescent="0.2">
      <c r="D5168" s="139"/>
    </row>
    <row r="5169" spans="4:4" ht="12.75" x14ac:dyDescent="0.2">
      <c r="D5169" s="139"/>
    </row>
    <row r="5170" spans="4:4" ht="12.75" x14ac:dyDescent="0.2">
      <c r="D5170" s="139"/>
    </row>
    <row r="5171" spans="4:4" ht="12.75" x14ac:dyDescent="0.2">
      <c r="D5171" s="139"/>
    </row>
    <row r="5172" spans="4:4" ht="12.75" x14ac:dyDescent="0.2">
      <c r="D5172" s="139"/>
    </row>
    <row r="5173" spans="4:4" ht="12.75" x14ac:dyDescent="0.2">
      <c r="D5173" s="139"/>
    </row>
    <row r="5174" spans="4:4" ht="12.75" x14ac:dyDescent="0.2">
      <c r="D5174" s="139"/>
    </row>
    <row r="5175" spans="4:4" ht="12.75" x14ac:dyDescent="0.2">
      <c r="D5175" s="139"/>
    </row>
    <row r="5176" spans="4:4" ht="12.75" x14ac:dyDescent="0.2">
      <c r="D5176" s="139"/>
    </row>
    <row r="5177" spans="4:4" ht="12.75" x14ac:dyDescent="0.2">
      <c r="D5177" s="139"/>
    </row>
    <row r="5178" spans="4:4" ht="12.75" x14ac:dyDescent="0.2">
      <c r="D5178" s="139"/>
    </row>
    <row r="5179" spans="4:4" ht="12.75" x14ac:dyDescent="0.2">
      <c r="D5179" s="139"/>
    </row>
    <row r="5180" spans="4:4" ht="12.75" x14ac:dyDescent="0.2">
      <c r="D5180" s="139"/>
    </row>
    <row r="5181" spans="4:4" ht="12.75" x14ac:dyDescent="0.2">
      <c r="D5181" s="139"/>
    </row>
    <row r="5182" spans="4:4" ht="12.75" x14ac:dyDescent="0.2">
      <c r="D5182" s="139"/>
    </row>
    <row r="5183" spans="4:4" ht="12.75" x14ac:dyDescent="0.2">
      <c r="D5183" s="139"/>
    </row>
    <row r="5184" spans="4:4" ht="12.75" x14ac:dyDescent="0.2">
      <c r="D5184" s="139"/>
    </row>
    <row r="5185" spans="4:4" ht="12.75" x14ac:dyDescent="0.2">
      <c r="D5185" s="139"/>
    </row>
    <row r="5186" spans="4:4" ht="12.75" x14ac:dyDescent="0.2">
      <c r="D5186" s="139"/>
    </row>
    <row r="5187" spans="4:4" ht="12.75" x14ac:dyDescent="0.2">
      <c r="D5187" s="139"/>
    </row>
    <row r="5188" spans="4:4" ht="12.75" x14ac:dyDescent="0.2">
      <c r="D5188" s="139"/>
    </row>
    <row r="5189" spans="4:4" ht="12.75" x14ac:dyDescent="0.2">
      <c r="D5189" s="139"/>
    </row>
    <row r="5190" spans="4:4" ht="12.75" x14ac:dyDescent="0.2">
      <c r="D5190" s="139"/>
    </row>
    <row r="5191" spans="4:4" ht="12.75" x14ac:dyDescent="0.2">
      <c r="D5191" s="139"/>
    </row>
    <row r="5192" spans="4:4" ht="12.75" x14ac:dyDescent="0.2">
      <c r="D5192" s="139"/>
    </row>
    <row r="5193" spans="4:4" ht="12.75" x14ac:dyDescent="0.2">
      <c r="D5193" s="139"/>
    </row>
    <row r="5194" spans="4:4" ht="12.75" x14ac:dyDescent="0.2">
      <c r="D5194" s="139"/>
    </row>
    <row r="5195" spans="4:4" ht="12.75" x14ac:dyDescent="0.2">
      <c r="D5195" s="139"/>
    </row>
    <row r="5196" spans="4:4" ht="12.75" x14ac:dyDescent="0.2">
      <c r="D5196" s="139"/>
    </row>
    <row r="5197" spans="4:4" ht="12.75" x14ac:dyDescent="0.2">
      <c r="D5197" s="139"/>
    </row>
    <row r="5198" spans="4:4" ht="12.75" x14ac:dyDescent="0.2">
      <c r="D5198" s="139"/>
    </row>
    <row r="5199" spans="4:4" ht="12.75" x14ac:dyDescent="0.2">
      <c r="D5199" s="139"/>
    </row>
    <row r="5200" spans="4:4" ht="12.75" x14ac:dyDescent="0.2">
      <c r="D5200" s="139"/>
    </row>
    <row r="5201" spans="4:4" ht="12.75" x14ac:dyDescent="0.2">
      <c r="D5201" s="139"/>
    </row>
    <row r="5202" spans="4:4" ht="12.75" x14ac:dyDescent="0.2">
      <c r="D5202" s="139"/>
    </row>
    <row r="5203" spans="4:4" ht="12.75" x14ac:dyDescent="0.2">
      <c r="D5203" s="139"/>
    </row>
    <row r="5204" spans="4:4" ht="12.75" x14ac:dyDescent="0.2">
      <c r="D5204" s="139"/>
    </row>
    <row r="5205" spans="4:4" ht="12.75" x14ac:dyDescent="0.2">
      <c r="D5205" s="139"/>
    </row>
    <row r="5206" spans="4:4" ht="12.75" x14ac:dyDescent="0.2">
      <c r="D5206" s="139"/>
    </row>
    <row r="5207" spans="4:4" ht="12.75" x14ac:dyDescent="0.2">
      <c r="D5207" s="139"/>
    </row>
    <row r="5208" spans="4:4" ht="12.75" x14ac:dyDescent="0.2">
      <c r="D5208" s="139"/>
    </row>
    <row r="5209" spans="4:4" ht="12.75" x14ac:dyDescent="0.2">
      <c r="D5209" s="139"/>
    </row>
    <row r="5210" spans="4:4" ht="12.75" x14ac:dyDescent="0.2">
      <c r="D5210" s="139"/>
    </row>
    <row r="5211" spans="4:4" ht="12.75" x14ac:dyDescent="0.2">
      <c r="D5211" s="139"/>
    </row>
    <row r="5212" spans="4:4" ht="12.75" x14ac:dyDescent="0.2">
      <c r="D5212" s="139"/>
    </row>
    <row r="5213" spans="4:4" ht="12.75" x14ac:dyDescent="0.2">
      <c r="D5213" s="139"/>
    </row>
    <row r="5214" spans="4:4" ht="12.75" x14ac:dyDescent="0.2">
      <c r="D5214" s="139"/>
    </row>
    <row r="5215" spans="4:4" ht="12.75" x14ac:dyDescent="0.2">
      <c r="D5215" s="139"/>
    </row>
    <row r="5216" spans="4:4" ht="12.75" x14ac:dyDescent="0.2">
      <c r="D5216" s="139"/>
    </row>
    <row r="5217" spans="4:4" ht="12.75" x14ac:dyDescent="0.2">
      <c r="D5217" s="139"/>
    </row>
    <row r="5218" spans="4:4" ht="12.75" x14ac:dyDescent="0.2">
      <c r="D5218" s="139"/>
    </row>
    <row r="5219" spans="4:4" ht="12.75" x14ac:dyDescent="0.2">
      <c r="D5219" s="139"/>
    </row>
    <row r="5220" spans="4:4" ht="12.75" x14ac:dyDescent="0.2">
      <c r="D5220" s="139"/>
    </row>
    <row r="5221" spans="4:4" ht="12.75" x14ac:dyDescent="0.2">
      <c r="D5221" s="139"/>
    </row>
    <row r="5222" spans="4:4" ht="12.75" x14ac:dyDescent="0.2">
      <c r="D5222" s="139"/>
    </row>
    <row r="5223" spans="4:4" ht="12.75" x14ac:dyDescent="0.2">
      <c r="D5223" s="139"/>
    </row>
    <row r="5224" spans="4:4" ht="12.75" x14ac:dyDescent="0.2">
      <c r="D5224" s="139"/>
    </row>
    <row r="5225" spans="4:4" ht="12.75" x14ac:dyDescent="0.2">
      <c r="D5225" s="139"/>
    </row>
    <row r="5226" spans="4:4" ht="12.75" x14ac:dyDescent="0.2">
      <c r="D5226" s="139"/>
    </row>
    <row r="5227" spans="4:4" ht="12.75" x14ac:dyDescent="0.2">
      <c r="D5227" s="139"/>
    </row>
    <row r="5228" spans="4:4" ht="12.75" x14ac:dyDescent="0.2">
      <c r="D5228" s="139"/>
    </row>
    <row r="5229" spans="4:4" ht="12.75" x14ac:dyDescent="0.2">
      <c r="D5229" s="139"/>
    </row>
    <row r="5230" spans="4:4" ht="12.75" x14ac:dyDescent="0.2">
      <c r="D5230" s="139"/>
    </row>
    <row r="5231" spans="4:4" ht="12.75" x14ac:dyDescent="0.2">
      <c r="D5231" s="139"/>
    </row>
    <row r="5232" spans="4:4" ht="12.75" x14ac:dyDescent="0.2">
      <c r="D5232" s="139"/>
    </row>
    <row r="5233" spans="4:4" ht="12.75" x14ac:dyDescent="0.2">
      <c r="D5233" s="139"/>
    </row>
    <row r="5234" spans="4:4" ht="12.75" x14ac:dyDescent="0.2">
      <c r="D5234" s="139"/>
    </row>
    <row r="5235" spans="4:4" ht="12.75" x14ac:dyDescent="0.2">
      <c r="D5235" s="139"/>
    </row>
    <row r="5236" spans="4:4" ht="12.75" x14ac:dyDescent="0.2">
      <c r="D5236" s="139"/>
    </row>
    <row r="5237" spans="4:4" ht="12.75" x14ac:dyDescent="0.2">
      <c r="D5237" s="139"/>
    </row>
    <row r="5238" spans="4:4" ht="12.75" x14ac:dyDescent="0.2">
      <c r="D5238" s="139"/>
    </row>
    <row r="5239" spans="4:4" ht="12.75" x14ac:dyDescent="0.2">
      <c r="D5239" s="139"/>
    </row>
    <row r="5240" spans="4:4" ht="12.75" x14ac:dyDescent="0.2">
      <c r="D5240" s="139"/>
    </row>
    <row r="5241" spans="4:4" ht="12.75" x14ac:dyDescent="0.2">
      <c r="D5241" s="139"/>
    </row>
    <row r="5242" spans="4:4" ht="12.75" x14ac:dyDescent="0.2">
      <c r="D5242" s="139"/>
    </row>
    <row r="5243" spans="4:4" ht="12.75" x14ac:dyDescent="0.2">
      <c r="D5243" s="139"/>
    </row>
    <row r="5244" spans="4:4" ht="12.75" x14ac:dyDescent="0.2">
      <c r="D5244" s="139"/>
    </row>
    <row r="5245" spans="4:4" ht="12.75" x14ac:dyDescent="0.2">
      <c r="D5245" s="139"/>
    </row>
    <row r="5246" spans="4:4" ht="12.75" x14ac:dyDescent="0.2">
      <c r="D5246" s="139"/>
    </row>
    <row r="5247" spans="4:4" ht="12.75" x14ac:dyDescent="0.2">
      <c r="D5247" s="139"/>
    </row>
    <row r="5248" spans="4:4" ht="12.75" x14ac:dyDescent="0.2">
      <c r="D5248" s="139"/>
    </row>
    <row r="5249" spans="4:4" ht="12.75" x14ac:dyDescent="0.2">
      <c r="D5249" s="139"/>
    </row>
    <row r="5250" spans="4:4" ht="12.75" x14ac:dyDescent="0.2">
      <c r="D5250" s="139"/>
    </row>
    <row r="5251" spans="4:4" ht="12.75" x14ac:dyDescent="0.2">
      <c r="D5251" s="139"/>
    </row>
    <row r="5252" spans="4:4" ht="12.75" x14ac:dyDescent="0.2">
      <c r="D5252" s="139"/>
    </row>
    <row r="5253" spans="4:4" ht="12.75" x14ac:dyDescent="0.2">
      <c r="D5253" s="139"/>
    </row>
    <row r="5254" spans="4:4" ht="12.75" x14ac:dyDescent="0.2">
      <c r="D5254" s="139"/>
    </row>
    <row r="5255" spans="4:4" ht="12.75" x14ac:dyDescent="0.2">
      <c r="D5255" s="139"/>
    </row>
    <row r="5256" spans="4:4" ht="12.75" x14ac:dyDescent="0.2">
      <c r="D5256" s="139"/>
    </row>
    <row r="5257" spans="4:4" ht="12.75" x14ac:dyDescent="0.2">
      <c r="D5257" s="139"/>
    </row>
    <row r="5258" spans="4:4" ht="12.75" x14ac:dyDescent="0.2">
      <c r="D5258" s="139"/>
    </row>
    <row r="5259" spans="4:4" ht="12.75" x14ac:dyDescent="0.2">
      <c r="D5259" s="139"/>
    </row>
    <row r="5260" spans="4:4" ht="12.75" x14ac:dyDescent="0.2">
      <c r="D5260" s="139"/>
    </row>
    <row r="5261" spans="4:4" ht="12.75" x14ac:dyDescent="0.2">
      <c r="D5261" s="139"/>
    </row>
    <row r="5262" spans="4:4" ht="12.75" x14ac:dyDescent="0.2">
      <c r="D5262" s="139"/>
    </row>
    <row r="5263" spans="4:4" ht="12.75" x14ac:dyDescent="0.2">
      <c r="D5263" s="139"/>
    </row>
    <row r="5264" spans="4:4" ht="12.75" x14ac:dyDescent="0.2">
      <c r="D5264" s="139"/>
    </row>
    <row r="5265" spans="4:4" ht="12.75" x14ac:dyDescent="0.2">
      <c r="D5265" s="139"/>
    </row>
    <row r="5266" spans="4:4" ht="12.75" x14ac:dyDescent="0.2">
      <c r="D5266" s="139"/>
    </row>
    <row r="5267" spans="4:4" ht="12.75" x14ac:dyDescent="0.2">
      <c r="D5267" s="139"/>
    </row>
    <row r="5268" spans="4:4" ht="12.75" x14ac:dyDescent="0.2">
      <c r="D5268" s="139"/>
    </row>
    <row r="5269" spans="4:4" ht="12.75" x14ac:dyDescent="0.2">
      <c r="D5269" s="139"/>
    </row>
    <row r="5270" spans="4:4" ht="12.75" x14ac:dyDescent="0.2">
      <c r="D5270" s="139"/>
    </row>
    <row r="5271" spans="4:4" ht="12.75" x14ac:dyDescent="0.2">
      <c r="D5271" s="139"/>
    </row>
    <row r="5272" spans="4:4" ht="12.75" x14ac:dyDescent="0.2">
      <c r="D5272" s="139"/>
    </row>
    <row r="5273" spans="4:4" ht="12.75" x14ac:dyDescent="0.2">
      <c r="D5273" s="139"/>
    </row>
    <row r="5274" spans="4:4" ht="12.75" x14ac:dyDescent="0.2">
      <c r="D5274" s="139"/>
    </row>
    <row r="5275" spans="4:4" ht="12.75" x14ac:dyDescent="0.2">
      <c r="D5275" s="139"/>
    </row>
    <row r="5276" spans="4:4" ht="12.75" x14ac:dyDescent="0.2">
      <c r="D5276" s="139"/>
    </row>
    <row r="5277" spans="4:4" ht="12.75" x14ac:dyDescent="0.2">
      <c r="D5277" s="139"/>
    </row>
    <row r="5278" spans="4:4" ht="12.75" x14ac:dyDescent="0.2">
      <c r="D5278" s="139"/>
    </row>
    <row r="5279" spans="4:4" ht="12.75" x14ac:dyDescent="0.2">
      <c r="D5279" s="139"/>
    </row>
    <row r="5280" spans="4:4" ht="12.75" x14ac:dyDescent="0.2">
      <c r="D5280" s="139"/>
    </row>
    <row r="5281" spans="4:4" ht="12.75" x14ac:dyDescent="0.2">
      <c r="D5281" s="139"/>
    </row>
    <row r="5282" spans="4:4" ht="12.75" x14ac:dyDescent="0.2">
      <c r="D5282" s="139"/>
    </row>
    <row r="5283" spans="4:4" ht="12.75" x14ac:dyDescent="0.2">
      <c r="D5283" s="139"/>
    </row>
    <row r="5284" spans="4:4" ht="12.75" x14ac:dyDescent="0.2">
      <c r="D5284" s="139"/>
    </row>
    <row r="5285" spans="4:4" ht="12.75" x14ac:dyDescent="0.2">
      <c r="D5285" s="139"/>
    </row>
    <row r="5286" spans="4:4" ht="12.75" x14ac:dyDescent="0.2">
      <c r="D5286" s="139"/>
    </row>
    <row r="5287" spans="4:4" ht="12.75" x14ac:dyDescent="0.2">
      <c r="D5287" s="139"/>
    </row>
    <row r="5288" spans="4:4" ht="12.75" x14ac:dyDescent="0.2">
      <c r="D5288" s="139"/>
    </row>
    <row r="5289" spans="4:4" ht="12.75" x14ac:dyDescent="0.2">
      <c r="D5289" s="139"/>
    </row>
    <row r="5290" spans="4:4" ht="12.75" x14ac:dyDescent="0.2">
      <c r="D5290" s="139"/>
    </row>
    <row r="5291" spans="4:4" ht="12.75" x14ac:dyDescent="0.2">
      <c r="D5291" s="139"/>
    </row>
    <row r="5292" spans="4:4" ht="12.75" x14ac:dyDescent="0.2">
      <c r="D5292" s="139"/>
    </row>
    <row r="5293" spans="4:4" ht="12.75" x14ac:dyDescent="0.2">
      <c r="D5293" s="139"/>
    </row>
    <row r="5294" spans="4:4" ht="12.75" x14ac:dyDescent="0.2">
      <c r="D5294" s="139"/>
    </row>
    <row r="5295" spans="4:4" ht="12.75" x14ac:dyDescent="0.2">
      <c r="D5295" s="139"/>
    </row>
    <row r="5296" spans="4:4" ht="12.75" x14ac:dyDescent="0.2">
      <c r="D5296" s="139"/>
    </row>
    <row r="5297" spans="4:4" ht="12.75" x14ac:dyDescent="0.2">
      <c r="D5297" s="139"/>
    </row>
    <row r="5298" spans="4:4" ht="12.75" x14ac:dyDescent="0.2">
      <c r="D5298" s="139"/>
    </row>
    <row r="5299" spans="4:4" ht="12.75" x14ac:dyDescent="0.2">
      <c r="D5299" s="139"/>
    </row>
    <row r="5300" spans="4:4" ht="12.75" x14ac:dyDescent="0.2">
      <c r="D5300" s="139"/>
    </row>
    <row r="5301" spans="4:4" ht="12.75" x14ac:dyDescent="0.2">
      <c r="D5301" s="139"/>
    </row>
    <row r="5302" spans="4:4" ht="12.75" x14ac:dyDescent="0.2">
      <c r="D5302" s="139"/>
    </row>
    <row r="5303" spans="4:4" ht="12.75" x14ac:dyDescent="0.2">
      <c r="D5303" s="139"/>
    </row>
    <row r="5304" spans="4:4" ht="12.75" x14ac:dyDescent="0.2">
      <c r="D5304" s="139"/>
    </row>
    <row r="5305" spans="4:4" ht="12.75" x14ac:dyDescent="0.2">
      <c r="D5305" s="139"/>
    </row>
    <row r="5306" spans="4:4" ht="12.75" x14ac:dyDescent="0.2">
      <c r="D5306" s="139"/>
    </row>
    <row r="5307" spans="4:4" ht="12.75" x14ac:dyDescent="0.2">
      <c r="D5307" s="139"/>
    </row>
    <row r="5308" spans="4:4" ht="12.75" x14ac:dyDescent="0.2">
      <c r="D5308" s="139"/>
    </row>
    <row r="5309" spans="4:4" ht="12.75" x14ac:dyDescent="0.2">
      <c r="D5309" s="139"/>
    </row>
    <row r="5310" spans="4:4" ht="12.75" x14ac:dyDescent="0.2">
      <c r="D5310" s="139"/>
    </row>
    <row r="5311" spans="4:4" ht="12.75" x14ac:dyDescent="0.2">
      <c r="D5311" s="139"/>
    </row>
    <row r="5312" spans="4:4" ht="12.75" x14ac:dyDescent="0.2">
      <c r="D5312" s="139"/>
    </row>
    <row r="5313" spans="4:4" ht="12.75" x14ac:dyDescent="0.2">
      <c r="D5313" s="139"/>
    </row>
    <row r="5314" spans="4:4" ht="12.75" x14ac:dyDescent="0.2">
      <c r="D5314" s="139"/>
    </row>
    <row r="5315" spans="4:4" ht="12.75" x14ac:dyDescent="0.2">
      <c r="D5315" s="139"/>
    </row>
    <row r="5316" spans="4:4" ht="12.75" x14ac:dyDescent="0.2">
      <c r="D5316" s="139"/>
    </row>
    <row r="5317" spans="4:4" ht="12.75" x14ac:dyDescent="0.2">
      <c r="D5317" s="139"/>
    </row>
    <row r="5318" spans="4:4" ht="12.75" x14ac:dyDescent="0.2">
      <c r="D5318" s="139"/>
    </row>
    <row r="5319" spans="4:4" ht="12.75" x14ac:dyDescent="0.2">
      <c r="D5319" s="139"/>
    </row>
    <row r="5320" spans="4:4" ht="12.75" x14ac:dyDescent="0.2">
      <c r="D5320" s="139"/>
    </row>
    <row r="5321" spans="4:4" ht="12.75" x14ac:dyDescent="0.2">
      <c r="D5321" s="139"/>
    </row>
    <row r="5322" spans="4:4" ht="12.75" x14ac:dyDescent="0.2">
      <c r="D5322" s="139"/>
    </row>
    <row r="5323" spans="4:4" ht="12.75" x14ac:dyDescent="0.2">
      <c r="D5323" s="139"/>
    </row>
    <row r="5324" spans="4:4" ht="12.75" x14ac:dyDescent="0.2">
      <c r="D5324" s="139"/>
    </row>
    <row r="5325" spans="4:4" ht="12.75" x14ac:dyDescent="0.2">
      <c r="D5325" s="139"/>
    </row>
    <row r="5326" spans="4:4" ht="12.75" x14ac:dyDescent="0.2">
      <c r="D5326" s="139"/>
    </row>
    <row r="5327" spans="4:4" ht="12.75" x14ac:dyDescent="0.2">
      <c r="D5327" s="139"/>
    </row>
    <row r="5328" spans="4:4" ht="12.75" x14ac:dyDescent="0.2">
      <c r="D5328" s="139"/>
    </row>
    <row r="5329" spans="4:4" ht="12.75" x14ac:dyDescent="0.2">
      <c r="D5329" s="139"/>
    </row>
    <row r="5330" spans="4:4" ht="12.75" x14ac:dyDescent="0.2">
      <c r="D5330" s="139"/>
    </row>
    <row r="5331" spans="4:4" ht="12.75" x14ac:dyDescent="0.2">
      <c r="D5331" s="139"/>
    </row>
    <row r="5332" spans="4:4" ht="12.75" x14ac:dyDescent="0.2">
      <c r="D5332" s="139"/>
    </row>
    <row r="5333" spans="4:4" ht="12.75" x14ac:dyDescent="0.2">
      <c r="D5333" s="139"/>
    </row>
    <row r="5334" spans="4:4" ht="12.75" x14ac:dyDescent="0.2">
      <c r="D5334" s="139"/>
    </row>
    <row r="5335" spans="4:4" ht="12.75" x14ac:dyDescent="0.2">
      <c r="D5335" s="139"/>
    </row>
    <row r="5336" spans="4:4" ht="12.75" x14ac:dyDescent="0.2">
      <c r="D5336" s="139"/>
    </row>
    <row r="5337" spans="4:4" ht="12.75" x14ac:dyDescent="0.2">
      <c r="D5337" s="139"/>
    </row>
    <row r="5338" spans="4:4" ht="12.75" x14ac:dyDescent="0.2">
      <c r="D5338" s="139"/>
    </row>
    <row r="5339" spans="4:4" ht="12.75" x14ac:dyDescent="0.2">
      <c r="D5339" s="139"/>
    </row>
    <row r="5340" spans="4:4" ht="12.75" x14ac:dyDescent="0.2">
      <c r="D5340" s="139"/>
    </row>
    <row r="5341" spans="4:4" ht="12.75" x14ac:dyDescent="0.2">
      <c r="D5341" s="139"/>
    </row>
    <row r="5342" spans="4:4" ht="12.75" x14ac:dyDescent="0.2">
      <c r="D5342" s="139"/>
    </row>
    <row r="5343" spans="4:4" ht="12.75" x14ac:dyDescent="0.2">
      <c r="D5343" s="139"/>
    </row>
    <row r="5344" spans="4:4" ht="12.75" x14ac:dyDescent="0.2">
      <c r="D5344" s="139"/>
    </row>
    <row r="5345" spans="4:4" ht="12.75" x14ac:dyDescent="0.2">
      <c r="D5345" s="139"/>
    </row>
    <row r="5346" spans="4:4" ht="12.75" x14ac:dyDescent="0.2">
      <c r="D5346" s="139"/>
    </row>
    <row r="5347" spans="4:4" ht="12.75" x14ac:dyDescent="0.2">
      <c r="D5347" s="139"/>
    </row>
    <row r="5348" spans="4:4" ht="12.75" x14ac:dyDescent="0.2">
      <c r="D5348" s="139"/>
    </row>
    <row r="5349" spans="4:4" ht="12.75" x14ac:dyDescent="0.2">
      <c r="D5349" s="139"/>
    </row>
    <row r="5350" spans="4:4" ht="12.75" x14ac:dyDescent="0.2">
      <c r="D5350" s="139"/>
    </row>
    <row r="5351" spans="4:4" ht="12.75" x14ac:dyDescent="0.2">
      <c r="D5351" s="139"/>
    </row>
    <row r="5352" spans="4:4" ht="12.75" x14ac:dyDescent="0.2">
      <c r="D5352" s="139"/>
    </row>
    <row r="5353" spans="4:4" ht="12.75" x14ac:dyDescent="0.2">
      <c r="D5353" s="139"/>
    </row>
    <row r="5354" spans="4:4" ht="12.75" x14ac:dyDescent="0.2">
      <c r="D5354" s="139"/>
    </row>
    <row r="5355" spans="4:4" ht="12.75" x14ac:dyDescent="0.2">
      <c r="D5355" s="139"/>
    </row>
    <row r="5356" spans="4:4" ht="12.75" x14ac:dyDescent="0.2">
      <c r="D5356" s="139"/>
    </row>
    <row r="5357" spans="4:4" ht="12.75" x14ac:dyDescent="0.2">
      <c r="D5357" s="139"/>
    </row>
    <row r="5358" spans="4:4" ht="12.75" x14ac:dyDescent="0.2">
      <c r="D5358" s="139"/>
    </row>
    <row r="5359" spans="4:4" ht="12.75" x14ac:dyDescent="0.2">
      <c r="D5359" s="139"/>
    </row>
    <row r="5360" spans="4:4" ht="12.75" x14ac:dyDescent="0.2">
      <c r="D5360" s="139"/>
    </row>
    <row r="5361" spans="4:4" ht="12.75" x14ac:dyDescent="0.2">
      <c r="D5361" s="139"/>
    </row>
    <row r="5362" spans="4:4" ht="12.75" x14ac:dyDescent="0.2">
      <c r="D5362" s="139"/>
    </row>
    <row r="5363" spans="4:4" ht="12.75" x14ac:dyDescent="0.2">
      <c r="D5363" s="139"/>
    </row>
    <row r="5364" spans="4:4" ht="12.75" x14ac:dyDescent="0.2">
      <c r="D5364" s="139"/>
    </row>
    <row r="5365" spans="4:4" ht="12.75" x14ac:dyDescent="0.2">
      <c r="D5365" s="139"/>
    </row>
    <row r="5366" spans="4:4" ht="12.75" x14ac:dyDescent="0.2">
      <c r="D5366" s="139"/>
    </row>
    <row r="5367" spans="4:4" ht="12.75" x14ac:dyDescent="0.2">
      <c r="D5367" s="139"/>
    </row>
    <row r="5368" spans="4:4" ht="12.75" x14ac:dyDescent="0.2">
      <c r="D5368" s="139"/>
    </row>
    <row r="5369" spans="4:4" ht="12.75" x14ac:dyDescent="0.2">
      <c r="D5369" s="139"/>
    </row>
    <row r="5370" spans="4:4" ht="12.75" x14ac:dyDescent="0.2">
      <c r="D5370" s="139"/>
    </row>
    <row r="5371" spans="4:4" ht="12.75" x14ac:dyDescent="0.2">
      <c r="D5371" s="139"/>
    </row>
    <row r="5372" spans="4:4" ht="12.75" x14ac:dyDescent="0.2">
      <c r="D5372" s="139"/>
    </row>
    <row r="5373" spans="4:4" ht="12.75" x14ac:dyDescent="0.2">
      <c r="D5373" s="139"/>
    </row>
    <row r="5374" spans="4:4" ht="12.75" x14ac:dyDescent="0.2">
      <c r="D5374" s="139"/>
    </row>
    <row r="5375" spans="4:4" ht="12.75" x14ac:dyDescent="0.2">
      <c r="D5375" s="139"/>
    </row>
    <row r="5376" spans="4:4" ht="12.75" x14ac:dyDescent="0.2">
      <c r="D5376" s="139"/>
    </row>
    <row r="5377" spans="4:4" ht="12.75" x14ac:dyDescent="0.2">
      <c r="D5377" s="139"/>
    </row>
    <row r="5378" spans="4:4" ht="12.75" x14ac:dyDescent="0.2">
      <c r="D5378" s="139"/>
    </row>
    <row r="5379" spans="4:4" ht="12.75" x14ac:dyDescent="0.2">
      <c r="D5379" s="139"/>
    </row>
    <row r="5380" spans="4:4" ht="12.75" x14ac:dyDescent="0.2">
      <c r="D5380" s="139"/>
    </row>
    <row r="5381" spans="4:4" ht="12.75" x14ac:dyDescent="0.2">
      <c r="D5381" s="139"/>
    </row>
    <row r="5382" spans="4:4" ht="12.75" x14ac:dyDescent="0.2">
      <c r="D5382" s="139"/>
    </row>
    <row r="5383" spans="4:4" ht="12.75" x14ac:dyDescent="0.2">
      <c r="D5383" s="139"/>
    </row>
    <row r="5384" spans="4:4" ht="12.75" x14ac:dyDescent="0.2">
      <c r="D5384" s="139"/>
    </row>
    <row r="5385" spans="4:4" ht="12.75" x14ac:dyDescent="0.2">
      <c r="D5385" s="139"/>
    </row>
    <row r="5386" spans="4:4" ht="12.75" x14ac:dyDescent="0.2">
      <c r="D5386" s="139"/>
    </row>
    <row r="5387" spans="4:4" ht="12.75" x14ac:dyDescent="0.2">
      <c r="D5387" s="139"/>
    </row>
    <row r="5388" spans="4:4" ht="12.75" x14ac:dyDescent="0.2">
      <c r="D5388" s="139"/>
    </row>
    <row r="5389" spans="4:4" ht="12.75" x14ac:dyDescent="0.2">
      <c r="D5389" s="139"/>
    </row>
    <row r="5390" spans="4:4" ht="12.75" x14ac:dyDescent="0.2">
      <c r="D5390" s="139"/>
    </row>
    <row r="5391" spans="4:4" ht="12.75" x14ac:dyDescent="0.2">
      <c r="D5391" s="139"/>
    </row>
    <row r="5392" spans="4:4" ht="12.75" x14ac:dyDescent="0.2">
      <c r="D5392" s="139"/>
    </row>
    <row r="5393" spans="4:4" ht="12.75" x14ac:dyDescent="0.2">
      <c r="D5393" s="139"/>
    </row>
    <row r="5394" spans="4:4" ht="12.75" x14ac:dyDescent="0.2">
      <c r="D5394" s="139"/>
    </row>
    <row r="5395" spans="4:4" ht="12.75" x14ac:dyDescent="0.2">
      <c r="D5395" s="139"/>
    </row>
    <row r="5396" spans="4:4" ht="12.75" x14ac:dyDescent="0.2">
      <c r="D5396" s="139"/>
    </row>
    <row r="5397" spans="4:4" ht="12.75" x14ac:dyDescent="0.2">
      <c r="D5397" s="139"/>
    </row>
    <row r="5398" spans="4:4" ht="12.75" x14ac:dyDescent="0.2">
      <c r="D5398" s="139"/>
    </row>
    <row r="5399" spans="4:4" ht="12.75" x14ac:dyDescent="0.2">
      <c r="D5399" s="139"/>
    </row>
    <row r="5400" spans="4:4" ht="12.75" x14ac:dyDescent="0.2">
      <c r="D5400" s="139"/>
    </row>
    <row r="5401" spans="4:4" ht="12.75" x14ac:dyDescent="0.2">
      <c r="D5401" s="139"/>
    </row>
    <row r="5402" spans="4:4" ht="12.75" x14ac:dyDescent="0.2">
      <c r="D5402" s="139"/>
    </row>
    <row r="5403" spans="4:4" ht="12.75" x14ac:dyDescent="0.2">
      <c r="D5403" s="139"/>
    </row>
    <row r="5404" spans="4:4" ht="12.75" x14ac:dyDescent="0.2">
      <c r="D5404" s="139"/>
    </row>
    <row r="5405" spans="4:4" ht="12.75" x14ac:dyDescent="0.2">
      <c r="D5405" s="139"/>
    </row>
    <row r="5406" spans="4:4" ht="12.75" x14ac:dyDescent="0.2">
      <c r="D5406" s="139"/>
    </row>
    <row r="5407" spans="4:4" ht="12.75" x14ac:dyDescent="0.2">
      <c r="D5407" s="139"/>
    </row>
    <row r="5408" spans="4:4" ht="12.75" x14ac:dyDescent="0.2">
      <c r="D5408" s="139"/>
    </row>
    <row r="5409" spans="4:4" ht="12.75" x14ac:dyDescent="0.2">
      <c r="D5409" s="139"/>
    </row>
    <row r="5410" spans="4:4" ht="12.75" x14ac:dyDescent="0.2">
      <c r="D5410" s="139"/>
    </row>
    <row r="5411" spans="4:4" ht="12.75" x14ac:dyDescent="0.2">
      <c r="D5411" s="139"/>
    </row>
    <row r="5412" spans="4:4" ht="12.75" x14ac:dyDescent="0.2">
      <c r="D5412" s="139"/>
    </row>
    <row r="5413" spans="4:4" ht="12.75" x14ac:dyDescent="0.2">
      <c r="D5413" s="139"/>
    </row>
    <row r="5414" spans="4:4" ht="12.75" x14ac:dyDescent="0.2">
      <c r="D5414" s="139"/>
    </row>
    <row r="5415" spans="4:4" ht="12.75" x14ac:dyDescent="0.2">
      <c r="D5415" s="139"/>
    </row>
    <row r="5416" spans="4:4" ht="12.75" x14ac:dyDescent="0.2">
      <c r="D5416" s="139"/>
    </row>
    <row r="5417" spans="4:4" ht="12.75" x14ac:dyDescent="0.2">
      <c r="D5417" s="139"/>
    </row>
    <row r="5418" spans="4:4" ht="12.75" x14ac:dyDescent="0.2">
      <c r="D5418" s="139"/>
    </row>
    <row r="5419" spans="4:4" ht="12.75" x14ac:dyDescent="0.2">
      <c r="D5419" s="139"/>
    </row>
    <row r="5420" spans="4:4" ht="12.75" x14ac:dyDescent="0.2">
      <c r="D5420" s="139"/>
    </row>
    <row r="5421" spans="4:4" ht="12.75" x14ac:dyDescent="0.2">
      <c r="D5421" s="139"/>
    </row>
    <row r="5422" spans="4:4" ht="12.75" x14ac:dyDescent="0.2">
      <c r="D5422" s="139"/>
    </row>
    <row r="5423" spans="4:4" ht="12.75" x14ac:dyDescent="0.2">
      <c r="D5423" s="139"/>
    </row>
    <row r="5424" spans="4:4" ht="12.75" x14ac:dyDescent="0.2">
      <c r="D5424" s="139"/>
    </row>
    <row r="5425" spans="4:4" ht="12.75" x14ac:dyDescent="0.2">
      <c r="D5425" s="139"/>
    </row>
    <row r="5426" spans="4:4" ht="12.75" x14ac:dyDescent="0.2">
      <c r="D5426" s="139"/>
    </row>
    <row r="5427" spans="4:4" ht="12.75" x14ac:dyDescent="0.2">
      <c r="D5427" s="139"/>
    </row>
    <row r="5428" spans="4:4" ht="12.75" x14ac:dyDescent="0.2">
      <c r="D5428" s="139"/>
    </row>
    <row r="5429" spans="4:4" ht="12.75" x14ac:dyDescent="0.2">
      <c r="D5429" s="139"/>
    </row>
    <row r="5430" spans="4:4" ht="12.75" x14ac:dyDescent="0.2">
      <c r="D5430" s="139"/>
    </row>
    <row r="5431" spans="4:4" ht="12.75" x14ac:dyDescent="0.2">
      <c r="D5431" s="139"/>
    </row>
    <row r="5432" spans="4:4" ht="12.75" x14ac:dyDescent="0.2">
      <c r="D5432" s="139"/>
    </row>
    <row r="5433" spans="4:4" ht="12.75" x14ac:dyDescent="0.2">
      <c r="D5433" s="139"/>
    </row>
    <row r="5434" spans="4:4" ht="12.75" x14ac:dyDescent="0.2">
      <c r="D5434" s="139"/>
    </row>
    <row r="5435" spans="4:4" ht="12.75" x14ac:dyDescent="0.2">
      <c r="D5435" s="139"/>
    </row>
    <row r="5436" spans="4:4" ht="12.75" x14ac:dyDescent="0.2">
      <c r="D5436" s="139"/>
    </row>
    <row r="5437" spans="4:4" ht="12.75" x14ac:dyDescent="0.2">
      <c r="D5437" s="139"/>
    </row>
    <row r="5438" spans="4:4" ht="12.75" x14ac:dyDescent="0.2">
      <c r="D5438" s="139"/>
    </row>
    <row r="5439" spans="4:4" ht="12.75" x14ac:dyDescent="0.2">
      <c r="D5439" s="139"/>
    </row>
    <row r="5440" spans="4:4" ht="12.75" x14ac:dyDescent="0.2">
      <c r="D5440" s="139"/>
    </row>
    <row r="5441" spans="4:4" ht="12.75" x14ac:dyDescent="0.2">
      <c r="D5441" s="139"/>
    </row>
    <row r="5442" spans="4:4" ht="12.75" x14ac:dyDescent="0.2">
      <c r="D5442" s="139"/>
    </row>
    <row r="5443" spans="4:4" ht="12.75" x14ac:dyDescent="0.2">
      <c r="D5443" s="139"/>
    </row>
    <row r="5444" spans="4:4" ht="12.75" x14ac:dyDescent="0.2">
      <c r="D5444" s="139"/>
    </row>
    <row r="5445" spans="4:4" ht="12.75" x14ac:dyDescent="0.2">
      <c r="D5445" s="139"/>
    </row>
    <row r="5446" spans="4:4" ht="12.75" x14ac:dyDescent="0.2">
      <c r="D5446" s="139"/>
    </row>
    <row r="5447" spans="4:4" ht="12.75" x14ac:dyDescent="0.2">
      <c r="D5447" s="139"/>
    </row>
    <row r="5448" spans="4:4" ht="12.75" x14ac:dyDescent="0.2">
      <c r="D5448" s="139"/>
    </row>
    <row r="5449" spans="4:4" ht="12.75" x14ac:dyDescent="0.2">
      <c r="D5449" s="139"/>
    </row>
    <row r="5450" spans="4:4" ht="12.75" x14ac:dyDescent="0.2">
      <c r="D5450" s="139"/>
    </row>
    <row r="5451" spans="4:4" ht="12.75" x14ac:dyDescent="0.2">
      <c r="D5451" s="139"/>
    </row>
    <row r="5452" spans="4:4" ht="12.75" x14ac:dyDescent="0.2">
      <c r="D5452" s="139"/>
    </row>
    <row r="5453" spans="4:4" ht="12.75" x14ac:dyDescent="0.2">
      <c r="D5453" s="139"/>
    </row>
    <row r="5454" spans="4:4" ht="12.75" x14ac:dyDescent="0.2">
      <c r="D5454" s="139"/>
    </row>
    <row r="5455" spans="4:4" ht="12.75" x14ac:dyDescent="0.2">
      <c r="D5455" s="139"/>
    </row>
    <row r="5456" spans="4:4" ht="12.75" x14ac:dyDescent="0.2">
      <c r="D5456" s="139"/>
    </row>
    <row r="5457" spans="4:4" ht="12.75" x14ac:dyDescent="0.2">
      <c r="D5457" s="139"/>
    </row>
    <row r="5458" spans="4:4" ht="12.75" x14ac:dyDescent="0.2">
      <c r="D5458" s="139"/>
    </row>
    <row r="5459" spans="4:4" ht="12.75" x14ac:dyDescent="0.2">
      <c r="D5459" s="139"/>
    </row>
    <row r="5460" spans="4:4" ht="12.75" x14ac:dyDescent="0.2">
      <c r="D5460" s="139"/>
    </row>
    <row r="5461" spans="4:4" ht="12.75" x14ac:dyDescent="0.2">
      <c r="D5461" s="139"/>
    </row>
    <row r="5462" spans="4:4" ht="12.75" x14ac:dyDescent="0.2">
      <c r="D5462" s="139"/>
    </row>
    <row r="5463" spans="4:4" ht="12.75" x14ac:dyDescent="0.2">
      <c r="D5463" s="139"/>
    </row>
    <row r="5464" spans="4:4" ht="12.75" x14ac:dyDescent="0.2">
      <c r="D5464" s="139"/>
    </row>
    <row r="5465" spans="4:4" ht="12.75" x14ac:dyDescent="0.2">
      <c r="D5465" s="139"/>
    </row>
    <row r="5466" spans="4:4" ht="12.75" x14ac:dyDescent="0.2">
      <c r="D5466" s="139"/>
    </row>
    <row r="5467" spans="4:4" ht="12.75" x14ac:dyDescent="0.2">
      <c r="D5467" s="139"/>
    </row>
    <row r="5468" spans="4:4" ht="12.75" x14ac:dyDescent="0.2">
      <c r="D5468" s="139"/>
    </row>
    <row r="5469" spans="4:4" ht="12.75" x14ac:dyDescent="0.2">
      <c r="D5469" s="139"/>
    </row>
    <row r="5470" spans="4:4" ht="12.75" x14ac:dyDescent="0.2">
      <c r="D5470" s="139"/>
    </row>
    <row r="5471" spans="4:4" ht="12.75" x14ac:dyDescent="0.2">
      <c r="D5471" s="139"/>
    </row>
    <row r="5472" spans="4:4" ht="12.75" x14ac:dyDescent="0.2">
      <c r="D5472" s="139"/>
    </row>
    <row r="5473" spans="4:4" ht="12.75" x14ac:dyDescent="0.2">
      <c r="D5473" s="139"/>
    </row>
    <row r="5474" spans="4:4" ht="12.75" x14ac:dyDescent="0.2">
      <c r="D5474" s="139"/>
    </row>
    <row r="5475" spans="4:4" ht="12.75" x14ac:dyDescent="0.2">
      <c r="D5475" s="139"/>
    </row>
    <row r="5476" spans="4:4" ht="12.75" x14ac:dyDescent="0.2">
      <c r="D5476" s="139"/>
    </row>
    <row r="5477" spans="4:4" ht="12.75" x14ac:dyDescent="0.2">
      <c r="D5477" s="139"/>
    </row>
    <row r="5478" spans="4:4" ht="12.75" x14ac:dyDescent="0.2">
      <c r="D5478" s="139"/>
    </row>
    <row r="5479" spans="4:4" ht="12.75" x14ac:dyDescent="0.2">
      <c r="D5479" s="139"/>
    </row>
    <row r="5480" spans="4:4" ht="12.75" x14ac:dyDescent="0.2">
      <c r="D5480" s="139"/>
    </row>
    <row r="5481" spans="4:4" ht="12.75" x14ac:dyDescent="0.2">
      <c r="D5481" s="139"/>
    </row>
    <row r="5482" spans="4:4" ht="12.75" x14ac:dyDescent="0.2">
      <c r="D5482" s="139"/>
    </row>
    <row r="5483" spans="4:4" ht="12.75" x14ac:dyDescent="0.2">
      <c r="D5483" s="139"/>
    </row>
    <row r="5484" spans="4:4" ht="12.75" x14ac:dyDescent="0.2">
      <c r="D5484" s="139"/>
    </row>
    <row r="5485" spans="4:4" ht="12.75" x14ac:dyDescent="0.2">
      <c r="D5485" s="139"/>
    </row>
    <row r="5486" spans="4:4" ht="12.75" x14ac:dyDescent="0.2">
      <c r="D5486" s="139"/>
    </row>
    <row r="5487" spans="4:4" ht="12.75" x14ac:dyDescent="0.2">
      <c r="D5487" s="139"/>
    </row>
    <row r="5488" spans="4:4" ht="12.75" x14ac:dyDescent="0.2">
      <c r="D5488" s="139"/>
    </row>
    <row r="5489" spans="4:4" ht="12.75" x14ac:dyDescent="0.2">
      <c r="D5489" s="139"/>
    </row>
    <row r="5490" spans="4:4" ht="12.75" x14ac:dyDescent="0.2">
      <c r="D5490" s="139"/>
    </row>
    <row r="5491" spans="4:4" ht="12.75" x14ac:dyDescent="0.2">
      <c r="D5491" s="139"/>
    </row>
    <row r="5492" spans="4:4" ht="12.75" x14ac:dyDescent="0.2">
      <c r="D5492" s="139"/>
    </row>
    <row r="5493" spans="4:4" ht="12.75" x14ac:dyDescent="0.2">
      <c r="D5493" s="139"/>
    </row>
    <row r="5494" spans="4:4" ht="12.75" x14ac:dyDescent="0.2">
      <c r="D5494" s="139"/>
    </row>
    <row r="5495" spans="4:4" ht="12.75" x14ac:dyDescent="0.2">
      <c r="D5495" s="139"/>
    </row>
    <row r="5496" spans="4:4" ht="12.75" x14ac:dyDescent="0.2">
      <c r="D5496" s="139"/>
    </row>
    <row r="5497" spans="4:4" ht="12.75" x14ac:dyDescent="0.2">
      <c r="D5497" s="139"/>
    </row>
    <row r="5498" spans="4:4" ht="12.75" x14ac:dyDescent="0.2">
      <c r="D5498" s="139"/>
    </row>
    <row r="5499" spans="4:4" ht="12.75" x14ac:dyDescent="0.2">
      <c r="D5499" s="139"/>
    </row>
    <row r="5500" spans="4:4" ht="12.75" x14ac:dyDescent="0.2">
      <c r="D5500" s="139"/>
    </row>
    <row r="5501" spans="4:4" ht="12.75" x14ac:dyDescent="0.2">
      <c r="D5501" s="139"/>
    </row>
    <row r="5502" spans="4:4" ht="12.75" x14ac:dyDescent="0.2">
      <c r="D5502" s="139"/>
    </row>
    <row r="5503" spans="4:4" ht="12.75" x14ac:dyDescent="0.2">
      <c r="D5503" s="139"/>
    </row>
    <row r="5504" spans="4:4" ht="12.75" x14ac:dyDescent="0.2">
      <c r="D5504" s="139"/>
    </row>
    <row r="5505" spans="4:4" ht="12.75" x14ac:dyDescent="0.2">
      <c r="D5505" s="139"/>
    </row>
    <row r="5506" spans="4:4" ht="12.75" x14ac:dyDescent="0.2">
      <c r="D5506" s="139"/>
    </row>
    <row r="5507" spans="4:4" ht="12.75" x14ac:dyDescent="0.2">
      <c r="D5507" s="139"/>
    </row>
    <row r="5508" spans="4:4" ht="12.75" x14ac:dyDescent="0.2">
      <c r="D5508" s="139"/>
    </row>
    <row r="5509" spans="4:4" ht="12.75" x14ac:dyDescent="0.2">
      <c r="D5509" s="139"/>
    </row>
    <row r="5510" spans="4:4" ht="12.75" x14ac:dyDescent="0.2">
      <c r="D5510" s="139"/>
    </row>
    <row r="5511" spans="4:4" ht="12.75" x14ac:dyDescent="0.2">
      <c r="D5511" s="139"/>
    </row>
    <row r="5512" spans="4:4" ht="12.75" x14ac:dyDescent="0.2">
      <c r="D5512" s="139"/>
    </row>
    <row r="5513" spans="4:4" ht="12.75" x14ac:dyDescent="0.2">
      <c r="D5513" s="139"/>
    </row>
    <row r="5514" spans="4:4" ht="12.75" x14ac:dyDescent="0.2">
      <c r="D5514" s="139"/>
    </row>
    <row r="5515" spans="4:4" ht="12.75" x14ac:dyDescent="0.2">
      <c r="D5515" s="139"/>
    </row>
    <row r="5516" spans="4:4" ht="12.75" x14ac:dyDescent="0.2">
      <c r="D5516" s="139"/>
    </row>
    <row r="5517" spans="4:4" ht="12.75" x14ac:dyDescent="0.2">
      <c r="D5517" s="139"/>
    </row>
    <row r="5518" spans="4:4" ht="12.75" x14ac:dyDescent="0.2">
      <c r="D5518" s="139"/>
    </row>
    <row r="5519" spans="4:4" ht="12.75" x14ac:dyDescent="0.2">
      <c r="D5519" s="139"/>
    </row>
    <row r="5520" spans="4:4" ht="12.75" x14ac:dyDescent="0.2">
      <c r="D5520" s="139"/>
    </row>
    <row r="5521" spans="4:4" ht="12.75" x14ac:dyDescent="0.2">
      <c r="D5521" s="139"/>
    </row>
    <row r="5522" spans="4:4" ht="12.75" x14ac:dyDescent="0.2">
      <c r="D5522" s="139"/>
    </row>
    <row r="5523" spans="4:4" ht="12.75" x14ac:dyDescent="0.2">
      <c r="D5523" s="139"/>
    </row>
    <row r="5524" spans="4:4" ht="12.75" x14ac:dyDescent="0.2">
      <c r="D5524" s="139"/>
    </row>
    <row r="5525" spans="4:4" ht="12.75" x14ac:dyDescent="0.2">
      <c r="D5525" s="139"/>
    </row>
    <row r="5526" spans="4:4" ht="12.75" x14ac:dyDescent="0.2">
      <c r="D5526" s="139"/>
    </row>
    <row r="5527" spans="4:4" ht="12.75" x14ac:dyDescent="0.2">
      <c r="D5527" s="139"/>
    </row>
    <row r="5528" spans="4:4" ht="12.75" x14ac:dyDescent="0.2">
      <c r="D5528" s="139"/>
    </row>
    <row r="5529" spans="4:4" ht="12.75" x14ac:dyDescent="0.2">
      <c r="D5529" s="139"/>
    </row>
    <row r="5530" spans="4:4" ht="12.75" x14ac:dyDescent="0.2">
      <c r="D5530" s="139"/>
    </row>
    <row r="5531" spans="4:4" ht="12.75" x14ac:dyDescent="0.2">
      <c r="D5531" s="139"/>
    </row>
    <row r="5532" spans="4:4" ht="12.75" x14ac:dyDescent="0.2">
      <c r="D5532" s="139"/>
    </row>
    <row r="5533" spans="4:4" ht="12.75" x14ac:dyDescent="0.2">
      <c r="D5533" s="139"/>
    </row>
    <row r="5534" spans="4:4" ht="12.75" x14ac:dyDescent="0.2">
      <c r="D5534" s="139"/>
    </row>
    <row r="5535" spans="4:4" ht="12.75" x14ac:dyDescent="0.2">
      <c r="D5535" s="139"/>
    </row>
    <row r="5536" spans="4:4" ht="12.75" x14ac:dyDescent="0.2">
      <c r="D5536" s="139"/>
    </row>
    <row r="5537" spans="4:4" ht="12.75" x14ac:dyDescent="0.2">
      <c r="D5537" s="139"/>
    </row>
    <row r="5538" spans="4:4" ht="12.75" x14ac:dyDescent="0.2">
      <c r="D5538" s="139"/>
    </row>
    <row r="5539" spans="4:4" ht="12.75" x14ac:dyDescent="0.2">
      <c r="D5539" s="139"/>
    </row>
    <row r="5540" spans="4:4" ht="12.75" x14ac:dyDescent="0.2">
      <c r="D5540" s="139"/>
    </row>
    <row r="5541" spans="4:4" ht="12.75" x14ac:dyDescent="0.2">
      <c r="D5541" s="139"/>
    </row>
    <row r="5542" spans="4:4" ht="12.75" x14ac:dyDescent="0.2">
      <c r="D5542" s="139"/>
    </row>
    <row r="5543" spans="4:4" ht="12.75" x14ac:dyDescent="0.2">
      <c r="D5543" s="139"/>
    </row>
    <row r="5544" spans="4:4" ht="12.75" x14ac:dyDescent="0.2">
      <c r="D5544" s="139"/>
    </row>
    <row r="5545" spans="4:4" ht="12.75" x14ac:dyDescent="0.2">
      <c r="D5545" s="139"/>
    </row>
    <row r="5546" spans="4:4" ht="12.75" x14ac:dyDescent="0.2">
      <c r="D5546" s="139"/>
    </row>
    <row r="5547" spans="4:4" ht="12.75" x14ac:dyDescent="0.2">
      <c r="D5547" s="139"/>
    </row>
    <row r="5548" spans="4:4" ht="12.75" x14ac:dyDescent="0.2">
      <c r="D5548" s="139"/>
    </row>
    <row r="5549" spans="4:4" ht="12.75" x14ac:dyDescent="0.2">
      <c r="D5549" s="139"/>
    </row>
    <row r="5550" spans="4:4" ht="12.75" x14ac:dyDescent="0.2">
      <c r="D5550" s="139"/>
    </row>
    <row r="5551" spans="4:4" ht="12.75" x14ac:dyDescent="0.2">
      <c r="D5551" s="139"/>
    </row>
    <row r="5552" spans="4:4" ht="12.75" x14ac:dyDescent="0.2">
      <c r="D5552" s="139"/>
    </row>
    <row r="5553" spans="4:4" ht="12.75" x14ac:dyDescent="0.2">
      <c r="D5553" s="139"/>
    </row>
    <row r="5554" spans="4:4" ht="12.75" x14ac:dyDescent="0.2">
      <c r="D5554" s="139"/>
    </row>
    <row r="5555" spans="4:4" ht="12.75" x14ac:dyDescent="0.2">
      <c r="D5555" s="139"/>
    </row>
    <row r="5556" spans="4:4" ht="12.75" x14ac:dyDescent="0.2">
      <c r="D5556" s="139"/>
    </row>
    <row r="5557" spans="4:4" ht="12.75" x14ac:dyDescent="0.2">
      <c r="D5557" s="139"/>
    </row>
    <row r="5558" spans="4:4" ht="12.75" x14ac:dyDescent="0.2">
      <c r="D5558" s="139"/>
    </row>
    <row r="5559" spans="4:4" ht="12.75" x14ac:dyDescent="0.2">
      <c r="D5559" s="139"/>
    </row>
    <row r="5560" spans="4:4" ht="12.75" x14ac:dyDescent="0.2">
      <c r="D5560" s="139"/>
    </row>
    <row r="5561" spans="4:4" ht="12.75" x14ac:dyDescent="0.2">
      <c r="D5561" s="139"/>
    </row>
    <row r="5562" spans="4:4" ht="12.75" x14ac:dyDescent="0.2">
      <c r="D5562" s="139"/>
    </row>
    <row r="5563" spans="4:4" ht="12.75" x14ac:dyDescent="0.2">
      <c r="D5563" s="139"/>
    </row>
    <row r="5564" spans="4:4" ht="12.75" x14ac:dyDescent="0.2">
      <c r="D5564" s="139"/>
    </row>
    <row r="5565" spans="4:4" ht="12.75" x14ac:dyDescent="0.2">
      <c r="D5565" s="139"/>
    </row>
    <row r="5566" spans="4:4" ht="12.75" x14ac:dyDescent="0.2">
      <c r="D5566" s="139"/>
    </row>
    <row r="5567" spans="4:4" ht="12.75" x14ac:dyDescent="0.2">
      <c r="D5567" s="139"/>
    </row>
    <row r="5568" spans="4:4" ht="12.75" x14ac:dyDescent="0.2">
      <c r="D5568" s="139"/>
    </row>
    <row r="5569" spans="4:4" ht="12.75" x14ac:dyDescent="0.2">
      <c r="D5569" s="139"/>
    </row>
    <row r="5570" spans="4:4" ht="12.75" x14ac:dyDescent="0.2">
      <c r="D5570" s="139"/>
    </row>
    <row r="5571" spans="4:4" ht="12.75" x14ac:dyDescent="0.2">
      <c r="D5571" s="139"/>
    </row>
    <row r="5572" spans="4:4" ht="12.75" x14ac:dyDescent="0.2">
      <c r="D5572" s="139"/>
    </row>
    <row r="5573" spans="4:4" ht="12.75" x14ac:dyDescent="0.2">
      <c r="D5573" s="139"/>
    </row>
    <row r="5574" spans="4:4" ht="12.75" x14ac:dyDescent="0.2">
      <c r="D5574" s="139"/>
    </row>
    <row r="5575" spans="4:4" ht="12.75" x14ac:dyDescent="0.2">
      <c r="D5575" s="139"/>
    </row>
    <row r="5576" spans="4:4" ht="12.75" x14ac:dyDescent="0.2">
      <c r="D5576" s="139"/>
    </row>
    <row r="5577" spans="4:4" ht="12.75" x14ac:dyDescent="0.2">
      <c r="D5577" s="139"/>
    </row>
    <row r="5578" spans="4:4" ht="12.75" x14ac:dyDescent="0.2">
      <c r="D5578" s="139"/>
    </row>
    <row r="5579" spans="4:4" ht="12.75" x14ac:dyDescent="0.2">
      <c r="D5579" s="139"/>
    </row>
    <row r="5580" spans="4:4" ht="12.75" x14ac:dyDescent="0.2">
      <c r="D5580" s="139"/>
    </row>
    <row r="5581" spans="4:4" ht="12.75" x14ac:dyDescent="0.2">
      <c r="D5581" s="139"/>
    </row>
    <row r="5582" spans="4:4" ht="12.75" x14ac:dyDescent="0.2">
      <c r="D5582" s="139"/>
    </row>
    <row r="5583" spans="4:4" ht="12.75" x14ac:dyDescent="0.2">
      <c r="D5583" s="139"/>
    </row>
    <row r="5584" spans="4:4" ht="12.75" x14ac:dyDescent="0.2">
      <c r="D5584" s="139"/>
    </row>
    <row r="5585" spans="4:4" ht="12.75" x14ac:dyDescent="0.2">
      <c r="D5585" s="139"/>
    </row>
    <row r="5586" spans="4:4" ht="12.75" x14ac:dyDescent="0.2">
      <c r="D5586" s="139"/>
    </row>
    <row r="5587" spans="4:4" ht="12.75" x14ac:dyDescent="0.2">
      <c r="D5587" s="139"/>
    </row>
    <row r="5588" spans="4:4" ht="12.75" x14ac:dyDescent="0.2">
      <c r="D5588" s="139"/>
    </row>
    <row r="5589" spans="4:4" ht="12.75" x14ac:dyDescent="0.2">
      <c r="D5589" s="139"/>
    </row>
    <row r="5590" spans="4:4" ht="12.75" x14ac:dyDescent="0.2">
      <c r="D5590" s="139"/>
    </row>
    <row r="5591" spans="4:4" ht="12.75" x14ac:dyDescent="0.2">
      <c r="D5591" s="139"/>
    </row>
    <row r="5592" spans="4:4" ht="12.75" x14ac:dyDescent="0.2">
      <c r="D5592" s="139"/>
    </row>
    <row r="5593" spans="4:4" ht="12.75" x14ac:dyDescent="0.2">
      <c r="D5593" s="139"/>
    </row>
    <row r="5594" spans="4:4" ht="12.75" x14ac:dyDescent="0.2">
      <c r="D5594" s="139"/>
    </row>
    <row r="5595" spans="4:4" ht="12.75" x14ac:dyDescent="0.2">
      <c r="D5595" s="139"/>
    </row>
    <row r="5596" spans="4:4" ht="12.75" x14ac:dyDescent="0.2">
      <c r="D5596" s="139"/>
    </row>
    <row r="5597" spans="4:4" ht="12.75" x14ac:dyDescent="0.2">
      <c r="D5597" s="139"/>
    </row>
    <row r="5598" spans="4:4" ht="12.75" x14ac:dyDescent="0.2">
      <c r="D5598" s="139"/>
    </row>
    <row r="5599" spans="4:4" ht="12.75" x14ac:dyDescent="0.2">
      <c r="D5599" s="139"/>
    </row>
    <row r="5600" spans="4:4" ht="12.75" x14ac:dyDescent="0.2">
      <c r="D5600" s="139"/>
    </row>
    <row r="5601" spans="4:4" ht="12.75" x14ac:dyDescent="0.2">
      <c r="D5601" s="139"/>
    </row>
    <row r="5602" spans="4:4" ht="12.75" x14ac:dyDescent="0.2">
      <c r="D5602" s="139"/>
    </row>
    <row r="5603" spans="4:4" ht="12.75" x14ac:dyDescent="0.2">
      <c r="D5603" s="139"/>
    </row>
    <row r="5604" spans="4:4" ht="12.75" x14ac:dyDescent="0.2">
      <c r="D5604" s="139"/>
    </row>
    <row r="5605" spans="4:4" ht="12.75" x14ac:dyDescent="0.2">
      <c r="D5605" s="139"/>
    </row>
    <row r="5606" spans="4:4" ht="12.75" x14ac:dyDescent="0.2">
      <c r="D5606" s="139"/>
    </row>
    <row r="5607" spans="4:4" ht="12.75" x14ac:dyDescent="0.2">
      <c r="D5607" s="139"/>
    </row>
    <row r="5608" spans="4:4" ht="12.75" x14ac:dyDescent="0.2">
      <c r="D5608" s="139"/>
    </row>
    <row r="5609" spans="4:4" ht="12.75" x14ac:dyDescent="0.2">
      <c r="D5609" s="139"/>
    </row>
    <row r="5610" spans="4:4" ht="12.75" x14ac:dyDescent="0.2">
      <c r="D5610" s="139"/>
    </row>
    <row r="5611" spans="4:4" ht="12.75" x14ac:dyDescent="0.2">
      <c r="D5611" s="139"/>
    </row>
    <row r="5612" spans="4:4" ht="12.75" x14ac:dyDescent="0.2">
      <c r="D5612" s="139"/>
    </row>
    <row r="5613" spans="4:4" ht="12.75" x14ac:dyDescent="0.2">
      <c r="D5613" s="139"/>
    </row>
    <row r="5614" spans="4:4" ht="12.75" x14ac:dyDescent="0.2">
      <c r="D5614" s="139"/>
    </row>
    <row r="5615" spans="4:4" ht="12.75" x14ac:dyDescent="0.2">
      <c r="D5615" s="139"/>
    </row>
    <row r="5616" spans="4:4" ht="12.75" x14ac:dyDescent="0.2">
      <c r="D5616" s="139"/>
    </row>
    <row r="5617" spans="4:4" ht="12.75" x14ac:dyDescent="0.2">
      <c r="D5617" s="139"/>
    </row>
    <row r="5618" spans="4:4" ht="12.75" x14ac:dyDescent="0.2">
      <c r="D5618" s="139"/>
    </row>
    <row r="5619" spans="4:4" ht="12.75" x14ac:dyDescent="0.2">
      <c r="D5619" s="139"/>
    </row>
    <row r="5620" spans="4:4" ht="12.75" x14ac:dyDescent="0.2">
      <c r="D5620" s="139"/>
    </row>
    <row r="5621" spans="4:4" ht="12.75" x14ac:dyDescent="0.2">
      <c r="D5621" s="139"/>
    </row>
    <row r="5622" spans="4:4" ht="12.75" x14ac:dyDescent="0.2">
      <c r="D5622" s="139"/>
    </row>
    <row r="5623" spans="4:4" ht="12.75" x14ac:dyDescent="0.2">
      <c r="D5623" s="139"/>
    </row>
    <row r="5624" spans="4:4" ht="12.75" x14ac:dyDescent="0.2">
      <c r="D5624" s="139"/>
    </row>
    <row r="5625" spans="4:4" ht="12.75" x14ac:dyDescent="0.2">
      <c r="D5625" s="139"/>
    </row>
    <row r="5626" spans="4:4" ht="12.75" x14ac:dyDescent="0.2">
      <c r="D5626" s="139"/>
    </row>
    <row r="5627" spans="4:4" ht="12.75" x14ac:dyDescent="0.2">
      <c r="D5627" s="139"/>
    </row>
    <row r="5628" spans="4:4" ht="12.75" x14ac:dyDescent="0.2">
      <c r="D5628" s="139"/>
    </row>
    <row r="5629" spans="4:4" ht="12.75" x14ac:dyDescent="0.2">
      <c r="D5629" s="139"/>
    </row>
    <row r="5630" spans="4:4" ht="12.75" x14ac:dyDescent="0.2">
      <c r="D5630" s="139"/>
    </row>
    <row r="5631" spans="4:4" ht="12.75" x14ac:dyDescent="0.2">
      <c r="D5631" s="139"/>
    </row>
    <row r="5632" spans="4:4" ht="12.75" x14ac:dyDescent="0.2">
      <c r="D5632" s="139"/>
    </row>
    <row r="5633" spans="4:4" ht="12.75" x14ac:dyDescent="0.2">
      <c r="D5633" s="139"/>
    </row>
    <row r="5634" spans="4:4" ht="12.75" x14ac:dyDescent="0.2">
      <c r="D5634" s="139"/>
    </row>
    <row r="5635" spans="4:4" ht="12.75" x14ac:dyDescent="0.2">
      <c r="D5635" s="139"/>
    </row>
    <row r="5636" spans="4:4" ht="12.75" x14ac:dyDescent="0.2">
      <c r="D5636" s="139"/>
    </row>
    <row r="5637" spans="4:4" ht="12.75" x14ac:dyDescent="0.2">
      <c r="D5637" s="139"/>
    </row>
    <row r="5638" spans="4:4" ht="12.75" x14ac:dyDescent="0.2">
      <c r="D5638" s="139"/>
    </row>
    <row r="5639" spans="4:4" ht="12.75" x14ac:dyDescent="0.2">
      <c r="D5639" s="139"/>
    </row>
    <row r="5640" spans="4:4" ht="12.75" x14ac:dyDescent="0.2">
      <c r="D5640" s="139"/>
    </row>
    <row r="5641" spans="4:4" ht="12.75" x14ac:dyDescent="0.2">
      <c r="D5641" s="139"/>
    </row>
    <row r="5642" spans="4:4" ht="12.75" x14ac:dyDescent="0.2">
      <c r="D5642" s="139"/>
    </row>
    <row r="5643" spans="4:4" ht="12.75" x14ac:dyDescent="0.2">
      <c r="D5643" s="139"/>
    </row>
    <row r="5644" spans="4:4" ht="12.75" x14ac:dyDescent="0.2">
      <c r="D5644" s="139"/>
    </row>
    <row r="5645" spans="4:4" ht="12.75" x14ac:dyDescent="0.2">
      <c r="D5645" s="139"/>
    </row>
    <row r="5646" spans="4:4" ht="12.75" x14ac:dyDescent="0.2">
      <c r="D5646" s="139"/>
    </row>
    <row r="5647" spans="4:4" ht="12.75" x14ac:dyDescent="0.2">
      <c r="D5647" s="139"/>
    </row>
    <row r="5648" spans="4:4" ht="12.75" x14ac:dyDescent="0.2">
      <c r="D5648" s="139"/>
    </row>
    <row r="5649" spans="4:4" ht="12.75" x14ac:dyDescent="0.2">
      <c r="D5649" s="139"/>
    </row>
    <row r="5650" spans="4:4" ht="12.75" x14ac:dyDescent="0.2">
      <c r="D5650" s="139"/>
    </row>
    <row r="5651" spans="4:4" ht="12.75" x14ac:dyDescent="0.2">
      <c r="D5651" s="139"/>
    </row>
    <row r="5652" spans="4:4" ht="12.75" x14ac:dyDescent="0.2">
      <c r="D5652" s="139"/>
    </row>
    <row r="5653" spans="4:4" ht="12.75" x14ac:dyDescent="0.2">
      <c r="D5653" s="139"/>
    </row>
    <row r="5654" spans="4:4" ht="12.75" x14ac:dyDescent="0.2">
      <c r="D5654" s="139"/>
    </row>
    <row r="5655" spans="4:4" ht="12.75" x14ac:dyDescent="0.2">
      <c r="D5655" s="139"/>
    </row>
    <row r="5656" spans="4:4" ht="12.75" x14ac:dyDescent="0.2">
      <c r="D5656" s="139"/>
    </row>
    <row r="5657" spans="4:4" ht="12.75" x14ac:dyDescent="0.2">
      <c r="D5657" s="139"/>
    </row>
    <row r="5658" spans="4:4" ht="12.75" x14ac:dyDescent="0.2">
      <c r="D5658" s="139"/>
    </row>
    <row r="5659" spans="4:4" ht="12.75" x14ac:dyDescent="0.2">
      <c r="D5659" s="139"/>
    </row>
    <row r="5660" spans="4:4" ht="12.75" x14ac:dyDescent="0.2">
      <c r="D5660" s="139"/>
    </row>
    <row r="5661" spans="4:4" ht="12.75" x14ac:dyDescent="0.2">
      <c r="D5661" s="139"/>
    </row>
    <row r="5662" spans="4:4" ht="12.75" x14ac:dyDescent="0.2">
      <c r="D5662" s="139"/>
    </row>
    <row r="5663" spans="4:4" ht="12.75" x14ac:dyDescent="0.2">
      <c r="D5663" s="139"/>
    </row>
    <row r="5664" spans="4:4" ht="12.75" x14ac:dyDescent="0.2">
      <c r="D5664" s="139"/>
    </row>
    <row r="5665" spans="4:4" ht="12.75" x14ac:dyDescent="0.2">
      <c r="D5665" s="139"/>
    </row>
    <row r="5666" spans="4:4" ht="12.75" x14ac:dyDescent="0.2">
      <c r="D5666" s="139"/>
    </row>
    <row r="5667" spans="4:4" ht="12.75" x14ac:dyDescent="0.2">
      <c r="D5667" s="139"/>
    </row>
    <row r="5668" spans="4:4" ht="12.75" x14ac:dyDescent="0.2">
      <c r="D5668" s="139"/>
    </row>
    <row r="5669" spans="4:4" ht="12.75" x14ac:dyDescent="0.2">
      <c r="D5669" s="139"/>
    </row>
    <row r="5670" spans="4:4" ht="12.75" x14ac:dyDescent="0.2">
      <c r="D5670" s="139"/>
    </row>
    <row r="5671" spans="4:4" ht="12.75" x14ac:dyDescent="0.2">
      <c r="D5671" s="139"/>
    </row>
    <row r="5672" spans="4:4" ht="12.75" x14ac:dyDescent="0.2">
      <c r="D5672" s="139"/>
    </row>
    <row r="5673" spans="4:4" ht="12.75" x14ac:dyDescent="0.2">
      <c r="D5673" s="139"/>
    </row>
    <row r="5674" spans="4:4" ht="12.75" x14ac:dyDescent="0.2">
      <c r="D5674" s="139"/>
    </row>
    <row r="5675" spans="4:4" ht="12.75" x14ac:dyDescent="0.2">
      <c r="D5675" s="139"/>
    </row>
    <row r="5676" spans="4:4" ht="12.75" x14ac:dyDescent="0.2">
      <c r="D5676" s="139"/>
    </row>
    <row r="5677" spans="4:4" ht="12.75" x14ac:dyDescent="0.2">
      <c r="D5677" s="139"/>
    </row>
    <row r="5678" spans="4:4" ht="12.75" x14ac:dyDescent="0.2">
      <c r="D5678" s="139"/>
    </row>
    <row r="5679" spans="4:4" ht="12.75" x14ac:dyDescent="0.2">
      <c r="D5679" s="139"/>
    </row>
    <row r="5680" spans="4:4" ht="12.75" x14ac:dyDescent="0.2">
      <c r="D5680" s="139"/>
    </row>
    <row r="5681" spans="4:4" ht="12.75" x14ac:dyDescent="0.2">
      <c r="D5681" s="139"/>
    </row>
    <row r="5682" spans="4:4" ht="12.75" x14ac:dyDescent="0.2">
      <c r="D5682" s="139"/>
    </row>
    <row r="5683" spans="4:4" ht="12.75" x14ac:dyDescent="0.2">
      <c r="D5683" s="139"/>
    </row>
    <row r="5684" spans="4:4" ht="12.75" x14ac:dyDescent="0.2">
      <c r="D5684" s="139"/>
    </row>
    <row r="5685" spans="4:4" ht="12.75" x14ac:dyDescent="0.2">
      <c r="D5685" s="139"/>
    </row>
    <row r="5686" spans="4:4" ht="12.75" x14ac:dyDescent="0.2">
      <c r="D5686" s="139"/>
    </row>
    <row r="5687" spans="4:4" ht="12.75" x14ac:dyDescent="0.2">
      <c r="D5687" s="139"/>
    </row>
    <row r="5688" spans="4:4" ht="12.75" x14ac:dyDescent="0.2">
      <c r="D5688" s="139"/>
    </row>
    <row r="5689" spans="4:4" ht="12.75" x14ac:dyDescent="0.2">
      <c r="D5689" s="139"/>
    </row>
    <row r="5690" spans="4:4" ht="12.75" x14ac:dyDescent="0.2">
      <c r="D5690" s="139"/>
    </row>
    <row r="5691" spans="4:4" ht="12.75" x14ac:dyDescent="0.2">
      <c r="D5691" s="139"/>
    </row>
    <row r="5692" spans="4:4" ht="12.75" x14ac:dyDescent="0.2">
      <c r="D5692" s="139"/>
    </row>
    <row r="5693" spans="4:4" ht="12.75" x14ac:dyDescent="0.2">
      <c r="D5693" s="139"/>
    </row>
    <row r="5694" spans="4:4" ht="12.75" x14ac:dyDescent="0.2">
      <c r="D5694" s="139"/>
    </row>
    <row r="5695" spans="4:4" ht="12.75" x14ac:dyDescent="0.2">
      <c r="D5695" s="139"/>
    </row>
    <row r="5696" spans="4:4" ht="12.75" x14ac:dyDescent="0.2">
      <c r="D5696" s="139"/>
    </row>
    <row r="5697" spans="4:4" ht="12.75" x14ac:dyDescent="0.2">
      <c r="D5697" s="139"/>
    </row>
    <row r="5698" spans="4:4" ht="12.75" x14ac:dyDescent="0.2">
      <c r="D5698" s="139"/>
    </row>
    <row r="5699" spans="4:4" ht="12.75" x14ac:dyDescent="0.2">
      <c r="D5699" s="139"/>
    </row>
    <row r="5700" spans="4:4" ht="12.75" x14ac:dyDescent="0.2">
      <c r="D5700" s="139"/>
    </row>
    <row r="5701" spans="4:4" ht="12.75" x14ac:dyDescent="0.2">
      <c r="D5701" s="139"/>
    </row>
    <row r="5702" spans="4:4" ht="12.75" x14ac:dyDescent="0.2">
      <c r="D5702" s="139"/>
    </row>
    <row r="5703" spans="4:4" ht="12.75" x14ac:dyDescent="0.2">
      <c r="D5703" s="139"/>
    </row>
    <row r="5704" spans="4:4" ht="12.75" x14ac:dyDescent="0.2">
      <c r="D5704" s="139"/>
    </row>
    <row r="5705" spans="4:4" ht="12.75" x14ac:dyDescent="0.2">
      <c r="D5705" s="139"/>
    </row>
    <row r="5706" spans="4:4" ht="12.75" x14ac:dyDescent="0.2">
      <c r="D5706" s="139"/>
    </row>
    <row r="5707" spans="4:4" ht="12.75" x14ac:dyDescent="0.2">
      <c r="D5707" s="139"/>
    </row>
    <row r="5708" spans="4:4" ht="12.75" x14ac:dyDescent="0.2">
      <c r="D5708" s="139"/>
    </row>
    <row r="5709" spans="4:4" ht="12.75" x14ac:dyDescent="0.2">
      <c r="D5709" s="139"/>
    </row>
    <row r="5710" spans="4:4" ht="12.75" x14ac:dyDescent="0.2">
      <c r="D5710" s="139"/>
    </row>
    <row r="5711" spans="4:4" ht="12.75" x14ac:dyDescent="0.2">
      <c r="D5711" s="139"/>
    </row>
    <row r="5712" spans="4:4" ht="12.75" x14ac:dyDescent="0.2">
      <c r="D5712" s="139"/>
    </row>
    <row r="5713" spans="4:4" ht="12.75" x14ac:dyDescent="0.2">
      <c r="D5713" s="139"/>
    </row>
    <row r="5714" spans="4:4" ht="12.75" x14ac:dyDescent="0.2">
      <c r="D5714" s="139"/>
    </row>
    <row r="5715" spans="4:4" ht="12.75" x14ac:dyDescent="0.2">
      <c r="D5715" s="139"/>
    </row>
    <row r="5716" spans="4:4" ht="12.75" x14ac:dyDescent="0.2">
      <c r="D5716" s="139"/>
    </row>
    <row r="5717" spans="4:4" ht="12.75" x14ac:dyDescent="0.2">
      <c r="D5717" s="139"/>
    </row>
    <row r="5718" spans="4:4" ht="12.75" x14ac:dyDescent="0.2">
      <c r="D5718" s="139"/>
    </row>
    <row r="5719" spans="4:4" ht="12.75" x14ac:dyDescent="0.2">
      <c r="D5719" s="139"/>
    </row>
    <row r="5720" spans="4:4" ht="12.75" x14ac:dyDescent="0.2">
      <c r="D5720" s="139"/>
    </row>
    <row r="5721" spans="4:4" ht="12.75" x14ac:dyDescent="0.2">
      <c r="D5721" s="139"/>
    </row>
    <row r="5722" spans="4:4" ht="12.75" x14ac:dyDescent="0.2">
      <c r="D5722" s="139"/>
    </row>
    <row r="5723" spans="4:4" ht="12.75" x14ac:dyDescent="0.2">
      <c r="D5723" s="139"/>
    </row>
    <row r="5724" spans="4:4" ht="12.75" x14ac:dyDescent="0.2">
      <c r="D5724" s="139"/>
    </row>
    <row r="5725" spans="4:4" ht="12.75" x14ac:dyDescent="0.2">
      <c r="D5725" s="139"/>
    </row>
    <row r="5726" spans="4:4" ht="12.75" x14ac:dyDescent="0.2">
      <c r="D5726" s="139"/>
    </row>
    <row r="5727" spans="4:4" ht="12.75" x14ac:dyDescent="0.2">
      <c r="D5727" s="139"/>
    </row>
    <row r="5728" spans="4:4" ht="12.75" x14ac:dyDescent="0.2">
      <c r="D5728" s="139"/>
    </row>
    <row r="5729" spans="4:4" ht="12.75" x14ac:dyDescent="0.2">
      <c r="D5729" s="139"/>
    </row>
    <row r="5730" spans="4:4" ht="12.75" x14ac:dyDescent="0.2">
      <c r="D5730" s="139"/>
    </row>
    <row r="5731" spans="4:4" ht="12.75" x14ac:dyDescent="0.2">
      <c r="D5731" s="139"/>
    </row>
    <row r="5732" spans="4:4" ht="12.75" x14ac:dyDescent="0.2">
      <c r="D5732" s="139"/>
    </row>
    <row r="5733" spans="4:4" ht="12.75" x14ac:dyDescent="0.2">
      <c r="D5733" s="139"/>
    </row>
    <row r="5734" spans="4:4" ht="12.75" x14ac:dyDescent="0.2">
      <c r="D5734" s="139"/>
    </row>
    <row r="5735" spans="4:4" ht="12.75" x14ac:dyDescent="0.2">
      <c r="D5735" s="139"/>
    </row>
    <row r="5736" spans="4:4" ht="12.75" x14ac:dyDescent="0.2">
      <c r="D5736" s="139"/>
    </row>
    <row r="5737" spans="4:4" ht="12.75" x14ac:dyDescent="0.2">
      <c r="D5737" s="139"/>
    </row>
    <row r="5738" spans="4:4" ht="12.75" x14ac:dyDescent="0.2">
      <c r="D5738" s="139"/>
    </row>
    <row r="5739" spans="4:4" ht="12.75" x14ac:dyDescent="0.2">
      <c r="D5739" s="139"/>
    </row>
    <row r="5740" spans="4:4" ht="12.75" x14ac:dyDescent="0.2">
      <c r="D5740" s="139"/>
    </row>
    <row r="5741" spans="4:4" ht="12.75" x14ac:dyDescent="0.2">
      <c r="D5741" s="139"/>
    </row>
    <row r="5742" spans="4:4" ht="12.75" x14ac:dyDescent="0.2">
      <c r="D5742" s="139"/>
    </row>
    <row r="5743" spans="4:4" ht="12.75" x14ac:dyDescent="0.2">
      <c r="D5743" s="139"/>
    </row>
    <row r="5744" spans="4:4" ht="12.75" x14ac:dyDescent="0.2">
      <c r="D5744" s="139"/>
    </row>
    <row r="5745" spans="4:4" ht="12.75" x14ac:dyDescent="0.2">
      <c r="D5745" s="139"/>
    </row>
    <row r="5746" spans="4:4" ht="12.75" x14ac:dyDescent="0.2">
      <c r="D5746" s="139"/>
    </row>
    <row r="5747" spans="4:4" ht="12.75" x14ac:dyDescent="0.2">
      <c r="D5747" s="139"/>
    </row>
    <row r="5748" spans="4:4" ht="12.75" x14ac:dyDescent="0.2">
      <c r="D5748" s="139"/>
    </row>
    <row r="5749" spans="4:4" ht="12.75" x14ac:dyDescent="0.2">
      <c r="D5749" s="139"/>
    </row>
    <row r="5750" spans="4:4" ht="12.75" x14ac:dyDescent="0.2">
      <c r="D5750" s="139"/>
    </row>
    <row r="5751" spans="4:4" ht="12.75" x14ac:dyDescent="0.2">
      <c r="D5751" s="139"/>
    </row>
    <row r="5752" spans="4:4" ht="12.75" x14ac:dyDescent="0.2">
      <c r="D5752" s="139"/>
    </row>
    <row r="5753" spans="4:4" ht="12.75" x14ac:dyDescent="0.2">
      <c r="D5753" s="139"/>
    </row>
    <row r="5754" spans="4:4" ht="12.75" x14ac:dyDescent="0.2">
      <c r="D5754" s="139"/>
    </row>
    <row r="5755" spans="4:4" ht="12.75" x14ac:dyDescent="0.2">
      <c r="D5755" s="139"/>
    </row>
    <row r="5756" spans="4:4" ht="12.75" x14ac:dyDescent="0.2">
      <c r="D5756" s="139"/>
    </row>
    <row r="5757" spans="4:4" ht="12.75" x14ac:dyDescent="0.2">
      <c r="D5757" s="139"/>
    </row>
    <row r="5758" spans="4:4" ht="12.75" x14ac:dyDescent="0.2">
      <c r="D5758" s="139"/>
    </row>
    <row r="5759" spans="4:4" ht="12.75" x14ac:dyDescent="0.2">
      <c r="D5759" s="139"/>
    </row>
    <row r="5760" spans="4:4" ht="12.75" x14ac:dyDescent="0.2">
      <c r="D5760" s="139"/>
    </row>
    <row r="5761" spans="4:4" ht="12.75" x14ac:dyDescent="0.2">
      <c r="D5761" s="139"/>
    </row>
    <row r="5762" spans="4:4" ht="12.75" x14ac:dyDescent="0.2">
      <c r="D5762" s="139"/>
    </row>
    <row r="5763" spans="4:4" ht="12.75" x14ac:dyDescent="0.2">
      <c r="D5763" s="139"/>
    </row>
    <row r="5764" spans="4:4" ht="12.75" x14ac:dyDescent="0.2">
      <c r="D5764" s="139"/>
    </row>
    <row r="5765" spans="4:4" ht="12.75" x14ac:dyDescent="0.2">
      <c r="D5765" s="139"/>
    </row>
    <row r="5766" spans="4:4" ht="12.75" x14ac:dyDescent="0.2">
      <c r="D5766" s="139"/>
    </row>
    <row r="5767" spans="4:4" ht="12.75" x14ac:dyDescent="0.2">
      <c r="D5767" s="139"/>
    </row>
    <row r="5768" spans="4:4" ht="12.75" x14ac:dyDescent="0.2">
      <c r="D5768" s="139"/>
    </row>
    <row r="5769" spans="4:4" ht="12.75" x14ac:dyDescent="0.2">
      <c r="D5769" s="139"/>
    </row>
    <row r="5770" spans="4:4" ht="12.75" x14ac:dyDescent="0.2">
      <c r="D5770" s="139"/>
    </row>
    <row r="5771" spans="4:4" ht="12.75" x14ac:dyDescent="0.2">
      <c r="D5771" s="139"/>
    </row>
    <row r="5772" spans="4:4" ht="12.75" x14ac:dyDescent="0.2">
      <c r="D5772" s="139"/>
    </row>
    <row r="5773" spans="4:4" ht="12.75" x14ac:dyDescent="0.2">
      <c r="D5773" s="139"/>
    </row>
    <row r="5774" spans="4:4" ht="12.75" x14ac:dyDescent="0.2">
      <c r="D5774" s="139"/>
    </row>
    <row r="5775" spans="4:4" ht="12.75" x14ac:dyDescent="0.2">
      <c r="D5775" s="139"/>
    </row>
    <row r="5776" spans="4:4" ht="12.75" x14ac:dyDescent="0.2">
      <c r="D5776" s="139"/>
    </row>
    <row r="5777" spans="4:4" ht="12.75" x14ac:dyDescent="0.2">
      <c r="D5777" s="139"/>
    </row>
    <row r="5778" spans="4:4" ht="12.75" x14ac:dyDescent="0.2">
      <c r="D5778" s="139"/>
    </row>
    <row r="5779" spans="4:4" ht="12.75" x14ac:dyDescent="0.2">
      <c r="D5779" s="139"/>
    </row>
    <row r="5780" spans="4:4" ht="12.75" x14ac:dyDescent="0.2">
      <c r="D5780" s="139"/>
    </row>
    <row r="5781" spans="4:4" ht="12.75" x14ac:dyDescent="0.2">
      <c r="D5781" s="139"/>
    </row>
    <row r="5782" spans="4:4" ht="12.75" x14ac:dyDescent="0.2">
      <c r="D5782" s="139"/>
    </row>
    <row r="5783" spans="4:4" ht="12.75" x14ac:dyDescent="0.2">
      <c r="D5783" s="139"/>
    </row>
    <row r="5784" spans="4:4" ht="12.75" x14ac:dyDescent="0.2">
      <c r="D5784" s="139"/>
    </row>
    <row r="5785" spans="4:4" ht="12.75" x14ac:dyDescent="0.2">
      <c r="D5785" s="139"/>
    </row>
    <row r="5786" spans="4:4" ht="12.75" x14ac:dyDescent="0.2">
      <c r="D5786" s="139"/>
    </row>
    <row r="5787" spans="4:4" ht="12.75" x14ac:dyDescent="0.2">
      <c r="D5787" s="139"/>
    </row>
    <row r="5788" spans="4:4" ht="12.75" x14ac:dyDescent="0.2">
      <c r="D5788" s="139"/>
    </row>
    <row r="5789" spans="4:4" ht="12.75" x14ac:dyDescent="0.2">
      <c r="D5789" s="139"/>
    </row>
    <row r="5790" spans="4:4" ht="12.75" x14ac:dyDescent="0.2">
      <c r="D5790" s="139"/>
    </row>
    <row r="5791" spans="4:4" ht="12.75" x14ac:dyDescent="0.2">
      <c r="D5791" s="139"/>
    </row>
    <row r="5792" spans="4:4" ht="12.75" x14ac:dyDescent="0.2">
      <c r="D5792" s="139"/>
    </row>
    <row r="5793" spans="4:4" ht="12.75" x14ac:dyDescent="0.2">
      <c r="D5793" s="139"/>
    </row>
    <row r="5794" spans="4:4" ht="12.75" x14ac:dyDescent="0.2">
      <c r="D5794" s="139"/>
    </row>
    <row r="5795" spans="4:4" ht="12.75" x14ac:dyDescent="0.2">
      <c r="D5795" s="139"/>
    </row>
    <row r="5796" spans="4:4" ht="12.75" x14ac:dyDescent="0.2">
      <c r="D5796" s="139"/>
    </row>
    <row r="5797" spans="4:4" ht="12.75" x14ac:dyDescent="0.2">
      <c r="D5797" s="139"/>
    </row>
    <row r="5798" spans="4:4" ht="12.75" x14ac:dyDescent="0.2">
      <c r="D5798" s="139"/>
    </row>
    <row r="5799" spans="4:4" ht="12.75" x14ac:dyDescent="0.2">
      <c r="D5799" s="139"/>
    </row>
    <row r="5800" spans="4:4" ht="12.75" x14ac:dyDescent="0.2">
      <c r="D5800" s="139"/>
    </row>
    <row r="5801" spans="4:4" ht="12.75" x14ac:dyDescent="0.2">
      <c r="D5801" s="139"/>
    </row>
    <row r="5802" spans="4:4" ht="12.75" x14ac:dyDescent="0.2">
      <c r="D5802" s="139"/>
    </row>
    <row r="5803" spans="4:4" ht="12.75" x14ac:dyDescent="0.2">
      <c r="D5803" s="139"/>
    </row>
    <row r="5804" spans="4:4" ht="12.75" x14ac:dyDescent="0.2">
      <c r="D5804" s="139"/>
    </row>
    <row r="5805" spans="4:4" ht="12.75" x14ac:dyDescent="0.2">
      <c r="D5805" s="139"/>
    </row>
    <row r="5806" spans="4:4" ht="12.75" x14ac:dyDescent="0.2">
      <c r="D5806" s="139"/>
    </row>
    <row r="5807" spans="4:4" ht="12.75" x14ac:dyDescent="0.2">
      <c r="D5807" s="139"/>
    </row>
    <row r="5808" spans="4:4" ht="12.75" x14ac:dyDescent="0.2">
      <c r="D5808" s="139"/>
    </row>
    <row r="5809" spans="4:4" ht="12.75" x14ac:dyDescent="0.2">
      <c r="D5809" s="139"/>
    </row>
    <row r="5810" spans="4:4" ht="12.75" x14ac:dyDescent="0.2">
      <c r="D5810" s="139"/>
    </row>
    <row r="5811" spans="4:4" ht="12.75" x14ac:dyDescent="0.2">
      <c r="D5811" s="139"/>
    </row>
    <row r="5812" spans="4:4" ht="12.75" x14ac:dyDescent="0.2">
      <c r="D5812" s="139"/>
    </row>
    <row r="5813" spans="4:4" ht="12.75" x14ac:dyDescent="0.2">
      <c r="D5813" s="139"/>
    </row>
    <row r="5814" spans="4:4" ht="12.75" x14ac:dyDescent="0.2">
      <c r="D5814" s="139"/>
    </row>
    <row r="5815" spans="4:4" ht="12.75" x14ac:dyDescent="0.2">
      <c r="D5815" s="139"/>
    </row>
    <row r="5816" spans="4:4" ht="12.75" x14ac:dyDescent="0.2">
      <c r="D5816" s="139"/>
    </row>
    <row r="5817" spans="4:4" ht="12.75" x14ac:dyDescent="0.2">
      <c r="D5817" s="139"/>
    </row>
    <row r="5818" spans="4:4" ht="12.75" x14ac:dyDescent="0.2">
      <c r="D5818" s="139"/>
    </row>
    <row r="5819" spans="4:4" ht="12.75" x14ac:dyDescent="0.2">
      <c r="D5819" s="139"/>
    </row>
    <row r="5820" spans="4:4" ht="12.75" x14ac:dyDescent="0.2">
      <c r="D5820" s="139"/>
    </row>
    <row r="5821" spans="4:4" ht="12.75" x14ac:dyDescent="0.2">
      <c r="D5821" s="139"/>
    </row>
    <row r="5822" spans="4:4" ht="12.75" x14ac:dyDescent="0.2">
      <c r="D5822" s="139"/>
    </row>
    <row r="5823" spans="4:4" ht="12.75" x14ac:dyDescent="0.2">
      <c r="D5823" s="139"/>
    </row>
    <row r="5824" spans="4:4" ht="12.75" x14ac:dyDescent="0.2">
      <c r="D5824" s="139"/>
    </row>
    <row r="5825" spans="4:4" ht="12.75" x14ac:dyDescent="0.2">
      <c r="D5825" s="139"/>
    </row>
    <row r="5826" spans="4:4" ht="12.75" x14ac:dyDescent="0.2">
      <c r="D5826" s="139"/>
    </row>
    <row r="5827" spans="4:4" ht="12.75" x14ac:dyDescent="0.2">
      <c r="D5827" s="139"/>
    </row>
    <row r="5828" spans="4:4" ht="12.75" x14ac:dyDescent="0.2">
      <c r="D5828" s="139"/>
    </row>
    <row r="5829" spans="4:4" ht="12.75" x14ac:dyDescent="0.2">
      <c r="D5829" s="139"/>
    </row>
    <row r="5830" spans="4:4" ht="12.75" x14ac:dyDescent="0.2">
      <c r="D5830" s="139"/>
    </row>
    <row r="5831" spans="4:4" ht="12.75" x14ac:dyDescent="0.2">
      <c r="D5831" s="139"/>
    </row>
    <row r="5832" spans="4:4" ht="12.75" x14ac:dyDescent="0.2">
      <c r="D5832" s="139"/>
    </row>
    <row r="5833" spans="4:4" ht="12.75" x14ac:dyDescent="0.2">
      <c r="D5833" s="139"/>
    </row>
    <row r="5834" spans="4:4" ht="12.75" x14ac:dyDescent="0.2">
      <c r="D5834" s="139"/>
    </row>
    <row r="5835" spans="4:4" ht="12.75" x14ac:dyDescent="0.2">
      <c r="D5835" s="139"/>
    </row>
    <row r="5836" spans="4:4" ht="12.75" x14ac:dyDescent="0.2">
      <c r="D5836" s="139"/>
    </row>
    <row r="5837" spans="4:4" ht="12.75" x14ac:dyDescent="0.2">
      <c r="D5837" s="139"/>
    </row>
    <row r="5838" spans="4:4" ht="12.75" x14ac:dyDescent="0.2">
      <c r="D5838" s="139"/>
    </row>
    <row r="5839" spans="4:4" ht="12.75" x14ac:dyDescent="0.2">
      <c r="D5839" s="139"/>
    </row>
    <row r="5840" spans="4:4" ht="12.75" x14ac:dyDescent="0.2">
      <c r="D5840" s="139"/>
    </row>
    <row r="5841" spans="4:4" ht="12.75" x14ac:dyDescent="0.2">
      <c r="D5841" s="139"/>
    </row>
    <row r="5842" spans="4:4" ht="12.75" x14ac:dyDescent="0.2">
      <c r="D5842" s="139"/>
    </row>
    <row r="5843" spans="4:4" ht="12.75" x14ac:dyDescent="0.2">
      <c r="D5843" s="139"/>
    </row>
    <row r="5844" spans="4:4" ht="12.75" x14ac:dyDescent="0.2">
      <c r="D5844" s="139"/>
    </row>
    <row r="5845" spans="4:4" ht="12.75" x14ac:dyDescent="0.2">
      <c r="D5845" s="139"/>
    </row>
    <row r="5846" spans="4:4" ht="12.75" x14ac:dyDescent="0.2">
      <c r="D5846" s="139"/>
    </row>
    <row r="5847" spans="4:4" ht="12.75" x14ac:dyDescent="0.2">
      <c r="D5847" s="139"/>
    </row>
    <row r="5848" spans="4:4" ht="12.75" x14ac:dyDescent="0.2">
      <c r="D5848" s="139"/>
    </row>
    <row r="5849" spans="4:4" ht="12.75" x14ac:dyDescent="0.2">
      <c r="D5849" s="139"/>
    </row>
    <row r="5850" spans="4:4" ht="12.75" x14ac:dyDescent="0.2">
      <c r="D5850" s="139"/>
    </row>
    <row r="5851" spans="4:4" ht="12.75" x14ac:dyDescent="0.2">
      <c r="D5851" s="139"/>
    </row>
    <row r="5852" spans="4:4" ht="12.75" x14ac:dyDescent="0.2">
      <c r="D5852" s="139"/>
    </row>
    <row r="5853" spans="4:4" ht="12.75" x14ac:dyDescent="0.2">
      <c r="D5853" s="139"/>
    </row>
    <row r="5854" spans="4:4" ht="12.75" x14ac:dyDescent="0.2">
      <c r="D5854" s="139"/>
    </row>
    <row r="5855" spans="4:4" ht="12.75" x14ac:dyDescent="0.2">
      <c r="D5855" s="139"/>
    </row>
    <row r="5856" spans="4:4" ht="12.75" x14ac:dyDescent="0.2">
      <c r="D5856" s="139"/>
    </row>
    <row r="5857" spans="4:4" ht="12.75" x14ac:dyDescent="0.2">
      <c r="D5857" s="139"/>
    </row>
    <row r="5858" spans="4:4" ht="12.75" x14ac:dyDescent="0.2">
      <c r="D5858" s="139"/>
    </row>
    <row r="5859" spans="4:4" ht="12.75" x14ac:dyDescent="0.2">
      <c r="D5859" s="139"/>
    </row>
    <row r="5860" spans="4:4" ht="12.75" x14ac:dyDescent="0.2">
      <c r="D5860" s="139"/>
    </row>
    <row r="5861" spans="4:4" ht="12.75" x14ac:dyDescent="0.2">
      <c r="D5861" s="139"/>
    </row>
    <row r="5862" spans="4:4" ht="12.75" x14ac:dyDescent="0.2">
      <c r="D5862" s="139"/>
    </row>
    <row r="5863" spans="4:4" ht="12.75" x14ac:dyDescent="0.2">
      <c r="D5863" s="139"/>
    </row>
    <row r="5864" spans="4:4" ht="12.75" x14ac:dyDescent="0.2">
      <c r="D5864" s="139"/>
    </row>
    <row r="5865" spans="4:4" ht="12.75" x14ac:dyDescent="0.2">
      <c r="D5865" s="139"/>
    </row>
    <row r="5866" spans="4:4" ht="12.75" x14ac:dyDescent="0.2">
      <c r="D5866" s="139"/>
    </row>
    <row r="5867" spans="4:4" ht="12.75" x14ac:dyDescent="0.2">
      <c r="D5867" s="139"/>
    </row>
    <row r="5868" spans="4:4" ht="12.75" x14ac:dyDescent="0.2">
      <c r="D5868" s="139"/>
    </row>
    <row r="5869" spans="4:4" ht="12.75" x14ac:dyDescent="0.2">
      <c r="D5869" s="139"/>
    </row>
    <row r="5870" spans="4:4" ht="12.75" x14ac:dyDescent="0.2">
      <c r="D5870" s="139"/>
    </row>
    <row r="5871" spans="4:4" ht="12.75" x14ac:dyDescent="0.2">
      <c r="D5871" s="139"/>
    </row>
    <row r="5872" spans="4:4" ht="12.75" x14ac:dyDescent="0.2">
      <c r="D5872" s="139"/>
    </row>
    <row r="5873" spans="4:4" ht="12.75" x14ac:dyDescent="0.2">
      <c r="D5873" s="139"/>
    </row>
    <row r="5874" spans="4:4" ht="12.75" x14ac:dyDescent="0.2">
      <c r="D5874" s="139"/>
    </row>
    <row r="5875" spans="4:4" ht="12.75" x14ac:dyDescent="0.2">
      <c r="D5875" s="139"/>
    </row>
    <row r="5876" spans="4:4" ht="12.75" x14ac:dyDescent="0.2">
      <c r="D5876" s="139"/>
    </row>
    <row r="5877" spans="4:4" ht="12.75" x14ac:dyDescent="0.2">
      <c r="D5877" s="139"/>
    </row>
    <row r="5878" spans="4:4" ht="12.75" x14ac:dyDescent="0.2">
      <c r="D5878" s="139"/>
    </row>
    <row r="5879" spans="4:4" ht="12.75" x14ac:dyDescent="0.2">
      <c r="D5879" s="139"/>
    </row>
    <row r="5880" spans="4:4" ht="12.75" x14ac:dyDescent="0.2">
      <c r="D5880" s="139"/>
    </row>
    <row r="5881" spans="4:4" ht="12.75" x14ac:dyDescent="0.2">
      <c r="D5881" s="139"/>
    </row>
    <row r="5882" spans="4:4" ht="12.75" x14ac:dyDescent="0.2">
      <c r="D5882" s="139"/>
    </row>
    <row r="5883" spans="4:4" ht="12.75" x14ac:dyDescent="0.2">
      <c r="D5883" s="139"/>
    </row>
    <row r="5884" spans="4:4" ht="12.75" x14ac:dyDescent="0.2">
      <c r="D5884" s="139"/>
    </row>
    <row r="5885" spans="4:4" ht="12.75" x14ac:dyDescent="0.2">
      <c r="D5885" s="139"/>
    </row>
    <row r="5886" spans="4:4" ht="12.75" x14ac:dyDescent="0.2">
      <c r="D5886" s="139"/>
    </row>
    <row r="5887" spans="4:4" ht="12.75" x14ac:dyDescent="0.2">
      <c r="D5887" s="139"/>
    </row>
    <row r="5888" spans="4:4" ht="12.75" x14ac:dyDescent="0.2">
      <c r="D5888" s="139"/>
    </row>
    <row r="5889" spans="4:4" ht="12.75" x14ac:dyDescent="0.2">
      <c r="D5889" s="139"/>
    </row>
    <row r="5890" spans="4:4" ht="12.75" x14ac:dyDescent="0.2">
      <c r="D5890" s="139"/>
    </row>
    <row r="5891" spans="4:4" ht="12.75" x14ac:dyDescent="0.2">
      <c r="D5891" s="139"/>
    </row>
    <row r="5892" spans="4:4" ht="12.75" x14ac:dyDescent="0.2">
      <c r="D5892" s="139"/>
    </row>
    <row r="5893" spans="4:4" ht="12.75" x14ac:dyDescent="0.2">
      <c r="D5893" s="139"/>
    </row>
    <row r="5894" spans="4:4" ht="12.75" x14ac:dyDescent="0.2">
      <c r="D5894" s="139"/>
    </row>
    <row r="5895" spans="4:4" ht="12.75" x14ac:dyDescent="0.2">
      <c r="D5895" s="139"/>
    </row>
    <row r="5896" spans="4:4" ht="12.75" x14ac:dyDescent="0.2">
      <c r="D5896" s="139"/>
    </row>
    <row r="5897" spans="4:4" ht="12.75" x14ac:dyDescent="0.2">
      <c r="D5897" s="139"/>
    </row>
    <row r="5898" spans="4:4" ht="12.75" x14ac:dyDescent="0.2">
      <c r="D5898" s="139"/>
    </row>
    <row r="5899" spans="4:4" ht="12.75" x14ac:dyDescent="0.2">
      <c r="D5899" s="139"/>
    </row>
    <row r="5900" spans="4:4" ht="12.75" x14ac:dyDescent="0.2">
      <c r="D5900" s="139"/>
    </row>
    <row r="5901" spans="4:4" ht="12.75" x14ac:dyDescent="0.2">
      <c r="D5901" s="139"/>
    </row>
    <row r="5902" spans="4:4" ht="12.75" x14ac:dyDescent="0.2">
      <c r="D5902" s="139"/>
    </row>
    <row r="5903" spans="4:4" ht="12.75" x14ac:dyDescent="0.2">
      <c r="D5903" s="139"/>
    </row>
    <row r="5904" spans="4:4" ht="12.75" x14ac:dyDescent="0.2">
      <c r="D5904" s="139"/>
    </row>
    <row r="5905" spans="4:4" ht="12.75" x14ac:dyDescent="0.2">
      <c r="D5905" s="139"/>
    </row>
    <row r="5906" spans="4:4" ht="12.75" x14ac:dyDescent="0.2">
      <c r="D5906" s="139"/>
    </row>
    <row r="5907" spans="4:4" ht="12.75" x14ac:dyDescent="0.2">
      <c r="D5907" s="139"/>
    </row>
    <row r="5908" spans="4:4" ht="12.75" x14ac:dyDescent="0.2">
      <c r="D5908" s="139"/>
    </row>
    <row r="5909" spans="4:4" ht="12.75" x14ac:dyDescent="0.2">
      <c r="D5909" s="139"/>
    </row>
    <row r="5910" spans="4:4" ht="12.75" x14ac:dyDescent="0.2">
      <c r="D5910" s="139"/>
    </row>
    <row r="5911" spans="4:4" ht="12.75" x14ac:dyDescent="0.2">
      <c r="D5911" s="139"/>
    </row>
    <row r="5912" spans="4:4" ht="12.75" x14ac:dyDescent="0.2">
      <c r="D5912" s="139"/>
    </row>
    <row r="5913" spans="4:4" ht="12.75" x14ac:dyDescent="0.2">
      <c r="D5913" s="139"/>
    </row>
    <row r="5914" spans="4:4" ht="12.75" x14ac:dyDescent="0.2">
      <c r="D5914" s="139"/>
    </row>
    <row r="5915" spans="4:4" ht="12.75" x14ac:dyDescent="0.2">
      <c r="D5915" s="139"/>
    </row>
    <row r="5916" spans="4:4" ht="12.75" x14ac:dyDescent="0.2">
      <c r="D5916" s="139"/>
    </row>
    <row r="5917" spans="4:4" ht="12.75" x14ac:dyDescent="0.2">
      <c r="D5917" s="139"/>
    </row>
    <row r="5918" spans="4:4" ht="12.75" x14ac:dyDescent="0.2">
      <c r="D5918" s="139"/>
    </row>
    <row r="5919" spans="4:4" ht="12.75" x14ac:dyDescent="0.2">
      <c r="D5919" s="139"/>
    </row>
    <row r="5920" spans="4:4" ht="12.75" x14ac:dyDescent="0.2">
      <c r="D5920" s="139"/>
    </row>
    <row r="5921" spans="4:4" ht="12.75" x14ac:dyDescent="0.2">
      <c r="D5921" s="139"/>
    </row>
    <row r="5922" spans="4:4" ht="12.75" x14ac:dyDescent="0.2">
      <c r="D5922" s="139"/>
    </row>
    <row r="5923" spans="4:4" ht="12.75" x14ac:dyDescent="0.2">
      <c r="D5923" s="139"/>
    </row>
    <row r="5924" spans="4:4" ht="12.75" x14ac:dyDescent="0.2">
      <c r="D5924" s="139"/>
    </row>
    <row r="5925" spans="4:4" ht="12.75" x14ac:dyDescent="0.2">
      <c r="D5925" s="139"/>
    </row>
    <row r="5926" spans="4:4" ht="12.75" x14ac:dyDescent="0.2">
      <c r="D5926" s="139"/>
    </row>
    <row r="5927" spans="4:4" ht="12.75" x14ac:dyDescent="0.2">
      <c r="D5927" s="139"/>
    </row>
    <row r="5928" spans="4:4" ht="12.75" x14ac:dyDescent="0.2">
      <c r="D5928" s="139"/>
    </row>
    <row r="5929" spans="4:4" ht="12.75" x14ac:dyDescent="0.2">
      <c r="D5929" s="139"/>
    </row>
    <row r="5930" spans="4:4" ht="12.75" x14ac:dyDescent="0.2">
      <c r="D5930" s="139"/>
    </row>
    <row r="5931" spans="4:4" ht="12.75" x14ac:dyDescent="0.2">
      <c r="D5931" s="139"/>
    </row>
    <row r="5932" spans="4:4" ht="12.75" x14ac:dyDescent="0.2">
      <c r="D5932" s="139"/>
    </row>
    <row r="5933" spans="4:4" ht="12.75" x14ac:dyDescent="0.2">
      <c r="D5933" s="139"/>
    </row>
    <row r="5934" spans="4:4" ht="12.75" x14ac:dyDescent="0.2">
      <c r="D5934" s="139"/>
    </row>
    <row r="5935" spans="4:4" ht="12.75" x14ac:dyDescent="0.2">
      <c r="D5935" s="139"/>
    </row>
    <row r="5936" spans="4:4" ht="12.75" x14ac:dyDescent="0.2">
      <c r="D5936" s="139"/>
    </row>
    <row r="5937" spans="4:4" ht="12.75" x14ac:dyDescent="0.2">
      <c r="D5937" s="139"/>
    </row>
    <row r="5938" spans="4:4" ht="12.75" x14ac:dyDescent="0.2">
      <c r="D5938" s="139"/>
    </row>
    <row r="5939" spans="4:4" ht="12.75" x14ac:dyDescent="0.2">
      <c r="D5939" s="139"/>
    </row>
    <row r="5940" spans="4:4" ht="12.75" x14ac:dyDescent="0.2">
      <c r="D5940" s="139"/>
    </row>
    <row r="5941" spans="4:4" ht="12.75" x14ac:dyDescent="0.2">
      <c r="D5941" s="139"/>
    </row>
    <row r="5942" spans="4:4" ht="12.75" x14ac:dyDescent="0.2">
      <c r="D5942" s="139"/>
    </row>
    <row r="5943" spans="4:4" ht="12.75" x14ac:dyDescent="0.2">
      <c r="D5943" s="139"/>
    </row>
    <row r="5944" spans="4:4" ht="12.75" x14ac:dyDescent="0.2">
      <c r="D5944" s="139"/>
    </row>
    <row r="5945" spans="4:4" ht="12.75" x14ac:dyDescent="0.2">
      <c r="D5945" s="139"/>
    </row>
    <row r="5946" spans="4:4" ht="12.75" x14ac:dyDescent="0.2">
      <c r="D5946" s="139"/>
    </row>
    <row r="5947" spans="4:4" ht="12.75" x14ac:dyDescent="0.2">
      <c r="D5947" s="139"/>
    </row>
    <row r="5948" spans="4:4" ht="12.75" x14ac:dyDescent="0.2">
      <c r="D5948" s="139"/>
    </row>
    <row r="5949" spans="4:4" ht="12.75" x14ac:dyDescent="0.2">
      <c r="D5949" s="139"/>
    </row>
    <row r="5950" spans="4:4" ht="12.75" x14ac:dyDescent="0.2">
      <c r="D5950" s="139"/>
    </row>
    <row r="5951" spans="4:4" ht="12.75" x14ac:dyDescent="0.2">
      <c r="D5951" s="139"/>
    </row>
    <row r="5952" spans="4:4" ht="12.75" x14ac:dyDescent="0.2">
      <c r="D5952" s="139"/>
    </row>
    <row r="5953" spans="4:4" ht="12.75" x14ac:dyDescent="0.2">
      <c r="D5953" s="139"/>
    </row>
    <row r="5954" spans="4:4" ht="12.75" x14ac:dyDescent="0.2">
      <c r="D5954" s="139"/>
    </row>
    <row r="5955" spans="4:4" ht="12.75" x14ac:dyDescent="0.2">
      <c r="D5955" s="139"/>
    </row>
    <row r="5956" spans="4:4" ht="12.75" x14ac:dyDescent="0.2">
      <c r="D5956" s="139"/>
    </row>
    <row r="5957" spans="4:4" ht="12.75" x14ac:dyDescent="0.2">
      <c r="D5957" s="139"/>
    </row>
    <row r="5958" spans="4:4" ht="12.75" x14ac:dyDescent="0.2">
      <c r="D5958" s="139"/>
    </row>
    <row r="5959" spans="4:4" ht="12.75" x14ac:dyDescent="0.2">
      <c r="D5959" s="139"/>
    </row>
    <row r="5960" spans="4:4" ht="12.75" x14ac:dyDescent="0.2">
      <c r="D5960" s="139"/>
    </row>
    <row r="5961" spans="4:4" ht="12.75" x14ac:dyDescent="0.2">
      <c r="D5961" s="139"/>
    </row>
    <row r="5962" spans="4:4" ht="12.75" x14ac:dyDescent="0.2">
      <c r="D5962" s="139"/>
    </row>
    <row r="5963" spans="4:4" ht="12.75" x14ac:dyDescent="0.2">
      <c r="D5963" s="139"/>
    </row>
    <row r="5964" spans="4:4" ht="12.75" x14ac:dyDescent="0.2">
      <c r="D5964" s="139"/>
    </row>
    <row r="5965" spans="4:4" ht="12.75" x14ac:dyDescent="0.2">
      <c r="D5965" s="139"/>
    </row>
    <row r="5966" spans="4:4" ht="12.75" x14ac:dyDescent="0.2">
      <c r="D5966" s="139"/>
    </row>
    <row r="5967" spans="4:4" ht="12.75" x14ac:dyDescent="0.2">
      <c r="D5967" s="139"/>
    </row>
    <row r="5968" spans="4:4" ht="12.75" x14ac:dyDescent="0.2">
      <c r="D5968" s="139"/>
    </row>
    <row r="5969" spans="4:4" ht="12.75" x14ac:dyDescent="0.2">
      <c r="D5969" s="139"/>
    </row>
    <row r="5970" spans="4:4" ht="12.75" x14ac:dyDescent="0.2">
      <c r="D5970" s="139"/>
    </row>
    <row r="5971" spans="4:4" ht="12.75" x14ac:dyDescent="0.2">
      <c r="D5971" s="139"/>
    </row>
    <row r="5972" spans="4:4" ht="12.75" x14ac:dyDescent="0.2">
      <c r="D5972" s="139"/>
    </row>
    <row r="5973" spans="4:4" ht="12.75" x14ac:dyDescent="0.2">
      <c r="D5973" s="139"/>
    </row>
    <row r="5974" spans="4:4" ht="12.75" x14ac:dyDescent="0.2">
      <c r="D5974" s="139"/>
    </row>
    <row r="5975" spans="4:4" ht="12.75" x14ac:dyDescent="0.2">
      <c r="D5975" s="139"/>
    </row>
    <row r="5976" spans="4:4" ht="12.75" x14ac:dyDescent="0.2">
      <c r="D5976" s="139"/>
    </row>
    <row r="5977" spans="4:4" ht="12.75" x14ac:dyDescent="0.2">
      <c r="D5977" s="139"/>
    </row>
    <row r="5978" spans="4:4" ht="12.75" x14ac:dyDescent="0.2">
      <c r="D5978" s="139"/>
    </row>
    <row r="5979" spans="4:4" ht="12.75" x14ac:dyDescent="0.2">
      <c r="D5979" s="139"/>
    </row>
    <row r="5980" spans="4:4" ht="12.75" x14ac:dyDescent="0.2">
      <c r="D5980" s="139"/>
    </row>
    <row r="5981" spans="4:4" ht="12.75" x14ac:dyDescent="0.2">
      <c r="D5981" s="139"/>
    </row>
    <row r="5982" spans="4:4" ht="12.75" x14ac:dyDescent="0.2">
      <c r="D5982" s="139"/>
    </row>
    <row r="5983" spans="4:4" ht="12.75" x14ac:dyDescent="0.2">
      <c r="D5983" s="139"/>
    </row>
    <row r="5984" spans="4:4" ht="12.75" x14ac:dyDescent="0.2">
      <c r="D5984" s="139"/>
    </row>
    <row r="5985" spans="4:4" ht="12.75" x14ac:dyDescent="0.2">
      <c r="D5985" s="139"/>
    </row>
    <row r="5986" spans="4:4" ht="12.75" x14ac:dyDescent="0.2">
      <c r="D5986" s="139"/>
    </row>
    <row r="5987" spans="4:4" ht="12.75" x14ac:dyDescent="0.2">
      <c r="D5987" s="139"/>
    </row>
    <row r="5988" spans="4:4" ht="12.75" x14ac:dyDescent="0.2">
      <c r="D5988" s="139"/>
    </row>
    <row r="5989" spans="4:4" ht="12.75" x14ac:dyDescent="0.2">
      <c r="D5989" s="139"/>
    </row>
    <row r="5990" spans="4:4" ht="12.75" x14ac:dyDescent="0.2">
      <c r="D5990" s="139"/>
    </row>
    <row r="5991" spans="4:4" ht="12.75" x14ac:dyDescent="0.2">
      <c r="D5991" s="139"/>
    </row>
    <row r="5992" spans="4:4" ht="12.75" x14ac:dyDescent="0.2">
      <c r="D5992" s="139"/>
    </row>
    <row r="5993" spans="4:4" ht="12.75" x14ac:dyDescent="0.2">
      <c r="D5993" s="139"/>
    </row>
    <row r="5994" spans="4:4" ht="12.75" x14ac:dyDescent="0.2">
      <c r="D5994" s="139"/>
    </row>
    <row r="5995" spans="4:4" ht="12.75" x14ac:dyDescent="0.2">
      <c r="D5995" s="139"/>
    </row>
    <row r="5996" spans="4:4" ht="12.75" x14ac:dyDescent="0.2">
      <c r="D5996" s="139"/>
    </row>
    <row r="5997" spans="4:4" ht="12.75" x14ac:dyDescent="0.2">
      <c r="D5997" s="139"/>
    </row>
    <row r="5998" spans="4:4" ht="12.75" x14ac:dyDescent="0.2">
      <c r="D5998" s="139"/>
    </row>
    <row r="5999" spans="4:4" ht="12.75" x14ac:dyDescent="0.2">
      <c r="D5999" s="139"/>
    </row>
    <row r="6000" spans="4:4" ht="12.75" x14ac:dyDescent="0.2">
      <c r="D6000" s="139"/>
    </row>
    <row r="6001" spans="4:4" ht="12.75" x14ac:dyDescent="0.2">
      <c r="D6001" s="139"/>
    </row>
    <row r="6002" spans="4:4" ht="12.75" x14ac:dyDescent="0.2">
      <c r="D6002" s="139"/>
    </row>
    <row r="6003" spans="4:4" ht="12.75" x14ac:dyDescent="0.2">
      <c r="D6003" s="139"/>
    </row>
    <row r="6004" spans="4:4" ht="12.75" x14ac:dyDescent="0.2">
      <c r="D6004" s="139"/>
    </row>
    <row r="6005" spans="4:4" ht="12.75" x14ac:dyDescent="0.2">
      <c r="D6005" s="139"/>
    </row>
    <row r="6006" spans="4:4" ht="12.75" x14ac:dyDescent="0.2">
      <c r="D6006" s="139"/>
    </row>
    <row r="6007" spans="4:4" ht="12.75" x14ac:dyDescent="0.2">
      <c r="D6007" s="139"/>
    </row>
    <row r="6008" spans="4:4" ht="12.75" x14ac:dyDescent="0.2">
      <c r="D6008" s="139"/>
    </row>
    <row r="6009" spans="4:4" ht="12.75" x14ac:dyDescent="0.2">
      <c r="D6009" s="139"/>
    </row>
    <row r="6010" spans="4:4" ht="12.75" x14ac:dyDescent="0.2">
      <c r="D6010" s="139"/>
    </row>
    <row r="6011" spans="4:4" ht="12.75" x14ac:dyDescent="0.2">
      <c r="D6011" s="139"/>
    </row>
    <row r="6012" spans="4:4" ht="12.75" x14ac:dyDescent="0.2">
      <c r="D6012" s="139"/>
    </row>
    <row r="6013" spans="4:4" ht="12.75" x14ac:dyDescent="0.2">
      <c r="D6013" s="139"/>
    </row>
    <row r="6014" spans="4:4" ht="12.75" x14ac:dyDescent="0.2">
      <c r="D6014" s="139"/>
    </row>
    <row r="6015" spans="4:4" ht="12.75" x14ac:dyDescent="0.2">
      <c r="D6015" s="139"/>
    </row>
    <row r="6016" spans="4:4" ht="12.75" x14ac:dyDescent="0.2">
      <c r="D6016" s="139"/>
    </row>
    <row r="6017" spans="4:4" ht="12.75" x14ac:dyDescent="0.2">
      <c r="D6017" s="139"/>
    </row>
    <row r="6018" spans="4:4" ht="12.75" x14ac:dyDescent="0.2">
      <c r="D6018" s="139"/>
    </row>
    <row r="6019" spans="4:4" ht="12.75" x14ac:dyDescent="0.2">
      <c r="D6019" s="139"/>
    </row>
    <row r="6020" spans="4:4" ht="12.75" x14ac:dyDescent="0.2">
      <c r="D6020" s="139"/>
    </row>
    <row r="6021" spans="4:4" ht="12.75" x14ac:dyDescent="0.2">
      <c r="D6021" s="139"/>
    </row>
    <row r="6022" spans="4:4" ht="12.75" x14ac:dyDescent="0.2">
      <c r="D6022" s="139"/>
    </row>
    <row r="6023" spans="4:4" ht="12.75" x14ac:dyDescent="0.2">
      <c r="D6023" s="139"/>
    </row>
    <row r="6024" spans="4:4" ht="12.75" x14ac:dyDescent="0.2">
      <c r="D6024" s="139"/>
    </row>
    <row r="6025" spans="4:4" ht="12.75" x14ac:dyDescent="0.2">
      <c r="D6025" s="139"/>
    </row>
    <row r="6026" spans="4:4" ht="12.75" x14ac:dyDescent="0.2">
      <c r="D6026" s="139"/>
    </row>
    <row r="6027" spans="4:4" ht="12.75" x14ac:dyDescent="0.2">
      <c r="D6027" s="139"/>
    </row>
    <row r="6028" spans="4:4" ht="12.75" x14ac:dyDescent="0.2">
      <c r="D6028" s="139"/>
    </row>
    <row r="6029" spans="4:4" ht="12.75" x14ac:dyDescent="0.2">
      <c r="D6029" s="139"/>
    </row>
    <row r="6030" spans="4:4" ht="12.75" x14ac:dyDescent="0.2">
      <c r="D6030" s="139"/>
    </row>
    <row r="6031" spans="4:4" ht="12.75" x14ac:dyDescent="0.2">
      <c r="D6031" s="139"/>
    </row>
    <row r="6032" spans="4:4" ht="12.75" x14ac:dyDescent="0.2">
      <c r="D6032" s="139"/>
    </row>
    <row r="6033" spans="4:4" ht="12.75" x14ac:dyDescent="0.2">
      <c r="D6033" s="139"/>
    </row>
    <row r="6034" spans="4:4" ht="12.75" x14ac:dyDescent="0.2">
      <c r="D6034" s="139"/>
    </row>
    <row r="6035" spans="4:4" ht="12.75" x14ac:dyDescent="0.2">
      <c r="D6035" s="139"/>
    </row>
    <row r="6036" spans="4:4" ht="12.75" x14ac:dyDescent="0.2">
      <c r="D6036" s="139"/>
    </row>
    <row r="6037" spans="4:4" ht="12.75" x14ac:dyDescent="0.2">
      <c r="D6037" s="139"/>
    </row>
    <row r="6038" spans="4:4" ht="12.75" x14ac:dyDescent="0.2">
      <c r="D6038" s="139"/>
    </row>
    <row r="6039" spans="4:4" ht="12.75" x14ac:dyDescent="0.2">
      <c r="D6039" s="139"/>
    </row>
    <row r="6040" spans="4:4" ht="12.75" x14ac:dyDescent="0.2">
      <c r="D6040" s="139"/>
    </row>
    <row r="6041" spans="4:4" ht="12.75" x14ac:dyDescent="0.2">
      <c r="D6041" s="139"/>
    </row>
    <row r="6042" spans="4:4" ht="12.75" x14ac:dyDescent="0.2">
      <c r="D6042" s="139"/>
    </row>
    <row r="6043" spans="4:4" ht="12.75" x14ac:dyDescent="0.2">
      <c r="D6043" s="139"/>
    </row>
    <row r="6044" spans="4:4" ht="12.75" x14ac:dyDescent="0.2">
      <c r="D6044" s="139"/>
    </row>
    <row r="6045" spans="4:4" ht="12.75" x14ac:dyDescent="0.2">
      <c r="D6045" s="139"/>
    </row>
    <row r="6046" spans="4:4" ht="12.75" x14ac:dyDescent="0.2">
      <c r="D6046" s="139"/>
    </row>
    <row r="6047" spans="4:4" ht="12.75" x14ac:dyDescent="0.2">
      <c r="D6047" s="139"/>
    </row>
    <row r="6048" spans="4:4" ht="12.75" x14ac:dyDescent="0.2">
      <c r="D6048" s="139"/>
    </row>
    <row r="6049" spans="4:4" ht="12.75" x14ac:dyDescent="0.2">
      <c r="D6049" s="139"/>
    </row>
    <row r="6050" spans="4:4" ht="12.75" x14ac:dyDescent="0.2">
      <c r="D6050" s="139"/>
    </row>
    <row r="6051" spans="4:4" ht="12.75" x14ac:dyDescent="0.2">
      <c r="D6051" s="139"/>
    </row>
    <row r="6052" spans="4:4" ht="12.75" x14ac:dyDescent="0.2">
      <c r="D6052" s="139"/>
    </row>
    <row r="6053" spans="4:4" ht="12.75" x14ac:dyDescent="0.2">
      <c r="D6053" s="139"/>
    </row>
    <row r="6054" spans="4:4" ht="12.75" x14ac:dyDescent="0.2">
      <c r="D6054" s="139"/>
    </row>
    <row r="6055" spans="4:4" ht="12.75" x14ac:dyDescent="0.2">
      <c r="D6055" s="139"/>
    </row>
    <row r="6056" spans="4:4" ht="12.75" x14ac:dyDescent="0.2">
      <c r="D6056" s="139"/>
    </row>
    <row r="6057" spans="4:4" ht="12.75" x14ac:dyDescent="0.2">
      <c r="D6057" s="139"/>
    </row>
    <row r="6058" spans="4:4" ht="12.75" x14ac:dyDescent="0.2">
      <c r="D6058" s="139"/>
    </row>
    <row r="6059" spans="4:4" ht="12.75" x14ac:dyDescent="0.2">
      <c r="D6059" s="139"/>
    </row>
    <row r="6060" spans="4:4" ht="12.75" x14ac:dyDescent="0.2">
      <c r="D6060" s="139"/>
    </row>
    <row r="6061" spans="4:4" ht="12.75" x14ac:dyDescent="0.2">
      <c r="D6061" s="139"/>
    </row>
    <row r="6062" spans="4:4" ht="12.75" x14ac:dyDescent="0.2">
      <c r="D6062" s="139"/>
    </row>
    <row r="6063" spans="4:4" ht="12.75" x14ac:dyDescent="0.2">
      <c r="D6063" s="139"/>
    </row>
    <row r="6064" spans="4:4" ht="12.75" x14ac:dyDescent="0.2">
      <c r="D6064" s="139"/>
    </row>
    <row r="6065" spans="4:4" ht="12.75" x14ac:dyDescent="0.2">
      <c r="D6065" s="139"/>
    </row>
    <row r="6066" spans="4:4" ht="12.75" x14ac:dyDescent="0.2">
      <c r="D6066" s="139"/>
    </row>
    <row r="6067" spans="4:4" ht="12.75" x14ac:dyDescent="0.2">
      <c r="D6067" s="139"/>
    </row>
    <row r="6068" spans="4:4" ht="12.75" x14ac:dyDescent="0.2">
      <c r="D6068" s="139"/>
    </row>
    <row r="6069" spans="4:4" ht="12.75" x14ac:dyDescent="0.2">
      <c r="D6069" s="139"/>
    </row>
    <row r="6070" spans="4:4" ht="12.75" x14ac:dyDescent="0.2">
      <c r="D6070" s="139"/>
    </row>
    <row r="6071" spans="4:4" ht="12.75" x14ac:dyDescent="0.2">
      <c r="D6071" s="139"/>
    </row>
    <row r="6072" spans="4:4" ht="12.75" x14ac:dyDescent="0.2">
      <c r="D6072" s="139"/>
    </row>
    <row r="6073" spans="4:4" ht="12.75" x14ac:dyDescent="0.2">
      <c r="D6073" s="139"/>
    </row>
    <row r="6074" spans="4:4" ht="12.75" x14ac:dyDescent="0.2">
      <c r="D6074" s="139"/>
    </row>
    <row r="6075" spans="4:4" ht="12.75" x14ac:dyDescent="0.2">
      <c r="D6075" s="139"/>
    </row>
    <row r="6076" spans="4:4" ht="12.75" x14ac:dyDescent="0.2">
      <c r="D6076" s="139"/>
    </row>
    <row r="6077" spans="4:4" ht="12.75" x14ac:dyDescent="0.2">
      <c r="D6077" s="139"/>
    </row>
    <row r="6078" spans="4:4" ht="12.75" x14ac:dyDescent="0.2">
      <c r="D6078" s="139"/>
    </row>
    <row r="6079" spans="4:4" ht="12.75" x14ac:dyDescent="0.2">
      <c r="D6079" s="139"/>
    </row>
    <row r="6080" spans="4:4" ht="12.75" x14ac:dyDescent="0.2">
      <c r="D6080" s="139"/>
    </row>
    <row r="6081" spans="4:4" ht="12.75" x14ac:dyDescent="0.2">
      <c r="D6081" s="139"/>
    </row>
    <row r="6082" spans="4:4" ht="12.75" x14ac:dyDescent="0.2">
      <c r="D6082" s="139"/>
    </row>
    <row r="6083" spans="4:4" ht="12.75" x14ac:dyDescent="0.2">
      <c r="D6083" s="139"/>
    </row>
    <row r="6084" spans="4:4" ht="12.75" x14ac:dyDescent="0.2">
      <c r="D6084" s="139"/>
    </row>
    <row r="6085" spans="4:4" ht="12.75" x14ac:dyDescent="0.2">
      <c r="D6085" s="139"/>
    </row>
    <row r="6086" spans="4:4" ht="12.75" x14ac:dyDescent="0.2">
      <c r="D6086" s="139"/>
    </row>
    <row r="6087" spans="4:4" ht="12.75" x14ac:dyDescent="0.2">
      <c r="D6087" s="139"/>
    </row>
    <row r="6088" spans="4:4" ht="12.75" x14ac:dyDescent="0.2">
      <c r="D6088" s="139"/>
    </row>
    <row r="6089" spans="4:4" ht="12.75" x14ac:dyDescent="0.2">
      <c r="D6089" s="139"/>
    </row>
    <row r="6090" spans="4:4" ht="12.75" x14ac:dyDescent="0.2">
      <c r="D6090" s="139"/>
    </row>
    <row r="6091" spans="4:4" ht="12.75" x14ac:dyDescent="0.2">
      <c r="D6091" s="139"/>
    </row>
    <row r="6092" spans="4:4" ht="12.75" x14ac:dyDescent="0.2">
      <c r="D6092" s="139"/>
    </row>
    <row r="6093" spans="4:4" ht="12.75" x14ac:dyDescent="0.2">
      <c r="D6093" s="139"/>
    </row>
    <row r="6094" spans="4:4" ht="12.75" x14ac:dyDescent="0.2">
      <c r="D6094" s="139"/>
    </row>
    <row r="6095" spans="4:4" ht="12.75" x14ac:dyDescent="0.2">
      <c r="D6095" s="139"/>
    </row>
    <row r="6096" spans="4:4" ht="12.75" x14ac:dyDescent="0.2">
      <c r="D6096" s="139"/>
    </row>
    <row r="6097" spans="4:4" ht="12.75" x14ac:dyDescent="0.2">
      <c r="D6097" s="139"/>
    </row>
    <row r="6098" spans="4:4" ht="12.75" x14ac:dyDescent="0.2">
      <c r="D6098" s="139"/>
    </row>
    <row r="6099" spans="4:4" ht="12.75" x14ac:dyDescent="0.2">
      <c r="D6099" s="139"/>
    </row>
    <row r="6100" spans="4:4" ht="12.75" x14ac:dyDescent="0.2">
      <c r="D6100" s="139"/>
    </row>
    <row r="6101" spans="4:4" ht="12.75" x14ac:dyDescent="0.2">
      <c r="D6101" s="139"/>
    </row>
    <row r="6102" spans="4:4" ht="12.75" x14ac:dyDescent="0.2">
      <c r="D6102" s="139"/>
    </row>
    <row r="6103" spans="4:4" ht="12.75" x14ac:dyDescent="0.2">
      <c r="D6103" s="139"/>
    </row>
    <row r="6104" spans="4:4" ht="12.75" x14ac:dyDescent="0.2">
      <c r="D6104" s="139"/>
    </row>
    <row r="6105" spans="4:4" ht="12.75" x14ac:dyDescent="0.2">
      <c r="D6105" s="139"/>
    </row>
    <row r="6106" spans="4:4" ht="12.75" x14ac:dyDescent="0.2">
      <c r="D6106" s="139"/>
    </row>
    <row r="6107" spans="4:4" ht="12.75" x14ac:dyDescent="0.2">
      <c r="D6107" s="139"/>
    </row>
    <row r="6108" spans="4:4" ht="12.75" x14ac:dyDescent="0.2">
      <c r="D6108" s="139"/>
    </row>
    <row r="6109" spans="4:4" ht="12.75" x14ac:dyDescent="0.2">
      <c r="D6109" s="139"/>
    </row>
    <row r="6110" spans="4:4" ht="12.75" x14ac:dyDescent="0.2">
      <c r="D6110" s="139"/>
    </row>
    <row r="6111" spans="4:4" ht="12.75" x14ac:dyDescent="0.2">
      <c r="D6111" s="139"/>
    </row>
    <row r="6112" spans="4:4" ht="12.75" x14ac:dyDescent="0.2">
      <c r="D6112" s="139"/>
    </row>
    <row r="6113" spans="4:4" ht="12.75" x14ac:dyDescent="0.2">
      <c r="D6113" s="139"/>
    </row>
    <row r="6114" spans="4:4" ht="12.75" x14ac:dyDescent="0.2">
      <c r="D6114" s="139"/>
    </row>
    <row r="6115" spans="4:4" ht="12.75" x14ac:dyDescent="0.2">
      <c r="D6115" s="139"/>
    </row>
    <row r="6116" spans="4:4" ht="12.75" x14ac:dyDescent="0.2">
      <c r="D6116" s="139"/>
    </row>
    <row r="6117" spans="4:4" ht="12.75" x14ac:dyDescent="0.2">
      <c r="D6117" s="139"/>
    </row>
    <row r="6118" spans="4:4" ht="12.75" x14ac:dyDescent="0.2">
      <c r="D6118" s="139"/>
    </row>
    <row r="6119" spans="4:4" ht="12.75" x14ac:dyDescent="0.2">
      <c r="D6119" s="139"/>
    </row>
    <row r="6120" spans="4:4" ht="12.75" x14ac:dyDescent="0.2">
      <c r="D6120" s="139"/>
    </row>
    <row r="6121" spans="4:4" ht="12.75" x14ac:dyDescent="0.2">
      <c r="D6121" s="139"/>
    </row>
    <row r="6122" spans="4:4" ht="12.75" x14ac:dyDescent="0.2">
      <c r="D6122" s="139"/>
    </row>
    <row r="6123" spans="4:4" ht="12.75" x14ac:dyDescent="0.2">
      <c r="D6123" s="139"/>
    </row>
    <row r="6124" spans="4:4" ht="12.75" x14ac:dyDescent="0.2">
      <c r="D6124" s="139"/>
    </row>
    <row r="6125" spans="4:4" ht="12.75" x14ac:dyDescent="0.2">
      <c r="D6125" s="139"/>
    </row>
    <row r="6126" spans="4:4" ht="12.75" x14ac:dyDescent="0.2">
      <c r="D6126" s="139"/>
    </row>
    <row r="6127" spans="4:4" ht="12.75" x14ac:dyDescent="0.2">
      <c r="D6127" s="139"/>
    </row>
    <row r="6128" spans="4:4" ht="12.75" x14ac:dyDescent="0.2">
      <c r="D6128" s="139"/>
    </row>
    <row r="6129" spans="4:4" ht="12.75" x14ac:dyDescent="0.2">
      <c r="D6129" s="139"/>
    </row>
    <row r="6130" spans="4:4" ht="12.75" x14ac:dyDescent="0.2">
      <c r="D6130" s="139"/>
    </row>
    <row r="6131" spans="4:4" ht="12.75" x14ac:dyDescent="0.2">
      <c r="D6131" s="139"/>
    </row>
    <row r="6132" spans="4:4" ht="12.75" x14ac:dyDescent="0.2">
      <c r="D6132" s="139"/>
    </row>
    <row r="6133" spans="4:4" ht="12.75" x14ac:dyDescent="0.2">
      <c r="D6133" s="139"/>
    </row>
    <row r="6134" spans="4:4" ht="12.75" x14ac:dyDescent="0.2">
      <c r="D6134" s="139"/>
    </row>
    <row r="6135" spans="4:4" ht="12.75" x14ac:dyDescent="0.2">
      <c r="D6135" s="139"/>
    </row>
    <row r="6136" spans="4:4" ht="12.75" x14ac:dyDescent="0.2">
      <c r="D6136" s="139"/>
    </row>
    <row r="6137" spans="4:4" ht="12.75" x14ac:dyDescent="0.2">
      <c r="D6137" s="139"/>
    </row>
    <row r="6138" spans="4:4" ht="12.75" x14ac:dyDescent="0.2">
      <c r="D6138" s="139"/>
    </row>
    <row r="6139" spans="4:4" ht="12.75" x14ac:dyDescent="0.2">
      <c r="D6139" s="139"/>
    </row>
    <row r="6140" spans="4:4" ht="12.75" x14ac:dyDescent="0.2">
      <c r="D6140" s="139"/>
    </row>
    <row r="6141" spans="4:4" ht="12.75" x14ac:dyDescent="0.2">
      <c r="D6141" s="139"/>
    </row>
    <row r="6142" spans="4:4" ht="12.75" x14ac:dyDescent="0.2">
      <c r="D6142" s="139"/>
    </row>
    <row r="6143" spans="4:4" ht="12.75" x14ac:dyDescent="0.2">
      <c r="D6143" s="139"/>
    </row>
    <row r="6144" spans="4:4" ht="12.75" x14ac:dyDescent="0.2">
      <c r="D6144" s="139"/>
    </row>
    <row r="6145" spans="4:4" ht="12.75" x14ac:dyDescent="0.2">
      <c r="D6145" s="139"/>
    </row>
    <row r="6146" spans="4:4" ht="12.75" x14ac:dyDescent="0.2">
      <c r="D6146" s="139"/>
    </row>
    <row r="6147" spans="4:4" ht="12.75" x14ac:dyDescent="0.2">
      <c r="D6147" s="139"/>
    </row>
    <row r="6148" spans="4:4" ht="12.75" x14ac:dyDescent="0.2">
      <c r="D6148" s="139"/>
    </row>
    <row r="6149" spans="4:4" ht="12.75" x14ac:dyDescent="0.2">
      <c r="D6149" s="139"/>
    </row>
    <row r="6150" spans="4:4" ht="12.75" x14ac:dyDescent="0.2">
      <c r="D6150" s="139"/>
    </row>
    <row r="6151" spans="4:4" ht="12.75" x14ac:dyDescent="0.2">
      <c r="D6151" s="139"/>
    </row>
    <row r="6152" spans="4:4" ht="12.75" x14ac:dyDescent="0.2">
      <c r="D6152" s="139"/>
    </row>
    <row r="6153" spans="4:4" ht="12.75" x14ac:dyDescent="0.2">
      <c r="D6153" s="139"/>
    </row>
    <row r="6154" spans="4:4" ht="12.75" x14ac:dyDescent="0.2">
      <c r="D6154" s="139"/>
    </row>
    <row r="6155" spans="4:4" ht="12.75" x14ac:dyDescent="0.2">
      <c r="D6155" s="139"/>
    </row>
    <row r="6156" spans="4:4" ht="12.75" x14ac:dyDescent="0.2">
      <c r="D6156" s="139"/>
    </row>
    <row r="6157" spans="4:4" ht="12.75" x14ac:dyDescent="0.2">
      <c r="D6157" s="139"/>
    </row>
    <row r="6158" spans="4:4" ht="12.75" x14ac:dyDescent="0.2">
      <c r="D6158" s="139"/>
    </row>
    <row r="6159" spans="4:4" ht="12.75" x14ac:dyDescent="0.2">
      <c r="D6159" s="139"/>
    </row>
    <row r="6160" spans="4:4" ht="12.75" x14ac:dyDescent="0.2">
      <c r="D6160" s="139"/>
    </row>
    <row r="6161" spans="4:4" ht="12.75" x14ac:dyDescent="0.2">
      <c r="D6161" s="139"/>
    </row>
    <row r="6162" spans="4:4" ht="12.75" x14ac:dyDescent="0.2">
      <c r="D6162" s="139"/>
    </row>
    <row r="6163" spans="4:4" ht="12.75" x14ac:dyDescent="0.2">
      <c r="D6163" s="139"/>
    </row>
    <row r="6164" spans="4:4" ht="12.75" x14ac:dyDescent="0.2">
      <c r="D6164" s="139"/>
    </row>
    <row r="6165" spans="4:4" ht="12.75" x14ac:dyDescent="0.2">
      <c r="D6165" s="139"/>
    </row>
    <row r="6166" spans="4:4" ht="12.75" x14ac:dyDescent="0.2">
      <c r="D6166" s="139"/>
    </row>
    <row r="6167" spans="4:4" ht="12.75" x14ac:dyDescent="0.2">
      <c r="D6167" s="139"/>
    </row>
    <row r="6168" spans="4:4" ht="12.75" x14ac:dyDescent="0.2">
      <c r="D6168" s="139"/>
    </row>
    <row r="6169" spans="4:4" ht="12.75" x14ac:dyDescent="0.2">
      <c r="D6169" s="139"/>
    </row>
    <row r="6170" spans="4:4" ht="12.75" x14ac:dyDescent="0.2">
      <c r="D6170" s="139"/>
    </row>
    <row r="6171" spans="4:4" ht="12.75" x14ac:dyDescent="0.2">
      <c r="D6171" s="139"/>
    </row>
    <row r="6172" spans="4:4" ht="12.75" x14ac:dyDescent="0.2">
      <c r="D6172" s="139"/>
    </row>
    <row r="6173" spans="4:4" ht="12.75" x14ac:dyDescent="0.2">
      <c r="D6173" s="139"/>
    </row>
    <row r="6174" spans="4:4" ht="12.75" x14ac:dyDescent="0.2">
      <c r="D6174" s="139"/>
    </row>
    <row r="6175" spans="4:4" ht="12.75" x14ac:dyDescent="0.2">
      <c r="D6175" s="139"/>
    </row>
    <row r="6176" spans="4:4" ht="12.75" x14ac:dyDescent="0.2">
      <c r="D6176" s="139"/>
    </row>
    <row r="6177" spans="4:4" ht="12.75" x14ac:dyDescent="0.2">
      <c r="D6177" s="139"/>
    </row>
    <row r="6178" spans="4:4" ht="12.75" x14ac:dyDescent="0.2">
      <c r="D6178" s="139"/>
    </row>
    <row r="6179" spans="4:4" ht="12.75" x14ac:dyDescent="0.2">
      <c r="D6179" s="139"/>
    </row>
    <row r="6180" spans="4:4" ht="12.75" x14ac:dyDescent="0.2">
      <c r="D6180" s="139"/>
    </row>
    <row r="6181" spans="4:4" ht="12.75" x14ac:dyDescent="0.2">
      <c r="D6181" s="139"/>
    </row>
    <row r="6182" spans="4:4" ht="12.75" x14ac:dyDescent="0.2">
      <c r="D6182" s="139"/>
    </row>
    <row r="6183" spans="4:4" ht="12.75" x14ac:dyDescent="0.2">
      <c r="D6183" s="139"/>
    </row>
    <row r="6184" spans="4:4" ht="12.75" x14ac:dyDescent="0.2">
      <c r="D6184" s="139"/>
    </row>
    <row r="6185" spans="4:4" ht="12.75" x14ac:dyDescent="0.2">
      <c r="D6185" s="139"/>
    </row>
    <row r="6186" spans="4:4" ht="12.75" x14ac:dyDescent="0.2">
      <c r="D6186" s="139"/>
    </row>
    <row r="6187" spans="4:4" ht="12.75" x14ac:dyDescent="0.2">
      <c r="D6187" s="139"/>
    </row>
    <row r="6188" spans="4:4" ht="12.75" x14ac:dyDescent="0.2">
      <c r="D6188" s="139"/>
    </row>
    <row r="6189" spans="4:4" ht="12.75" x14ac:dyDescent="0.2">
      <c r="D6189" s="139"/>
    </row>
    <row r="6190" spans="4:4" ht="12.75" x14ac:dyDescent="0.2">
      <c r="D6190" s="139"/>
    </row>
    <row r="6191" spans="4:4" ht="12.75" x14ac:dyDescent="0.2">
      <c r="D6191" s="139"/>
    </row>
    <row r="6192" spans="4:4" ht="12.75" x14ac:dyDescent="0.2">
      <c r="D6192" s="139"/>
    </row>
    <row r="6193" spans="4:4" ht="12.75" x14ac:dyDescent="0.2">
      <c r="D6193" s="139"/>
    </row>
    <row r="6194" spans="4:4" ht="12.75" x14ac:dyDescent="0.2">
      <c r="D6194" s="139"/>
    </row>
    <row r="6195" spans="4:4" ht="12.75" x14ac:dyDescent="0.2">
      <c r="D6195" s="139"/>
    </row>
    <row r="6196" spans="4:4" ht="12.75" x14ac:dyDescent="0.2">
      <c r="D6196" s="139"/>
    </row>
    <row r="6197" spans="4:4" ht="12.75" x14ac:dyDescent="0.2">
      <c r="D6197" s="139"/>
    </row>
    <row r="6198" spans="4:4" ht="12.75" x14ac:dyDescent="0.2">
      <c r="D6198" s="139"/>
    </row>
    <row r="6199" spans="4:4" ht="12.75" x14ac:dyDescent="0.2">
      <c r="D6199" s="139"/>
    </row>
    <row r="6200" spans="4:4" ht="12.75" x14ac:dyDescent="0.2">
      <c r="D6200" s="139"/>
    </row>
    <row r="6201" spans="4:4" ht="12.75" x14ac:dyDescent="0.2">
      <c r="D6201" s="139"/>
    </row>
    <row r="6202" spans="4:4" ht="12.75" x14ac:dyDescent="0.2">
      <c r="D6202" s="139"/>
    </row>
    <row r="6203" spans="4:4" ht="12.75" x14ac:dyDescent="0.2">
      <c r="D6203" s="139"/>
    </row>
    <row r="6204" spans="4:4" ht="12.75" x14ac:dyDescent="0.2">
      <c r="D6204" s="139"/>
    </row>
    <row r="6205" spans="4:4" ht="12.75" x14ac:dyDescent="0.2">
      <c r="D6205" s="139"/>
    </row>
    <row r="6206" spans="4:4" ht="12.75" x14ac:dyDescent="0.2">
      <c r="D6206" s="139"/>
    </row>
    <row r="6207" spans="4:4" ht="12.75" x14ac:dyDescent="0.2">
      <c r="D6207" s="139"/>
    </row>
    <row r="6208" spans="4:4" ht="12.75" x14ac:dyDescent="0.2">
      <c r="D6208" s="139"/>
    </row>
    <row r="6209" spans="4:4" ht="12.75" x14ac:dyDescent="0.2">
      <c r="D6209" s="139"/>
    </row>
    <row r="6210" spans="4:4" ht="12.75" x14ac:dyDescent="0.2">
      <c r="D6210" s="139"/>
    </row>
    <row r="6211" spans="4:4" ht="12.75" x14ac:dyDescent="0.2">
      <c r="D6211" s="139"/>
    </row>
    <row r="6212" spans="4:4" ht="12.75" x14ac:dyDescent="0.2">
      <c r="D6212" s="139"/>
    </row>
    <row r="6213" spans="4:4" ht="12.75" x14ac:dyDescent="0.2">
      <c r="D6213" s="139"/>
    </row>
    <row r="6214" spans="4:4" ht="12.75" x14ac:dyDescent="0.2">
      <c r="D6214" s="139"/>
    </row>
    <row r="6215" spans="4:4" ht="12.75" x14ac:dyDescent="0.2">
      <c r="D6215" s="139"/>
    </row>
    <row r="6216" spans="4:4" ht="12.75" x14ac:dyDescent="0.2">
      <c r="D6216" s="139"/>
    </row>
    <row r="6217" spans="4:4" ht="12.75" x14ac:dyDescent="0.2">
      <c r="D6217" s="139"/>
    </row>
    <row r="6218" spans="4:4" ht="12.75" x14ac:dyDescent="0.2">
      <c r="D6218" s="139"/>
    </row>
    <row r="6219" spans="4:4" ht="12.75" x14ac:dyDescent="0.2">
      <c r="D6219" s="139"/>
    </row>
    <row r="6220" spans="4:4" ht="12.75" x14ac:dyDescent="0.2">
      <c r="D6220" s="139"/>
    </row>
    <row r="6221" spans="4:4" ht="12.75" x14ac:dyDescent="0.2">
      <c r="D6221" s="139"/>
    </row>
    <row r="6222" spans="4:4" ht="12.75" x14ac:dyDescent="0.2">
      <c r="D6222" s="139"/>
    </row>
    <row r="6223" spans="4:4" ht="12.75" x14ac:dyDescent="0.2">
      <c r="D6223" s="139"/>
    </row>
    <row r="6224" spans="4:4" ht="12.75" x14ac:dyDescent="0.2">
      <c r="D6224" s="139"/>
    </row>
    <row r="6225" spans="4:4" ht="12.75" x14ac:dyDescent="0.2">
      <c r="D6225" s="139"/>
    </row>
    <row r="6226" spans="4:4" ht="12.75" x14ac:dyDescent="0.2">
      <c r="D6226" s="139"/>
    </row>
    <row r="6227" spans="4:4" ht="12.75" x14ac:dyDescent="0.2">
      <c r="D6227" s="139"/>
    </row>
    <row r="6228" spans="4:4" ht="12.75" x14ac:dyDescent="0.2">
      <c r="D6228" s="139"/>
    </row>
    <row r="6229" spans="4:4" ht="12.75" x14ac:dyDescent="0.2">
      <c r="D6229" s="139"/>
    </row>
    <row r="6231" spans="4:4" ht="12.75" x14ac:dyDescent="0.2">
      <c r="D6231" s="13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6276"/>
  <sheetViews>
    <sheetView topLeftCell="D1187" workbookViewId="0">
      <selection activeCell="D1190" sqref="D1190"/>
    </sheetView>
  </sheetViews>
  <sheetFormatPr defaultRowHeight="12.75" x14ac:dyDescent="0.25"/>
  <cols>
    <col min="1" max="1" width="37" style="4" customWidth="1"/>
    <col min="2" max="2" width="22.140625" style="4" customWidth="1"/>
    <col min="3" max="3" width="12.5703125" style="4" customWidth="1"/>
    <col min="4" max="4" width="14.5703125" style="35" customWidth="1"/>
    <col min="5" max="5" width="77.42578125" style="4" customWidth="1"/>
    <col min="6" max="6" width="15.140625" style="4" customWidth="1"/>
    <col min="7" max="7" width="14.140625" style="4" customWidth="1"/>
    <col min="8" max="8" width="26" style="4" bestFit="1" customWidth="1"/>
    <col min="9" max="9" width="13.85546875" style="3" customWidth="1"/>
    <col min="10" max="10" width="15.85546875" style="3" customWidth="1"/>
    <col min="11" max="11" width="24.85546875" style="37" bestFit="1" customWidth="1"/>
    <col min="12" max="12" width="25.7109375" style="4" customWidth="1"/>
    <col min="13" max="13" width="18.5703125" style="4" customWidth="1"/>
    <col min="14" max="14" width="11.7109375" style="4" bestFit="1" customWidth="1"/>
    <col min="15" max="16384" width="9.140625" style="4"/>
  </cols>
  <sheetData>
    <row r="1" spans="1:13" ht="38.25" x14ac:dyDescent="0.25">
      <c r="A1" s="41" t="s">
        <v>0</v>
      </c>
      <c r="B1" s="41" t="s">
        <v>1</v>
      </c>
      <c r="C1" s="41" t="s">
        <v>2</v>
      </c>
      <c r="D1" s="41" t="s">
        <v>3</v>
      </c>
      <c r="E1" s="41" t="s">
        <v>4</v>
      </c>
      <c r="F1" s="41" t="s">
        <v>5</v>
      </c>
      <c r="G1" s="41" t="s">
        <v>6</v>
      </c>
      <c r="H1" s="41" t="s">
        <v>7</v>
      </c>
      <c r="I1" s="42" t="s">
        <v>8</v>
      </c>
      <c r="J1" s="42" t="s">
        <v>9</v>
      </c>
      <c r="K1" s="43" t="s">
        <v>10</v>
      </c>
      <c r="L1" s="44" t="s">
        <v>11</v>
      </c>
      <c r="M1" s="3"/>
    </row>
    <row r="2" spans="1:13" x14ac:dyDescent="0.25">
      <c r="A2" s="46" t="s">
        <v>10194</v>
      </c>
      <c r="B2" s="46" t="s">
        <v>11650</v>
      </c>
      <c r="C2" s="46" t="s">
        <v>14</v>
      </c>
      <c r="D2" s="47">
        <v>12477</v>
      </c>
      <c r="E2" s="46" t="s">
        <v>10196</v>
      </c>
      <c r="F2" s="48">
        <v>41536</v>
      </c>
      <c r="G2" s="46"/>
      <c r="H2" s="46" t="s">
        <v>651</v>
      </c>
      <c r="I2" s="45">
        <v>375</v>
      </c>
      <c r="J2" s="45">
        <v>375</v>
      </c>
      <c r="K2" s="49" t="s">
        <v>17</v>
      </c>
      <c r="L2" s="46"/>
    </row>
    <row r="3" spans="1:13" x14ac:dyDescent="0.25">
      <c r="A3" s="46" t="s">
        <v>10197</v>
      </c>
      <c r="B3" s="46" t="s">
        <v>11650</v>
      </c>
      <c r="C3" s="46" t="s">
        <v>14</v>
      </c>
      <c r="D3" s="47">
        <v>12579</v>
      </c>
      <c r="E3" s="46" t="s">
        <v>10198</v>
      </c>
      <c r="F3" s="48">
        <v>41340</v>
      </c>
      <c r="G3" s="48">
        <v>41548</v>
      </c>
      <c r="H3" s="46" t="s">
        <v>651</v>
      </c>
      <c r="I3" s="45">
        <v>7500</v>
      </c>
      <c r="J3" s="45">
        <v>7500</v>
      </c>
      <c r="K3" s="49" t="s">
        <v>17</v>
      </c>
      <c r="L3" s="46"/>
    </row>
    <row r="4" spans="1:13" x14ac:dyDescent="0.25">
      <c r="A4" s="46" t="s">
        <v>10201</v>
      </c>
      <c r="B4" s="46" t="s">
        <v>11650</v>
      </c>
      <c r="C4" s="46" t="s">
        <v>14</v>
      </c>
      <c r="D4" s="47">
        <v>12581</v>
      </c>
      <c r="E4" s="46" t="s">
        <v>10202</v>
      </c>
      <c r="F4" s="48">
        <v>41536</v>
      </c>
      <c r="G4" s="48">
        <v>41639</v>
      </c>
      <c r="H4" s="46" t="s">
        <v>651</v>
      </c>
      <c r="I4" s="45">
        <v>375</v>
      </c>
      <c r="J4" s="45">
        <v>375</v>
      </c>
      <c r="K4" s="49" t="s">
        <v>17</v>
      </c>
      <c r="L4" s="46"/>
    </row>
    <row r="5" spans="1:13" ht="51" x14ac:dyDescent="0.25">
      <c r="A5" s="46" t="s">
        <v>10205</v>
      </c>
      <c r="B5" s="46" t="s">
        <v>11650</v>
      </c>
      <c r="C5" s="46" t="s">
        <v>14</v>
      </c>
      <c r="D5" s="47">
        <v>12583</v>
      </c>
      <c r="E5" s="46" t="s">
        <v>10206</v>
      </c>
      <c r="F5" s="48">
        <v>41450</v>
      </c>
      <c r="G5" s="46"/>
      <c r="H5" s="46" t="s">
        <v>651</v>
      </c>
      <c r="I5" s="45">
        <v>10500</v>
      </c>
      <c r="J5" s="45">
        <v>10500</v>
      </c>
      <c r="K5" s="49" t="s">
        <v>17</v>
      </c>
      <c r="L5" s="46"/>
    </row>
    <row r="6" spans="1:13" x14ac:dyDescent="0.25">
      <c r="A6" s="46" t="s">
        <v>10217</v>
      </c>
      <c r="B6" s="46" t="s">
        <v>11650</v>
      </c>
      <c r="C6" s="46" t="s">
        <v>14</v>
      </c>
      <c r="D6" s="47">
        <v>12221</v>
      </c>
      <c r="E6" s="46" t="s">
        <v>10218</v>
      </c>
      <c r="F6" s="48">
        <v>41388</v>
      </c>
      <c r="G6" s="48">
        <v>41639</v>
      </c>
      <c r="H6" s="46" t="s">
        <v>651</v>
      </c>
      <c r="I6" s="45">
        <v>24000</v>
      </c>
      <c r="J6" s="45">
        <v>12000</v>
      </c>
      <c r="K6" s="49" t="s">
        <v>356</v>
      </c>
      <c r="L6" s="46"/>
    </row>
    <row r="7" spans="1:13" x14ac:dyDescent="0.25">
      <c r="A7" s="46" t="s">
        <v>10224</v>
      </c>
      <c r="B7" s="46" t="s">
        <v>11650</v>
      </c>
      <c r="C7" s="46" t="s">
        <v>14</v>
      </c>
      <c r="D7" s="47">
        <v>12227</v>
      </c>
      <c r="E7" s="46" t="s">
        <v>10225</v>
      </c>
      <c r="F7" s="48">
        <v>41388</v>
      </c>
      <c r="G7" s="48">
        <v>41639</v>
      </c>
      <c r="H7" s="46" t="s">
        <v>651</v>
      </c>
      <c r="I7" s="45">
        <v>8270</v>
      </c>
      <c r="J7" s="45">
        <v>4135</v>
      </c>
      <c r="K7" s="49" t="s">
        <v>356</v>
      </c>
      <c r="L7" s="46"/>
    </row>
    <row r="8" spans="1:13" ht="38.25" x14ac:dyDescent="0.25">
      <c r="A8" s="46" t="s">
        <v>10226</v>
      </c>
      <c r="B8" s="46" t="s">
        <v>11650</v>
      </c>
      <c r="C8" s="46" t="s">
        <v>14</v>
      </c>
      <c r="D8" s="47">
        <v>12228</v>
      </c>
      <c r="E8" s="46" t="s">
        <v>10227</v>
      </c>
      <c r="F8" s="48">
        <v>41339</v>
      </c>
      <c r="G8" s="48">
        <v>41639</v>
      </c>
      <c r="H8" s="46" t="s">
        <v>651</v>
      </c>
      <c r="I8" s="45">
        <v>12096</v>
      </c>
      <c r="J8" s="45">
        <v>11673</v>
      </c>
      <c r="K8" s="49" t="s">
        <v>356</v>
      </c>
      <c r="L8" s="46"/>
    </row>
    <row r="9" spans="1:13" x14ac:dyDescent="0.25">
      <c r="A9" s="46" t="s">
        <v>10240</v>
      </c>
      <c r="B9" s="46" t="s">
        <v>11650</v>
      </c>
      <c r="C9" s="46" t="s">
        <v>14</v>
      </c>
      <c r="D9" s="47">
        <v>12235</v>
      </c>
      <c r="E9" s="46" t="s">
        <v>10241</v>
      </c>
      <c r="F9" s="48">
        <v>41339</v>
      </c>
      <c r="G9" s="48">
        <v>41639</v>
      </c>
      <c r="H9" s="46" t="s">
        <v>651</v>
      </c>
      <c r="I9" s="45">
        <v>8600</v>
      </c>
      <c r="J9" s="45">
        <v>4300</v>
      </c>
      <c r="K9" s="49" t="s">
        <v>356</v>
      </c>
      <c r="L9" s="46"/>
    </row>
    <row r="10" spans="1:13" x14ac:dyDescent="0.25">
      <c r="A10" s="46" t="s">
        <v>10242</v>
      </c>
      <c r="B10" s="46" t="s">
        <v>11650</v>
      </c>
      <c r="C10" s="46" t="s">
        <v>14</v>
      </c>
      <c r="D10" s="47">
        <v>12236</v>
      </c>
      <c r="E10" s="46" t="s">
        <v>10243</v>
      </c>
      <c r="F10" s="48">
        <v>41528</v>
      </c>
      <c r="G10" s="48">
        <v>41639</v>
      </c>
      <c r="H10" s="46" t="s">
        <v>651</v>
      </c>
      <c r="I10" s="45">
        <v>60000</v>
      </c>
      <c r="J10" s="45">
        <v>30000</v>
      </c>
      <c r="K10" s="49" t="s">
        <v>356</v>
      </c>
      <c r="L10" s="46"/>
    </row>
    <row r="11" spans="1:13" ht="25.5" x14ac:dyDescent="0.25">
      <c r="A11" s="46" t="s">
        <v>10352</v>
      </c>
      <c r="B11" s="46" t="s">
        <v>11650</v>
      </c>
      <c r="C11" s="46" t="s">
        <v>14</v>
      </c>
      <c r="D11" s="47">
        <v>12106</v>
      </c>
      <c r="E11" s="46" t="s">
        <v>10353</v>
      </c>
      <c r="F11" s="48">
        <v>41576</v>
      </c>
      <c r="G11" s="46"/>
      <c r="H11" s="46" t="s">
        <v>651</v>
      </c>
      <c r="I11" s="45">
        <v>7500</v>
      </c>
      <c r="J11" s="45">
        <v>7500</v>
      </c>
      <c r="K11" s="49" t="s">
        <v>790</v>
      </c>
      <c r="L11" s="46"/>
    </row>
    <row r="12" spans="1:13" ht="51" x14ac:dyDescent="0.25">
      <c r="A12" s="46" t="s">
        <v>10354</v>
      </c>
      <c r="B12" s="46" t="s">
        <v>11650</v>
      </c>
      <c r="C12" s="46" t="s">
        <v>14</v>
      </c>
      <c r="D12" s="47">
        <v>12107</v>
      </c>
      <c r="E12" s="46" t="s">
        <v>10355</v>
      </c>
      <c r="F12" s="48">
        <v>41576</v>
      </c>
      <c r="G12" s="46"/>
      <c r="H12" s="46" t="s">
        <v>651</v>
      </c>
      <c r="I12" s="45">
        <v>11250</v>
      </c>
      <c r="J12" s="45">
        <v>11250</v>
      </c>
      <c r="K12" s="49" t="s">
        <v>790</v>
      </c>
      <c r="L12" s="46"/>
    </row>
    <row r="13" spans="1:13" x14ac:dyDescent="0.25">
      <c r="A13" s="46" t="s">
        <v>10368</v>
      </c>
      <c r="B13" s="46" t="s">
        <v>11650</v>
      </c>
      <c r="C13" s="46" t="s">
        <v>14</v>
      </c>
      <c r="D13" s="47">
        <v>12116</v>
      </c>
      <c r="E13" s="46" t="s">
        <v>10370</v>
      </c>
      <c r="F13" s="48">
        <v>41596</v>
      </c>
      <c r="G13" s="48">
        <v>41639</v>
      </c>
      <c r="H13" s="46" t="s">
        <v>651</v>
      </c>
      <c r="I13" s="45">
        <v>4000</v>
      </c>
      <c r="J13" s="45">
        <v>4000</v>
      </c>
      <c r="K13" s="49" t="s">
        <v>790</v>
      </c>
      <c r="L13" s="46"/>
    </row>
    <row r="14" spans="1:13" ht="25.5" x14ac:dyDescent="0.25">
      <c r="A14" s="46" t="s">
        <v>10449</v>
      </c>
      <c r="B14" s="46" t="s">
        <v>11650</v>
      </c>
      <c r="C14" s="46" t="s">
        <v>14</v>
      </c>
      <c r="D14" s="47">
        <v>12874</v>
      </c>
      <c r="E14" s="46" t="s">
        <v>10450</v>
      </c>
      <c r="F14" s="48">
        <v>41361</v>
      </c>
      <c r="G14" s="46"/>
      <c r="H14" s="46" t="s">
        <v>651</v>
      </c>
      <c r="I14" s="45">
        <v>30322.02</v>
      </c>
      <c r="J14" s="45">
        <v>15161.01</v>
      </c>
      <c r="K14" s="49" t="s">
        <v>790</v>
      </c>
      <c r="L14" s="46"/>
    </row>
    <row r="15" spans="1:13" ht="25.5" x14ac:dyDescent="0.25">
      <c r="A15" s="46" t="s">
        <v>10451</v>
      </c>
      <c r="B15" s="46" t="s">
        <v>11650</v>
      </c>
      <c r="C15" s="46" t="s">
        <v>14</v>
      </c>
      <c r="D15" s="47">
        <v>12875</v>
      </c>
      <c r="E15" s="46" t="s">
        <v>10452</v>
      </c>
      <c r="F15" s="48">
        <v>41172</v>
      </c>
      <c r="G15" s="46"/>
      <c r="H15" s="46" t="s">
        <v>651</v>
      </c>
      <c r="I15" s="45">
        <v>19200</v>
      </c>
      <c r="J15" s="45">
        <v>9600</v>
      </c>
      <c r="K15" s="49" t="s">
        <v>790</v>
      </c>
      <c r="L15" s="46"/>
    </row>
    <row r="16" spans="1:13" ht="25.5" x14ac:dyDescent="0.25">
      <c r="A16" s="46" t="s">
        <v>10455</v>
      </c>
      <c r="B16" s="46" t="s">
        <v>11650</v>
      </c>
      <c r="C16" s="46" t="s">
        <v>14</v>
      </c>
      <c r="D16" s="47">
        <v>12877</v>
      </c>
      <c r="E16" s="46" t="s">
        <v>10456</v>
      </c>
      <c r="F16" s="48">
        <v>41578</v>
      </c>
      <c r="G16" s="46"/>
      <c r="H16" s="46" t="s">
        <v>651</v>
      </c>
      <c r="I16" s="45">
        <v>120000</v>
      </c>
      <c r="J16" s="45">
        <v>70000</v>
      </c>
      <c r="K16" s="49" t="s">
        <v>790</v>
      </c>
      <c r="L16" s="46"/>
    </row>
    <row r="17" spans="1:12" ht="25.5" x14ac:dyDescent="0.25">
      <c r="A17" s="46" t="s">
        <v>10465</v>
      </c>
      <c r="B17" s="46" t="s">
        <v>11650</v>
      </c>
      <c r="C17" s="46" t="s">
        <v>14</v>
      </c>
      <c r="D17" s="47">
        <v>12882</v>
      </c>
      <c r="E17" s="46" t="s">
        <v>10466</v>
      </c>
      <c r="F17" s="48">
        <v>41410</v>
      </c>
      <c r="G17" s="46"/>
      <c r="H17" s="46" t="s">
        <v>651</v>
      </c>
      <c r="I17" s="45">
        <v>21318.92</v>
      </c>
      <c r="J17" s="45">
        <v>15659.46</v>
      </c>
      <c r="K17" s="49" t="s">
        <v>790</v>
      </c>
      <c r="L17" s="46"/>
    </row>
    <row r="18" spans="1:12" ht="25.5" x14ac:dyDescent="0.25">
      <c r="A18" s="46" t="s">
        <v>10483</v>
      </c>
      <c r="B18" s="46" t="s">
        <v>11650</v>
      </c>
      <c r="C18" s="46" t="s">
        <v>14</v>
      </c>
      <c r="D18" s="47">
        <v>12891</v>
      </c>
      <c r="E18" s="46" t="s">
        <v>10484</v>
      </c>
      <c r="F18" s="48">
        <v>41317</v>
      </c>
      <c r="G18" s="46"/>
      <c r="H18" s="46" t="s">
        <v>651</v>
      </c>
      <c r="I18" s="45">
        <v>48578.9</v>
      </c>
      <c r="J18" s="45">
        <v>24289.45</v>
      </c>
      <c r="K18" s="49" t="s">
        <v>790</v>
      </c>
      <c r="L18" s="46"/>
    </row>
    <row r="19" spans="1:12" x14ac:dyDescent="0.25">
      <c r="A19" s="46" t="s">
        <v>10279</v>
      </c>
      <c r="B19" s="46" t="s">
        <v>11650</v>
      </c>
      <c r="C19" s="46" t="s">
        <v>14</v>
      </c>
      <c r="D19" s="47">
        <v>12757</v>
      </c>
      <c r="E19" s="46" t="s">
        <v>10280</v>
      </c>
      <c r="F19" s="48">
        <v>41275</v>
      </c>
      <c r="G19" s="48">
        <v>41639</v>
      </c>
      <c r="H19" s="46" t="s">
        <v>651</v>
      </c>
      <c r="I19" s="45">
        <v>22691.42</v>
      </c>
      <c r="J19" s="45">
        <v>12470.71</v>
      </c>
      <c r="K19" s="49" t="s">
        <v>2033</v>
      </c>
      <c r="L19" s="46"/>
    </row>
    <row r="20" spans="1:12" ht="25.5" x14ac:dyDescent="0.25">
      <c r="A20" s="46" t="s">
        <v>10289</v>
      </c>
      <c r="B20" s="46" t="s">
        <v>11650</v>
      </c>
      <c r="C20" s="46" t="s">
        <v>14</v>
      </c>
      <c r="D20" s="47">
        <v>12765</v>
      </c>
      <c r="E20" s="46" t="s">
        <v>10290</v>
      </c>
      <c r="F20" s="48">
        <v>41275</v>
      </c>
      <c r="G20" s="48">
        <v>41639</v>
      </c>
      <c r="H20" s="46" t="s">
        <v>651</v>
      </c>
      <c r="I20" s="45">
        <v>31770.76</v>
      </c>
      <c r="J20" s="45">
        <v>19635.38</v>
      </c>
      <c r="K20" s="49" t="s">
        <v>2033</v>
      </c>
      <c r="L20" s="46"/>
    </row>
    <row r="21" spans="1:12" ht="38.25" x14ac:dyDescent="0.25">
      <c r="A21" s="46" t="s">
        <v>10501</v>
      </c>
      <c r="B21" s="46" t="s">
        <v>11650</v>
      </c>
      <c r="C21" s="46" t="s">
        <v>14</v>
      </c>
      <c r="D21" s="47">
        <v>12489</v>
      </c>
      <c r="E21" s="46" t="s">
        <v>10502</v>
      </c>
      <c r="F21" s="48">
        <v>41478</v>
      </c>
      <c r="G21" s="48">
        <v>41639</v>
      </c>
      <c r="H21" s="46" t="s">
        <v>651</v>
      </c>
      <c r="I21" s="45">
        <v>3750</v>
      </c>
      <c r="J21" s="45">
        <v>3750</v>
      </c>
      <c r="K21" s="49" t="s">
        <v>2650</v>
      </c>
      <c r="L21" s="46"/>
    </row>
    <row r="22" spans="1:12" ht="25.5" x14ac:dyDescent="0.2">
      <c r="A22" s="46" t="s">
        <v>10567</v>
      </c>
      <c r="B22" s="46" t="s">
        <v>11650</v>
      </c>
      <c r="C22" s="46" t="s">
        <v>14</v>
      </c>
      <c r="D22" s="47">
        <v>12359</v>
      </c>
      <c r="E22" s="46" t="s">
        <v>10568</v>
      </c>
      <c r="F22" s="48">
        <v>41051</v>
      </c>
      <c r="G22" s="46"/>
      <c r="H22" s="46" t="s">
        <v>651</v>
      </c>
      <c r="I22" s="45">
        <v>7312</v>
      </c>
      <c r="J22" s="45">
        <v>7312</v>
      </c>
      <c r="K22" s="88" t="s">
        <v>11651</v>
      </c>
      <c r="L22" s="46"/>
    </row>
    <row r="23" spans="1:12" ht="25.5" x14ac:dyDescent="0.2">
      <c r="A23" s="46" t="s">
        <v>10569</v>
      </c>
      <c r="B23" s="46" t="s">
        <v>11650</v>
      </c>
      <c r="C23" s="46" t="s">
        <v>14</v>
      </c>
      <c r="D23" s="47">
        <v>12366</v>
      </c>
      <c r="E23" s="46" t="s">
        <v>10570</v>
      </c>
      <c r="F23" s="48">
        <v>41177</v>
      </c>
      <c r="G23" s="46"/>
      <c r="H23" s="46" t="s">
        <v>651</v>
      </c>
      <c r="I23" s="45">
        <v>7500</v>
      </c>
      <c r="J23" s="45">
        <v>7500</v>
      </c>
      <c r="K23" s="88" t="s">
        <v>11651</v>
      </c>
      <c r="L23" s="46"/>
    </row>
    <row r="24" spans="1:12" ht="25.5" x14ac:dyDescent="0.2">
      <c r="A24" s="46" t="s">
        <v>10571</v>
      </c>
      <c r="B24" s="46" t="s">
        <v>11650</v>
      </c>
      <c r="C24" s="46" t="s">
        <v>14</v>
      </c>
      <c r="D24" s="47">
        <v>12367</v>
      </c>
      <c r="E24" s="46" t="s">
        <v>10572</v>
      </c>
      <c r="F24" s="48">
        <v>41261</v>
      </c>
      <c r="G24" s="46"/>
      <c r="H24" s="46" t="s">
        <v>651</v>
      </c>
      <c r="I24" s="45">
        <v>13687</v>
      </c>
      <c r="J24" s="45">
        <v>13687</v>
      </c>
      <c r="K24" s="88" t="s">
        <v>11651</v>
      </c>
      <c r="L24" s="46"/>
    </row>
    <row r="25" spans="1:12" ht="25.5" x14ac:dyDescent="0.2">
      <c r="A25" s="46" t="s">
        <v>10573</v>
      </c>
      <c r="B25" s="46" t="s">
        <v>11650</v>
      </c>
      <c r="C25" s="46" t="s">
        <v>14</v>
      </c>
      <c r="D25" s="47">
        <v>12368</v>
      </c>
      <c r="E25" s="46" t="s">
        <v>10574</v>
      </c>
      <c r="F25" s="48">
        <v>41051</v>
      </c>
      <c r="G25" s="46"/>
      <c r="H25" s="46" t="s">
        <v>651</v>
      </c>
      <c r="I25" s="45">
        <v>21563</v>
      </c>
      <c r="J25" s="45">
        <v>21563</v>
      </c>
      <c r="K25" s="88" t="s">
        <v>11651</v>
      </c>
      <c r="L25" s="46"/>
    </row>
    <row r="26" spans="1:12" ht="63.75" x14ac:dyDescent="0.2">
      <c r="A26" s="46" t="s">
        <v>10599</v>
      </c>
      <c r="B26" s="46" t="s">
        <v>11650</v>
      </c>
      <c r="C26" s="46" t="s">
        <v>14</v>
      </c>
      <c r="D26" s="47">
        <v>12392</v>
      </c>
      <c r="E26" s="46" t="s">
        <v>10600</v>
      </c>
      <c r="F26" s="48">
        <v>41408</v>
      </c>
      <c r="G26" s="46"/>
      <c r="H26" s="46" t="s">
        <v>651</v>
      </c>
      <c r="I26" s="45">
        <v>7500</v>
      </c>
      <c r="J26" s="45">
        <v>7500</v>
      </c>
      <c r="K26" s="88" t="s">
        <v>11651</v>
      </c>
      <c r="L26" s="46"/>
    </row>
    <row r="27" spans="1:12" ht="63.75" x14ac:dyDescent="0.2">
      <c r="A27" s="46" t="s">
        <v>10601</v>
      </c>
      <c r="B27" s="46" t="s">
        <v>11650</v>
      </c>
      <c r="C27" s="46" t="s">
        <v>14</v>
      </c>
      <c r="D27" s="47">
        <v>12393</v>
      </c>
      <c r="E27" s="46" t="s">
        <v>10602</v>
      </c>
      <c r="F27" s="48">
        <v>41387</v>
      </c>
      <c r="G27" s="46"/>
      <c r="H27" s="46" t="s">
        <v>651</v>
      </c>
      <c r="I27" s="45">
        <v>7125</v>
      </c>
      <c r="J27" s="45">
        <v>7125</v>
      </c>
      <c r="K27" s="88" t="s">
        <v>11651</v>
      </c>
      <c r="L27" s="46"/>
    </row>
    <row r="28" spans="1:12" ht="25.5" x14ac:dyDescent="0.2">
      <c r="A28" s="46" t="s">
        <v>10613</v>
      </c>
      <c r="B28" s="46" t="s">
        <v>11650</v>
      </c>
      <c r="C28" s="46" t="s">
        <v>14</v>
      </c>
      <c r="D28" s="47">
        <v>12401</v>
      </c>
      <c r="E28" s="46" t="s">
        <v>3953</v>
      </c>
      <c r="F28" s="48">
        <v>41604</v>
      </c>
      <c r="G28" s="46"/>
      <c r="H28" s="46" t="s">
        <v>651</v>
      </c>
      <c r="I28" s="45">
        <v>7500</v>
      </c>
      <c r="J28" s="45">
        <v>7500</v>
      </c>
      <c r="K28" s="88" t="s">
        <v>11651</v>
      </c>
      <c r="L28" s="46"/>
    </row>
    <row r="29" spans="1:12" ht="51" x14ac:dyDescent="0.2">
      <c r="A29" s="46" t="s">
        <v>10616</v>
      </c>
      <c r="B29" s="46" t="s">
        <v>11650</v>
      </c>
      <c r="C29" s="46" t="s">
        <v>14</v>
      </c>
      <c r="D29" s="47">
        <v>12403</v>
      </c>
      <c r="E29" s="46" t="s">
        <v>10617</v>
      </c>
      <c r="F29" s="48">
        <v>41541</v>
      </c>
      <c r="G29" s="46"/>
      <c r="H29" s="46" t="s">
        <v>651</v>
      </c>
      <c r="I29" s="45">
        <v>11094</v>
      </c>
      <c r="J29" s="45">
        <v>11094</v>
      </c>
      <c r="K29" s="88" t="s">
        <v>11651</v>
      </c>
      <c r="L29" s="46"/>
    </row>
    <row r="30" spans="1:12" ht="25.5" x14ac:dyDescent="0.25">
      <c r="A30" s="46" t="s">
        <v>10621</v>
      </c>
      <c r="B30" s="46" t="s">
        <v>11650</v>
      </c>
      <c r="C30" s="46" t="s">
        <v>14</v>
      </c>
      <c r="D30" s="47">
        <v>12794</v>
      </c>
      <c r="E30" s="46" t="s">
        <v>4239</v>
      </c>
      <c r="F30" s="48">
        <v>41234</v>
      </c>
      <c r="G30" s="46"/>
      <c r="H30" s="46" t="s">
        <v>651</v>
      </c>
      <c r="I30" s="45">
        <v>20000</v>
      </c>
      <c r="J30" s="45">
        <v>20000</v>
      </c>
      <c r="K30" s="49" t="s">
        <v>4035</v>
      </c>
      <c r="L30" s="46"/>
    </row>
    <row r="31" spans="1:12" ht="25.5" x14ac:dyDescent="0.25">
      <c r="A31" s="46" t="s">
        <v>10631</v>
      </c>
      <c r="B31" s="46" t="s">
        <v>11650</v>
      </c>
      <c r="C31" s="46" t="s">
        <v>14</v>
      </c>
      <c r="D31" s="47">
        <v>12799</v>
      </c>
      <c r="E31" s="46" t="s">
        <v>10632</v>
      </c>
      <c r="F31" s="48">
        <v>41339</v>
      </c>
      <c r="G31" s="46"/>
      <c r="H31" s="46" t="s">
        <v>651</v>
      </c>
      <c r="I31" s="45">
        <v>30000</v>
      </c>
      <c r="J31" s="45">
        <v>15000</v>
      </c>
      <c r="K31" s="49" t="s">
        <v>4035</v>
      </c>
      <c r="L31" s="46"/>
    </row>
    <row r="32" spans="1:12" ht="51" x14ac:dyDescent="0.25">
      <c r="A32" s="46" t="s">
        <v>10645</v>
      </c>
      <c r="B32" s="46" t="s">
        <v>11650</v>
      </c>
      <c r="C32" s="46" t="s">
        <v>14</v>
      </c>
      <c r="D32" s="47">
        <v>12806</v>
      </c>
      <c r="E32" s="46" t="s">
        <v>10646</v>
      </c>
      <c r="F32" s="48">
        <v>41451</v>
      </c>
      <c r="G32" s="46"/>
      <c r="H32" s="46" t="s">
        <v>651</v>
      </c>
      <c r="I32" s="45">
        <v>15000</v>
      </c>
      <c r="J32" s="45">
        <v>15000</v>
      </c>
      <c r="K32" s="49" t="s">
        <v>4035</v>
      </c>
      <c r="L32" s="46"/>
    </row>
    <row r="33" spans="1:12" ht="25.5" x14ac:dyDescent="0.25">
      <c r="A33" s="46" t="s">
        <v>10649</v>
      </c>
      <c r="B33" s="46" t="s">
        <v>11650</v>
      </c>
      <c r="C33" s="46" t="s">
        <v>14</v>
      </c>
      <c r="D33" s="47">
        <v>12808</v>
      </c>
      <c r="E33" s="46" t="s">
        <v>10650</v>
      </c>
      <c r="F33" s="48">
        <v>41451</v>
      </c>
      <c r="G33" s="46"/>
      <c r="H33" s="46" t="s">
        <v>651</v>
      </c>
      <c r="I33" s="45">
        <v>50000</v>
      </c>
      <c r="J33" s="45">
        <v>50000</v>
      </c>
      <c r="K33" s="49" t="s">
        <v>4035</v>
      </c>
      <c r="L33" s="46"/>
    </row>
    <row r="34" spans="1:12" x14ac:dyDescent="0.25">
      <c r="A34" s="46" t="s">
        <v>10657</v>
      </c>
      <c r="B34" s="46" t="s">
        <v>11650</v>
      </c>
      <c r="C34" s="46" t="s">
        <v>14</v>
      </c>
      <c r="D34" s="47">
        <v>12396</v>
      </c>
      <c r="E34" s="46" t="s">
        <v>10658</v>
      </c>
      <c r="F34" s="48">
        <v>41219</v>
      </c>
      <c r="G34" s="48">
        <v>41502</v>
      </c>
      <c r="H34" s="46" t="s">
        <v>651</v>
      </c>
      <c r="I34" s="45">
        <v>7500</v>
      </c>
      <c r="J34" s="45">
        <v>7500</v>
      </c>
      <c r="K34" s="49" t="s">
        <v>4318</v>
      </c>
      <c r="L34" s="46"/>
    </row>
    <row r="35" spans="1:12" x14ac:dyDescent="0.25">
      <c r="A35" s="46" t="s">
        <v>10665</v>
      </c>
      <c r="B35" s="46" t="s">
        <v>11650</v>
      </c>
      <c r="C35" s="46" t="s">
        <v>14</v>
      </c>
      <c r="D35" s="47">
        <v>12537</v>
      </c>
      <c r="E35" s="46" t="s">
        <v>10666</v>
      </c>
      <c r="F35" s="48">
        <v>41535</v>
      </c>
      <c r="G35" s="48">
        <v>41597</v>
      </c>
      <c r="H35" s="46" t="s">
        <v>651</v>
      </c>
      <c r="I35" s="45">
        <v>60000</v>
      </c>
      <c r="J35" s="45">
        <v>30000</v>
      </c>
      <c r="K35" s="49" t="s">
        <v>4318</v>
      </c>
      <c r="L35" s="46"/>
    </row>
    <row r="36" spans="1:12" ht="25.5" x14ac:dyDescent="0.25">
      <c r="A36" s="46" t="s">
        <v>10667</v>
      </c>
      <c r="B36" s="46" t="s">
        <v>11650</v>
      </c>
      <c r="C36" s="46" t="s">
        <v>14</v>
      </c>
      <c r="D36" s="47">
        <v>12538</v>
      </c>
      <c r="E36" s="46" t="s">
        <v>10668</v>
      </c>
      <c r="F36" s="48">
        <v>41340</v>
      </c>
      <c r="G36" s="48">
        <v>41549</v>
      </c>
      <c r="H36" s="46" t="s">
        <v>651</v>
      </c>
      <c r="I36" s="45">
        <v>12750</v>
      </c>
      <c r="J36" s="45">
        <v>6375</v>
      </c>
      <c r="K36" s="49" t="s">
        <v>4318</v>
      </c>
      <c r="L36" s="46"/>
    </row>
    <row r="37" spans="1:12" ht="25.5" x14ac:dyDescent="0.25">
      <c r="A37" s="46" t="s">
        <v>10671</v>
      </c>
      <c r="B37" s="46" t="s">
        <v>11650</v>
      </c>
      <c r="C37" s="46" t="s">
        <v>14</v>
      </c>
      <c r="D37" s="47">
        <v>12550</v>
      </c>
      <c r="E37" s="46" t="s">
        <v>10672</v>
      </c>
      <c r="F37" s="48">
        <v>41404</v>
      </c>
      <c r="G37" s="48">
        <v>41619</v>
      </c>
      <c r="H37" s="46" t="s">
        <v>651</v>
      </c>
      <c r="I37" s="45">
        <v>60000</v>
      </c>
      <c r="J37" s="45">
        <v>30000</v>
      </c>
      <c r="K37" s="49" t="s">
        <v>4318</v>
      </c>
      <c r="L37" s="46"/>
    </row>
    <row r="38" spans="1:12" x14ac:dyDescent="0.25">
      <c r="A38" s="46" t="s">
        <v>10679</v>
      </c>
      <c r="B38" s="46" t="s">
        <v>11650</v>
      </c>
      <c r="C38" s="46" t="s">
        <v>14</v>
      </c>
      <c r="D38" s="47">
        <v>12598</v>
      </c>
      <c r="E38" s="46" t="s">
        <v>10680</v>
      </c>
      <c r="F38" s="48">
        <v>41219</v>
      </c>
      <c r="G38" s="48">
        <v>41421</v>
      </c>
      <c r="H38" s="46" t="s">
        <v>651</v>
      </c>
      <c r="I38" s="45">
        <v>15000</v>
      </c>
      <c r="J38" s="45">
        <v>7500</v>
      </c>
      <c r="K38" s="49" t="s">
        <v>4318</v>
      </c>
      <c r="L38" s="46"/>
    </row>
    <row r="39" spans="1:12" x14ac:dyDescent="0.25">
      <c r="A39" s="46" t="s">
        <v>10681</v>
      </c>
      <c r="B39" s="46" t="s">
        <v>11650</v>
      </c>
      <c r="C39" s="46" t="s">
        <v>14</v>
      </c>
      <c r="D39" s="47">
        <v>12599</v>
      </c>
      <c r="E39" s="46" t="s">
        <v>10682</v>
      </c>
      <c r="F39" s="48">
        <v>41325</v>
      </c>
      <c r="G39" s="48">
        <v>41555</v>
      </c>
      <c r="H39" s="46" t="s">
        <v>651</v>
      </c>
      <c r="I39" s="45">
        <v>7390</v>
      </c>
      <c r="J39" s="45">
        <v>3695</v>
      </c>
      <c r="K39" s="49" t="s">
        <v>4318</v>
      </c>
      <c r="L39" s="46"/>
    </row>
    <row r="40" spans="1:12" ht="25.5" x14ac:dyDescent="0.25">
      <c r="A40" s="46" t="s">
        <v>10687</v>
      </c>
      <c r="B40" s="46" t="s">
        <v>11650</v>
      </c>
      <c r="C40" s="46" t="s">
        <v>14</v>
      </c>
      <c r="D40" s="47">
        <v>12146</v>
      </c>
      <c r="E40" s="46" t="s">
        <v>10688</v>
      </c>
      <c r="F40" s="48">
        <v>41222</v>
      </c>
      <c r="G40" s="46"/>
      <c r="H40" s="46" t="s">
        <v>651</v>
      </c>
      <c r="I40" s="45">
        <v>17050</v>
      </c>
      <c r="J40" s="45">
        <v>8525</v>
      </c>
      <c r="K40" s="49" t="s">
        <v>4667</v>
      </c>
      <c r="L40" s="46"/>
    </row>
    <row r="41" spans="1:12" x14ac:dyDescent="0.25">
      <c r="A41" s="46" t="s">
        <v>10691</v>
      </c>
      <c r="B41" s="46" t="s">
        <v>11650</v>
      </c>
      <c r="C41" s="46" t="s">
        <v>14</v>
      </c>
      <c r="D41" s="47">
        <v>12162</v>
      </c>
      <c r="E41" s="46" t="s">
        <v>10692</v>
      </c>
      <c r="F41" s="48">
        <v>41340</v>
      </c>
      <c r="G41" s="46"/>
      <c r="H41" s="46" t="s">
        <v>651</v>
      </c>
      <c r="I41" s="45">
        <v>10000</v>
      </c>
      <c r="J41" s="45">
        <v>10000</v>
      </c>
      <c r="K41" s="49" t="s">
        <v>4667</v>
      </c>
      <c r="L41" s="46"/>
    </row>
    <row r="42" spans="1:12" ht="25.5" x14ac:dyDescent="0.25">
      <c r="A42" s="46" t="s">
        <v>10697</v>
      </c>
      <c r="B42" s="46" t="s">
        <v>11650</v>
      </c>
      <c r="C42" s="46" t="s">
        <v>14</v>
      </c>
      <c r="D42" s="47">
        <v>12171</v>
      </c>
      <c r="E42" s="46" t="s">
        <v>10698</v>
      </c>
      <c r="F42" s="48">
        <v>41534</v>
      </c>
      <c r="G42" s="46"/>
      <c r="H42" s="46" t="s">
        <v>651</v>
      </c>
      <c r="I42" s="45">
        <v>4032</v>
      </c>
      <c r="J42" s="45">
        <v>2400</v>
      </c>
      <c r="K42" s="49" t="s">
        <v>4667</v>
      </c>
      <c r="L42" s="46"/>
    </row>
    <row r="43" spans="1:12" ht="25.5" x14ac:dyDescent="0.25">
      <c r="A43" s="46" t="s">
        <v>10699</v>
      </c>
      <c r="B43" s="46" t="s">
        <v>11650</v>
      </c>
      <c r="C43" s="46" t="s">
        <v>14</v>
      </c>
      <c r="D43" s="47">
        <v>12172</v>
      </c>
      <c r="E43" s="46" t="s">
        <v>10700</v>
      </c>
      <c r="F43" s="48">
        <v>41416</v>
      </c>
      <c r="G43" s="46"/>
      <c r="H43" s="46" t="s">
        <v>651</v>
      </c>
      <c r="I43" s="45">
        <v>3750</v>
      </c>
      <c r="J43" s="45">
        <v>3750</v>
      </c>
      <c r="K43" s="49" t="s">
        <v>4667</v>
      </c>
      <c r="L43" s="46"/>
    </row>
    <row r="44" spans="1:12" ht="25.5" x14ac:dyDescent="0.25">
      <c r="A44" s="46" t="s">
        <v>10707</v>
      </c>
      <c r="B44" s="46" t="s">
        <v>11650</v>
      </c>
      <c r="C44" s="46" t="s">
        <v>14</v>
      </c>
      <c r="D44" s="47">
        <v>12347</v>
      </c>
      <c r="E44" s="46" t="s">
        <v>10708</v>
      </c>
      <c r="F44" s="48">
        <v>41061</v>
      </c>
      <c r="G44" s="46"/>
      <c r="H44" s="46" t="s">
        <v>651</v>
      </c>
      <c r="I44" s="45">
        <v>7500</v>
      </c>
      <c r="J44" s="45">
        <v>7500</v>
      </c>
      <c r="K44" s="49" t="s">
        <v>4667</v>
      </c>
      <c r="L44" s="46"/>
    </row>
    <row r="45" spans="1:12" x14ac:dyDescent="0.25">
      <c r="A45" s="46" t="s">
        <v>10709</v>
      </c>
      <c r="B45" s="46" t="s">
        <v>11650</v>
      </c>
      <c r="C45" s="46" t="s">
        <v>14</v>
      </c>
      <c r="D45" s="47">
        <v>12349</v>
      </c>
      <c r="E45" s="46" t="s">
        <v>10710</v>
      </c>
      <c r="F45" s="48">
        <v>41518</v>
      </c>
      <c r="G45" s="46"/>
      <c r="H45" s="46" t="s">
        <v>651</v>
      </c>
      <c r="I45" s="45">
        <v>10000</v>
      </c>
      <c r="J45" s="45">
        <v>10000</v>
      </c>
      <c r="K45" s="49" t="s">
        <v>4667</v>
      </c>
      <c r="L45" s="46"/>
    </row>
    <row r="46" spans="1:12" ht="25.5" x14ac:dyDescent="0.25">
      <c r="A46" s="46" t="s">
        <v>10711</v>
      </c>
      <c r="B46" s="46" t="s">
        <v>11650</v>
      </c>
      <c r="C46" s="46" t="s">
        <v>14</v>
      </c>
      <c r="D46" s="47">
        <v>12350</v>
      </c>
      <c r="E46" s="46" t="s">
        <v>10712</v>
      </c>
      <c r="F46" s="48">
        <v>41426</v>
      </c>
      <c r="G46" s="46"/>
      <c r="H46" s="46" t="s">
        <v>651</v>
      </c>
      <c r="I46" s="45">
        <v>8836</v>
      </c>
      <c r="J46" s="45">
        <v>6918</v>
      </c>
      <c r="K46" s="49" t="s">
        <v>4667</v>
      </c>
      <c r="L46" s="46"/>
    </row>
    <row r="47" spans="1:12" x14ac:dyDescent="0.25">
      <c r="A47" s="46" t="s">
        <v>10717</v>
      </c>
      <c r="B47" s="46" t="s">
        <v>11650</v>
      </c>
      <c r="C47" s="46" t="s">
        <v>14</v>
      </c>
      <c r="D47" s="47">
        <v>12408</v>
      </c>
      <c r="E47" s="46" t="s">
        <v>10718</v>
      </c>
      <c r="F47" s="48">
        <v>41038</v>
      </c>
      <c r="G47" s="46"/>
      <c r="H47" s="46" t="s">
        <v>651</v>
      </c>
      <c r="I47" s="45">
        <v>11850</v>
      </c>
      <c r="J47" s="45">
        <v>11850</v>
      </c>
      <c r="K47" s="49" t="s">
        <v>4667</v>
      </c>
      <c r="L47" s="46"/>
    </row>
    <row r="48" spans="1:12" x14ac:dyDescent="0.25">
      <c r="A48" s="46" t="s">
        <v>10723</v>
      </c>
      <c r="B48" s="46" t="s">
        <v>11650</v>
      </c>
      <c r="C48" s="46" t="s">
        <v>14</v>
      </c>
      <c r="D48" s="47">
        <v>12418</v>
      </c>
      <c r="E48" s="46" t="s">
        <v>10724</v>
      </c>
      <c r="F48" s="48">
        <v>41415</v>
      </c>
      <c r="G48" s="46"/>
      <c r="H48" s="46" t="s">
        <v>651</v>
      </c>
      <c r="I48" s="45">
        <v>16000</v>
      </c>
      <c r="J48" s="45">
        <v>8000</v>
      </c>
      <c r="K48" s="49" t="s">
        <v>4667</v>
      </c>
      <c r="L48" s="46"/>
    </row>
    <row r="49" spans="1:12" x14ac:dyDescent="0.25">
      <c r="A49" s="46" t="s">
        <v>10725</v>
      </c>
      <c r="B49" s="46" t="s">
        <v>11650</v>
      </c>
      <c r="C49" s="46" t="s">
        <v>14</v>
      </c>
      <c r="D49" s="47">
        <v>12420</v>
      </c>
      <c r="E49" s="46" t="s">
        <v>10726</v>
      </c>
      <c r="F49" s="48">
        <v>41518</v>
      </c>
      <c r="G49" s="46"/>
      <c r="H49" s="46" t="s">
        <v>651</v>
      </c>
      <c r="I49" s="45">
        <v>3750</v>
      </c>
      <c r="J49" s="45">
        <v>3750</v>
      </c>
      <c r="K49" s="49" t="s">
        <v>4667</v>
      </c>
      <c r="L49" s="46"/>
    </row>
    <row r="50" spans="1:12" x14ac:dyDescent="0.25">
      <c r="A50" s="46" t="s">
        <v>10733</v>
      </c>
      <c r="B50" s="46" t="s">
        <v>11650</v>
      </c>
      <c r="C50" s="46" t="s">
        <v>14</v>
      </c>
      <c r="D50" s="47">
        <v>12429</v>
      </c>
      <c r="E50" s="46" t="s">
        <v>10734</v>
      </c>
      <c r="F50" s="48">
        <v>41214</v>
      </c>
      <c r="G50" s="46"/>
      <c r="H50" s="46" t="s">
        <v>651</v>
      </c>
      <c r="I50" s="45">
        <v>17000</v>
      </c>
      <c r="J50" s="45">
        <v>8500</v>
      </c>
      <c r="K50" s="49" t="s">
        <v>4667</v>
      </c>
      <c r="L50" s="46"/>
    </row>
    <row r="51" spans="1:12" ht="25.5" x14ac:dyDescent="0.25">
      <c r="A51" s="46" t="s">
        <v>10739</v>
      </c>
      <c r="B51" s="46" t="s">
        <v>11650</v>
      </c>
      <c r="C51" s="46" t="s">
        <v>14</v>
      </c>
      <c r="D51" s="47">
        <v>12606</v>
      </c>
      <c r="E51" s="46" t="s">
        <v>10740</v>
      </c>
      <c r="F51" s="48">
        <v>41115</v>
      </c>
      <c r="G51" s="46"/>
      <c r="H51" s="46" t="s">
        <v>651</v>
      </c>
      <c r="I51" s="45">
        <v>5000</v>
      </c>
      <c r="J51" s="45">
        <v>5000</v>
      </c>
      <c r="K51" s="49" t="s">
        <v>4667</v>
      </c>
      <c r="L51" s="46"/>
    </row>
    <row r="52" spans="1:12" x14ac:dyDescent="0.25">
      <c r="A52" s="46" t="s">
        <v>10743</v>
      </c>
      <c r="B52" s="46" t="s">
        <v>11650</v>
      </c>
      <c r="C52" s="46" t="s">
        <v>14</v>
      </c>
      <c r="D52" s="47">
        <v>12185</v>
      </c>
      <c r="E52" s="46" t="s">
        <v>10744</v>
      </c>
      <c r="F52" s="48">
        <v>41057</v>
      </c>
      <c r="G52" s="48">
        <v>41639</v>
      </c>
      <c r="H52" s="46" t="s">
        <v>651</v>
      </c>
      <c r="I52" s="45">
        <v>2865</v>
      </c>
      <c r="J52" s="45">
        <v>1432.5</v>
      </c>
      <c r="K52" s="49" t="s">
        <v>5018</v>
      </c>
      <c r="L52" s="46"/>
    </row>
    <row r="53" spans="1:12" x14ac:dyDescent="0.25">
      <c r="A53" s="46" t="s">
        <v>10745</v>
      </c>
      <c r="B53" s="46" t="s">
        <v>11650</v>
      </c>
      <c r="C53" s="46" t="s">
        <v>14</v>
      </c>
      <c r="D53" s="47">
        <v>12187</v>
      </c>
      <c r="E53" s="46" t="s">
        <v>10746</v>
      </c>
      <c r="F53" s="48">
        <v>41372</v>
      </c>
      <c r="G53" s="48">
        <v>41639</v>
      </c>
      <c r="H53" s="46" t="s">
        <v>651</v>
      </c>
      <c r="I53" s="45">
        <v>4604</v>
      </c>
      <c r="J53" s="45">
        <v>2302</v>
      </c>
      <c r="K53" s="49" t="s">
        <v>5018</v>
      </c>
      <c r="L53" s="46"/>
    </row>
    <row r="54" spans="1:12" x14ac:dyDescent="0.25">
      <c r="A54" s="46" t="s">
        <v>10761</v>
      </c>
      <c r="B54" s="46" t="s">
        <v>11650</v>
      </c>
      <c r="C54" s="46" t="s">
        <v>14</v>
      </c>
      <c r="D54" s="47">
        <v>12265</v>
      </c>
      <c r="E54" s="46" t="s">
        <v>10762</v>
      </c>
      <c r="F54" s="48">
        <v>41540</v>
      </c>
      <c r="G54" s="48">
        <v>41639</v>
      </c>
      <c r="H54" s="46" t="s">
        <v>651</v>
      </c>
      <c r="I54" s="45">
        <v>5625</v>
      </c>
      <c r="J54" s="45">
        <v>5625</v>
      </c>
      <c r="K54" s="49" t="s">
        <v>5018</v>
      </c>
      <c r="L54" s="46"/>
    </row>
    <row r="55" spans="1:12" x14ac:dyDescent="0.25">
      <c r="A55" s="46" t="s">
        <v>10763</v>
      </c>
      <c r="B55" s="46" t="s">
        <v>11650</v>
      </c>
      <c r="C55" s="46" t="s">
        <v>14</v>
      </c>
      <c r="D55" s="47">
        <v>12266</v>
      </c>
      <c r="E55" s="46" t="s">
        <v>10764</v>
      </c>
      <c r="F55" s="48">
        <v>41463</v>
      </c>
      <c r="G55" s="48">
        <v>41639</v>
      </c>
      <c r="H55" s="46" t="s">
        <v>651</v>
      </c>
      <c r="I55" s="45">
        <v>6924.38</v>
      </c>
      <c r="J55" s="45">
        <v>6924.38</v>
      </c>
      <c r="K55" s="49" t="s">
        <v>5018</v>
      </c>
      <c r="L55" s="46"/>
    </row>
    <row r="56" spans="1:12" x14ac:dyDescent="0.25">
      <c r="A56" s="46" t="s">
        <v>10765</v>
      </c>
      <c r="B56" s="46" t="s">
        <v>11650</v>
      </c>
      <c r="C56" s="46" t="s">
        <v>14</v>
      </c>
      <c r="D56" s="47">
        <v>12267</v>
      </c>
      <c r="E56" s="46" t="s">
        <v>10766</v>
      </c>
      <c r="F56" s="48">
        <v>41582</v>
      </c>
      <c r="G56" s="48">
        <v>41639</v>
      </c>
      <c r="H56" s="46" t="s">
        <v>651</v>
      </c>
      <c r="I56" s="45">
        <v>30939.13</v>
      </c>
      <c r="J56" s="45">
        <v>20189.13</v>
      </c>
      <c r="K56" s="49" t="s">
        <v>5018</v>
      </c>
      <c r="L56" s="46"/>
    </row>
    <row r="57" spans="1:12" x14ac:dyDescent="0.25">
      <c r="A57" s="46" t="s">
        <v>11148</v>
      </c>
      <c r="B57" s="46" t="s">
        <v>11650</v>
      </c>
      <c r="C57" s="46" t="s">
        <v>14</v>
      </c>
      <c r="D57" s="47">
        <v>12268</v>
      </c>
      <c r="E57" s="46" t="s">
        <v>11149</v>
      </c>
      <c r="F57" s="48">
        <v>41463</v>
      </c>
      <c r="G57" s="48">
        <v>41639</v>
      </c>
      <c r="H57" s="46" t="s">
        <v>651</v>
      </c>
      <c r="I57" s="45">
        <v>14472.8</v>
      </c>
      <c r="J57" s="45">
        <v>7236.4</v>
      </c>
      <c r="K57" s="49" t="s">
        <v>5018</v>
      </c>
      <c r="L57" s="46"/>
    </row>
    <row r="58" spans="1:12" ht="25.5" x14ac:dyDescent="0.25">
      <c r="A58" s="46" t="s">
        <v>10893</v>
      </c>
      <c r="B58" s="46" t="s">
        <v>11650</v>
      </c>
      <c r="C58" s="46" t="s">
        <v>14</v>
      </c>
      <c r="D58" s="47">
        <v>12752</v>
      </c>
      <c r="E58" s="46" t="s">
        <v>10894</v>
      </c>
      <c r="F58" s="48">
        <v>41456</v>
      </c>
      <c r="G58" s="46"/>
      <c r="H58" s="46" t="s">
        <v>651</v>
      </c>
      <c r="I58" s="45">
        <v>12256</v>
      </c>
      <c r="J58" s="45">
        <v>6128</v>
      </c>
      <c r="K58" s="49" t="s">
        <v>5815</v>
      </c>
      <c r="L58" s="46"/>
    </row>
    <row r="59" spans="1:12" ht="25.5" x14ac:dyDescent="0.25">
      <c r="A59" s="46" t="s">
        <v>10895</v>
      </c>
      <c r="B59" s="46" t="s">
        <v>11650</v>
      </c>
      <c r="C59" s="46" t="s">
        <v>14</v>
      </c>
      <c r="D59" s="47">
        <v>12753</v>
      </c>
      <c r="E59" s="46" t="s">
        <v>10896</v>
      </c>
      <c r="F59" s="48">
        <v>41456</v>
      </c>
      <c r="G59" s="46"/>
      <c r="H59" s="46" t="s">
        <v>651</v>
      </c>
      <c r="I59" s="45">
        <v>31220</v>
      </c>
      <c r="J59" s="45">
        <v>18422.5</v>
      </c>
      <c r="K59" s="49" t="s">
        <v>5815</v>
      </c>
      <c r="L59" s="46"/>
    </row>
    <row r="60" spans="1:12" ht="38.25" x14ac:dyDescent="0.25">
      <c r="A60" s="46" t="s">
        <v>10897</v>
      </c>
      <c r="B60" s="46" t="s">
        <v>11650</v>
      </c>
      <c r="C60" s="46" t="s">
        <v>14</v>
      </c>
      <c r="D60" s="47">
        <v>12754</v>
      </c>
      <c r="E60" s="46" t="s">
        <v>10898</v>
      </c>
      <c r="F60" s="48">
        <v>41570</v>
      </c>
      <c r="G60" s="46"/>
      <c r="H60" s="46" t="s">
        <v>651</v>
      </c>
      <c r="I60" s="45">
        <v>7548.6</v>
      </c>
      <c r="J60" s="45">
        <v>5649.3</v>
      </c>
      <c r="K60" s="49" t="s">
        <v>5815</v>
      </c>
      <c r="L60" s="46"/>
    </row>
    <row r="61" spans="1:12" ht="25.5" x14ac:dyDescent="0.25">
      <c r="A61" s="46" t="s">
        <v>10903</v>
      </c>
      <c r="B61" s="46" t="s">
        <v>11650</v>
      </c>
      <c r="C61" s="46" t="s">
        <v>14</v>
      </c>
      <c r="D61" s="47">
        <v>12764</v>
      </c>
      <c r="E61" s="46" t="s">
        <v>10904</v>
      </c>
      <c r="F61" s="48">
        <v>41543</v>
      </c>
      <c r="G61" s="48">
        <v>41639</v>
      </c>
      <c r="H61" s="46" t="s">
        <v>651</v>
      </c>
      <c r="I61" s="45">
        <v>7248</v>
      </c>
      <c r="J61" s="45">
        <v>3624</v>
      </c>
      <c r="K61" s="49" t="s">
        <v>5815</v>
      </c>
      <c r="L61" s="46"/>
    </row>
    <row r="62" spans="1:12" ht="51" x14ac:dyDescent="0.25">
      <c r="A62" s="46" t="s">
        <v>10909</v>
      </c>
      <c r="B62" s="46" t="s">
        <v>11650</v>
      </c>
      <c r="C62" s="46" t="s">
        <v>14</v>
      </c>
      <c r="D62" s="47">
        <v>12782</v>
      </c>
      <c r="E62" s="46" t="s">
        <v>10910</v>
      </c>
      <c r="F62" s="48">
        <v>41394</v>
      </c>
      <c r="G62" s="48">
        <v>41639</v>
      </c>
      <c r="H62" s="46" t="s">
        <v>651</v>
      </c>
      <c r="I62" s="45">
        <v>14226.33</v>
      </c>
      <c r="J62" s="45">
        <v>7111.47</v>
      </c>
      <c r="K62" s="49" t="s">
        <v>5815</v>
      </c>
      <c r="L62" s="46"/>
    </row>
    <row r="63" spans="1:12" ht="38.25" x14ac:dyDescent="0.25">
      <c r="A63" s="46" t="s">
        <v>10911</v>
      </c>
      <c r="B63" s="46" t="s">
        <v>11650</v>
      </c>
      <c r="C63" s="46" t="s">
        <v>14</v>
      </c>
      <c r="D63" s="47">
        <v>12783</v>
      </c>
      <c r="E63" s="46" t="s">
        <v>10912</v>
      </c>
      <c r="F63" s="48">
        <v>41600</v>
      </c>
      <c r="G63" s="48">
        <v>41639</v>
      </c>
      <c r="H63" s="46" t="s">
        <v>651</v>
      </c>
      <c r="I63" s="45">
        <v>30000</v>
      </c>
      <c r="J63" s="45">
        <v>15000</v>
      </c>
      <c r="K63" s="49" t="s">
        <v>5815</v>
      </c>
      <c r="L63" s="46"/>
    </row>
    <row r="64" spans="1:12" ht="38.25" x14ac:dyDescent="0.25">
      <c r="A64" s="46" t="s">
        <v>10915</v>
      </c>
      <c r="B64" s="46" t="s">
        <v>11650</v>
      </c>
      <c r="C64" s="46" t="s">
        <v>14</v>
      </c>
      <c r="D64" s="47">
        <v>12787</v>
      </c>
      <c r="E64" s="46" t="s">
        <v>10916</v>
      </c>
      <c r="F64" s="48">
        <v>41611</v>
      </c>
      <c r="G64" s="46"/>
      <c r="H64" s="46" t="s">
        <v>651</v>
      </c>
      <c r="I64" s="45">
        <v>3750</v>
      </c>
      <c r="J64" s="45">
        <v>3750</v>
      </c>
      <c r="K64" s="49" t="s">
        <v>5815</v>
      </c>
      <c r="L64" s="46"/>
    </row>
    <row r="65" spans="1:12" ht="51" x14ac:dyDescent="0.25">
      <c r="A65" s="46" t="s">
        <v>10919</v>
      </c>
      <c r="B65" s="46" t="s">
        <v>11650</v>
      </c>
      <c r="C65" s="46" t="s">
        <v>14</v>
      </c>
      <c r="D65" s="47">
        <v>12791</v>
      </c>
      <c r="E65" s="46" t="s">
        <v>10920</v>
      </c>
      <c r="F65" s="48">
        <v>41589</v>
      </c>
      <c r="G65" s="46"/>
      <c r="H65" s="46" t="s">
        <v>651</v>
      </c>
      <c r="I65" s="45">
        <v>20182</v>
      </c>
      <c r="J65" s="45">
        <v>13841.76</v>
      </c>
      <c r="K65" s="49" t="s">
        <v>5815</v>
      </c>
      <c r="L65" s="46"/>
    </row>
    <row r="66" spans="1:12" x14ac:dyDescent="0.25">
      <c r="A66" s="46" t="s">
        <v>10927</v>
      </c>
      <c r="B66" s="46" t="s">
        <v>11650</v>
      </c>
      <c r="C66" s="46" t="s">
        <v>14</v>
      </c>
      <c r="D66" s="47">
        <v>12601</v>
      </c>
      <c r="E66" s="46" t="s">
        <v>10928</v>
      </c>
      <c r="F66" s="48">
        <v>41253</v>
      </c>
      <c r="G66" s="48">
        <v>41639</v>
      </c>
      <c r="H66" s="46" t="s">
        <v>651</v>
      </c>
      <c r="I66" s="45">
        <v>13500</v>
      </c>
      <c r="J66" s="45">
        <v>10500</v>
      </c>
      <c r="K66" s="49" t="s">
        <v>6182</v>
      </c>
      <c r="L66" s="46"/>
    </row>
    <row r="67" spans="1:12" x14ac:dyDescent="0.25">
      <c r="A67" s="46" t="s">
        <v>10940</v>
      </c>
      <c r="B67" s="46" t="s">
        <v>11650</v>
      </c>
      <c r="C67" s="46" t="s">
        <v>14</v>
      </c>
      <c r="D67" s="47">
        <v>12622</v>
      </c>
      <c r="E67" s="46" t="s">
        <v>10941</v>
      </c>
      <c r="F67" s="48">
        <v>41302</v>
      </c>
      <c r="G67" s="46"/>
      <c r="H67" s="46" t="s">
        <v>651</v>
      </c>
      <c r="I67" s="45">
        <v>85000</v>
      </c>
      <c r="J67" s="45">
        <v>42500</v>
      </c>
      <c r="K67" s="49" t="s">
        <v>6182</v>
      </c>
      <c r="L67" s="46"/>
    </row>
    <row r="68" spans="1:12" x14ac:dyDescent="0.25">
      <c r="A68" s="46" t="s">
        <v>10948</v>
      </c>
      <c r="B68" s="46" t="s">
        <v>11650</v>
      </c>
      <c r="C68" s="46" t="s">
        <v>14</v>
      </c>
      <c r="D68" s="47">
        <v>12631</v>
      </c>
      <c r="E68" s="46" t="s">
        <v>10949</v>
      </c>
      <c r="F68" s="48">
        <v>41418</v>
      </c>
      <c r="G68" s="46"/>
      <c r="H68" s="46" t="s">
        <v>651</v>
      </c>
      <c r="I68" s="45">
        <v>7000</v>
      </c>
      <c r="J68" s="45">
        <v>7000</v>
      </c>
      <c r="K68" s="49" t="s">
        <v>6182</v>
      </c>
      <c r="L68" s="46"/>
    </row>
    <row r="69" spans="1:12" ht="25.5" x14ac:dyDescent="0.25">
      <c r="A69" s="46" t="s">
        <v>11030</v>
      </c>
      <c r="B69" s="46" t="s">
        <v>11650</v>
      </c>
      <c r="C69" s="46" t="s">
        <v>14</v>
      </c>
      <c r="D69" s="47">
        <v>12381</v>
      </c>
      <c r="E69" s="46" t="s">
        <v>11031</v>
      </c>
      <c r="F69" s="48">
        <v>41323</v>
      </c>
      <c r="G69" s="46"/>
      <c r="H69" s="46" t="s">
        <v>651</v>
      </c>
      <c r="I69" s="45">
        <v>10000</v>
      </c>
      <c r="J69" s="45">
        <v>10000</v>
      </c>
      <c r="K69" s="49" t="s">
        <v>6720</v>
      </c>
      <c r="L69" s="46"/>
    </row>
    <row r="70" spans="1:12" x14ac:dyDescent="0.25">
      <c r="A70" s="46" t="s">
        <v>11039</v>
      </c>
      <c r="B70" s="46" t="s">
        <v>11650</v>
      </c>
      <c r="C70" s="46" t="s">
        <v>14</v>
      </c>
      <c r="D70" s="47">
        <v>12443</v>
      </c>
      <c r="E70" s="46" t="s">
        <v>11040</v>
      </c>
      <c r="F70" s="48">
        <v>41323</v>
      </c>
      <c r="G70" s="46"/>
      <c r="H70" s="46" t="s">
        <v>651</v>
      </c>
      <c r="I70" s="45">
        <v>10000</v>
      </c>
      <c r="J70" s="45">
        <v>10000</v>
      </c>
      <c r="K70" s="49" t="s">
        <v>6720</v>
      </c>
      <c r="L70" s="46"/>
    </row>
    <row r="71" spans="1:12" x14ac:dyDescent="0.25">
      <c r="A71" s="46" t="s">
        <v>11053</v>
      </c>
      <c r="B71" s="46" t="s">
        <v>11650</v>
      </c>
      <c r="C71" s="46" t="s">
        <v>14</v>
      </c>
      <c r="D71" s="47">
        <v>12450</v>
      </c>
      <c r="E71" s="46" t="s">
        <v>11054</v>
      </c>
      <c r="F71" s="48">
        <v>41275</v>
      </c>
      <c r="G71" s="48">
        <v>41639</v>
      </c>
      <c r="H71" s="46" t="s">
        <v>651</v>
      </c>
      <c r="I71" s="45">
        <v>1244</v>
      </c>
      <c r="J71" s="45">
        <v>622</v>
      </c>
      <c r="K71" s="49" t="s">
        <v>6720</v>
      </c>
      <c r="L71" s="46"/>
    </row>
    <row r="72" spans="1:12" x14ac:dyDescent="0.25">
      <c r="A72" s="46" t="s">
        <v>11055</v>
      </c>
      <c r="B72" s="46" t="s">
        <v>11650</v>
      </c>
      <c r="C72" s="46" t="s">
        <v>14</v>
      </c>
      <c r="D72" s="47">
        <v>12458</v>
      </c>
      <c r="E72" s="46" t="s">
        <v>11056</v>
      </c>
      <c r="F72" s="48">
        <v>41275</v>
      </c>
      <c r="G72" s="48">
        <v>41639</v>
      </c>
      <c r="H72" s="46" t="s">
        <v>651</v>
      </c>
      <c r="I72" s="45">
        <v>38302</v>
      </c>
      <c r="J72" s="45">
        <v>13023</v>
      </c>
      <c r="K72" s="49" t="s">
        <v>6720</v>
      </c>
      <c r="L72" s="46"/>
    </row>
    <row r="73" spans="1:12" x14ac:dyDescent="0.25">
      <c r="A73" s="46" t="s">
        <v>11078</v>
      </c>
      <c r="B73" s="46" t="s">
        <v>11650</v>
      </c>
      <c r="C73" s="46" t="s">
        <v>14</v>
      </c>
      <c r="D73" s="47">
        <v>12405</v>
      </c>
      <c r="E73" s="46" t="s">
        <v>11079</v>
      </c>
      <c r="F73" s="48">
        <v>41436</v>
      </c>
      <c r="G73" s="48">
        <v>41589</v>
      </c>
      <c r="H73" s="46" t="s">
        <v>651</v>
      </c>
      <c r="I73" s="45">
        <v>20458</v>
      </c>
      <c r="J73" s="45">
        <v>10229</v>
      </c>
      <c r="K73" s="49" t="s">
        <v>7102</v>
      </c>
      <c r="L73" s="46"/>
    </row>
    <row r="74" spans="1:12" ht="25.5" x14ac:dyDescent="0.25">
      <c r="A74" s="46" t="s">
        <v>11080</v>
      </c>
      <c r="B74" s="46" t="s">
        <v>11650</v>
      </c>
      <c r="C74" s="46" t="s">
        <v>14</v>
      </c>
      <c r="D74" s="47">
        <v>12410</v>
      </c>
      <c r="E74" s="46" t="s">
        <v>11081</v>
      </c>
      <c r="F74" s="48">
        <v>41436</v>
      </c>
      <c r="G74" s="48">
        <v>41628</v>
      </c>
      <c r="H74" s="46" t="s">
        <v>651</v>
      </c>
      <c r="I74" s="45">
        <v>15490</v>
      </c>
      <c r="J74" s="45">
        <v>9442</v>
      </c>
      <c r="K74" s="49" t="s">
        <v>7102</v>
      </c>
      <c r="L74" s="46"/>
    </row>
    <row r="75" spans="1:12" x14ac:dyDescent="0.25">
      <c r="A75" s="46" t="s">
        <v>11082</v>
      </c>
      <c r="B75" s="46" t="s">
        <v>11650</v>
      </c>
      <c r="C75" s="46" t="s">
        <v>14</v>
      </c>
      <c r="D75" s="47">
        <v>12411</v>
      </c>
      <c r="E75" s="46" t="s">
        <v>11083</v>
      </c>
      <c r="F75" s="48">
        <v>41380</v>
      </c>
      <c r="G75" s="48">
        <v>41557</v>
      </c>
      <c r="H75" s="46" t="s">
        <v>651</v>
      </c>
      <c r="I75" s="45">
        <v>33306</v>
      </c>
      <c r="J75" s="45">
        <v>16653</v>
      </c>
      <c r="K75" s="49" t="s">
        <v>7102</v>
      </c>
      <c r="L75" s="46"/>
    </row>
    <row r="76" spans="1:12" x14ac:dyDescent="0.25">
      <c r="A76" s="46" t="s">
        <v>11084</v>
      </c>
      <c r="B76" s="46" t="s">
        <v>11650</v>
      </c>
      <c r="C76" s="46" t="s">
        <v>14</v>
      </c>
      <c r="D76" s="47">
        <v>12412</v>
      </c>
      <c r="E76" s="46" t="s">
        <v>11085</v>
      </c>
      <c r="F76" s="48">
        <v>41380</v>
      </c>
      <c r="G76" s="48">
        <v>41628</v>
      </c>
      <c r="H76" s="46" t="s">
        <v>651</v>
      </c>
      <c r="I76" s="45">
        <v>5310</v>
      </c>
      <c r="J76" s="45">
        <v>2655</v>
      </c>
      <c r="K76" s="49" t="s">
        <v>7102</v>
      </c>
      <c r="L76" s="46"/>
    </row>
    <row r="77" spans="1:12" x14ac:dyDescent="0.25">
      <c r="A77" s="46" t="s">
        <v>11088</v>
      </c>
      <c r="B77" s="46" t="s">
        <v>11650</v>
      </c>
      <c r="C77" s="46" t="s">
        <v>14</v>
      </c>
      <c r="D77" s="47">
        <v>12416</v>
      </c>
      <c r="E77" s="46" t="s">
        <v>11089</v>
      </c>
      <c r="F77" s="48">
        <v>41108</v>
      </c>
      <c r="G77" s="48">
        <v>41284</v>
      </c>
      <c r="H77" s="46" t="s">
        <v>651</v>
      </c>
      <c r="I77" s="45">
        <v>23304</v>
      </c>
      <c r="J77" s="45">
        <v>19152</v>
      </c>
      <c r="K77" s="49" t="s">
        <v>7102</v>
      </c>
      <c r="L77" s="46"/>
    </row>
    <row r="78" spans="1:12" x14ac:dyDescent="0.25">
      <c r="A78" s="46" t="s">
        <v>11101</v>
      </c>
      <c r="B78" s="46" t="s">
        <v>11650</v>
      </c>
      <c r="C78" s="46" t="s">
        <v>14</v>
      </c>
      <c r="D78" s="47">
        <v>12428</v>
      </c>
      <c r="E78" s="46" t="s">
        <v>11102</v>
      </c>
      <c r="F78" s="48">
        <v>41381</v>
      </c>
      <c r="G78" s="48">
        <v>41607</v>
      </c>
      <c r="H78" s="46" t="s">
        <v>651</v>
      </c>
      <c r="I78" s="45">
        <v>19500</v>
      </c>
      <c r="J78" s="45">
        <v>9750</v>
      </c>
      <c r="K78" s="49" t="s">
        <v>7102</v>
      </c>
      <c r="L78" s="46"/>
    </row>
    <row r="79" spans="1:12" x14ac:dyDescent="0.25">
      <c r="A79" s="46" t="s">
        <v>11105</v>
      </c>
      <c r="B79" s="46" t="s">
        <v>11650</v>
      </c>
      <c r="C79" s="46" t="s">
        <v>14</v>
      </c>
      <c r="D79" s="47">
        <v>12434</v>
      </c>
      <c r="E79" s="46" t="s">
        <v>11106</v>
      </c>
      <c r="F79" s="48">
        <v>41312</v>
      </c>
      <c r="G79" s="48">
        <v>41421</v>
      </c>
      <c r="H79" s="46" t="s">
        <v>651</v>
      </c>
      <c r="I79" s="45">
        <v>86000</v>
      </c>
      <c r="J79" s="45">
        <v>43000</v>
      </c>
      <c r="K79" s="49" t="s">
        <v>7102</v>
      </c>
      <c r="L79" s="46"/>
    </row>
    <row r="80" spans="1:12" ht="25.5" x14ac:dyDescent="0.25">
      <c r="A80" s="46" t="s">
        <v>11107</v>
      </c>
      <c r="B80" s="46" t="s">
        <v>11650</v>
      </c>
      <c r="C80" s="46" t="s">
        <v>14</v>
      </c>
      <c r="D80" s="47">
        <v>12435</v>
      </c>
      <c r="E80" s="46" t="s">
        <v>11108</v>
      </c>
      <c r="F80" s="48">
        <v>41436</v>
      </c>
      <c r="G80" s="48">
        <v>41619</v>
      </c>
      <c r="H80" s="46" t="s">
        <v>651</v>
      </c>
      <c r="I80" s="45">
        <v>34000</v>
      </c>
      <c r="J80" s="45">
        <v>17000</v>
      </c>
      <c r="K80" s="49" t="s">
        <v>7102</v>
      </c>
      <c r="L80" s="46"/>
    </row>
    <row r="81" spans="1:12" x14ac:dyDescent="0.25">
      <c r="A81" s="46" t="s">
        <v>11129</v>
      </c>
      <c r="B81" s="46" t="s">
        <v>11650</v>
      </c>
      <c r="C81" s="46" t="s">
        <v>14</v>
      </c>
      <c r="D81" s="47">
        <v>12253</v>
      </c>
      <c r="E81" s="46" t="s">
        <v>11130</v>
      </c>
      <c r="F81" s="48">
        <v>41589</v>
      </c>
      <c r="G81" s="48">
        <v>41954</v>
      </c>
      <c r="H81" s="46" t="s">
        <v>651</v>
      </c>
      <c r="I81" s="45">
        <v>4000</v>
      </c>
      <c r="J81" s="45">
        <v>4000</v>
      </c>
      <c r="K81" s="49" t="s">
        <v>7941</v>
      </c>
      <c r="L81" s="46"/>
    </row>
    <row r="82" spans="1:12" ht="25.5" x14ac:dyDescent="0.25">
      <c r="A82" s="46" t="s">
        <v>11131</v>
      </c>
      <c r="B82" s="46" t="s">
        <v>11650</v>
      </c>
      <c r="C82" s="46" t="s">
        <v>14</v>
      </c>
      <c r="D82" s="47">
        <v>12254</v>
      </c>
      <c r="E82" s="46" t="s">
        <v>11132</v>
      </c>
      <c r="F82" s="48">
        <v>41275</v>
      </c>
      <c r="G82" s="48">
        <v>41729</v>
      </c>
      <c r="H82" s="46" t="s">
        <v>651</v>
      </c>
      <c r="I82" s="45">
        <v>28400</v>
      </c>
      <c r="J82" s="45">
        <v>14200</v>
      </c>
      <c r="K82" s="49" t="s">
        <v>7941</v>
      </c>
      <c r="L82" s="46"/>
    </row>
    <row r="83" spans="1:12" ht="25.5" x14ac:dyDescent="0.25">
      <c r="A83" s="46" t="s">
        <v>11135</v>
      </c>
      <c r="B83" s="46" t="s">
        <v>11650</v>
      </c>
      <c r="C83" s="46" t="s">
        <v>14</v>
      </c>
      <c r="D83" s="47">
        <v>12256</v>
      </c>
      <c r="E83" s="46" t="s">
        <v>11136</v>
      </c>
      <c r="F83" s="48">
        <v>41159</v>
      </c>
      <c r="G83" s="48">
        <v>41601</v>
      </c>
      <c r="H83" s="46" t="s">
        <v>651</v>
      </c>
      <c r="I83" s="45">
        <v>13218</v>
      </c>
      <c r="J83" s="45">
        <v>6609</v>
      </c>
      <c r="K83" s="49" t="s">
        <v>7941</v>
      </c>
      <c r="L83" s="46"/>
    </row>
    <row r="84" spans="1:12" x14ac:dyDescent="0.25">
      <c r="A84" s="46" t="s">
        <v>11137</v>
      </c>
      <c r="B84" s="46" t="s">
        <v>11650</v>
      </c>
      <c r="C84" s="46" t="s">
        <v>14</v>
      </c>
      <c r="D84" s="47">
        <v>12257</v>
      </c>
      <c r="E84" s="46" t="s">
        <v>11138</v>
      </c>
      <c r="F84" s="48">
        <v>41311</v>
      </c>
      <c r="G84" s="48">
        <v>41710</v>
      </c>
      <c r="H84" s="46" t="s">
        <v>651</v>
      </c>
      <c r="I84" s="45">
        <v>25442</v>
      </c>
      <c r="J84" s="45">
        <v>14721</v>
      </c>
      <c r="K84" s="49" t="s">
        <v>7941</v>
      </c>
      <c r="L84" s="46"/>
    </row>
    <row r="85" spans="1:12" x14ac:dyDescent="0.25">
      <c r="A85" s="46" t="s">
        <v>11139</v>
      </c>
      <c r="B85" s="46" t="s">
        <v>11650</v>
      </c>
      <c r="C85" s="46" t="s">
        <v>14</v>
      </c>
      <c r="D85" s="47">
        <v>12258</v>
      </c>
      <c r="E85" s="46" t="s">
        <v>11140</v>
      </c>
      <c r="F85" s="48">
        <v>41313</v>
      </c>
      <c r="G85" s="48">
        <v>41710</v>
      </c>
      <c r="H85" s="46" t="s">
        <v>651</v>
      </c>
      <c r="I85" s="45">
        <v>4000</v>
      </c>
      <c r="J85" s="45">
        <v>4000</v>
      </c>
      <c r="K85" s="49" t="s">
        <v>7941</v>
      </c>
      <c r="L85" s="46"/>
    </row>
    <row r="86" spans="1:12" ht="51" x14ac:dyDescent="0.25">
      <c r="A86" s="46" t="s">
        <v>11165</v>
      </c>
      <c r="B86" s="46" t="s">
        <v>11650</v>
      </c>
      <c r="C86" s="46" t="s">
        <v>14</v>
      </c>
      <c r="D86" s="47">
        <v>12563</v>
      </c>
      <c r="E86" s="46" t="s">
        <v>11166</v>
      </c>
      <c r="F86" s="48">
        <v>41550</v>
      </c>
      <c r="G86" s="48">
        <v>41550</v>
      </c>
      <c r="H86" s="46" t="s">
        <v>651</v>
      </c>
      <c r="I86" s="45">
        <v>65686.73</v>
      </c>
      <c r="J86" s="45">
        <v>32842.9</v>
      </c>
      <c r="K86" s="49" t="s">
        <v>8348</v>
      </c>
      <c r="L86" s="46"/>
    </row>
    <row r="87" spans="1:12" x14ac:dyDescent="0.25">
      <c r="A87" s="46" t="s">
        <v>11203</v>
      </c>
      <c r="B87" s="46" t="s">
        <v>11650</v>
      </c>
      <c r="C87" s="46" t="s">
        <v>14</v>
      </c>
      <c r="D87" s="47">
        <v>12439</v>
      </c>
      <c r="E87" s="46" t="s">
        <v>11204</v>
      </c>
      <c r="F87" s="48">
        <v>41540</v>
      </c>
      <c r="G87" s="48">
        <v>41626</v>
      </c>
      <c r="H87" s="46" t="s">
        <v>651</v>
      </c>
      <c r="I87" s="45">
        <v>30000</v>
      </c>
      <c r="J87" s="45">
        <v>15000</v>
      </c>
      <c r="K87" s="49" t="s">
        <v>8905</v>
      </c>
      <c r="L87" s="46"/>
    </row>
    <row r="88" spans="1:12" x14ac:dyDescent="0.25">
      <c r="A88" s="46" t="s">
        <v>11211</v>
      </c>
      <c r="B88" s="46" t="s">
        <v>11650</v>
      </c>
      <c r="C88" s="46" t="s">
        <v>14</v>
      </c>
      <c r="D88" s="47">
        <v>12451</v>
      </c>
      <c r="E88" s="46" t="s">
        <v>11212</v>
      </c>
      <c r="F88" s="48">
        <v>41337</v>
      </c>
      <c r="G88" s="46"/>
      <c r="H88" s="46" t="s">
        <v>651</v>
      </c>
      <c r="I88" s="45">
        <v>12500</v>
      </c>
      <c r="J88" s="45">
        <v>12500</v>
      </c>
      <c r="K88" s="49" t="s">
        <v>8905</v>
      </c>
      <c r="L88" s="46"/>
    </row>
    <row r="89" spans="1:12" x14ac:dyDescent="0.25">
      <c r="A89" s="46" t="s">
        <v>11221</v>
      </c>
      <c r="B89" s="46" t="s">
        <v>11650</v>
      </c>
      <c r="C89" s="46" t="s">
        <v>14</v>
      </c>
      <c r="D89" s="47">
        <v>12456</v>
      </c>
      <c r="E89" s="46" t="s">
        <v>11222</v>
      </c>
      <c r="F89" s="48">
        <v>41246</v>
      </c>
      <c r="G89" s="46"/>
      <c r="H89" s="46" t="s">
        <v>651</v>
      </c>
      <c r="I89" s="45">
        <v>54350</v>
      </c>
      <c r="J89" s="45">
        <v>27175</v>
      </c>
      <c r="K89" s="49" t="s">
        <v>8905</v>
      </c>
      <c r="L89" s="46"/>
    </row>
    <row r="90" spans="1:12" x14ac:dyDescent="0.25">
      <c r="A90" s="46" t="s">
        <v>11227</v>
      </c>
      <c r="B90" s="46" t="s">
        <v>11650</v>
      </c>
      <c r="C90" s="46" t="s">
        <v>14</v>
      </c>
      <c r="D90" s="47">
        <v>12460</v>
      </c>
      <c r="E90" s="46" t="s">
        <v>11228</v>
      </c>
      <c r="F90" s="48">
        <v>41246</v>
      </c>
      <c r="G90" s="46"/>
      <c r="H90" s="46" t="s">
        <v>651</v>
      </c>
      <c r="I90" s="45">
        <v>5375</v>
      </c>
      <c r="J90" s="45">
        <v>5375</v>
      </c>
      <c r="K90" s="49" t="s">
        <v>8905</v>
      </c>
      <c r="L90" s="46"/>
    </row>
    <row r="91" spans="1:12" x14ac:dyDescent="0.25">
      <c r="A91" s="46" t="s">
        <v>11254</v>
      </c>
      <c r="B91" s="46" t="s">
        <v>11650</v>
      </c>
      <c r="C91" s="46" t="s">
        <v>14</v>
      </c>
      <c r="D91" s="47">
        <v>12643</v>
      </c>
      <c r="E91" s="46" t="s">
        <v>11255</v>
      </c>
      <c r="F91" s="48">
        <v>41470</v>
      </c>
      <c r="G91" s="46"/>
      <c r="H91" s="46" t="s">
        <v>651</v>
      </c>
      <c r="I91" s="45">
        <v>5000</v>
      </c>
      <c r="J91" s="45">
        <v>5000</v>
      </c>
      <c r="K91" s="49" t="s">
        <v>8905</v>
      </c>
      <c r="L91" s="46"/>
    </row>
    <row r="92" spans="1:12" x14ac:dyDescent="0.25">
      <c r="A92" s="46" t="s">
        <v>11258</v>
      </c>
      <c r="B92" s="46" t="s">
        <v>11650</v>
      </c>
      <c r="C92" s="46" t="s">
        <v>14</v>
      </c>
      <c r="D92" s="47">
        <v>12192</v>
      </c>
      <c r="E92" s="46" t="s">
        <v>11259</v>
      </c>
      <c r="F92" s="48">
        <v>40994</v>
      </c>
      <c r="G92" s="48">
        <v>41359</v>
      </c>
      <c r="H92" s="46" t="s">
        <v>651</v>
      </c>
      <c r="I92" s="45">
        <v>8248.6200000000008</v>
      </c>
      <c r="J92" s="45">
        <v>7874.31</v>
      </c>
      <c r="K92" s="49" t="s">
        <v>9243</v>
      </c>
      <c r="L92" s="46"/>
    </row>
    <row r="93" spans="1:12" x14ac:dyDescent="0.25">
      <c r="A93" s="46" t="s">
        <v>11266</v>
      </c>
      <c r="B93" s="46" t="s">
        <v>11650</v>
      </c>
      <c r="C93" s="46" t="s">
        <v>14</v>
      </c>
      <c r="D93" s="47">
        <v>12196</v>
      </c>
      <c r="E93" s="46" t="s">
        <v>11267</v>
      </c>
      <c r="F93" s="48">
        <v>41541</v>
      </c>
      <c r="G93" s="48">
        <v>41639</v>
      </c>
      <c r="H93" s="46" t="s">
        <v>651</v>
      </c>
      <c r="I93" s="45">
        <v>3750</v>
      </c>
      <c r="J93" s="45">
        <v>3750</v>
      </c>
      <c r="K93" s="49" t="s">
        <v>9243</v>
      </c>
      <c r="L93" s="46"/>
    </row>
    <row r="94" spans="1:12" x14ac:dyDescent="0.25">
      <c r="A94" s="46" t="s">
        <v>11274</v>
      </c>
      <c r="B94" s="46" t="s">
        <v>11650</v>
      </c>
      <c r="C94" s="46" t="s">
        <v>14</v>
      </c>
      <c r="D94" s="47">
        <v>12201</v>
      </c>
      <c r="E94" s="46" t="s">
        <v>11275</v>
      </c>
      <c r="F94" s="48">
        <v>41303</v>
      </c>
      <c r="G94" s="48">
        <v>41639</v>
      </c>
      <c r="H94" s="46" t="s">
        <v>651</v>
      </c>
      <c r="I94" s="45">
        <v>17500</v>
      </c>
      <c r="J94" s="45">
        <v>8750</v>
      </c>
      <c r="K94" s="49" t="s">
        <v>9243</v>
      </c>
      <c r="L94" s="46"/>
    </row>
    <row r="95" spans="1:12" x14ac:dyDescent="0.25">
      <c r="A95" s="46" t="s">
        <v>11277</v>
      </c>
      <c r="B95" s="46" t="s">
        <v>11650</v>
      </c>
      <c r="C95" s="46" t="s">
        <v>14</v>
      </c>
      <c r="D95" s="47">
        <v>12203</v>
      </c>
      <c r="E95" s="46" t="s">
        <v>11278</v>
      </c>
      <c r="F95" s="48">
        <v>41422</v>
      </c>
      <c r="G95" s="48">
        <v>41639</v>
      </c>
      <c r="H95" s="46" t="s">
        <v>651</v>
      </c>
      <c r="I95" s="45">
        <v>3430.48</v>
      </c>
      <c r="J95" s="45">
        <v>1715.24</v>
      </c>
      <c r="K95" s="49" t="s">
        <v>9243</v>
      </c>
      <c r="L95" s="46"/>
    </row>
    <row r="96" spans="1:12" x14ac:dyDescent="0.25">
      <c r="A96" s="46" t="s">
        <v>11289</v>
      </c>
      <c r="B96" s="46" t="s">
        <v>11650</v>
      </c>
      <c r="C96" s="46" t="s">
        <v>14</v>
      </c>
      <c r="D96" s="47">
        <v>12210</v>
      </c>
      <c r="E96" s="46" t="s">
        <v>11290</v>
      </c>
      <c r="F96" s="48">
        <v>41303</v>
      </c>
      <c r="G96" s="48">
        <v>41639</v>
      </c>
      <c r="H96" s="46" t="s">
        <v>651</v>
      </c>
      <c r="I96" s="45">
        <v>7500</v>
      </c>
      <c r="J96" s="45">
        <v>7500</v>
      </c>
      <c r="K96" s="49" t="s">
        <v>9243</v>
      </c>
      <c r="L96" s="46"/>
    </row>
    <row r="97" spans="1:13" ht="25.5" x14ac:dyDescent="0.25">
      <c r="A97" s="46" t="s">
        <v>11291</v>
      </c>
      <c r="B97" s="46" t="s">
        <v>11650</v>
      </c>
      <c r="C97" s="46" t="s">
        <v>14</v>
      </c>
      <c r="D97" s="47">
        <v>12211</v>
      </c>
      <c r="E97" s="46" t="s">
        <v>11292</v>
      </c>
      <c r="F97" s="48">
        <v>41541</v>
      </c>
      <c r="G97" s="48">
        <v>41639</v>
      </c>
      <c r="H97" s="46" t="s">
        <v>651</v>
      </c>
      <c r="I97" s="45">
        <v>3750</v>
      </c>
      <c r="J97" s="45">
        <v>3750</v>
      </c>
      <c r="K97" s="49" t="s">
        <v>9243</v>
      </c>
      <c r="L97" s="46"/>
    </row>
    <row r="98" spans="1:13" x14ac:dyDescent="0.25">
      <c r="A98" s="46" t="s">
        <v>11295</v>
      </c>
      <c r="B98" s="46" t="s">
        <v>11650</v>
      </c>
      <c r="C98" s="46" t="s">
        <v>14</v>
      </c>
      <c r="D98" s="47">
        <v>12213</v>
      </c>
      <c r="E98" s="46" t="s">
        <v>11296</v>
      </c>
      <c r="F98" s="48">
        <v>41450</v>
      </c>
      <c r="G98" s="48">
        <v>41639</v>
      </c>
      <c r="H98" s="46" t="s">
        <v>651</v>
      </c>
      <c r="I98" s="45">
        <v>7500</v>
      </c>
      <c r="J98" s="45">
        <v>7500</v>
      </c>
      <c r="K98" s="49" t="s">
        <v>9243</v>
      </c>
      <c r="L98" s="46"/>
    </row>
    <row r="99" spans="1:13" x14ac:dyDescent="0.25">
      <c r="A99" s="46" t="s">
        <v>11297</v>
      </c>
      <c r="B99" s="46" t="s">
        <v>11650</v>
      </c>
      <c r="C99" s="46" t="s">
        <v>14</v>
      </c>
      <c r="D99" s="47">
        <v>12214</v>
      </c>
      <c r="E99" s="46" t="s">
        <v>11298</v>
      </c>
      <c r="F99" s="48">
        <v>41331</v>
      </c>
      <c r="G99" s="48">
        <v>41639</v>
      </c>
      <c r="H99" s="46" t="s">
        <v>651</v>
      </c>
      <c r="I99" s="45">
        <v>8750</v>
      </c>
      <c r="J99" s="45">
        <v>6250</v>
      </c>
      <c r="K99" s="49" t="s">
        <v>9243</v>
      </c>
      <c r="L99" s="46"/>
    </row>
    <row r="100" spans="1:13" x14ac:dyDescent="0.25">
      <c r="A100" s="46" t="s">
        <v>11299</v>
      </c>
      <c r="B100" s="46" t="s">
        <v>11650</v>
      </c>
      <c r="C100" s="46" t="s">
        <v>14</v>
      </c>
      <c r="D100" s="47">
        <v>12216</v>
      </c>
      <c r="E100" s="46" t="s">
        <v>11300</v>
      </c>
      <c r="F100" s="48">
        <v>41450</v>
      </c>
      <c r="G100" s="48">
        <v>41639</v>
      </c>
      <c r="H100" s="46" t="s">
        <v>651</v>
      </c>
      <c r="I100" s="45">
        <v>11125</v>
      </c>
      <c r="J100" s="45">
        <v>9312.5</v>
      </c>
      <c r="K100" s="49" t="s">
        <v>9243</v>
      </c>
      <c r="L100" s="46"/>
    </row>
    <row r="101" spans="1:13" x14ac:dyDescent="0.25">
      <c r="A101" s="46" t="s">
        <v>11301</v>
      </c>
      <c r="B101" s="46" t="s">
        <v>11650</v>
      </c>
      <c r="C101" s="46" t="s">
        <v>14</v>
      </c>
      <c r="D101" s="47">
        <v>12218</v>
      </c>
      <c r="E101" s="46" t="s">
        <v>11302</v>
      </c>
      <c r="F101" s="48">
        <v>41387</v>
      </c>
      <c r="G101" s="48">
        <v>41639</v>
      </c>
      <c r="H101" s="46" t="s">
        <v>651</v>
      </c>
      <c r="I101" s="45">
        <v>49999.08</v>
      </c>
      <c r="J101" s="45">
        <v>24999.54</v>
      </c>
      <c r="K101" s="49" t="s">
        <v>9243</v>
      </c>
      <c r="L101" s="46"/>
    </row>
    <row r="102" spans="1:13" x14ac:dyDescent="0.25">
      <c r="A102" s="46" t="s">
        <v>11303</v>
      </c>
      <c r="B102" s="46" t="s">
        <v>11650</v>
      </c>
      <c r="C102" s="46" t="s">
        <v>14</v>
      </c>
      <c r="D102" s="47">
        <v>12219</v>
      </c>
      <c r="E102" s="46" t="s">
        <v>11304</v>
      </c>
      <c r="F102" s="48">
        <v>41359</v>
      </c>
      <c r="G102" s="48">
        <v>41639</v>
      </c>
      <c r="H102" s="46" t="s">
        <v>651</v>
      </c>
      <c r="I102" s="45">
        <v>7500</v>
      </c>
      <c r="J102" s="45">
        <v>7500</v>
      </c>
      <c r="K102" s="49" t="s">
        <v>9243</v>
      </c>
      <c r="L102" s="46"/>
    </row>
    <row r="103" spans="1:13" x14ac:dyDescent="0.25">
      <c r="A103" s="46" t="s">
        <v>11326</v>
      </c>
      <c r="B103" s="46" t="s">
        <v>11650</v>
      </c>
      <c r="C103" s="46" t="s">
        <v>14</v>
      </c>
      <c r="D103" s="47">
        <v>12481</v>
      </c>
      <c r="E103" s="46" t="s">
        <v>11327</v>
      </c>
      <c r="F103" s="48">
        <v>41227</v>
      </c>
      <c r="G103" s="48">
        <v>41592</v>
      </c>
      <c r="H103" s="46" t="s">
        <v>651</v>
      </c>
      <c r="I103" s="45">
        <v>38629.96</v>
      </c>
      <c r="J103" s="45">
        <v>24939.98</v>
      </c>
      <c r="K103" s="49" t="s">
        <v>9751</v>
      </c>
      <c r="L103" s="46"/>
    </row>
    <row r="104" spans="1:13" ht="63.75" x14ac:dyDescent="0.25">
      <c r="A104" s="46" t="s">
        <v>11336</v>
      </c>
      <c r="B104" s="46" t="s">
        <v>11650</v>
      </c>
      <c r="C104" s="46" t="s">
        <v>14</v>
      </c>
      <c r="D104" s="47">
        <v>12505</v>
      </c>
      <c r="E104" s="46" t="s">
        <v>11337</v>
      </c>
      <c r="F104" s="48">
        <v>41521</v>
      </c>
      <c r="G104" s="48">
        <v>41885</v>
      </c>
      <c r="H104" s="46" t="s">
        <v>651</v>
      </c>
      <c r="I104" s="45">
        <v>19016.419999999998</v>
      </c>
      <c r="J104" s="45">
        <v>12320.71</v>
      </c>
      <c r="K104" s="49" t="s">
        <v>9751</v>
      </c>
      <c r="L104" s="46"/>
    </row>
    <row r="105" spans="1:13" ht="38.25" x14ac:dyDescent="0.25">
      <c r="A105" s="46" t="s">
        <v>11368</v>
      </c>
      <c r="B105" s="46" t="s">
        <v>11650</v>
      </c>
      <c r="C105" s="46" t="s">
        <v>14</v>
      </c>
      <c r="D105" s="47">
        <v>12534</v>
      </c>
      <c r="E105" s="46" t="s">
        <v>11369</v>
      </c>
      <c r="F105" s="48">
        <v>41443</v>
      </c>
      <c r="G105" s="48">
        <v>41807</v>
      </c>
      <c r="H105" s="46" t="s">
        <v>651</v>
      </c>
      <c r="I105" s="45">
        <v>60000</v>
      </c>
      <c r="J105" s="45">
        <v>30000</v>
      </c>
      <c r="K105" s="49" t="s">
        <v>9751</v>
      </c>
      <c r="L105" s="46"/>
    </row>
    <row r="106" spans="1:13" x14ac:dyDescent="0.25">
      <c r="A106" s="46" t="s">
        <v>49</v>
      </c>
      <c r="B106" s="46" t="s">
        <v>11646</v>
      </c>
      <c r="C106" s="46" t="s">
        <v>14</v>
      </c>
      <c r="D106" s="47">
        <v>1020</v>
      </c>
      <c r="E106" s="46" t="s">
        <v>51</v>
      </c>
      <c r="F106" s="48">
        <v>39132</v>
      </c>
      <c r="G106" s="48">
        <v>39435</v>
      </c>
      <c r="H106" s="46" t="s">
        <v>40</v>
      </c>
      <c r="I106" s="45">
        <v>47641.24</v>
      </c>
      <c r="J106" s="45">
        <v>23820.62</v>
      </c>
      <c r="K106" s="49" t="s">
        <v>17</v>
      </c>
      <c r="L106" s="45"/>
      <c r="M106" s="3"/>
    </row>
    <row r="107" spans="1:13" ht="25.5" x14ac:dyDescent="0.25">
      <c r="A107" s="46" t="s">
        <v>52</v>
      </c>
      <c r="B107" s="46" t="s">
        <v>11646</v>
      </c>
      <c r="C107" s="46" t="s">
        <v>14</v>
      </c>
      <c r="D107" s="47">
        <v>1023</v>
      </c>
      <c r="E107" s="46" t="s">
        <v>53</v>
      </c>
      <c r="F107" s="48">
        <v>39132</v>
      </c>
      <c r="G107" s="48">
        <v>39287</v>
      </c>
      <c r="H107" s="46" t="s">
        <v>40</v>
      </c>
      <c r="I107" s="45">
        <v>60000</v>
      </c>
      <c r="J107" s="45">
        <v>30000</v>
      </c>
      <c r="K107" s="49" t="s">
        <v>17</v>
      </c>
      <c r="L107" s="45"/>
      <c r="M107" s="3"/>
    </row>
    <row r="108" spans="1:13" ht="25.5" x14ac:dyDescent="0.25">
      <c r="A108" s="46" t="s">
        <v>54</v>
      </c>
      <c r="B108" s="46" t="s">
        <v>11646</v>
      </c>
      <c r="C108" s="46" t="s">
        <v>14</v>
      </c>
      <c r="D108" s="47">
        <v>1039</v>
      </c>
      <c r="E108" s="46" t="s">
        <v>55</v>
      </c>
      <c r="F108" s="48">
        <v>39132</v>
      </c>
      <c r="G108" s="48">
        <v>39287</v>
      </c>
      <c r="H108" s="46" t="s">
        <v>40</v>
      </c>
      <c r="I108" s="45">
        <v>93802.2</v>
      </c>
      <c r="J108" s="45">
        <v>46901.1</v>
      </c>
      <c r="K108" s="49" t="s">
        <v>17</v>
      </c>
      <c r="L108" s="45"/>
      <c r="M108" s="3"/>
    </row>
    <row r="109" spans="1:13" ht="25.5" x14ac:dyDescent="0.25">
      <c r="A109" s="46" t="s">
        <v>56</v>
      </c>
      <c r="B109" s="46" t="s">
        <v>11646</v>
      </c>
      <c r="C109" s="46" t="s">
        <v>14</v>
      </c>
      <c r="D109" s="47">
        <v>1042</v>
      </c>
      <c r="E109" s="46" t="s">
        <v>57</v>
      </c>
      <c r="F109" s="48">
        <v>39132</v>
      </c>
      <c r="G109" s="48">
        <v>39385</v>
      </c>
      <c r="H109" s="46" t="s">
        <v>40</v>
      </c>
      <c r="I109" s="45">
        <v>26312</v>
      </c>
      <c r="J109" s="45">
        <v>13156</v>
      </c>
      <c r="K109" s="49" t="s">
        <v>17</v>
      </c>
      <c r="L109" s="45"/>
      <c r="M109" s="3"/>
    </row>
    <row r="110" spans="1:13" ht="25.5" x14ac:dyDescent="0.25">
      <c r="A110" s="46" t="s">
        <v>61</v>
      </c>
      <c r="B110" s="46" t="s">
        <v>11646</v>
      </c>
      <c r="C110" s="46" t="s">
        <v>14</v>
      </c>
      <c r="D110" s="47">
        <v>1503</v>
      </c>
      <c r="E110" s="46" t="s">
        <v>62</v>
      </c>
      <c r="F110" s="48">
        <v>39132</v>
      </c>
      <c r="G110" s="48">
        <v>39328</v>
      </c>
      <c r="H110" s="46" t="s">
        <v>40</v>
      </c>
      <c r="I110" s="45">
        <v>35288</v>
      </c>
      <c r="J110" s="45">
        <v>17644</v>
      </c>
      <c r="K110" s="49" t="s">
        <v>17</v>
      </c>
      <c r="L110" s="45"/>
      <c r="M110" s="3"/>
    </row>
    <row r="111" spans="1:13" ht="51" x14ac:dyDescent="0.25">
      <c r="A111" s="46" t="s">
        <v>65</v>
      </c>
      <c r="B111" s="46" t="s">
        <v>11646</v>
      </c>
      <c r="C111" s="46" t="s">
        <v>14</v>
      </c>
      <c r="D111" s="47">
        <v>1532</v>
      </c>
      <c r="E111" s="50" t="s">
        <v>66</v>
      </c>
      <c r="F111" s="48">
        <v>39490</v>
      </c>
      <c r="G111" s="48">
        <v>39797</v>
      </c>
      <c r="H111" s="46" t="s">
        <v>40</v>
      </c>
      <c r="I111" s="45">
        <v>39685.18</v>
      </c>
      <c r="J111" s="45">
        <v>19842.59</v>
      </c>
      <c r="K111" s="49" t="s">
        <v>17</v>
      </c>
      <c r="L111" s="45"/>
      <c r="M111" s="3"/>
    </row>
    <row r="112" spans="1:13" ht="25.5" x14ac:dyDescent="0.25">
      <c r="A112" s="46" t="s">
        <v>75</v>
      </c>
      <c r="B112" s="46" t="s">
        <v>11646</v>
      </c>
      <c r="C112" s="46" t="s">
        <v>14</v>
      </c>
      <c r="D112" s="47">
        <v>1554</v>
      </c>
      <c r="E112" s="46" t="s">
        <v>76</v>
      </c>
      <c r="F112" s="48">
        <v>39184</v>
      </c>
      <c r="G112" s="48">
        <v>39435</v>
      </c>
      <c r="H112" s="46" t="s">
        <v>40</v>
      </c>
      <c r="I112" s="45">
        <v>30000</v>
      </c>
      <c r="J112" s="45">
        <v>15000</v>
      </c>
      <c r="K112" s="49" t="s">
        <v>17</v>
      </c>
      <c r="L112" s="45"/>
      <c r="M112" s="3"/>
    </row>
    <row r="113" spans="1:13" ht="25.5" x14ac:dyDescent="0.25">
      <c r="A113" s="46" t="s">
        <v>87</v>
      </c>
      <c r="B113" s="46" t="s">
        <v>11646</v>
      </c>
      <c r="C113" s="46" t="s">
        <v>14</v>
      </c>
      <c r="D113" s="47">
        <v>1643</v>
      </c>
      <c r="E113" s="46" t="s">
        <v>88</v>
      </c>
      <c r="F113" s="48">
        <v>39343</v>
      </c>
      <c r="G113" s="48">
        <v>39645</v>
      </c>
      <c r="H113" s="46" t="s">
        <v>40</v>
      </c>
      <c r="I113" s="45">
        <v>20000</v>
      </c>
      <c r="J113" s="45">
        <v>10000</v>
      </c>
      <c r="K113" s="49" t="s">
        <v>17</v>
      </c>
      <c r="L113" s="45"/>
      <c r="M113" s="3"/>
    </row>
    <row r="114" spans="1:13" x14ac:dyDescent="0.25">
      <c r="A114" s="46" t="s">
        <v>94</v>
      </c>
      <c r="B114" s="46" t="s">
        <v>11646</v>
      </c>
      <c r="C114" s="46" t="s">
        <v>14</v>
      </c>
      <c r="D114" s="47">
        <v>1649</v>
      </c>
      <c r="E114" s="46" t="s">
        <v>95</v>
      </c>
      <c r="F114" s="48">
        <v>39654</v>
      </c>
      <c r="G114" s="48">
        <v>39791</v>
      </c>
      <c r="H114" s="46" t="s">
        <v>40</v>
      </c>
      <c r="I114" s="45">
        <v>8449.64</v>
      </c>
      <c r="J114" s="45">
        <v>4224.82</v>
      </c>
      <c r="K114" s="49" t="s">
        <v>17</v>
      </c>
      <c r="L114" s="45"/>
      <c r="M114" s="3"/>
    </row>
    <row r="115" spans="1:13" x14ac:dyDescent="0.25">
      <c r="A115" s="46" t="s">
        <v>96</v>
      </c>
      <c r="B115" s="46" t="s">
        <v>11646</v>
      </c>
      <c r="C115" s="46" t="s">
        <v>14</v>
      </c>
      <c r="D115" s="47">
        <v>1653</v>
      </c>
      <c r="E115" s="46" t="s">
        <v>97</v>
      </c>
      <c r="F115" s="48">
        <v>39569</v>
      </c>
      <c r="G115" s="48">
        <v>39769</v>
      </c>
      <c r="H115" s="46" t="s">
        <v>40</v>
      </c>
      <c r="I115" s="45">
        <v>98170.32</v>
      </c>
      <c r="J115" s="45">
        <v>49085.16</v>
      </c>
      <c r="K115" s="49" t="s">
        <v>17</v>
      </c>
      <c r="L115" s="45"/>
      <c r="M115" s="3"/>
    </row>
    <row r="116" spans="1:13" ht="25.5" x14ac:dyDescent="0.25">
      <c r="A116" s="46" t="s">
        <v>100</v>
      </c>
      <c r="B116" s="46" t="s">
        <v>11646</v>
      </c>
      <c r="C116" s="46" t="s">
        <v>14</v>
      </c>
      <c r="D116" s="47">
        <v>1662</v>
      </c>
      <c r="E116" s="46" t="s">
        <v>101</v>
      </c>
      <c r="F116" s="48">
        <v>39569</v>
      </c>
      <c r="G116" s="48">
        <v>39790</v>
      </c>
      <c r="H116" s="46" t="s">
        <v>40</v>
      </c>
      <c r="I116" s="45">
        <v>8489</v>
      </c>
      <c r="J116" s="45">
        <v>4244.5</v>
      </c>
      <c r="K116" s="49" t="s">
        <v>17</v>
      </c>
      <c r="L116" s="45"/>
      <c r="M116" s="3"/>
    </row>
    <row r="117" spans="1:13" ht="63.75" x14ac:dyDescent="0.25">
      <c r="A117" s="46" t="s">
        <v>110</v>
      </c>
      <c r="B117" s="46" t="s">
        <v>11646</v>
      </c>
      <c r="C117" s="46" t="s">
        <v>14</v>
      </c>
      <c r="D117" s="47">
        <v>3272</v>
      </c>
      <c r="E117" s="50" t="s">
        <v>111</v>
      </c>
      <c r="F117" s="48">
        <v>39744</v>
      </c>
      <c r="G117" s="48">
        <v>39892</v>
      </c>
      <c r="H117" s="46" t="s">
        <v>40</v>
      </c>
      <c r="I117" s="45">
        <v>30000</v>
      </c>
      <c r="J117" s="45">
        <v>15000</v>
      </c>
      <c r="K117" s="49" t="s">
        <v>17</v>
      </c>
      <c r="L117" s="45"/>
      <c r="M117" s="3"/>
    </row>
    <row r="118" spans="1:13" ht="76.5" x14ac:dyDescent="0.25">
      <c r="A118" s="46" t="s">
        <v>122</v>
      </c>
      <c r="B118" s="46" t="s">
        <v>11646</v>
      </c>
      <c r="C118" s="46" t="s">
        <v>14</v>
      </c>
      <c r="D118" s="47">
        <v>4725</v>
      </c>
      <c r="E118" s="50" t="s">
        <v>123</v>
      </c>
      <c r="F118" s="48">
        <v>39834</v>
      </c>
      <c r="G118" s="48">
        <v>39868</v>
      </c>
      <c r="H118" s="46" t="s">
        <v>40</v>
      </c>
      <c r="I118" s="45">
        <v>50000</v>
      </c>
      <c r="J118" s="45">
        <v>25000</v>
      </c>
      <c r="K118" s="49" t="s">
        <v>17</v>
      </c>
      <c r="L118" s="45"/>
      <c r="M118" s="3"/>
    </row>
    <row r="119" spans="1:13" ht="38.25" x14ac:dyDescent="0.25">
      <c r="A119" s="46" t="s">
        <v>126</v>
      </c>
      <c r="B119" s="46" t="s">
        <v>11646</v>
      </c>
      <c r="C119" s="46" t="s">
        <v>14</v>
      </c>
      <c r="D119" s="47">
        <v>4729</v>
      </c>
      <c r="E119" s="46" t="s">
        <v>127</v>
      </c>
      <c r="F119" s="48">
        <v>39569</v>
      </c>
      <c r="G119" s="48">
        <v>39953</v>
      </c>
      <c r="H119" s="46" t="s">
        <v>40</v>
      </c>
      <c r="I119" s="45">
        <v>8300.68</v>
      </c>
      <c r="J119" s="45">
        <v>4150.34</v>
      </c>
      <c r="K119" s="49" t="s">
        <v>17</v>
      </c>
      <c r="L119" s="45"/>
      <c r="M119" s="3"/>
    </row>
    <row r="120" spans="1:13" ht="38.25" x14ac:dyDescent="0.25">
      <c r="A120" s="46" t="s">
        <v>132</v>
      </c>
      <c r="B120" s="46" t="s">
        <v>11646</v>
      </c>
      <c r="C120" s="46" t="s">
        <v>14</v>
      </c>
      <c r="D120" s="47">
        <v>5278</v>
      </c>
      <c r="E120" s="50" t="s">
        <v>133</v>
      </c>
      <c r="F120" s="48">
        <v>39744</v>
      </c>
      <c r="G120" s="48">
        <v>40109</v>
      </c>
      <c r="H120" s="46" t="s">
        <v>40</v>
      </c>
      <c r="I120" s="45">
        <v>14000</v>
      </c>
      <c r="J120" s="45">
        <v>7000</v>
      </c>
      <c r="K120" s="49" t="s">
        <v>17</v>
      </c>
      <c r="L120" s="45"/>
      <c r="M120" s="3"/>
    </row>
    <row r="121" spans="1:13" ht="51" x14ac:dyDescent="0.25">
      <c r="A121" s="46" t="s">
        <v>134</v>
      </c>
      <c r="B121" s="46" t="s">
        <v>11646</v>
      </c>
      <c r="C121" s="46" t="s">
        <v>14</v>
      </c>
      <c r="D121" s="47">
        <v>5285</v>
      </c>
      <c r="E121" s="50" t="s">
        <v>135</v>
      </c>
      <c r="F121" s="48">
        <v>39828</v>
      </c>
      <c r="G121" s="48">
        <v>40009</v>
      </c>
      <c r="H121" s="46" t="s">
        <v>40</v>
      </c>
      <c r="I121" s="45">
        <v>140000</v>
      </c>
      <c r="J121" s="45">
        <v>70000</v>
      </c>
      <c r="K121" s="49" t="s">
        <v>17</v>
      </c>
      <c r="L121" s="45"/>
      <c r="M121" s="3"/>
    </row>
    <row r="122" spans="1:13" ht="51" x14ac:dyDescent="0.25">
      <c r="A122" s="46" t="s">
        <v>136</v>
      </c>
      <c r="B122" s="46" t="s">
        <v>11646</v>
      </c>
      <c r="C122" s="46" t="s">
        <v>14</v>
      </c>
      <c r="D122" s="47">
        <v>5288</v>
      </c>
      <c r="E122" s="50" t="s">
        <v>137</v>
      </c>
      <c r="F122" s="48">
        <v>39654</v>
      </c>
      <c r="G122" s="48">
        <v>40019</v>
      </c>
      <c r="H122" s="46" t="s">
        <v>40</v>
      </c>
      <c r="I122" s="45">
        <v>13364.92</v>
      </c>
      <c r="J122" s="45">
        <v>6682.46</v>
      </c>
      <c r="K122" s="49" t="s">
        <v>17</v>
      </c>
      <c r="L122" s="45"/>
      <c r="M122" s="3"/>
    </row>
    <row r="123" spans="1:13" ht="63.75" x14ac:dyDescent="0.25">
      <c r="A123" s="46" t="s">
        <v>148</v>
      </c>
      <c r="B123" s="46" t="s">
        <v>11646</v>
      </c>
      <c r="C123" s="46" t="s">
        <v>14</v>
      </c>
      <c r="D123" s="47">
        <v>5339</v>
      </c>
      <c r="E123" s="50" t="s">
        <v>149</v>
      </c>
      <c r="F123" s="48">
        <v>39744</v>
      </c>
      <c r="G123" s="48">
        <v>40163</v>
      </c>
      <c r="H123" s="46" t="s">
        <v>40</v>
      </c>
      <c r="I123" s="45">
        <v>19448.14</v>
      </c>
      <c r="J123" s="45">
        <v>9724.07</v>
      </c>
      <c r="K123" s="49" t="s">
        <v>17</v>
      </c>
      <c r="L123" s="45"/>
      <c r="M123" s="3"/>
    </row>
    <row r="124" spans="1:13" ht="51" x14ac:dyDescent="0.25">
      <c r="A124" s="46" t="s">
        <v>152</v>
      </c>
      <c r="B124" s="46" t="s">
        <v>11646</v>
      </c>
      <c r="C124" s="46" t="s">
        <v>14</v>
      </c>
      <c r="D124" s="47">
        <v>5341</v>
      </c>
      <c r="E124" s="50" t="s">
        <v>153</v>
      </c>
      <c r="F124" s="48">
        <v>40179</v>
      </c>
      <c r="G124" s="48">
        <v>40543</v>
      </c>
      <c r="H124" s="46" t="s">
        <v>40</v>
      </c>
      <c r="I124" s="45">
        <v>40021.82</v>
      </c>
      <c r="J124" s="45">
        <v>20010.91</v>
      </c>
      <c r="K124" s="49" t="s">
        <v>17</v>
      </c>
      <c r="L124" s="45"/>
      <c r="M124" s="3"/>
    </row>
    <row r="125" spans="1:13" ht="38.25" x14ac:dyDescent="0.25">
      <c r="A125" s="46" t="s">
        <v>185</v>
      </c>
      <c r="B125" s="46" t="s">
        <v>11646</v>
      </c>
      <c r="C125" s="46" t="s">
        <v>14</v>
      </c>
      <c r="D125" s="47">
        <v>7385</v>
      </c>
      <c r="E125" s="46" t="s">
        <v>186</v>
      </c>
      <c r="F125" s="48">
        <v>40179</v>
      </c>
      <c r="G125" s="48">
        <v>40543</v>
      </c>
      <c r="H125" s="46" t="s">
        <v>40</v>
      </c>
      <c r="I125" s="45">
        <v>20000</v>
      </c>
      <c r="J125" s="45">
        <v>10000</v>
      </c>
      <c r="K125" s="49" t="s">
        <v>17</v>
      </c>
      <c r="L125" s="45"/>
      <c r="M125" s="3"/>
    </row>
    <row r="126" spans="1:13" x14ac:dyDescent="0.25">
      <c r="A126" s="46" t="s">
        <v>196</v>
      </c>
      <c r="B126" s="46" t="s">
        <v>11646</v>
      </c>
      <c r="C126" s="46" t="s">
        <v>14</v>
      </c>
      <c r="D126" s="47">
        <v>7408</v>
      </c>
      <c r="E126" s="46" t="s">
        <v>197</v>
      </c>
      <c r="F126" s="48">
        <v>40179</v>
      </c>
      <c r="G126" s="48">
        <v>40543</v>
      </c>
      <c r="H126" s="46" t="s">
        <v>40</v>
      </c>
      <c r="I126" s="45">
        <v>20000</v>
      </c>
      <c r="J126" s="45">
        <v>10000</v>
      </c>
      <c r="K126" s="49" t="s">
        <v>17</v>
      </c>
      <c r="L126" s="45"/>
      <c r="M126" s="3"/>
    </row>
    <row r="127" spans="1:13" x14ac:dyDescent="0.25">
      <c r="A127" s="46" t="s">
        <v>210</v>
      </c>
      <c r="B127" s="46" t="s">
        <v>11646</v>
      </c>
      <c r="C127" s="46" t="s">
        <v>14</v>
      </c>
      <c r="D127" s="47">
        <v>7460</v>
      </c>
      <c r="E127" s="46" t="s">
        <v>211</v>
      </c>
      <c r="F127" s="48">
        <v>40374</v>
      </c>
      <c r="G127" s="48">
        <v>40543</v>
      </c>
      <c r="H127" s="46" t="s">
        <v>40</v>
      </c>
      <c r="I127" s="45">
        <v>28005.38</v>
      </c>
      <c r="J127" s="45">
        <v>14002.69</v>
      </c>
      <c r="K127" s="49" t="s">
        <v>17</v>
      </c>
      <c r="L127" s="45"/>
      <c r="M127" s="3"/>
    </row>
    <row r="128" spans="1:13" x14ac:dyDescent="0.25">
      <c r="A128" s="46" t="s">
        <v>475</v>
      </c>
      <c r="B128" s="46" t="s">
        <v>11646</v>
      </c>
      <c r="C128" s="46" t="s">
        <v>14</v>
      </c>
      <c r="D128" s="47">
        <v>2806</v>
      </c>
      <c r="E128" s="46" t="s">
        <v>476</v>
      </c>
      <c r="F128" s="48">
        <v>39245</v>
      </c>
      <c r="G128" s="48">
        <v>39813</v>
      </c>
      <c r="H128" s="46" t="s">
        <v>40</v>
      </c>
      <c r="I128" s="45">
        <v>30000</v>
      </c>
      <c r="J128" s="45">
        <v>15000</v>
      </c>
      <c r="K128" s="49" t="s">
        <v>356</v>
      </c>
      <c r="L128" s="45"/>
      <c r="M128" s="3"/>
    </row>
    <row r="129" spans="1:13" x14ac:dyDescent="0.25">
      <c r="A129" s="46" t="s">
        <v>477</v>
      </c>
      <c r="B129" s="46" t="s">
        <v>11646</v>
      </c>
      <c r="C129" s="46" t="s">
        <v>14</v>
      </c>
      <c r="D129" s="47">
        <v>2902</v>
      </c>
      <c r="E129" s="46" t="s">
        <v>478</v>
      </c>
      <c r="F129" s="48">
        <v>39245</v>
      </c>
      <c r="G129" s="48">
        <v>39813</v>
      </c>
      <c r="H129" s="46" t="s">
        <v>40</v>
      </c>
      <c r="I129" s="45">
        <v>23600</v>
      </c>
      <c r="J129" s="45">
        <v>11800</v>
      </c>
      <c r="K129" s="49" t="s">
        <v>356</v>
      </c>
      <c r="L129" s="45"/>
      <c r="M129" s="3"/>
    </row>
    <row r="130" spans="1:13" x14ac:dyDescent="0.25">
      <c r="A130" s="46" t="s">
        <v>485</v>
      </c>
      <c r="B130" s="46" t="s">
        <v>11646</v>
      </c>
      <c r="C130" s="46" t="s">
        <v>14</v>
      </c>
      <c r="D130" s="47">
        <v>2913</v>
      </c>
      <c r="E130" s="46" t="s">
        <v>486</v>
      </c>
      <c r="F130" s="48">
        <v>39182</v>
      </c>
      <c r="G130" s="48">
        <v>39813</v>
      </c>
      <c r="H130" s="46" t="s">
        <v>40</v>
      </c>
      <c r="I130" s="45">
        <v>16294</v>
      </c>
      <c r="J130" s="45">
        <v>8147</v>
      </c>
      <c r="K130" s="49" t="s">
        <v>356</v>
      </c>
      <c r="L130" s="45"/>
      <c r="M130" s="3"/>
    </row>
    <row r="131" spans="1:13" ht="38.25" x14ac:dyDescent="0.25">
      <c r="A131" s="46" t="s">
        <v>487</v>
      </c>
      <c r="B131" s="46" t="s">
        <v>11646</v>
      </c>
      <c r="C131" s="46" t="s">
        <v>14</v>
      </c>
      <c r="D131" s="47">
        <v>2916</v>
      </c>
      <c r="E131" s="50" t="s">
        <v>488</v>
      </c>
      <c r="F131" s="48">
        <v>39083</v>
      </c>
      <c r="G131" s="48">
        <v>39813</v>
      </c>
      <c r="H131" s="46" t="s">
        <v>40</v>
      </c>
      <c r="I131" s="45">
        <v>45000</v>
      </c>
      <c r="J131" s="45">
        <v>22500</v>
      </c>
      <c r="K131" s="49" t="s">
        <v>356</v>
      </c>
      <c r="L131" s="45"/>
      <c r="M131" s="3"/>
    </row>
    <row r="132" spans="1:13" ht="38.25" x14ac:dyDescent="0.25">
      <c r="A132" s="46" t="s">
        <v>491</v>
      </c>
      <c r="B132" s="46" t="s">
        <v>11646</v>
      </c>
      <c r="C132" s="46" t="s">
        <v>14</v>
      </c>
      <c r="D132" s="47">
        <v>2920</v>
      </c>
      <c r="E132" s="50" t="s">
        <v>492</v>
      </c>
      <c r="F132" s="48">
        <v>39245</v>
      </c>
      <c r="G132" s="48">
        <v>39813</v>
      </c>
      <c r="H132" s="46" t="s">
        <v>40</v>
      </c>
      <c r="I132" s="45">
        <v>70000</v>
      </c>
      <c r="J132" s="45">
        <v>35000</v>
      </c>
      <c r="K132" s="49" t="s">
        <v>356</v>
      </c>
      <c r="L132" s="45"/>
      <c r="M132" s="3"/>
    </row>
    <row r="133" spans="1:13" ht="25.5" x14ac:dyDescent="0.25">
      <c r="A133" s="46" t="s">
        <v>493</v>
      </c>
      <c r="B133" s="46" t="s">
        <v>11646</v>
      </c>
      <c r="C133" s="46" t="s">
        <v>14</v>
      </c>
      <c r="D133" s="47">
        <v>2931</v>
      </c>
      <c r="E133" s="46" t="s">
        <v>494</v>
      </c>
      <c r="F133" s="48">
        <v>39245</v>
      </c>
      <c r="G133" s="48">
        <v>39813</v>
      </c>
      <c r="H133" s="46" t="s">
        <v>40</v>
      </c>
      <c r="I133" s="45">
        <v>2800</v>
      </c>
      <c r="J133" s="45">
        <v>1400</v>
      </c>
      <c r="K133" s="49" t="s">
        <v>356</v>
      </c>
      <c r="L133" s="45"/>
      <c r="M133" s="3"/>
    </row>
    <row r="134" spans="1:13" ht="25.5" x14ac:dyDescent="0.25">
      <c r="A134" s="46" t="s">
        <v>495</v>
      </c>
      <c r="B134" s="46" t="s">
        <v>11646</v>
      </c>
      <c r="C134" s="46" t="s">
        <v>14</v>
      </c>
      <c r="D134" s="47">
        <v>2932</v>
      </c>
      <c r="E134" s="46" t="s">
        <v>496</v>
      </c>
      <c r="F134" s="48">
        <v>39182</v>
      </c>
      <c r="G134" s="48">
        <v>39813</v>
      </c>
      <c r="H134" s="46" t="s">
        <v>40</v>
      </c>
      <c r="I134" s="45">
        <v>12638</v>
      </c>
      <c r="J134" s="45">
        <v>6319</v>
      </c>
      <c r="K134" s="49" t="s">
        <v>356</v>
      </c>
      <c r="L134" s="45"/>
      <c r="M134" s="3"/>
    </row>
    <row r="135" spans="1:13" ht="38.25" x14ac:dyDescent="0.25">
      <c r="A135" s="46" t="s">
        <v>497</v>
      </c>
      <c r="B135" s="46" t="s">
        <v>11646</v>
      </c>
      <c r="C135" s="46" t="s">
        <v>14</v>
      </c>
      <c r="D135" s="47">
        <v>2933</v>
      </c>
      <c r="E135" s="50" t="s">
        <v>498</v>
      </c>
      <c r="F135" s="48">
        <v>39245</v>
      </c>
      <c r="G135" s="48">
        <v>39813</v>
      </c>
      <c r="H135" s="46" t="s">
        <v>40</v>
      </c>
      <c r="I135" s="45">
        <v>40000</v>
      </c>
      <c r="J135" s="45">
        <v>20000</v>
      </c>
      <c r="K135" s="49" t="s">
        <v>356</v>
      </c>
      <c r="L135" s="45"/>
      <c r="M135" s="3"/>
    </row>
    <row r="136" spans="1:13" ht="25.5" x14ac:dyDescent="0.25">
      <c r="A136" s="46" t="s">
        <v>499</v>
      </c>
      <c r="B136" s="46" t="s">
        <v>11646</v>
      </c>
      <c r="C136" s="46" t="s">
        <v>14</v>
      </c>
      <c r="D136" s="47">
        <v>2934</v>
      </c>
      <c r="E136" s="46" t="s">
        <v>500</v>
      </c>
      <c r="F136" s="48">
        <v>39245</v>
      </c>
      <c r="G136" s="48">
        <v>39813</v>
      </c>
      <c r="H136" s="46" t="s">
        <v>40</v>
      </c>
      <c r="I136" s="45">
        <v>17500</v>
      </c>
      <c r="J136" s="45">
        <v>8750</v>
      </c>
      <c r="K136" s="49" t="s">
        <v>356</v>
      </c>
      <c r="L136" s="45"/>
      <c r="M136" s="3"/>
    </row>
    <row r="137" spans="1:13" ht="38.25" x14ac:dyDescent="0.25">
      <c r="A137" s="46" t="s">
        <v>501</v>
      </c>
      <c r="B137" s="46" t="s">
        <v>11646</v>
      </c>
      <c r="C137" s="46" t="s">
        <v>14</v>
      </c>
      <c r="D137" s="47">
        <v>2935</v>
      </c>
      <c r="E137" s="46" t="s">
        <v>502</v>
      </c>
      <c r="F137" s="48">
        <v>39182</v>
      </c>
      <c r="G137" s="48">
        <v>39813</v>
      </c>
      <c r="H137" s="46" t="s">
        <v>40</v>
      </c>
      <c r="I137" s="45">
        <v>13000</v>
      </c>
      <c r="J137" s="45">
        <v>6500</v>
      </c>
      <c r="K137" s="49" t="s">
        <v>356</v>
      </c>
      <c r="L137" s="45"/>
      <c r="M137" s="3"/>
    </row>
    <row r="138" spans="1:13" ht="25.5" x14ac:dyDescent="0.25">
      <c r="A138" s="46" t="s">
        <v>505</v>
      </c>
      <c r="B138" s="46" t="s">
        <v>11646</v>
      </c>
      <c r="C138" s="46" t="s">
        <v>14</v>
      </c>
      <c r="D138" s="47">
        <v>2937</v>
      </c>
      <c r="E138" s="46" t="s">
        <v>506</v>
      </c>
      <c r="F138" s="48">
        <v>39336</v>
      </c>
      <c r="G138" s="48">
        <v>39813</v>
      </c>
      <c r="H138" s="46" t="s">
        <v>40</v>
      </c>
      <c r="I138" s="45">
        <v>11516</v>
      </c>
      <c r="J138" s="45">
        <v>5758</v>
      </c>
      <c r="K138" s="49" t="s">
        <v>356</v>
      </c>
      <c r="L138" s="45"/>
      <c r="M138" s="3"/>
    </row>
    <row r="139" spans="1:13" ht="25.5" x14ac:dyDescent="0.25">
      <c r="A139" s="46" t="s">
        <v>509</v>
      </c>
      <c r="B139" s="46" t="s">
        <v>11646</v>
      </c>
      <c r="C139" s="46" t="s">
        <v>14</v>
      </c>
      <c r="D139" s="47">
        <v>2939</v>
      </c>
      <c r="E139" s="46" t="s">
        <v>510</v>
      </c>
      <c r="F139" s="48">
        <v>39336</v>
      </c>
      <c r="G139" s="48">
        <v>39813</v>
      </c>
      <c r="H139" s="46" t="s">
        <v>40</v>
      </c>
      <c r="I139" s="45">
        <v>10746</v>
      </c>
      <c r="J139" s="45">
        <v>5373</v>
      </c>
      <c r="K139" s="49" t="s">
        <v>356</v>
      </c>
      <c r="L139" s="45"/>
      <c r="M139" s="3"/>
    </row>
    <row r="140" spans="1:13" ht="38.25" x14ac:dyDescent="0.25">
      <c r="A140" s="46" t="s">
        <v>513</v>
      </c>
      <c r="B140" s="46" t="s">
        <v>11646</v>
      </c>
      <c r="C140" s="46" t="s">
        <v>14</v>
      </c>
      <c r="D140" s="47">
        <v>2941</v>
      </c>
      <c r="E140" s="46" t="s">
        <v>514</v>
      </c>
      <c r="F140" s="48">
        <v>39336</v>
      </c>
      <c r="G140" s="48">
        <v>39813</v>
      </c>
      <c r="H140" s="46" t="s">
        <v>40</v>
      </c>
      <c r="I140" s="45">
        <v>14518</v>
      </c>
      <c r="J140" s="45">
        <v>7259</v>
      </c>
      <c r="K140" s="49" t="s">
        <v>356</v>
      </c>
      <c r="L140" s="45"/>
      <c r="M140" s="3"/>
    </row>
    <row r="141" spans="1:13" ht="38.25" x14ac:dyDescent="0.25">
      <c r="A141" s="46" t="s">
        <v>517</v>
      </c>
      <c r="B141" s="46" t="s">
        <v>11646</v>
      </c>
      <c r="C141" s="46" t="s">
        <v>14</v>
      </c>
      <c r="D141" s="47">
        <v>2943</v>
      </c>
      <c r="E141" s="50" t="s">
        <v>518</v>
      </c>
      <c r="F141" s="48">
        <v>39399</v>
      </c>
      <c r="G141" s="48">
        <v>39813</v>
      </c>
      <c r="H141" s="46" t="s">
        <v>40</v>
      </c>
      <c r="I141" s="45">
        <v>14520</v>
      </c>
      <c r="J141" s="45">
        <v>7260</v>
      </c>
      <c r="K141" s="49" t="s">
        <v>356</v>
      </c>
      <c r="L141" s="45"/>
      <c r="M141" s="3"/>
    </row>
    <row r="142" spans="1:13" ht="25.5" x14ac:dyDescent="0.25">
      <c r="A142" s="46" t="s">
        <v>519</v>
      </c>
      <c r="B142" s="46" t="s">
        <v>11646</v>
      </c>
      <c r="C142" s="46" t="s">
        <v>14</v>
      </c>
      <c r="D142" s="47">
        <v>2944</v>
      </c>
      <c r="E142" s="46" t="s">
        <v>520</v>
      </c>
      <c r="F142" s="48">
        <v>39532</v>
      </c>
      <c r="G142" s="48">
        <v>39897</v>
      </c>
      <c r="H142" s="46" t="s">
        <v>40</v>
      </c>
      <c r="I142" s="45">
        <v>6000</v>
      </c>
      <c r="J142" s="45">
        <v>3000</v>
      </c>
      <c r="K142" s="49" t="s">
        <v>356</v>
      </c>
      <c r="L142" s="45"/>
      <c r="M142" s="3"/>
    </row>
    <row r="143" spans="1:13" ht="25.5" x14ac:dyDescent="0.25">
      <c r="A143" s="46" t="s">
        <v>521</v>
      </c>
      <c r="B143" s="46" t="s">
        <v>11646</v>
      </c>
      <c r="C143" s="46" t="s">
        <v>14</v>
      </c>
      <c r="D143" s="47">
        <v>2945</v>
      </c>
      <c r="E143" s="46" t="s">
        <v>522</v>
      </c>
      <c r="F143" s="48">
        <v>39427</v>
      </c>
      <c r="G143" s="48">
        <v>39793</v>
      </c>
      <c r="H143" s="46" t="s">
        <v>40</v>
      </c>
      <c r="I143" s="45">
        <v>24000</v>
      </c>
      <c r="J143" s="45">
        <v>12000</v>
      </c>
      <c r="K143" s="49" t="s">
        <v>356</v>
      </c>
      <c r="L143" s="45"/>
      <c r="M143" s="3"/>
    </row>
    <row r="144" spans="1:13" ht="25.5" x14ac:dyDescent="0.25">
      <c r="A144" s="46" t="s">
        <v>523</v>
      </c>
      <c r="B144" s="46" t="s">
        <v>11646</v>
      </c>
      <c r="C144" s="46" t="s">
        <v>14</v>
      </c>
      <c r="D144" s="47">
        <v>2946</v>
      </c>
      <c r="E144" s="46" t="s">
        <v>524</v>
      </c>
      <c r="F144" s="48">
        <v>39399</v>
      </c>
      <c r="G144" s="48">
        <v>39813</v>
      </c>
      <c r="H144" s="46" t="s">
        <v>40</v>
      </c>
      <c r="I144" s="45">
        <v>7106</v>
      </c>
      <c r="J144" s="45">
        <v>3553</v>
      </c>
      <c r="K144" s="49" t="s">
        <v>356</v>
      </c>
      <c r="L144" s="45"/>
      <c r="M144" s="3"/>
    </row>
    <row r="145" spans="1:13" ht="38.25" x14ac:dyDescent="0.25">
      <c r="A145" s="46" t="s">
        <v>525</v>
      </c>
      <c r="B145" s="46" t="s">
        <v>11646</v>
      </c>
      <c r="C145" s="46" t="s">
        <v>14</v>
      </c>
      <c r="D145" s="47">
        <v>2947</v>
      </c>
      <c r="E145" s="50" t="s">
        <v>526</v>
      </c>
      <c r="F145" s="48">
        <v>39245</v>
      </c>
      <c r="G145" s="48">
        <v>39813</v>
      </c>
      <c r="H145" s="46" t="s">
        <v>40</v>
      </c>
      <c r="I145" s="45">
        <v>12392</v>
      </c>
      <c r="J145" s="45">
        <v>6196</v>
      </c>
      <c r="K145" s="49" t="s">
        <v>356</v>
      </c>
      <c r="L145" s="45"/>
      <c r="M145" s="3"/>
    </row>
    <row r="146" spans="1:13" ht="38.25" x14ac:dyDescent="0.25">
      <c r="A146" s="46" t="s">
        <v>529</v>
      </c>
      <c r="B146" s="46" t="s">
        <v>11646</v>
      </c>
      <c r="C146" s="46" t="s">
        <v>14</v>
      </c>
      <c r="D146" s="47">
        <v>2951</v>
      </c>
      <c r="E146" s="50" t="s">
        <v>530</v>
      </c>
      <c r="F146" s="48">
        <v>39623</v>
      </c>
      <c r="G146" s="48">
        <v>39988</v>
      </c>
      <c r="H146" s="46" t="s">
        <v>40</v>
      </c>
      <c r="I146" s="45">
        <v>20000</v>
      </c>
      <c r="J146" s="45">
        <v>10000</v>
      </c>
      <c r="K146" s="49" t="s">
        <v>356</v>
      </c>
      <c r="L146" s="45"/>
      <c r="M146" s="3"/>
    </row>
    <row r="147" spans="1:13" ht="25.5" x14ac:dyDescent="0.25">
      <c r="A147" s="46" t="s">
        <v>533</v>
      </c>
      <c r="B147" s="46" t="s">
        <v>11646</v>
      </c>
      <c r="C147" s="46" t="s">
        <v>14</v>
      </c>
      <c r="D147" s="47">
        <v>2953</v>
      </c>
      <c r="E147" s="46" t="s">
        <v>534</v>
      </c>
      <c r="F147" s="48">
        <v>39581</v>
      </c>
      <c r="G147" s="48">
        <v>39946</v>
      </c>
      <c r="H147" s="46" t="s">
        <v>40</v>
      </c>
      <c r="I147" s="45">
        <v>30000</v>
      </c>
      <c r="J147" s="45">
        <v>15000</v>
      </c>
      <c r="K147" s="49" t="s">
        <v>356</v>
      </c>
      <c r="L147" s="45"/>
      <c r="M147" s="3"/>
    </row>
    <row r="148" spans="1:13" ht="25.5" x14ac:dyDescent="0.25">
      <c r="A148" s="46" t="s">
        <v>535</v>
      </c>
      <c r="B148" s="46" t="s">
        <v>11646</v>
      </c>
      <c r="C148" s="46" t="s">
        <v>14</v>
      </c>
      <c r="D148" s="47">
        <v>2954</v>
      </c>
      <c r="E148" s="46" t="s">
        <v>536</v>
      </c>
      <c r="F148" s="48">
        <v>39623</v>
      </c>
      <c r="G148" s="48">
        <v>39988</v>
      </c>
      <c r="H148" s="46" t="s">
        <v>40</v>
      </c>
      <c r="I148" s="45">
        <v>19724</v>
      </c>
      <c r="J148" s="45">
        <v>9862</v>
      </c>
      <c r="K148" s="49" t="s">
        <v>356</v>
      </c>
      <c r="L148" s="45"/>
      <c r="M148" s="3"/>
    </row>
    <row r="149" spans="1:13" ht="25.5" x14ac:dyDescent="0.25">
      <c r="A149" s="46" t="s">
        <v>537</v>
      </c>
      <c r="B149" s="46" t="s">
        <v>11646</v>
      </c>
      <c r="C149" s="46" t="s">
        <v>14</v>
      </c>
      <c r="D149" s="47">
        <v>2955</v>
      </c>
      <c r="E149" s="46" t="s">
        <v>538</v>
      </c>
      <c r="F149" s="48">
        <v>39581</v>
      </c>
      <c r="G149" s="48">
        <v>39946</v>
      </c>
      <c r="H149" s="46" t="s">
        <v>40</v>
      </c>
      <c r="I149" s="45">
        <v>24000</v>
      </c>
      <c r="J149" s="45">
        <v>12000</v>
      </c>
      <c r="K149" s="49" t="s">
        <v>356</v>
      </c>
      <c r="L149" s="45"/>
      <c r="M149" s="3"/>
    </row>
    <row r="150" spans="1:13" ht="51" x14ac:dyDescent="0.25">
      <c r="A150" s="46" t="s">
        <v>545</v>
      </c>
      <c r="B150" s="46" t="s">
        <v>11646</v>
      </c>
      <c r="C150" s="46" t="s">
        <v>14</v>
      </c>
      <c r="D150" s="47">
        <v>2959</v>
      </c>
      <c r="E150" s="50" t="s">
        <v>546</v>
      </c>
      <c r="F150" s="48">
        <v>39581</v>
      </c>
      <c r="G150" s="48">
        <v>39946</v>
      </c>
      <c r="H150" s="46" t="s">
        <v>40</v>
      </c>
      <c r="I150" s="45">
        <v>35000</v>
      </c>
      <c r="J150" s="45">
        <v>17500</v>
      </c>
      <c r="K150" s="49" t="s">
        <v>356</v>
      </c>
      <c r="L150" s="45"/>
      <c r="M150" s="3"/>
    </row>
    <row r="151" spans="1:13" ht="25.5" x14ac:dyDescent="0.25">
      <c r="A151" s="46" t="s">
        <v>547</v>
      </c>
      <c r="B151" s="46" t="s">
        <v>11646</v>
      </c>
      <c r="C151" s="46" t="s">
        <v>14</v>
      </c>
      <c r="D151" s="47">
        <v>2960</v>
      </c>
      <c r="E151" s="46" t="s">
        <v>548</v>
      </c>
      <c r="F151" s="48">
        <v>39623</v>
      </c>
      <c r="G151" s="48">
        <v>39988</v>
      </c>
      <c r="H151" s="46" t="s">
        <v>40</v>
      </c>
      <c r="I151" s="45">
        <v>28872</v>
      </c>
      <c r="J151" s="45">
        <v>14436</v>
      </c>
      <c r="K151" s="49" t="s">
        <v>356</v>
      </c>
      <c r="L151" s="45"/>
      <c r="M151" s="3"/>
    </row>
    <row r="152" spans="1:13" ht="63.75" x14ac:dyDescent="0.25">
      <c r="A152" s="46" t="s">
        <v>553</v>
      </c>
      <c r="B152" s="46" t="s">
        <v>11646</v>
      </c>
      <c r="C152" s="46" t="s">
        <v>14</v>
      </c>
      <c r="D152" s="47">
        <v>2963</v>
      </c>
      <c r="E152" s="50" t="s">
        <v>554</v>
      </c>
      <c r="F152" s="48">
        <v>39427</v>
      </c>
      <c r="G152" s="48">
        <v>39793</v>
      </c>
      <c r="H152" s="46" t="s">
        <v>40</v>
      </c>
      <c r="I152" s="45">
        <v>9048</v>
      </c>
      <c r="J152" s="45">
        <v>4524</v>
      </c>
      <c r="K152" s="49" t="s">
        <v>356</v>
      </c>
      <c r="L152" s="45"/>
      <c r="M152" s="3"/>
    </row>
    <row r="153" spans="1:13" ht="38.25" x14ac:dyDescent="0.25">
      <c r="A153" s="46" t="s">
        <v>555</v>
      </c>
      <c r="B153" s="46" t="s">
        <v>11646</v>
      </c>
      <c r="C153" s="46" t="s">
        <v>14</v>
      </c>
      <c r="D153" s="47">
        <v>2964</v>
      </c>
      <c r="E153" s="46" t="s">
        <v>556</v>
      </c>
      <c r="F153" s="48">
        <v>39581</v>
      </c>
      <c r="G153" s="48">
        <v>39946</v>
      </c>
      <c r="H153" s="46" t="s">
        <v>40</v>
      </c>
      <c r="I153" s="45">
        <v>27610</v>
      </c>
      <c r="J153" s="45">
        <v>13805</v>
      </c>
      <c r="K153" s="49" t="s">
        <v>356</v>
      </c>
      <c r="L153" s="45"/>
      <c r="M153" s="3"/>
    </row>
    <row r="154" spans="1:13" ht="25.5" x14ac:dyDescent="0.25">
      <c r="A154" s="46" t="s">
        <v>557</v>
      </c>
      <c r="B154" s="46" t="s">
        <v>11646</v>
      </c>
      <c r="C154" s="46" t="s">
        <v>14</v>
      </c>
      <c r="D154" s="47">
        <v>2965</v>
      </c>
      <c r="E154" s="46" t="s">
        <v>558</v>
      </c>
      <c r="F154" s="48">
        <v>39707</v>
      </c>
      <c r="G154" s="48">
        <v>40072</v>
      </c>
      <c r="H154" s="46" t="s">
        <v>40</v>
      </c>
      <c r="I154" s="45">
        <v>15000</v>
      </c>
      <c r="J154" s="45">
        <v>7500</v>
      </c>
      <c r="K154" s="49" t="s">
        <v>356</v>
      </c>
      <c r="L154" s="45"/>
      <c r="M154" s="3"/>
    </row>
    <row r="155" spans="1:13" ht="25.5" x14ac:dyDescent="0.25">
      <c r="A155" s="46" t="s">
        <v>559</v>
      </c>
      <c r="B155" s="46" t="s">
        <v>11646</v>
      </c>
      <c r="C155" s="46" t="s">
        <v>14</v>
      </c>
      <c r="D155" s="47">
        <v>2966</v>
      </c>
      <c r="E155" s="46" t="s">
        <v>560</v>
      </c>
      <c r="F155" s="48">
        <v>39623</v>
      </c>
      <c r="G155" s="48">
        <v>39988</v>
      </c>
      <c r="H155" s="46" t="s">
        <v>40</v>
      </c>
      <c r="I155" s="45">
        <v>4800</v>
      </c>
      <c r="J155" s="45">
        <v>2400</v>
      </c>
      <c r="K155" s="49" t="s">
        <v>356</v>
      </c>
      <c r="L155" s="45"/>
      <c r="M155" s="3"/>
    </row>
    <row r="156" spans="1:13" ht="38.25" x14ac:dyDescent="0.25">
      <c r="A156" s="46" t="s">
        <v>563</v>
      </c>
      <c r="B156" s="46" t="s">
        <v>11646</v>
      </c>
      <c r="C156" s="46" t="s">
        <v>14</v>
      </c>
      <c r="D156" s="47">
        <v>5048</v>
      </c>
      <c r="E156" s="46" t="s">
        <v>564</v>
      </c>
      <c r="F156" s="48">
        <v>39749</v>
      </c>
      <c r="G156" s="48">
        <v>40114</v>
      </c>
      <c r="H156" s="46" t="s">
        <v>40</v>
      </c>
      <c r="I156" s="45">
        <v>14000</v>
      </c>
      <c r="J156" s="45">
        <v>7000</v>
      </c>
      <c r="K156" s="49" t="s">
        <v>356</v>
      </c>
      <c r="L156" s="45"/>
      <c r="M156" s="3"/>
    </row>
    <row r="157" spans="1:13" ht="51" x14ac:dyDescent="0.25">
      <c r="A157" s="46" t="s">
        <v>565</v>
      </c>
      <c r="B157" s="46" t="s">
        <v>11646</v>
      </c>
      <c r="C157" s="46" t="s">
        <v>14</v>
      </c>
      <c r="D157" s="47">
        <v>5055</v>
      </c>
      <c r="E157" s="50" t="s">
        <v>566</v>
      </c>
      <c r="F157" s="48">
        <v>39506</v>
      </c>
      <c r="G157" s="48">
        <v>39872</v>
      </c>
      <c r="H157" s="46" t="s">
        <v>40</v>
      </c>
      <c r="I157" s="45">
        <v>10774</v>
      </c>
      <c r="J157" s="45">
        <v>5387</v>
      </c>
      <c r="K157" s="49" t="s">
        <v>356</v>
      </c>
      <c r="L157" s="45"/>
      <c r="M157" s="3"/>
    </row>
    <row r="158" spans="1:13" ht="51" x14ac:dyDescent="0.25">
      <c r="A158" s="46" t="s">
        <v>567</v>
      </c>
      <c r="B158" s="46" t="s">
        <v>11646</v>
      </c>
      <c r="C158" s="46" t="s">
        <v>14</v>
      </c>
      <c r="D158" s="47">
        <v>5058</v>
      </c>
      <c r="E158" s="50" t="s">
        <v>568</v>
      </c>
      <c r="F158" s="48">
        <v>39791</v>
      </c>
      <c r="G158" s="48">
        <v>40156</v>
      </c>
      <c r="H158" s="46" t="s">
        <v>40</v>
      </c>
      <c r="I158" s="45">
        <v>2340</v>
      </c>
      <c r="J158" s="45">
        <v>1170</v>
      </c>
      <c r="K158" s="49" t="s">
        <v>356</v>
      </c>
      <c r="L158" s="45"/>
      <c r="M158" s="3"/>
    </row>
    <row r="159" spans="1:13" ht="25.5" x14ac:dyDescent="0.25">
      <c r="A159" s="46" t="s">
        <v>569</v>
      </c>
      <c r="B159" s="46" t="s">
        <v>11646</v>
      </c>
      <c r="C159" s="46" t="s">
        <v>14</v>
      </c>
      <c r="D159" s="47">
        <v>5062</v>
      </c>
      <c r="E159" s="46" t="s">
        <v>570</v>
      </c>
      <c r="F159" s="48">
        <v>39791</v>
      </c>
      <c r="G159" s="48">
        <v>40156</v>
      </c>
      <c r="H159" s="46" t="s">
        <v>40</v>
      </c>
      <c r="I159" s="45">
        <v>30000</v>
      </c>
      <c r="J159" s="45">
        <v>15000</v>
      </c>
      <c r="K159" s="49" t="s">
        <v>356</v>
      </c>
      <c r="L159" s="45"/>
      <c r="M159" s="3"/>
    </row>
    <row r="160" spans="1:13" ht="38.25" x14ac:dyDescent="0.25">
      <c r="A160" s="46" t="s">
        <v>575</v>
      </c>
      <c r="B160" s="46" t="s">
        <v>11646</v>
      </c>
      <c r="C160" s="46" t="s">
        <v>14</v>
      </c>
      <c r="D160" s="47">
        <v>5097</v>
      </c>
      <c r="E160" s="50" t="s">
        <v>576</v>
      </c>
      <c r="F160" s="48">
        <v>39988</v>
      </c>
      <c r="G160" s="48">
        <v>40353</v>
      </c>
      <c r="H160" s="46" t="s">
        <v>40</v>
      </c>
      <c r="I160" s="45">
        <v>45000</v>
      </c>
      <c r="J160" s="45">
        <v>22500</v>
      </c>
      <c r="K160" s="49" t="s">
        <v>356</v>
      </c>
      <c r="L160" s="45"/>
      <c r="M160" s="3"/>
    </row>
    <row r="161" spans="1:13" ht="51" x14ac:dyDescent="0.25">
      <c r="A161" s="46" t="s">
        <v>579</v>
      </c>
      <c r="B161" s="46" t="s">
        <v>11646</v>
      </c>
      <c r="C161" s="46" t="s">
        <v>14</v>
      </c>
      <c r="D161" s="47">
        <v>5100</v>
      </c>
      <c r="E161" s="50" t="s">
        <v>580</v>
      </c>
      <c r="F161" s="48">
        <v>39749</v>
      </c>
      <c r="G161" s="48">
        <v>40479</v>
      </c>
      <c r="H161" s="46" t="s">
        <v>40</v>
      </c>
      <c r="I161" s="45">
        <v>3406</v>
      </c>
      <c r="J161" s="45">
        <v>1703</v>
      </c>
      <c r="K161" s="49" t="s">
        <v>356</v>
      </c>
      <c r="L161" s="45"/>
      <c r="M161" s="3"/>
    </row>
    <row r="162" spans="1:13" ht="25.5" x14ac:dyDescent="0.25">
      <c r="A162" s="46" t="s">
        <v>591</v>
      </c>
      <c r="B162" s="46" t="s">
        <v>11646</v>
      </c>
      <c r="C162" s="46" t="s">
        <v>14</v>
      </c>
      <c r="D162" s="47">
        <v>5121</v>
      </c>
      <c r="E162" s="46" t="s">
        <v>592</v>
      </c>
      <c r="F162" s="48">
        <v>39932</v>
      </c>
      <c r="G162" s="48">
        <v>40297</v>
      </c>
      <c r="H162" s="46" t="s">
        <v>40</v>
      </c>
      <c r="I162" s="45">
        <v>20000</v>
      </c>
      <c r="J162" s="45">
        <v>10000</v>
      </c>
      <c r="K162" s="49" t="s">
        <v>356</v>
      </c>
      <c r="L162" s="45"/>
      <c r="M162" s="3"/>
    </row>
    <row r="163" spans="1:13" ht="25.5" x14ac:dyDescent="0.25">
      <c r="A163" s="46" t="s">
        <v>593</v>
      </c>
      <c r="B163" s="46" t="s">
        <v>11646</v>
      </c>
      <c r="C163" s="46" t="s">
        <v>14</v>
      </c>
      <c r="D163" s="47">
        <v>5124</v>
      </c>
      <c r="E163" s="46" t="s">
        <v>594</v>
      </c>
      <c r="F163" s="48">
        <v>39981</v>
      </c>
      <c r="G163" s="48">
        <v>40346</v>
      </c>
      <c r="H163" s="46" t="s">
        <v>40</v>
      </c>
      <c r="I163" s="45">
        <v>101550</v>
      </c>
      <c r="J163" s="45">
        <v>50775</v>
      </c>
      <c r="K163" s="49" t="s">
        <v>356</v>
      </c>
      <c r="L163" s="45"/>
      <c r="M163" s="3"/>
    </row>
    <row r="164" spans="1:13" ht="38.25" x14ac:dyDescent="0.25">
      <c r="A164" s="46" t="s">
        <v>595</v>
      </c>
      <c r="B164" s="46" t="s">
        <v>11646</v>
      </c>
      <c r="C164" s="46" t="s">
        <v>14</v>
      </c>
      <c r="D164" s="47">
        <v>5127</v>
      </c>
      <c r="E164" s="46" t="s">
        <v>596</v>
      </c>
      <c r="F164" s="48">
        <v>39981</v>
      </c>
      <c r="G164" s="48">
        <v>40346</v>
      </c>
      <c r="H164" s="46" t="s">
        <v>40</v>
      </c>
      <c r="I164" s="45">
        <v>40000</v>
      </c>
      <c r="J164" s="45">
        <v>20000</v>
      </c>
      <c r="K164" s="49" t="s">
        <v>356</v>
      </c>
      <c r="L164" s="45"/>
      <c r="M164" s="3"/>
    </row>
    <row r="165" spans="1:13" ht="25.5" x14ac:dyDescent="0.25">
      <c r="A165" s="46" t="s">
        <v>601</v>
      </c>
      <c r="B165" s="46" t="s">
        <v>11646</v>
      </c>
      <c r="C165" s="46" t="s">
        <v>14</v>
      </c>
      <c r="D165" s="47">
        <v>5131</v>
      </c>
      <c r="E165" s="46" t="s">
        <v>602</v>
      </c>
      <c r="F165" s="48">
        <v>39981</v>
      </c>
      <c r="G165" s="48">
        <v>40346</v>
      </c>
      <c r="H165" s="46" t="s">
        <v>40</v>
      </c>
      <c r="I165" s="45">
        <v>46000</v>
      </c>
      <c r="J165" s="45">
        <v>23000</v>
      </c>
      <c r="K165" s="49" t="s">
        <v>356</v>
      </c>
      <c r="L165" s="45"/>
      <c r="M165" s="3"/>
    </row>
    <row r="166" spans="1:13" ht="25.5" x14ac:dyDescent="0.25">
      <c r="A166" s="46" t="s">
        <v>605</v>
      </c>
      <c r="B166" s="46" t="s">
        <v>11646</v>
      </c>
      <c r="C166" s="46" t="s">
        <v>14</v>
      </c>
      <c r="D166" s="47">
        <v>5136</v>
      </c>
      <c r="E166" s="46" t="s">
        <v>606</v>
      </c>
      <c r="F166" s="48">
        <v>39861</v>
      </c>
      <c r="G166" s="48">
        <v>40226</v>
      </c>
      <c r="H166" s="46" t="s">
        <v>40</v>
      </c>
      <c r="I166" s="45">
        <v>30000</v>
      </c>
      <c r="J166" s="45">
        <v>15000</v>
      </c>
      <c r="K166" s="49" t="s">
        <v>356</v>
      </c>
      <c r="L166" s="45"/>
      <c r="M166" s="3"/>
    </row>
    <row r="167" spans="1:13" ht="25.5" x14ac:dyDescent="0.25">
      <c r="A167" s="46" t="s">
        <v>609</v>
      </c>
      <c r="B167" s="46" t="s">
        <v>11646</v>
      </c>
      <c r="C167" s="46" t="s">
        <v>14</v>
      </c>
      <c r="D167" s="47">
        <v>5140</v>
      </c>
      <c r="E167" s="46" t="s">
        <v>610</v>
      </c>
      <c r="F167" s="48">
        <v>40114</v>
      </c>
      <c r="G167" s="48">
        <v>40479</v>
      </c>
      <c r="H167" s="46" t="s">
        <v>40</v>
      </c>
      <c r="I167" s="45">
        <v>1972</v>
      </c>
      <c r="J167" s="45">
        <v>986</v>
      </c>
      <c r="K167" s="49" t="s">
        <v>356</v>
      </c>
      <c r="L167" s="45"/>
      <c r="M167" s="3"/>
    </row>
    <row r="168" spans="1:13" x14ac:dyDescent="0.25">
      <c r="A168" s="46" t="s">
        <v>617</v>
      </c>
      <c r="B168" s="46" t="s">
        <v>11646</v>
      </c>
      <c r="C168" s="46" t="s">
        <v>14</v>
      </c>
      <c r="D168" s="47">
        <v>6960</v>
      </c>
      <c r="E168" s="46" t="s">
        <v>618</v>
      </c>
      <c r="F168" s="48">
        <v>39932</v>
      </c>
      <c r="G168" s="48">
        <v>40543</v>
      </c>
      <c r="H168" s="46" t="s">
        <v>40</v>
      </c>
      <c r="I168" s="45">
        <v>22000</v>
      </c>
      <c r="J168" s="45">
        <v>11000</v>
      </c>
      <c r="K168" s="49" t="s">
        <v>356</v>
      </c>
      <c r="L168" s="45"/>
      <c r="M168" s="3"/>
    </row>
    <row r="169" spans="1:13" ht="51" x14ac:dyDescent="0.25">
      <c r="A169" s="46" t="s">
        <v>629</v>
      </c>
      <c r="B169" s="46" t="s">
        <v>11646</v>
      </c>
      <c r="C169" s="46" t="s">
        <v>14</v>
      </c>
      <c r="D169" s="47">
        <v>6995</v>
      </c>
      <c r="E169" s="50" t="s">
        <v>630</v>
      </c>
      <c r="F169" s="48">
        <v>39981</v>
      </c>
      <c r="G169" s="48">
        <v>40543</v>
      </c>
      <c r="H169" s="46" t="s">
        <v>40</v>
      </c>
      <c r="I169" s="45">
        <v>94494</v>
      </c>
      <c r="J169" s="45">
        <v>47247</v>
      </c>
      <c r="K169" s="49" t="s">
        <v>356</v>
      </c>
      <c r="L169" s="45"/>
      <c r="M169" s="3"/>
    </row>
    <row r="170" spans="1:13" ht="51" x14ac:dyDescent="0.25">
      <c r="A170" s="46" t="s">
        <v>635</v>
      </c>
      <c r="B170" s="46" t="s">
        <v>11646</v>
      </c>
      <c r="C170" s="46" t="s">
        <v>14</v>
      </c>
      <c r="D170" s="47">
        <v>7006</v>
      </c>
      <c r="E170" s="50" t="s">
        <v>636</v>
      </c>
      <c r="F170" s="48">
        <v>40115</v>
      </c>
      <c r="G170" s="48">
        <v>40543</v>
      </c>
      <c r="H170" s="46" t="s">
        <v>40</v>
      </c>
      <c r="I170" s="45">
        <v>38798</v>
      </c>
      <c r="J170" s="45">
        <v>19399</v>
      </c>
      <c r="K170" s="49" t="s">
        <v>356</v>
      </c>
      <c r="L170" s="45"/>
      <c r="M170" s="3"/>
    </row>
    <row r="171" spans="1:13" x14ac:dyDescent="0.25">
      <c r="A171" s="46" t="s">
        <v>987</v>
      </c>
      <c r="B171" s="46" t="s">
        <v>11646</v>
      </c>
      <c r="C171" s="46" t="s">
        <v>14</v>
      </c>
      <c r="D171" s="47">
        <v>496</v>
      </c>
      <c r="E171" s="46" t="s">
        <v>988</v>
      </c>
      <c r="F171" s="48">
        <v>39176</v>
      </c>
      <c r="G171" s="46"/>
      <c r="H171" s="46" t="s">
        <v>40</v>
      </c>
      <c r="I171" s="45">
        <v>47000</v>
      </c>
      <c r="J171" s="45">
        <v>23500</v>
      </c>
      <c r="K171" s="49" t="s">
        <v>790</v>
      </c>
      <c r="L171" s="45"/>
      <c r="M171" s="3"/>
    </row>
    <row r="172" spans="1:13" x14ac:dyDescent="0.25">
      <c r="A172" s="46" t="s">
        <v>992</v>
      </c>
      <c r="B172" s="46" t="s">
        <v>11646</v>
      </c>
      <c r="C172" s="46" t="s">
        <v>14</v>
      </c>
      <c r="D172" s="47">
        <v>499</v>
      </c>
      <c r="E172" s="46" t="s">
        <v>993</v>
      </c>
      <c r="F172" s="48">
        <v>39176</v>
      </c>
      <c r="G172" s="46"/>
      <c r="H172" s="46" t="s">
        <v>40</v>
      </c>
      <c r="I172" s="45">
        <v>150000</v>
      </c>
      <c r="J172" s="45">
        <v>75000</v>
      </c>
      <c r="K172" s="49" t="s">
        <v>790</v>
      </c>
      <c r="L172" s="45"/>
      <c r="M172" s="3"/>
    </row>
    <row r="173" spans="1:13" x14ac:dyDescent="0.25">
      <c r="A173" s="46" t="s">
        <v>994</v>
      </c>
      <c r="B173" s="46" t="s">
        <v>11646</v>
      </c>
      <c r="C173" s="46" t="s">
        <v>14</v>
      </c>
      <c r="D173" s="47">
        <v>501</v>
      </c>
      <c r="E173" s="46" t="s">
        <v>995</v>
      </c>
      <c r="F173" s="48">
        <v>39168</v>
      </c>
      <c r="G173" s="46"/>
      <c r="H173" s="46" t="s">
        <v>40</v>
      </c>
      <c r="I173" s="45">
        <v>63372</v>
      </c>
      <c r="J173" s="45">
        <v>31686</v>
      </c>
      <c r="K173" s="49" t="s">
        <v>790</v>
      </c>
      <c r="L173" s="45"/>
      <c r="M173" s="3"/>
    </row>
    <row r="174" spans="1:13" x14ac:dyDescent="0.25">
      <c r="A174" s="46" t="s">
        <v>996</v>
      </c>
      <c r="B174" s="46" t="s">
        <v>11646</v>
      </c>
      <c r="C174" s="46" t="s">
        <v>14</v>
      </c>
      <c r="D174" s="47">
        <v>502</v>
      </c>
      <c r="E174" s="46" t="s">
        <v>997</v>
      </c>
      <c r="F174" s="48">
        <v>39337</v>
      </c>
      <c r="G174" s="46"/>
      <c r="H174" s="46" t="s">
        <v>40</v>
      </c>
      <c r="I174" s="45">
        <v>12178</v>
      </c>
      <c r="J174" s="45">
        <v>6089</v>
      </c>
      <c r="K174" s="49" t="s">
        <v>790</v>
      </c>
      <c r="L174" s="45"/>
      <c r="M174" s="3"/>
    </row>
    <row r="175" spans="1:13" x14ac:dyDescent="0.25">
      <c r="A175" s="46" t="s">
        <v>1016</v>
      </c>
      <c r="B175" s="46" t="s">
        <v>11646</v>
      </c>
      <c r="C175" s="46" t="s">
        <v>14</v>
      </c>
      <c r="D175" s="47">
        <v>522</v>
      </c>
      <c r="E175" s="46" t="s">
        <v>1017</v>
      </c>
      <c r="F175" s="48">
        <v>39518</v>
      </c>
      <c r="G175" s="46"/>
      <c r="H175" s="46" t="s">
        <v>40</v>
      </c>
      <c r="I175" s="45">
        <f>3751+21527.52</f>
        <v>25278.52</v>
      </c>
      <c r="J175" s="45">
        <f>1875.5+18263.76</f>
        <v>20139.259999999998</v>
      </c>
      <c r="K175" s="49" t="s">
        <v>790</v>
      </c>
      <c r="L175" s="45"/>
      <c r="M175" s="3"/>
    </row>
    <row r="176" spans="1:13" ht="25.5" x14ac:dyDescent="0.25">
      <c r="A176" s="46" t="s">
        <v>1018</v>
      </c>
      <c r="B176" s="46" t="s">
        <v>11646</v>
      </c>
      <c r="C176" s="46" t="s">
        <v>14</v>
      </c>
      <c r="D176" s="47">
        <v>608</v>
      </c>
      <c r="E176" s="46" t="s">
        <v>1019</v>
      </c>
      <c r="F176" s="48">
        <v>39370</v>
      </c>
      <c r="G176" s="48">
        <v>39736</v>
      </c>
      <c r="H176" s="46" t="s">
        <v>40</v>
      </c>
      <c r="I176" s="45">
        <v>10553.8</v>
      </c>
      <c r="J176" s="45">
        <v>5276.9</v>
      </c>
      <c r="K176" s="49" t="s">
        <v>790</v>
      </c>
      <c r="L176" s="45"/>
      <c r="M176" s="3"/>
    </row>
    <row r="177" spans="1:60" x14ac:dyDescent="0.25">
      <c r="A177" s="46" t="s">
        <v>1034</v>
      </c>
      <c r="B177" s="46" t="s">
        <v>11646</v>
      </c>
      <c r="C177" s="46" t="s">
        <v>14</v>
      </c>
      <c r="D177" s="47">
        <v>618</v>
      </c>
      <c r="E177" s="46" t="s">
        <v>1035</v>
      </c>
      <c r="F177" s="48">
        <v>39615</v>
      </c>
      <c r="G177" s="48">
        <v>39813</v>
      </c>
      <c r="H177" s="46" t="s">
        <v>40</v>
      </c>
      <c r="I177" s="45">
        <v>30120</v>
      </c>
      <c r="J177" s="45">
        <v>15060</v>
      </c>
      <c r="K177" s="49" t="s">
        <v>790</v>
      </c>
      <c r="L177" s="45"/>
      <c r="M177" s="3"/>
    </row>
    <row r="178" spans="1:60" x14ac:dyDescent="0.25">
      <c r="A178" s="46" t="s">
        <v>1036</v>
      </c>
      <c r="B178" s="46" t="s">
        <v>11646</v>
      </c>
      <c r="C178" s="46" t="s">
        <v>14</v>
      </c>
      <c r="D178" s="47">
        <v>619</v>
      </c>
      <c r="E178" s="46" t="s">
        <v>1037</v>
      </c>
      <c r="F178" s="48">
        <v>39132</v>
      </c>
      <c r="G178" s="48">
        <v>39497</v>
      </c>
      <c r="H178" s="46" t="s">
        <v>40</v>
      </c>
      <c r="I178" s="45">
        <v>24577.38</v>
      </c>
      <c r="J178" s="45">
        <v>12288.69</v>
      </c>
      <c r="K178" s="49" t="s">
        <v>790</v>
      </c>
      <c r="L178" s="45"/>
      <c r="M178" s="3"/>
    </row>
    <row r="179" spans="1:60" x14ac:dyDescent="0.25">
      <c r="A179" s="46" t="s">
        <v>1042</v>
      </c>
      <c r="B179" s="46" t="s">
        <v>11646</v>
      </c>
      <c r="C179" s="46" t="s">
        <v>14</v>
      </c>
      <c r="D179" s="47">
        <v>623</v>
      </c>
      <c r="E179" s="46" t="s">
        <v>1043</v>
      </c>
      <c r="F179" s="48">
        <v>39426</v>
      </c>
      <c r="G179" s="48">
        <v>39792</v>
      </c>
      <c r="H179" s="46" t="s">
        <v>40</v>
      </c>
      <c r="I179" s="45">
        <v>9390</v>
      </c>
      <c r="J179" s="45">
        <v>4695</v>
      </c>
      <c r="K179" s="49" t="s">
        <v>790</v>
      </c>
      <c r="L179" s="45"/>
      <c r="M179" s="3"/>
    </row>
    <row r="180" spans="1:60" x14ac:dyDescent="0.25">
      <c r="A180" s="46" t="s">
        <v>1048</v>
      </c>
      <c r="B180" s="46" t="s">
        <v>11646</v>
      </c>
      <c r="C180" s="46" t="s">
        <v>14</v>
      </c>
      <c r="D180" s="47">
        <v>628</v>
      </c>
      <c r="E180" s="46" t="s">
        <v>1049</v>
      </c>
      <c r="F180" s="48">
        <v>39615</v>
      </c>
      <c r="G180" s="48">
        <v>39813</v>
      </c>
      <c r="H180" s="46" t="s">
        <v>40</v>
      </c>
      <c r="I180" s="45">
        <v>33369.760000000002</v>
      </c>
      <c r="J180" s="45">
        <v>16684.88</v>
      </c>
      <c r="K180" s="49" t="s">
        <v>790</v>
      </c>
      <c r="L180" s="45"/>
      <c r="M180" s="3"/>
    </row>
    <row r="181" spans="1:60" x14ac:dyDescent="0.25">
      <c r="A181" s="46" t="s">
        <v>1050</v>
      </c>
      <c r="B181" s="46" t="s">
        <v>11646</v>
      </c>
      <c r="C181" s="46" t="s">
        <v>14</v>
      </c>
      <c r="D181" s="47">
        <v>631</v>
      </c>
      <c r="E181" s="46" t="s">
        <v>1051</v>
      </c>
      <c r="F181" s="48">
        <v>39426</v>
      </c>
      <c r="G181" s="48">
        <v>39792</v>
      </c>
      <c r="H181" s="46" t="s">
        <v>40</v>
      </c>
      <c r="I181" s="45">
        <v>134098.57999999999</v>
      </c>
      <c r="J181" s="45">
        <v>67049.289999999994</v>
      </c>
      <c r="K181" s="49" t="s">
        <v>790</v>
      </c>
      <c r="L181" s="45"/>
      <c r="M181" s="3"/>
    </row>
    <row r="182" spans="1:60" x14ac:dyDescent="0.25">
      <c r="A182" s="46" t="s">
        <v>1054</v>
      </c>
      <c r="B182" s="46" t="s">
        <v>11646</v>
      </c>
      <c r="C182" s="46" t="s">
        <v>14</v>
      </c>
      <c r="D182" s="47">
        <v>635</v>
      </c>
      <c r="E182" s="46" t="s">
        <v>1055</v>
      </c>
      <c r="F182" s="48">
        <v>39279</v>
      </c>
      <c r="G182" s="48">
        <v>39768</v>
      </c>
      <c r="H182" s="46" t="s">
        <v>40</v>
      </c>
      <c r="I182" s="45">
        <v>137220</v>
      </c>
      <c r="J182" s="45">
        <v>68610</v>
      </c>
      <c r="K182" s="49" t="s">
        <v>790</v>
      </c>
      <c r="L182" s="45"/>
      <c r="M182" s="3"/>
    </row>
    <row r="183" spans="1:60" x14ac:dyDescent="0.25">
      <c r="A183" s="46" t="s">
        <v>1199</v>
      </c>
      <c r="B183" s="46" t="s">
        <v>11646</v>
      </c>
      <c r="C183" s="46" t="s">
        <v>14</v>
      </c>
      <c r="D183" s="47">
        <v>2968</v>
      </c>
      <c r="E183" s="46" t="s">
        <v>1200</v>
      </c>
      <c r="F183" s="48">
        <v>39119</v>
      </c>
      <c r="G183" s="46"/>
      <c r="H183" s="46" t="s">
        <v>40</v>
      </c>
      <c r="I183" s="45">
        <v>77989.66</v>
      </c>
      <c r="J183" s="45">
        <v>38994.83</v>
      </c>
      <c r="K183" s="49" t="s">
        <v>790</v>
      </c>
      <c r="L183" s="45"/>
      <c r="M183" s="3"/>
    </row>
    <row r="184" spans="1:60" x14ac:dyDescent="0.25">
      <c r="A184" s="46" t="s">
        <v>1203</v>
      </c>
      <c r="B184" s="46" t="s">
        <v>11646</v>
      </c>
      <c r="C184" s="46" t="s">
        <v>14</v>
      </c>
      <c r="D184" s="47">
        <v>2970</v>
      </c>
      <c r="E184" s="46" t="s">
        <v>1204</v>
      </c>
      <c r="F184" s="48">
        <v>39119</v>
      </c>
      <c r="G184" s="46"/>
      <c r="H184" s="46" t="s">
        <v>40</v>
      </c>
      <c r="I184" s="45">
        <v>148727.56</v>
      </c>
      <c r="J184" s="45">
        <v>74363.78</v>
      </c>
      <c r="K184" s="49" t="s">
        <v>790</v>
      </c>
      <c r="L184" s="45"/>
      <c r="M184" s="3"/>
    </row>
    <row r="185" spans="1:60" x14ac:dyDescent="0.25">
      <c r="A185" s="46" t="s">
        <v>1246</v>
      </c>
      <c r="B185" s="46" t="s">
        <v>11646</v>
      </c>
      <c r="C185" s="46" t="s">
        <v>14</v>
      </c>
      <c r="D185" s="47">
        <v>3155</v>
      </c>
      <c r="E185" s="46" t="s">
        <v>1247</v>
      </c>
      <c r="F185" s="48">
        <v>39083</v>
      </c>
      <c r="G185" s="48">
        <v>41639</v>
      </c>
      <c r="H185" s="46" t="s">
        <v>40</v>
      </c>
      <c r="I185" s="45">
        <v>150000</v>
      </c>
      <c r="J185" s="45">
        <v>75000</v>
      </c>
      <c r="K185" s="49" t="s">
        <v>790</v>
      </c>
      <c r="L185" s="45"/>
      <c r="M185" s="3"/>
    </row>
    <row r="186" spans="1:60" x14ac:dyDescent="0.25">
      <c r="A186" s="46" t="s">
        <v>1252</v>
      </c>
      <c r="B186" s="46" t="s">
        <v>11646</v>
      </c>
      <c r="C186" s="46" t="s">
        <v>14</v>
      </c>
      <c r="D186" s="47">
        <v>3158</v>
      </c>
      <c r="E186" s="46" t="s">
        <v>1253</v>
      </c>
      <c r="F186" s="48">
        <v>39083</v>
      </c>
      <c r="G186" s="48">
        <v>41639</v>
      </c>
      <c r="H186" s="46" t="s">
        <v>40</v>
      </c>
      <c r="I186" s="45">
        <v>60363.839999999997</v>
      </c>
      <c r="J186" s="45">
        <v>30181.96</v>
      </c>
      <c r="K186" s="49" t="s">
        <v>790</v>
      </c>
      <c r="L186" s="45"/>
      <c r="M186" s="3"/>
    </row>
    <row r="187" spans="1:60" ht="25.5" x14ac:dyDescent="0.25">
      <c r="A187" s="46" t="s">
        <v>1273</v>
      </c>
      <c r="B187" s="46" t="s">
        <v>11646</v>
      </c>
      <c r="C187" s="46" t="s">
        <v>14</v>
      </c>
      <c r="D187" s="47">
        <v>4536</v>
      </c>
      <c r="E187" s="46" t="s">
        <v>1274</v>
      </c>
      <c r="F187" s="48">
        <v>39741</v>
      </c>
      <c r="G187" s="48">
        <v>40106</v>
      </c>
      <c r="H187" s="46" t="s">
        <v>40</v>
      </c>
      <c r="I187" s="45">
        <v>22288</v>
      </c>
      <c r="J187" s="45">
        <v>11144</v>
      </c>
      <c r="K187" s="49" t="s">
        <v>790</v>
      </c>
      <c r="L187" s="45"/>
      <c r="M187" s="3"/>
    </row>
    <row r="188" spans="1:60" s="9" customFormat="1" x14ac:dyDescent="0.25">
      <c r="A188" s="46" t="s">
        <v>1394</v>
      </c>
      <c r="B188" s="46" t="s">
        <v>11646</v>
      </c>
      <c r="C188" s="46" t="s">
        <v>14</v>
      </c>
      <c r="D188" s="47">
        <v>5596</v>
      </c>
      <c r="E188" s="46" t="s">
        <v>1395</v>
      </c>
      <c r="F188" s="48">
        <v>39814</v>
      </c>
      <c r="G188" s="48">
        <v>41639</v>
      </c>
      <c r="H188" s="46" t="s">
        <v>40</v>
      </c>
      <c r="I188" s="45">
        <v>19001.04</v>
      </c>
      <c r="J188" s="45">
        <v>9500.52</v>
      </c>
      <c r="K188" s="49" t="s">
        <v>790</v>
      </c>
      <c r="L188" s="45"/>
      <c r="M188" s="3"/>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row>
    <row r="189" spans="1:60" s="9" customFormat="1" ht="38.25" x14ac:dyDescent="0.25">
      <c r="A189" s="46" t="s">
        <v>1500</v>
      </c>
      <c r="B189" s="46" t="s">
        <v>11646</v>
      </c>
      <c r="C189" s="46" t="s">
        <v>14</v>
      </c>
      <c r="D189" s="47">
        <v>7063</v>
      </c>
      <c r="E189" s="46" t="s">
        <v>1501</v>
      </c>
      <c r="F189" s="48">
        <v>39979</v>
      </c>
      <c r="G189" s="48">
        <v>40344</v>
      </c>
      <c r="H189" s="46" t="s">
        <v>40</v>
      </c>
      <c r="I189" s="45">
        <v>38411.75</v>
      </c>
      <c r="J189" s="45">
        <v>19205.75</v>
      </c>
      <c r="K189" s="49" t="s">
        <v>790</v>
      </c>
      <c r="L189" s="45"/>
      <c r="M189" s="3"/>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row>
    <row r="190" spans="1:60" s="9" customFormat="1" ht="25.5" x14ac:dyDescent="0.25">
      <c r="A190" s="46" t="s">
        <v>1516</v>
      </c>
      <c r="B190" s="46" t="s">
        <v>11646</v>
      </c>
      <c r="C190" s="46" t="s">
        <v>14</v>
      </c>
      <c r="D190" s="47">
        <v>7146</v>
      </c>
      <c r="E190" s="46" t="s">
        <v>1517</v>
      </c>
      <c r="F190" s="48">
        <v>40077</v>
      </c>
      <c r="G190" s="48">
        <v>40442</v>
      </c>
      <c r="H190" s="46" t="s">
        <v>40</v>
      </c>
      <c r="I190" s="45">
        <v>4179.78</v>
      </c>
      <c r="J190" s="45">
        <v>2359.89</v>
      </c>
      <c r="K190" s="49" t="s">
        <v>790</v>
      </c>
      <c r="L190" s="45"/>
      <c r="M190" s="3"/>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row>
    <row r="191" spans="1:60" s="9" customFormat="1" x14ac:dyDescent="0.25">
      <c r="A191" s="46" t="s">
        <v>2196</v>
      </c>
      <c r="B191" s="46" t="s">
        <v>11646</v>
      </c>
      <c r="C191" s="46" t="s">
        <v>14</v>
      </c>
      <c r="D191" s="47">
        <v>950</v>
      </c>
      <c r="E191" s="46" t="s">
        <v>2197</v>
      </c>
      <c r="F191" s="48">
        <v>39132</v>
      </c>
      <c r="G191" s="48">
        <v>40227</v>
      </c>
      <c r="H191" s="46" t="s">
        <v>40</v>
      </c>
      <c r="I191" s="45">
        <v>57000</v>
      </c>
      <c r="J191" s="45">
        <v>28500</v>
      </c>
      <c r="K191" s="49" t="s">
        <v>2033</v>
      </c>
      <c r="L191" s="45"/>
      <c r="M191" s="3"/>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row>
    <row r="192" spans="1:60" s="9" customFormat="1" x14ac:dyDescent="0.25">
      <c r="A192" s="46" t="s">
        <v>2198</v>
      </c>
      <c r="B192" s="46" t="s">
        <v>11646</v>
      </c>
      <c r="C192" s="46" t="s">
        <v>14</v>
      </c>
      <c r="D192" s="47">
        <v>965</v>
      </c>
      <c r="E192" s="46" t="s">
        <v>2199</v>
      </c>
      <c r="F192" s="48">
        <v>39132</v>
      </c>
      <c r="G192" s="48">
        <v>39189</v>
      </c>
      <c r="H192" s="46" t="s">
        <v>40</v>
      </c>
      <c r="I192" s="45">
        <v>11532.24</v>
      </c>
      <c r="J192" s="45">
        <v>5766.12</v>
      </c>
      <c r="K192" s="49" t="s">
        <v>2033</v>
      </c>
      <c r="L192" s="45"/>
      <c r="M192" s="3"/>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row>
    <row r="193" spans="1:60" s="9" customFormat="1" x14ac:dyDescent="0.25">
      <c r="A193" s="46" t="s">
        <v>2200</v>
      </c>
      <c r="B193" s="46" t="s">
        <v>11646</v>
      </c>
      <c r="C193" s="46" t="s">
        <v>14</v>
      </c>
      <c r="D193" s="47">
        <v>966</v>
      </c>
      <c r="E193" s="46" t="s">
        <v>2201</v>
      </c>
      <c r="F193" s="48">
        <v>39188</v>
      </c>
      <c r="G193" s="48">
        <v>40371</v>
      </c>
      <c r="H193" s="46" t="s">
        <v>40</v>
      </c>
      <c r="I193" s="45">
        <v>25042</v>
      </c>
      <c r="J193" s="45">
        <v>12521</v>
      </c>
      <c r="K193" s="49" t="s">
        <v>2033</v>
      </c>
      <c r="L193" s="45"/>
      <c r="M193" s="3"/>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row>
    <row r="194" spans="1:60" s="9" customFormat="1" x14ac:dyDescent="0.25">
      <c r="A194" s="46" t="s">
        <v>2204</v>
      </c>
      <c r="B194" s="46" t="s">
        <v>11646</v>
      </c>
      <c r="C194" s="46" t="s">
        <v>14</v>
      </c>
      <c r="D194" s="47">
        <v>969</v>
      </c>
      <c r="E194" s="46" t="s">
        <v>2205</v>
      </c>
      <c r="F194" s="48">
        <v>39230</v>
      </c>
      <c r="G194" s="48">
        <v>39303</v>
      </c>
      <c r="H194" s="46" t="s">
        <v>40</v>
      </c>
      <c r="I194" s="45">
        <v>25206.12</v>
      </c>
      <c r="J194" s="45">
        <v>12603.06</v>
      </c>
      <c r="K194" s="49" t="s">
        <v>2033</v>
      </c>
      <c r="L194" s="67"/>
      <c r="M194" s="3"/>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row>
    <row r="195" spans="1:60" s="9" customFormat="1" x14ac:dyDescent="0.25">
      <c r="A195" s="46" t="s">
        <v>2214</v>
      </c>
      <c r="B195" s="46" t="s">
        <v>11646</v>
      </c>
      <c r="C195" s="46" t="s">
        <v>14</v>
      </c>
      <c r="D195" s="47">
        <v>979</v>
      </c>
      <c r="E195" s="46" t="s">
        <v>2215</v>
      </c>
      <c r="F195" s="48">
        <v>39188</v>
      </c>
      <c r="G195" s="48">
        <v>39510</v>
      </c>
      <c r="H195" s="46" t="s">
        <v>40</v>
      </c>
      <c r="I195" s="45">
        <v>30000</v>
      </c>
      <c r="J195" s="45">
        <v>15000</v>
      </c>
      <c r="K195" s="49" t="s">
        <v>2033</v>
      </c>
      <c r="L195" s="45"/>
      <c r="M195" s="3"/>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row>
    <row r="196" spans="1:60" s="9" customFormat="1" x14ac:dyDescent="0.25">
      <c r="A196" s="46" t="s">
        <v>2218</v>
      </c>
      <c r="B196" s="46" t="s">
        <v>11646</v>
      </c>
      <c r="C196" s="46" t="s">
        <v>14</v>
      </c>
      <c r="D196" s="47">
        <v>984</v>
      </c>
      <c r="E196" s="46"/>
      <c r="F196" s="48">
        <v>39475</v>
      </c>
      <c r="G196" s="48">
        <v>39539</v>
      </c>
      <c r="H196" s="46" t="s">
        <v>40</v>
      </c>
      <c r="I196" s="45">
        <v>29000</v>
      </c>
      <c r="J196" s="45">
        <v>14500</v>
      </c>
      <c r="K196" s="49" t="s">
        <v>2033</v>
      </c>
      <c r="L196" s="45"/>
      <c r="M196" s="3"/>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row>
    <row r="197" spans="1:60" s="9" customFormat="1" x14ac:dyDescent="0.25">
      <c r="A197" s="46" t="s">
        <v>2227</v>
      </c>
      <c r="B197" s="46" t="s">
        <v>11646</v>
      </c>
      <c r="C197" s="46" t="s">
        <v>14</v>
      </c>
      <c r="D197" s="47">
        <v>1019</v>
      </c>
      <c r="E197" s="46" t="s">
        <v>2228</v>
      </c>
      <c r="F197" s="48">
        <v>39475</v>
      </c>
      <c r="G197" s="48">
        <v>39722</v>
      </c>
      <c r="H197" s="46" t="s">
        <v>40</v>
      </c>
      <c r="I197" s="45">
        <v>75000</v>
      </c>
      <c r="J197" s="45">
        <v>37500</v>
      </c>
      <c r="K197" s="49" t="s">
        <v>2033</v>
      </c>
      <c r="L197" s="45"/>
      <c r="M197" s="3"/>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row>
    <row r="198" spans="1:60" s="9" customFormat="1" x14ac:dyDescent="0.25">
      <c r="A198" s="46" t="s">
        <v>2233</v>
      </c>
      <c r="B198" s="46" t="s">
        <v>11646</v>
      </c>
      <c r="C198" s="46" t="s">
        <v>14</v>
      </c>
      <c r="D198" s="47">
        <v>1026</v>
      </c>
      <c r="E198" s="46" t="s">
        <v>2234</v>
      </c>
      <c r="F198" s="48">
        <v>39475</v>
      </c>
      <c r="G198" s="48">
        <v>39728</v>
      </c>
      <c r="H198" s="46" t="s">
        <v>40</v>
      </c>
      <c r="I198" s="45">
        <v>44886.16</v>
      </c>
      <c r="J198" s="45">
        <v>22443.08</v>
      </c>
      <c r="K198" s="49" t="s">
        <v>2033</v>
      </c>
      <c r="L198" s="45"/>
      <c r="M198" s="3"/>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row>
    <row r="199" spans="1:60" s="9" customFormat="1" x14ac:dyDescent="0.25">
      <c r="A199" s="46" t="s">
        <v>2235</v>
      </c>
      <c r="B199" s="46" t="s">
        <v>11646</v>
      </c>
      <c r="C199" s="46" t="s">
        <v>14</v>
      </c>
      <c r="D199" s="47">
        <v>1027</v>
      </c>
      <c r="E199" s="46" t="s">
        <v>2236</v>
      </c>
      <c r="F199" s="48">
        <v>39517</v>
      </c>
      <c r="G199" s="48">
        <v>39975</v>
      </c>
      <c r="H199" s="46" t="s">
        <v>40</v>
      </c>
      <c r="I199" s="45">
        <v>101793.68</v>
      </c>
      <c r="J199" s="45">
        <v>50896.84</v>
      </c>
      <c r="K199" s="49" t="s">
        <v>2033</v>
      </c>
      <c r="L199" s="45"/>
      <c r="M199" s="3"/>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row>
    <row r="200" spans="1:60" s="9" customFormat="1" x14ac:dyDescent="0.25">
      <c r="A200" s="46" t="s">
        <v>2386</v>
      </c>
      <c r="B200" s="46" t="s">
        <v>11646</v>
      </c>
      <c r="C200" s="46" t="s">
        <v>14</v>
      </c>
      <c r="D200" s="47">
        <v>5797</v>
      </c>
      <c r="E200" s="46" t="s">
        <v>2387</v>
      </c>
      <c r="F200" s="48">
        <v>39925</v>
      </c>
      <c r="G200" s="48">
        <v>39953</v>
      </c>
      <c r="H200" s="46" t="s">
        <v>40</v>
      </c>
      <c r="I200" s="45">
        <v>5398.62</v>
      </c>
      <c r="J200" s="45">
        <v>2699.31</v>
      </c>
      <c r="K200" s="49" t="s">
        <v>2033</v>
      </c>
      <c r="L200" s="45"/>
      <c r="M200" s="3"/>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row>
    <row r="201" spans="1:60" s="9" customFormat="1" ht="25.5" x14ac:dyDescent="0.25">
      <c r="A201" s="46" t="s">
        <v>2454</v>
      </c>
      <c r="B201" s="46" t="s">
        <v>11646</v>
      </c>
      <c r="C201" s="46" t="s">
        <v>14</v>
      </c>
      <c r="D201" s="47">
        <v>7520</v>
      </c>
      <c r="E201" s="46" t="s">
        <v>2455</v>
      </c>
      <c r="F201" s="48">
        <v>40442</v>
      </c>
      <c r="G201" s="48">
        <v>40508</v>
      </c>
      <c r="H201" s="46" t="s">
        <v>40</v>
      </c>
      <c r="I201" s="45">
        <v>40000</v>
      </c>
      <c r="J201" s="45">
        <v>20000</v>
      </c>
      <c r="K201" s="49" t="s">
        <v>2033</v>
      </c>
      <c r="L201" s="45"/>
      <c r="M201" s="3"/>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row>
    <row r="202" spans="1:60" s="9" customFormat="1" x14ac:dyDescent="0.25">
      <c r="A202" s="46" t="s">
        <v>2456</v>
      </c>
      <c r="B202" s="46" t="s">
        <v>11646</v>
      </c>
      <c r="C202" s="46" t="s">
        <v>14</v>
      </c>
      <c r="D202" s="47">
        <v>7522</v>
      </c>
      <c r="E202" s="46" t="s">
        <v>2457</v>
      </c>
      <c r="F202" s="48">
        <v>40070</v>
      </c>
      <c r="G202" s="48">
        <v>40305</v>
      </c>
      <c r="H202" s="46" t="s">
        <v>40</v>
      </c>
      <c r="I202" s="45">
        <v>6899</v>
      </c>
      <c r="J202" s="45">
        <v>3449.5</v>
      </c>
      <c r="K202" s="49" t="s">
        <v>2033</v>
      </c>
      <c r="L202" s="45"/>
      <c r="M202" s="3"/>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row>
    <row r="203" spans="1:60" s="9" customFormat="1" x14ac:dyDescent="0.25">
      <c r="A203" s="46" t="s">
        <v>3111</v>
      </c>
      <c r="B203" s="46" t="s">
        <v>11646</v>
      </c>
      <c r="C203" s="46" t="s">
        <v>14</v>
      </c>
      <c r="D203" s="47">
        <v>708</v>
      </c>
      <c r="E203" s="46" t="s">
        <v>3112</v>
      </c>
      <c r="F203" s="48">
        <v>39119</v>
      </c>
      <c r="G203" s="48">
        <v>39484</v>
      </c>
      <c r="H203" s="46" t="s">
        <v>40</v>
      </c>
      <c r="I203" s="45">
        <v>16035</v>
      </c>
      <c r="J203" s="45">
        <v>8017.5</v>
      </c>
      <c r="K203" s="49" t="s">
        <v>2650</v>
      </c>
      <c r="L203" s="45"/>
      <c r="M203" s="3"/>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row>
    <row r="204" spans="1:60" s="9" customFormat="1" x14ac:dyDescent="0.25">
      <c r="A204" s="46" t="s">
        <v>3118</v>
      </c>
      <c r="B204" s="46" t="s">
        <v>11646</v>
      </c>
      <c r="C204" s="46" t="s">
        <v>14</v>
      </c>
      <c r="D204" s="47">
        <v>744</v>
      </c>
      <c r="E204" s="46" t="s">
        <v>3119</v>
      </c>
      <c r="F204" s="48">
        <v>39162</v>
      </c>
      <c r="G204" s="48">
        <v>39528</v>
      </c>
      <c r="H204" s="46" t="s">
        <v>40</v>
      </c>
      <c r="I204" s="45">
        <v>148666.22</v>
      </c>
      <c r="J204" s="45">
        <v>74333.11</v>
      </c>
      <c r="K204" s="49" t="s">
        <v>2650</v>
      </c>
      <c r="L204" s="45"/>
      <c r="M204" s="3"/>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row>
    <row r="205" spans="1:60" s="9" customFormat="1" x14ac:dyDescent="0.25">
      <c r="A205" s="46" t="s">
        <v>3122</v>
      </c>
      <c r="B205" s="46" t="s">
        <v>11646</v>
      </c>
      <c r="C205" s="46" t="s">
        <v>14</v>
      </c>
      <c r="D205" s="47">
        <v>747</v>
      </c>
      <c r="E205" s="46" t="s">
        <v>3123</v>
      </c>
      <c r="F205" s="48">
        <v>39162</v>
      </c>
      <c r="G205" s="48">
        <v>39528</v>
      </c>
      <c r="H205" s="46" t="s">
        <v>40</v>
      </c>
      <c r="I205" s="45">
        <v>135752.16</v>
      </c>
      <c r="J205" s="45">
        <v>67876.08</v>
      </c>
      <c r="K205" s="49" t="s">
        <v>2650</v>
      </c>
      <c r="L205" s="45"/>
      <c r="M205" s="3"/>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row>
    <row r="206" spans="1:60" s="9" customFormat="1" x14ac:dyDescent="0.25">
      <c r="A206" s="46" t="s">
        <v>3144</v>
      </c>
      <c r="B206" s="46" t="s">
        <v>11646</v>
      </c>
      <c r="C206" s="46" t="s">
        <v>14</v>
      </c>
      <c r="D206" s="47">
        <v>772</v>
      </c>
      <c r="E206" s="46" t="s">
        <v>3145</v>
      </c>
      <c r="F206" s="48">
        <v>39252</v>
      </c>
      <c r="G206" s="48">
        <v>39618</v>
      </c>
      <c r="H206" s="46" t="s">
        <v>40</v>
      </c>
      <c r="I206" s="45">
        <v>44112.76</v>
      </c>
      <c r="J206" s="45">
        <v>22056.38</v>
      </c>
      <c r="K206" s="49" t="s">
        <v>2650</v>
      </c>
      <c r="L206" s="45"/>
      <c r="M206" s="3"/>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row>
    <row r="207" spans="1:60" s="9" customFormat="1" x14ac:dyDescent="0.25">
      <c r="A207" s="46" t="s">
        <v>3148</v>
      </c>
      <c r="B207" s="46" t="s">
        <v>11646</v>
      </c>
      <c r="C207" s="46" t="s">
        <v>14</v>
      </c>
      <c r="D207" s="47">
        <v>775</v>
      </c>
      <c r="E207" s="46" t="s">
        <v>3149</v>
      </c>
      <c r="F207" s="48">
        <v>39252</v>
      </c>
      <c r="G207" s="48">
        <v>39618</v>
      </c>
      <c r="H207" s="46" t="s">
        <v>40</v>
      </c>
      <c r="I207" s="45">
        <v>2710.26</v>
      </c>
      <c r="J207" s="45">
        <v>1355.13</v>
      </c>
      <c r="K207" s="49" t="s">
        <v>2650</v>
      </c>
      <c r="L207" s="45"/>
      <c r="M207" s="3"/>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row>
    <row r="208" spans="1:60" s="9" customFormat="1" x14ac:dyDescent="0.25">
      <c r="A208" s="46" t="s">
        <v>3158</v>
      </c>
      <c r="B208" s="46" t="s">
        <v>11646</v>
      </c>
      <c r="C208" s="46" t="s">
        <v>14</v>
      </c>
      <c r="D208" s="47">
        <v>823</v>
      </c>
      <c r="E208" s="46" t="s">
        <v>3159</v>
      </c>
      <c r="F208" s="48">
        <v>39343</v>
      </c>
      <c r="G208" s="48">
        <v>39709</v>
      </c>
      <c r="H208" s="46" t="s">
        <v>40</v>
      </c>
      <c r="I208" s="45">
        <v>26369.88</v>
      </c>
      <c r="J208" s="45">
        <v>13184.94</v>
      </c>
      <c r="K208" s="49" t="s">
        <v>2650</v>
      </c>
      <c r="L208" s="45"/>
      <c r="M208" s="3"/>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row>
    <row r="209" spans="1:60" s="9" customFormat="1" x14ac:dyDescent="0.25">
      <c r="A209" s="46" t="s">
        <v>3169</v>
      </c>
      <c r="B209" s="46" t="s">
        <v>11646</v>
      </c>
      <c r="C209" s="46" t="s">
        <v>14</v>
      </c>
      <c r="D209" s="47">
        <v>843</v>
      </c>
      <c r="E209" s="46" t="s">
        <v>3170</v>
      </c>
      <c r="F209" s="48">
        <v>39380</v>
      </c>
      <c r="G209" s="48">
        <v>39746</v>
      </c>
      <c r="H209" s="46" t="s">
        <v>40</v>
      </c>
      <c r="I209" s="45">
        <v>90000</v>
      </c>
      <c r="J209" s="45">
        <v>45000</v>
      </c>
      <c r="K209" s="49" t="s">
        <v>2650</v>
      </c>
      <c r="L209" s="45"/>
      <c r="M209" s="3"/>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row>
    <row r="210" spans="1:60" s="9" customFormat="1" x14ac:dyDescent="0.2">
      <c r="A210" s="46" t="s">
        <v>3638</v>
      </c>
      <c r="B210" s="46" t="s">
        <v>11646</v>
      </c>
      <c r="C210" s="46" t="s">
        <v>14</v>
      </c>
      <c r="D210" s="47">
        <v>1054</v>
      </c>
      <c r="E210" s="46" t="s">
        <v>3639</v>
      </c>
      <c r="F210" s="48">
        <v>39196</v>
      </c>
      <c r="G210" s="46"/>
      <c r="H210" s="46" t="s">
        <v>40</v>
      </c>
      <c r="I210" s="45">
        <v>39181.78</v>
      </c>
      <c r="J210" s="45">
        <v>19590.89</v>
      </c>
      <c r="K210" s="88" t="s">
        <v>11651</v>
      </c>
      <c r="L210" s="45"/>
      <c r="M210" s="3"/>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row>
    <row r="211" spans="1:60" s="9" customFormat="1" x14ac:dyDescent="0.2">
      <c r="A211" s="46" t="s">
        <v>3648</v>
      </c>
      <c r="B211" s="46" t="s">
        <v>11646</v>
      </c>
      <c r="C211" s="46" t="s">
        <v>14</v>
      </c>
      <c r="D211" s="47">
        <v>1081</v>
      </c>
      <c r="E211" s="46" t="s">
        <v>3649</v>
      </c>
      <c r="F211" s="48">
        <v>39196</v>
      </c>
      <c r="G211" s="46"/>
      <c r="H211" s="46" t="s">
        <v>40</v>
      </c>
      <c r="I211" s="45">
        <v>150000</v>
      </c>
      <c r="J211" s="45">
        <v>61511</v>
      </c>
      <c r="K211" s="88" t="s">
        <v>11651</v>
      </c>
      <c r="L211" s="45"/>
      <c r="M211" s="3"/>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row>
    <row r="212" spans="1:60" s="9" customFormat="1" x14ac:dyDescent="0.2">
      <c r="A212" s="46" t="s">
        <v>3650</v>
      </c>
      <c r="B212" s="46" t="s">
        <v>11646</v>
      </c>
      <c r="C212" s="46" t="s">
        <v>14</v>
      </c>
      <c r="D212" s="47">
        <v>1083</v>
      </c>
      <c r="E212" s="46" t="s">
        <v>3651</v>
      </c>
      <c r="F212" s="48">
        <v>39287</v>
      </c>
      <c r="G212" s="46"/>
      <c r="H212" s="46" t="s">
        <v>40</v>
      </c>
      <c r="I212" s="45">
        <v>34600</v>
      </c>
      <c r="J212" s="45">
        <v>17300</v>
      </c>
      <c r="K212" s="88" t="s">
        <v>11651</v>
      </c>
      <c r="L212" s="45"/>
      <c r="M212" s="3"/>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row>
    <row r="213" spans="1:60" s="9" customFormat="1" x14ac:dyDescent="0.2">
      <c r="A213" s="46" t="s">
        <v>3654</v>
      </c>
      <c r="B213" s="46" t="s">
        <v>11646</v>
      </c>
      <c r="C213" s="46" t="s">
        <v>14</v>
      </c>
      <c r="D213" s="47">
        <v>1091</v>
      </c>
      <c r="E213" s="46" t="s">
        <v>3655</v>
      </c>
      <c r="F213" s="48">
        <v>39196</v>
      </c>
      <c r="G213" s="46"/>
      <c r="H213" s="46" t="s">
        <v>40</v>
      </c>
      <c r="I213" s="45">
        <v>62368.6</v>
      </c>
      <c r="J213" s="45">
        <v>31184.3</v>
      </c>
      <c r="K213" s="88" t="s">
        <v>11651</v>
      </c>
      <c r="L213" s="45"/>
      <c r="M213" s="3"/>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row>
    <row r="214" spans="1:60" s="9" customFormat="1" x14ac:dyDescent="0.2">
      <c r="A214" s="46" t="s">
        <v>3675</v>
      </c>
      <c r="B214" s="46" t="s">
        <v>11646</v>
      </c>
      <c r="C214" s="46" t="s">
        <v>14</v>
      </c>
      <c r="D214" s="47">
        <v>1291</v>
      </c>
      <c r="E214" s="46" t="s">
        <v>3187</v>
      </c>
      <c r="F214" s="48">
        <v>39083</v>
      </c>
      <c r="G214" s="46"/>
      <c r="H214" s="46" t="s">
        <v>40</v>
      </c>
      <c r="I214" s="45">
        <v>83732</v>
      </c>
      <c r="J214" s="45">
        <v>41866</v>
      </c>
      <c r="K214" s="88" t="s">
        <v>11651</v>
      </c>
      <c r="L214" s="45"/>
      <c r="M214" s="3"/>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row>
    <row r="215" spans="1:60" s="9" customFormat="1" x14ac:dyDescent="0.2">
      <c r="A215" s="46" t="s">
        <v>3700</v>
      </c>
      <c r="B215" s="46" t="s">
        <v>11646</v>
      </c>
      <c r="C215" s="46" t="s">
        <v>14</v>
      </c>
      <c r="D215" s="47">
        <v>1655</v>
      </c>
      <c r="E215" s="46" t="s">
        <v>3701</v>
      </c>
      <c r="F215" s="48">
        <v>39539</v>
      </c>
      <c r="G215" s="46"/>
      <c r="H215" s="46" t="s">
        <v>40</v>
      </c>
      <c r="I215" s="45">
        <v>38692</v>
      </c>
      <c r="J215" s="45">
        <v>19346</v>
      </c>
      <c r="K215" s="88" t="s">
        <v>11651</v>
      </c>
      <c r="L215" s="45"/>
      <c r="M215" s="3"/>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row>
    <row r="216" spans="1:60" s="9" customFormat="1" x14ac:dyDescent="0.25">
      <c r="A216" s="46" t="s">
        <v>4112</v>
      </c>
      <c r="B216" s="46" t="s">
        <v>11646</v>
      </c>
      <c r="C216" s="46" t="s">
        <v>14</v>
      </c>
      <c r="D216" s="47">
        <v>2606</v>
      </c>
      <c r="E216" s="46" t="s">
        <v>4113</v>
      </c>
      <c r="F216" s="48">
        <v>39175</v>
      </c>
      <c r="G216" s="48">
        <v>39289</v>
      </c>
      <c r="H216" s="46" t="s">
        <v>40</v>
      </c>
      <c r="I216" s="45">
        <v>150000</v>
      </c>
      <c r="J216" s="45">
        <v>75000</v>
      </c>
      <c r="K216" s="49" t="s">
        <v>4035</v>
      </c>
      <c r="L216" s="45"/>
      <c r="M216" s="3"/>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row>
    <row r="217" spans="1:60" s="9" customFormat="1" x14ac:dyDescent="0.25">
      <c r="A217" s="46" t="s">
        <v>4128</v>
      </c>
      <c r="B217" s="46" t="s">
        <v>11646</v>
      </c>
      <c r="C217" s="46" t="s">
        <v>14</v>
      </c>
      <c r="D217" s="47">
        <v>2618</v>
      </c>
      <c r="E217" s="46" t="s">
        <v>4129</v>
      </c>
      <c r="F217" s="48">
        <v>39119</v>
      </c>
      <c r="G217" s="48">
        <v>39426</v>
      </c>
      <c r="H217" s="46" t="s">
        <v>40</v>
      </c>
      <c r="I217" s="45">
        <v>70000</v>
      </c>
      <c r="J217" s="45">
        <v>35000</v>
      </c>
      <c r="K217" s="49" t="s">
        <v>4035</v>
      </c>
      <c r="L217" s="45"/>
      <c r="M217" s="3"/>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row>
    <row r="218" spans="1:60" s="9" customFormat="1" x14ac:dyDescent="0.25">
      <c r="A218" s="46" t="s">
        <v>4130</v>
      </c>
      <c r="B218" s="46" t="s">
        <v>11646</v>
      </c>
      <c r="C218" s="46" t="s">
        <v>14</v>
      </c>
      <c r="D218" s="47">
        <v>2620</v>
      </c>
      <c r="E218" s="46" t="s">
        <v>4131</v>
      </c>
      <c r="F218" s="48">
        <v>39393</v>
      </c>
      <c r="G218" s="48">
        <v>39507</v>
      </c>
      <c r="H218" s="46" t="s">
        <v>40</v>
      </c>
      <c r="I218" s="45">
        <v>95000</v>
      </c>
      <c r="J218" s="45">
        <v>47500</v>
      </c>
      <c r="K218" s="49" t="s">
        <v>4035</v>
      </c>
      <c r="L218" s="45"/>
      <c r="M218" s="3"/>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row>
    <row r="219" spans="1:60" s="9" customFormat="1" x14ac:dyDescent="0.25">
      <c r="A219" s="46" t="s">
        <v>4132</v>
      </c>
      <c r="B219" s="46" t="s">
        <v>11646</v>
      </c>
      <c r="C219" s="46" t="s">
        <v>14</v>
      </c>
      <c r="D219" s="47">
        <v>2621</v>
      </c>
      <c r="E219" s="46" t="s">
        <v>4133</v>
      </c>
      <c r="F219" s="48">
        <v>39540</v>
      </c>
      <c r="G219" s="48">
        <v>39615</v>
      </c>
      <c r="H219" s="46" t="s">
        <v>40</v>
      </c>
      <c r="I219" s="45">
        <v>10000</v>
      </c>
      <c r="J219" s="45">
        <v>5000</v>
      </c>
      <c r="K219" s="49" t="s">
        <v>4035</v>
      </c>
      <c r="L219" s="45"/>
      <c r="M219" s="3"/>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row>
    <row r="220" spans="1:60" s="9" customFormat="1" ht="25.5" x14ac:dyDescent="0.25">
      <c r="A220" s="46" t="s">
        <v>4142</v>
      </c>
      <c r="B220" s="46" t="s">
        <v>11646</v>
      </c>
      <c r="C220" s="46" t="s">
        <v>14</v>
      </c>
      <c r="D220" s="47">
        <v>2626</v>
      </c>
      <c r="E220" s="46" t="s">
        <v>4143</v>
      </c>
      <c r="F220" s="48">
        <v>39757</v>
      </c>
      <c r="G220" s="48">
        <v>40008</v>
      </c>
      <c r="H220" s="46" t="s">
        <v>40</v>
      </c>
      <c r="I220" s="45">
        <v>110000</v>
      </c>
      <c r="J220" s="45">
        <v>55000</v>
      </c>
      <c r="K220" s="49" t="s">
        <v>4035</v>
      </c>
      <c r="L220" s="45"/>
      <c r="M220" s="3"/>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row>
    <row r="221" spans="1:60" s="9" customFormat="1" x14ac:dyDescent="0.25">
      <c r="A221" s="46" t="s">
        <v>4148</v>
      </c>
      <c r="B221" s="46" t="s">
        <v>11646</v>
      </c>
      <c r="C221" s="46" t="s">
        <v>14</v>
      </c>
      <c r="D221" s="47">
        <v>4679</v>
      </c>
      <c r="E221" s="46" t="s">
        <v>4149</v>
      </c>
      <c r="F221" s="48">
        <v>39694</v>
      </c>
      <c r="G221" s="48">
        <v>39932</v>
      </c>
      <c r="H221" s="46" t="s">
        <v>40</v>
      </c>
      <c r="I221" s="45">
        <v>18000</v>
      </c>
      <c r="J221" s="45">
        <v>9000</v>
      </c>
      <c r="K221" s="49" t="s">
        <v>4035</v>
      </c>
      <c r="L221" s="45"/>
      <c r="M221" s="3"/>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row>
    <row r="222" spans="1:60" s="9" customFormat="1" x14ac:dyDescent="0.25">
      <c r="A222" s="46" t="s">
        <v>4159</v>
      </c>
      <c r="B222" s="46" t="s">
        <v>11646</v>
      </c>
      <c r="C222" s="46" t="s">
        <v>14</v>
      </c>
      <c r="D222" s="47">
        <v>4688</v>
      </c>
      <c r="E222" s="46" t="s">
        <v>4160</v>
      </c>
      <c r="F222" s="48">
        <v>39876</v>
      </c>
      <c r="G222" s="46"/>
      <c r="H222" s="46" t="s">
        <v>40</v>
      </c>
      <c r="I222" s="45">
        <v>44164</v>
      </c>
      <c r="J222" s="45">
        <v>22082</v>
      </c>
      <c r="K222" s="49" t="s">
        <v>4035</v>
      </c>
      <c r="L222" s="45"/>
      <c r="M222" s="3"/>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row>
    <row r="223" spans="1:60" s="9" customFormat="1" x14ac:dyDescent="0.25">
      <c r="A223" s="46" t="s">
        <v>4167</v>
      </c>
      <c r="B223" s="46" t="s">
        <v>11646</v>
      </c>
      <c r="C223" s="46" t="s">
        <v>14</v>
      </c>
      <c r="D223" s="47">
        <v>4695</v>
      </c>
      <c r="E223" s="46" t="s">
        <v>4168</v>
      </c>
      <c r="F223" s="48">
        <v>39814</v>
      </c>
      <c r="G223" s="48">
        <v>40151</v>
      </c>
      <c r="H223" s="46" t="s">
        <v>40</v>
      </c>
      <c r="I223" s="45">
        <v>39860</v>
      </c>
      <c r="J223" s="45">
        <v>19930</v>
      </c>
      <c r="K223" s="49" t="s">
        <v>4035</v>
      </c>
      <c r="L223" s="45"/>
      <c r="M223" s="3"/>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row>
    <row r="224" spans="1:60" s="9" customFormat="1" x14ac:dyDescent="0.25">
      <c r="A224" s="46" t="s">
        <v>4367</v>
      </c>
      <c r="B224" s="46" t="s">
        <v>11646</v>
      </c>
      <c r="C224" s="46" t="s">
        <v>14</v>
      </c>
      <c r="D224" s="47">
        <v>2120</v>
      </c>
      <c r="E224" s="46" t="s">
        <v>4368</v>
      </c>
      <c r="F224" s="48">
        <v>39146</v>
      </c>
      <c r="G224" s="48">
        <v>39637</v>
      </c>
      <c r="H224" s="46" t="s">
        <v>40</v>
      </c>
      <c r="I224" s="45">
        <v>6758</v>
      </c>
      <c r="J224" s="45">
        <v>3379</v>
      </c>
      <c r="K224" s="49" t="s">
        <v>4318</v>
      </c>
      <c r="L224" s="45"/>
      <c r="M224" s="3"/>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row>
    <row r="225" spans="1:60" s="9" customFormat="1" x14ac:dyDescent="0.25">
      <c r="A225" s="46" t="s">
        <v>4371</v>
      </c>
      <c r="B225" s="46" t="s">
        <v>11646</v>
      </c>
      <c r="C225" s="46" t="s">
        <v>14</v>
      </c>
      <c r="D225" s="47">
        <v>2122</v>
      </c>
      <c r="E225" s="46" t="s">
        <v>4372</v>
      </c>
      <c r="F225" s="48">
        <v>39146</v>
      </c>
      <c r="G225" s="48">
        <v>39239</v>
      </c>
      <c r="H225" s="46" t="s">
        <v>40</v>
      </c>
      <c r="I225" s="45">
        <v>8000</v>
      </c>
      <c r="J225" s="45">
        <v>4000</v>
      </c>
      <c r="K225" s="49" t="s">
        <v>4318</v>
      </c>
      <c r="L225" s="45"/>
      <c r="M225" s="3"/>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row>
    <row r="226" spans="1:60" s="9" customFormat="1" x14ac:dyDescent="0.25">
      <c r="A226" s="46" t="s">
        <v>4375</v>
      </c>
      <c r="B226" s="46" t="s">
        <v>11646</v>
      </c>
      <c r="C226" s="46" t="s">
        <v>14</v>
      </c>
      <c r="D226" s="47">
        <v>2124</v>
      </c>
      <c r="E226" s="46" t="s">
        <v>4376</v>
      </c>
      <c r="F226" s="48">
        <v>39146</v>
      </c>
      <c r="G226" s="48">
        <v>39328</v>
      </c>
      <c r="H226" s="46" t="s">
        <v>40</v>
      </c>
      <c r="I226" s="45">
        <v>11240</v>
      </c>
      <c r="J226" s="45">
        <v>5620</v>
      </c>
      <c r="K226" s="49" t="s">
        <v>4318</v>
      </c>
      <c r="L226" s="45"/>
      <c r="M226" s="3"/>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row>
    <row r="227" spans="1:60" s="9" customFormat="1" x14ac:dyDescent="0.25">
      <c r="A227" s="46" t="s">
        <v>4377</v>
      </c>
      <c r="B227" s="46" t="s">
        <v>11646</v>
      </c>
      <c r="C227" s="46" t="s">
        <v>14</v>
      </c>
      <c r="D227" s="47">
        <v>2126</v>
      </c>
      <c r="E227" s="46" t="s">
        <v>4378</v>
      </c>
      <c r="F227" s="48">
        <v>39146</v>
      </c>
      <c r="G227" s="48">
        <v>39548</v>
      </c>
      <c r="H227" s="46" t="s">
        <v>40</v>
      </c>
      <c r="I227" s="45">
        <v>40000</v>
      </c>
      <c r="J227" s="45">
        <v>20000</v>
      </c>
      <c r="K227" s="49" t="s">
        <v>4318</v>
      </c>
      <c r="L227" s="45"/>
      <c r="M227" s="3"/>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row>
    <row r="228" spans="1:60" s="9" customFormat="1" x14ac:dyDescent="0.25">
      <c r="A228" s="46" t="s">
        <v>4397</v>
      </c>
      <c r="B228" s="46" t="s">
        <v>11646</v>
      </c>
      <c r="C228" s="46" t="s">
        <v>14</v>
      </c>
      <c r="D228" s="47">
        <v>2146</v>
      </c>
      <c r="E228" s="46" t="s">
        <v>4398</v>
      </c>
      <c r="F228" s="48">
        <v>39258</v>
      </c>
      <c r="G228" s="48">
        <v>39440</v>
      </c>
      <c r="H228" s="46" t="s">
        <v>40</v>
      </c>
      <c r="I228" s="45">
        <v>14000</v>
      </c>
      <c r="J228" s="45">
        <v>7000</v>
      </c>
      <c r="K228" s="49" t="s">
        <v>4318</v>
      </c>
      <c r="L228" s="45"/>
      <c r="M228" s="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row>
    <row r="229" spans="1:60" s="9" customFormat="1" x14ac:dyDescent="0.25">
      <c r="A229" s="46" t="s">
        <v>4399</v>
      </c>
      <c r="B229" s="46" t="s">
        <v>11646</v>
      </c>
      <c r="C229" s="46" t="s">
        <v>14</v>
      </c>
      <c r="D229" s="47">
        <v>2148</v>
      </c>
      <c r="E229" s="46" t="s">
        <v>4400</v>
      </c>
      <c r="F229" s="48">
        <v>39322</v>
      </c>
      <c r="G229" s="48">
        <v>39504</v>
      </c>
      <c r="H229" s="46" t="s">
        <v>40</v>
      </c>
      <c r="I229" s="45">
        <v>6962.86</v>
      </c>
      <c r="J229" s="45">
        <v>3481.43</v>
      </c>
      <c r="K229" s="49" t="s">
        <v>4318</v>
      </c>
      <c r="L229" s="45"/>
      <c r="M229" s="3"/>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row>
    <row r="230" spans="1:60" s="9" customFormat="1" x14ac:dyDescent="0.25">
      <c r="A230" s="46" t="s">
        <v>4401</v>
      </c>
      <c r="B230" s="46" t="s">
        <v>11646</v>
      </c>
      <c r="C230" s="46" t="s">
        <v>14</v>
      </c>
      <c r="D230" s="47">
        <v>2150</v>
      </c>
      <c r="E230" s="46" t="s">
        <v>4402</v>
      </c>
      <c r="F230" s="48">
        <v>39322</v>
      </c>
      <c r="G230" s="48">
        <v>39805</v>
      </c>
      <c r="H230" s="46" t="s">
        <v>40</v>
      </c>
      <c r="I230" s="45">
        <v>80000</v>
      </c>
      <c r="J230" s="45">
        <v>40000</v>
      </c>
      <c r="K230" s="49" t="s">
        <v>4318</v>
      </c>
      <c r="L230" s="45"/>
      <c r="M230" s="3"/>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row>
    <row r="231" spans="1:60" s="9" customFormat="1" ht="25.5" x14ac:dyDescent="0.25">
      <c r="A231" s="46" t="s">
        <v>4407</v>
      </c>
      <c r="B231" s="46" t="s">
        <v>11646</v>
      </c>
      <c r="C231" s="46" t="s">
        <v>14</v>
      </c>
      <c r="D231" s="47">
        <v>2153</v>
      </c>
      <c r="E231" s="46" t="s">
        <v>4408</v>
      </c>
      <c r="F231" s="48">
        <v>39475</v>
      </c>
      <c r="G231" s="48">
        <v>39675</v>
      </c>
      <c r="H231" s="46" t="s">
        <v>40</v>
      </c>
      <c r="I231" s="45">
        <v>40000</v>
      </c>
      <c r="J231" s="45">
        <v>20000</v>
      </c>
      <c r="K231" s="49" t="s">
        <v>4318</v>
      </c>
      <c r="L231" s="45"/>
      <c r="M231" s="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row>
    <row r="232" spans="1:60" s="9" customFormat="1" x14ac:dyDescent="0.25">
      <c r="A232" s="46" t="s">
        <v>4413</v>
      </c>
      <c r="B232" s="46" t="s">
        <v>11646</v>
      </c>
      <c r="C232" s="46" t="s">
        <v>14</v>
      </c>
      <c r="D232" s="47">
        <v>2184</v>
      </c>
      <c r="E232" s="46" t="s">
        <v>4414</v>
      </c>
      <c r="F232" s="48">
        <v>39475</v>
      </c>
      <c r="G232" s="48">
        <v>39749</v>
      </c>
      <c r="H232" s="46" t="s">
        <v>40</v>
      </c>
      <c r="I232" s="45">
        <v>13762.5</v>
      </c>
      <c r="J232" s="45">
        <v>6881.25</v>
      </c>
      <c r="K232" s="49" t="s">
        <v>4318</v>
      </c>
      <c r="L232" s="45"/>
      <c r="M232" s="3"/>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row>
    <row r="233" spans="1:60" x14ac:dyDescent="0.25">
      <c r="A233" s="46" t="s">
        <v>4415</v>
      </c>
      <c r="B233" s="46" t="s">
        <v>11646</v>
      </c>
      <c r="C233" s="46" t="s">
        <v>14</v>
      </c>
      <c r="D233" s="47">
        <v>2186</v>
      </c>
      <c r="E233" s="46" t="s">
        <v>4416</v>
      </c>
      <c r="F233" s="48">
        <v>39475</v>
      </c>
      <c r="G233" s="48">
        <v>39681</v>
      </c>
      <c r="H233" s="46" t="s">
        <v>40</v>
      </c>
      <c r="I233" s="45">
        <v>14000</v>
      </c>
      <c r="J233" s="45">
        <v>7000</v>
      </c>
      <c r="K233" s="49" t="s">
        <v>4318</v>
      </c>
      <c r="L233" s="45"/>
      <c r="M233" s="3"/>
    </row>
    <row r="234" spans="1:60" x14ac:dyDescent="0.25">
      <c r="A234" s="46" t="s">
        <v>4417</v>
      </c>
      <c r="B234" s="46" t="s">
        <v>11646</v>
      </c>
      <c r="C234" s="46" t="s">
        <v>14</v>
      </c>
      <c r="D234" s="47">
        <v>2187</v>
      </c>
      <c r="E234" s="46" t="s">
        <v>4418</v>
      </c>
      <c r="F234" s="48">
        <v>39475</v>
      </c>
      <c r="G234" s="48">
        <v>39675</v>
      </c>
      <c r="H234" s="46" t="s">
        <v>40</v>
      </c>
      <c r="I234" s="45">
        <v>10760</v>
      </c>
      <c r="J234" s="45">
        <v>5380</v>
      </c>
      <c r="K234" s="49" t="s">
        <v>4318</v>
      </c>
      <c r="L234" s="45"/>
      <c r="M234" s="3"/>
    </row>
    <row r="235" spans="1:60" ht="25.5" x14ac:dyDescent="0.25">
      <c r="A235" s="46" t="s">
        <v>4419</v>
      </c>
      <c r="B235" s="46" t="s">
        <v>11646</v>
      </c>
      <c r="C235" s="46" t="s">
        <v>14</v>
      </c>
      <c r="D235" s="47">
        <v>2189</v>
      </c>
      <c r="E235" s="46" t="s">
        <v>4420</v>
      </c>
      <c r="F235" s="48">
        <v>39475</v>
      </c>
      <c r="G235" s="48">
        <v>39765</v>
      </c>
      <c r="H235" s="46" t="s">
        <v>40</v>
      </c>
      <c r="I235" s="45">
        <v>100000</v>
      </c>
      <c r="J235" s="45">
        <v>50000</v>
      </c>
      <c r="K235" s="49" t="s">
        <v>4318</v>
      </c>
      <c r="L235" s="45"/>
      <c r="M235" s="3"/>
    </row>
    <row r="236" spans="1:60" x14ac:dyDescent="0.25">
      <c r="A236" s="46" t="s">
        <v>4425</v>
      </c>
      <c r="B236" s="46" t="s">
        <v>11646</v>
      </c>
      <c r="C236" s="46" t="s">
        <v>14</v>
      </c>
      <c r="D236" s="47">
        <v>2203</v>
      </c>
      <c r="E236" s="46" t="s">
        <v>4426</v>
      </c>
      <c r="F236" s="48">
        <v>39538</v>
      </c>
      <c r="G236" s="48">
        <v>39769</v>
      </c>
      <c r="H236" s="46" t="s">
        <v>40</v>
      </c>
      <c r="I236" s="45">
        <v>30000</v>
      </c>
      <c r="J236" s="45">
        <v>15000</v>
      </c>
      <c r="K236" s="49" t="s">
        <v>4318</v>
      </c>
      <c r="L236" s="45"/>
      <c r="M236" s="3"/>
    </row>
    <row r="237" spans="1:60" x14ac:dyDescent="0.25">
      <c r="A237" s="46" t="s">
        <v>4427</v>
      </c>
      <c r="B237" s="46" t="s">
        <v>11646</v>
      </c>
      <c r="C237" s="46" t="s">
        <v>14</v>
      </c>
      <c r="D237" s="47">
        <v>2204</v>
      </c>
      <c r="E237" s="46" t="s">
        <v>4428</v>
      </c>
      <c r="F237" s="48">
        <v>39538</v>
      </c>
      <c r="G237" s="48">
        <v>39848</v>
      </c>
      <c r="H237" s="46" t="s">
        <v>40</v>
      </c>
      <c r="I237" s="45">
        <v>30000</v>
      </c>
      <c r="J237" s="45">
        <v>15000</v>
      </c>
      <c r="K237" s="49" t="s">
        <v>4318</v>
      </c>
      <c r="L237" s="45"/>
      <c r="M237" s="3"/>
    </row>
    <row r="238" spans="1:60" x14ac:dyDescent="0.25">
      <c r="A238" s="46" t="s">
        <v>4431</v>
      </c>
      <c r="B238" s="46" t="s">
        <v>11646</v>
      </c>
      <c r="C238" s="46" t="s">
        <v>14</v>
      </c>
      <c r="D238" s="47">
        <v>2206</v>
      </c>
      <c r="E238" s="46" t="s">
        <v>4432</v>
      </c>
      <c r="F238" s="48">
        <v>39538</v>
      </c>
      <c r="G238" s="48">
        <v>39685</v>
      </c>
      <c r="H238" s="46" t="s">
        <v>40</v>
      </c>
      <c r="I238" s="45">
        <v>30000</v>
      </c>
      <c r="J238" s="45">
        <v>15000</v>
      </c>
      <c r="K238" s="49" t="s">
        <v>4318</v>
      </c>
      <c r="L238" s="45"/>
      <c r="M238" s="3"/>
    </row>
    <row r="239" spans="1:60" x14ac:dyDescent="0.25">
      <c r="A239" s="46" t="s">
        <v>4457</v>
      </c>
      <c r="B239" s="46" t="s">
        <v>11646</v>
      </c>
      <c r="C239" s="46" t="s">
        <v>14</v>
      </c>
      <c r="D239" s="47">
        <v>4846</v>
      </c>
      <c r="E239" s="46" t="s">
        <v>4458</v>
      </c>
      <c r="F239" s="48">
        <v>39594</v>
      </c>
      <c r="G239" s="48">
        <v>39972</v>
      </c>
      <c r="H239" s="46" t="s">
        <v>40</v>
      </c>
      <c r="I239" s="45">
        <v>19951.46</v>
      </c>
      <c r="J239" s="45">
        <v>9975.73</v>
      </c>
      <c r="K239" s="49" t="s">
        <v>4318</v>
      </c>
      <c r="L239" s="45"/>
      <c r="M239" s="3"/>
    </row>
    <row r="240" spans="1:60" x14ac:dyDescent="0.25">
      <c r="A240" s="46" t="s">
        <v>4459</v>
      </c>
      <c r="B240" s="46" t="s">
        <v>11646</v>
      </c>
      <c r="C240" s="46" t="s">
        <v>14</v>
      </c>
      <c r="D240" s="47">
        <v>4849</v>
      </c>
      <c r="E240" s="46" t="s">
        <v>4460</v>
      </c>
      <c r="F240" s="48">
        <v>39538</v>
      </c>
      <c r="G240" s="48">
        <v>39967</v>
      </c>
      <c r="H240" s="46" t="s">
        <v>40</v>
      </c>
      <c r="I240" s="45">
        <v>40000</v>
      </c>
      <c r="J240" s="45">
        <v>20000</v>
      </c>
      <c r="K240" s="49" t="s">
        <v>4318</v>
      </c>
      <c r="L240" s="45"/>
      <c r="M240" s="3"/>
    </row>
    <row r="241" spans="1:13" x14ac:dyDescent="0.25">
      <c r="A241" s="46" t="s">
        <v>4465</v>
      </c>
      <c r="B241" s="46" t="s">
        <v>11646</v>
      </c>
      <c r="C241" s="46" t="s">
        <v>14</v>
      </c>
      <c r="D241" s="47">
        <v>4908</v>
      </c>
      <c r="E241" s="46" t="s">
        <v>4466</v>
      </c>
      <c r="F241" s="48">
        <v>39594</v>
      </c>
      <c r="G241" s="48">
        <v>40165</v>
      </c>
      <c r="H241" s="46" t="s">
        <v>40</v>
      </c>
      <c r="I241" s="45">
        <v>6865</v>
      </c>
      <c r="J241" s="45">
        <v>3432.5</v>
      </c>
      <c r="K241" s="49" t="s">
        <v>4318</v>
      </c>
      <c r="L241" s="45"/>
      <c r="M241" s="3"/>
    </row>
    <row r="242" spans="1:13" x14ac:dyDescent="0.25">
      <c r="A242" s="46" t="s">
        <v>4467</v>
      </c>
      <c r="B242" s="46" t="s">
        <v>11646</v>
      </c>
      <c r="C242" s="46" t="s">
        <v>14</v>
      </c>
      <c r="D242" s="47">
        <v>4910</v>
      </c>
      <c r="E242" s="46" t="s">
        <v>4468</v>
      </c>
      <c r="F242" s="48">
        <v>39815</v>
      </c>
      <c r="G242" s="48">
        <v>40073</v>
      </c>
      <c r="H242" s="46" t="s">
        <v>40</v>
      </c>
      <c r="I242" s="45">
        <v>10000</v>
      </c>
      <c r="J242" s="45">
        <v>5000</v>
      </c>
      <c r="K242" s="49" t="s">
        <v>4318</v>
      </c>
      <c r="L242" s="45"/>
      <c r="M242" s="3"/>
    </row>
    <row r="243" spans="1:13" x14ac:dyDescent="0.25">
      <c r="A243" s="46" t="s">
        <v>4469</v>
      </c>
      <c r="B243" s="46" t="s">
        <v>11646</v>
      </c>
      <c r="C243" s="46" t="s">
        <v>14</v>
      </c>
      <c r="D243" s="47">
        <v>4912</v>
      </c>
      <c r="E243" s="46" t="s">
        <v>4470</v>
      </c>
      <c r="F243" s="48">
        <v>39815</v>
      </c>
      <c r="G243" s="48">
        <v>39909</v>
      </c>
      <c r="H243" s="46" t="s">
        <v>40</v>
      </c>
      <c r="I243" s="45">
        <v>30000</v>
      </c>
      <c r="J243" s="45">
        <v>15000</v>
      </c>
      <c r="K243" s="49" t="s">
        <v>4318</v>
      </c>
      <c r="L243" s="45"/>
      <c r="M243" s="3"/>
    </row>
    <row r="244" spans="1:13" x14ac:dyDescent="0.25">
      <c r="A244" s="46" t="s">
        <v>4473</v>
      </c>
      <c r="B244" s="46" t="s">
        <v>11646</v>
      </c>
      <c r="C244" s="46" t="s">
        <v>14</v>
      </c>
      <c r="D244" s="47">
        <v>4919</v>
      </c>
      <c r="E244" s="46" t="s">
        <v>4474</v>
      </c>
      <c r="F244" s="48">
        <v>39853</v>
      </c>
      <c r="G244" s="48">
        <v>40043</v>
      </c>
      <c r="H244" s="46" t="s">
        <v>40</v>
      </c>
      <c r="I244" s="45">
        <v>7407</v>
      </c>
      <c r="J244" s="45">
        <v>3703.5</v>
      </c>
      <c r="K244" s="49" t="s">
        <v>4318</v>
      </c>
      <c r="L244" s="45"/>
      <c r="M244" s="3"/>
    </row>
    <row r="245" spans="1:13" x14ac:dyDescent="0.25">
      <c r="A245" s="46" t="s">
        <v>4475</v>
      </c>
      <c r="B245" s="46" t="s">
        <v>11646</v>
      </c>
      <c r="C245" s="46" t="s">
        <v>14</v>
      </c>
      <c r="D245" s="47">
        <v>4920</v>
      </c>
      <c r="E245" s="46" t="s">
        <v>4476</v>
      </c>
      <c r="F245" s="48">
        <v>39853</v>
      </c>
      <c r="G245" s="48">
        <v>40149</v>
      </c>
      <c r="H245" s="46" t="s">
        <v>40</v>
      </c>
      <c r="I245" s="45">
        <v>56500</v>
      </c>
      <c r="J245" s="45">
        <v>28250</v>
      </c>
      <c r="K245" s="49" t="s">
        <v>4318</v>
      </c>
      <c r="L245" s="45"/>
      <c r="M245" s="3"/>
    </row>
    <row r="246" spans="1:13" x14ac:dyDescent="0.25">
      <c r="A246" s="46" t="s">
        <v>4477</v>
      </c>
      <c r="B246" s="46" t="s">
        <v>11646</v>
      </c>
      <c r="C246" s="46" t="s">
        <v>14</v>
      </c>
      <c r="D246" s="47">
        <v>4921</v>
      </c>
      <c r="E246" s="46" t="s">
        <v>4478</v>
      </c>
      <c r="F246" s="48">
        <v>39853</v>
      </c>
      <c r="G246" s="48">
        <v>40164</v>
      </c>
      <c r="H246" s="46" t="s">
        <v>40</v>
      </c>
      <c r="I246" s="45">
        <v>80000</v>
      </c>
      <c r="J246" s="45">
        <v>40000</v>
      </c>
      <c r="K246" s="49" t="s">
        <v>4318</v>
      </c>
      <c r="L246" s="45"/>
      <c r="M246" s="3"/>
    </row>
    <row r="247" spans="1:13" x14ac:dyDescent="0.25">
      <c r="A247" s="46" t="s">
        <v>4479</v>
      </c>
      <c r="B247" s="46" t="s">
        <v>11646</v>
      </c>
      <c r="C247" s="46" t="s">
        <v>14</v>
      </c>
      <c r="D247" s="47">
        <v>4922</v>
      </c>
      <c r="E247" s="46" t="s">
        <v>4480</v>
      </c>
      <c r="F247" s="48">
        <v>39853</v>
      </c>
      <c r="G247" s="48">
        <v>40000</v>
      </c>
      <c r="H247" s="46" t="s">
        <v>40</v>
      </c>
      <c r="I247" s="45">
        <v>80000</v>
      </c>
      <c r="J247" s="45">
        <v>40000</v>
      </c>
      <c r="K247" s="49" t="s">
        <v>4318</v>
      </c>
      <c r="L247" s="45"/>
      <c r="M247" s="3"/>
    </row>
    <row r="248" spans="1:13" x14ac:dyDescent="0.25">
      <c r="A248" s="46" t="s">
        <v>4487</v>
      </c>
      <c r="B248" s="46" t="s">
        <v>11646</v>
      </c>
      <c r="C248" s="46" t="s">
        <v>14</v>
      </c>
      <c r="D248" s="47">
        <v>4931</v>
      </c>
      <c r="E248" s="46" t="s">
        <v>4488</v>
      </c>
      <c r="F248" s="48">
        <v>39853</v>
      </c>
      <c r="G248" s="48">
        <v>40126</v>
      </c>
      <c r="H248" s="46" t="s">
        <v>40</v>
      </c>
      <c r="I248" s="45">
        <v>5729</v>
      </c>
      <c r="J248" s="45">
        <v>2864.5</v>
      </c>
      <c r="K248" s="49" t="s">
        <v>4318</v>
      </c>
      <c r="L248" s="45"/>
      <c r="M248" s="3"/>
    </row>
    <row r="249" spans="1:13" x14ac:dyDescent="0.25">
      <c r="A249" s="46" t="s">
        <v>4489</v>
      </c>
      <c r="B249" s="46" t="s">
        <v>11646</v>
      </c>
      <c r="C249" s="46" t="s">
        <v>14</v>
      </c>
      <c r="D249" s="47">
        <v>4970</v>
      </c>
      <c r="E249" s="46" t="s">
        <v>4490</v>
      </c>
      <c r="F249" s="48">
        <v>39853</v>
      </c>
      <c r="G249" s="48">
        <v>40031</v>
      </c>
      <c r="H249" s="46" t="s">
        <v>40</v>
      </c>
      <c r="I249" s="45">
        <v>20000</v>
      </c>
      <c r="J249" s="45">
        <v>10000</v>
      </c>
      <c r="K249" s="49" t="s">
        <v>4318</v>
      </c>
      <c r="L249" s="45"/>
      <c r="M249" s="3"/>
    </row>
    <row r="250" spans="1:13" x14ac:dyDescent="0.25">
      <c r="A250" s="46" t="s">
        <v>4495</v>
      </c>
      <c r="B250" s="46" t="s">
        <v>11646</v>
      </c>
      <c r="C250" s="46" t="s">
        <v>14</v>
      </c>
      <c r="D250" s="47">
        <v>4994</v>
      </c>
      <c r="E250" s="46" t="s">
        <v>4496</v>
      </c>
      <c r="F250" s="48">
        <v>39904</v>
      </c>
      <c r="G250" s="48">
        <v>40170</v>
      </c>
      <c r="H250" s="46" t="s">
        <v>40</v>
      </c>
      <c r="I250" s="45">
        <v>49905.48</v>
      </c>
      <c r="J250" s="45">
        <v>24952.74</v>
      </c>
      <c r="K250" s="49" t="s">
        <v>4318</v>
      </c>
      <c r="L250" s="45"/>
      <c r="M250" s="3"/>
    </row>
    <row r="251" spans="1:13" ht="25.5" x14ac:dyDescent="0.25">
      <c r="A251" s="46" t="s">
        <v>4527</v>
      </c>
      <c r="B251" s="46" t="s">
        <v>11646</v>
      </c>
      <c r="C251" s="46" t="s">
        <v>14</v>
      </c>
      <c r="D251" s="47">
        <v>7214</v>
      </c>
      <c r="E251" s="46" t="s">
        <v>4528</v>
      </c>
      <c r="F251" s="48">
        <v>39538</v>
      </c>
      <c r="G251" s="48">
        <v>40186</v>
      </c>
      <c r="H251" s="46" t="s">
        <v>40</v>
      </c>
      <c r="I251" s="45">
        <v>40000</v>
      </c>
      <c r="J251" s="45">
        <v>20000</v>
      </c>
      <c r="K251" s="49" t="s">
        <v>4318</v>
      </c>
      <c r="L251" s="45"/>
      <c r="M251" s="3"/>
    </row>
    <row r="252" spans="1:13" ht="25.5" x14ac:dyDescent="0.25">
      <c r="A252" s="46" t="s">
        <v>4541</v>
      </c>
      <c r="B252" s="46" t="s">
        <v>11646</v>
      </c>
      <c r="C252" s="46" t="s">
        <v>14</v>
      </c>
      <c r="D252" s="47">
        <v>7221</v>
      </c>
      <c r="E252" s="46" t="s">
        <v>4542</v>
      </c>
      <c r="F252" s="48">
        <v>40091</v>
      </c>
      <c r="G252" s="48">
        <v>40205</v>
      </c>
      <c r="H252" s="46" t="s">
        <v>40</v>
      </c>
      <c r="I252" s="45">
        <v>16000</v>
      </c>
      <c r="J252" s="45">
        <v>8000</v>
      </c>
      <c r="K252" s="49" t="s">
        <v>4318</v>
      </c>
      <c r="L252" s="45"/>
      <c r="M252" s="3"/>
    </row>
    <row r="253" spans="1:13" x14ac:dyDescent="0.25">
      <c r="A253" s="46" t="s">
        <v>4824</v>
      </c>
      <c r="B253" s="46" t="s">
        <v>11646</v>
      </c>
      <c r="C253" s="46" t="s">
        <v>14</v>
      </c>
      <c r="D253" s="47">
        <v>2896</v>
      </c>
      <c r="E253" s="46" t="s">
        <v>4825</v>
      </c>
      <c r="F253" s="48">
        <v>39136</v>
      </c>
      <c r="G253" s="46"/>
      <c r="H253" s="46" t="s">
        <v>40</v>
      </c>
      <c r="I253" s="45">
        <v>120000</v>
      </c>
      <c r="J253" s="45">
        <v>60000</v>
      </c>
      <c r="K253" s="49" t="s">
        <v>4667</v>
      </c>
      <c r="L253" s="45"/>
      <c r="M253" s="3"/>
    </row>
    <row r="254" spans="1:13" x14ac:dyDescent="0.25">
      <c r="A254" s="46" t="s">
        <v>4826</v>
      </c>
      <c r="B254" s="46" t="s">
        <v>11646</v>
      </c>
      <c r="C254" s="46" t="s">
        <v>14</v>
      </c>
      <c r="D254" s="47">
        <v>2899</v>
      </c>
      <c r="E254" s="46" t="s">
        <v>4827</v>
      </c>
      <c r="F254" s="48">
        <v>39269</v>
      </c>
      <c r="G254" s="46"/>
      <c r="H254" s="46" t="s">
        <v>40</v>
      </c>
      <c r="I254" s="45">
        <v>150000</v>
      </c>
      <c r="J254" s="45">
        <v>75000</v>
      </c>
      <c r="K254" s="49" t="s">
        <v>4667</v>
      </c>
      <c r="L254" s="45"/>
      <c r="M254" s="3"/>
    </row>
    <row r="255" spans="1:13" x14ac:dyDescent="0.25">
      <c r="A255" s="46" t="s">
        <v>4830</v>
      </c>
      <c r="B255" s="46" t="s">
        <v>11646</v>
      </c>
      <c r="C255" s="46" t="s">
        <v>14</v>
      </c>
      <c r="D255" s="47">
        <v>2901</v>
      </c>
      <c r="E255" s="46" t="s">
        <v>4831</v>
      </c>
      <c r="F255" s="48">
        <v>39269</v>
      </c>
      <c r="G255" s="46"/>
      <c r="H255" s="46" t="s">
        <v>40</v>
      </c>
      <c r="I255" s="45">
        <v>28100</v>
      </c>
      <c r="J255" s="45">
        <v>14050</v>
      </c>
      <c r="K255" s="49" t="s">
        <v>4667</v>
      </c>
      <c r="L255" s="45"/>
      <c r="M255" s="3"/>
    </row>
    <row r="256" spans="1:13" x14ac:dyDescent="0.25">
      <c r="A256" s="46" t="s">
        <v>4832</v>
      </c>
      <c r="B256" s="46" t="s">
        <v>11646</v>
      </c>
      <c r="C256" s="46" t="s">
        <v>14</v>
      </c>
      <c r="D256" s="47">
        <v>2903</v>
      </c>
      <c r="E256" s="46" t="s">
        <v>4833</v>
      </c>
      <c r="F256" s="48">
        <v>39136</v>
      </c>
      <c r="G256" s="46"/>
      <c r="H256" s="46" t="s">
        <v>40</v>
      </c>
      <c r="I256" s="45">
        <v>50000</v>
      </c>
      <c r="J256" s="45">
        <v>25000</v>
      </c>
      <c r="K256" s="49" t="s">
        <v>4667</v>
      </c>
      <c r="L256" s="45"/>
      <c r="M256" s="3"/>
    </row>
    <row r="257" spans="1:13" x14ac:dyDescent="0.25">
      <c r="A257" s="46" t="s">
        <v>4836</v>
      </c>
      <c r="B257" s="46" t="s">
        <v>11646</v>
      </c>
      <c r="C257" s="46" t="s">
        <v>14</v>
      </c>
      <c r="D257" s="47">
        <v>2906</v>
      </c>
      <c r="E257" s="46" t="s">
        <v>4837</v>
      </c>
      <c r="F257" s="48">
        <v>39269</v>
      </c>
      <c r="G257" s="46"/>
      <c r="H257" s="46" t="s">
        <v>40</v>
      </c>
      <c r="I257" s="45">
        <v>40000</v>
      </c>
      <c r="J257" s="45">
        <v>20000</v>
      </c>
      <c r="K257" s="49" t="s">
        <v>4667</v>
      </c>
      <c r="L257" s="45"/>
      <c r="M257" s="3"/>
    </row>
    <row r="258" spans="1:13" x14ac:dyDescent="0.25">
      <c r="A258" s="46" t="s">
        <v>4838</v>
      </c>
      <c r="B258" s="46" t="s">
        <v>11646</v>
      </c>
      <c r="C258" s="46" t="s">
        <v>14</v>
      </c>
      <c r="D258" s="47">
        <v>2909</v>
      </c>
      <c r="E258" s="46" t="s">
        <v>4839</v>
      </c>
      <c r="F258" s="48">
        <v>39137</v>
      </c>
      <c r="G258" s="46"/>
      <c r="H258" s="46" t="s">
        <v>40</v>
      </c>
      <c r="I258" s="45">
        <v>20000</v>
      </c>
      <c r="J258" s="45">
        <v>10000</v>
      </c>
      <c r="K258" s="49" t="s">
        <v>4667</v>
      </c>
      <c r="L258" s="45"/>
      <c r="M258" s="3"/>
    </row>
    <row r="259" spans="1:13" x14ac:dyDescent="0.25">
      <c r="A259" s="46" t="s">
        <v>4840</v>
      </c>
      <c r="B259" s="46" t="s">
        <v>11646</v>
      </c>
      <c r="C259" s="46" t="s">
        <v>14</v>
      </c>
      <c r="D259" s="47">
        <v>2910</v>
      </c>
      <c r="E259" s="46" t="s">
        <v>4841</v>
      </c>
      <c r="F259" s="48">
        <v>39346</v>
      </c>
      <c r="G259" s="46"/>
      <c r="H259" s="46" t="s">
        <v>40</v>
      </c>
      <c r="I259" s="45">
        <v>60000</v>
      </c>
      <c r="J259" s="45">
        <v>30000</v>
      </c>
      <c r="K259" s="49" t="s">
        <v>4667</v>
      </c>
      <c r="L259" s="45"/>
      <c r="M259" s="3"/>
    </row>
    <row r="260" spans="1:13" x14ac:dyDescent="0.25">
      <c r="A260" s="46" t="s">
        <v>4844</v>
      </c>
      <c r="B260" s="46" t="s">
        <v>11646</v>
      </c>
      <c r="C260" s="46" t="s">
        <v>14</v>
      </c>
      <c r="D260" s="47">
        <v>2912</v>
      </c>
      <c r="E260" s="46" t="s">
        <v>4845</v>
      </c>
      <c r="F260" s="48">
        <v>39136</v>
      </c>
      <c r="G260" s="46"/>
      <c r="H260" s="46" t="s">
        <v>40</v>
      </c>
      <c r="I260" s="45">
        <v>143358</v>
      </c>
      <c r="J260" s="45">
        <v>71679</v>
      </c>
      <c r="K260" s="49" t="s">
        <v>4667</v>
      </c>
      <c r="L260" s="45"/>
      <c r="M260" s="3"/>
    </row>
    <row r="261" spans="1:13" x14ac:dyDescent="0.25">
      <c r="A261" s="46" t="s">
        <v>4850</v>
      </c>
      <c r="B261" s="46" t="s">
        <v>11646</v>
      </c>
      <c r="C261" s="46" t="s">
        <v>14</v>
      </c>
      <c r="D261" s="47">
        <v>2917</v>
      </c>
      <c r="E261" s="46" t="s">
        <v>4851</v>
      </c>
      <c r="F261" s="48">
        <v>39472</v>
      </c>
      <c r="G261" s="46"/>
      <c r="H261" s="46" t="s">
        <v>40</v>
      </c>
      <c r="I261" s="45">
        <v>49586</v>
      </c>
      <c r="J261" s="45">
        <v>24793</v>
      </c>
      <c r="K261" s="49" t="s">
        <v>4667</v>
      </c>
      <c r="L261" s="45"/>
      <c r="M261" s="3"/>
    </row>
    <row r="262" spans="1:13" x14ac:dyDescent="0.25">
      <c r="A262" s="46" t="s">
        <v>4852</v>
      </c>
      <c r="B262" s="46" t="s">
        <v>11646</v>
      </c>
      <c r="C262" s="46" t="s">
        <v>14</v>
      </c>
      <c r="D262" s="47">
        <v>2918</v>
      </c>
      <c r="E262" s="46" t="s">
        <v>4853</v>
      </c>
      <c r="F262" s="48">
        <v>39542</v>
      </c>
      <c r="G262" s="46"/>
      <c r="H262" s="46" t="s">
        <v>40</v>
      </c>
      <c r="I262" s="45">
        <v>16000</v>
      </c>
      <c r="J262" s="45">
        <v>8000</v>
      </c>
      <c r="K262" s="49" t="s">
        <v>4667</v>
      </c>
      <c r="L262" s="45"/>
      <c r="M262" s="3"/>
    </row>
    <row r="263" spans="1:13" x14ac:dyDescent="0.25">
      <c r="A263" s="46" t="s">
        <v>4854</v>
      </c>
      <c r="B263" s="46" t="s">
        <v>11646</v>
      </c>
      <c r="C263" s="46" t="s">
        <v>14</v>
      </c>
      <c r="D263" s="47">
        <v>2921</v>
      </c>
      <c r="E263" s="46" t="s">
        <v>4855</v>
      </c>
      <c r="F263" s="48">
        <v>39542</v>
      </c>
      <c r="G263" s="46"/>
      <c r="H263" s="46" t="s">
        <v>40</v>
      </c>
      <c r="I263" s="45">
        <v>50000</v>
      </c>
      <c r="J263" s="45">
        <v>25000</v>
      </c>
      <c r="K263" s="49" t="s">
        <v>4667</v>
      </c>
      <c r="L263" s="45"/>
      <c r="M263" s="3"/>
    </row>
    <row r="264" spans="1:13" x14ac:dyDescent="0.25">
      <c r="A264" s="46" t="s">
        <v>4856</v>
      </c>
      <c r="B264" s="46" t="s">
        <v>11646</v>
      </c>
      <c r="C264" s="46" t="s">
        <v>14</v>
      </c>
      <c r="D264" s="47">
        <v>2922</v>
      </c>
      <c r="E264" s="46" t="s">
        <v>4857</v>
      </c>
      <c r="F264" s="48">
        <v>39472</v>
      </c>
      <c r="G264" s="46"/>
      <c r="H264" s="46" t="s">
        <v>40</v>
      </c>
      <c r="I264" s="45">
        <v>40000</v>
      </c>
      <c r="J264" s="45">
        <v>20000</v>
      </c>
      <c r="K264" s="49" t="s">
        <v>4667</v>
      </c>
      <c r="L264" s="45"/>
      <c r="M264" s="3"/>
    </row>
    <row r="265" spans="1:13" x14ac:dyDescent="0.25">
      <c r="A265" s="46" t="s">
        <v>4859</v>
      </c>
      <c r="B265" s="46" t="s">
        <v>11646</v>
      </c>
      <c r="C265" s="46" t="s">
        <v>14</v>
      </c>
      <c r="D265" s="47">
        <v>2924</v>
      </c>
      <c r="E265" s="46" t="s">
        <v>4860</v>
      </c>
      <c r="F265" s="48">
        <v>39542</v>
      </c>
      <c r="G265" s="46"/>
      <c r="H265" s="46" t="s">
        <v>40</v>
      </c>
      <c r="I265" s="45">
        <v>7500</v>
      </c>
      <c r="J265" s="45">
        <v>7500</v>
      </c>
      <c r="K265" s="49" t="s">
        <v>4667</v>
      </c>
      <c r="L265" s="45"/>
      <c r="M265" s="3"/>
    </row>
    <row r="266" spans="1:13" x14ac:dyDescent="0.25">
      <c r="A266" s="46" t="s">
        <v>4867</v>
      </c>
      <c r="B266" s="46" t="s">
        <v>11646</v>
      </c>
      <c r="C266" s="46" t="s">
        <v>14</v>
      </c>
      <c r="D266" s="47">
        <v>2928</v>
      </c>
      <c r="E266" s="46" t="s">
        <v>4868</v>
      </c>
      <c r="F266" s="48">
        <v>39605</v>
      </c>
      <c r="G266" s="46"/>
      <c r="H266" s="46" t="s">
        <v>40</v>
      </c>
      <c r="I266" s="45">
        <v>89970</v>
      </c>
      <c r="J266" s="45">
        <v>45000</v>
      </c>
      <c r="K266" s="49" t="s">
        <v>4667</v>
      </c>
      <c r="L266" s="45"/>
      <c r="M266" s="3"/>
    </row>
    <row r="267" spans="1:13" x14ac:dyDescent="0.25">
      <c r="A267" s="46" t="s">
        <v>4869</v>
      </c>
      <c r="B267" s="46" t="s">
        <v>11646</v>
      </c>
      <c r="C267" s="46" t="s">
        <v>14</v>
      </c>
      <c r="D267" s="47">
        <v>2929</v>
      </c>
      <c r="E267" s="46" t="s">
        <v>4870</v>
      </c>
      <c r="F267" s="48">
        <v>39605</v>
      </c>
      <c r="G267" s="46"/>
      <c r="H267" s="46" t="s">
        <v>40</v>
      </c>
      <c r="I267" s="45">
        <v>3870</v>
      </c>
      <c r="J267" s="45">
        <v>1935</v>
      </c>
      <c r="K267" s="49" t="s">
        <v>4667</v>
      </c>
      <c r="L267" s="45"/>
      <c r="M267" s="3"/>
    </row>
    <row r="268" spans="1:13" x14ac:dyDescent="0.25">
      <c r="A268" s="46" t="s">
        <v>4890</v>
      </c>
      <c r="B268" s="46" t="s">
        <v>11646</v>
      </c>
      <c r="C268" s="46" t="s">
        <v>14</v>
      </c>
      <c r="D268" s="47">
        <v>5824</v>
      </c>
      <c r="E268" s="46" t="s">
        <v>4891</v>
      </c>
      <c r="F268" s="48">
        <v>39891</v>
      </c>
      <c r="G268" s="46"/>
      <c r="H268" s="46" t="s">
        <v>40</v>
      </c>
      <c r="I268" s="45">
        <v>8958</v>
      </c>
      <c r="J268" s="45">
        <v>4479</v>
      </c>
      <c r="K268" s="49" t="s">
        <v>4667</v>
      </c>
      <c r="L268" s="45"/>
      <c r="M268" s="3"/>
    </row>
    <row r="269" spans="1:13" ht="25.5" x14ac:dyDescent="0.25">
      <c r="A269" s="46" t="s">
        <v>4892</v>
      </c>
      <c r="B269" s="46" t="s">
        <v>11646</v>
      </c>
      <c r="C269" s="46" t="s">
        <v>14</v>
      </c>
      <c r="D269" s="47">
        <v>5825</v>
      </c>
      <c r="E269" s="46" t="s">
        <v>4893</v>
      </c>
      <c r="F269" s="48">
        <v>39966</v>
      </c>
      <c r="G269" s="46"/>
      <c r="H269" s="46" t="s">
        <v>40</v>
      </c>
      <c r="I269" s="45">
        <v>30540</v>
      </c>
      <c r="J269" s="45">
        <v>15270</v>
      </c>
      <c r="K269" s="49" t="s">
        <v>4667</v>
      </c>
      <c r="L269" s="45"/>
      <c r="M269" s="3"/>
    </row>
    <row r="270" spans="1:13" x14ac:dyDescent="0.25">
      <c r="A270" s="46" t="s">
        <v>5078</v>
      </c>
      <c r="B270" s="46" t="s">
        <v>11646</v>
      </c>
      <c r="C270" s="46" t="s">
        <v>14</v>
      </c>
      <c r="D270" s="47">
        <v>1558</v>
      </c>
      <c r="E270" s="46" t="s">
        <v>5079</v>
      </c>
      <c r="F270" s="48">
        <v>39258</v>
      </c>
      <c r="G270" s="48">
        <v>39624</v>
      </c>
      <c r="H270" s="46" t="s">
        <v>40</v>
      </c>
      <c r="I270" s="45">
        <v>23754</v>
      </c>
      <c r="J270" s="45">
        <v>11877</v>
      </c>
      <c r="K270" s="49" t="s">
        <v>5018</v>
      </c>
      <c r="L270" s="45"/>
      <c r="M270" s="3"/>
    </row>
    <row r="271" spans="1:13" x14ac:dyDescent="0.25">
      <c r="A271" s="46" t="s">
        <v>5082</v>
      </c>
      <c r="B271" s="46" t="s">
        <v>11646</v>
      </c>
      <c r="C271" s="46" t="s">
        <v>14</v>
      </c>
      <c r="D271" s="47">
        <v>1565</v>
      </c>
      <c r="E271" s="46" t="s">
        <v>5083</v>
      </c>
      <c r="F271" s="48">
        <v>39202</v>
      </c>
      <c r="G271" s="48">
        <v>39568</v>
      </c>
      <c r="H271" s="46" t="s">
        <v>40</v>
      </c>
      <c r="I271" s="45">
        <v>18477.84</v>
      </c>
      <c r="J271" s="45">
        <v>9238.92</v>
      </c>
      <c r="K271" s="49" t="s">
        <v>5018</v>
      </c>
      <c r="L271" s="45"/>
      <c r="M271" s="3"/>
    </row>
    <row r="272" spans="1:13" x14ac:dyDescent="0.25">
      <c r="A272" s="46" t="s">
        <v>5092</v>
      </c>
      <c r="B272" s="46" t="s">
        <v>11646</v>
      </c>
      <c r="C272" s="46" t="s">
        <v>14</v>
      </c>
      <c r="D272" s="47">
        <v>1583</v>
      </c>
      <c r="E272" s="46" t="s">
        <v>5093</v>
      </c>
      <c r="F272" s="48">
        <v>39258</v>
      </c>
      <c r="G272" s="48">
        <v>39624</v>
      </c>
      <c r="H272" s="46" t="s">
        <v>40</v>
      </c>
      <c r="I272" s="45">
        <v>38400</v>
      </c>
      <c r="J272" s="45">
        <v>19200</v>
      </c>
      <c r="K272" s="49" t="s">
        <v>5018</v>
      </c>
      <c r="L272" s="45"/>
      <c r="M272" s="3"/>
    </row>
    <row r="273" spans="1:13" x14ac:dyDescent="0.25">
      <c r="A273" s="46" t="s">
        <v>5096</v>
      </c>
      <c r="B273" s="46" t="s">
        <v>11646</v>
      </c>
      <c r="C273" s="46" t="s">
        <v>14</v>
      </c>
      <c r="D273" s="47">
        <v>1588</v>
      </c>
      <c r="E273" s="46" t="s">
        <v>5097</v>
      </c>
      <c r="F273" s="48">
        <v>39258</v>
      </c>
      <c r="G273" s="48">
        <v>39624</v>
      </c>
      <c r="H273" s="46" t="s">
        <v>40</v>
      </c>
      <c r="I273" s="45">
        <v>10006</v>
      </c>
      <c r="J273" s="45">
        <v>5003</v>
      </c>
      <c r="K273" s="49" t="s">
        <v>5018</v>
      </c>
      <c r="L273" s="45"/>
      <c r="M273" s="3"/>
    </row>
    <row r="274" spans="1:13" x14ac:dyDescent="0.25">
      <c r="A274" s="46" t="s">
        <v>5104</v>
      </c>
      <c r="B274" s="46" t="s">
        <v>11646</v>
      </c>
      <c r="C274" s="46" t="s">
        <v>14</v>
      </c>
      <c r="D274" s="47">
        <v>1602</v>
      </c>
      <c r="E274" s="46" t="s">
        <v>5105</v>
      </c>
      <c r="F274" s="48">
        <v>39335</v>
      </c>
      <c r="G274" s="48">
        <v>39701</v>
      </c>
      <c r="H274" s="46" t="s">
        <v>40</v>
      </c>
      <c r="I274" s="45">
        <v>49200</v>
      </c>
      <c r="J274" s="45">
        <v>24600</v>
      </c>
      <c r="K274" s="49" t="s">
        <v>5018</v>
      </c>
      <c r="L274" s="45"/>
      <c r="M274" s="3"/>
    </row>
    <row r="275" spans="1:13" x14ac:dyDescent="0.25">
      <c r="A275" s="46" t="s">
        <v>5116</v>
      </c>
      <c r="B275" s="46" t="s">
        <v>11646</v>
      </c>
      <c r="C275" s="46" t="s">
        <v>14</v>
      </c>
      <c r="D275" s="47">
        <v>1612</v>
      </c>
      <c r="E275" s="46" t="s">
        <v>5117</v>
      </c>
      <c r="F275" s="48">
        <v>39202</v>
      </c>
      <c r="G275" s="48">
        <v>39598</v>
      </c>
      <c r="H275" s="46" t="s">
        <v>40</v>
      </c>
      <c r="I275" s="45">
        <v>24292</v>
      </c>
      <c r="J275" s="45">
        <v>12146</v>
      </c>
      <c r="K275" s="49" t="s">
        <v>5018</v>
      </c>
      <c r="L275" s="45"/>
      <c r="M275" s="3"/>
    </row>
    <row r="276" spans="1:13" x14ac:dyDescent="0.25">
      <c r="A276" s="46" t="s">
        <v>5126</v>
      </c>
      <c r="B276" s="46" t="s">
        <v>11646</v>
      </c>
      <c r="C276" s="46" t="s">
        <v>14</v>
      </c>
      <c r="D276" s="47">
        <v>1618</v>
      </c>
      <c r="E276" s="46" t="s">
        <v>5127</v>
      </c>
      <c r="F276" s="48">
        <v>39448</v>
      </c>
      <c r="G276" s="48">
        <v>39814</v>
      </c>
      <c r="H276" s="46" t="s">
        <v>40</v>
      </c>
      <c r="I276" s="45">
        <v>150000</v>
      </c>
      <c r="J276" s="45">
        <v>75000</v>
      </c>
      <c r="K276" s="49" t="s">
        <v>5018</v>
      </c>
      <c r="L276" s="45"/>
      <c r="M276" s="3"/>
    </row>
    <row r="277" spans="1:13" x14ac:dyDescent="0.25">
      <c r="A277" s="46" t="s">
        <v>5128</v>
      </c>
      <c r="B277" s="46" t="s">
        <v>11646</v>
      </c>
      <c r="C277" s="46" t="s">
        <v>14</v>
      </c>
      <c r="D277" s="47">
        <v>1621</v>
      </c>
      <c r="E277" s="46" t="s">
        <v>5129</v>
      </c>
      <c r="F277" s="48">
        <v>39503</v>
      </c>
      <c r="G277" s="48">
        <v>39994</v>
      </c>
      <c r="H277" s="46" t="s">
        <v>40</v>
      </c>
      <c r="I277" s="45">
        <v>15000</v>
      </c>
      <c r="J277" s="45">
        <v>7500</v>
      </c>
      <c r="K277" s="49" t="s">
        <v>5018</v>
      </c>
      <c r="L277" s="45"/>
      <c r="M277" s="3"/>
    </row>
    <row r="278" spans="1:13" x14ac:dyDescent="0.25">
      <c r="A278" s="46" t="s">
        <v>5145</v>
      </c>
      <c r="B278" s="46" t="s">
        <v>11646</v>
      </c>
      <c r="C278" s="46" t="s">
        <v>14</v>
      </c>
      <c r="D278" s="47">
        <v>1633</v>
      </c>
      <c r="E278" s="46" t="s">
        <v>5146</v>
      </c>
      <c r="F278" s="48">
        <v>39755</v>
      </c>
      <c r="G278" s="48">
        <v>40120</v>
      </c>
      <c r="H278" s="46" t="s">
        <v>40</v>
      </c>
      <c r="I278" s="45">
        <v>30000</v>
      </c>
      <c r="J278" s="45">
        <v>15000</v>
      </c>
      <c r="K278" s="49" t="s">
        <v>5018</v>
      </c>
      <c r="L278" s="45"/>
      <c r="M278" s="3"/>
    </row>
    <row r="279" spans="1:13" x14ac:dyDescent="0.25">
      <c r="A279" s="46" t="s">
        <v>5344</v>
      </c>
      <c r="B279" s="46" t="s">
        <v>11646</v>
      </c>
      <c r="C279" s="46" t="s">
        <v>14</v>
      </c>
      <c r="D279" s="47">
        <v>4559</v>
      </c>
      <c r="E279" s="46" t="s">
        <v>5345</v>
      </c>
      <c r="F279" s="48">
        <v>39909</v>
      </c>
      <c r="G279" s="48">
        <v>40274</v>
      </c>
      <c r="H279" s="46" t="s">
        <v>40</v>
      </c>
      <c r="I279" s="45">
        <v>16200</v>
      </c>
      <c r="J279" s="45">
        <v>8100</v>
      </c>
      <c r="K279" s="49" t="s">
        <v>5018</v>
      </c>
      <c r="L279" s="45"/>
      <c r="M279" s="3"/>
    </row>
    <row r="280" spans="1:13" x14ac:dyDescent="0.25">
      <c r="A280" s="46" t="s">
        <v>5346</v>
      </c>
      <c r="B280" s="46" t="s">
        <v>11646</v>
      </c>
      <c r="C280" s="46" t="s">
        <v>14</v>
      </c>
      <c r="D280" s="47">
        <v>4562</v>
      </c>
      <c r="E280" s="46" t="s">
        <v>5347</v>
      </c>
      <c r="F280" s="48">
        <v>39755</v>
      </c>
      <c r="G280" s="48">
        <v>40178</v>
      </c>
      <c r="H280" s="46" t="s">
        <v>40</v>
      </c>
      <c r="I280" s="45">
        <v>54800</v>
      </c>
      <c r="J280" s="45">
        <v>27400</v>
      </c>
      <c r="K280" s="49" t="s">
        <v>5018</v>
      </c>
      <c r="L280" s="45"/>
      <c r="M280" s="3"/>
    </row>
    <row r="281" spans="1:13" x14ac:dyDescent="0.25">
      <c r="A281" s="46" t="s">
        <v>5353</v>
      </c>
      <c r="B281" s="46" t="s">
        <v>11646</v>
      </c>
      <c r="C281" s="46" t="s">
        <v>14</v>
      </c>
      <c r="D281" s="47">
        <v>4571</v>
      </c>
      <c r="E281" s="46" t="s">
        <v>5354</v>
      </c>
      <c r="F281" s="48">
        <v>39909</v>
      </c>
      <c r="G281" s="48">
        <v>40274</v>
      </c>
      <c r="H281" s="46" t="s">
        <v>40</v>
      </c>
      <c r="I281" s="45">
        <v>150000</v>
      </c>
      <c r="J281" s="45">
        <v>75000</v>
      </c>
      <c r="K281" s="49" t="s">
        <v>5018</v>
      </c>
      <c r="L281" s="45"/>
      <c r="M281" s="3"/>
    </row>
    <row r="282" spans="1:13" x14ac:dyDescent="0.25">
      <c r="A282" s="46" t="s">
        <v>5369</v>
      </c>
      <c r="B282" s="46" t="s">
        <v>11646</v>
      </c>
      <c r="C282" s="46" t="s">
        <v>14</v>
      </c>
      <c r="D282" s="47">
        <v>5314</v>
      </c>
      <c r="E282" s="46" t="s">
        <v>5370</v>
      </c>
      <c r="F282" s="48">
        <v>39713</v>
      </c>
      <c r="G282" s="48">
        <v>40078</v>
      </c>
      <c r="H282" s="46" t="s">
        <v>40</v>
      </c>
      <c r="I282" s="45">
        <v>45065.5</v>
      </c>
      <c r="J282" s="45">
        <v>22532.75</v>
      </c>
      <c r="K282" s="49" t="s">
        <v>5018</v>
      </c>
      <c r="L282" s="45"/>
      <c r="M282" s="3"/>
    </row>
    <row r="283" spans="1:13" ht="25.5" x14ac:dyDescent="0.25">
      <c r="A283" s="46" t="s">
        <v>5371</v>
      </c>
      <c r="B283" s="46" t="s">
        <v>11646</v>
      </c>
      <c r="C283" s="46" t="s">
        <v>14</v>
      </c>
      <c r="D283" s="47">
        <v>5318</v>
      </c>
      <c r="E283" s="46" t="s">
        <v>5372</v>
      </c>
      <c r="F283" s="48">
        <v>39958</v>
      </c>
      <c r="G283" s="48">
        <v>40323</v>
      </c>
      <c r="H283" s="46" t="s">
        <v>40</v>
      </c>
      <c r="I283" s="45">
        <v>35369.54</v>
      </c>
      <c r="J283" s="45">
        <v>17684.77</v>
      </c>
      <c r="K283" s="49" t="s">
        <v>5018</v>
      </c>
      <c r="L283" s="45"/>
      <c r="M283" s="3"/>
    </row>
    <row r="284" spans="1:13" x14ac:dyDescent="0.25">
      <c r="A284" s="46" t="s">
        <v>5379</v>
      </c>
      <c r="B284" s="46" t="s">
        <v>11646</v>
      </c>
      <c r="C284" s="46" t="s">
        <v>14</v>
      </c>
      <c r="D284" s="47">
        <v>5323</v>
      </c>
      <c r="E284" s="46" t="s">
        <v>5380</v>
      </c>
      <c r="F284" s="48">
        <v>40161</v>
      </c>
      <c r="G284" s="48">
        <v>40526</v>
      </c>
      <c r="H284" s="46" t="s">
        <v>40</v>
      </c>
      <c r="I284" s="45">
        <v>63361.88</v>
      </c>
      <c r="J284" s="45">
        <v>31680.94</v>
      </c>
      <c r="K284" s="49" t="s">
        <v>5018</v>
      </c>
      <c r="L284" s="45"/>
      <c r="M284" s="3"/>
    </row>
    <row r="285" spans="1:13" x14ac:dyDescent="0.25">
      <c r="A285" s="46" t="s">
        <v>5381</v>
      </c>
      <c r="B285" s="46" t="s">
        <v>11646</v>
      </c>
      <c r="C285" s="46" t="s">
        <v>14</v>
      </c>
      <c r="D285" s="47">
        <v>5324</v>
      </c>
      <c r="E285" s="46" t="s">
        <v>5382</v>
      </c>
      <c r="F285" s="48">
        <v>39958</v>
      </c>
      <c r="G285" s="48">
        <v>40323</v>
      </c>
      <c r="H285" s="46" t="s">
        <v>40</v>
      </c>
      <c r="I285" s="45">
        <v>150000</v>
      </c>
      <c r="J285" s="45">
        <v>75000</v>
      </c>
      <c r="K285" s="49" t="s">
        <v>5018</v>
      </c>
      <c r="L285" s="45"/>
      <c r="M285" s="3"/>
    </row>
    <row r="286" spans="1:13" ht="25.5" x14ac:dyDescent="0.25">
      <c r="A286" s="46" t="s">
        <v>5465</v>
      </c>
      <c r="B286" s="46" t="s">
        <v>11646</v>
      </c>
      <c r="C286" s="46" t="s">
        <v>14</v>
      </c>
      <c r="D286" s="47">
        <v>7364</v>
      </c>
      <c r="E286" s="46" t="s">
        <v>5466</v>
      </c>
      <c r="F286" s="48">
        <v>39909</v>
      </c>
      <c r="G286" s="48">
        <v>40345</v>
      </c>
      <c r="H286" s="46" t="s">
        <v>40</v>
      </c>
      <c r="I286" s="45">
        <v>110000</v>
      </c>
      <c r="J286" s="45">
        <v>55000</v>
      </c>
      <c r="K286" s="49" t="s">
        <v>5018</v>
      </c>
      <c r="L286" s="45"/>
      <c r="M286" s="3"/>
    </row>
    <row r="287" spans="1:13" x14ac:dyDescent="0.25">
      <c r="A287" s="46" t="s">
        <v>5889</v>
      </c>
      <c r="B287" s="46" t="s">
        <v>11646</v>
      </c>
      <c r="C287" s="46" t="s">
        <v>14</v>
      </c>
      <c r="D287" s="47">
        <v>624</v>
      </c>
      <c r="E287" s="46" t="s">
        <v>5890</v>
      </c>
      <c r="F287" s="48">
        <v>39140</v>
      </c>
      <c r="G287" s="48">
        <v>39958</v>
      </c>
      <c r="H287" s="46" t="s">
        <v>40</v>
      </c>
      <c r="I287" s="45">
        <v>28655.5</v>
      </c>
      <c r="J287" s="45">
        <v>14327.75</v>
      </c>
      <c r="K287" s="49" t="s">
        <v>5815</v>
      </c>
      <c r="L287" s="45"/>
      <c r="M287" s="3"/>
    </row>
    <row r="288" spans="1:13" ht="25.5" x14ac:dyDescent="0.25">
      <c r="A288" s="46" t="s">
        <v>5891</v>
      </c>
      <c r="B288" s="46" t="s">
        <v>11646</v>
      </c>
      <c r="C288" s="46" t="s">
        <v>14</v>
      </c>
      <c r="D288" s="47">
        <v>627</v>
      </c>
      <c r="E288" s="46" t="s">
        <v>5892</v>
      </c>
      <c r="F288" s="48">
        <v>39335</v>
      </c>
      <c r="G288" s="48">
        <v>39813</v>
      </c>
      <c r="H288" s="46" t="s">
        <v>40</v>
      </c>
      <c r="I288" s="45">
        <v>17811.68</v>
      </c>
      <c r="J288" s="45">
        <v>8905.84</v>
      </c>
      <c r="K288" s="49" t="s">
        <v>5815</v>
      </c>
      <c r="L288" s="45"/>
      <c r="M288" s="3"/>
    </row>
    <row r="289" spans="1:13" x14ac:dyDescent="0.25">
      <c r="A289" s="46" t="s">
        <v>5893</v>
      </c>
      <c r="B289" s="46" t="s">
        <v>11646</v>
      </c>
      <c r="C289" s="46" t="s">
        <v>14</v>
      </c>
      <c r="D289" s="47">
        <v>629</v>
      </c>
      <c r="E289" s="46" t="s">
        <v>5894</v>
      </c>
      <c r="F289" s="48">
        <v>39367</v>
      </c>
      <c r="G289" s="48">
        <v>39813</v>
      </c>
      <c r="H289" s="46" t="s">
        <v>40</v>
      </c>
      <c r="I289" s="45">
        <v>5000</v>
      </c>
      <c r="J289" s="45">
        <v>2500</v>
      </c>
      <c r="K289" s="49" t="s">
        <v>5815</v>
      </c>
      <c r="L289" s="45"/>
      <c r="M289" s="3"/>
    </row>
    <row r="290" spans="1:13" x14ac:dyDescent="0.25">
      <c r="A290" s="46" t="s">
        <v>5895</v>
      </c>
      <c r="B290" s="46" t="s">
        <v>11646</v>
      </c>
      <c r="C290" s="46" t="s">
        <v>14</v>
      </c>
      <c r="D290" s="47">
        <v>630</v>
      </c>
      <c r="E290" s="46" t="s">
        <v>5896</v>
      </c>
      <c r="F290" s="48">
        <v>39407</v>
      </c>
      <c r="G290" s="48">
        <v>39813</v>
      </c>
      <c r="H290" s="46" t="s">
        <v>40</v>
      </c>
      <c r="I290" s="45">
        <v>30000</v>
      </c>
      <c r="J290" s="45">
        <v>15000</v>
      </c>
      <c r="K290" s="49" t="s">
        <v>5815</v>
      </c>
      <c r="L290" s="45"/>
      <c r="M290" s="3"/>
    </row>
    <row r="291" spans="1:13" x14ac:dyDescent="0.25">
      <c r="A291" s="46" t="s">
        <v>5897</v>
      </c>
      <c r="B291" s="46" t="s">
        <v>11646</v>
      </c>
      <c r="C291" s="46" t="s">
        <v>14</v>
      </c>
      <c r="D291" s="47">
        <v>632</v>
      </c>
      <c r="E291" s="46" t="s">
        <v>5898</v>
      </c>
      <c r="F291" s="48">
        <v>39420</v>
      </c>
      <c r="G291" s="48">
        <v>39813</v>
      </c>
      <c r="H291" s="46" t="s">
        <v>40</v>
      </c>
      <c r="I291" s="45">
        <v>10000</v>
      </c>
      <c r="J291" s="45">
        <v>5000</v>
      </c>
      <c r="K291" s="49" t="s">
        <v>5815</v>
      </c>
      <c r="L291" s="45"/>
      <c r="M291" s="3"/>
    </row>
    <row r="292" spans="1:13" ht="25.5" x14ac:dyDescent="0.25">
      <c r="A292" s="46" t="s">
        <v>5899</v>
      </c>
      <c r="B292" s="46" t="s">
        <v>11646</v>
      </c>
      <c r="C292" s="46" t="s">
        <v>14</v>
      </c>
      <c r="D292" s="47">
        <v>634</v>
      </c>
      <c r="E292" s="46" t="s">
        <v>5900</v>
      </c>
      <c r="F292" s="48">
        <v>39435</v>
      </c>
      <c r="G292" s="48">
        <v>39813</v>
      </c>
      <c r="H292" s="46" t="s">
        <v>40</v>
      </c>
      <c r="I292" s="45">
        <v>10000</v>
      </c>
      <c r="J292" s="45">
        <v>5000</v>
      </c>
      <c r="K292" s="49" t="s">
        <v>5815</v>
      </c>
      <c r="L292" s="45"/>
      <c r="M292" s="3"/>
    </row>
    <row r="293" spans="1:13" x14ac:dyDescent="0.25">
      <c r="A293" s="46" t="s">
        <v>5907</v>
      </c>
      <c r="B293" s="46" t="s">
        <v>11646</v>
      </c>
      <c r="C293" s="46" t="s">
        <v>14</v>
      </c>
      <c r="D293" s="47">
        <v>642</v>
      </c>
      <c r="E293" s="46" t="s">
        <v>5908</v>
      </c>
      <c r="F293" s="48">
        <v>39519</v>
      </c>
      <c r="G293" s="48">
        <v>39813</v>
      </c>
      <c r="H293" s="46" t="s">
        <v>40</v>
      </c>
      <c r="I293" s="45">
        <v>33970</v>
      </c>
      <c r="J293" s="45">
        <v>16985</v>
      </c>
      <c r="K293" s="49" t="s">
        <v>5815</v>
      </c>
      <c r="L293" s="45"/>
      <c r="M293" s="3"/>
    </row>
    <row r="294" spans="1:13" ht="25.5" x14ac:dyDescent="0.25">
      <c r="A294" s="46" t="s">
        <v>5909</v>
      </c>
      <c r="B294" s="46" t="s">
        <v>11646</v>
      </c>
      <c r="C294" s="46" t="s">
        <v>14</v>
      </c>
      <c r="D294" s="47">
        <v>643</v>
      </c>
      <c r="E294" s="46" t="s">
        <v>5910</v>
      </c>
      <c r="F294" s="48">
        <v>39519</v>
      </c>
      <c r="G294" s="48">
        <v>39813</v>
      </c>
      <c r="H294" s="46" t="s">
        <v>40</v>
      </c>
      <c r="I294" s="45">
        <v>18000</v>
      </c>
      <c r="J294" s="45">
        <v>9000</v>
      </c>
      <c r="K294" s="49" t="s">
        <v>5815</v>
      </c>
      <c r="L294" s="45"/>
      <c r="M294" s="3"/>
    </row>
    <row r="295" spans="1:13" x14ac:dyDescent="0.25">
      <c r="A295" s="46" t="s">
        <v>5915</v>
      </c>
      <c r="B295" s="46" t="s">
        <v>11646</v>
      </c>
      <c r="C295" s="46" t="s">
        <v>14</v>
      </c>
      <c r="D295" s="47">
        <v>646</v>
      </c>
      <c r="E295" s="46" t="s">
        <v>5916</v>
      </c>
      <c r="F295" s="48">
        <v>39654</v>
      </c>
      <c r="G295" s="48">
        <v>39813</v>
      </c>
      <c r="H295" s="46" t="s">
        <v>40</v>
      </c>
      <c r="I295" s="45">
        <v>20000</v>
      </c>
      <c r="J295" s="45">
        <v>10000</v>
      </c>
      <c r="K295" s="49" t="s">
        <v>5815</v>
      </c>
      <c r="L295" s="45"/>
      <c r="M295" s="3"/>
    </row>
    <row r="296" spans="1:13" ht="25.5" x14ac:dyDescent="0.25">
      <c r="A296" s="46" t="s">
        <v>5917</v>
      </c>
      <c r="B296" s="46" t="s">
        <v>11646</v>
      </c>
      <c r="C296" s="46" t="s">
        <v>14</v>
      </c>
      <c r="D296" s="47">
        <v>647</v>
      </c>
      <c r="E296" s="46" t="s">
        <v>5918</v>
      </c>
      <c r="F296" s="48">
        <v>39797</v>
      </c>
      <c r="G296" s="46"/>
      <c r="H296" s="46" t="s">
        <v>40</v>
      </c>
      <c r="I296" s="45">
        <v>30843</v>
      </c>
      <c r="J296" s="45">
        <v>15421.5</v>
      </c>
      <c r="K296" s="49" t="s">
        <v>5815</v>
      </c>
      <c r="L296" s="45"/>
      <c r="M296" s="3"/>
    </row>
    <row r="297" spans="1:13" ht="25.5" x14ac:dyDescent="0.25">
      <c r="A297" s="46" t="s">
        <v>5919</v>
      </c>
      <c r="B297" s="46" t="s">
        <v>11646</v>
      </c>
      <c r="C297" s="46" t="s">
        <v>14</v>
      </c>
      <c r="D297" s="47">
        <v>648</v>
      </c>
      <c r="E297" s="46" t="s">
        <v>5920</v>
      </c>
      <c r="F297" s="48">
        <v>39629</v>
      </c>
      <c r="G297" s="48">
        <v>39813</v>
      </c>
      <c r="H297" s="46" t="s">
        <v>40</v>
      </c>
      <c r="I297" s="45">
        <v>25000</v>
      </c>
      <c r="J297" s="45">
        <v>12500</v>
      </c>
      <c r="K297" s="49" t="s">
        <v>5815</v>
      </c>
      <c r="L297" s="45"/>
      <c r="M297" s="3"/>
    </row>
    <row r="298" spans="1:13" ht="25.5" x14ac:dyDescent="0.25">
      <c r="A298" s="46" t="s">
        <v>5991</v>
      </c>
      <c r="B298" s="46" t="s">
        <v>11646</v>
      </c>
      <c r="C298" s="46" t="s">
        <v>14</v>
      </c>
      <c r="D298" s="47">
        <v>685</v>
      </c>
      <c r="E298" s="46" t="s">
        <v>5992</v>
      </c>
      <c r="F298" s="48">
        <v>39083</v>
      </c>
      <c r="G298" s="48">
        <v>39813</v>
      </c>
      <c r="H298" s="46" t="s">
        <v>40</v>
      </c>
      <c r="I298" s="45">
        <v>2700</v>
      </c>
      <c r="J298" s="45">
        <v>2700</v>
      </c>
      <c r="K298" s="49" t="s">
        <v>5815</v>
      </c>
      <c r="L298" s="45"/>
      <c r="M298" s="3"/>
    </row>
    <row r="299" spans="1:13" ht="25.5" x14ac:dyDescent="0.25">
      <c r="A299" s="46" t="s">
        <v>6010</v>
      </c>
      <c r="B299" s="46" t="s">
        <v>11646</v>
      </c>
      <c r="C299" s="46" t="s">
        <v>14</v>
      </c>
      <c r="D299" s="47">
        <v>5188</v>
      </c>
      <c r="E299" s="46" t="s">
        <v>6011</v>
      </c>
      <c r="F299" s="48">
        <v>39954</v>
      </c>
      <c r="G299" s="48">
        <v>39954</v>
      </c>
      <c r="H299" s="46" t="s">
        <v>40</v>
      </c>
      <c r="I299" s="45">
        <v>5000</v>
      </c>
      <c r="J299" s="45">
        <v>2500</v>
      </c>
      <c r="K299" s="49" t="s">
        <v>5815</v>
      </c>
      <c r="L299" s="45"/>
      <c r="M299" s="3"/>
    </row>
    <row r="300" spans="1:13" x14ac:dyDescent="0.25">
      <c r="A300" s="46" t="s">
        <v>6012</v>
      </c>
      <c r="B300" s="46" t="s">
        <v>11646</v>
      </c>
      <c r="C300" s="46" t="s">
        <v>14</v>
      </c>
      <c r="D300" s="47">
        <v>5192</v>
      </c>
      <c r="E300" s="46" t="s">
        <v>6013</v>
      </c>
      <c r="F300" s="48">
        <v>39954</v>
      </c>
      <c r="G300" s="48">
        <v>39954</v>
      </c>
      <c r="H300" s="46" t="s">
        <v>40</v>
      </c>
      <c r="I300" s="45">
        <v>868</v>
      </c>
      <c r="J300" s="45">
        <v>434</v>
      </c>
      <c r="K300" s="49" t="s">
        <v>5815</v>
      </c>
      <c r="L300" s="45"/>
      <c r="M300" s="3"/>
    </row>
    <row r="301" spans="1:13" ht="38.25" x14ac:dyDescent="0.25">
      <c r="A301" s="46" t="s">
        <v>6048</v>
      </c>
      <c r="B301" s="46" t="s">
        <v>11646</v>
      </c>
      <c r="C301" s="46" t="s">
        <v>14</v>
      </c>
      <c r="D301" s="47">
        <v>5349</v>
      </c>
      <c r="E301" s="46" t="s">
        <v>6049</v>
      </c>
      <c r="F301" s="48">
        <v>40057</v>
      </c>
      <c r="G301" s="48">
        <v>40178</v>
      </c>
      <c r="H301" s="46" t="s">
        <v>40</v>
      </c>
      <c r="I301" s="45">
        <v>30000</v>
      </c>
      <c r="J301" s="45">
        <v>15000</v>
      </c>
      <c r="K301" s="49" t="s">
        <v>5815</v>
      </c>
      <c r="L301" s="45"/>
      <c r="M301" s="3"/>
    </row>
    <row r="302" spans="1:13" x14ac:dyDescent="0.25">
      <c r="A302" s="46" t="s">
        <v>6219</v>
      </c>
      <c r="B302" s="46" t="s">
        <v>11646</v>
      </c>
      <c r="C302" s="46" t="s">
        <v>14</v>
      </c>
      <c r="D302" s="47">
        <v>1022</v>
      </c>
      <c r="E302" s="46" t="s">
        <v>6220</v>
      </c>
      <c r="F302" s="48">
        <v>39713</v>
      </c>
      <c r="G302" s="46"/>
      <c r="H302" s="46" t="s">
        <v>40</v>
      </c>
      <c r="I302" s="45">
        <v>95000</v>
      </c>
      <c r="J302" s="45">
        <v>47500</v>
      </c>
      <c r="K302" s="49" t="s">
        <v>6182</v>
      </c>
      <c r="L302" s="45"/>
      <c r="M302" s="3"/>
    </row>
    <row r="303" spans="1:13" ht="25.5" x14ac:dyDescent="0.25">
      <c r="A303" s="46" t="s">
        <v>6221</v>
      </c>
      <c r="B303" s="46" t="s">
        <v>11646</v>
      </c>
      <c r="C303" s="46" t="s">
        <v>14</v>
      </c>
      <c r="D303" s="47">
        <v>1031</v>
      </c>
      <c r="E303" s="46" t="s">
        <v>6222</v>
      </c>
      <c r="F303" s="48">
        <v>39643</v>
      </c>
      <c r="G303" s="46"/>
      <c r="H303" s="46" t="s">
        <v>40</v>
      </c>
      <c r="I303" s="45">
        <v>52365</v>
      </c>
      <c r="J303" s="45">
        <v>26182</v>
      </c>
      <c r="K303" s="49" t="s">
        <v>6182</v>
      </c>
      <c r="L303" s="45"/>
      <c r="M303" s="3"/>
    </row>
    <row r="304" spans="1:13" x14ac:dyDescent="0.25">
      <c r="A304" s="46" t="s">
        <v>6223</v>
      </c>
      <c r="B304" s="46" t="s">
        <v>11646</v>
      </c>
      <c r="C304" s="46" t="s">
        <v>14</v>
      </c>
      <c r="D304" s="47">
        <v>1033</v>
      </c>
      <c r="E304" s="46" t="s">
        <v>6224</v>
      </c>
      <c r="F304" s="48">
        <v>39538</v>
      </c>
      <c r="G304" s="48">
        <v>39804</v>
      </c>
      <c r="H304" s="46" t="s">
        <v>40</v>
      </c>
      <c r="I304" s="45">
        <v>34318</v>
      </c>
      <c r="J304" s="45">
        <v>17159</v>
      </c>
      <c r="K304" s="49" t="s">
        <v>6182</v>
      </c>
      <c r="L304" s="45"/>
      <c r="M304" s="3"/>
    </row>
    <row r="305" spans="1:13" x14ac:dyDescent="0.25">
      <c r="A305" s="46" t="s">
        <v>6227</v>
      </c>
      <c r="B305" s="46" t="s">
        <v>11646</v>
      </c>
      <c r="C305" s="46" t="s">
        <v>14</v>
      </c>
      <c r="D305" s="47">
        <v>1036</v>
      </c>
      <c r="E305" s="46" t="s">
        <v>6228</v>
      </c>
      <c r="F305" s="48">
        <v>39783</v>
      </c>
      <c r="G305" s="48">
        <v>39804</v>
      </c>
      <c r="H305" s="46" t="s">
        <v>40</v>
      </c>
      <c r="I305" s="45">
        <v>25450</v>
      </c>
      <c r="J305" s="45">
        <v>12725</v>
      </c>
      <c r="K305" s="49" t="s">
        <v>6182</v>
      </c>
      <c r="L305" s="45"/>
      <c r="M305" s="3"/>
    </row>
    <row r="306" spans="1:13" x14ac:dyDescent="0.25">
      <c r="A306" s="46" t="s">
        <v>6229</v>
      </c>
      <c r="B306" s="46" t="s">
        <v>11646</v>
      </c>
      <c r="C306" s="46" t="s">
        <v>14</v>
      </c>
      <c r="D306" s="47">
        <v>1037</v>
      </c>
      <c r="E306" s="46" t="s">
        <v>6230</v>
      </c>
      <c r="F306" s="48">
        <v>39538</v>
      </c>
      <c r="G306" s="48">
        <v>39673</v>
      </c>
      <c r="H306" s="46" t="s">
        <v>40</v>
      </c>
      <c r="I306" s="45">
        <v>15500</v>
      </c>
      <c r="J306" s="45">
        <v>7750</v>
      </c>
      <c r="K306" s="49" t="s">
        <v>6182</v>
      </c>
      <c r="L306" s="45"/>
      <c r="M306" s="3"/>
    </row>
    <row r="307" spans="1:13" x14ac:dyDescent="0.25">
      <c r="A307" s="46" t="s">
        <v>6231</v>
      </c>
      <c r="B307" s="46" t="s">
        <v>11646</v>
      </c>
      <c r="C307" s="46" t="s">
        <v>14</v>
      </c>
      <c r="D307" s="47">
        <v>1038</v>
      </c>
      <c r="E307" s="46" t="s">
        <v>6232</v>
      </c>
      <c r="F307" s="48">
        <v>39643</v>
      </c>
      <c r="G307" s="48">
        <v>39801</v>
      </c>
      <c r="H307" s="46" t="s">
        <v>40</v>
      </c>
      <c r="I307" s="45">
        <v>105000</v>
      </c>
      <c r="J307" s="45">
        <v>52500</v>
      </c>
      <c r="K307" s="49" t="s">
        <v>6182</v>
      </c>
      <c r="L307" s="45"/>
      <c r="M307" s="3"/>
    </row>
    <row r="308" spans="1:13" x14ac:dyDescent="0.25">
      <c r="A308" s="46" t="s">
        <v>6235</v>
      </c>
      <c r="B308" s="46" t="s">
        <v>11646</v>
      </c>
      <c r="C308" s="46" t="s">
        <v>14</v>
      </c>
      <c r="D308" s="47">
        <v>1041</v>
      </c>
      <c r="E308" s="46" t="s">
        <v>6236</v>
      </c>
      <c r="F308" s="48">
        <v>39100</v>
      </c>
      <c r="G308" s="48">
        <v>39203</v>
      </c>
      <c r="H308" s="46" t="s">
        <v>40</v>
      </c>
      <c r="I308" s="45">
        <v>60000</v>
      </c>
      <c r="J308" s="45">
        <v>30000</v>
      </c>
      <c r="K308" s="49" t="s">
        <v>6182</v>
      </c>
      <c r="L308" s="45"/>
      <c r="M308" s="3"/>
    </row>
    <row r="309" spans="1:13" x14ac:dyDescent="0.25">
      <c r="A309" s="46" t="s">
        <v>6237</v>
      </c>
      <c r="B309" s="46" t="s">
        <v>11646</v>
      </c>
      <c r="C309" s="46" t="s">
        <v>14</v>
      </c>
      <c r="D309" s="47">
        <v>1043</v>
      </c>
      <c r="E309" s="46" t="s">
        <v>6238</v>
      </c>
      <c r="F309" s="48">
        <v>39167</v>
      </c>
      <c r="G309" s="48">
        <v>39358</v>
      </c>
      <c r="H309" s="46" t="s">
        <v>40</v>
      </c>
      <c r="I309" s="45">
        <v>60000</v>
      </c>
      <c r="J309" s="45">
        <v>30000</v>
      </c>
      <c r="K309" s="49" t="s">
        <v>6182</v>
      </c>
      <c r="L309" s="45"/>
      <c r="M309" s="3"/>
    </row>
    <row r="310" spans="1:13" x14ac:dyDescent="0.25">
      <c r="A310" s="46" t="s">
        <v>6239</v>
      </c>
      <c r="B310" s="46" t="s">
        <v>11646</v>
      </c>
      <c r="C310" s="46" t="s">
        <v>14</v>
      </c>
      <c r="D310" s="47">
        <v>1044</v>
      </c>
      <c r="E310" s="46" t="s">
        <v>6240</v>
      </c>
      <c r="F310" s="48">
        <v>39100</v>
      </c>
      <c r="G310" s="48">
        <v>39262</v>
      </c>
      <c r="H310" s="46" t="s">
        <v>40</v>
      </c>
      <c r="I310" s="45">
        <v>57500</v>
      </c>
      <c r="J310" s="45">
        <v>28750</v>
      </c>
      <c r="K310" s="49" t="s">
        <v>6182</v>
      </c>
      <c r="L310" s="45"/>
      <c r="M310" s="3"/>
    </row>
    <row r="311" spans="1:13" x14ac:dyDescent="0.25">
      <c r="A311" s="46" t="s">
        <v>6243</v>
      </c>
      <c r="B311" s="46" t="s">
        <v>11646</v>
      </c>
      <c r="C311" s="46" t="s">
        <v>14</v>
      </c>
      <c r="D311" s="47">
        <v>1047</v>
      </c>
      <c r="E311" s="46" t="s">
        <v>6244</v>
      </c>
      <c r="F311" s="48">
        <v>39230</v>
      </c>
      <c r="G311" s="48">
        <v>39303</v>
      </c>
      <c r="H311" s="46" t="s">
        <v>40</v>
      </c>
      <c r="I311" s="45">
        <v>150000</v>
      </c>
      <c r="J311" s="45">
        <v>75000</v>
      </c>
      <c r="K311" s="49" t="s">
        <v>6182</v>
      </c>
      <c r="L311" s="45"/>
      <c r="M311" s="3"/>
    </row>
    <row r="312" spans="1:13" x14ac:dyDescent="0.25">
      <c r="A312" s="46" t="s">
        <v>6245</v>
      </c>
      <c r="B312" s="46" t="s">
        <v>11646</v>
      </c>
      <c r="C312" s="46" t="s">
        <v>14</v>
      </c>
      <c r="D312" s="47">
        <v>1048</v>
      </c>
      <c r="E312" s="46" t="s">
        <v>6246</v>
      </c>
      <c r="F312" s="48">
        <v>39475</v>
      </c>
      <c r="G312" s="48">
        <v>39667</v>
      </c>
      <c r="H312" s="46" t="s">
        <v>40</v>
      </c>
      <c r="I312" s="45">
        <v>25272</v>
      </c>
      <c r="J312" s="45">
        <v>12636</v>
      </c>
      <c r="K312" s="49" t="s">
        <v>6182</v>
      </c>
      <c r="L312" s="45"/>
      <c r="M312" s="3"/>
    </row>
    <row r="313" spans="1:13" x14ac:dyDescent="0.25">
      <c r="A313" s="46" t="s">
        <v>6249</v>
      </c>
      <c r="B313" s="46" t="s">
        <v>11646</v>
      </c>
      <c r="C313" s="46" t="s">
        <v>14</v>
      </c>
      <c r="D313" s="47">
        <v>1050</v>
      </c>
      <c r="E313" s="46" t="s">
        <v>6250</v>
      </c>
      <c r="F313" s="48">
        <v>39643</v>
      </c>
      <c r="G313" s="48">
        <v>39804</v>
      </c>
      <c r="H313" s="46" t="s">
        <v>40</v>
      </c>
      <c r="I313" s="45">
        <v>12283</v>
      </c>
      <c r="J313" s="45">
        <v>6141</v>
      </c>
      <c r="K313" s="49" t="s">
        <v>6182</v>
      </c>
      <c r="L313" s="45"/>
      <c r="M313" s="3"/>
    </row>
    <row r="314" spans="1:13" x14ac:dyDescent="0.25">
      <c r="A314" s="46" t="s">
        <v>6359</v>
      </c>
      <c r="B314" s="46" t="s">
        <v>11646</v>
      </c>
      <c r="C314" s="46" t="s">
        <v>14</v>
      </c>
      <c r="D314" s="47">
        <v>2728</v>
      </c>
      <c r="E314" s="46" t="s">
        <v>6360</v>
      </c>
      <c r="F314" s="48">
        <v>39783</v>
      </c>
      <c r="G314" s="48">
        <v>39801</v>
      </c>
      <c r="H314" s="46" t="s">
        <v>40</v>
      </c>
      <c r="I314" s="45">
        <v>25150</v>
      </c>
      <c r="J314" s="45">
        <v>12575</v>
      </c>
      <c r="K314" s="49" t="s">
        <v>6182</v>
      </c>
      <c r="L314" s="45"/>
      <c r="M314" s="3"/>
    </row>
    <row r="315" spans="1:13" x14ac:dyDescent="0.25">
      <c r="A315" s="46" t="s">
        <v>6362</v>
      </c>
      <c r="B315" s="46" t="s">
        <v>11646</v>
      </c>
      <c r="C315" s="46" t="s">
        <v>14</v>
      </c>
      <c r="D315" s="47">
        <v>5739</v>
      </c>
      <c r="E315" s="46" t="s">
        <v>6363</v>
      </c>
      <c r="F315" s="48">
        <v>40084</v>
      </c>
      <c r="G315" s="46"/>
      <c r="H315" s="46" t="s">
        <v>40</v>
      </c>
      <c r="I315" s="45">
        <v>31400</v>
      </c>
      <c r="J315" s="45">
        <v>15000</v>
      </c>
      <c r="K315" s="49" t="s">
        <v>6182</v>
      </c>
      <c r="L315" s="45"/>
      <c r="M315" s="3"/>
    </row>
    <row r="316" spans="1:13" x14ac:dyDescent="0.25">
      <c r="A316" s="46" t="s">
        <v>6366</v>
      </c>
      <c r="B316" s="46" t="s">
        <v>11646</v>
      </c>
      <c r="C316" s="46" t="s">
        <v>14</v>
      </c>
      <c r="D316" s="47">
        <v>5746</v>
      </c>
      <c r="E316" s="46" t="s">
        <v>6367</v>
      </c>
      <c r="F316" s="48">
        <v>39713</v>
      </c>
      <c r="G316" s="46"/>
      <c r="H316" s="46" t="s">
        <v>40</v>
      </c>
      <c r="I316" s="45">
        <v>150000</v>
      </c>
      <c r="J316" s="45">
        <v>75000</v>
      </c>
      <c r="K316" s="49" t="s">
        <v>6182</v>
      </c>
      <c r="L316" s="45"/>
      <c r="M316" s="3"/>
    </row>
    <row r="317" spans="1:13" x14ac:dyDescent="0.25">
      <c r="A317" s="46" t="s">
        <v>6370</v>
      </c>
      <c r="B317" s="46" t="s">
        <v>11646</v>
      </c>
      <c r="C317" s="46" t="s">
        <v>14</v>
      </c>
      <c r="D317" s="47">
        <v>5919</v>
      </c>
      <c r="E317" s="46" t="s">
        <v>6371</v>
      </c>
      <c r="F317" s="48">
        <v>39783</v>
      </c>
      <c r="G317" s="48">
        <v>39930</v>
      </c>
      <c r="H317" s="46" t="s">
        <v>40</v>
      </c>
      <c r="I317" s="45">
        <v>6829.58</v>
      </c>
      <c r="J317" s="45">
        <v>3400</v>
      </c>
      <c r="K317" s="49" t="s">
        <v>6182</v>
      </c>
      <c r="L317" s="45"/>
      <c r="M317" s="3"/>
    </row>
    <row r="318" spans="1:13" ht="25.5" x14ac:dyDescent="0.25">
      <c r="A318" s="46" t="s">
        <v>6372</v>
      </c>
      <c r="B318" s="46" t="s">
        <v>11646</v>
      </c>
      <c r="C318" s="46" t="s">
        <v>14</v>
      </c>
      <c r="D318" s="47">
        <v>5920</v>
      </c>
      <c r="E318" s="46" t="s">
        <v>6373</v>
      </c>
      <c r="F318" s="48">
        <v>39895</v>
      </c>
      <c r="G318" s="46"/>
      <c r="H318" s="46" t="s">
        <v>40</v>
      </c>
      <c r="I318" s="45">
        <v>59804</v>
      </c>
      <c r="J318" s="45">
        <v>29902</v>
      </c>
      <c r="K318" s="49" t="s">
        <v>6182</v>
      </c>
      <c r="L318" s="45"/>
      <c r="M318" s="3"/>
    </row>
    <row r="319" spans="1:13" x14ac:dyDescent="0.25">
      <c r="A319" s="46" t="s">
        <v>6374</v>
      </c>
      <c r="B319" s="46" t="s">
        <v>11646</v>
      </c>
      <c r="C319" s="46" t="s">
        <v>14</v>
      </c>
      <c r="D319" s="47">
        <v>5921</v>
      </c>
      <c r="E319" s="46" t="s">
        <v>6375</v>
      </c>
      <c r="F319" s="48">
        <v>39895</v>
      </c>
      <c r="G319" s="46"/>
      <c r="H319" s="46" t="s">
        <v>40</v>
      </c>
      <c r="I319" s="45">
        <v>56989</v>
      </c>
      <c r="J319" s="45">
        <v>28495</v>
      </c>
      <c r="K319" s="49" t="s">
        <v>6182</v>
      </c>
      <c r="L319" s="45"/>
      <c r="M319" s="3"/>
    </row>
    <row r="320" spans="1:13" x14ac:dyDescent="0.25">
      <c r="A320" s="46" t="s">
        <v>6378</v>
      </c>
      <c r="B320" s="46" t="s">
        <v>11646</v>
      </c>
      <c r="C320" s="46" t="s">
        <v>14</v>
      </c>
      <c r="D320" s="47">
        <v>5923</v>
      </c>
      <c r="E320" s="46" t="s">
        <v>6379</v>
      </c>
      <c r="F320" s="48">
        <v>39958</v>
      </c>
      <c r="G320" s="46"/>
      <c r="H320" s="46" t="s">
        <v>40</v>
      </c>
      <c r="I320" s="45">
        <v>29515</v>
      </c>
      <c r="J320" s="45">
        <v>14757</v>
      </c>
      <c r="K320" s="49" t="s">
        <v>6182</v>
      </c>
      <c r="L320" s="45"/>
      <c r="M320" s="3"/>
    </row>
    <row r="321" spans="1:13" ht="25.5" x14ac:dyDescent="0.25">
      <c r="A321" s="46" t="s">
        <v>6384</v>
      </c>
      <c r="B321" s="46" t="s">
        <v>11646</v>
      </c>
      <c r="C321" s="46" t="s">
        <v>14</v>
      </c>
      <c r="D321" s="47">
        <v>5932</v>
      </c>
      <c r="E321" s="46" t="s">
        <v>6385</v>
      </c>
      <c r="F321" s="48">
        <v>39713</v>
      </c>
      <c r="G321" s="46"/>
      <c r="H321" s="46" t="s">
        <v>40</v>
      </c>
      <c r="I321" s="45">
        <v>17950</v>
      </c>
      <c r="J321" s="45">
        <v>8980</v>
      </c>
      <c r="K321" s="49" t="s">
        <v>6182</v>
      </c>
      <c r="L321" s="45"/>
      <c r="M321" s="3"/>
    </row>
    <row r="322" spans="1:13" x14ac:dyDescent="0.25">
      <c r="A322" s="46" t="s">
        <v>6386</v>
      </c>
      <c r="B322" s="46" t="s">
        <v>11646</v>
      </c>
      <c r="C322" s="46" t="s">
        <v>14</v>
      </c>
      <c r="D322" s="47">
        <v>5933</v>
      </c>
      <c r="E322" s="46" t="s">
        <v>6387</v>
      </c>
      <c r="F322" s="48">
        <v>39783</v>
      </c>
      <c r="G322" s="48">
        <v>39813</v>
      </c>
      <c r="H322" s="46" t="s">
        <v>40</v>
      </c>
      <c r="I322" s="45">
        <v>24578</v>
      </c>
      <c r="J322" s="45">
        <v>12289</v>
      </c>
      <c r="K322" s="49" t="s">
        <v>6182</v>
      </c>
      <c r="L322" s="45"/>
      <c r="M322" s="3"/>
    </row>
    <row r="323" spans="1:13" ht="25.5" x14ac:dyDescent="0.25">
      <c r="A323" s="46" t="s">
        <v>6481</v>
      </c>
      <c r="B323" s="46" t="s">
        <v>11646</v>
      </c>
      <c r="C323" s="46" t="s">
        <v>14</v>
      </c>
      <c r="D323" s="47">
        <v>7737</v>
      </c>
      <c r="E323" s="46" t="s">
        <v>6482</v>
      </c>
      <c r="F323" s="48">
        <v>40319</v>
      </c>
      <c r="G323" s="46"/>
      <c r="H323" s="46" t="s">
        <v>40</v>
      </c>
      <c r="I323" s="45">
        <v>79000</v>
      </c>
      <c r="J323" s="45">
        <v>39500</v>
      </c>
      <c r="K323" s="49" t="s">
        <v>6182</v>
      </c>
      <c r="L323" s="45"/>
      <c r="M323" s="3"/>
    </row>
    <row r="324" spans="1:13" ht="38.25" x14ac:dyDescent="0.25">
      <c r="A324" s="46" t="s">
        <v>6483</v>
      </c>
      <c r="B324" s="46" t="s">
        <v>11646</v>
      </c>
      <c r="C324" s="46" t="s">
        <v>14</v>
      </c>
      <c r="D324" s="47">
        <v>7738</v>
      </c>
      <c r="E324" s="46" t="s">
        <v>6484</v>
      </c>
      <c r="F324" s="48">
        <v>40394</v>
      </c>
      <c r="G324" s="46"/>
      <c r="H324" s="46" t="s">
        <v>40</v>
      </c>
      <c r="I324" s="45">
        <v>47690</v>
      </c>
      <c r="J324" s="45">
        <v>21600</v>
      </c>
      <c r="K324" s="49" t="s">
        <v>6182</v>
      </c>
      <c r="L324" s="45"/>
      <c r="M324" s="3"/>
    </row>
    <row r="325" spans="1:13" ht="25.5" x14ac:dyDescent="0.25">
      <c r="A325" s="46" t="s">
        <v>6503</v>
      </c>
      <c r="B325" s="46" t="s">
        <v>11646</v>
      </c>
      <c r="C325" s="46" t="s">
        <v>14</v>
      </c>
      <c r="D325" s="47">
        <v>7748</v>
      </c>
      <c r="E325" s="46" t="s">
        <v>6504</v>
      </c>
      <c r="F325" s="48">
        <v>40317</v>
      </c>
      <c r="G325" s="46"/>
      <c r="H325" s="46" t="s">
        <v>40</v>
      </c>
      <c r="I325" s="45">
        <v>7900</v>
      </c>
      <c r="J325" s="45">
        <v>3900</v>
      </c>
      <c r="K325" s="49" t="s">
        <v>6182</v>
      </c>
      <c r="L325" s="45"/>
      <c r="M325" s="3"/>
    </row>
    <row r="326" spans="1:13" x14ac:dyDescent="0.25">
      <c r="A326" s="46" t="s">
        <v>6753</v>
      </c>
      <c r="B326" s="46" t="s">
        <v>11646</v>
      </c>
      <c r="C326" s="46" t="s">
        <v>14</v>
      </c>
      <c r="D326" s="47">
        <v>3164</v>
      </c>
      <c r="E326" s="46" t="s">
        <v>6754</v>
      </c>
      <c r="F326" s="48">
        <v>39434</v>
      </c>
      <c r="G326" s="48">
        <v>39814</v>
      </c>
      <c r="H326" s="46" t="s">
        <v>40</v>
      </c>
      <c r="I326" s="45">
        <v>60000</v>
      </c>
      <c r="J326" s="45">
        <v>30000</v>
      </c>
      <c r="K326" s="49" t="s">
        <v>6720</v>
      </c>
      <c r="L326" s="45"/>
      <c r="M326" s="3"/>
    </row>
    <row r="327" spans="1:13" x14ac:dyDescent="0.25">
      <c r="A327" s="46" t="s">
        <v>6755</v>
      </c>
      <c r="B327" s="46" t="s">
        <v>11646</v>
      </c>
      <c r="C327" s="46" t="s">
        <v>14</v>
      </c>
      <c r="D327" s="47">
        <v>3165</v>
      </c>
      <c r="E327" s="46" t="s">
        <v>6756</v>
      </c>
      <c r="F327" s="48">
        <v>39377</v>
      </c>
      <c r="G327" s="48">
        <v>39402</v>
      </c>
      <c r="H327" s="46" t="s">
        <v>40</v>
      </c>
      <c r="I327" s="45">
        <v>34520</v>
      </c>
      <c r="J327" s="45">
        <v>17260</v>
      </c>
      <c r="K327" s="49" t="s">
        <v>6720</v>
      </c>
      <c r="L327" s="45"/>
      <c r="M327" s="3"/>
    </row>
    <row r="328" spans="1:13" x14ac:dyDescent="0.25">
      <c r="A328" s="46" t="s">
        <v>6759</v>
      </c>
      <c r="B328" s="46" t="s">
        <v>11646</v>
      </c>
      <c r="C328" s="46" t="s">
        <v>14</v>
      </c>
      <c r="D328" s="47">
        <v>3171</v>
      </c>
      <c r="E328" s="46" t="s">
        <v>6760</v>
      </c>
      <c r="F328" s="48">
        <v>39414</v>
      </c>
      <c r="G328" s="48">
        <v>39433</v>
      </c>
      <c r="H328" s="46" t="s">
        <v>40</v>
      </c>
      <c r="I328" s="45">
        <v>29600</v>
      </c>
      <c r="J328" s="45">
        <v>14800</v>
      </c>
      <c r="K328" s="49" t="s">
        <v>6720</v>
      </c>
      <c r="L328" s="45"/>
      <c r="M328" s="3"/>
    </row>
    <row r="329" spans="1:13" x14ac:dyDescent="0.25">
      <c r="A329" s="46" t="s">
        <v>6761</v>
      </c>
      <c r="B329" s="46" t="s">
        <v>11646</v>
      </c>
      <c r="C329" s="46" t="s">
        <v>14</v>
      </c>
      <c r="D329" s="47">
        <v>3173</v>
      </c>
      <c r="E329" s="46" t="s">
        <v>6762</v>
      </c>
      <c r="F329" s="48">
        <v>39510</v>
      </c>
      <c r="G329" s="48">
        <v>39793</v>
      </c>
      <c r="H329" s="46" t="s">
        <v>40</v>
      </c>
      <c r="I329" s="45">
        <v>26496</v>
      </c>
      <c r="J329" s="45">
        <v>13248</v>
      </c>
      <c r="K329" s="49" t="s">
        <v>6720</v>
      </c>
      <c r="L329" s="45"/>
      <c r="M329" s="3"/>
    </row>
    <row r="330" spans="1:13" x14ac:dyDescent="0.25">
      <c r="A330" s="46" t="s">
        <v>6769</v>
      </c>
      <c r="B330" s="46" t="s">
        <v>11646</v>
      </c>
      <c r="C330" s="46" t="s">
        <v>14</v>
      </c>
      <c r="D330" s="47">
        <v>3179</v>
      </c>
      <c r="E330" s="46" t="s">
        <v>6770</v>
      </c>
      <c r="F330" s="48">
        <v>39496</v>
      </c>
      <c r="G330" s="48">
        <v>39590</v>
      </c>
      <c r="H330" s="46" t="s">
        <v>40</v>
      </c>
      <c r="I330" s="45">
        <v>8396</v>
      </c>
      <c r="J330" s="45">
        <v>4198</v>
      </c>
      <c r="K330" s="49" t="s">
        <v>6720</v>
      </c>
      <c r="L330" s="45"/>
      <c r="M330" s="3"/>
    </row>
    <row r="331" spans="1:13" x14ac:dyDescent="0.25">
      <c r="A331" s="46" t="s">
        <v>6785</v>
      </c>
      <c r="B331" s="46" t="s">
        <v>11646</v>
      </c>
      <c r="C331" s="46" t="s">
        <v>14</v>
      </c>
      <c r="D331" s="47">
        <v>3196</v>
      </c>
      <c r="E331" s="46" t="s">
        <v>6786</v>
      </c>
      <c r="F331" s="48">
        <v>39582</v>
      </c>
      <c r="G331" s="48">
        <v>39603</v>
      </c>
      <c r="H331" s="46" t="s">
        <v>40</v>
      </c>
      <c r="I331" s="45">
        <v>34265.4</v>
      </c>
      <c r="J331" s="45">
        <v>17132.7</v>
      </c>
      <c r="K331" s="49" t="s">
        <v>6720</v>
      </c>
      <c r="L331" s="45"/>
      <c r="M331" s="3"/>
    </row>
    <row r="332" spans="1:13" x14ac:dyDescent="0.25">
      <c r="A332" s="46" t="s">
        <v>6787</v>
      </c>
      <c r="B332" s="46" t="s">
        <v>11646</v>
      </c>
      <c r="C332" s="46" t="s">
        <v>14</v>
      </c>
      <c r="D332" s="47">
        <v>3197</v>
      </c>
      <c r="E332" s="46" t="s">
        <v>6788</v>
      </c>
      <c r="F332" s="48">
        <v>39493</v>
      </c>
      <c r="G332" s="48">
        <v>39709</v>
      </c>
      <c r="H332" s="46" t="s">
        <v>40</v>
      </c>
      <c r="I332" s="45">
        <v>1158</v>
      </c>
      <c r="J332" s="45">
        <v>579</v>
      </c>
      <c r="K332" s="49" t="s">
        <v>6720</v>
      </c>
      <c r="L332" s="45"/>
      <c r="M332" s="3"/>
    </row>
    <row r="333" spans="1:13" x14ac:dyDescent="0.25">
      <c r="A333" s="46" t="s">
        <v>6789</v>
      </c>
      <c r="B333" s="46" t="s">
        <v>11646</v>
      </c>
      <c r="C333" s="46" t="s">
        <v>14</v>
      </c>
      <c r="D333" s="47">
        <v>3198</v>
      </c>
      <c r="E333" s="46" t="s">
        <v>6790</v>
      </c>
      <c r="F333" s="48">
        <v>39595</v>
      </c>
      <c r="G333" s="48">
        <v>39979</v>
      </c>
      <c r="H333" s="46" t="s">
        <v>40</v>
      </c>
      <c r="I333" s="45">
        <v>127000</v>
      </c>
      <c r="J333" s="45">
        <v>63500</v>
      </c>
      <c r="K333" s="49" t="s">
        <v>6720</v>
      </c>
      <c r="L333" s="45"/>
      <c r="M333" s="3"/>
    </row>
    <row r="334" spans="1:13" x14ac:dyDescent="0.25">
      <c r="A334" s="46" t="s">
        <v>6791</v>
      </c>
      <c r="B334" s="46" t="s">
        <v>11646</v>
      </c>
      <c r="C334" s="46" t="s">
        <v>14</v>
      </c>
      <c r="D334" s="47">
        <v>3199</v>
      </c>
      <c r="E334" s="46" t="s">
        <v>6792</v>
      </c>
      <c r="F334" s="48">
        <v>39787</v>
      </c>
      <c r="G334" s="48">
        <v>39805</v>
      </c>
      <c r="H334" s="46" t="s">
        <v>40</v>
      </c>
      <c r="I334" s="45">
        <v>58568</v>
      </c>
      <c r="J334" s="45">
        <v>29284</v>
      </c>
      <c r="K334" s="49" t="s">
        <v>6720</v>
      </c>
      <c r="L334" s="45"/>
      <c r="M334" s="3"/>
    </row>
    <row r="335" spans="1:13" x14ac:dyDescent="0.25">
      <c r="A335" s="46" t="s">
        <v>6793</v>
      </c>
      <c r="B335" s="46" t="s">
        <v>11646</v>
      </c>
      <c r="C335" s="46" t="s">
        <v>14</v>
      </c>
      <c r="D335" s="47">
        <v>3200</v>
      </c>
      <c r="E335" s="46" t="s">
        <v>6794</v>
      </c>
      <c r="F335" s="48">
        <v>39293</v>
      </c>
      <c r="G335" s="48">
        <v>39805</v>
      </c>
      <c r="H335" s="46" t="s">
        <v>40</v>
      </c>
      <c r="I335" s="45">
        <v>56200</v>
      </c>
      <c r="J335" s="45">
        <v>28100</v>
      </c>
      <c r="K335" s="49" t="s">
        <v>6720</v>
      </c>
      <c r="L335" s="45"/>
      <c r="M335" s="3"/>
    </row>
    <row r="336" spans="1:13" x14ac:dyDescent="0.25">
      <c r="A336" s="46" t="s">
        <v>6809</v>
      </c>
      <c r="B336" s="46" t="s">
        <v>11646</v>
      </c>
      <c r="C336" s="46" t="s">
        <v>14</v>
      </c>
      <c r="D336" s="47">
        <v>3267</v>
      </c>
      <c r="E336" s="46" t="s">
        <v>6810</v>
      </c>
      <c r="F336" s="48">
        <v>39426</v>
      </c>
      <c r="G336" s="48">
        <v>39797</v>
      </c>
      <c r="H336" s="46" t="s">
        <v>40</v>
      </c>
      <c r="I336" s="45">
        <v>41428</v>
      </c>
      <c r="J336" s="45">
        <v>20714</v>
      </c>
      <c r="K336" s="49" t="s">
        <v>6720</v>
      </c>
      <c r="L336" s="45"/>
      <c r="M336" s="3"/>
    </row>
    <row r="337" spans="1:13" x14ac:dyDescent="0.25">
      <c r="A337" s="46" t="s">
        <v>6906</v>
      </c>
      <c r="B337" s="46" t="s">
        <v>11646</v>
      </c>
      <c r="C337" s="46" t="s">
        <v>14</v>
      </c>
      <c r="D337" s="47">
        <v>5847</v>
      </c>
      <c r="E337" s="46" t="s">
        <v>6907</v>
      </c>
      <c r="F337" s="48">
        <v>40011</v>
      </c>
      <c r="G337" s="48">
        <v>40049</v>
      </c>
      <c r="H337" s="46" t="s">
        <v>40</v>
      </c>
      <c r="I337" s="45">
        <v>11800</v>
      </c>
      <c r="J337" s="45">
        <v>5900</v>
      </c>
      <c r="K337" s="49" t="s">
        <v>6720</v>
      </c>
      <c r="L337" s="45"/>
      <c r="M337" s="3"/>
    </row>
    <row r="338" spans="1:13" x14ac:dyDescent="0.25">
      <c r="A338" s="46" t="s">
        <v>6908</v>
      </c>
      <c r="B338" s="46" t="s">
        <v>11646</v>
      </c>
      <c r="C338" s="46" t="s">
        <v>14</v>
      </c>
      <c r="D338" s="47">
        <v>5850</v>
      </c>
      <c r="E338" s="46" t="s">
        <v>6909</v>
      </c>
      <c r="F338" s="48">
        <v>39784</v>
      </c>
      <c r="G338" s="48">
        <v>39967</v>
      </c>
      <c r="H338" s="46" t="s">
        <v>40</v>
      </c>
      <c r="I338" s="45">
        <v>45000</v>
      </c>
      <c r="J338" s="45">
        <v>22500</v>
      </c>
      <c r="K338" s="49" t="s">
        <v>6720</v>
      </c>
      <c r="L338" s="45"/>
      <c r="M338" s="3"/>
    </row>
    <row r="339" spans="1:13" x14ac:dyDescent="0.25">
      <c r="A339" s="46" t="s">
        <v>6910</v>
      </c>
      <c r="B339" s="46" t="s">
        <v>11646</v>
      </c>
      <c r="C339" s="46" t="s">
        <v>14</v>
      </c>
      <c r="D339" s="47">
        <v>5852</v>
      </c>
      <c r="E339" s="46" t="s">
        <v>6911</v>
      </c>
      <c r="F339" s="48">
        <v>39945</v>
      </c>
      <c r="G339" s="48">
        <v>39973</v>
      </c>
      <c r="H339" s="46" t="s">
        <v>40</v>
      </c>
      <c r="I339" s="45">
        <v>5380</v>
      </c>
      <c r="J339" s="45">
        <v>2690</v>
      </c>
      <c r="K339" s="49" t="s">
        <v>6720</v>
      </c>
      <c r="L339" s="45"/>
      <c r="M339" s="3"/>
    </row>
    <row r="340" spans="1:13" x14ac:dyDescent="0.25">
      <c r="A340" s="46" t="s">
        <v>6912</v>
      </c>
      <c r="B340" s="46" t="s">
        <v>11646</v>
      </c>
      <c r="C340" s="46" t="s">
        <v>14</v>
      </c>
      <c r="D340" s="47">
        <v>5853</v>
      </c>
      <c r="E340" s="46" t="s">
        <v>6913</v>
      </c>
      <c r="F340" s="48">
        <v>40039</v>
      </c>
      <c r="G340" s="48">
        <v>40049</v>
      </c>
      <c r="H340" s="46" t="s">
        <v>40</v>
      </c>
      <c r="I340" s="45">
        <v>60000</v>
      </c>
      <c r="J340" s="45">
        <v>30000</v>
      </c>
      <c r="K340" s="49" t="s">
        <v>6720</v>
      </c>
      <c r="L340" s="45"/>
      <c r="M340" s="3"/>
    </row>
    <row r="341" spans="1:13" x14ac:dyDescent="0.25">
      <c r="A341" s="46" t="s">
        <v>6914</v>
      </c>
      <c r="B341" s="46" t="s">
        <v>11646</v>
      </c>
      <c r="C341" s="46" t="s">
        <v>14</v>
      </c>
      <c r="D341" s="47">
        <v>5854</v>
      </c>
      <c r="E341" s="46" t="s">
        <v>6915</v>
      </c>
      <c r="F341" s="48">
        <v>40036</v>
      </c>
      <c r="G341" s="48">
        <v>40077</v>
      </c>
      <c r="H341" s="46" t="s">
        <v>40</v>
      </c>
      <c r="I341" s="45">
        <v>30000</v>
      </c>
      <c r="J341" s="45">
        <v>15000</v>
      </c>
      <c r="K341" s="49" t="s">
        <v>6720</v>
      </c>
      <c r="L341" s="45"/>
      <c r="M341" s="3"/>
    </row>
    <row r="342" spans="1:13" x14ac:dyDescent="0.25">
      <c r="A342" s="46" t="s">
        <v>6926</v>
      </c>
      <c r="B342" s="46" t="s">
        <v>11646</v>
      </c>
      <c r="C342" s="46" t="s">
        <v>14</v>
      </c>
      <c r="D342" s="47">
        <v>5912</v>
      </c>
      <c r="E342" s="46" t="s">
        <v>6927</v>
      </c>
      <c r="F342" s="48">
        <v>39794</v>
      </c>
      <c r="G342" s="48">
        <v>40077</v>
      </c>
      <c r="H342" s="46" t="s">
        <v>40</v>
      </c>
      <c r="I342" s="45">
        <v>26214</v>
      </c>
      <c r="J342" s="45">
        <v>13107</v>
      </c>
      <c r="K342" s="49" t="s">
        <v>6720</v>
      </c>
      <c r="L342" s="45"/>
      <c r="M342" s="3"/>
    </row>
    <row r="343" spans="1:13" x14ac:dyDescent="0.25">
      <c r="A343" s="46" t="s">
        <v>6926</v>
      </c>
      <c r="B343" s="46" t="s">
        <v>11646</v>
      </c>
      <c r="C343" s="46" t="s">
        <v>14</v>
      </c>
      <c r="D343" s="47">
        <v>7114</v>
      </c>
      <c r="E343" s="46" t="s">
        <v>6927</v>
      </c>
      <c r="F343" s="48">
        <v>39924</v>
      </c>
      <c r="G343" s="48">
        <v>40289</v>
      </c>
      <c r="H343" s="46" t="s">
        <v>40</v>
      </c>
      <c r="I343" s="45">
        <v>3024.61</v>
      </c>
      <c r="J343" s="45">
        <v>1000</v>
      </c>
      <c r="K343" s="49" t="s">
        <v>6720</v>
      </c>
      <c r="L343" s="45"/>
      <c r="M343" s="3"/>
    </row>
    <row r="344" spans="1:13" ht="25.5" x14ac:dyDescent="0.25">
      <c r="A344" s="46" t="s">
        <v>6977</v>
      </c>
      <c r="B344" s="46" t="s">
        <v>11646</v>
      </c>
      <c r="C344" s="46" t="s">
        <v>14</v>
      </c>
      <c r="D344" s="47">
        <v>7129</v>
      </c>
      <c r="E344" s="46" t="s">
        <v>6978</v>
      </c>
      <c r="F344" s="48">
        <v>40050</v>
      </c>
      <c r="G344" s="48">
        <v>40543</v>
      </c>
      <c r="H344" s="46" t="s">
        <v>40</v>
      </c>
      <c r="I344" s="45">
        <v>3492</v>
      </c>
      <c r="J344" s="45">
        <v>1746</v>
      </c>
      <c r="K344" s="49" t="s">
        <v>6720</v>
      </c>
      <c r="L344" s="45"/>
      <c r="M344" s="3"/>
    </row>
    <row r="345" spans="1:13" x14ac:dyDescent="0.25">
      <c r="A345" s="46" t="s">
        <v>7117</v>
      </c>
      <c r="B345" s="46" t="s">
        <v>11646</v>
      </c>
      <c r="C345" s="46" t="s">
        <v>14</v>
      </c>
      <c r="D345" s="47">
        <v>3160</v>
      </c>
      <c r="E345" s="46" t="s">
        <v>7118</v>
      </c>
      <c r="F345" s="48">
        <v>39189</v>
      </c>
      <c r="G345" s="48">
        <v>39437</v>
      </c>
      <c r="H345" s="46" t="s">
        <v>40</v>
      </c>
      <c r="I345" s="45">
        <v>2937</v>
      </c>
      <c r="J345" s="45">
        <v>1468</v>
      </c>
      <c r="K345" s="49" t="s">
        <v>7102</v>
      </c>
      <c r="L345" s="45"/>
      <c r="M345" s="3"/>
    </row>
    <row r="346" spans="1:13" x14ac:dyDescent="0.25">
      <c r="A346" s="46" t="s">
        <v>7121</v>
      </c>
      <c r="B346" s="46" t="s">
        <v>11646</v>
      </c>
      <c r="C346" s="46" t="s">
        <v>14</v>
      </c>
      <c r="D346" s="47">
        <v>3162</v>
      </c>
      <c r="E346" s="46" t="s">
        <v>7122</v>
      </c>
      <c r="F346" s="48">
        <v>39129</v>
      </c>
      <c r="G346" s="48">
        <v>39400</v>
      </c>
      <c r="H346" s="46" t="s">
        <v>40</v>
      </c>
      <c r="I346" s="45">
        <v>40000</v>
      </c>
      <c r="J346" s="45">
        <v>20000</v>
      </c>
      <c r="K346" s="49" t="s">
        <v>7102</v>
      </c>
      <c r="L346" s="45"/>
      <c r="M346" s="3"/>
    </row>
    <row r="347" spans="1:13" x14ac:dyDescent="0.25">
      <c r="A347" s="46" t="s">
        <v>7123</v>
      </c>
      <c r="B347" s="46" t="s">
        <v>11646</v>
      </c>
      <c r="C347" s="46" t="s">
        <v>14</v>
      </c>
      <c r="D347" s="47">
        <v>3163</v>
      </c>
      <c r="E347" s="46" t="s">
        <v>7124</v>
      </c>
      <c r="F347" s="48">
        <v>39129</v>
      </c>
      <c r="G347" s="48">
        <v>39437</v>
      </c>
      <c r="H347" s="46" t="s">
        <v>40</v>
      </c>
      <c r="I347" s="45">
        <v>13046</v>
      </c>
      <c r="J347" s="45">
        <v>6523</v>
      </c>
      <c r="K347" s="49" t="s">
        <v>7102</v>
      </c>
      <c r="L347" s="45"/>
      <c r="M347" s="3"/>
    </row>
    <row r="348" spans="1:13" ht="25.5" x14ac:dyDescent="0.25">
      <c r="A348" s="46" t="s">
        <v>7125</v>
      </c>
      <c r="B348" s="46" t="s">
        <v>11646</v>
      </c>
      <c r="C348" s="46" t="s">
        <v>14</v>
      </c>
      <c r="D348" s="47">
        <v>3166</v>
      </c>
      <c r="E348" s="46" t="s">
        <v>7126</v>
      </c>
      <c r="F348" s="48">
        <v>39130</v>
      </c>
      <c r="G348" s="48">
        <v>39804</v>
      </c>
      <c r="H348" s="46" t="s">
        <v>40</v>
      </c>
      <c r="I348" s="45">
        <v>80000</v>
      </c>
      <c r="J348" s="45">
        <v>40000</v>
      </c>
      <c r="K348" s="49" t="s">
        <v>7102</v>
      </c>
      <c r="L348" s="45"/>
      <c r="M348" s="3"/>
    </row>
    <row r="349" spans="1:13" x14ac:dyDescent="0.25">
      <c r="A349" s="46" t="s">
        <v>7135</v>
      </c>
      <c r="B349" s="46" t="s">
        <v>11646</v>
      </c>
      <c r="C349" s="46" t="s">
        <v>14</v>
      </c>
      <c r="D349" s="47">
        <v>3174</v>
      </c>
      <c r="E349" s="46" t="s">
        <v>7136</v>
      </c>
      <c r="F349" s="48">
        <v>39129</v>
      </c>
      <c r="G349" s="48">
        <v>39226</v>
      </c>
      <c r="H349" s="46" t="s">
        <v>40</v>
      </c>
      <c r="I349" s="45">
        <v>14206</v>
      </c>
      <c r="J349" s="45">
        <v>7103</v>
      </c>
      <c r="K349" s="49" t="s">
        <v>7102</v>
      </c>
      <c r="L349" s="45"/>
      <c r="M349" s="3"/>
    </row>
    <row r="350" spans="1:13" x14ac:dyDescent="0.25">
      <c r="A350" s="46" t="s">
        <v>7141</v>
      </c>
      <c r="B350" s="46" t="s">
        <v>11646</v>
      </c>
      <c r="C350" s="46" t="s">
        <v>14</v>
      </c>
      <c r="D350" s="47">
        <v>3181</v>
      </c>
      <c r="E350" s="46" t="s">
        <v>7142</v>
      </c>
      <c r="F350" s="48">
        <v>39343</v>
      </c>
      <c r="G350" s="48">
        <v>39575</v>
      </c>
      <c r="H350" s="46" t="s">
        <v>40</v>
      </c>
      <c r="I350" s="45">
        <v>34320</v>
      </c>
      <c r="J350" s="45">
        <v>17160</v>
      </c>
      <c r="K350" s="49" t="s">
        <v>7102</v>
      </c>
      <c r="L350" s="45"/>
      <c r="M350" s="3"/>
    </row>
    <row r="351" spans="1:13" x14ac:dyDescent="0.25">
      <c r="A351" s="46" t="s">
        <v>7143</v>
      </c>
      <c r="B351" s="46" t="s">
        <v>11646</v>
      </c>
      <c r="C351" s="46" t="s">
        <v>14</v>
      </c>
      <c r="D351" s="47">
        <v>3183</v>
      </c>
      <c r="E351" s="46" t="s">
        <v>7144</v>
      </c>
      <c r="F351" s="48">
        <v>39252</v>
      </c>
      <c r="G351" s="48">
        <v>39538</v>
      </c>
      <c r="H351" s="46" t="s">
        <v>40</v>
      </c>
      <c r="I351" s="45">
        <v>150000</v>
      </c>
      <c r="J351" s="45">
        <v>75000</v>
      </c>
      <c r="K351" s="49" t="s">
        <v>7102</v>
      </c>
      <c r="L351" s="45"/>
      <c r="M351" s="3"/>
    </row>
    <row r="352" spans="1:13" x14ac:dyDescent="0.25">
      <c r="A352" s="46" t="s">
        <v>7149</v>
      </c>
      <c r="B352" s="46" t="s">
        <v>11646</v>
      </c>
      <c r="C352" s="46" t="s">
        <v>14</v>
      </c>
      <c r="D352" s="47">
        <v>3189</v>
      </c>
      <c r="E352" s="46" t="s">
        <v>7150</v>
      </c>
      <c r="F352" s="48">
        <v>39129</v>
      </c>
      <c r="G352" s="48">
        <v>39239</v>
      </c>
      <c r="H352" s="46" t="s">
        <v>40</v>
      </c>
      <c r="I352" s="45">
        <v>14000</v>
      </c>
      <c r="J352" s="45">
        <v>7000</v>
      </c>
      <c r="K352" s="49" t="s">
        <v>7102</v>
      </c>
      <c r="L352" s="45"/>
      <c r="M352" s="3"/>
    </row>
    <row r="353" spans="1:13" x14ac:dyDescent="0.25">
      <c r="A353" s="46" t="s">
        <v>7249</v>
      </c>
      <c r="B353" s="46" t="s">
        <v>11646</v>
      </c>
      <c r="C353" s="46" t="s">
        <v>14</v>
      </c>
      <c r="D353" s="47">
        <v>5578</v>
      </c>
      <c r="E353" s="46" t="s">
        <v>7250</v>
      </c>
      <c r="F353" s="48">
        <v>39770</v>
      </c>
      <c r="G353" s="48">
        <v>40178</v>
      </c>
      <c r="H353" s="46" t="s">
        <v>40</v>
      </c>
      <c r="I353" s="45">
        <v>28830</v>
      </c>
      <c r="J353" s="45">
        <v>14415</v>
      </c>
      <c r="K353" s="49" t="s">
        <v>7102</v>
      </c>
      <c r="L353" s="45"/>
      <c r="M353" s="3"/>
    </row>
    <row r="354" spans="1:13" x14ac:dyDescent="0.25">
      <c r="A354" s="46" t="s">
        <v>7251</v>
      </c>
      <c r="B354" s="46" t="s">
        <v>11646</v>
      </c>
      <c r="C354" s="46" t="s">
        <v>14</v>
      </c>
      <c r="D354" s="47">
        <v>5580</v>
      </c>
      <c r="E354" s="46" t="s">
        <v>7252</v>
      </c>
      <c r="F354" s="48">
        <v>39798</v>
      </c>
      <c r="G354" s="48">
        <v>39906</v>
      </c>
      <c r="H354" s="46" t="s">
        <v>40</v>
      </c>
      <c r="I354" s="45">
        <v>40000</v>
      </c>
      <c r="J354" s="45">
        <v>20000</v>
      </c>
      <c r="K354" s="49" t="s">
        <v>7102</v>
      </c>
      <c r="L354" s="45"/>
      <c r="M354" s="3"/>
    </row>
    <row r="355" spans="1:13" x14ac:dyDescent="0.25">
      <c r="A355" s="46" t="s">
        <v>7253</v>
      </c>
      <c r="B355" s="46" t="s">
        <v>11646</v>
      </c>
      <c r="C355" s="46" t="s">
        <v>14</v>
      </c>
      <c r="D355" s="47">
        <v>5581</v>
      </c>
      <c r="E355" s="46" t="s">
        <v>7254</v>
      </c>
      <c r="F355" s="48">
        <v>39189</v>
      </c>
      <c r="G355" s="48">
        <v>39924</v>
      </c>
      <c r="H355" s="46" t="s">
        <v>40</v>
      </c>
      <c r="I355" s="45">
        <v>37348</v>
      </c>
      <c r="J355" s="45">
        <v>18674</v>
      </c>
      <c r="K355" s="49" t="s">
        <v>7102</v>
      </c>
      <c r="L355" s="45"/>
      <c r="M355" s="3"/>
    </row>
    <row r="356" spans="1:13" ht="25.5" x14ac:dyDescent="0.25">
      <c r="A356" s="46" t="s">
        <v>7255</v>
      </c>
      <c r="B356" s="46" t="s">
        <v>11646</v>
      </c>
      <c r="C356" s="46" t="s">
        <v>14</v>
      </c>
      <c r="D356" s="47">
        <v>5582</v>
      </c>
      <c r="E356" s="46" t="s">
        <v>7256</v>
      </c>
      <c r="F356" s="48">
        <v>39770</v>
      </c>
      <c r="G356" s="48">
        <v>39962</v>
      </c>
      <c r="H356" s="46" t="s">
        <v>40</v>
      </c>
      <c r="I356" s="45">
        <v>24735.82</v>
      </c>
      <c r="J356" s="45">
        <v>12368</v>
      </c>
      <c r="K356" s="49" t="s">
        <v>7102</v>
      </c>
      <c r="L356" s="45"/>
      <c r="M356" s="3"/>
    </row>
    <row r="357" spans="1:13" ht="25.5" x14ac:dyDescent="0.25">
      <c r="A357" s="46" t="s">
        <v>7257</v>
      </c>
      <c r="B357" s="46" t="s">
        <v>11646</v>
      </c>
      <c r="C357" s="46" t="s">
        <v>14</v>
      </c>
      <c r="D357" s="47">
        <v>5586</v>
      </c>
      <c r="E357" s="46" t="s">
        <v>7258</v>
      </c>
      <c r="F357" s="48">
        <v>39974</v>
      </c>
      <c r="G357" s="48">
        <v>40178</v>
      </c>
      <c r="H357" s="46" t="s">
        <v>40</v>
      </c>
      <c r="I357" s="45">
        <v>2239</v>
      </c>
      <c r="J357" s="45">
        <v>1119</v>
      </c>
      <c r="K357" s="49" t="s">
        <v>7102</v>
      </c>
      <c r="L357" s="45"/>
      <c r="M357" s="3"/>
    </row>
    <row r="358" spans="1:13" x14ac:dyDescent="0.25">
      <c r="A358" s="46" t="s">
        <v>7259</v>
      </c>
      <c r="B358" s="46" t="s">
        <v>11646</v>
      </c>
      <c r="C358" s="46" t="s">
        <v>14</v>
      </c>
      <c r="D358" s="47">
        <v>5588</v>
      </c>
      <c r="E358" s="46" t="s">
        <v>7260</v>
      </c>
      <c r="F358" s="48">
        <v>39770</v>
      </c>
      <c r="G358" s="48">
        <v>40070</v>
      </c>
      <c r="H358" s="46" t="s">
        <v>40</v>
      </c>
      <c r="I358" s="45">
        <v>10415</v>
      </c>
      <c r="J358" s="45">
        <v>5207</v>
      </c>
      <c r="K358" s="49" t="s">
        <v>7102</v>
      </c>
      <c r="L358" s="45"/>
      <c r="M358" s="3"/>
    </row>
    <row r="359" spans="1:13" ht="25.5" x14ac:dyDescent="0.25">
      <c r="A359" s="46" t="s">
        <v>7261</v>
      </c>
      <c r="B359" s="46" t="s">
        <v>11646</v>
      </c>
      <c r="C359" s="46" t="s">
        <v>14</v>
      </c>
      <c r="D359" s="47">
        <v>5590</v>
      </c>
      <c r="E359" s="46" t="s">
        <v>7262</v>
      </c>
      <c r="F359" s="48">
        <v>39974</v>
      </c>
      <c r="G359" s="48">
        <v>40108</v>
      </c>
      <c r="H359" s="46" t="s">
        <v>40</v>
      </c>
      <c r="I359" s="45">
        <v>16800</v>
      </c>
      <c r="J359" s="45">
        <v>8400</v>
      </c>
      <c r="K359" s="49" t="s">
        <v>7102</v>
      </c>
      <c r="L359" s="45"/>
      <c r="M359" s="3"/>
    </row>
    <row r="360" spans="1:13" x14ac:dyDescent="0.25">
      <c r="A360" s="46" t="s">
        <v>7263</v>
      </c>
      <c r="B360" s="46" t="s">
        <v>11646</v>
      </c>
      <c r="C360" s="46" t="s">
        <v>14</v>
      </c>
      <c r="D360" s="47">
        <v>5592</v>
      </c>
      <c r="E360" s="46" t="s">
        <v>7264</v>
      </c>
      <c r="F360" s="48">
        <v>39868</v>
      </c>
      <c r="G360" s="48">
        <v>40144</v>
      </c>
      <c r="H360" s="46" t="s">
        <v>40</v>
      </c>
      <c r="I360" s="45">
        <v>60000</v>
      </c>
      <c r="J360" s="45">
        <v>30000</v>
      </c>
      <c r="K360" s="49" t="s">
        <v>7102</v>
      </c>
      <c r="L360" s="45"/>
      <c r="M360" s="3"/>
    </row>
    <row r="361" spans="1:13" x14ac:dyDescent="0.25">
      <c r="A361" s="46" t="s">
        <v>7267</v>
      </c>
      <c r="B361" s="46" t="s">
        <v>11646</v>
      </c>
      <c r="C361" s="46" t="s">
        <v>14</v>
      </c>
      <c r="D361" s="47">
        <v>5601</v>
      </c>
      <c r="E361" s="46" t="s">
        <v>7268</v>
      </c>
      <c r="F361" s="48">
        <v>39549</v>
      </c>
      <c r="G361" s="48">
        <v>40168</v>
      </c>
      <c r="H361" s="46" t="s">
        <v>40</v>
      </c>
      <c r="I361" s="45">
        <v>29618.18</v>
      </c>
      <c r="J361" s="45">
        <v>9000</v>
      </c>
      <c r="K361" s="49" t="s">
        <v>7102</v>
      </c>
      <c r="L361" s="45"/>
      <c r="M361" s="3"/>
    </row>
    <row r="362" spans="1:13" ht="25.5" x14ac:dyDescent="0.25">
      <c r="A362" s="46" t="s">
        <v>7297</v>
      </c>
      <c r="B362" s="46" t="s">
        <v>11646</v>
      </c>
      <c r="C362" s="46" t="s">
        <v>14</v>
      </c>
      <c r="D362" s="47">
        <v>5643</v>
      </c>
      <c r="E362" s="46" t="s">
        <v>7298</v>
      </c>
      <c r="F362" s="48">
        <v>39707</v>
      </c>
      <c r="G362" s="48">
        <v>39813</v>
      </c>
      <c r="H362" s="46" t="s">
        <v>40</v>
      </c>
      <c r="I362" s="45">
        <v>36875</v>
      </c>
      <c r="J362" s="45">
        <v>18437</v>
      </c>
      <c r="K362" s="49" t="s">
        <v>7102</v>
      </c>
      <c r="L362" s="45"/>
      <c r="M362" s="3"/>
    </row>
    <row r="363" spans="1:13" ht="25.5" x14ac:dyDescent="0.25">
      <c r="A363" s="46" t="s">
        <v>7315</v>
      </c>
      <c r="B363" s="46" t="s">
        <v>11646</v>
      </c>
      <c r="C363" s="46" t="s">
        <v>14</v>
      </c>
      <c r="D363" s="47">
        <v>7539</v>
      </c>
      <c r="E363" s="46" t="s">
        <v>7316</v>
      </c>
      <c r="F363" s="48">
        <v>39868</v>
      </c>
      <c r="G363" s="48">
        <v>40253</v>
      </c>
      <c r="H363" s="46" t="s">
        <v>40</v>
      </c>
      <c r="I363" s="45">
        <v>78254</v>
      </c>
      <c r="J363" s="45">
        <v>39127</v>
      </c>
      <c r="K363" s="49" t="s">
        <v>7102</v>
      </c>
      <c r="L363" s="45"/>
      <c r="M363" s="3"/>
    </row>
    <row r="364" spans="1:13" x14ac:dyDescent="0.25">
      <c r="A364" s="46" t="s">
        <v>7333</v>
      </c>
      <c r="B364" s="46" t="s">
        <v>11646</v>
      </c>
      <c r="C364" s="46" t="s">
        <v>14</v>
      </c>
      <c r="D364" s="47">
        <v>7548</v>
      </c>
      <c r="E364" s="46" t="s">
        <v>7334</v>
      </c>
      <c r="F364" s="48">
        <v>40162</v>
      </c>
      <c r="G364" s="48">
        <v>40253</v>
      </c>
      <c r="H364" s="46" t="s">
        <v>40</v>
      </c>
      <c r="I364" s="45">
        <v>15290</v>
      </c>
      <c r="J364" s="45">
        <v>7645</v>
      </c>
      <c r="K364" s="49" t="s">
        <v>7102</v>
      </c>
      <c r="L364" s="45"/>
      <c r="M364" s="3"/>
    </row>
    <row r="365" spans="1:13" ht="25.5" x14ac:dyDescent="0.25">
      <c r="A365" s="46" t="s">
        <v>7502</v>
      </c>
      <c r="B365" s="46" t="s">
        <v>11646</v>
      </c>
      <c r="C365" s="46" t="s">
        <v>14</v>
      </c>
      <c r="D365" s="47">
        <v>368</v>
      </c>
      <c r="E365" s="46" t="s">
        <v>7503</v>
      </c>
      <c r="F365" s="48">
        <v>39225</v>
      </c>
      <c r="G365" s="48">
        <v>39423</v>
      </c>
      <c r="H365" s="46" t="s">
        <v>40</v>
      </c>
      <c r="I365" s="45">
        <v>80000</v>
      </c>
      <c r="J365" s="45">
        <v>15000</v>
      </c>
      <c r="K365" s="49" t="s">
        <v>7456</v>
      </c>
      <c r="L365" s="45"/>
      <c r="M365" s="3"/>
    </row>
    <row r="366" spans="1:13" x14ac:dyDescent="0.25">
      <c r="A366" s="46" t="s">
        <v>7611</v>
      </c>
      <c r="B366" s="46" t="s">
        <v>11646</v>
      </c>
      <c r="C366" s="46" t="s">
        <v>14</v>
      </c>
      <c r="D366" s="47">
        <v>4546</v>
      </c>
      <c r="E366" s="46" t="s">
        <v>7612</v>
      </c>
      <c r="F366" s="48">
        <v>39793</v>
      </c>
      <c r="G366" s="48">
        <v>40178</v>
      </c>
      <c r="H366" s="46" t="s">
        <v>40</v>
      </c>
      <c r="I366" s="45">
        <v>125000</v>
      </c>
      <c r="J366" s="45">
        <v>52785</v>
      </c>
      <c r="K366" s="49" t="s">
        <v>7456</v>
      </c>
      <c r="L366" s="45"/>
      <c r="M366" s="3"/>
    </row>
    <row r="367" spans="1:13" ht="25.5" x14ac:dyDescent="0.25">
      <c r="A367" s="46" t="s">
        <v>7627</v>
      </c>
      <c r="B367" s="46" t="s">
        <v>11646</v>
      </c>
      <c r="C367" s="46" t="s">
        <v>14</v>
      </c>
      <c r="D367" s="47">
        <v>4558</v>
      </c>
      <c r="E367" s="46" t="s">
        <v>7628</v>
      </c>
      <c r="F367" s="48">
        <v>39931</v>
      </c>
      <c r="G367" s="48">
        <v>40178</v>
      </c>
      <c r="H367" s="46" t="s">
        <v>40</v>
      </c>
      <c r="I367" s="45">
        <v>40000</v>
      </c>
      <c r="J367" s="45">
        <v>20000</v>
      </c>
      <c r="K367" s="49" t="s">
        <v>7456</v>
      </c>
      <c r="L367" s="45"/>
      <c r="M367" s="3"/>
    </row>
    <row r="368" spans="1:13" x14ac:dyDescent="0.25">
      <c r="A368" s="46" t="s">
        <v>7702</v>
      </c>
      <c r="B368" s="46" t="s">
        <v>11646</v>
      </c>
      <c r="C368" s="46" t="s">
        <v>14</v>
      </c>
      <c r="D368" s="47">
        <v>6581</v>
      </c>
      <c r="E368" s="46" t="s">
        <v>7703</v>
      </c>
      <c r="F368" s="48">
        <v>40151</v>
      </c>
      <c r="G368" s="48">
        <v>40543</v>
      </c>
      <c r="H368" s="46" t="s">
        <v>40</v>
      </c>
      <c r="I368" s="45">
        <v>20000</v>
      </c>
      <c r="J368" s="45">
        <v>10000</v>
      </c>
      <c r="K368" s="49" t="s">
        <v>7456</v>
      </c>
      <c r="L368" s="45"/>
      <c r="M368" s="3"/>
    </row>
    <row r="369" spans="1:13" x14ac:dyDescent="0.25">
      <c r="A369" s="46" t="s">
        <v>8063</v>
      </c>
      <c r="B369" s="46" t="s">
        <v>11646</v>
      </c>
      <c r="C369" s="46" t="s">
        <v>14</v>
      </c>
      <c r="D369" s="47">
        <v>2361</v>
      </c>
      <c r="E369" s="46" t="s">
        <v>8064</v>
      </c>
      <c r="F369" s="48">
        <v>39167</v>
      </c>
      <c r="G369" s="48">
        <v>39202</v>
      </c>
      <c r="H369" s="46" t="s">
        <v>40</v>
      </c>
      <c r="I369" s="45">
        <v>18000</v>
      </c>
      <c r="J369" s="45">
        <v>9000</v>
      </c>
      <c r="K369" s="49" t="s">
        <v>7941</v>
      </c>
      <c r="L369" s="45"/>
      <c r="M369" s="3"/>
    </row>
    <row r="370" spans="1:13" x14ac:dyDescent="0.25">
      <c r="A370" s="46" t="s">
        <v>8071</v>
      </c>
      <c r="B370" s="46" t="s">
        <v>11646</v>
      </c>
      <c r="C370" s="46" t="s">
        <v>14</v>
      </c>
      <c r="D370" s="47">
        <v>2373</v>
      </c>
      <c r="E370" s="46" t="s">
        <v>8072</v>
      </c>
      <c r="F370" s="48">
        <v>39230</v>
      </c>
      <c r="G370" s="48">
        <v>39435</v>
      </c>
      <c r="H370" s="46" t="s">
        <v>40</v>
      </c>
      <c r="I370" s="45">
        <v>41156</v>
      </c>
      <c r="J370" s="45">
        <v>20578</v>
      </c>
      <c r="K370" s="49" t="s">
        <v>7941</v>
      </c>
      <c r="L370" s="45"/>
      <c r="M370" s="3"/>
    </row>
    <row r="371" spans="1:13" x14ac:dyDescent="0.25">
      <c r="A371" s="46" t="s">
        <v>8073</v>
      </c>
      <c r="B371" s="46" t="s">
        <v>11646</v>
      </c>
      <c r="C371" s="46" t="s">
        <v>14</v>
      </c>
      <c r="D371" s="47">
        <v>2381</v>
      </c>
      <c r="E371" s="46" t="s">
        <v>8074</v>
      </c>
      <c r="F371" s="48">
        <v>39272</v>
      </c>
      <c r="G371" s="48">
        <v>39752</v>
      </c>
      <c r="H371" s="46" t="s">
        <v>40</v>
      </c>
      <c r="I371" s="45">
        <v>86623</v>
      </c>
      <c r="J371" s="45">
        <v>43311.5</v>
      </c>
      <c r="K371" s="49" t="s">
        <v>7941</v>
      </c>
      <c r="L371" s="45"/>
      <c r="M371" s="3"/>
    </row>
    <row r="372" spans="1:13" x14ac:dyDescent="0.25">
      <c r="A372" s="46" t="s">
        <v>8075</v>
      </c>
      <c r="B372" s="46" t="s">
        <v>11646</v>
      </c>
      <c r="C372" s="46" t="s">
        <v>14</v>
      </c>
      <c r="D372" s="47">
        <v>2384</v>
      </c>
      <c r="E372" s="46" t="s">
        <v>8076</v>
      </c>
      <c r="F372" s="48">
        <v>39230</v>
      </c>
      <c r="G372" s="48">
        <v>39506</v>
      </c>
      <c r="H372" s="46" t="s">
        <v>40</v>
      </c>
      <c r="I372" s="45">
        <v>14704</v>
      </c>
      <c r="J372" s="45">
        <v>7352</v>
      </c>
      <c r="K372" s="49" t="s">
        <v>7941</v>
      </c>
      <c r="L372" s="45"/>
      <c r="M372" s="3"/>
    </row>
    <row r="373" spans="1:13" x14ac:dyDescent="0.25">
      <c r="A373" s="46" t="s">
        <v>8093</v>
      </c>
      <c r="B373" s="46" t="s">
        <v>11646</v>
      </c>
      <c r="C373" s="46" t="s">
        <v>14</v>
      </c>
      <c r="D373" s="47">
        <v>2411</v>
      </c>
      <c r="E373" s="46" t="s">
        <v>8094</v>
      </c>
      <c r="F373" s="48">
        <v>39426</v>
      </c>
      <c r="G373" s="48">
        <v>39645</v>
      </c>
      <c r="H373" s="46" t="s">
        <v>40</v>
      </c>
      <c r="I373" s="45">
        <v>12000</v>
      </c>
      <c r="J373" s="45">
        <v>6000</v>
      </c>
      <c r="K373" s="49" t="s">
        <v>7941</v>
      </c>
      <c r="L373" s="45"/>
      <c r="M373" s="3"/>
    </row>
    <row r="374" spans="1:13" x14ac:dyDescent="0.25">
      <c r="A374" s="46" t="s">
        <v>8095</v>
      </c>
      <c r="B374" s="46" t="s">
        <v>11646</v>
      </c>
      <c r="C374" s="46" t="s">
        <v>14</v>
      </c>
      <c r="D374" s="47">
        <v>2412</v>
      </c>
      <c r="E374" s="46" t="s">
        <v>8096</v>
      </c>
      <c r="F374" s="48">
        <v>39426</v>
      </c>
      <c r="G374" s="48">
        <v>39763</v>
      </c>
      <c r="H374" s="46" t="s">
        <v>40</v>
      </c>
      <c r="I374" s="45">
        <v>25056.92</v>
      </c>
      <c r="J374" s="45">
        <v>12528.46</v>
      </c>
      <c r="K374" s="49" t="s">
        <v>7941</v>
      </c>
      <c r="L374" s="45"/>
      <c r="M374" s="3"/>
    </row>
    <row r="375" spans="1:13" x14ac:dyDescent="0.25">
      <c r="A375" s="46" t="s">
        <v>8107</v>
      </c>
      <c r="B375" s="46" t="s">
        <v>11646</v>
      </c>
      <c r="C375" s="46" t="s">
        <v>14</v>
      </c>
      <c r="D375" s="47">
        <v>2433</v>
      </c>
      <c r="E375" s="46" t="s">
        <v>8108</v>
      </c>
      <c r="F375" s="48">
        <v>39587</v>
      </c>
      <c r="G375" s="48">
        <v>39797</v>
      </c>
      <c r="H375" s="46" t="s">
        <v>40</v>
      </c>
      <c r="I375" s="45">
        <v>15961.84</v>
      </c>
      <c r="J375" s="45">
        <v>7980.92</v>
      </c>
      <c r="K375" s="49" t="s">
        <v>7941</v>
      </c>
      <c r="L375" s="45"/>
      <c r="M375" s="3"/>
    </row>
    <row r="376" spans="1:13" ht="25.5" x14ac:dyDescent="0.25">
      <c r="A376" s="46" t="s">
        <v>8111</v>
      </c>
      <c r="B376" s="46" t="s">
        <v>11646</v>
      </c>
      <c r="C376" s="46" t="s">
        <v>14</v>
      </c>
      <c r="D376" s="47">
        <v>2435</v>
      </c>
      <c r="E376" s="46" t="s">
        <v>8112</v>
      </c>
      <c r="F376" s="48">
        <v>39587</v>
      </c>
      <c r="G376" s="48">
        <v>39902</v>
      </c>
      <c r="H376" s="46" t="s">
        <v>40</v>
      </c>
      <c r="I376" s="45">
        <v>39360</v>
      </c>
      <c r="J376" s="45">
        <v>19680</v>
      </c>
      <c r="K376" s="49" t="s">
        <v>7941</v>
      </c>
      <c r="L376" s="45"/>
      <c r="M376" s="3"/>
    </row>
    <row r="377" spans="1:13" x14ac:dyDescent="0.25">
      <c r="A377" s="46" t="s">
        <v>8115</v>
      </c>
      <c r="B377" s="46" t="s">
        <v>11646</v>
      </c>
      <c r="C377" s="46" t="s">
        <v>14</v>
      </c>
      <c r="D377" s="47">
        <v>2437</v>
      </c>
      <c r="E377" s="46" t="s">
        <v>8116</v>
      </c>
      <c r="F377" s="48">
        <v>39587</v>
      </c>
      <c r="G377" s="48">
        <v>39805</v>
      </c>
      <c r="H377" s="46" t="s">
        <v>40</v>
      </c>
      <c r="I377" s="45">
        <v>3024</v>
      </c>
      <c r="J377" s="45">
        <v>1512</v>
      </c>
      <c r="K377" s="49" t="s">
        <v>7941</v>
      </c>
      <c r="L377" s="45"/>
      <c r="M377" s="3"/>
    </row>
    <row r="378" spans="1:13" x14ac:dyDescent="0.25">
      <c r="A378" s="46" t="s">
        <v>8121</v>
      </c>
      <c r="B378" s="46" t="s">
        <v>11646</v>
      </c>
      <c r="C378" s="46" t="s">
        <v>14</v>
      </c>
      <c r="D378" s="47">
        <v>2440</v>
      </c>
      <c r="E378" s="46" t="s">
        <v>8122</v>
      </c>
      <c r="F378" s="48">
        <v>39587</v>
      </c>
      <c r="G378" s="48">
        <v>39669</v>
      </c>
      <c r="H378" s="46" t="s">
        <v>40</v>
      </c>
      <c r="I378" s="45">
        <v>18250</v>
      </c>
      <c r="J378" s="45">
        <v>9125</v>
      </c>
      <c r="K378" s="49" t="s">
        <v>7941</v>
      </c>
      <c r="L378" s="45"/>
      <c r="M378" s="3"/>
    </row>
    <row r="379" spans="1:13" x14ac:dyDescent="0.25">
      <c r="A379" s="46" t="s">
        <v>8131</v>
      </c>
      <c r="B379" s="46" t="s">
        <v>11646</v>
      </c>
      <c r="C379" s="46" t="s">
        <v>14</v>
      </c>
      <c r="D379" s="47">
        <v>2445</v>
      </c>
      <c r="E379" s="46" t="s">
        <v>8132</v>
      </c>
      <c r="F379" s="48">
        <v>39584</v>
      </c>
      <c r="G379" s="48">
        <v>39729</v>
      </c>
      <c r="H379" s="46" t="s">
        <v>40</v>
      </c>
      <c r="I379" s="45">
        <v>116692</v>
      </c>
      <c r="J379" s="45">
        <v>58346</v>
      </c>
      <c r="K379" s="49" t="s">
        <v>7941</v>
      </c>
      <c r="L379" s="45"/>
      <c r="M379" s="3"/>
    </row>
    <row r="380" spans="1:13" ht="25.5" x14ac:dyDescent="0.25">
      <c r="A380" s="46" t="s">
        <v>8164</v>
      </c>
      <c r="B380" s="46" t="s">
        <v>11646</v>
      </c>
      <c r="C380" s="46" t="s">
        <v>14</v>
      </c>
      <c r="D380" s="47">
        <v>4876</v>
      </c>
      <c r="E380" s="46" t="s">
        <v>8165</v>
      </c>
      <c r="F380" s="48">
        <v>39919</v>
      </c>
      <c r="G380" s="48">
        <v>40284</v>
      </c>
      <c r="H380" s="46" t="s">
        <v>40</v>
      </c>
      <c r="I380" s="45">
        <v>11000</v>
      </c>
      <c r="J380" s="45">
        <v>5500</v>
      </c>
      <c r="K380" s="49" t="s">
        <v>7941</v>
      </c>
      <c r="L380" s="45"/>
      <c r="M380" s="3"/>
    </row>
    <row r="381" spans="1:13" ht="25.5" x14ac:dyDescent="0.25">
      <c r="A381" s="46" t="s">
        <v>8164</v>
      </c>
      <c r="B381" s="46" t="s">
        <v>11646</v>
      </c>
      <c r="C381" s="46" t="s">
        <v>14</v>
      </c>
      <c r="D381" s="47">
        <v>4877</v>
      </c>
      <c r="E381" s="46" t="s">
        <v>8166</v>
      </c>
      <c r="F381" s="48">
        <v>40007</v>
      </c>
      <c r="G381" s="48">
        <v>40372</v>
      </c>
      <c r="H381" s="46" t="s">
        <v>40</v>
      </c>
      <c r="I381" s="45">
        <v>11000</v>
      </c>
      <c r="J381" s="45">
        <v>5500</v>
      </c>
      <c r="K381" s="49" t="s">
        <v>7941</v>
      </c>
      <c r="L381" s="45"/>
      <c r="M381" s="3"/>
    </row>
    <row r="382" spans="1:13" ht="25.5" x14ac:dyDescent="0.25">
      <c r="A382" s="46" t="s">
        <v>8179</v>
      </c>
      <c r="B382" s="46" t="s">
        <v>11646</v>
      </c>
      <c r="C382" s="46" t="s">
        <v>14</v>
      </c>
      <c r="D382" s="47">
        <v>4884</v>
      </c>
      <c r="E382" s="46" t="s">
        <v>8180</v>
      </c>
      <c r="F382" s="48">
        <v>40007</v>
      </c>
      <c r="G382" s="48">
        <v>40372</v>
      </c>
      <c r="H382" s="46" t="s">
        <v>40</v>
      </c>
      <c r="I382" s="45">
        <v>62000</v>
      </c>
      <c r="J382" s="45">
        <v>31000</v>
      </c>
      <c r="K382" s="49" t="s">
        <v>7941</v>
      </c>
      <c r="L382" s="45"/>
      <c r="M382" s="3"/>
    </row>
    <row r="383" spans="1:13" x14ac:dyDescent="0.25">
      <c r="A383" s="46" t="s">
        <v>8191</v>
      </c>
      <c r="B383" s="46" t="s">
        <v>11646</v>
      </c>
      <c r="C383" s="46" t="s">
        <v>14</v>
      </c>
      <c r="D383" s="47">
        <v>4890</v>
      </c>
      <c r="E383" s="46" t="s">
        <v>8192</v>
      </c>
      <c r="F383" s="48">
        <v>40007</v>
      </c>
      <c r="G383" s="48">
        <v>40372</v>
      </c>
      <c r="H383" s="46" t="s">
        <v>40</v>
      </c>
      <c r="I383" s="45">
        <v>98684</v>
      </c>
      <c r="J383" s="45">
        <v>49342</v>
      </c>
      <c r="K383" s="49" t="s">
        <v>7941</v>
      </c>
      <c r="L383" s="45"/>
      <c r="M383" s="3"/>
    </row>
    <row r="384" spans="1:13" x14ac:dyDescent="0.25">
      <c r="A384" s="46" t="s">
        <v>8191</v>
      </c>
      <c r="B384" s="46" t="s">
        <v>11646</v>
      </c>
      <c r="C384" s="46" t="s">
        <v>14</v>
      </c>
      <c r="D384" s="47">
        <v>4891</v>
      </c>
      <c r="E384" s="46" t="s">
        <v>8193</v>
      </c>
      <c r="F384" s="48">
        <v>40105</v>
      </c>
      <c r="G384" s="48">
        <v>40470</v>
      </c>
      <c r="H384" s="46" t="s">
        <v>40</v>
      </c>
      <c r="I384" s="45">
        <v>51316</v>
      </c>
      <c r="J384" s="45">
        <v>25658</v>
      </c>
      <c r="K384" s="49" t="s">
        <v>7941</v>
      </c>
      <c r="L384" s="45"/>
      <c r="M384" s="3"/>
    </row>
    <row r="385" spans="1:13" x14ac:dyDescent="0.25">
      <c r="A385" s="46" t="s">
        <v>8198</v>
      </c>
      <c r="B385" s="46" t="s">
        <v>11646</v>
      </c>
      <c r="C385" s="46" t="s">
        <v>14</v>
      </c>
      <c r="D385" s="47">
        <v>4894</v>
      </c>
      <c r="E385" s="46" t="s">
        <v>8199</v>
      </c>
      <c r="F385" s="48">
        <v>40007</v>
      </c>
      <c r="G385" s="48">
        <v>40372</v>
      </c>
      <c r="H385" s="46" t="s">
        <v>40</v>
      </c>
      <c r="I385" s="45">
        <v>30000</v>
      </c>
      <c r="J385" s="45">
        <v>15000</v>
      </c>
      <c r="K385" s="49" t="s">
        <v>7941</v>
      </c>
      <c r="L385" s="45"/>
      <c r="M385" s="3"/>
    </row>
    <row r="386" spans="1:13" x14ac:dyDescent="0.25">
      <c r="A386" s="46" t="s">
        <v>8200</v>
      </c>
      <c r="B386" s="46" t="s">
        <v>11646</v>
      </c>
      <c r="C386" s="46" t="s">
        <v>14</v>
      </c>
      <c r="D386" s="47">
        <v>4895</v>
      </c>
      <c r="E386" s="46" t="s">
        <v>8201</v>
      </c>
      <c r="F386" s="48">
        <v>39784</v>
      </c>
      <c r="G386" s="48">
        <v>40149</v>
      </c>
      <c r="H386" s="46" t="s">
        <v>40</v>
      </c>
      <c r="I386" s="45">
        <v>7000</v>
      </c>
      <c r="J386" s="45">
        <v>3500</v>
      </c>
      <c r="K386" s="49" t="s">
        <v>7941</v>
      </c>
      <c r="L386" s="45"/>
      <c r="M386" s="3"/>
    </row>
    <row r="387" spans="1:13" ht="25.5" x14ac:dyDescent="0.25">
      <c r="A387" s="46" t="s">
        <v>8261</v>
      </c>
      <c r="B387" s="46" t="s">
        <v>11646</v>
      </c>
      <c r="C387" s="46" t="s">
        <v>14</v>
      </c>
      <c r="D387" s="47">
        <v>7112</v>
      </c>
      <c r="E387" s="46" t="s">
        <v>8262</v>
      </c>
      <c r="F387" s="48">
        <v>40105</v>
      </c>
      <c r="G387" s="48">
        <v>41639</v>
      </c>
      <c r="H387" s="46" t="s">
        <v>40</v>
      </c>
      <c r="I387" s="45">
        <v>32330</v>
      </c>
      <c r="J387" s="45">
        <v>16165</v>
      </c>
      <c r="K387" s="49" t="s">
        <v>7941</v>
      </c>
      <c r="L387" s="45"/>
      <c r="M387" s="3"/>
    </row>
    <row r="388" spans="1:13" x14ac:dyDescent="0.25">
      <c r="A388" s="46" t="s">
        <v>8412</v>
      </c>
      <c r="B388" s="46" t="s">
        <v>11646</v>
      </c>
      <c r="C388" s="46" t="s">
        <v>14</v>
      </c>
      <c r="D388" s="47">
        <v>417</v>
      </c>
      <c r="E388" s="46" t="s">
        <v>8413</v>
      </c>
      <c r="F388" s="48">
        <v>39358</v>
      </c>
      <c r="G388" s="48">
        <v>39826</v>
      </c>
      <c r="H388" s="46" t="s">
        <v>40</v>
      </c>
      <c r="I388" s="45">
        <v>100388.64</v>
      </c>
      <c r="J388" s="45">
        <v>50194.32</v>
      </c>
      <c r="K388" s="49" t="s">
        <v>8348</v>
      </c>
      <c r="L388" s="45"/>
      <c r="M388" s="3"/>
    </row>
    <row r="389" spans="1:13" x14ac:dyDescent="0.25">
      <c r="A389" s="46" t="s">
        <v>8414</v>
      </c>
      <c r="B389" s="46" t="s">
        <v>11646</v>
      </c>
      <c r="C389" s="46" t="s">
        <v>14</v>
      </c>
      <c r="D389" s="47">
        <v>418</v>
      </c>
      <c r="E389" s="46" t="s">
        <v>8415</v>
      </c>
      <c r="F389" s="48">
        <v>39358</v>
      </c>
      <c r="G389" s="48">
        <v>39379</v>
      </c>
      <c r="H389" s="46" t="s">
        <v>40</v>
      </c>
      <c r="I389" s="45">
        <v>7890</v>
      </c>
      <c r="J389" s="45">
        <v>3945</v>
      </c>
      <c r="K389" s="49" t="s">
        <v>8348</v>
      </c>
      <c r="L389" s="45"/>
      <c r="M389" s="3"/>
    </row>
    <row r="390" spans="1:13" x14ac:dyDescent="0.25">
      <c r="A390" s="46" t="s">
        <v>8420</v>
      </c>
      <c r="B390" s="46" t="s">
        <v>11646</v>
      </c>
      <c r="C390" s="46" t="s">
        <v>14</v>
      </c>
      <c r="D390" s="47">
        <v>421</v>
      </c>
      <c r="E390" s="46" t="s">
        <v>8421</v>
      </c>
      <c r="F390" s="48">
        <v>39260</v>
      </c>
      <c r="G390" s="48">
        <v>39615</v>
      </c>
      <c r="H390" s="46" t="s">
        <v>40</v>
      </c>
      <c r="I390" s="45">
        <v>49015.62</v>
      </c>
      <c r="J390" s="45">
        <v>24507.81</v>
      </c>
      <c r="K390" s="49" t="s">
        <v>8348</v>
      </c>
      <c r="L390" s="45"/>
      <c r="M390" s="3"/>
    </row>
    <row r="391" spans="1:13" x14ac:dyDescent="0.25">
      <c r="A391" s="46" t="s">
        <v>8422</v>
      </c>
      <c r="B391" s="46" t="s">
        <v>11646</v>
      </c>
      <c r="C391" s="46" t="s">
        <v>14</v>
      </c>
      <c r="D391" s="47">
        <v>422</v>
      </c>
      <c r="E391" s="46" t="s">
        <v>8423</v>
      </c>
      <c r="F391" s="48">
        <v>39140</v>
      </c>
      <c r="G391" s="48">
        <v>39204</v>
      </c>
      <c r="H391" s="46" t="s">
        <v>40</v>
      </c>
      <c r="I391" s="45">
        <v>28308</v>
      </c>
      <c r="J391" s="45">
        <v>14154</v>
      </c>
      <c r="K391" s="49" t="s">
        <v>8348</v>
      </c>
      <c r="L391" s="45"/>
      <c r="M391" s="3"/>
    </row>
    <row r="392" spans="1:13" x14ac:dyDescent="0.25">
      <c r="A392" s="46" t="s">
        <v>8427</v>
      </c>
      <c r="B392" s="46" t="s">
        <v>11646</v>
      </c>
      <c r="C392" s="46" t="s">
        <v>14</v>
      </c>
      <c r="D392" s="47">
        <v>425</v>
      </c>
      <c r="E392" s="46" t="s">
        <v>8428</v>
      </c>
      <c r="F392" s="48">
        <v>39140</v>
      </c>
      <c r="G392" s="48">
        <v>39379</v>
      </c>
      <c r="H392" s="46" t="s">
        <v>40</v>
      </c>
      <c r="I392" s="45">
        <v>3950.22</v>
      </c>
      <c r="J392" s="45">
        <v>1975.11</v>
      </c>
      <c r="K392" s="49" t="s">
        <v>8348</v>
      </c>
      <c r="L392" s="45"/>
      <c r="M392" s="3"/>
    </row>
    <row r="393" spans="1:13" x14ac:dyDescent="0.25">
      <c r="A393" s="46" t="s">
        <v>8429</v>
      </c>
      <c r="B393" s="46" t="s">
        <v>11646</v>
      </c>
      <c r="C393" s="46" t="s">
        <v>14</v>
      </c>
      <c r="D393" s="47">
        <v>426</v>
      </c>
      <c r="E393" s="46" t="s">
        <v>8430</v>
      </c>
      <c r="F393" s="48">
        <v>39358</v>
      </c>
      <c r="G393" s="48">
        <v>39777</v>
      </c>
      <c r="H393" s="46" t="s">
        <v>40</v>
      </c>
      <c r="I393" s="45">
        <v>27520</v>
      </c>
      <c r="J393" s="45">
        <v>13760</v>
      </c>
      <c r="K393" s="49" t="s">
        <v>8348</v>
      </c>
      <c r="L393" s="45"/>
      <c r="M393" s="3"/>
    </row>
    <row r="394" spans="1:13" x14ac:dyDescent="0.25">
      <c r="A394" s="46" t="s">
        <v>8431</v>
      </c>
      <c r="B394" s="46" t="s">
        <v>11646</v>
      </c>
      <c r="C394" s="46" t="s">
        <v>14</v>
      </c>
      <c r="D394" s="47">
        <v>427</v>
      </c>
      <c r="E394" s="46" t="s">
        <v>8432</v>
      </c>
      <c r="F394" s="48">
        <v>39358</v>
      </c>
      <c r="G394" s="48">
        <v>39615</v>
      </c>
      <c r="H394" s="46" t="s">
        <v>40</v>
      </c>
      <c r="I394" s="45">
        <v>200000</v>
      </c>
      <c r="J394" s="45">
        <v>50000</v>
      </c>
      <c r="K394" s="49" t="s">
        <v>8348</v>
      </c>
      <c r="L394" s="45"/>
      <c r="M394" s="3"/>
    </row>
    <row r="395" spans="1:13" x14ac:dyDescent="0.25">
      <c r="A395" s="46" t="s">
        <v>8435</v>
      </c>
      <c r="B395" s="46" t="s">
        <v>11646</v>
      </c>
      <c r="C395" s="46" t="s">
        <v>14</v>
      </c>
      <c r="D395" s="47">
        <v>429</v>
      </c>
      <c r="E395" s="46" t="s">
        <v>8436</v>
      </c>
      <c r="F395" s="48">
        <v>39505</v>
      </c>
      <c r="G395" s="48">
        <v>40129</v>
      </c>
      <c r="H395" s="46" t="s">
        <v>40</v>
      </c>
      <c r="I395" s="45">
        <v>4655.6400000000003</v>
      </c>
      <c r="J395" s="45">
        <v>2327.8200000000002</v>
      </c>
      <c r="K395" s="49" t="s">
        <v>8348</v>
      </c>
      <c r="L395" s="45"/>
      <c r="M395" s="3"/>
    </row>
    <row r="396" spans="1:13" x14ac:dyDescent="0.25">
      <c r="A396" s="46" t="s">
        <v>8439</v>
      </c>
      <c r="B396" s="46" t="s">
        <v>11646</v>
      </c>
      <c r="C396" s="46" t="s">
        <v>14</v>
      </c>
      <c r="D396" s="47">
        <v>431</v>
      </c>
      <c r="E396" s="46" t="s">
        <v>8440</v>
      </c>
      <c r="F396" s="48">
        <v>39505</v>
      </c>
      <c r="G396" s="48">
        <v>39798</v>
      </c>
      <c r="H396" s="46" t="s">
        <v>40</v>
      </c>
      <c r="I396" s="45">
        <v>16000</v>
      </c>
      <c r="J396" s="45">
        <v>8000</v>
      </c>
      <c r="K396" s="49" t="s">
        <v>8348</v>
      </c>
      <c r="L396" s="45"/>
      <c r="M396" s="3"/>
    </row>
    <row r="397" spans="1:13" x14ac:dyDescent="0.25">
      <c r="A397" s="46" t="s">
        <v>8445</v>
      </c>
      <c r="B397" s="46" t="s">
        <v>11646</v>
      </c>
      <c r="C397" s="46" t="s">
        <v>14</v>
      </c>
      <c r="D397" s="47">
        <v>434</v>
      </c>
      <c r="E397" s="46" t="s">
        <v>8446</v>
      </c>
      <c r="F397" s="48">
        <v>39505</v>
      </c>
      <c r="G397" s="48">
        <v>39567</v>
      </c>
      <c r="H397" s="46" t="s">
        <v>40</v>
      </c>
      <c r="I397" s="45">
        <v>16000</v>
      </c>
      <c r="J397" s="45">
        <v>8000</v>
      </c>
      <c r="K397" s="49" t="s">
        <v>8348</v>
      </c>
      <c r="L397" s="45"/>
      <c r="M397" s="3"/>
    </row>
    <row r="398" spans="1:13" x14ac:dyDescent="0.25">
      <c r="A398" s="46" t="s">
        <v>8447</v>
      </c>
      <c r="B398" s="46" t="s">
        <v>11646</v>
      </c>
      <c r="C398" s="46" t="s">
        <v>14</v>
      </c>
      <c r="D398" s="47">
        <v>435</v>
      </c>
      <c r="E398" s="46" t="s">
        <v>8448</v>
      </c>
      <c r="F398" s="48">
        <v>39577</v>
      </c>
      <c r="G398" s="48">
        <v>39659</v>
      </c>
      <c r="H398" s="46" t="s">
        <v>40</v>
      </c>
      <c r="I398" s="45">
        <v>733.84</v>
      </c>
      <c r="J398" s="45">
        <v>366.9</v>
      </c>
      <c r="K398" s="49" t="s">
        <v>8348</v>
      </c>
      <c r="L398" s="45"/>
      <c r="M398" s="3"/>
    </row>
    <row r="399" spans="1:13" x14ac:dyDescent="0.25">
      <c r="A399" s="46" t="s">
        <v>8449</v>
      </c>
      <c r="B399" s="46" t="s">
        <v>11646</v>
      </c>
      <c r="C399" s="46" t="s">
        <v>14</v>
      </c>
      <c r="D399" s="47">
        <v>436</v>
      </c>
      <c r="E399" s="46" t="s">
        <v>3256</v>
      </c>
      <c r="F399" s="48">
        <v>39624</v>
      </c>
      <c r="G399" s="48">
        <v>39721</v>
      </c>
      <c r="H399" s="46" t="s">
        <v>40</v>
      </c>
      <c r="I399" s="45">
        <v>90000</v>
      </c>
      <c r="J399" s="45">
        <v>45000</v>
      </c>
      <c r="K399" s="49" t="s">
        <v>8348</v>
      </c>
      <c r="L399" s="45"/>
      <c r="M399" s="3"/>
    </row>
    <row r="400" spans="1:13" ht="25.5" x14ac:dyDescent="0.25">
      <c r="A400" s="46" t="s">
        <v>8462</v>
      </c>
      <c r="B400" s="46" t="s">
        <v>11646</v>
      </c>
      <c r="C400" s="46" t="s">
        <v>14</v>
      </c>
      <c r="D400" s="47">
        <v>444</v>
      </c>
      <c r="E400" s="46" t="s">
        <v>8463</v>
      </c>
      <c r="F400" s="48">
        <v>39924</v>
      </c>
      <c r="G400" s="48">
        <v>40133</v>
      </c>
      <c r="H400" s="46" t="s">
        <v>40</v>
      </c>
      <c r="I400" s="45">
        <v>7488.18</v>
      </c>
      <c r="J400" s="45">
        <v>3744.09</v>
      </c>
      <c r="K400" s="49" t="s">
        <v>8348</v>
      </c>
      <c r="L400" s="45"/>
      <c r="M400" s="3"/>
    </row>
    <row r="401" spans="1:13" x14ac:dyDescent="0.25">
      <c r="A401" s="46" t="s">
        <v>8554</v>
      </c>
      <c r="B401" s="46" t="s">
        <v>11646</v>
      </c>
      <c r="C401" s="46" t="s">
        <v>14</v>
      </c>
      <c r="D401" s="47">
        <v>5012</v>
      </c>
      <c r="E401" s="46" t="s">
        <v>8555</v>
      </c>
      <c r="F401" s="48">
        <v>40070</v>
      </c>
      <c r="G401" s="48">
        <v>40262</v>
      </c>
      <c r="H401" s="46" t="s">
        <v>40</v>
      </c>
      <c r="I401" s="45">
        <v>43546.8</v>
      </c>
      <c r="J401" s="45">
        <v>21773.4</v>
      </c>
      <c r="K401" s="49" t="s">
        <v>8348</v>
      </c>
      <c r="L401" s="45"/>
      <c r="M401" s="3"/>
    </row>
    <row r="402" spans="1:13" ht="25.5" x14ac:dyDescent="0.25">
      <c r="A402" s="46" t="s">
        <v>8414</v>
      </c>
      <c r="B402" s="46" t="s">
        <v>11646</v>
      </c>
      <c r="C402" s="46" t="s">
        <v>14</v>
      </c>
      <c r="D402" s="47">
        <v>5039</v>
      </c>
      <c r="E402" s="46" t="s">
        <v>8564</v>
      </c>
      <c r="F402" s="48">
        <v>40123</v>
      </c>
      <c r="G402" s="48">
        <v>40123</v>
      </c>
      <c r="H402" s="46" t="s">
        <v>40</v>
      </c>
      <c r="I402" s="45">
        <v>6666.68</v>
      </c>
      <c r="J402" s="45">
        <v>3333.34</v>
      </c>
      <c r="K402" s="49" t="s">
        <v>8348</v>
      </c>
      <c r="L402" s="45"/>
      <c r="M402" s="3"/>
    </row>
    <row r="403" spans="1:13" ht="25.5" x14ac:dyDescent="0.25">
      <c r="A403" s="46" t="s">
        <v>8572</v>
      </c>
      <c r="B403" s="46" t="s">
        <v>11646</v>
      </c>
      <c r="C403" s="46" t="s">
        <v>14</v>
      </c>
      <c r="D403" s="47">
        <v>5059</v>
      </c>
      <c r="E403" s="46" t="s">
        <v>8573</v>
      </c>
      <c r="F403" s="48">
        <v>40130</v>
      </c>
      <c r="G403" s="48">
        <v>40130</v>
      </c>
      <c r="H403" s="46" t="s">
        <v>40</v>
      </c>
      <c r="I403" s="45">
        <v>7000</v>
      </c>
      <c r="J403" s="45">
        <v>3500</v>
      </c>
      <c r="K403" s="49" t="s">
        <v>8348</v>
      </c>
      <c r="L403" s="45"/>
      <c r="M403" s="3"/>
    </row>
    <row r="404" spans="1:13" x14ac:dyDescent="0.25">
      <c r="A404" s="46" t="s">
        <v>8930</v>
      </c>
      <c r="B404" s="46" t="s">
        <v>11646</v>
      </c>
      <c r="C404" s="46" t="s">
        <v>14</v>
      </c>
      <c r="D404" s="47">
        <v>1737</v>
      </c>
      <c r="E404" s="46" t="s">
        <v>8931</v>
      </c>
      <c r="F404" s="48">
        <v>39125</v>
      </c>
      <c r="G404" s="48">
        <v>40178</v>
      </c>
      <c r="H404" s="46" t="s">
        <v>40</v>
      </c>
      <c r="I404" s="45">
        <v>55852.12</v>
      </c>
      <c r="J404" s="45">
        <v>27926.06</v>
      </c>
      <c r="K404" s="49" t="s">
        <v>8905</v>
      </c>
      <c r="L404" s="45"/>
      <c r="M404" s="3"/>
    </row>
    <row r="405" spans="1:13" x14ac:dyDescent="0.25">
      <c r="A405" s="46" t="s">
        <v>8932</v>
      </c>
      <c r="B405" s="46" t="s">
        <v>11646</v>
      </c>
      <c r="C405" s="46" t="s">
        <v>14</v>
      </c>
      <c r="D405" s="47">
        <v>1738</v>
      </c>
      <c r="E405" s="46" t="s">
        <v>8933</v>
      </c>
      <c r="F405" s="48">
        <v>39125</v>
      </c>
      <c r="G405" s="48">
        <v>39490</v>
      </c>
      <c r="H405" s="46" t="s">
        <v>40</v>
      </c>
      <c r="I405" s="45">
        <v>20000</v>
      </c>
      <c r="J405" s="45">
        <v>10000</v>
      </c>
      <c r="K405" s="49" t="s">
        <v>8905</v>
      </c>
      <c r="L405" s="45"/>
      <c r="M405" s="3"/>
    </row>
    <row r="406" spans="1:13" x14ac:dyDescent="0.25">
      <c r="A406" s="46" t="s">
        <v>8936</v>
      </c>
      <c r="B406" s="46" t="s">
        <v>11646</v>
      </c>
      <c r="C406" s="46" t="s">
        <v>14</v>
      </c>
      <c r="D406" s="47">
        <v>1784</v>
      </c>
      <c r="E406" s="46" t="s">
        <v>8937</v>
      </c>
      <c r="F406" s="48">
        <v>39125</v>
      </c>
      <c r="G406" s="48">
        <v>39275</v>
      </c>
      <c r="H406" s="46" t="s">
        <v>40</v>
      </c>
      <c r="I406" s="45">
        <v>103.84</v>
      </c>
      <c r="J406" s="45">
        <v>51.92</v>
      </c>
      <c r="K406" s="49" t="s">
        <v>8905</v>
      </c>
      <c r="L406" s="45"/>
      <c r="M406" s="3"/>
    </row>
    <row r="407" spans="1:13" x14ac:dyDescent="0.25">
      <c r="A407" s="46" t="s">
        <v>8942</v>
      </c>
      <c r="B407" s="46" t="s">
        <v>11646</v>
      </c>
      <c r="C407" s="46" t="s">
        <v>14</v>
      </c>
      <c r="D407" s="47">
        <v>1807</v>
      </c>
      <c r="E407" s="46" t="s">
        <v>8943</v>
      </c>
      <c r="F407" s="48">
        <v>39335</v>
      </c>
      <c r="G407" s="48">
        <v>39422</v>
      </c>
      <c r="H407" s="46" t="s">
        <v>40</v>
      </c>
      <c r="I407" s="45">
        <v>9000</v>
      </c>
      <c r="J407" s="45">
        <v>4500</v>
      </c>
      <c r="K407" s="49" t="s">
        <v>8905</v>
      </c>
      <c r="L407" s="45"/>
      <c r="M407" s="3"/>
    </row>
    <row r="408" spans="1:13" x14ac:dyDescent="0.25">
      <c r="A408" s="46" t="s">
        <v>8944</v>
      </c>
      <c r="B408" s="46" t="s">
        <v>11646</v>
      </c>
      <c r="C408" s="46" t="s">
        <v>14</v>
      </c>
      <c r="D408" s="47">
        <v>1810</v>
      </c>
      <c r="E408" s="46" t="s">
        <v>8945</v>
      </c>
      <c r="F408" s="48">
        <v>39244</v>
      </c>
      <c r="G408" s="48">
        <v>39813</v>
      </c>
      <c r="H408" s="46" t="s">
        <v>40</v>
      </c>
      <c r="I408" s="45">
        <v>15366.92</v>
      </c>
      <c r="J408" s="45">
        <v>7683.46</v>
      </c>
      <c r="K408" s="49" t="s">
        <v>8905</v>
      </c>
      <c r="L408" s="45"/>
      <c r="M408" s="3"/>
    </row>
    <row r="409" spans="1:13" x14ac:dyDescent="0.25">
      <c r="A409" s="46" t="s">
        <v>8946</v>
      </c>
      <c r="B409" s="46" t="s">
        <v>11646</v>
      </c>
      <c r="C409" s="46" t="s">
        <v>14</v>
      </c>
      <c r="D409" s="47">
        <v>1821</v>
      </c>
      <c r="E409" s="46" t="s">
        <v>8947</v>
      </c>
      <c r="F409" s="48">
        <v>39125</v>
      </c>
      <c r="G409" s="48">
        <v>39422</v>
      </c>
      <c r="H409" s="46" t="s">
        <v>40</v>
      </c>
      <c r="I409" s="45">
        <v>96000</v>
      </c>
      <c r="J409" s="45">
        <v>48000</v>
      </c>
      <c r="K409" s="49" t="s">
        <v>8905</v>
      </c>
      <c r="L409" s="45"/>
      <c r="M409" s="3"/>
    </row>
    <row r="410" spans="1:13" x14ac:dyDescent="0.25">
      <c r="A410" s="46" t="s">
        <v>8948</v>
      </c>
      <c r="B410" s="46" t="s">
        <v>11646</v>
      </c>
      <c r="C410" s="46" t="s">
        <v>14</v>
      </c>
      <c r="D410" s="47">
        <v>1831</v>
      </c>
      <c r="E410" s="46" t="s">
        <v>8949</v>
      </c>
      <c r="F410" s="48">
        <v>39188</v>
      </c>
      <c r="G410" s="48">
        <v>39422</v>
      </c>
      <c r="H410" s="46" t="s">
        <v>40</v>
      </c>
      <c r="I410" s="45">
        <v>66000</v>
      </c>
      <c r="J410" s="45">
        <v>33000</v>
      </c>
      <c r="K410" s="49" t="s">
        <v>8905</v>
      </c>
      <c r="L410" s="45"/>
      <c r="M410" s="3"/>
    </row>
    <row r="411" spans="1:13" x14ac:dyDescent="0.25">
      <c r="A411" s="46" t="s">
        <v>8950</v>
      </c>
      <c r="B411" s="46" t="s">
        <v>11646</v>
      </c>
      <c r="C411" s="46" t="s">
        <v>14</v>
      </c>
      <c r="D411" s="47">
        <v>1834</v>
      </c>
      <c r="E411" s="46" t="s">
        <v>8951</v>
      </c>
      <c r="F411" s="48">
        <v>39335</v>
      </c>
      <c r="G411" s="48">
        <v>39422</v>
      </c>
      <c r="H411" s="46" t="s">
        <v>40</v>
      </c>
      <c r="I411" s="45">
        <v>12000</v>
      </c>
      <c r="J411" s="45">
        <v>6000</v>
      </c>
      <c r="K411" s="49" t="s">
        <v>8905</v>
      </c>
      <c r="L411" s="45"/>
      <c r="M411" s="3"/>
    </row>
    <row r="412" spans="1:13" x14ac:dyDescent="0.25">
      <c r="A412" s="46" t="s">
        <v>8952</v>
      </c>
      <c r="B412" s="46" t="s">
        <v>11646</v>
      </c>
      <c r="C412" s="46" t="s">
        <v>14</v>
      </c>
      <c r="D412" s="47">
        <v>1837</v>
      </c>
      <c r="E412" s="46" t="s">
        <v>8953</v>
      </c>
      <c r="F412" s="48">
        <v>39244</v>
      </c>
      <c r="G412" s="48">
        <v>39813</v>
      </c>
      <c r="H412" s="46" t="s">
        <v>40</v>
      </c>
      <c r="I412" s="45">
        <v>13735.38</v>
      </c>
      <c r="J412" s="45">
        <v>6867.69</v>
      </c>
      <c r="K412" s="49" t="s">
        <v>8905</v>
      </c>
      <c r="L412" s="45"/>
      <c r="M412" s="3"/>
    </row>
    <row r="413" spans="1:13" x14ac:dyDescent="0.25">
      <c r="A413" s="46" t="s">
        <v>8956</v>
      </c>
      <c r="B413" s="46" t="s">
        <v>11646</v>
      </c>
      <c r="C413" s="46" t="s">
        <v>14</v>
      </c>
      <c r="D413" s="47">
        <v>1843</v>
      </c>
      <c r="E413" s="46" t="s">
        <v>8957</v>
      </c>
      <c r="F413" s="48">
        <v>39606</v>
      </c>
      <c r="G413" s="48">
        <v>39679</v>
      </c>
      <c r="H413" s="46" t="s">
        <v>40</v>
      </c>
      <c r="I413" s="45">
        <v>38000</v>
      </c>
      <c r="J413" s="45">
        <v>19000</v>
      </c>
      <c r="K413" s="49" t="s">
        <v>8905</v>
      </c>
      <c r="L413" s="45"/>
      <c r="M413" s="3"/>
    </row>
    <row r="414" spans="1:13" ht="25.5" x14ac:dyDescent="0.25">
      <c r="A414" s="46" t="s">
        <v>8958</v>
      </c>
      <c r="B414" s="46" t="s">
        <v>11646</v>
      </c>
      <c r="C414" s="46" t="s">
        <v>14</v>
      </c>
      <c r="D414" s="47">
        <v>1845</v>
      </c>
      <c r="E414" s="46" t="s">
        <v>8959</v>
      </c>
      <c r="F414" s="48">
        <v>39552</v>
      </c>
      <c r="G414" s="48">
        <v>40178</v>
      </c>
      <c r="H414" s="46" t="s">
        <v>40</v>
      </c>
      <c r="I414" s="45">
        <v>24787.14</v>
      </c>
      <c r="J414" s="45">
        <v>12393.57</v>
      </c>
      <c r="K414" s="49" t="s">
        <v>8905</v>
      </c>
      <c r="L414" s="45"/>
      <c r="M414" s="3"/>
    </row>
    <row r="415" spans="1:13" x14ac:dyDescent="0.25">
      <c r="A415" s="46" t="s">
        <v>8960</v>
      </c>
      <c r="B415" s="46" t="s">
        <v>11646</v>
      </c>
      <c r="C415" s="46" t="s">
        <v>14</v>
      </c>
      <c r="D415" s="47">
        <v>1847</v>
      </c>
      <c r="E415" s="46" t="s">
        <v>8961</v>
      </c>
      <c r="F415" s="48">
        <v>39496</v>
      </c>
      <c r="G415" s="48">
        <v>39749</v>
      </c>
      <c r="H415" s="46" t="s">
        <v>40</v>
      </c>
      <c r="I415" s="45">
        <v>60000</v>
      </c>
      <c r="J415" s="45">
        <v>30000</v>
      </c>
      <c r="K415" s="49" t="s">
        <v>8905</v>
      </c>
      <c r="L415" s="45"/>
      <c r="M415" s="3"/>
    </row>
    <row r="416" spans="1:13" x14ac:dyDescent="0.25">
      <c r="A416" s="46" t="s">
        <v>8964</v>
      </c>
      <c r="B416" s="46" t="s">
        <v>11646</v>
      </c>
      <c r="C416" s="46" t="s">
        <v>14</v>
      </c>
      <c r="D416" s="47">
        <v>1852</v>
      </c>
      <c r="E416" s="46" t="s">
        <v>8965</v>
      </c>
      <c r="F416" s="48">
        <v>39496</v>
      </c>
      <c r="G416" s="48">
        <v>39813</v>
      </c>
      <c r="H416" s="46" t="s">
        <v>40</v>
      </c>
      <c r="I416" s="45">
        <v>28460.22</v>
      </c>
      <c r="J416" s="45">
        <v>14230.11</v>
      </c>
      <c r="K416" s="49" t="s">
        <v>8905</v>
      </c>
      <c r="L416" s="45"/>
      <c r="M416" s="3"/>
    </row>
    <row r="417" spans="1:13" x14ac:dyDescent="0.25">
      <c r="A417" s="46" t="s">
        <v>8966</v>
      </c>
      <c r="B417" s="46" t="s">
        <v>11646</v>
      </c>
      <c r="C417" s="46" t="s">
        <v>14</v>
      </c>
      <c r="D417" s="47">
        <v>1855</v>
      </c>
      <c r="E417" s="46" t="s">
        <v>8967</v>
      </c>
      <c r="F417" s="48">
        <v>39492</v>
      </c>
      <c r="G417" s="48">
        <v>39758</v>
      </c>
      <c r="H417" s="46" t="s">
        <v>40</v>
      </c>
      <c r="I417" s="45">
        <v>13084</v>
      </c>
      <c r="J417" s="45">
        <v>6542</v>
      </c>
      <c r="K417" s="49" t="s">
        <v>8905</v>
      </c>
      <c r="L417" s="45"/>
      <c r="M417" s="3"/>
    </row>
    <row r="418" spans="1:13" ht="25.5" x14ac:dyDescent="0.25">
      <c r="A418" s="46" t="s">
        <v>8968</v>
      </c>
      <c r="B418" s="46" t="s">
        <v>11646</v>
      </c>
      <c r="C418" s="46" t="s">
        <v>14</v>
      </c>
      <c r="D418" s="47">
        <v>1858</v>
      </c>
      <c r="E418" s="46" t="s">
        <v>8969</v>
      </c>
      <c r="F418" s="48">
        <v>39496</v>
      </c>
      <c r="G418" s="48">
        <v>40178</v>
      </c>
      <c r="H418" s="46" t="s">
        <v>40</v>
      </c>
      <c r="I418" s="45">
        <v>33057.440000000002</v>
      </c>
      <c r="J418" s="45">
        <v>33057.440000000002</v>
      </c>
      <c r="K418" s="49" t="s">
        <v>8905</v>
      </c>
      <c r="L418" s="45"/>
      <c r="M418" s="3"/>
    </row>
    <row r="419" spans="1:13" x14ac:dyDescent="0.25">
      <c r="A419" s="46" t="s">
        <v>8970</v>
      </c>
      <c r="B419" s="46" t="s">
        <v>11646</v>
      </c>
      <c r="C419" s="46" t="s">
        <v>14</v>
      </c>
      <c r="D419" s="47">
        <v>1860</v>
      </c>
      <c r="E419" s="46" t="s">
        <v>8971</v>
      </c>
      <c r="F419" s="48">
        <v>39188</v>
      </c>
      <c r="G419" s="48">
        <v>39813</v>
      </c>
      <c r="H419" s="46" t="s">
        <v>40</v>
      </c>
      <c r="I419" s="45">
        <v>21640</v>
      </c>
      <c r="J419" s="45">
        <v>10820</v>
      </c>
      <c r="K419" s="49" t="s">
        <v>8905</v>
      </c>
      <c r="L419" s="45"/>
      <c r="M419" s="3"/>
    </row>
    <row r="420" spans="1:13" x14ac:dyDescent="0.25">
      <c r="A420" s="46" t="s">
        <v>8972</v>
      </c>
      <c r="B420" s="46" t="s">
        <v>11646</v>
      </c>
      <c r="C420" s="46" t="s">
        <v>14</v>
      </c>
      <c r="D420" s="47">
        <v>1862</v>
      </c>
      <c r="E420" s="46" t="s">
        <v>8973</v>
      </c>
      <c r="F420" s="48">
        <v>39552</v>
      </c>
      <c r="G420" s="48">
        <v>40178</v>
      </c>
      <c r="H420" s="46" t="s">
        <v>40</v>
      </c>
      <c r="I420" s="45">
        <v>28848.38</v>
      </c>
      <c r="J420" s="45">
        <v>14422.19</v>
      </c>
      <c r="K420" s="49" t="s">
        <v>8905</v>
      </c>
      <c r="L420" s="45"/>
      <c r="M420" s="3"/>
    </row>
    <row r="421" spans="1:13" x14ac:dyDescent="0.25">
      <c r="A421" s="46" t="s">
        <v>9040</v>
      </c>
      <c r="B421" s="46" t="s">
        <v>11646</v>
      </c>
      <c r="C421" s="46" t="s">
        <v>14</v>
      </c>
      <c r="D421" s="47">
        <v>3131</v>
      </c>
      <c r="E421" s="46" t="s">
        <v>8935</v>
      </c>
      <c r="F421" s="48">
        <v>39559</v>
      </c>
      <c r="G421" s="48">
        <v>39813</v>
      </c>
      <c r="H421" s="46" t="s">
        <v>40</v>
      </c>
      <c r="I421" s="45">
        <v>17300</v>
      </c>
      <c r="J421" s="45">
        <v>8650</v>
      </c>
      <c r="K421" s="49" t="s">
        <v>8905</v>
      </c>
      <c r="L421" s="45"/>
      <c r="M421" s="3"/>
    </row>
    <row r="422" spans="1:13" x14ac:dyDescent="0.25">
      <c r="A422" s="46" t="s">
        <v>9041</v>
      </c>
      <c r="B422" s="46" t="s">
        <v>11646</v>
      </c>
      <c r="C422" s="46" t="s">
        <v>14</v>
      </c>
      <c r="D422" s="47">
        <v>5721</v>
      </c>
      <c r="E422" s="46" t="s">
        <v>9042</v>
      </c>
      <c r="F422" s="48">
        <v>39342</v>
      </c>
      <c r="G422" s="48">
        <v>40178</v>
      </c>
      <c r="H422" s="46" t="s">
        <v>40</v>
      </c>
      <c r="I422" s="45">
        <v>2800.6</v>
      </c>
      <c r="J422" s="45">
        <v>1400.3</v>
      </c>
      <c r="K422" s="49" t="s">
        <v>8905</v>
      </c>
      <c r="L422" s="45"/>
      <c r="M422" s="3"/>
    </row>
    <row r="423" spans="1:13" x14ac:dyDescent="0.25">
      <c r="A423" s="46" t="s">
        <v>9047</v>
      </c>
      <c r="B423" s="46" t="s">
        <v>11646</v>
      </c>
      <c r="C423" s="46" t="s">
        <v>14</v>
      </c>
      <c r="D423" s="47">
        <v>5724</v>
      </c>
      <c r="E423" s="46" t="s">
        <v>9048</v>
      </c>
      <c r="F423" s="48">
        <v>39797</v>
      </c>
      <c r="G423" s="48">
        <v>40178</v>
      </c>
      <c r="H423" s="46" t="s">
        <v>40</v>
      </c>
      <c r="I423" s="45">
        <v>3943.2</v>
      </c>
      <c r="J423" s="45">
        <v>1971.59</v>
      </c>
      <c r="K423" s="49" t="s">
        <v>8905</v>
      </c>
      <c r="L423" s="45"/>
      <c r="M423" s="3"/>
    </row>
    <row r="424" spans="1:13" x14ac:dyDescent="0.25">
      <c r="A424" s="46" t="s">
        <v>9049</v>
      </c>
      <c r="B424" s="46" t="s">
        <v>11646</v>
      </c>
      <c r="C424" s="46" t="s">
        <v>14</v>
      </c>
      <c r="D424" s="47">
        <v>5725</v>
      </c>
      <c r="E424" s="46" t="s">
        <v>9050</v>
      </c>
      <c r="F424" s="48">
        <v>39797</v>
      </c>
      <c r="G424" s="48">
        <v>40178</v>
      </c>
      <c r="H424" s="46" t="s">
        <v>40</v>
      </c>
      <c r="I424" s="45">
        <v>11370.06</v>
      </c>
      <c r="J424" s="45">
        <v>5685.03</v>
      </c>
      <c r="K424" s="49" t="s">
        <v>8905</v>
      </c>
      <c r="L424" s="45"/>
      <c r="M424" s="3"/>
    </row>
    <row r="425" spans="1:13" x14ac:dyDescent="0.25">
      <c r="A425" s="46" t="s">
        <v>9051</v>
      </c>
      <c r="B425" s="46" t="s">
        <v>11646</v>
      </c>
      <c r="C425" s="46" t="s">
        <v>14</v>
      </c>
      <c r="D425" s="47">
        <v>5726</v>
      </c>
      <c r="E425" s="46" t="s">
        <v>9052</v>
      </c>
      <c r="F425" s="48">
        <v>39814</v>
      </c>
      <c r="G425" s="48">
        <v>40543</v>
      </c>
      <c r="H425" s="46" t="s">
        <v>40</v>
      </c>
      <c r="I425" s="45">
        <v>47671.24</v>
      </c>
      <c r="J425" s="45">
        <v>23835.62</v>
      </c>
      <c r="K425" s="49" t="s">
        <v>8905</v>
      </c>
      <c r="L425" s="45"/>
      <c r="M425" s="3"/>
    </row>
    <row r="426" spans="1:13" x14ac:dyDescent="0.25">
      <c r="A426" s="46" t="s">
        <v>9053</v>
      </c>
      <c r="B426" s="46" t="s">
        <v>11646</v>
      </c>
      <c r="C426" s="46" t="s">
        <v>14</v>
      </c>
      <c r="D426" s="47">
        <v>5727</v>
      </c>
      <c r="E426" s="46" t="s">
        <v>9054</v>
      </c>
      <c r="F426" s="48">
        <v>39860</v>
      </c>
      <c r="G426" s="48">
        <v>40178</v>
      </c>
      <c r="H426" s="46" t="s">
        <v>40</v>
      </c>
      <c r="I426" s="45">
        <v>60000</v>
      </c>
      <c r="J426" s="45">
        <v>30000</v>
      </c>
      <c r="K426" s="49" t="s">
        <v>8905</v>
      </c>
      <c r="L426" s="45"/>
      <c r="M426" s="3"/>
    </row>
    <row r="427" spans="1:13" x14ac:dyDescent="0.25">
      <c r="A427" s="46" t="s">
        <v>9055</v>
      </c>
      <c r="B427" s="46" t="s">
        <v>11646</v>
      </c>
      <c r="C427" s="46" t="s">
        <v>14</v>
      </c>
      <c r="D427" s="47">
        <v>5728</v>
      </c>
      <c r="E427" s="46" t="s">
        <v>9056</v>
      </c>
      <c r="F427" s="48">
        <v>39860</v>
      </c>
      <c r="G427" s="48">
        <v>40178</v>
      </c>
      <c r="H427" s="46" t="s">
        <v>40</v>
      </c>
      <c r="I427" s="45">
        <v>64400</v>
      </c>
      <c r="J427" s="45">
        <v>30943.71</v>
      </c>
      <c r="K427" s="49" t="s">
        <v>8905</v>
      </c>
      <c r="L427" s="45"/>
      <c r="M427" s="3"/>
    </row>
    <row r="428" spans="1:13" x14ac:dyDescent="0.25">
      <c r="A428" s="46" t="s">
        <v>9061</v>
      </c>
      <c r="B428" s="46" t="s">
        <v>11646</v>
      </c>
      <c r="C428" s="46" t="s">
        <v>14</v>
      </c>
      <c r="D428" s="47">
        <v>5731</v>
      </c>
      <c r="E428" s="46" t="s">
        <v>9062</v>
      </c>
      <c r="F428" s="48">
        <v>39990</v>
      </c>
      <c r="G428" s="48">
        <v>40178</v>
      </c>
      <c r="H428" s="46" t="s">
        <v>40</v>
      </c>
      <c r="I428" s="45">
        <v>19500</v>
      </c>
      <c r="J428" s="45">
        <v>9750</v>
      </c>
      <c r="K428" s="49" t="s">
        <v>8905</v>
      </c>
      <c r="L428" s="45"/>
      <c r="M428" s="3"/>
    </row>
    <row r="429" spans="1:13" x14ac:dyDescent="0.25">
      <c r="A429" s="46" t="s">
        <v>9069</v>
      </c>
      <c r="B429" s="46" t="s">
        <v>11646</v>
      </c>
      <c r="C429" s="46" t="s">
        <v>14</v>
      </c>
      <c r="D429" s="47">
        <v>5736</v>
      </c>
      <c r="E429" s="46" t="s">
        <v>9070</v>
      </c>
      <c r="F429" s="48">
        <v>40077</v>
      </c>
      <c r="G429" s="48">
        <v>40178</v>
      </c>
      <c r="H429" s="46" t="s">
        <v>40</v>
      </c>
      <c r="I429" s="45">
        <v>18800</v>
      </c>
      <c r="J429" s="45">
        <v>9400</v>
      </c>
      <c r="K429" s="49" t="s">
        <v>8905</v>
      </c>
      <c r="L429" s="45"/>
      <c r="M429" s="3"/>
    </row>
    <row r="430" spans="1:13" x14ac:dyDescent="0.25">
      <c r="A430" s="46" t="s">
        <v>9091</v>
      </c>
      <c r="B430" s="46" t="s">
        <v>11646</v>
      </c>
      <c r="C430" s="46" t="s">
        <v>14</v>
      </c>
      <c r="D430" s="47">
        <v>7335</v>
      </c>
      <c r="E430" s="46" t="s">
        <v>9092</v>
      </c>
      <c r="F430" s="48">
        <v>40179</v>
      </c>
      <c r="G430" s="48">
        <v>40543</v>
      </c>
      <c r="H430" s="46" t="s">
        <v>40</v>
      </c>
      <c r="I430" s="45">
        <v>15000</v>
      </c>
      <c r="J430" s="45">
        <v>7500</v>
      </c>
      <c r="K430" s="49" t="s">
        <v>8905</v>
      </c>
      <c r="L430" s="45"/>
      <c r="M430" s="3"/>
    </row>
    <row r="431" spans="1:13" x14ac:dyDescent="0.25">
      <c r="A431" s="46" t="s">
        <v>9095</v>
      </c>
      <c r="B431" s="46" t="s">
        <v>11646</v>
      </c>
      <c r="C431" s="46" t="s">
        <v>14</v>
      </c>
      <c r="D431" s="47">
        <v>7339</v>
      </c>
      <c r="E431" s="46" t="s">
        <v>9094</v>
      </c>
      <c r="F431" s="48">
        <v>40140</v>
      </c>
      <c r="G431" s="48">
        <v>40543</v>
      </c>
      <c r="H431" s="46" t="s">
        <v>40</v>
      </c>
      <c r="I431" s="45">
        <v>18679.84</v>
      </c>
      <c r="J431" s="45">
        <v>9339.92</v>
      </c>
      <c r="K431" s="49" t="s">
        <v>8905</v>
      </c>
      <c r="L431" s="45"/>
      <c r="M431" s="3"/>
    </row>
    <row r="432" spans="1:13" x14ac:dyDescent="0.25">
      <c r="A432" s="46" t="s">
        <v>9144</v>
      </c>
      <c r="B432" s="46" t="s">
        <v>11646</v>
      </c>
      <c r="C432" s="46" t="s">
        <v>14</v>
      </c>
      <c r="D432" s="47">
        <v>8492</v>
      </c>
      <c r="E432" s="46" t="s">
        <v>9145</v>
      </c>
      <c r="F432" s="48">
        <v>40728</v>
      </c>
      <c r="G432" s="48">
        <v>40737</v>
      </c>
      <c r="H432" s="46" t="s">
        <v>40</v>
      </c>
      <c r="I432" s="45">
        <v>2475</v>
      </c>
      <c r="J432" s="45">
        <v>1237.5</v>
      </c>
      <c r="K432" s="49" t="s">
        <v>8905</v>
      </c>
      <c r="L432" s="45"/>
      <c r="M432" s="3"/>
    </row>
    <row r="433" spans="1:13" x14ac:dyDescent="0.25">
      <c r="A433" s="46" t="s">
        <v>9152</v>
      </c>
      <c r="B433" s="46" t="s">
        <v>11646</v>
      </c>
      <c r="C433" s="46" t="s">
        <v>14</v>
      </c>
      <c r="D433" s="47">
        <v>8496</v>
      </c>
      <c r="E433" s="46" t="s">
        <v>9153</v>
      </c>
      <c r="F433" s="48">
        <v>40504</v>
      </c>
      <c r="G433" s="46"/>
      <c r="H433" s="46" t="s">
        <v>40</v>
      </c>
      <c r="I433" s="45">
        <v>24000</v>
      </c>
      <c r="J433" s="45">
        <v>6000</v>
      </c>
      <c r="K433" s="49" t="s">
        <v>8905</v>
      </c>
      <c r="L433" s="45"/>
      <c r="M433" s="3"/>
    </row>
    <row r="434" spans="1:13" x14ac:dyDescent="0.25">
      <c r="A434" s="46" t="s">
        <v>9317</v>
      </c>
      <c r="B434" s="46" t="s">
        <v>11646</v>
      </c>
      <c r="C434" s="46" t="s">
        <v>14</v>
      </c>
      <c r="D434" s="47">
        <v>903</v>
      </c>
      <c r="E434" s="46" t="s">
        <v>9318</v>
      </c>
      <c r="F434" s="48">
        <v>39133</v>
      </c>
      <c r="G434" s="48">
        <v>41639</v>
      </c>
      <c r="H434" s="46" t="s">
        <v>40</v>
      </c>
      <c r="I434" s="45">
        <v>100000</v>
      </c>
      <c r="J434" s="45">
        <v>50000</v>
      </c>
      <c r="K434" s="49" t="s">
        <v>9243</v>
      </c>
      <c r="L434" s="46"/>
    </row>
    <row r="435" spans="1:13" x14ac:dyDescent="0.25">
      <c r="A435" s="46" t="s">
        <v>9319</v>
      </c>
      <c r="B435" s="46" t="s">
        <v>11646</v>
      </c>
      <c r="C435" s="46" t="s">
        <v>14</v>
      </c>
      <c r="D435" s="47">
        <v>904</v>
      </c>
      <c r="E435" s="46" t="s">
        <v>9320</v>
      </c>
      <c r="F435" s="48">
        <v>39133</v>
      </c>
      <c r="G435" s="48">
        <v>41639</v>
      </c>
      <c r="H435" s="46" t="s">
        <v>40</v>
      </c>
      <c r="I435" s="45">
        <v>11292.5</v>
      </c>
      <c r="J435" s="45">
        <v>5646.25</v>
      </c>
      <c r="K435" s="49" t="s">
        <v>9243</v>
      </c>
      <c r="L435" s="46"/>
    </row>
    <row r="436" spans="1:13" ht="25.5" x14ac:dyDescent="0.25">
      <c r="A436" s="46" t="s">
        <v>9323</v>
      </c>
      <c r="B436" s="46" t="s">
        <v>11646</v>
      </c>
      <c r="C436" s="46" t="s">
        <v>14</v>
      </c>
      <c r="D436" s="47">
        <v>906</v>
      </c>
      <c r="E436" s="46" t="s">
        <v>9324</v>
      </c>
      <c r="F436" s="48">
        <v>39133</v>
      </c>
      <c r="G436" s="48">
        <v>41639</v>
      </c>
      <c r="H436" s="46" t="s">
        <v>40</v>
      </c>
      <c r="I436" s="45">
        <v>57400</v>
      </c>
      <c r="J436" s="45">
        <v>28700</v>
      </c>
      <c r="K436" s="49" t="s">
        <v>9243</v>
      </c>
      <c r="L436" s="46"/>
    </row>
    <row r="437" spans="1:13" x14ac:dyDescent="0.25">
      <c r="A437" s="46" t="s">
        <v>9325</v>
      </c>
      <c r="B437" s="46" t="s">
        <v>11646</v>
      </c>
      <c r="C437" s="46" t="s">
        <v>14</v>
      </c>
      <c r="D437" s="47">
        <v>907</v>
      </c>
      <c r="E437" s="46" t="s">
        <v>9326</v>
      </c>
      <c r="F437" s="48">
        <v>39133</v>
      </c>
      <c r="G437" s="48">
        <v>41639</v>
      </c>
      <c r="H437" s="46" t="s">
        <v>40</v>
      </c>
      <c r="I437" s="45">
        <v>86718.23</v>
      </c>
      <c r="J437" s="45">
        <v>43359.12</v>
      </c>
      <c r="K437" s="49" t="s">
        <v>9243</v>
      </c>
      <c r="L437" s="46"/>
    </row>
    <row r="438" spans="1:13" ht="25.5" x14ac:dyDescent="0.25">
      <c r="A438" s="46" t="s">
        <v>9329</v>
      </c>
      <c r="B438" s="46" t="s">
        <v>11646</v>
      </c>
      <c r="C438" s="46" t="s">
        <v>14</v>
      </c>
      <c r="D438" s="47">
        <v>911</v>
      </c>
      <c r="E438" s="46" t="s">
        <v>9330</v>
      </c>
      <c r="F438" s="48">
        <v>39497</v>
      </c>
      <c r="G438" s="48">
        <v>41639</v>
      </c>
      <c r="H438" s="46" t="s">
        <v>40</v>
      </c>
      <c r="I438" s="45">
        <v>36558</v>
      </c>
      <c r="J438" s="45">
        <v>18279</v>
      </c>
      <c r="K438" s="49" t="s">
        <v>9243</v>
      </c>
      <c r="L438" s="46"/>
    </row>
    <row r="439" spans="1:13" x14ac:dyDescent="0.25">
      <c r="A439" s="46" t="s">
        <v>9333</v>
      </c>
      <c r="B439" s="46" t="s">
        <v>11646</v>
      </c>
      <c r="C439" s="46" t="s">
        <v>14</v>
      </c>
      <c r="D439" s="47">
        <v>913</v>
      </c>
      <c r="E439" s="46" t="s">
        <v>9334</v>
      </c>
      <c r="F439" s="48">
        <v>39196</v>
      </c>
      <c r="G439" s="48">
        <v>41639</v>
      </c>
      <c r="H439" s="46" t="s">
        <v>40</v>
      </c>
      <c r="I439" s="45">
        <v>42587.12</v>
      </c>
      <c r="J439" s="45">
        <v>21293.55</v>
      </c>
      <c r="K439" s="49" t="s">
        <v>9243</v>
      </c>
      <c r="L439" s="46"/>
    </row>
    <row r="440" spans="1:13" x14ac:dyDescent="0.25">
      <c r="A440" s="46" t="s">
        <v>9335</v>
      </c>
      <c r="B440" s="46" t="s">
        <v>11646</v>
      </c>
      <c r="C440" s="46" t="s">
        <v>14</v>
      </c>
      <c r="D440" s="47">
        <v>932</v>
      </c>
      <c r="E440" s="46" t="s">
        <v>9336</v>
      </c>
      <c r="F440" s="48">
        <v>39252</v>
      </c>
      <c r="G440" s="48">
        <v>41639</v>
      </c>
      <c r="H440" s="46" t="s">
        <v>40</v>
      </c>
      <c r="I440" s="45">
        <v>10127.68</v>
      </c>
      <c r="J440" s="45">
        <v>5063.84</v>
      </c>
      <c r="K440" s="49" t="s">
        <v>9243</v>
      </c>
      <c r="L440" s="46"/>
    </row>
    <row r="441" spans="1:13" x14ac:dyDescent="0.25">
      <c r="A441" s="46" t="s">
        <v>9339</v>
      </c>
      <c r="B441" s="46" t="s">
        <v>11646</v>
      </c>
      <c r="C441" s="46" t="s">
        <v>14</v>
      </c>
      <c r="D441" s="47">
        <v>934</v>
      </c>
      <c r="E441" s="46" t="s">
        <v>9340</v>
      </c>
      <c r="F441" s="48">
        <v>39280</v>
      </c>
      <c r="G441" s="48">
        <v>41639</v>
      </c>
      <c r="H441" s="46" t="s">
        <v>40</v>
      </c>
      <c r="I441" s="45">
        <v>100000</v>
      </c>
      <c r="J441" s="45">
        <v>50000</v>
      </c>
      <c r="K441" s="49" t="s">
        <v>9243</v>
      </c>
      <c r="L441" s="46"/>
    </row>
    <row r="442" spans="1:13" ht="25.5" x14ac:dyDescent="0.25">
      <c r="A442" s="46" t="s">
        <v>9345</v>
      </c>
      <c r="B442" s="46" t="s">
        <v>11646</v>
      </c>
      <c r="C442" s="46" t="s">
        <v>14</v>
      </c>
      <c r="D442" s="47">
        <v>954</v>
      </c>
      <c r="E442" s="46" t="s">
        <v>9346</v>
      </c>
      <c r="F442" s="48">
        <v>39350</v>
      </c>
      <c r="G442" s="48">
        <v>41639</v>
      </c>
      <c r="H442" s="46" t="s">
        <v>40</v>
      </c>
      <c r="I442" s="45">
        <v>21790.959999999999</v>
      </c>
      <c r="J442" s="45">
        <v>9020.48</v>
      </c>
      <c r="K442" s="49" t="s">
        <v>9243</v>
      </c>
      <c r="L442" s="46"/>
    </row>
    <row r="443" spans="1:13" ht="25.5" x14ac:dyDescent="0.25">
      <c r="A443" s="46" t="s">
        <v>9347</v>
      </c>
      <c r="B443" s="46" t="s">
        <v>11646</v>
      </c>
      <c r="C443" s="46" t="s">
        <v>14</v>
      </c>
      <c r="D443" s="47">
        <v>955</v>
      </c>
      <c r="E443" s="46" t="s">
        <v>9348</v>
      </c>
      <c r="F443" s="48">
        <v>39133</v>
      </c>
      <c r="G443" s="48">
        <v>41639</v>
      </c>
      <c r="H443" s="46" t="s">
        <v>40</v>
      </c>
      <c r="I443" s="45">
        <v>96892.18</v>
      </c>
      <c r="J443" s="45">
        <v>48446.09</v>
      </c>
      <c r="K443" s="49" t="s">
        <v>9243</v>
      </c>
      <c r="L443" s="46"/>
    </row>
    <row r="444" spans="1:13" x14ac:dyDescent="0.25">
      <c r="A444" s="46" t="s">
        <v>9349</v>
      </c>
      <c r="B444" s="46" t="s">
        <v>11646</v>
      </c>
      <c r="C444" s="46" t="s">
        <v>14</v>
      </c>
      <c r="D444" s="47">
        <v>957</v>
      </c>
      <c r="E444" s="46" t="s">
        <v>9350</v>
      </c>
      <c r="F444" s="48">
        <v>39406</v>
      </c>
      <c r="G444" s="48">
        <v>41639</v>
      </c>
      <c r="H444" s="46" t="s">
        <v>40</v>
      </c>
      <c r="I444" s="45">
        <v>49700</v>
      </c>
      <c r="J444" s="45">
        <v>24850</v>
      </c>
      <c r="K444" s="49" t="s">
        <v>9243</v>
      </c>
      <c r="L444" s="46"/>
    </row>
    <row r="445" spans="1:13" x14ac:dyDescent="0.25">
      <c r="A445" s="46" t="s">
        <v>9351</v>
      </c>
      <c r="B445" s="46" t="s">
        <v>11646</v>
      </c>
      <c r="C445" s="46" t="s">
        <v>14</v>
      </c>
      <c r="D445" s="47">
        <v>958</v>
      </c>
      <c r="E445" s="46" t="s">
        <v>9352</v>
      </c>
      <c r="F445" s="48">
        <v>39196</v>
      </c>
      <c r="G445" s="48">
        <v>41639</v>
      </c>
      <c r="H445" s="46" t="s">
        <v>40</v>
      </c>
      <c r="I445" s="45">
        <v>70000</v>
      </c>
      <c r="J445" s="45">
        <v>35000</v>
      </c>
      <c r="K445" s="49" t="s">
        <v>9243</v>
      </c>
      <c r="L445" s="46"/>
    </row>
    <row r="446" spans="1:13" x14ac:dyDescent="0.25">
      <c r="A446" s="46" t="s">
        <v>9353</v>
      </c>
      <c r="B446" s="46" t="s">
        <v>11646</v>
      </c>
      <c r="C446" s="46" t="s">
        <v>14</v>
      </c>
      <c r="D446" s="47">
        <v>959</v>
      </c>
      <c r="E446" s="46" t="s">
        <v>9354</v>
      </c>
      <c r="F446" s="48">
        <v>39350</v>
      </c>
      <c r="G446" s="48">
        <v>41639</v>
      </c>
      <c r="H446" s="46" t="s">
        <v>40</v>
      </c>
      <c r="I446" s="45">
        <v>40000</v>
      </c>
      <c r="J446" s="45">
        <v>20000</v>
      </c>
      <c r="K446" s="49" t="s">
        <v>9243</v>
      </c>
      <c r="L446" s="46"/>
    </row>
    <row r="447" spans="1:13" x14ac:dyDescent="0.25">
      <c r="A447" s="46" t="s">
        <v>9355</v>
      </c>
      <c r="B447" s="46" t="s">
        <v>11646</v>
      </c>
      <c r="C447" s="46" t="s">
        <v>14</v>
      </c>
      <c r="D447" s="47">
        <v>961</v>
      </c>
      <c r="E447" s="46" t="s">
        <v>9356</v>
      </c>
      <c r="F447" s="48">
        <v>39406</v>
      </c>
      <c r="G447" s="48">
        <v>41639</v>
      </c>
      <c r="H447" s="46" t="s">
        <v>40</v>
      </c>
      <c r="I447" s="45">
        <v>30000</v>
      </c>
      <c r="J447" s="45">
        <v>15000</v>
      </c>
      <c r="K447" s="49" t="s">
        <v>9243</v>
      </c>
      <c r="L447" s="46"/>
    </row>
    <row r="448" spans="1:13" ht="25.5" x14ac:dyDescent="0.25">
      <c r="A448" s="46" t="s">
        <v>9357</v>
      </c>
      <c r="B448" s="46" t="s">
        <v>11646</v>
      </c>
      <c r="C448" s="46" t="s">
        <v>14</v>
      </c>
      <c r="D448" s="47">
        <v>973</v>
      </c>
      <c r="E448" s="46" t="s">
        <v>9358</v>
      </c>
      <c r="F448" s="48">
        <v>39406</v>
      </c>
      <c r="G448" s="48">
        <v>41639</v>
      </c>
      <c r="H448" s="46" t="s">
        <v>40</v>
      </c>
      <c r="I448" s="45">
        <v>10933.14</v>
      </c>
      <c r="J448" s="45">
        <v>5466.57</v>
      </c>
      <c r="K448" s="49" t="s">
        <v>9243</v>
      </c>
      <c r="L448" s="46"/>
    </row>
    <row r="449" spans="1:12" x14ac:dyDescent="0.25">
      <c r="A449" s="46" t="s">
        <v>9361</v>
      </c>
      <c r="B449" s="46" t="s">
        <v>11646</v>
      </c>
      <c r="C449" s="46" t="s">
        <v>14</v>
      </c>
      <c r="D449" s="47">
        <v>981</v>
      </c>
      <c r="E449" s="46" t="s">
        <v>9362</v>
      </c>
      <c r="F449" s="48">
        <v>39469</v>
      </c>
      <c r="G449" s="48">
        <v>41639</v>
      </c>
      <c r="H449" s="46" t="s">
        <v>40</v>
      </c>
      <c r="I449" s="45">
        <v>6500</v>
      </c>
      <c r="J449" s="45">
        <v>3250</v>
      </c>
      <c r="K449" s="49" t="s">
        <v>9243</v>
      </c>
      <c r="L449" s="46"/>
    </row>
    <row r="450" spans="1:12" x14ac:dyDescent="0.25">
      <c r="A450" s="46" t="s">
        <v>9363</v>
      </c>
      <c r="B450" s="46" t="s">
        <v>11646</v>
      </c>
      <c r="C450" s="46" t="s">
        <v>14</v>
      </c>
      <c r="D450" s="47">
        <v>987</v>
      </c>
      <c r="E450" s="46" t="s">
        <v>9364</v>
      </c>
      <c r="F450" s="48">
        <v>39406</v>
      </c>
      <c r="G450" s="48">
        <v>41639</v>
      </c>
      <c r="H450" s="46" t="s">
        <v>40</v>
      </c>
      <c r="I450" s="45">
        <v>22500</v>
      </c>
      <c r="J450" s="45">
        <v>11250</v>
      </c>
      <c r="K450" s="49" t="s">
        <v>9243</v>
      </c>
      <c r="L450" s="46"/>
    </row>
    <row r="451" spans="1:12" x14ac:dyDescent="0.25">
      <c r="A451" s="46" t="s">
        <v>9369</v>
      </c>
      <c r="B451" s="46" t="s">
        <v>11646</v>
      </c>
      <c r="C451" s="46" t="s">
        <v>14</v>
      </c>
      <c r="D451" s="47">
        <v>1010</v>
      </c>
      <c r="E451" s="46" t="s">
        <v>9370</v>
      </c>
      <c r="F451" s="48">
        <v>39196</v>
      </c>
      <c r="G451" s="48">
        <v>41639</v>
      </c>
      <c r="H451" s="46" t="s">
        <v>40</v>
      </c>
      <c r="I451" s="45">
        <v>60540</v>
      </c>
      <c r="J451" s="45">
        <v>30270</v>
      </c>
      <c r="K451" s="49" t="s">
        <v>9243</v>
      </c>
      <c r="L451" s="46"/>
    </row>
    <row r="452" spans="1:12" x14ac:dyDescent="0.25">
      <c r="A452" s="46" t="s">
        <v>9373</v>
      </c>
      <c r="B452" s="46" t="s">
        <v>11646</v>
      </c>
      <c r="C452" s="46" t="s">
        <v>14</v>
      </c>
      <c r="D452" s="47">
        <v>1012</v>
      </c>
      <c r="E452" s="46" t="s">
        <v>9374</v>
      </c>
      <c r="F452" s="48">
        <v>39588</v>
      </c>
      <c r="G452" s="48">
        <v>41639</v>
      </c>
      <c r="H452" s="46" t="s">
        <v>40</v>
      </c>
      <c r="I452" s="45">
        <v>30000</v>
      </c>
      <c r="J452" s="45">
        <v>15000</v>
      </c>
      <c r="K452" s="49" t="s">
        <v>9243</v>
      </c>
      <c r="L452" s="46"/>
    </row>
    <row r="453" spans="1:12" ht="25.5" x14ac:dyDescent="0.25">
      <c r="A453" s="46" t="s">
        <v>9375</v>
      </c>
      <c r="B453" s="46" t="s">
        <v>11646</v>
      </c>
      <c r="C453" s="46" t="s">
        <v>14</v>
      </c>
      <c r="D453" s="47">
        <v>1013</v>
      </c>
      <c r="E453" s="46" t="s">
        <v>9376</v>
      </c>
      <c r="F453" s="48">
        <v>39553</v>
      </c>
      <c r="G453" s="48">
        <v>41639</v>
      </c>
      <c r="H453" s="46" t="s">
        <v>40</v>
      </c>
      <c r="I453" s="45">
        <v>29355.38</v>
      </c>
      <c r="J453" s="45">
        <v>14677.69</v>
      </c>
      <c r="K453" s="49" t="s">
        <v>9243</v>
      </c>
      <c r="L453" s="46"/>
    </row>
    <row r="454" spans="1:12" x14ac:dyDescent="0.25">
      <c r="A454" s="46" t="s">
        <v>9377</v>
      </c>
      <c r="B454" s="46" t="s">
        <v>11646</v>
      </c>
      <c r="C454" s="46" t="s">
        <v>14</v>
      </c>
      <c r="D454" s="47">
        <v>1014</v>
      </c>
      <c r="E454" s="46" t="s">
        <v>9378</v>
      </c>
      <c r="F454" s="48">
        <v>39553</v>
      </c>
      <c r="G454" s="48">
        <v>41639</v>
      </c>
      <c r="H454" s="46" t="s">
        <v>40</v>
      </c>
      <c r="I454" s="45">
        <v>30000</v>
      </c>
      <c r="J454" s="45">
        <v>15000</v>
      </c>
      <c r="K454" s="49" t="s">
        <v>9243</v>
      </c>
      <c r="L454" s="46"/>
    </row>
    <row r="455" spans="1:12" x14ac:dyDescent="0.25">
      <c r="A455" s="46" t="s">
        <v>9383</v>
      </c>
      <c r="B455" s="46" t="s">
        <v>11646</v>
      </c>
      <c r="C455" s="46" t="s">
        <v>14</v>
      </c>
      <c r="D455" s="47">
        <v>1017</v>
      </c>
      <c r="E455" s="46" t="s">
        <v>9384</v>
      </c>
      <c r="F455" s="48">
        <v>39588</v>
      </c>
      <c r="G455" s="48">
        <v>41639</v>
      </c>
      <c r="H455" s="46" t="s">
        <v>40</v>
      </c>
      <c r="I455" s="45">
        <v>70000</v>
      </c>
      <c r="J455" s="45">
        <v>35000</v>
      </c>
      <c r="K455" s="49" t="s">
        <v>9243</v>
      </c>
      <c r="L455" s="46"/>
    </row>
    <row r="456" spans="1:12" ht="25.5" x14ac:dyDescent="0.25">
      <c r="A456" s="46" t="s">
        <v>9385</v>
      </c>
      <c r="B456" s="46" t="s">
        <v>11646</v>
      </c>
      <c r="C456" s="46" t="s">
        <v>14</v>
      </c>
      <c r="D456" s="47">
        <v>1062</v>
      </c>
      <c r="E456" s="46" t="s">
        <v>9386</v>
      </c>
      <c r="F456" s="48">
        <v>39588</v>
      </c>
      <c r="G456" s="48">
        <v>41639</v>
      </c>
      <c r="H456" s="46" t="s">
        <v>40</v>
      </c>
      <c r="I456" s="45">
        <v>6065</v>
      </c>
      <c r="J456" s="45">
        <v>3032.5</v>
      </c>
      <c r="K456" s="49" t="s">
        <v>9243</v>
      </c>
      <c r="L456" s="46"/>
    </row>
    <row r="457" spans="1:12" x14ac:dyDescent="0.25">
      <c r="A457" s="46" t="s">
        <v>9455</v>
      </c>
      <c r="B457" s="46" t="s">
        <v>11646</v>
      </c>
      <c r="C457" s="46" t="s">
        <v>14</v>
      </c>
      <c r="D457" s="47">
        <v>2602</v>
      </c>
      <c r="E457" s="46" t="s">
        <v>9456</v>
      </c>
      <c r="F457" s="48">
        <v>39716</v>
      </c>
      <c r="G457" s="48">
        <v>41639</v>
      </c>
      <c r="H457" s="46" t="s">
        <v>40</v>
      </c>
      <c r="I457" s="45">
        <v>2338.2199999999998</v>
      </c>
      <c r="J457" s="45">
        <v>1169.1099999999999</v>
      </c>
      <c r="K457" s="49" t="s">
        <v>9243</v>
      </c>
      <c r="L457" s="46"/>
    </row>
    <row r="458" spans="1:12" ht="25.5" x14ac:dyDescent="0.25">
      <c r="A458" s="46" t="s">
        <v>9461</v>
      </c>
      <c r="B458" s="46" t="s">
        <v>11646</v>
      </c>
      <c r="C458" s="46" t="s">
        <v>14</v>
      </c>
      <c r="D458" s="47">
        <v>5244</v>
      </c>
      <c r="E458" s="46" t="s">
        <v>9462</v>
      </c>
      <c r="F458" s="48">
        <v>40095</v>
      </c>
      <c r="G458" s="48">
        <v>40095</v>
      </c>
      <c r="H458" s="46" t="s">
        <v>40</v>
      </c>
      <c r="I458" s="45">
        <v>50000</v>
      </c>
      <c r="J458" s="45">
        <v>25000</v>
      </c>
      <c r="K458" s="49" t="s">
        <v>9243</v>
      </c>
      <c r="L458" s="46"/>
    </row>
    <row r="459" spans="1:12" x14ac:dyDescent="0.25">
      <c r="A459" s="46" t="s">
        <v>9465</v>
      </c>
      <c r="B459" s="46" t="s">
        <v>11646</v>
      </c>
      <c r="C459" s="46" t="s">
        <v>14</v>
      </c>
      <c r="D459" s="47">
        <v>5247</v>
      </c>
      <c r="E459" s="46" t="s">
        <v>9466</v>
      </c>
      <c r="F459" s="48">
        <v>40115</v>
      </c>
      <c r="G459" s="48">
        <v>40115</v>
      </c>
      <c r="H459" s="46" t="s">
        <v>40</v>
      </c>
      <c r="I459" s="45">
        <v>80000</v>
      </c>
      <c r="J459" s="45">
        <v>40000</v>
      </c>
      <c r="K459" s="49" t="s">
        <v>9243</v>
      </c>
      <c r="L459" s="46"/>
    </row>
    <row r="460" spans="1:12" x14ac:dyDescent="0.25">
      <c r="A460" s="46" t="s">
        <v>9467</v>
      </c>
      <c r="B460" s="46" t="s">
        <v>11646</v>
      </c>
      <c r="C460" s="46" t="s">
        <v>14</v>
      </c>
      <c r="D460" s="47">
        <v>5251</v>
      </c>
      <c r="E460" s="46" t="s">
        <v>9468</v>
      </c>
      <c r="F460" s="48">
        <v>40140</v>
      </c>
      <c r="G460" s="48">
        <v>40451</v>
      </c>
      <c r="H460" s="46" t="s">
        <v>40</v>
      </c>
      <c r="I460" s="45">
        <v>6762.96</v>
      </c>
      <c r="J460" s="45">
        <v>3381.48</v>
      </c>
      <c r="K460" s="49" t="s">
        <v>9243</v>
      </c>
      <c r="L460" s="46"/>
    </row>
    <row r="461" spans="1:12" x14ac:dyDescent="0.25">
      <c r="A461" s="46" t="s">
        <v>9473</v>
      </c>
      <c r="B461" s="46" t="s">
        <v>11646</v>
      </c>
      <c r="C461" s="46" t="s">
        <v>14</v>
      </c>
      <c r="D461" s="47">
        <v>5260</v>
      </c>
      <c r="E461" s="46" t="s">
        <v>9474</v>
      </c>
      <c r="F461" s="48">
        <v>39961</v>
      </c>
      <c r="G461" s="48">
        <v>39961</v>
      </c>
      <c r="H461" s="46" t="s">
        <v>40</v>
      </c>
      <c r="I461" s="45">
        <v>7500</v>
      </c>
      <c r="J461" s="45">
        <v>25715</v>
      </c>
      <c r="K461" s="49" t="s">
        <v>9243</v>
      </c>
      <c r="L461" s="46"/>
    </row>
    <row r="462" spans="1:12" x14ac:dyDescent="0.25">
      <c r="A462" s="46" t="s">
        <v>9475</v>
      </c>
      <c r="B462" s="46" t="s">
        <v>11646</v>
      </c>
      <c r="C462" s="46" t="s">
        <v>14</v>
      </c>
      <c r="D462" s="47">
        <v>5262</v>
      </c>
      <c r="E462" s="46" t="s">
        <v>9476</v>
      </c>
      <c r="F462" s="48">
        <v>39898</v>
      </c>
      <c r="G462" s="48">
        <v>39898</v>
      </c>
      <c r="H462" s="46" t="s">
        <v>40</v>
      </c>
      <c r="I462" s="45">
        <v>50000</v>
      </c>
      <c r="J462" s="45">
        <v>25000</v>
      </c>
      <c r="K462" s="49" t="s">
        <v>9243</v>
      </c>
      <c r="L462" s="46"/>
    </row>
    <row r="463" spans="1:12" ht="38.25" x14ac:dyDescent="0.25">
      <c r="A463" s="46" t="s">
        <v>9477</v>
      </c>
      <c r="B463" s="46" t="s">
        <v>11646</v>
      </c>
      <c r="C463" s="46" t="s">
        <v>14</v>
      </c>
      <c r="D463" s="47">
        <v>5264</v>
      </c>
      <c r="E463" s="46" t="s">
        <v>9478</v>
      </c>
      <c r="F463" s="48">
        <v>39877</v>
      </c>
      <c r="G463" s="48">
        <v>39877</v>
      </c>
      <c r="H463" s="46" t="s">
        <v>40</v>
      </c>
      <c r="I463" s="45">
        <v>40000</v>
      </c>
      <c r="J463" s="45">
        <v>20000</v>
      </c>
      <c r="K463" s="49" t="s">
        <v>9243</v>
      </c>
      <c r="L463" s="46"/>
    </row>
    <row r="464" spans="1:12" x14ac:dyDescent="0.25">
      <c r="A464" s="46" t="s">
        <v>9479</v>
      </c>
      <c r="B464" s="46" t="s">
        <v>11646</v>
      </c>
      <c r="C464" s="46" t="s">
        <v>14</v>
      </c>
      <c r="D464" s="47">
        <v>5265</v>
      </c>
      <c r="E464" s="46" t="s">
        <v>9480</v>
      </c>
      <c r="F464" s="48">
        <v>39877</v>
      </c>
      <c r="G464" s="48">
        <v>39877</v>
      </c>
      <c r="H464" s="46" t="s">
        <v>40</v>
      </c>
      <c r="I464" s="45">
        <v>40000</v>
      </c>
      <c r="J464" s="45">
        <v>20000</v>
      </c>
      <c r="K464" s="49" t="s">
        <v>9243</v>
      </c>
      <c r="L464" s="46"/>
    </row>
    <row r="465" spans="1:13" x14ac:dyDescent="0.25">
      <c r="A465" s="46" t="s">
        <v>9483</v>
      </c>
      <c r="B465" s="46" t="s">
        <v>11646</v>
      </c>
      <c r="C465" s="46" t="s">
        <v>14</v>
      </c>
      <c r="D465" s="47">
        <v>5268</v>
      </c>
      <c r="E465" s="46" t="s">
        <v>9484</v>
      </c>
      <c r="F465" s="48">
        <v>39976</v>
      </c>
      <c r="G465" s="48">
        <v>40008</v>
      </c>
      <c r="H465" s="46" t="s">
        <v>40</v>
      </c>
      <c r="I465" s="45">
        <v>28175.96</v>
      </c>
      <c r="J465" s="45">
        <v>14087.98</v>
      </c>
      <c r="K465" s="49" t="s">
        <v>9243</v>
      </c>
      <c r="L465" s="46"/>
    </row>
    <row r="466" spans="1:13" x14ac:dyDescent="0.25">
      <c r="A466" s="46" t="s">
        <v>9485</v>
      </c>
      <c r="B466" s="46" t="s">
        <v>11646</v>
      </c>
      <c r="C466" s="46" t="s">
        <v>14</v>
      </c>
      <c r="D466" s="47">
        <v>5269</v>
      </c>
      <c r="E466" s="46" t="s">
        <v>9486</v>
      </c>
      <c r="F466" s="48">
        <v>40008</v>
      </c>
      <c r="G466" s="48">
        <v>40154</v>
      </c>
      <c r="H466" s="46" t="s">
        <v>40</v>
      </c>
      <c r="I466" s="45">
        <v>11031.2</v>
      </c>
      <c r="J466" s="45">
        <v>5515.6</v>
      </c>
      <c r="K466" s="49" t="s">
        <v>9243</v>
      </c>
      <c r="L466" s="46"/>
    </row>
    <row r="467" spans="1:13" x14ac:dyDescent="0.25">
      <c r="A467" s="46" t="s">
        <v>10008</v>
      </c>
      <c r="B467" s="46" t="s">
        <v>11646</v>
      </c>
      <c r="C467" s="46" t="s">
        <v>14</v>
      </c>
      <c r="D467" s="47">
        <v>7193</v>
      </c>
      <c r="E467" s="46" t="s">
        <v>10009</v>
      </c>
      <c r="F467" s="48">
        <v>39918</v>
      </c>
      <c r="G467" s="48">
        <v>40282</v>
      </c>
      <c r="H467" s="46" t="s">
        <v>40</v>
      </c>
      <c r="I467" s="45">
        <v>6370</v>
      </c>
      <c r="J467" s="45">
        <v>3185</v>
      </c>
      <c r="K467" s="49" t="s">
        <v>9751</v>
      </c>
      <c r="L467" s="45"/>
      <c r="M467" s="3"/>
    </row>
    <row r="468" spans="1:13" ht="38.25" x14ac:dyDescent="0.25">
      <c r="A468" s="46" t="s">
        <v>10050</v>
      </c>
      <c r="B468" s="46" t="s">
        <v>11646</v>
      </c>
      <c r="C468" s="46" t="s">
        <v>14</v>
      </c>
      <c r="D468" s="47">
        <v>7240</v>
      </c>
      <c r="E468" s="50" t="s">
        <v>10051</v>
      </c>
      <c r="F468" s="48">
        <v>40114</v>
      </c>
      <c r="G468" s="48">
        <v>40478</v>
      </c>
      <c r="H468" s="46" t="s">
        <v>40</v>
      </c>
      <c r="I468" s="45">
        <v>9963.34</v>
      </c>
      <c r="J468" s="45">
        <v>4981.67</v>
      </c>
      <c r="K468" s="49" t="s">
        <v>9751</v>
      </c>
      <c r="L468" s="45"/>
      <c r="M468" s="3"/>
    </row>
    <row r="469" spans="1:13" ht="25.5" x14ac:dyDescent="0.25">
      <c r="A469" s="46" t="s">
        <v>58</v>
      </c>
      <c r="B469" s="46" t="s">
        <v>59</v>
      </c>
      <c r="C469" s="46" t="s">
        <v>14</v>
      </c>
      <c r="D469" s="47">
        <v>1046</v>
      </c>
      <c r="E469" s="46" t="s">
        <v>60</v>
      </c>
      <c r="F469" s="48">
        <v>39343</v>
      </c>
      <c r="G469" s="46"/>
      <c r="H469" s="46" t="s">
        <v>40</v>
      </c>
      <c r="I469" s="45">
        <v>7000</v>
      </c>
      <c r="J469" s="45">
        <v>7000</v>
      </c>
      <c r="K469" s="49" t="s">
        <v>17</v>
      </c>
      <c r="L469" s="45"/>
      <c r="M469" s="3"/>
    </row>
    <row r="470" spans="1:13" ht="51" x14ac:dyDescent="0.25">
      <c r="A470" s="46" t="s">
        <v>63</v>
      </c>
      <c r="B470" s="46" t="s">
        <v>59</v>
      </c>
      <c r="C470" s="46" t="s">
        <v>14</v>
      </c>
      <c r="D470" s="47">
        <v>1514</v>
      </c>
      <c r="E470" s="50" t="s">
        <v>64</v>
      </c>
      <c r="F470" s="48">
        <v>39343</v>
      </c>
      <c r="G470" s="48">
        <v>39709</v>
      </c>
      <c r="H470" s="46" t="s">
        <v>40</v>
      </c>
      <c r="I470" s="45">
        <v>14000</v>
      </c>
      <c r="J470" s="45">
        <v>14000</v>
      </c>
      <c r="K470" s="49" t="s">
        <v>17</v>
      </c>
      <c r="L470" s="45"/>
      <c r="M470" s="3"/>
    </row>
    <row r="471" spans="1:13" ht="25.5" x14ac:dyDescent="0.25">
      <c r="A471" s="46" t="s">
        <v>67</v>
      </c>
      <c r="B471" s="46" t="s">
        <v>59</v>
      </c>
      <c r="C471" s="46" t="s">
        <v>14</v>
      </c>
      <c r="D471" s="47">
        <v>1540</v>
      </c>
      <c r="E471" s="46" t="s">
        <v>68</v>
      </c>
      <c r="F471" s="48">
        <v>39261</v>
      </c>
      <c r="G471" s="48">
        <v>39533</v>
      </c>
      <c r="H471" s="46" t="s">
        <v>40</v>
      </c>
      <c r="I471" s="45">
        <v>5000</v>
      </c>
      <c r="J471" s="45">
        <v>5000</v>
      </c>
      <c r="K471" s="49" t="s">
        <v>17</v>
      </c>
      <c r="L471" s="45"/>
      <c r="M471" s="3"/>
    </row>
    <row r="472" spans="1:13" x14ac:dyDescent="0.25">
      <c r="A472" s="46" t="s">
        <v>69</v>
      </c>
      <c r="B472" s="46" t="s">
        <v>59</v>
      </c>
      <c r="C472" s="46" t="s">
        <v>14</v>
      </c>
      <c r="D472" s="47">
        <v>1542</v>
      </c>
      <c r="E472" s="46" t="s">
        <v>70</v>
      </c>
      <c r="F472" s="48">
        <v>39490</v>
      </c>
      <c r="G472" s="48">
        <v>39734</v>
      </c>
      <c r="H472" s="46" t="s">
        <v>40</v>
      </c>
      <c r="I472" s="45">
        <v>5000</v>
      </c>
      <c r="J472" s="45">
        <v>5000</v>
      </c>
      <c r="K472" s="49" t="s">
        <v>17</v>
      </c>
      <c r="L472" s="45"/>
      <c r="M472" s="3"/>
    </row>
    <row r="473" spans="1:13" x14ac:dyDescent="0.25">
      <c r="A473" s="46" t="s">
        <v>71</v>
      </c>
      <c r="B473" s="46" t="s">
        <v>59</v>
      </c>
      <c r="C473" s="46" t="s">
        <v>14</v>
      </c>
      <c r="D473" s="47">
        <v>1546</v>
      </c>
      <c r="E473" s="46" t="s">
        <v>72</v>
      </c>
      <c r="F473" s="48">
        <v>39343</v>
      </c>
      <c r="G473" s="48">
        <v>39567</v>
      </c>
      <c r="H473" s="46" t="s">
        <v>40</v>
      </c>
      <c r="I473" s="45">
        <v>5000</v>
      </c>
      <c r="J473" s="45">
        <v>5000</v>
      </c>
      <c r="K473" s="49" t="s">
        <v>17</v>
      </c>
      <c r="L473" s="45"/>
      <c r="M473" s="3"/>
    </row>
    <row r="474" spans="1:13" x14ac:dyDescent="0.25">
      <c r="A474" s="46" t="s">
        <v>73</v>
      </c>
      <c r="B474" s="46" t="s">
        <v>59</v>
      </c>
      <c r="C474" s="46" t="s">
        <v>14</v>
      </c>
      <c r="D474" s="47">
        <v>1547</v>
      </c>
      <c r="E474" s="46" t="s">
        <v>74</v>
      </c>
      <c r="F474" s="48">
        <v>39654</v>
      </c>
      <c r="G474" s="48">
        <v>39681</v>
      </c>
      <c r="H474" s="46" t="s">
        <v>40</v>
      </c>
      <c r="I474" s="45">
        <v>3000</v>
      </c>
      <c r="J474" s="45">
        <v>3000</v>
      </c>
      <c r="K474" s="49" t="s">
        <v>17</v>
      </c>
      <c r="L474" s="45"/>
      <c r="M474" s="3"/>
    </row>
    <row r="475" spans="1:13" x14ac:dyDescent="0.25">
      <c r="A475" s="46" t="s">
        <v>77</v>
      </c>
      <c r="B475" s="46" t="s">
        <v>59</v>
      </c>
      <c r="C475" s="46" t="s">
        <v>14</v>
      </c>
      <c r="D475" s="47">
        <v>1562</v>
      </c>
      <c r="E475" s="46" t="s">
        <v>78</v>
      </c>
      <c r="F475" s="48">
        <v>39261</v>
      </c>
      <c r="G475" s="48">
        <v>39549</v>
      </c>
      <c r="H475" s="46" t="s">
        <v>40</v>
      </c>
      <c r="I475" s="45">
        <v>5000</v>
      </c>
      <c r="J475" s="45">
        <v>5000</v>
      </c>
      <c r="K475" s="49" t="s">
        <v>17</v>
      </c>
      <c r="L475" s="45"/>
      <c r="M475" s="3"/>
    </row>
    <row r="476" spans="1:13" ht="25.5" x14ac:dyDescent="0.25">
      <c r="A476" s="46" t="s">
        <v>79</v>
      </c>
      <c r="B476" s="46" t="s">
        <v>59</v>
      </c>
      <c r="C476" s="46" t="s">
        <v>14</v>
      </c>
      <c r="D476" s="47">
        <v>1569</v>
      </c>
      <c r="E476" s="46" t="s">
        <v>80</v>
      </c>
      <c r="F476" s="48">
        <v>39184</v>
      </c>
      <c r="G476" s="48">
        <v>39688</v>
      </c>
      <c r="H476" s="46" t="s">
        <v>40</v>
      </c>
      <c r="I476" s="45">
        <v>2884</v>
      </c>
      <c r="J476" s="45">
        <v>2884</v>
      </c>
      <c r="K476" s="49" t="s">
        <v>17</v>
      </c>
      <c r="L476" s="45"/>
      <c r="M476" s="3"/>
    </row>
    <row r="477" spans="1:13" x14ac:dyDescent="0.25">
      <c r="A477" s="46" t="s">
        <v>81</v>
      </c>
      <c r="B477" s="46" t="s">
        <v>59</v>
      </c>
      <c r="C477" s="46" t="s">
        <v>14</v>
      </c>
      <c r="D477" s="47">
        <v>1577</v>
      </c>
      <c r="E477" s="46" t="s">
        <v>82</v>
      </c>
      <c r="F477" s="48">
        <v>39490</v>
      </c>
      <c r="G477" s="48">
        <v>39856</v>
      </c>
      <c r="H477" s="46" t="s">
        <v>40</v>
      </c>
      <c r="I477" s="45">
        <v>3000</v>
      </c>
      <c r="J477" s="45">
        <v>3000</v>
      </c>
      <c r="K477" s="49" t="s">
        <v>17</v>
      </c>
      <c r="L477" s="45"/>
      <c r="M477" s="3"/>
    </row>
    <row r="478" spans="1:13" ht="25.5" x14ac:dyDescent="0.25">
      <c r="A478" s="46" t="s">
        <v>83</v>
      </c>
      <c r="B478" s="46" t="s">
        <v>59</v>
      </c>
      <c r="C478" s="46" t="s">
        <v>14</v>
      </c>
      <c r="D478" s="47">
        <v>1600</v>
      </c>
      <c r="E478" s="46" t="s">
        <v>84</v>
      </c>
      <c r="F478" s="48">
        <v>39490</v>
      </c>
      <c r="G478" s="48">
        <v>39856</v>
      </c>
      <c r="H478" s="46" t="s">
        <v>40</v>
      </c>
      <c r="I478" s="45">
        <v>10000</v>
      </c>
      <c r="J478" s="45">
        <v>10000</v>
      </c>
      <c r="K478" s="49" t="s">
        <v>17</v>
      </c>
      <c r="L478" s="45"/>
      <c r="M478" s="3"/>
    </row>
    <row r="479" spans="1:13" x14ac:dyDescent="0.25">
      <c r="A479" s="46" t="s">
        <v>85</v>
      </c>
      <c r="B479" s="46" t="s">
        <v>59</v>
      </c>
      <c r="C479" s="46" t="s">
        <v>14</v>
      </c>
      <c r="D479" s="47">
        <v>1642</v>
      </c>
      <c r="E479" s="46" t="s">
        <v>86</v>
      </c>
      <c r="F479" s="48">
        <v>39490</v>
      </c>
      <c r="G479" s="48">
        <v>39791</v>
      </c>
      <c r="H479" s="46" t="s">
        <v>40</v>
      </c>
      <c r="I479" s="45">
        <v>9000</v>
      </c>
      <c r="J479" s="45">
        <v>9000</v>
      </c>
      <c r="K479" s="49" t="s">
        <v>17</v>
      </c>
      <c r="L479" s="45"/>
      <c r="M479" s="3"/>
    </row>
    <row r="480" spans="1:13" x14ac:dyDescent="0.25">
      <c r="A480" s="46" t="s">
        <v>92</v>
      </c>
      <c r="B480" s="46" t="s">
        <v>59</v>
      </c>
      <c r="C480" s="46" t="s">
        <v>14</v>
      </c>
      <c r="D480" s="47">
        <v>1645</v>
      </c>
      <c r="E480" s="46" t="s">
        <v>93</v>
      </c>
      <c r="F480" s="48">
        <v>39343</v>
      </c>
      <c r="G480" s="48">
        <v>39681</v>
      </c>
      <c r="H480" s="46" t="s">
        <v>40</v>
      </c>
      <c r="I480" s="45">
        <v>2500</v>
      </c>
      <c r="J480" s="45">
        <v>2500</v>
      </c>
      <c r="K480" s="49" t="s">
        <v>17</v>
      </c>
      <c r="L480" s="45"/>
      <c r="M480" s="3"/>
    </row>
    <row r="481" spans="1:13" x14ac:dyDescent="0.25">
      <c r="A481" s="46" t="s">
        <v>102</v>
      </c>
      <c r="B481" s="46" t="s">
        <v>59</v>
      </c>
      <c r="C481" s="46" t="s">
        <v>14</v>
      </c>
      <c r="D481" s="47">
        <v>1667</v>
      </c>
      <c r="E481" s="46" t="s">
        <v>103</v>
      </c>
      <c r="F481" s="48">
        <v>39490</v>
      </c>
      <c r="G481" s="48">
        <v>39813</v>
      </c>
      <c r="H481" s="46" t="s">
        <v>40</v>
      </c>
      <c r="I481" s="45">
        <v>3000</v>
      </c>
      <c r="J481" s="45">
        <v>3000</v>
      </c>
      <c r="K481" s="49" t="s">
        <v>17</v>
      </c>
      <c r="L481" s="45"/>
      <c r="M481" s="3"/>
    </row>
    <row r="482" spans="1:13" ht="51" x14ac:dyDescent="0.25">
      <c r="A482" s="46" t="s">
        <v>124</v>
      </c>
      <c r="B482" s="46" t="s">
        <v>59</v>
      </c>
      <c r="C482" s="46" t="s">
        <v>14</v>
      </c>
      <c r="D482" s="47">
        <v>4726</v>
      </c>
      <c r="E482" s="50" t="s">
        <v>125</v>
      </c>
      <c r="F482" s="48">
        <v>39654</v>
      </c>
      <c r="G482" s="48">
        <v>39884</v>
      </c>
      <c r="H482" s="46" t="s">
        <v>40</v>
      </c>
      <c r="I482" s="45">
        <v>6000</v>
      </c>
      <c r="J482" s="45">
        <v>6000</v>
      </c>
      <c r="K482" s="49" t="s">
        <v>17</v>
      </c>
      <c r="L482" s="45"/>
      <c r="M482" s="3"/>
    </row>
    <row r="483" spans="1:13" ht="63.75" x14ac:dyDescent="0.25">
      <c r="A483" s="46" t="s">
        <v>128</v>
      </c>
      <c r="B483" s="46" t="s">
        <v>59</v>
      </c>
      <c r="C483" s="46" t="s">
        <v>14</v>
      </c>
      <c r="D483" s="47">
        <v>5225</v>
      </c>
      <c r="E483" s="50" t="s">
        <v>129</v>
      </c>
      <c r="F483" s="48">
        <v>40179</v>
      </c>
      <c r="G483" s="48">
        <v>40543</v>
      </c>
      <c r="H483" s="46" t="s">
        <v>40</v>
      </c>
      <c r="I483" s="45">
        <v>13500</v>
      </c>
      <c r="J483" s="45">
        <v>13500</v>
      </c>
      <c r="K483" s="49" t="s">
        <v>17</v>
      </c>
      <c r="L483" s="45"/>
      <c r="M483" s="3"/>
    </row>
    <row r="484" spans="1:13" ht="38.25" x14ac:dyDescent="0.25">
      <c r="A484" s="46" t="s">
        <v>130</v>
      </c>
      <c r="B484" s="46" t="s">
        <v>59</v>
      </c>
      <c r="C484" s="46" t="s">
        <v>14</v>
      </c>
      <c r="D484" s="47">
        <v>5248</v>
      </c>
      <c r="E484" s="50" t="s">
        <v>131</v>
      </c>
      <c r="F484" s="48">
        <v>39897</v>
      </c>
      <c r="G484" s="48">
        <v>40121</v>
      </c>
      <c r="H484" s="46" t="s">
        <v>40</v>
      </c>
      <c r="I484" s="45">
        <v>8000</v>
      </c>
      <c r="J484" s="45">
        <v>8000</v>
      </c>
      <c r="K484" s="49" t="s">
        <v>17</v>
      </c>
      <c r="L484" s="45"/>
      <c r="M484" s="3"/>
    </row>
    <row r="485" spans="1:13" x14ac:dyDescent="0.25">
      <c r="A485" s="46" t="s">
        <v>138</v>
      </c>
      <c r="B485" s="46" t="s">
        <v>59</v>
      </c>
      <c r="C485" s="46" t="s">
        <v>14</v>
      </c>
      <c r="D485" s="47">
        <v>5289</v>
      </c>
      <c r="E485" s="46" t="s">
        <v>139</v>
      </c>
      <c r="F485" s="48">
        <v>39897</v>
      </c>
      <c r="G485" s="48">
        <v>40262</v>
      </c>
      <c r="H485" s="46" t="s">
        <v>40</v>
      </c>
      <c r="I485" s="45">
        <v>2000</v>
      </c>
      <c r="J485" s="45">
        <v>2000</v>
      </c>
      <c r="K485" s="49" t="s">
        <v>17</v>
      </c>
      <c r="L485" s="45"/>
      <c r="M485" s="3"/>
    </row>
    <row r="486" spans="1:13" ht="63.75" x14ac:dyDescent="0.25">
      <c r="A486" s="46" t="s">
        <v>142</v>
      </c>
      <c r="B486" s="46" t="s">
        <v>59</v>
      </c>
      <c r="C486" s="46" t="s">
        <v>14</v>
      </c>
      <c r="D486" s="47">
        <v>5303</v>
      </c>
      <c r="E486" s="50" t="s">
        <v>143</v>
      </c>
      <c r="F486" s="48">
        <v>39988</v>
      </c>
      <c r="G486" s="48">
        <v>40543</v>
      </c>
      <c r="H486" s="46" t="s">
        <v>40</v>
      </c>
      <c r="I486" s="45">
        <v>7500</v>
      </c>
      <c r="J486" s="45">
        <v>7500</v>
      </c>
      <c r="K486" s="49" t="s">
        <v>17</v>
      </c>
      <c r="L486" s="45"/>
      <c r="M486" s="3"/>
    </row>
    <row r="487" spans="1:13" ht="25.5" x14ac:dyDescent="0.25">
      <c r="A487" s="46" t="s">
        <v>144</v>
      </c>
      <c r="B487" s="46" t="s">
        <v>59</v>
      </c>
      <c r="C487" s="46" t="s">
        <v>14</v>
      </c>
      <c r="D487" s="47">
        <v>5307</v>
      </c>
      <c r="E487" s="46" t="s">
        <v>145</v>
      </c>
      <c r="F487" s="48">
        <v>39988</v>
      </c>
      <c r="G487" s="48">
        <v>40543</v>
      </c>
      <c r="H487" s="46" t="s">
        <v>40</v>
      </c>
      <c r="I487" s="45">
        <v>3000</v>
      </c>
      <c r="J487" s="45">
        <v>3000</v>
      </c>
      <c r="K487" s="49" t="s">
        <v>17</v>
      </c>
      <c r="L487" s="45"/>
      <c r="M487" s="3"/>
    </row>
    <row r="488" spans="1:13" ht="25.5" x14ac:dyDescent="0.25">
      <c r="A488" s="46" t="s">
        <v>146</v>
      </c>
      <c r="B488" s="46" t="s">
        <v>59</v>
      </c>
      <c r="C488" s="46" t="s">
        <v>14</v>
      </c>
      <c r="D488" s="47">
        <v>5317</v>
      </c>
      <c r="E488" s="46" t="s">
        <v>147</v>
      </c>
      <c r="F488" s="48">
        <v>39988</v>
      </c>
      <c r="G488" s="48">
        <v>40353</v>
      </c>
      <c r="H488" s="46" t="s">
        <v>40</v>
      </c>
      <c r="I488" s="45">
        <v>2500</v>
      </c>
      <c r="J488" s="45">
        <v>2500</v>
      </c>
      <c r="K488" s="49" t="s">
        <v>17</v>
      </c>
      <c r="L488" s="45"/>
      <c r="M488" s="3"/>
    </row>
    <row r="489" spans="1:13" ht="63.75" x14ac:dyDescent="0.25">
      <c r="A489" s="46" t="s">
        <v>150</v>
      </c>
      <c r="B489" s="46" t="s">
        <v>59</v>
      </c>
      <c r="C489" s="46" t="s">
        <v>14</v>
      </c>
      <c r="D489" s="47">
        <v>5340</v>
      </c>
      <c r="E489" s="50" t="s">
        <v>151</v>
      </c>
      <c r="F489" s="48">
        <v>40155</v>
      </c>
      <c r="G489" s="46"/>
      <c r="H489" s="46" t="s">
        <v>40</v>
      </c>
      <c r="I489" s="45">
        <v>10000</v>
      </c>
      <c r="J489" s="45">
        <v>10000</v>
      </c>
      <c r="K489" s="49" t="s">
        <v>17</v>
      </c>
      <c r="L489" s="45"/>
      <c r="M489" s="3"/>
    </row>
    <row r="490" spans="1:13" ht="38.25" x14ac:dyDescent="0.25">
      <c r="A490" s="46" t="s">
        <v>154</v>
      </c>
      <c r="B490" s="46" t="s">
        <v>59</v>
      </c>
      <c r="C490" s="46" t="s">
        <v>14</v>
      </c>
      <c r="D490" s="47">
        <v>5342</v>
      </c>
      <c r="E490" s="46" t="s">
        <v>155</v>
      </c>
      <c r="F490" s="48">
        <v>40179</v>
      </c>
      <c r="G490" s="48">
        <v>40543</v>
      </c>
      <c r="H490" s="46" t="s">
        <v>40</v>
      </c>
      <c r="I490" s="45">
        <v>4000</v>
      </c>
      <c r="J490" s="45">
        <v>4000</v>
      </c>
      <c r="K490" s="49" t="s">
        <v>17</v>
      </c>
      <c r="L490" s="45"/>
      <c r="M490" s="3"/>
    </row>
    <row r="491" spans="1:13" ht="63.75" x14ac:dyDescent="0.25">
      <c r="A491" s="46" t="s">
        <v>156</v>
      </c>
      <c r="B491" s="46" t="s">
        <v>59</v>
      </c>
      <c r="C491" s="46" t="s">
        <v>14</v>
      </c>
      <c r="D491" s="47">
        <v>5343</v>
      </c>
      <c r="E491" s="50" t="s">
        <v>157</v>
      </c>
      <c r="F491" s="48">
        <v>40155</v>
      </c>
      <c r="G491" s="48">
        <v>40178</v>
      </c>
      <c r="H491" s="46" t="s">
        <v>40</v>
      </c>
      <c r="I491" s="45">
        <v>2000</v>
      </c>
      <c r="J491" s="45">
        <v>2000</v>
      </c>
      <c r="K491" s="49" t="s">
        <v>17</v>
      </c>
      <c r="L491" s="45"/>
      <c r="M491" s="3"/>
    </row>
    <row r="492" spans="1:13" ht="38.25" x14ac:dyDescent="0.25">
      <c r="A492" s="46" t="s">
        <v>158</v>
      </c>
      <c r="B492" s="46" t="s">
        <v>59</v>
      </c>
      <c r="C492" s="46" t="s">
        <v>14</v>
      </c>
      <c r="D492" s="47">
        <v>5344</v>
      </c>
      <c r="E492" s="50" t="s">
        <v>159</v>
      </c>
      <c r="F492" s="48">
        <v>40073</v>
      </c>
      <c r="G492" s="48">
        <v>40438</v>
      </c>
      <c r="H492" s="46" t="s">
        <v>40</v>
      </c>
      <c r="I492" s="45">
        <v>5000</v>
      </c>
      <c r="J492" s="45">
        <v>5000</v>
      </c>
      <c r="K492" s="49" t="s">
        <v>17</v>
      </c>
      <c r="L492" s="45"/>
      <c r="M492" s="3"/>
    </row>
    <row r="493" spans="1:13" ht="38.25" x14ac:dyDescent="0.25">
      <c r="A493" s="46" t="s">
        <v>473</v>
      </c>
      <c r="B493" s="46" t="s">
        <v>59</v>
      </c>
      <c r="C493" s="46" t="s">
        <v>14</v>
      </c>
      <c r="D493" s="47">
        <v>2733</v>
      </c>
      <c r="E493" s="46" t="s">
        <v>474</v>
      </c>
      <c r="F493" s="48">
        <v>39126</v>
      </c>
      <c r="G493" s="48">
        <v>39491</v>
      </c>
      <c r="H493" s="46" t="s">
        <v>40</v>
      </c>
      <c r="I493" s="45">
        <v>7500</v>
      </c>
      <c r="J493" s="45">
        <v>7500</v>
      </c>
      <c r="K493" s="49" t="s">
        <v>356</v>
      </c>
      <c r="L493" s="45"/>
      <c r="M493" s="3"/>
    </row>
    <row r="494" spans="1:13" x14ac:dyDescent="0.25">
      <c r="A494" s="46" t="s">
        <v>479</v>
      </c>
      <c r="B494" s="46" t="s">
        <v>59</v>
      </c>
      <c r="C494" s="46" t="s">
        <v>14</v>
      </c>
      <c r="D494" s="47">
        <v>2905</v>
      </c>
      <c r="E494" s="46" t="s">
        <v>480</v>
      </c>
      <c r="F494" s="48">
        <v>39126</v>
      </c>
      <c r="G494" s="48">
        <v>39813</v>
      </c>
      <c r="H494" s="46" t="s">
        <v>40</v>
      </c>
      <c r="I494" s="45">
        <v>7500</v>
      </c>
      <c r="J494" s="45">
        <v>7500</v>
      </c>
      <c r="K494" s="49" t="s">
        <v>356</v>
      </c>
      <c r="L494" s="45"/>
      <c r="M494" s="3"/>
    </row>
    <row r="495" spans="1:13" x14ac:dyDescent="0.25">
      <c r="A495" s="46" t="s">
        <v>481</v>
      </c>
      <c r="B495" s="46" t="s">
        <v>59</v>
      </c>
      <c r="C495" s="46" t="s">
        <v>14</v>
      </c>
      <c r="D495" s="47">
        <v>2907</v>
      </c>
      <c r="E495" s="46" t="s">
        <v>482</v>
      </c>
      <c r="F495" s="48">
        <v>39245</v>
      </c>
      <c r="G495" s="48">
        <v>39813</v>
      </c>
      <c r="H495" s="46" t="s">
        <v>40</v>
      </c>
      <c r="I495" s="45">
        <v>7500</v>
      </c>
      <c r="J495" s="45">
        <v>7500</v>
      </c>
      <c r="K495" s="49" t="s">
        <v>356</v>
      </c>
      <c r="L495" s="45"/>
      <c r="M495" s="3"/>
    </row>
    <row r="496" spans="1:13" ht="25.5" x14ac:dyDescent="0.25">
      <c r="A496" s="46" t="s">
        <v>489</v>
      </c>
      <c r="B496" s="46" t="s">
        <v>59</v>
      </c>
      <c r="C496" s="46" t="s">
        <v>14</v>
      </c>
      <c r="D496" s="47">
        <v>2919</v>
      </c>
      <c r="E496" s="46" t="s">
        <v>490</v>
      </c>
      <c r="F496" s="48">
        <v>39182</v>
      </c>
      <c r="G496" s="48">
        <v>39447</v>
      </c>
      <c r="H496" s="46" t="s">
        <v>40</v>
      </c>
      <c r="I496" s="45">
        <v>7500</v>
      </c>
      <c r="J496" s="45">
        <v>3750</v>
      </c>
      <c r="K496" s="49" t="s">
        <v>356</v>
      </c>
      <c r="L496" s="45"/>
      <c r="M496" s="3"/>
    </row>
    <row r="497" spans="1:13" x14ac:dyDescent="0.25">
      <c r="A497" s="46" t="s">
        <v>503</v>
      </c>
      <c r="B497" s="46" t="s">
        <v>59</v>
      </c>
      <c r="C497" s="46" t="s">
        <v>14</v>
      </c>
      <c r="D497" s="47">
        <v>2936</v>
      </c>
      <c r="E497" s="46" t="s">
        <v>504</v>
      </c>
      <c r="F497" s="48">
        <v>39126</v>
      </c>
      <c r="G497" s="48">
        <v>39813</v>
      </c>
      <c r="H497" s="46" t="s">
        <v>40</v>
      </c>
      <c r="I497" s="45">
        <v>7500</v>
      </c>
      <c r="J497" s="45">
        <v>7500</v>
      </c>
      <c r="K497" s="49" t="s">
        <v>356</v>
      </c>
      <c r="L497" s="45"/>
      <c r="M497" s="3"/>
    </row>
    <row r="498" spans="1:13" ht="38.25" x14ac:dyDescent="0.25">
      <c r="A498" s="46" t="s">
        <v>507</v>
      </c>
      <c r="B498" s="46" t="s">
        <v>59</v>
      </c>
      <c r="C498" s="46" t="s">
        <v>14</v>
      </c>
      <c r="D498" s="47">
        <v>2938</v>
      </c>
      <c r="E498" s="46" t="s">
        <v>508</v>
      </c>
      <c r="F498" s="48">
        <v>39245</v>
      </c>
      <c r="G498" s="48">
        <v>39813</v>
      </c>
      <c r="H498" s="46" t="s">
        <v>40</v>
      </c>
      <c r="I498" s="45">
        <v>7500</v>
      </c>
      <c r="J498" s="45">
        <v>7500</v>
      </c>
      <c r="K498" s="49" t="s">
        <v>356</v>
      </c>
      <c r="L498" s="45"/>
      <c r="M498" s="3"/>
    </row>
    <row r="499" spans="1:13" ht="38.25" x14ac:dyDescent="0.25">
      <c r="A499" s="46" t="s">
        <v>511</v>
      </c>
      <c r="B499" s="46" t="s">
        <v>59</v>
      </c>
      <c r="C499" s="46" t="s">
        <v>14</v>
      </c>
      <c r="D499" s="47">
        <v>2940</v>
      </c>
      <c r="E499" s="46" t="s">
        <v>512</v>
      </c>
      <c r="F499" s="48">
        <v>39427</v>
      </c>
      <c r="G499" s="48">
        <v>39813</v>
      </c>
      <c r="H499" s="46" t="s">
        <v>40</v>
      </c>
      <c r="I499" s="45">
        <v>7500</v>
      </c>
      <c r="J499" s="45">
        <v>7500</v>
      </c>
      <c r="K499" s="49" t="s">
        <v>356</v>
      </c>
      <c r="L499" s="45"/>
      <c r="M499" s="3"/>
    </row>
    <row r="500" spans="1:13" x14ac:dyDescent="0.25">
      <c r="A500" s="46" t="s">
        <v>515</v>
      </c>
      <c r="B500" s="46" t="s">
        <v>59</v>
      </c>
      <c r="C500" s="46" t="s">
        <v>14</v>
      </c>
      <c r="D500" s="47">
        <v>2942</v>
      </c>
      <c r="E500" s="46" t="s">
        <v>516</v>
      </c>
      <c r="F500" s="48">
        <v>39215</v>
      </c>
      <c r="G500" s="48">
        <v>39813</v>
      </c>
      <c r="H500" s="46" t="s">
        <v>40</v>
      </c>
      <c r="I500" s="45">
        <v>7500</v>
      </c>
      <c r="J500" s="45">
        <v>7500</v>
      </c>
      <c r="K500" s="49" t="s">
        <v>356</v>
      </c>
      <c r="L500" s="45"/>
      <c r="M500" s="3"/>
    </row>
    <row r="501" spans="1:13" ht="25.5" x14ac:dyDescent="0.25">
      <c r="A501" s="46" t="s">
        <v>527</v>
      </c>
      <c r="B501" s="46" t="s">
        <v>59</v>
      </c>
      <c r="C501" s="46" t="s">
        <v>14</v>
      </c>
      <c r="D501" s="47">
        <v>2949</v>
      </c>
      <c r="E501" s="46" t="s">
        <v>528</v>
      </c>
      <c r="F501" s="48">
        <v>39623</v>
      </c>
      <c r="G501" s="48">
        <v>40178</v>
      </c>
      <c r="H501" s="46" t="s">
        <v>40</v>
      </c>
      <c r="I501" s="45">
        <v>7500</v>
      </c>
      <c r="J501" s="45">
        <v>7500</v>
      </c>
      <c r="K501" s="49" t="s">
        <v>356</v>
      </c>
      <c r="L501" s="45"/>
      <c r="M501" s="3"/>
    </row>
    <row r="502" spans="1:13" ht="38.25" x14ac:dyDescent="0.25">
      <c r="A502" s="46" t="s">
        <v>543</v>
      </c>
      <c r="B502" s="46" t="s">
        <v>59</v>
      </c>
      <c r="C502" s="46" t="s">
        <v>14</v>
      </c>
      <c r="D502" s="47">
        <v>2958</v>
      </c>
      <c r="E502" s="46" t="s">
        <v>544</v>
      </c>
      <c r="F502" s="48">
        <v>39581</v>
      </c>
      <c r="G502" s="48">
        <v>39946</v>
      </c>
      <c r="H502" s="46" t="s">
        <v>40</v>
      </c>
      <c r="I502" s="45">
        <v>5938</v>
      </c>
      <c r="J502" s="45">
        <v>2969</v>
      </c>
      <c r="K502" s="49" t="s">
        <v>356</v>
      </c>
      <c r="L502" s="45"/>
      <c r="M502" s="3"/>
    </row>
    <row r="503" spans="1:13" ht="38.25" x14ac:dyDescent="0.25">
      <c r="A503" s="46" t="s">
        <v>549</v>
      </c>
      <c r="B503" s="46" t="s">
        <v>59</v>
      </c>
      <c r="C503" s="46" t="s">
        <v>14</v>
      </c>
      <c r="D503" s="47">
        <v>2961</v>
      </c>
      <c r="E503" s="46" t="s">
        <v>550</v>
      </c>
      <c r="F503" s="48">
        <v>39749</v>
      </c>
      <c r="G503" s="48">
        <v>40114</v>
      </c>
      <c r="H503" s="46" t="s">
        <v>40</v>
      </c>
      <c r="I503" s="45">
        <v>15000</v>
      </c>
      <c r="J503" s="45">
        <v>15000</v>
      </c>
      <c r="K503" s="49" t="s">
        <v>356</v>
      </c>
      <c r="L503" s="45"/>
      <c r="M503" s="3"/>
    </row>
    <row r="504" spans="1:13" ht="51" x14ac:dyDescent="0.25">
      <c r="A504" s="46" t="s">
        <v>551</v>
      </c>
      <c r="B504" s="46" t="s">
        <v>59</v>
      </c>
      <c r="C504" s="46" t="s">
        <v>14</v>
      </c>
      <c r="D504" s="47">
        <v>2962</v>
      </c>
      <c r="E504" s="50" t="s">
        <v>552</v>
      </c>
      <c r="F504" s="48">
        <v>39532</v>
      </c>
      <c r="G504" s="48">
        <v>39897</v>
      </c>
      <c r="H504" s="46" t="s">
        <v>40</v>
      </c>
      <c r="I504" s="45">
        <v>7500</v>
      </c>
      <c r="J504" s="45">
        <v>7500</v>
      </c>
      <c r="K504" s="49" t="s">
        <v>356</v>
      </c>
      <c r="L504" s="45"/>
      <c r="M504" s="3"/>
    </row>
    <row r="505" spans="1:13" ht="25.5" x14ac:dyDescent="0.25">
      <c r="A505" s="46" t="s">
        <v>561</v>
      </c>
      <c r="B505" s="46" t="s">
        <v>59</v>
      </c>
      <c r="C505" s="46" t="s">
        <v>14</v>
      </c>
      <c r="D505" s="47">
        <v>2967</v>
      </c>
      <c r="E505" s="46" t="s">
        <v>562</v>
      </c>
      <c r="F505" s="48">
        <v>39707</v>
      </c>
      <c r="G505" s="48">
        <v>40178</v>
      </c>
      <c r="H505" s="46" t="s">
        <v>40</v>
      </c>
      <c r="I505" s="45">
        <v>45000</v>
      </c>
      <c r="J505" s="45">
        <v>45000</v>
      </c>
      <c r="K505" s="49" t="s">
        <v>356</v>
      </c>
      <c r="L505" s="45"/>
      <c r="M505" s="3"/>
    </row>
    <row r="506" spans="1:13" ht="25.5" x14ac:dyDescent="0.25">
      <c r="A506" s="46" t="s">
        <v>573</v>
      </c>
      <c r="B506" s="46" t="s">
        <v>59</v>
      </c>
      <c r="C506" s="46" t="s">
        <v>14</v>
      </c>
      <c r="D506" s="47">
        <v>5068</v>
      </c>
      <c r="E506" s="46" t="s">
        <v>574</v>
      </c>
      <c r="F506" s="48">
        <v>39932</v>
      </c>
      <c r="G506" s="48">
        <v>40297</v>
      </c>
      <c r="H506" s="46" t="s">
        <v>40</v>
      </c>
      <c r="I506" s="45">
        <v>7500</v>
      </c>
      <c r="J506" s="45">
        <v>7500</v>
      </c>
      <c r="K506" s="49" t="s">
        <v>356</v>
      </c>
      <c r="L506" s="45"/>
      <c r="M506" s="3"/>
    </row>
    <row r="507" spans="1:13" ht="38.25" x14ac:dyDescent="0.25">
      <c r="A507" s="46" t="s">
        <v>585</v>
      </c>
      <c r="B507" s="46" t="s">
        <v>59</v>
      </c>
      <c r="C507" s="46" t="s">
        <v>14</v>
      </c>
      <c r="D507" s="47">
        <v>5116</v>
      </c>
      <c r="E507" s="50" t="s">
        <v>586</v>
      </c>
      <c r="F507" s="48">
        <v>39981</v>
      </c>
      <c r="G507" s="48">
        <v>40346</v>
      </c>
      <c r="H507" s="46" t="s">
        <v>40</v>
      </c>
      <c r="I507" s="45">
        <v>7500</v>
      </c>
      <c r="J507" s="45">
        <v>7500</v>
      </c>
      <c r="K507" s="49" t="s">
        <v>356</v>
      </c>
      <c r="L507" s="45"/>
      <c r="M507" s="3"/>
    </row>
    <row r="508" spans="1:13" ht="25.5" x14ac:dyDescent="0.25">
      <c r="A508" s="46" t="s">
        <v>589</v>
      </c>
      <c r="B508" s="46" t="s">
        <v>59</v>
      </c>
      <c r="C508" s="46" t="s">
        <v>14</v>
      </c>
      <c r="D508" s="47">
        <v>5118</v>
      </c>
      <c r="E508" s="46" t="s">
        <v>590</v>
      </c>
      <c r="F508" s="48">
        <v>39932</v>
      </c>
      <c r="G508" s="48">
        <v>40297</v>
      </c>
      <c r="H508" s="46" t="s">
        <v>40</v>
      </c>
      <c r="I508" s="45">
        <v>3750</v>
      </c>
      <c r="J508" s="45">
        <v>3750</v>
      </c>
      <c r="K508" s="49" t="s">
        <v>356</v>
      </c>
      <c r="L508" s="45"/>
      <c r="M508" s="3"/>
    </row>
    <row r="509" spans="1:13" ht="38.25" x14ac:dyDescent="0.25">
      <c r="A509" s="46" t="s">
        <v>597</v>
      </c>
      <c r="B509" s="46" t="s">
        <v>59</v>
      </c>
      <c r="C509" s="46" t="s">
        <v>14</v>
      </c>
      <c r="D509" s="47">
        <v>5129</v>
      </c>
      <c r="E509" s="50" t="s">
        <v>598</v>
      </c>
      <c r="F509" s="48">
        <v>39981</v>
      </c>
      <c r="G509" s="48">
        <v>40346</v>
      </c>
      <c r="H509" s="46" t="s">
        <v>40</v>
      </c>
      <c r="I509" s="45">
        <v>7500</v>
      </c>
      <c r="J509" s="45">
        <v>7500</v>
      </c>
      <c r="K509" s="49" t="s">
        <v>356</v>
      </c>
      <c r="L509" s="45"/>
      <c r="M509" s="3"/>
    </row>
    <row r="510" spans="1:13" ht="25.5" x14ac:dyDescent="0.25">
      <c r="A510" s="46" t="s">
        <v>603</v>
      </c>
      <c r="B510" s="46" t="s">
        <v>59</v>
      </c>
      <c r="C510" s="46" t="s">
        <v>14</v>
      </c>
      <c r="D510" s="47">
        <v>5133</v>
      </c>
      <c r="E510" s="46" t="s">
        <v>604</v>
      </c>
      <c r="F510" s="48">
        <v>39861</v>
      </c>
      <c r="G510" s="48">
        <v>40226</v>
      </c>
      <c r="H510" s="46" t="s">
        <v>40</v>
      </c>
      <c r="I510" s="45">
        <v>7500</v>
      </c>
      <c r="J510" s="45">
        <v>7500</v>
      </c>
      <c r="K510" s="49" t="s">
        <v>356</v>
      </c>
      <c r="L510" s="45"/>
      <c r="M510" s="3"/>
    </row>
    <row r="511" spans="1:13" x14ac:dyDescent="0.25">
      <c r="A511" s="46" t="s">
        <v>607</v>
      </c>
      <c r="B511" s="46" t="s">
        <v>59</v>
      </c>
      <c r="C511" s="46" t="s">
        <v>14</v>
      </c>
      <c r="D511" s="47">
        <v>5138</v>
      </c>
      <c r="E511" s="46" t="s">
        <v>608</v>
      </c>
      <c r="F511" s="48">
        <v>40065</v>
      </c>
      <c r="G511" s="48">
        <v>40430</v>
      </c>
      <c r="H511" s="46" t="s">
        <v>40</v>
      </c>
      <c r="I511" s="45">
        <v>26250</v>
      </c>
      <c r="J511" s="45">
        <v>26250</v>
      </c>
      <c r="K511" s="49" t="s">
        <v>356</v>
      </c>
      <c r="L511" s="45"/>
      <c r="M511" s="3"/>
    </row>
    <row r="512" spans="1:13" x14ac:dyDescent="0.25">
      <c r="A512" s="46" t="s">
        <v>652</v>
      </c>
      <c r="B512" s="46" t="s">
        <v>59</v>
      </c>
      <c r="C512" s="46" t="s">
        <v>14</v>
      </c>
      <c r="D512" s="47">
        <v>7014</v>
      </c>
      <c r="E512" s="46" t="s">
        <v>653</v>
      </c>
      <c r="F512" s="48">
        <v>40114</v>
      </c>
      <c r="G512" s="48">
        <v>40543</v>
      </c>
      <c r="H512" s="46" t="s">
        <v>40</v>
      </c>
      <c r="I512" s="45">
        <v>3750</v>
      </c>
      <c r="J512" s="45">
        <v>3750</v>
      </c>
      <c r="K512" s="49" t="s">
        <v>356</v>
      </c>
      <c r="L512" s="45"/>
      <c r="M512" s="3"/>
    </row>
    <row r="513" spans="1:13" x14ac:dyDescent="0.25">
      <c r="A513" s="46" t="s">
        <v>656</v>
      </c>
      <c r="B513" s="46" t="s">
        <v>59</v>
      </c>
      <c r="C513" s="46" t="s">
        <v>14</v>
      </c>
      <c r="D513" s="47">
        <v>7016</v>
      </c>
      <c r="E513" s="46" t="s">
        <v>657</v>
      </c>
      <c r="F513" s="48">
        <v>40114</v>
      </c>
      <c r="G513" s="48">
        <v>40543</v>
      </c>
      <c r="H513" s="46" t="s">
        <v>40</v>
      </c>
      <c r="I513" s="45">
        <v>7500</v>
      </c>
      <c r="J513" s="45">
        <v>7500</v>
      </c>
      <c r="K513" s="49" t="s">
        <v>356</v>
      </c>
      <c r="L513" s="45"/>
      <c r="M513" s="3"/>
    </row>
    <row r="514" spans="1:13" x14ac:dyDescent="0.25">
      <c r="A514" s="46" t="s">
        <v>1000</v>
      </c>
      <c r="B514" s="46" t="s">
        <v>59</v>
      </c>
      <c r="C514" s="46" t="s">
        <v>14</v>
      </c>
      <c r="D514" s="47">
        <v>507</v>
      </c>
      <c r="E514" s="46" t="s">
        <v>1001</v>
      </c>
      <c r="F514" s="48">
        <v>39511</v>
      </c>
      <c r="G514" s="46"/>
      <c r="H514" s="46" t="s">
        <v>40</v>
      </c>
      <c r="I514" s="45">
        <v>18750</v>
      </c>
      <c r="J514" s="45">
        <v>18750</v>
      </c>
      <c r="K514" s="49" t="s">
        <v>790</v>
      </c>
      <c r="L514" s="45"/>
      <c r="M514" s="3"/>
    </row>
    <row r="515" spans="1:13" x14ac:dyDescent="0.25">
      <c r="A515" s="46" t="s">
        <v>1002</v>
      </c>
      <c r="B515" s="46" t="s">
        <v>59</v>
      </c>
      <c r="C515" s="46" t="s">
        <v>14</v>
      </c>
      <c r="D515" s="47">
        <v>508</v>
      </c>
      <c r="E515" s="46" t="s">
        <v>1003</v>
      </c>
      <c r="F515" s="48">
        <v>39518</v>
      </c>
      <c r="G515" s="46"/>
      <c r="H515" s="46" t="s">
        <v>40</v>
      </c>
      <c r="I515" s="45">
        <v>7500</v>
      </c>
      <c r="J515" s="45">
        <v>7500</v>
      </c>
      <c r="K515" s="49" t="s">
        <v>790</v>
      </c>
      <c r="L515" s="45"/>
      <c r="M515" s="3"/>
    </row>
    <row r="516" spans="1:13" x14ac:dyDescent="0.25">
      <c r="A516" s="46" t="s">
        <v>1008</v>
      </c>
      <c r="B516" s="46" t="s">
        <v>59</v>
      </c>
      <c r="C516" s="46" t="s">
        <v>14</v>
      </c>
      <c r="D516" s="47">
        <v>511</v>
      </c>
      <c r="E516" s="46" t="s">
        <v>1009</v>
      </c>
      <c r="F516" s="48">
        <v>39496</v>
      </c>
      <c r="G516" s="46"/>
      <c r="H516" s="46" t="s">
        <v>40</v>
      </c>
      <c r="I516" s="45">
        <v>22500</v>
      </c>
      <c r="J516" s="45">
        <v>22500</v>
      </c>
      <c r="K516" s="49" t="s">
        <v>790</v>
      </c>
      <c r="L516" s="45"/>
      <c r="M516" s="3"/>
    </row>
    <row r="517" spans="1:13" ht="25.5" x14ac:dyDescent="0.25">
      <c r="A517" s="46" t="s">
        <v>1020</v>
      </c>
      <c r="B517" s="46" t="s">
        <v>59</v>
      </c>
      <c r="C517" s="46" t="s">
        <v>14</v>
      </c>
      <c r="D517" s="47">
        <v>609</v>
      </c>
      <c r="E517" s="46" t="s">
        <v>1021</v>
      </c>
      <c r="F517" s="48">
        <v>39223</v>
      </c>
      <c r="G517" s="48">
        <v>39589</v>
      </c>
      <c r="H517" s="46" t="s">
        <v>40</v>
      </c>
      <c r="I517" s="45">
        <v>3750</v>
      </c>
      <c r="J517" s="45">
        <v>3750</v>
      </c>
      <c r="K517" s="49" t="s">
        <v>790</v>
      </c>
      <c r="L517" s="45"/>
      <c r="M517" s="3"/>
    </row>
    <row r="518" spans="1:13" x14ac:dyDescent="0.25">
      <c r="A518" s="46" t="s">
        <v>1022</v>
      </c>
      <c r="B518" s="46" t="s">
        <v>59</v>
      </c>
      <c r="C518" s="46" t="s">
        <v>14</v>
      </c>
      <c r="D518" s="47">
        <v>610</v>
      </c>
      <c r="E518" s="46" t="s">
        <v>1023</v>
      </c>
      <c r="F518" s="48">
        <v>39132</v>
      </c>
      <c r="G518" s="48">
        <v>39497</v>
      </c>
      <c r="H518" s="46" t="s">
        <v>40</v>
      </c>
      <c r="I518" s="45">
        <v>7500</v>
      </c>
      <c r="J518" s="45">
        <v>7500</v>
      </c>
      <c r="K518" s="49" t="s">
        <v>790</v>
      </c>
      <c r="L518" s="45"/>
      <c r="M518" s="3"/>
    </row>
    <row r="519" spans="1:13" ht="25.5" x14ac:dyDescent="0.25">
      <c r="A519" s="46" t="s">
        <v>1024</v>
      </c>
      <c r="B519" s="46" t="s">
        <v>59</v>
      </c>
      <c r="C519" s="46" t="s">
        <v>14</v>
      </c>
      <c r="D519" s="47">
        <v>611</v>
      </c>
      <c r="E519" s="46" t="s">
        <v>1025</v>
      </c>
      <c r="F519" s="48">
        <v>39741</v>
      </c>
      <c r="G519" s="48">
        <v>40106</v>
      </c>
      <c r="H519" s="46" t="s">
        <v>40</v>
      </c>
      <c r="I519" s="45">
        <v>7500</v>
      </c>
      <c r="J519" s="45">
        <v>7500</v>
      </c>
      <c r="K519" s="49" t="s">
        <v>790</v>
      </c>
      <c r="L519" s="45"/>
      <c r="M519" s="3"/>
    </row>
    <row r="520" spans="1:13" ht="25.5" x14ac:dyDescent="0.25">
      <c r="A520" s="46" t="s">
        <v>1026</v>
      </c>
      <c r="B520" s="46" t="s">
        <v>59</v>
      </c>
      <c r="C520" s="46" t="s">
        <v>14</v>
      </c>
      <c r="D520" s="47">
        <v>612</v>
      </c>
      <c r="E520" s="46" t="s">
        <v>1027</v>
      </c>
      <c r="F520" s="48">
        <v>39741</v>
      </c>
      <c r="G520" s="48">
        <v>40106</v>
      </c>
      <c r="H520" s="46" t="s">
        <v>40</v>
      </c>
      <c r="I520" s="45">
        <v>15000</v>
      </c>
      <c r="J520" s="45">
        <v>15000</v>
      </c>
      <c r="K520" s="49" t="s">
        <v>790</v>
      </c>
      <c r="L520" s="45"/>
      <c r="M520" s="3"/>
    </row>
    <row r="521" spans="1:13" x14ac:dyDescent="0.25">
      <c r="A521" s="46" t="s">
        <v>1028</v>
      </c>
      <c r="B521" s="46" t="s">
        <v>59</v>
      </c>
      <c r="C521" s="46" t="s">
        <v>14</v>
      </c>
      <c r="D521" s="47">
        <v>614</v>
      </c>
      <c r="E521" s="46" t="s">
        <v>1029</v>
      </c>
      <c r="F521" s="48">
        <v>39741</v>
      </c>
      <c r="G521" s="48">
        <v>40106</v>
      </c>
      <c r="H521" s="46" t="s">
        <v>40</v>
      </c>
      <c r="I521" s="45">
        <v>7500</v>
      </c>
      <c r="J521" s="45">
        <v>7500</v>
      </c>
      <c r="K521" s="49" t="s">
        <v>790</v>
      </c>
      <c r="L521" s="45"/>
      <c r="M521" s="3"/>
    </row>
    <row r="522" spans="1:13" x14ac:dyDescent="0.25">
      <c r="A522" s="46" t="s">
        <v>1030</v>
      </c>
      <c r="B522" s="46" t="s">
        <v>59</v>
      </c>
      <c r="C522" s="46" t="s">
        <v>14</v>
      </c>
      <c r="D522" s="47">
        <v>616</v>
      </c>
      <c r="E522" s="46" t="s">
        <v>1031</v>
      </c>
      <c r="F522" s="48">
        <v>39741</v>
      </c>
      <c r="G522" s="48">
        <v>40106</v>
      </c>
      <c r="H522" s="46" t="s">
        <v>40</v>
      </c>
      <c r="I522" s="45">
        <v>7500</v>
      </c>
      <c r="J522" s="45">
        <v>7500</v>
      </c>
      <c r="K522" s="49" t="s">
        <v>790</v>
      </c>
      <c r="L522" s="45"/>
      <c r="M522" s="3"/>
    </row>
    <row r="523" spans="1:13" x14ac:dyDescent="0.25">
      <c r="A523" s="46" t="s">
        <v>1038</v>
      </c>
      <c r="B523" s="46" t="s">
        <v>59</v>
      </c>
      <c r="C523" s="46" t="s">
        <v>14</v>
      </c>
      <c r="D523" s="47">
        <v>620</v>
      </c>
      <c r="E523" s="46" t="s">
        <v>1039</v>
      </c>
      <c r="F523" s="48">
        <v>39496</v>
      </c>
      <c r="G523" s="48">
        <v>39813</v>
      </c>
      <c r="H523" s="46" t="s">
        <v>40</v>
      </c>
      <c r="I523" s="45">
        <v>7500</v>
      </c>
      <c r="J523" s="45">
        <v>7500</v>
      </c>
      <c r="K523" s="49" t="s">
        <v>790</v>
      </c>
      <c r="L523" s="45"/>
      <c r="M523" s="3"/>
    </row>
    <row r="524" spans="1:13" ht="25.5" x14ac:dyDescent="0.25">
      <c r="A524" s="46" t="s">
        <v>1044</v>
      </c>
      <c r="B524" s="46" t="s">
        <v>59</v>
      </c>
      <c r="C524" s="46" t="s">
        <v>14</v>
      </c>
      <c r="D524" s="47">
        <v>625</v>
      </c>
      <c r="E524" s="46" t="s">
        <v>1045</v>
      </c>
      <c r="F524" s="48">
        <v>39426</v>
      </c>
      <c r="G524" s="48">
        <v>39792</v>
      </c>
      <c r="H524" s="46" t="s">
        <v>40</v>
      </c>
      <c r="I524" s="45">
        <v>7500</v>
      </c>
      <c r="J524" s="45">
        <v>7500</v>
      </c>
      <c r="K524" s="49" t="s">
        <v>790</v>
      </c>
      <c r="L524" s="45"/>
      <c r="M524" s="3"/>
    </row>
    <row r="525" spans="1:13" x14ac:dyDescent="0.25">
      <c r="A525" s="46" t="s">
        <v>1046</v>
      </c>
      <c r="B525" s="46" t="s">
        <v>59</v>
      </c>
      <c r="C525" s="46" t="s">
        <v>14</v>
      </c>
      <c r="D525" s="47">
        <v>626</v>
      </c>
      <c r="E525" s="46" t="s">
        <v>1047</v>
      </c>
      <c r="F525" s="48">
        <v>39496</v>
      </c>
      <c r="G525" s="48">
        <v>39813</v>
      </c>
      <c r="H525" s="46" t="s">
        <v>40</v>
      </c>
      <c r="I525" s="45">
        <v>15000</v>
      </c>
      <c r="J525" s="45">
        <v>15000</v>
      </c>
      <c r="K525" s="49" t="s">
        <v>790</v>
      </c>
      <c r="L525" s="45"/>
      <c r="M525" s="3"/>
    </row>
    <row r="526" spans="1:13" x14ac:dyDescent="0.25">
      <c r="A526" s="46" t="s">
        <v>1060</v>
      </c>
      <c r="B526" s="46" t="s">
        <v>59</v>
      </c>
      <c r="C526" s="46" t="s">
        <v>14</v>
      </c>
      <c r="D526" s="47">
        <v>641</v>
      </c>
      <c r="E526" s="46" t="s">
        <v>1061</v>
      </c>
      <c r="F526" s="48">
        <v>39223</v>
      </c>
      <c r="G526" s="48">
        <v>39650</v>
      </c>
      <c r="H526" s="46" t="s">
        <v>40</v>
      </c>
      <c r="I526" s="45">
        <v>15000</v>
      </c>
      <c r="J526" s="45">
        <v>15000</v>
      </c>
      <c r="K526" s="49" t="s">
        <v>790</v>
      </c>
      <c r="L526" s="45"/>
      <c r="M526" s="3"/>
    </row>
    <row r="527" spans="1:13" x14ac:dyDescent="0.25">
      <c r="A527" s="46" t="s">
        <v>1201</v>
      </c>
      <c r="B527" s="46" t="s">
        <v>59</v>
      </c>
      <c r="C527" s="46" t="s">
        <v>14</v>
      </c>
      <c r="D527" s="47">
        <v>2969</v>
      </c>
      <c r="E527" s="46" t="s">
        <v>1202</v>
      </c>
      <c r="F527" s="48">
        <v>39176</v>
      </c>
      <c r="G527" s="46"/>
      <c r="H527" s="46" t="s">
        <v>40</v>
      </c>
      <c r="I527" s="45">
        <v>22500</v>
      </c>
      <c r="J527" s="45">
        <v>22500</v>
      </c>
      <c r="K527" s="49" t="s">
        <v>790</v>
      </c>
      <c r="L527" s="45"/>
      <c r="M527" s="3"/>
    </row>
    <row r="528" spans="1:13" x14ac:dyDescent="0.25">
      <c r="A528" s="46" t="s">
        <v>1209</v>
      </c>
      <c r="B528" s="46" t="s">
        <v>59</v>
      </c>
      <c r="C528" s="46" t="s">
        <v>14</v>
      </c>
      <c r="D528" s="47">
        <v>3134</v>
      </c>
      <c r="E528" s="46" t="s">
        <v>999</v>
      </c>
      <c r="F528" s="48">
        <v>39083</v>
      </c>
      <c r="G528" s="48">
        <v>41639</v>
      </c>
      <c r="H528" s="46" t="s">
        <v>40</v>
      </c>
      <c r="I528" s="45">
        <v>7500</v>
      </c>
      <c r="J528" s="45">
        <v>7500</v>
      </c>
      <c r="K528" s="49" t="s">
        <v>790</v>
      </c>
      <c r="L528" s="45"/>
      <c r="M528" s="3"/>
    </row>
    <row r="529" spans="1:13" x14ac:dyDescent="0.25">
      <c r="A529" s="46" t="s">
        <v>1220</v>
      </c>
      <c r="B529" s="46" t="s">
        <v>59</v>
      </c>
      <c r="C529" s="46" t="s">
        <v>14</v>
      </c>
      <c r="D529" s="47">
        <v>3140</v>
      </c>
      <c r="E529" s="46" t="s">
        <v>1221</v>
      </c>
      <c r="F529" s="48">
        <v>39083</v>
      </c>
      <c r="G529" s="48">
        <v>41639</v>
      </c>
      <c r="H529" s="46" t="s">
        <v>40</v>
      </c>
      <c r="I529" s="45">
        <v>7500</v>
      </c>
      <c r="J529" s="45">
        <v>7500</v>
      </c>
      <c r="K529" s="49" t="s">
        <v>790</v>
      </c>
      <c r="L529" s="45"/>
      <c r="M529" s="3"/>
    </row>
    <row r="530" spans="1:13" x14ac:dyDescent="0.25">
      <c r="A530" s="46" t="s">
        <v>1244</v>
      </c>
      <c r="B530" s="46" t="s">
        <v>59</v>
      </c>
      <c r="C530" s="46" t="s">
        <v>14</v>
      </c>
      <c r="D530" s="47">
        <v>3154</v>
      </c>
      <c r="E530" s="46" t="s">
        <v>1245</v>
      </c>
      <c r="F530" s="48">
        <v>39083</v>
      </c>
      <c r="G530" s="48">
        <v>41639</v>
      </c>
      <c r="H530" s="46" t="s">
        <v>40</v>
      </c>
      <c r="I530" s="45">
        <v>7500</v>
      </c>
      <c r="J530" s="45">
        <v>7500</v>
      </c>
      <c r="K530" s="49" t="s">
        <v>790</v>
      </c>
      <c r="L530" s="45"/>
      <c r="M530" s="3"/>
    </row>
    <row r="531" spans="1:13" x14ac:dyDescent="0.25">
      <c r="A531" s="46" t="s">
        <v>1254</v>
      </c>
      <c r="B531" s="46" t="s">
        <v>59</v>
      </c>
      <c r="C531" s="46" t="s">
        <v>14</v>
      </c>
      <c r="D531" s="47">
        <v>3190</v>
      </c>
      <c r="E531" s="46" t="s">
        <v>1247</v>
      </c>
      <c r="F531" s="48">
        <v>39083</v>
      </c>
      <c r="G531" s="48">
        <v>41639</v>
      </c>
      <c r="H531" s="46" t="s">
        <v>40</v>
      </c>
      <c r="I531" s="45">
        <v>7500</v>
      </c>
      <c r="J531" s="45">
        <v>7500</v>
      </c>
      <c r="K531" s="49" t="s">
        <v>790</v>
      </c>
      <c r="L531" s="45"/>
      <c r="M531" s="3"/>
    </row>
    <row r="532" spans="1:13" x14ac:dyDescent="0.25">
      <c r="A532" s="46" t="s">
        <v>1255</v>
      </c>
      <c r="B532" s="46" t="s">
        <v>59</v>
      </c>
      <c r="C532" s="46" t="s">
        <v>14</v>
      </c>
      <c r="D532" s="47">
        <v>3327</v>
      </c>
      <c r="E532" s="46" t="s">
        <v>1256</v>
      </c>
      <c r="F532" s="48">
        <v>39496</v>
      </c>
      <c r="G532" s="46"/>
      <c r="H532" s="46" t="s">
        <v>40</v>
      </c>
      <c r="I532" s="45">
        <v>7500</v>
      </c>
      <c r="J532" s="45">
        <v>7500</v>
      </c>
      <c r="K532" s="49" t="s">
        <v>790</v>
      </c>
      <c r="L532" s="45"/>
      <c r="M532" s="3"/>
    </row>
    <row r="533" spans="1:13" x14ac:dyDescent="0.25">
      <c r="A533" s="46" t="s">
        <v>1257</v>
      </c>
      <c r="B533" s="46" t="s">
        <v>59</v>
      </c>
      <c r="C533" s="46" t="s">
        <v>14</v>
      </c>
      <c r="D533" s="47">
        <v>3328</v>
      </c>
      <c r="E533" s="46" t="s">
        <v>1258</v>
      </c>
      <c r="F533" s="48">
        <v>39349</v>
      </c>
      <c r="G533" s="46"/>
      <c r="H533" s="46" t="s">
        <v>40</v>
      </c>
      <c r="I533" s="45">
        <v>3750</v>
      </c>
      <c r="J533" s="45">
        <v>3750</v>
      </c>
      <c r="K533" s="49" t="s">
        <v>790</v>
      </c>
      <c r="L533" s="45"/>
      <c r="M533" s="3"/>
    </row>
    <row r="534" spans="1:13" x14ac:dyDescent="0.25">
      <c r="A534" s="46" t="s">
        <v>1259</v>
      </c>
      <c r="B534" s="46" t="s">
        <v>59</v>
      </c>
      <c r="C534" s="46" t="s">
        <v>14</v>
      </c>
      <c r="D534" s="47">
        <v>3329</v>
      </c>
      <c r="E534" s="46" t="s">
        <v>1260</v>
      </c>
      <c r="F534" s="48">
        <v>39611</v>
      </c>
      <c r="G534" s="46"/>
      <c r="H534" s="46" t="s">
        <v>40</v>
      </c>
      <c r="I534" s="45">
        <v>7500</v>
      </c>
      <c r="J534" s="45">
        <v>7500</v>
      </c>
      <c r="K534" s="49" t="s">
        <v>790</v>
      </c>
      <c r="L534" s="45"/>
      <c r="M534" s="3"/>
    </row>
    <row r="535" spans="1:13" x14ac:dyDescent="0.25">
      <c r="A535" s="46" t="s">
        <v>1261</v>
      </c>
      <c r="B535" s="46" t="s">
        <v>59</v>
      </c>
      <c r="C535" s="46" t="s">
        <v>14</v>
      </c>
      <c r="D535" s="47">
        <v>3331</v>
      </c>
      <c r="E535" s="46" t="s">
        <v>1007</v>
      </c>
      <c r="F535" s="48">
        <v>39611</v>
      </c>
      <c r="G535" s="46"/>
      <c r="H535" s="46" t="s">
        <v>40</v>
      </c>
      <c r="I535" s="45">
        <v>7500</v>
      </c>
      <c r="J535" s="45">
        <v>7500</v>
      </c>
      <c r="K535" s="49" t="s">
        <v>790</v>
      </c>
      <c r="L535" s="45"/>
      <c r="M535" s="3"/>
    </row>
    <row r="536" spans="1:13" x14ac:dyDescent="0.25">
      <c r="A536" s="46" t="s">
        <v>1262</v>
      </c>
      <c r="B536" s="46" t="s">
        <v>59</v>
      </c>
      <c r="C536" s="46" t="s">
        <v>14</v>
      </c>
      <c r="D536" s="47">
        <v>3332</v>
      </c>
      <c r="E536" s="46" t="s">
        <v>1206</v>
      </c>
      <c r="F536" s="48">
        <v>39611</v>
      </c>
      <c r="G536" s="46"/>
      <c r="H536" s="46" t="s">
        <v>40</v>
      </c>
      <c r="I536" s="45">
        <v>3750</v>
      </c>
      <c r="J536" s="45">
        <v>3750</v>
      </c>
      <c r="K536" s="49" t="s">
        <v>790</v>
      </c>
      <c r="L536" s="45"/>
      <c r="M536" s="3"/>
    </row>
    <row r="537" spans="1:13" ht="25.5" x14ac:dyDescent="0.25">
      <c r="A537" s="46" t="s">
        <v>1271</v>
      </c>
      <c r="B537" s="46" t="s">
        <v>59</v>
      </c>
      <c r="C537" s="46" t="s">
        <v>14</v>
      </c>
      <c r="D537" s="47">
        <v>4534</v>
      </c>
      <c r="E537" s="46" t="s">
        <v>1272</v>
      </c>
      <c r="F537" s="48">
        <v>40077</v>
      </c>
      <c r="G537" s="48">
        <v>40442</v>
      </c>
      <c r="H537" s="46" t="s">
        <v>40</v>
      </c>
      <c r="I537" s="45">
        <v>15000</v>
      </c>
      <c r="J537" s="45">
        <v>15000</v>
      </c>
      <c r="K537" s="49" t="s">
        <v>790</v>
      </c>
      <c r="L537" s="45"/>
      <c r="M537" s="3"/>
    </row>
    <row r="538" spans="1:13" x14ac:dyDescent="0.25">
      <c r="A538" s="46" t="s">
        <v>1277</v>
      </c>
      <c r="B538" s="46" t="s">
        <v>59</v>
      </c>
      <c r="C538" s="46" t="s">
        <v>14</v>
      </c>
      <c r="D538" s="47">
        <v>4540</v>
      </c>
      <c r="E538" s="46" t="s">
        <v>1278</v>
      </c>
      <c r="F538" s="48">
        <v>39979</v>
      </c>
      <c r="G538" s="48">
        <v>40344</v>
      </c>
      <c r="H538" s="46" t="s">
        <v>40</v>
      </c>
      <c r="I538" s="45">
        <v>3750</v>
      </c>
      <c r="J538" s="45">
        <v>3750</v>
      </c>
      <c r="K538" s="49" t="s">
        <v>790</v>
      </c>
      <c r="L538" s="45"/>
      <c r="M538" s="3"/>
    </row>
    <row r="539" spans="1:13" ht="25.5" x14ac:dyDescent="0.25">
      <c r="A539" s="46" t="s">
        <v>1279</v>
      </c>
      <c r="B539" s="46" t="s">
        <v>59</v>
      </c>
      <c r="C539" s="46" t="s">
        <v>14</v>
      </c>
      <c r="D539" s="47">
        <v>4541</v>
      </c>
      <c r="E539" s="46" t="s">
        <v>1280</v>
      </c>
      <c r="F539" s="48">
        <v>39923</v>
      </c>
      <c r="G539" s="48">
        <v>40543</v>
      </c>
      <c r="H539" s="46" t="s">
        <v>40</v>
      </c>
      <c r="I539" s="45">
        <v>37500</v>
      </c>
      <c r="J539" s="45">
        <v>37500</v>
      </c>
      <c r="K539" s="49" t="s">
        <v>790</v>
      </c>
      <c r="L539" s="45"/>
      <c r="M539" s="3"/>
    </row>
    <row r="540" spans="1:13" ht="25.5" x14ac:dyDescent="0.25">
      <c r="A540" s="46" t="s">
        <v>1060</v>
      </c>
      <c r="B540" s="46" t="s">
        <v>59</v>
      </c>
      <c r="C540" s="46" t="s">
        <v>14</v>
      </c>
      <c r="D540" s="47">
        <v>7061</v>
      </c>
      <c r="E540" s="46" t="s">
        <v>1497</v>
      </c>
      <c r="F540" s="48">
        <v>39979</v>
      </c>
      <c r="G540" s="48">
        <v>40344</v>
      </c>
      <c r="H540" s="46" t="s">
        <v>40</v>
      </c>
      <c r="I540" s="45">
        <v>7500</v>
      </c>
      <c r="J540" s="45">
        <v>7500</v>
      </c>
      <c r="K540" s="49" t="s">
        <v>790</v>
      </c>
      <c r="L540" s="45"/>
      <c r="M540" s="3"/>
    </row>
    <row r="541" spans="1:13" x14ac:dyDescent="0.25">
      <c r="A541" s="46" t="s">
        <v>1498</v>
      </c>
      <c r="B541" s="46" t="s">
        <v>59</v>
      </c>
      <c r="C541" s="46" t="s">
        <v>14</v>
      </c>
      <c r="D541" s="47">
        <v>7062</v>
      </c>
      <c r="E541" s="46" t="s">
        <v>1499</v>
      </c>
      <c r="F541" s="48">
        <v>39923</v>
      </c>
      <c r="G541" s="48">
        <v>40288</v>
      </c>
      <c r="H541" s="46" t="s">
        <v>40</v>
      </c>
      <c r="I541" s="45">
        <v>7500</v>
      </c>
      <c r="J541" s="45">
        <v>7500</v>
      </c>
      <c r="K541" s="49" t="s">
        <v>790</v>
      </c>
      <c r="L541" s="45"/>
      <c r="M541" s="3"/>
    </row>
    <row r="542" spans="1:13" x14ac:dyDescent="0.25">
      <c r="A542" s="46" t="s">
        <v>2202</v>
      </c>
      <c r="B542" s="46" t="s">
        <v>59</v>
      </c>
      <c r="C542" s="46" t="s">
        <v>14</v>
      </c>
      <c r="D542" s="47">
        <v>967</v>
      </c>
      <c r="E542" s="46" t="s">
        <v>2203</v>
      </c>
      <c r="F542" s="48">
        <v>39230</v>
      </c>
      <c r="G542" s="48">
        <v>39510</v>
      </c>
      <c r="H542" s="46" t="s">
        <v>40</v>
      </c>
      <c r="I542" s="45">
        <v>7500</v>
      </c>
      <c r="J542" s="45">
        <v>7500</v>
      </c>
      <c r="K542" s="49" t="s">
        <v>2033</v>
      </c>
      <c r="L542" s="45"/>
      <c r="M542" s="3"/>
    </row>
    <row r="543" spans="1:13" x14ac:dyDescent="0.25">
      <c r="A543" s="46" t="s">
        <v>2208</v>
      </c>
      <c r="B543" s="46" t="s">
        <v>59</v>
      </c>
      <c r="C543" s="46" t="s">
        <v>14</v>
      </c>
      <c r="D543" s="47">
        <v>971</v>
      </c>
      <c r="E543" s="46" t="s">
        <v>2209</v>
      </c>
      <c r="F543" s="48">
        <v>39287</v>
      </c>
      <c r="G543" s="48">
        <v>39597</v>
      </c>
      <c r="H543" s="46" t="s">
        <v>40</v>
      </c>
      <c r="I543" s="45">
        <v>7500</v>
      </c>
      <c r="J543" s="45">
        <v>7500</v>
      </c>
      <c r="K543" s="49" t="s">
        <v>2033</v>
      </c>
      <c r="L543" s="45"/>
      <c r="M543" s="3"/>
    </row>
    <row r="544" spans="1:13" x14ac:dyDescent="0.25">
      <c r="A544" s="46" t="s">
        <v>2210</v>
      </c>
      <c r="B544" s="46" t="s">
        <v>59</v>
      </c>
      <c r="C544" s="46" t="s">
        <v>14</v>
      </c>
      <c r="D544" s="47">
        <v>974</v>
      </c>
      <c r="E544" s="46" t="s">
        <v>2211</v>
      </c>
      <c r="F544" s="48">
        <v>39188</v>
      </c>
      <c r="G544" s="48">
        <v>39757</v>
      </c>
      <c r="H544" s="46" t="s">
        <v>40</v>
      </c>
      <c r="I544" s="45">
        <v>7500</v>
      </c>
      <c r="J544" s="45">
        <v>7500</v>
      </c>
      <c r="K544" s="49" t="s">
        <v>2033</v>
      </c>
      <c r="L544" s="45"/>
      <c r="M544" s="3"/>
    </row>
    <row r="545" spans="1:13" x14ac:dyDescent="0.25">
      <c r="A545" s="46" t="s">
        <v>2212</v>
      </c>
      <c r="B545" s="46" t="s">
        <v>59</v>
      </c>
      <c r="C545" s="46" t="s">
        <v>14</v>
      </c>
      <c r="D545" s="47">
        <v>976</v>
      </c>
      <c r="E545" s="46" t="s">
        <v>2213</v>
      </c>
      <c r="F545" s="48">
        <v>39405</v>
      </c>
      <c r="G545" s="48">
        <v>39696</v>
      </c>
      <c r="H545" s="46" t="s">
        <v>40</v>
      </c>
      <c r="I545" s="45">
        <v>7500</v>
      </c>
      <c r="J545" s="45">
        <v>7500</v>
      </c>
      <c r="K545" s="49" t="s">
        <v>2033</v>
      </c>
      <c r="L545" s="45"/>
      <c r="M545" s="3"/>
    </row>
    <row r="546" spans="1:13" x14ac:dyDescent="0.25">
      <c r="A546" s="46" t="s">
        <v>2216</v>
      </c>
      <c r="B546" s="46" t="s">
        <v>59</v>
      </c>
      <c r="C546" s="46" t="s">
        <v>14</v>
      </c>
      <c r="D546" s="47">
        <v>982</v>
      </c>
      <c r="E546" s="46" t="s">
        <v>2217</v>
      </c>
      <c r="F546" s="48">
        <v>39475</v>
      </c>
      <c r="G546" s="48">
        <v>39507</v>
      </c>
      <c r="H546" s="46" t="s">
        <v>40</v>
      </c>
      <c r="I546" s="45">
        <v>7500</v>
      </c>
      <c r="J546" s="45">
        <v>7500</v>
      </c>
      <c r="K546" s="49" t="s">
        <v>2033</v>
      </c>
      <c r="L546" s="45"/>
      <c r="M546" s="3"/>
    </row>
    <row r="547" spans="1:13" x14ac:dyDescent="0.25">
      <c r="A547" s="46" t="s">
        <v>2219</v>
      </c>
      <c r="B547" s="46" t="s">
        <v>59</v>
      </c>
      <c r="C547" s="46" t="s">
        <v>14</v>
      </c>
      <c r="D547" s="47">
        <v>986</v>
      </c>
      <c r="E547" s="46" t="s">
        <v>2220</v>
      </c>
      <c r="F547" s="48">
        <v>39580</v>
      </c>
      <c r="G547" s="48">
        <v>39790</v>
      </c>
      <c r="H547" s="46" t="s">
        <v>40</v>
      </c>
      <c r="I547" s="45">
        <v>7500</v>
      </c>
      <c r="J547" s="45">
        <v>7500</v>
      </c>
      <c r="K547" s="49" t="s">
        <v>2033</v>
      </c>
      <c r="L547" s="45"/>
      <c r="M547" s="3"/>
    </row>
    <row r="548" spans="1:13" x14ac:dyDescent="0.25">
      <c r="A548" s="46" t="s">
        <v>2221</v>
      </c>
      <c r="B548" s="46" t="s">
        <v>59</v>
      </c>
      <c r="C548" s="46" t="s">
        <v>14</v>
      </c>
      <c r="D548" s="47">
        <v>989</v>
      </c>
      <c r="E548" s="46" t="s">
        <v>2222</v>
      </c>
      <c r="F548" s="48">
        <v>39657</v>
      </c>
      <c r="G548" s="48">
        <v>39869</v>
      </c>
      <c r="H548" s="46" t="s">
        <v>40</v>
      </c>
      <c r="I548" s="45">
        <v>15000</v>
      </c>
      <c r="J548" s="45">
        <v>15000</v>
      </c>
      <c r="K548" s="49" t="s">
        <v>2033</v>
      </c>
      <c r="L548" s="45"/>
      <c r="M548" s="3"/>
    </row>
    <row r="549" spans="1:13" x14ac:dyDescent="0.25">
      <c r="A549" s="46" t="s">
        <v>2223</v>
      </c>
      <c r="B549" s="46" t="s">
        <v>59</v>
      </c>
      <c r="C549" s="46" t="s">
        <v>14</v>
      </c>
      <c r="D549" s="47">
        <v>990</v>
      </c>
      <c r="E549" s="46" t="s">
        <v>2224</v>
      </c>
      <c r="F549" s="48">
        <v>39517</v>
      </c>
      <c r="G549" s="48">
        <v>39910</v>
      </c>
      <c r="H549" s="46" t="s">
        <v>40</v>
      </c>
      <c r="I549" s="45">
        <v>7500</v>
      </c>
      <c r="J549" s="45">
        <v>7500</v>
      </c>
      <c r="K549" s="49" t="s">
        <v>2033</v>
      </c>
      <c r="L549" s="45"/>
      <c r="M549" s="3"/>
    </row>
    <row r="550" spans="1:13" x14ac:dyDescent="0.25">
      <c r="A550" s="46" t="s">
        <v>2225</v>
      </c>
      <c r="B550" s="46" t="s">
        <v>59</v>
      </c>
      <c r="C550" s="46" t="s">
        <v>14</v>
      </c>
      <c r="D550" s="47">
        <v>1018</v>
      </c>
      <c r="E550" s="46" t="s">
        <v>2226</v>
      </c>
      <c r="F550" s="48">
        <v>39287</v>
      </c>
      <c r="G550" s="48">
        <v>39722</v>
      </c>
      <c r="H550" s="46" t="s">
        <v>40</v>
      </c>
      <c r="I550" s="45">
        <v>22500</v>
      </c>
      <c r="J550" s="45">
        <v>22500</v>
      </c>
      <c r="K550" s="49" t="s">
        <v>2033</v>
      </c>
      <c r="L550" s="45"/>
      <c r="M550" s="3"/>
    </row>
    <row r="551" spans="1:13" x14ac:dyDescent="0.25">
      <c r="A551" s="46" t="s">
        <v>2237</v>
      </c>
      <c r="B551" s="46" t="s">
        <v>59</v>
      </c>
      <c r="C551" s="46" t="s">
        <v>14</v>
      </c>
      <c r="D551" s="47">
        <v>1028</v>
      </c>
      <c r="E551" s="46" t="s">
        <v>2238</v>
      </c>
      <c r="F551" s="48">
        <v>39713</v>
      </c>
      <c r="G551" s="48">
        <v>39975</v>
      </c>
      <c r="H551" s="46" t="s">
        <v>40</v>
      </c>
      <c r="I551" s="45">
        <v>7500</v>
      </c>
      <c r="J551" s="45">
        <v>7500</v>
      </c>
      <c r="K551" s="49" t="s">
        <v>2033</v>
      </c>
      <c r="L551" s="45"/>
      <c r="M551" s="3"/>
    </row>
    <row r="552" spans="1:13" x14ac:dyDescent="0.25">
      <c r="A552" s="46" t="s">
        <v>2239</v>
      </c>
      <c r="B552" s="46" t="s">
        <v>59</v>
      </c>
      <c r="C552" s="46" t="s">
        <v>14</v>
      </c>
      <c r="D552" s="47">
        <v>1029</v>
      </c>
      <c r="E552" s="46" t="s">
        <v>2240</v>
      </c>
      <c r="F552" s="48">
        <v>39713</v>
      </c>
      <c r="G552" s="48">
        <v>39995</v>
      </c>
      <c r="H552" s="46" t="s">
        <v>40</v>
      </c>
      <c r="I552" s="45">
        <v>7500</v>
      </c>
      <c r="J552" s="45">
        <v>7500</v>
      </c>
      <c r="K552" s="49" t="s">
        <v>2033</v>
      </c>
      <c r="L552" s="45"/>
      <c r="M552" s="3"/>
    </row>
    <row r="553" spans="1:13" ht="25.5" x14ac:dyDescent="0.25">
      <c r="A553" s="46" t="s">
        <v>2388</v>
      </c>
      <c r="B553" s="46" t="s">
        <v>59</v>
      </c>
      <c r="C553" s="46" t="s">
        <v>14</v>
      </c>
      <c r="D553" s="47">
        <v>5799</v>
      </c>
      <c r="E553" s="46" t="s">
        <v>2389</v>
      </c>
      <c r="F553" s="48">
        <v>39874</v>
      </c>
      <c r="G553" s="48">
        <v>40249</v>
      </c>
      <c r="H553" s="46" t="s">
        <v>40</v>
      </c>
      <c r="I553" s="45">
        <v>7500</v>
      </c>
      <c r="J553" s="45">
        <v>7500</v>
      </c>
      <c r="K553" s="49" t="s">
        <v>2033</v>
      </c>
      <c r="L553" s="45"/>
      <c r="M553" s="3"/>
    </row>
    <row r="554" spans="1:13" x14ac:dyDescent="0.25">
      <c r="A554" s="46" t="s">
        <v>2390</v>
      </c>
      <c r="B554" s="46" t="s">
        <v>59</v>
      </c>
      <c r="C554" s="46" t="s">
        <v>14</v>
      </c>
      <c r="D554" s="47">
        <v>5801</v>
      </c>
      <c r="E554" s="46" t="s">
        <v>2391</v>
      </c>
      <c r="F554" s="48">
        <v>39946</v>
      </c>
      <c r="G554" s="48">
        <v>40134</v>
      </c>
      <c r="H554" s="46" t="s">
        <v>40</v>
      </c>
      <c r="I554" s="45">
        <v>7500</v>
      </c>
      <c r="J554" s="45">
        <v>7500</v>
      </c>
      <c r="K554" s="49" t="s">
        <v>2033</v>
      </c>
      <c r="L554" s="45"/>
      <c r="M554" s="3"/>
    </row>
    <row r="555" spans="1:13" x14ac:dyDescent="0.25">
      <c r="A555" s="46" t="s">
        <v>2399</v>
      </c>
      <c r="B555" s="46" t="s">
        <v>59</v>
      </c>
      <c r="C555" s="46" t="s">
        <v>14</v>
      </c>
      <c r="D555" s="47">
        <v>5808</v>
      </c>
      <c r="E555" s="46" t="s">
        <v>2400</v>
      </c>
      <c r="F555" s="48">
        <v>40008</v>
      </c>
      <c r="G555" s="48">
        <v>40400</v>
      </c>
      <c r="H555" s="46" t="s">
        <v>40</v>
      </c>
      <c r="I555" s="45">
        <v>5625</v>
      </c>
      <c r="J555" s="45">
        <v>5625</v>
      </c>
      <c r="K555" s="49" t="s">
        <v>2033</v>
      </c>
      <c r="L555" s="45"/>
      <c r="M555" s="3"/>
    </row>
    <row r="556" spans="1:13" ht="25.5" x14ac:dyDescent="0.25">
      <c r="A556" s="46" t="s">
        <v>2401</v>
      </c>
      <c r="B556" s="46" t="s">
        <v>59</v>
      </c>
      <c r="C556" s="46" t="s">
        <v>14</v>
      </c>
      <c r="D556" s="47">
        <v>5884</v>
      </c>
      <c r="E556" s="46" t="s">
        <v>2402</v>
      </c>
      <c r="F556" s="48">
        <v>40070</v>
      </c>
      <c r="G556" s="48">
        <v>40291</v>
      </c>
      <c r="H556" s="46" t="s">
        <v>40</v>
      </c>
      <c r="I556" s="45">
        <v>45000</v>
      </c>
      <c r="J556" s="45">
        <v>45000</v>
      </c>
      <c r="K556" s="49" t="s">
        <v>2033</v>
      </c>
      <c r="L556" s="45"/>
      <c r="M556" s="3"/>
    </row>
    <row r="557" spans="1:13" ht="25.5" x14ac:dyDescent="0.25">
      <c r="A557" s="46" t="s">
        <v>2409</v>
      </c>
      <c r="B557" s="46" t="s">
        <v>59</v>
      </c>
      <c r="C557" s="46" t="s">
        <v>14</v>
      </c>
      <c r="D557" s="47">
        <v>5888</v>
      </c>
      <c r="E557" s="46" t="s">
        <v>2410</v>
      </c>
      <c r="F557" s="48">
        <v>40133</v>
      </c>
      <c r="G557" s="48">
        <v>40168</v>
      </c>
      <c r="H557" s="46" t="s">
        <v>40</v>
      </c>
      <c r="I557" s="45">
        <v>3750</v>
      </c>
      <c r="J557" s="45">
        <v>3750</v>
      </c>
      <c r="K557" s="49" t="s">
        <v>2033</v>
      </c>
      <c r="L557" s="45"/>
      <c r="M557" s="3"/>
    </row>
    <row r="558" spans="1:13" x14ac:dyDescent="0.25">
      <c r="A558" s="46" t="s">
        <v>2442</v>
      </c>
      <c r="B558" s="46" t="s">
        <v>59</v>
      </c>
      <c r="C558" s="46" t="s">
        <v>14</v>
      </c>
      <c r="D558" s="47">
        <v>7494</v>
      </c>
      <c r="E558" s="46" t="s">
        <v>2443</v>
      </c>
      <c r="F558" s="48">
        <v>40070</v>
      </c>
      <c r="G558" s="48">
        <v>40850</v>
      </c>
      <c r="H558" s="46" t="s">
        <v>40</v>
      </c>
      <c r="I558" s="45">
        <v>7500</v>
      </c>
      <c r="J558" s="45">
        <v>7500</v>
      </c>
      <c r="K558" s="49" t="s">
        <v>2033</v>
      </c>
      <c r="L558" s="45"/>
      <c r="M558" s="3"/>
    </row>
    <row r="559" spans="1:13" ht="25.5" x14ac:dyDescent="0.25">
      <c r="A559" s="46" t="s">
        <v>2495</v>
      </c>
      <c r="B559" s="46" t="s">
        <v>59</v>
      </c>
      <c r="C559" s="46" t="s">
        <v>14</v>
      </c>
      <c r="D559" s="47">
        <v>7801</v>
      </c>
      <c r="E559" s="46" t="s">
        <v>2496</v>
      </c>
      <c r="F559" s="48">
        <v>40105</v>
      </c>
      <c r="G559" s="48">
        <v>40322</v>
      </c>
      <c r="H559" s="46" t="s">
        <v>40</v>
      </c>
      <c r="I559" s="45">
        <v>26250</v>
      </c>
      <c r="J559" s="45">
        <v>26250</v>
      </c>
      <c r="K559" s="49" t="s">
        <v>2033</v>
      </c>
      <c r="L559" s="45"/>
      <c r="M559" s="3"/>
    </row>
    <row r="560" spans="1:13" x14ac:dyDescent="0.25">
      <c r="A560" s="46" t="s">
        <v>2501</v>
      </c>
      <c r="B560" s="46" t="s">
        <v>59</v>
      </c>
      <c r="C560" s="46" t="s">
        <v>14</v>
      </c>
      <c r="D560" s="47">
        <v>8560</v>
      </c>
      <c r="E560" s="46" t="s">
        <v>2502</v>
      </c>
      <c r="F560" s="48">
        <v>40583</v>
      </c>
      <c r="G560" s="48">
        <v>40840</v>
      </c>
      <c r="H560" s="46" t="s">
        <v>40</v>
      </c>
      <c r="I560" s="45">
        <v>10000</v>
      </c>
      <c r="J560" s="45">
        <v>10000</v>
      </c>
      <c r="K560" s="49" t="s">
        <v>2033</v>
      </c>
      <c r="L560" s="45"/>
      <c r="M560" s="3"/>
    </row>
    <row r="561" spans="1:13" ht="25.5" x14ac:dyDescent="0.25">
      <c r="A561" s="46" t="s">
        <v>2503</v>
      </c>
      <c r="B561" s="46" t="s">
        <v>59</v>
      </c>
      <c r="C561" s="46" t="s">
        <v>14</v>
      </c>
      <c r="D561" s="47">
        <v>8561</v>
      </c>
      <c r="E561" s="46" t="s">
        <v>2504</v>
      </c>
      <c r="F561" s="48">
        <v>40724</v>
      </c>
      <c r="G561" s="48">
        <v>40840</v>
      </c>
      <c r="H561" s="46" t="s">
        <v>40</v>
      </c>
      <c r="I561" s="45">
        <v>6400</v>
      </c>
      <c r="J561" s="45">
        <v>3200</v>
      </c>
      <c r="K561" s="49" t="s">
        <v>2033</v>
      </c>
      <c r="L561" s="45"/>
      <c r="M561" s="3"/>
    </row>
    <row r="562" spans="1:13" x14ac:dyDescent="0.25">
      <c r="A562" s="46" t="s">
        <v>2511</v>
      </c>
      <c r="B562" s="46" t="s">
        <v>59</v>
      </c>
      <c r="C562" s="46" t="s">
        <v>14</v>
      </c>
      <c r="D562" s="47">
        <v>8565</v>
      </c>
      <c r="E562" s="46" t="s">
        <v>2512</v>
      </c>
      <c r="F562" s="48">
        <v>40863</v>
      </c>
      <c r="G562" s="48">
        <v>40891</v>
      </c>
      <c r="H562" s="46" t="s">
        <v>40</v>
      </c>
      <c r="I562" s="45">
        <v>10000</v>
      </c>
      <c r="J562" s="45">
        <v>10000</v>
      </c>
      <c r="K562" s="49" t="s">
        <v>2033</v>
      </c>
      <c r="L562" s="45"/>
      <c r="M562" s="3"/>
    </row>
    <row r="563" spans="1:13" x14ac:dyDescent="0.25">
      <c r="A563" s="46" t="s">
        <v>2521</v>
      </c>
      <c r="B563" s="46" t="s">
        <v>59</v>
      </c>
      <c r="C563" s="46" t="s">
        <v>14</v>
      </c>
      <c r="D563" s="47">
        <v>8570</v>
      </c>
      <c r="E563" s="46" t="s">
        <v>2522</v>
      </c>
      <c r="F563" s="48">
        <v>40674</v>
      </c>
      <c r="G563" s="48">
        <v>40840</v>
      </c>
      <c r="H563" s="46" t="s">
        <v>40</v>
      </c>
      <c r="I563" s="45">
        <v>9000</v>
      </c>
      <c r="J563" s="45">
        <v>9000</v>
      </c>
      <c r="K563" s="49" t="s">
        <v>2033</v>
      </c>
      <c r="L563" s="45"/>
      <c r="M563" s="3"/>
    </row>
    <row r="564" spans="1:13" ht="25.5" x14ac:dyDescent="0.25">
      <c r="A564" s="46" t="s">
        <v>2553</v>
      </c>
      <c r="B564" s="46" t="s">
        <v>59</v>
      </c>
      <c r="C564" s="46" t="s">
        <v>14</v>
      </c>
      <c r="D564" s="47">
        <v>9524</v>
      </c>
      <c r="E564" s="46" t="s">
        <v>2554</v>
      </c>
      <c r="F564" s="48">
        <v>40724</v>
      </c>
      <c r="G564" s="48">
        <v>41026</v>
      </c>
      <c r="H564" s="46" t="s">
        <v>40</v>
      </c>
      <c r="I564" s="45">
        <v>10000</v>
      </c>
      <c r="J564" s="45">
        <v>10000</v>
      </c>
      <c r="K564" s="49" t="s">
        <v>2033</v>
      </c>
      <c r="L564" s="45"/>
      <c r="M564" s="3"/>
    </row>
    <row r="565" spans="1:13" x14ac:dyDescent="0.25">
      <c r="A565" s="46" t="s">
        <v>3107</v>
      </c>
      <c r="B565" s="46" t="s">
        <v>59</v>
      </c>
      <c r="C565" s="46" t="s">
        <v>14</v>
      </c>
      <c r="D565" s="47">
        <v>613</v>
      </c>
      <c r="E565" s="46" t="s">
        <v>3108</v>
      </c>
      <c r="F565" s="48">
        <v>39083</v>
      </c>
      <c r="G565" s="48">
        <v>41639</v>
      </c>
      <c r="H565" s="46" t="s">
        <v>40</v>
      </c>
      <c r="I565" s="45">
        <v>7500</v>
      </c>
      <c r="J565" s="45">
        <v>7500</v>
      </c>
      <c r="K565" s="49" t="s">
        <v>2650</v>
      </c>
      <c r="L565" s="45"/>
      <c r="M565" s="3"/>
    </row>
    <row r="566" spans="1:13" ht="25.5" x14ac:dyDescent="0.25">
      <c r="A566" s="46" t="s">
        <v>3109</v>
      </c>
      <c r="B566" s="46" t="s">
        <v>59</v>
      </c>
      <c r="C566" s="46" t="s">
        <v>14</v>
      </c>
      <c r="D566" s="47">
        <v>615</v>
      </c>
      <c r="E566" s="46" t="s">
        <v>3110</v>
      </c>
      <c r="F566" s="48">
        <v>39119</v>
      </c>
      <c r="G566" s="46"/>
      <c r="H566" s="46" t="s">
        <v>40</v>
      </c>
      <c r="I566" s="45">
        <v>12000</v>
      </c>
      <c r="J566" s="45">
        <v>12000</v>
      </c>
      <c r="K566" s="49" t="s">
        <v>2650</v>
      </c>
      <c r="L566" s="45"/>
      <c r="M566" s="3"/>
    </row>
    <row r="567" spans="1:13" x14ac:dyDescent="0.25">
      <c r="A567" s="46" t="s">
        <v>3113</v>
      </c>
      <c r="B567" s="46" t="s">
        <v>59</v>
      </c>
      <c r="C567" s="46" t="s">
        <v>14</v>
      </c>
      <c r="D567" s="47">
        <v>717</v>
      </c>
      <c r="E567" s="46" t="s">
        <v>3114</v>
      </c>
      <c r="F567" s="48">
        <v>39162</v>
      </c>
      <c r="G567" s="48">
        <v>39528</v>
      </c>
      <c r="H567" s="46" t="s">
        <v>40</v>
      </c>
      <c r="I567" s="45">
        <v>15000</v>
      </c>
      <c r="J567" s="45">
        <v>15000</v>
      </c>
      <c r="K567" s="49" t="s">
        <v>2650</v>
      </c>
      <c r="L567" s="45"/>
      <c r="M567" s="3"/>
    </row>
    <row r="568" spans="1:13" x14ac:dyDescent="0.25">
      <c r="A568" s="46" t="s">
        <v>3128</v>
      </c>
      <c r="B568" s="46" t="s">
        <v>59</v>
      </c>
      <c r="C568" s="46" t="s">
        <v>14</v>
      </c>
      <c r="D568" s="47">
        <v>752</v>
      </c>
      <c r="E568" s="46" t="s">
        <v>3129</v>
      </c>
      <c r="F568" s="48">
        <v>39162</v>
      </c>
      <c r="G568" s="48">
        <v>39528</v>
      </c>
      <c r="H568" s="46" t="s">
        <v>40</v>
      </c>
      <c r="I568" s="45">
        <v>7500</v>
      </c>
      <c r="J568" s="45">
        <v>7500</v>
      </c>
      <c r="K568" s="49" t="s">
        <v>2650</v>
      </c>
      <c r="L568" s="45"/>
      <c r="M568" s="3"/>
    </row>
    <row r="569" spans="1:13" x14ac:dyDescent="0.25">
      <c r="A569" s="46" t="s">
        <v>3130</v>
      </c>
      <c r="B569" s="46" t="s">
        <v>59</v>
      </c>
      <c r="C569" s="46" t="s">
        <v>14</v>
      </c>
      <c r="D569" s="47">
        <v>753</v>
      </c>
      <c r="E569" s="46" t="s">
        <v>3129</v>
      </c>
      <c r="F569" s="48">
        <v>39162</v>
      </c>
      <c r="G569" s="48">
        <v>39528</v>
      </c>
      <c r="H569" s="46" t="s">
        <v>40</v>
      </c>
      <c r="I569" s="45">
        <v>7500</v>
      </c>
      <c r="J569" s="45">
        <v>7500</v>
      </c>
      <c r="K569" s="49" t="s">
        <v>2650</v>
      </c>
      <c r="L569" s="45"/>
      <c r="M569" s="3"/>
    </row>
    <row r="570" spans="1:13" x14ac:dyDescent="0.25">
      <c r="A570" s="46" t="s">
        <v>3137</v>
      </c>
      <c r="B570" s="46" t="s">
        <v>59</v>
      </c>
      <c r="C570" s="46" t="s">
        <v>14</v>
      </c>
      <c r="D570" s="47">
        <v>761</v>
      </c>
      <c r="E570" s="46" t="s">
        <v>3129</v>
      </c>
      <c r="F570" s="48">
        <v>39211</v>
      </c>
      <c r="G570" s="48">
        <v>39577</v>
      </c>
      <c r="H570" s="46" t="s">
        <v>40</v>
      </c>
      <c r="I570" s="45">
        <v>7500</v>
      </c>
      <c r="J570" s="45">
        <v>7500</v>
      </c>
      <c r="K570" s="49" t="s">
        <v>2650</v>
      </c>
      <c r="L570" s="45"/>
      <c r="M570" s="3"/>
    </row>
    <row r="571" spans="1:13" x14ac:dyDescent="0.25">
      <c r="A571" s="46" t="s">
        <v>3138</v>
      </c>
      <c r="B571" s="46" t="s">
        <v>59</v>
      </c>
      <c r="C571" s="46" t="s">
        <v>14</v>
      </c>
      <c r="D571" s="47">
        <v>762</v>
      </c>
      <c r="E571" s="46" t="s">
        <v>3139</v>
      </c>
      <c r="F571" s="48">
        <v>39211</v>
      </c>
      <c r="G571" s="48">
        <v>39577</v>
      </c>
      <c r="H571" s="46" t="s">
        <v>40</v>
      </c>
      <c r="I571" s="45">
        <v>7500</v>
      </c>
      <c r="J571" s="45">
        <v>7500</v>
      </c>
      <c r="K571" s="49" t="s">
        <v>2650</v>
      </c>
      <c r="L571" s="45"/>
      <c r="M571" s="3"/>
    </row>
    <row r="572" spans="1:13" x14ac:dyDescent="0.25">
      <c r="A572" s="46" t="s">
        <v>3140</v>
      </c>
      <c r="B572" s="46" t="s">
        <v>59</v>
      </c>
      <c r="C572" s="46" t="s">
        <v>14</v>
      </c>
      <c r="D572" s="47">
        <v>767</v>
      </c>
      <c r="E572" s="46" t="s">
        <v>3141</v>
      </c>
      <c r="F572" s="48">
        <v>39252</v>
      </c>
      <c r="G572" s="48">
        <v>39618</v>
      </c>
      <c r="H572" s="46" t="s">
        <v>40</v>
      </c>
      <c r="I572" s="45">
        <v>15000</v>
      </c>
      <c r="J572" s="45">
        <v>15000</v>
      </c>
      <c r="K572" s="49" t="s">
        <v>2650</v>
      </c>
      <c r="L572" s="45"/>
      <c r="M572" s="3"/>
    </row>
    <row r="573" spans="1:13" x14ac:dyDescent="0.25">
      <c r="A573" s="46" t="s">
        <v>3142</v>
      </c>
      <c r="B573" s="46" t="s">
        <v>59</v>
      </c>
      <c r="C573" s="46" t="s">
        <v>14</v>
      </c>
      <c r="D573" s="47">
        <v>770</v>
      </c>
      <c r="E573" s="46" t="s">
        <v>3143</v>
      </c>
      <c r="F573" s="48">
        <v>39252</v>
      </c>
      <c r="G573" s="48">
        <v>39618</v>
      </c>
      <c r="H573" s="46" t="s">
        <v>40</v>
      </c>
      <c r="I573" s="45">
        <v>15000</v>
      </c>
      <c r="J573" s="45">
        <v>15000</v>
      </c>
      <c r="K573" s="49" t="s">
        <v>2650</v>
      </c>
      <c r="L573" s="45"/>
      <c r="M573" s="3"/>
    </row>
    <row r="574" spans="1:13" x14ac:dyDescent="0.25">
      <c r="A574" s="46" t="s">
        <v>3147</v>
      </c>
      <c r="B574" s="46" t="s">
        <v>59</v>
      </c>
      <c r="C574" s="46" t="s">
        <v>14</v>
      </c>
      <c r="D574" s="47">
        <v>774</v>
      </c>
      <c r="E574" s="46" t="s">
        <v>3129</v>
      </c>
      <c r="F574" s="48">
        <v>39252</v>
      </c>
      <c r="G574" s="48">
        <v>39618</v>
      </c>
      <c r="H574" s="46" t="s">
        <v>40</v>
      </c>
      <c r="I574" s="45">
        <v>7500</v>
      </c>
      <c r="J574" s="45">
        <v>7500</v>
      </c>
      <c r="K574" s="49" t="s">
        <v>2650</v>
      </c>
      <c r="L574" s="45"/>
      <c r="M574" s="3"/>
    </row>
    <row r="575" spans="1:13" x14ac:dyDescent="0.25">
      <c r="A575" s="46" t="s">
        <v>3150</v>
      </c>
      <c r="B575" s="46" t="s">
        <v>59</v>
      </c>
      <c r="C575" s="46" t="s">
        <v>14</v>
      </c>
      <c r="D575" s="47">
        <v>776</v>
      </c>
      <c r="E575" s="46" t="s">
        <v>3151</v>
      </c>
      <c r="F575" s="48">
        <v>39252</v>
      </c>
      <c r="G575" s="48">
        <v>39618</v>
      </c>
      <c r="H575" s="46" t="s">
        <v>40</v>
      </c>
      <c r="I575" s="45">
        <v>15000</v>
      </c>
      <c r="J575" s="45">
        <v>15000</v>
      </c>
      <c r="K575" s="49" t="s">
        <v>2650</v>
      </c>
      <c r="L575" s="45"/>
      <c r="M575" s="3"/>
    </row>
    <row r="576" spans="1:13" x14ac:dyDescent="0.25">
      <c r="A576" s="46" t="s">
        <v>3152</v>
      </c>
      <c r="B576" s="46" t="s">
        <v>59</v>
      </c>
      <c r="C576" s="46" t="s">
        <v>14</v>
      </c>
      <c r="D576" s="47">
        <v>781</v>
      </c>
      <c r="E576" s="46" t="s">
        <v>3153</v>
      </c>
      <c r="F576" s="48">
        <v>39287</v>
      </c>
      <c r="G576" s="48">
        <v>39653</v>
      </c>
      <c r="H576" s="46" t="s">
        <v>40</v>
      </c>
      <c r="I576" s="45">
        <v>15000</v>
      </c>
      <c r="J576" s="45">
        <v>15000</v>
      </c>
      <c r="K576" s="49" t="s">
        <v>2650</v>
      </c>
      <c r="L576" s="45"/>
      <c r="M576" s="3"/>
    </row>
    <row r="577" spans="1:13" ht="25.5" x14ac:dyDescent="0.25">
      <c r="A577" s="46" t="s">
        <v>3162</v>
      </c>
      <c r="B577" s="46" t="s">
        <v>59</v>
      </c>
      <c r="C577" s="46" t="s">
        <v>14</v>
      </c>
      <c r="D577" s="47">
        <v>825</v>
      </c>
      <c r="E577" s="46" t="s">
        <v>3163</v>
      </c>
      <c r="F577" s="48">
        <v>39343</v>
      </c>
      <c r="G577" s="48">
        <v>39709</v>
      </c>
      <c r="H577" s="46" t="s">
        <v>40</v>
      </c>
      <c r="I577" s="45">
        <v>18750</v>
      </c>
      <c r="J577" s="45">
        <v>15000</v>
      </c>
      <c r="K577" s="49" t="s">
        <v>2650</v>
      </c>
      <c r="L577" s="45"/>
      <c r="M577" s="3"/>
    </row>
    <row r="578" spans="1:13" x14ac:dyDescent="0.25">
      <c r="A578" s="46" t="s">
        <v>3164</v>
      </c>
      <c r="B578" s="46" t="s">
        <v>59</v>
      </c>
      <c r="C578" s="46" t="s">
        <v>14</v>
      </c>
      <c r="D578" s="47">
        <v>834</v>
      </c>
      <c r="E578" s="46" t="s">
        <v>3165</v>
      </c>
      <c r="F578" s="48">
        <v>39343</v>
      </c>
      <c r="G578" s="48">
        <v>39709</v>
      </c>
      <c r="H578" s="46" t="s">
        <v>40</v>
      </c>
      <c r="I578" s="45">
        <v>15000</v>
      </c>
      <c r="J578" s="45">
        <v>15000</v>
      </c>
      <c r="K578" s="49" t="s">
        <v>2650</v>
      </c>
      <c r="L578" s="45"/>
      <c r="M578" s="3"/>
    </row>
    <row r="579" spans="1:13" x14ac:dyDescent="0.25">
      <c r="A579" s="46" t="s">
        <v>3166</v>
      </c>
      <c r="B579" s="46" t="s">
        <v>59</v>
      </c>
      <c r="C579" s="46" t="s">
        <v>14</v>
      </c>
      <c r="D579" s="47">
        <v>838</v>
      </c>
      <c r="E579" s="46" t="s">
        <v>3129</v>
      </c>
      <c r="F579" s="48">
        <v>39343</v>
      </c>
      <c r="G579" s="48">
        <v>39709</v>
      </c>
      <c r="H579" s="46" t="s">
        <v>40</v>
      </c>
      <c r="I579" s="45">
        <v>7500</v>
      </c>
      <c r="J579" s="45">
        <v>7500</v>
      </c>
      <c r="K579" s="49" t="s">
        <v>2650</v>
      </c>
      <c r="L579" s="45"/>
      <c r="M579" s="3"/>
    </row>
    <row r="580" spans="1:13" x14ac:dyDescent="0.25">
      <c r="A580" s="46" t="s">
        <v>3176</v>
      </c>
      <c r="B580" s="46" t="s">
        <v>59</v>
      </c>
      <c r="C580" s="46" t="s">
        <v>14</v>
      </c>
      <c r="D580" s="47">
        <v>1125</v>
      </c>
      <c r="E580" s="46" t="s">
        <v>3177</v>
      </c>
      <c r="F580" s="48">
        <v>39380</v>
      </c>
      <c r="G580" s="48">
        <v>39746</v>
      </c>
      <c r="H580" s="46" t="s">
        <v>40</v>
      </c>
      <c r="I580" s="45">
        <v>15000</v>
      </c>
      <c r="J580" s="45">
        <v>15000</v>
      </c>
      <c r="K580" s="49" t="s">
        <v>2650</v>
      </c>
      <c r="L580" s="45"/>
      <c r="M580" s="3"/>
    </row>
    <row r="581" spans="1:13" x14ac:dyDescent="0.25">
      <c r="A581" s="46" t="s">
        <v>3178</v>
      </c>
      <c r="B581" s="46" t="s">
        <v>59</v>
      </c>
      <c r="C581" s="46" t="s">
        <v>14</v>
      </c>
      <c r="D581" s="47">
        <v>1126</v>
      </c>
      <c r="E581" s="46" t="s">
        <v>3179</v>
      </c>
      <c r="F581" s="48">
        <v>39380</v>
      </c>
      <c r="G581" s="48">
        <v>39746</v>
      </c>
      <c r="H581" s="46" t="s">
        <v>40</v>
      </c>
      <c r="I581" s="45">
        <v>7500</v>
      </c>
      <c r="J581" s="45">
        <v>7500</v>
      </c>
      <c r="K581" s="49" t="s">
        <v>2650</v>
      </c>
      <c r="L581" s="45"/>
      <c r="M581" s="3"/>
    </row>
    <row r="582" spans="1:13" x14ac:dyDescent="0.25">
      <c r="A582" s="46" t="s">
        <v>3184</v>
      </c>
      <c r="B582" s="46" t="s">
        <v>59</v>
      </c>
      <c r="C582" s="46" t="s">
        <v>14</v>
      </c>
      <c r="D582" s="47">
        <v>1647</v>
      </c>
      <c r="E582" s="46" t="s">
        <v>3185</v>
      </c>
      <c r="F582" s="48">
        <v>39406</v>
      </c>
      <c r="G582" s="48">
        <v>39772</v>
      </c>
      <c r="H582" s="46" t="s">
        <v>40</v>
      </c>
      <c r="I582" s="45">
        <v>7500</v>
      </c>
      <c r="J582" s="45">
        <v>7500</v>
      </c>
      <c r="K582" s="49" t="s">
        <v>2650</v>
      </c>
      <c r="L582" s="45"/>
      <c r="M582" s="3"/>
    </row>
    <row r="583" spans="1:13" x14ac:dyDescent="0.25">
      <c r="A583" s="46" t="s">
        <v>3186</v>
      </c>
      <c r="B583" s="46" t="s">
        <v>59</v>
      </c>
      <c r="C583" s="46" t="s">
        <v>14</v>
      </c>
      <c r="D583" s="47">
        <v>1648</v>
      </c>
      <c r="E583" s="46" t="s">
        <v>3187</v>
      </c>
      <c r="F583" s="48">
        <v>39427</v>
      </c>
      <c r="G583" s="48">
        <v>39793</v>
      </c>
      <c r="H583" s="46" t="s">
        <v>40</v>
      </c>
      <c r="I583" s="45">
        <v>7500</v>
      </c>
      <c r="J583" s="45">
        <v>7500</v>
      </c>
      <c r="K583" s="49" t="s">
        <v>2650</v>
      </c>
      <c r="L583" s="45"/>
      <c r="M583" s="3"/>
    </row>
    <row r="584" spans="1:13" x14ac:dyDescent="0.25">
      <c r="A584" s="46" t="s">
        <v>3188</v>
      </c>
      <c r="B584" s="46" t="s">
        <v>59</v>
      </c>
      <c r="C584" s="46" t="s">
        <v>14</v>
      </c>
      <c r="D584" s="47">
        <v>1650</v>
      </c>
      <c r="E584" s="46" t="s">
        <v>3189</v>
      </c>
      <c r="F584" s="48">
        <v>39427</v>
      </c>
      <c r="G584" s="48">
        <v>39793</v>
      </c>
      <c r="H584" s="46" t="s">
        <v>40</v>
      </c>
      <c r="I584" s="45">
        <v>5000</v>
      </c>
      <c r="J584" s="45">
        <v>5000</v>
      </c>
      <c r="K584" s="49" t="s">
        <v>2650</v>
      </c>
      <c r="L584" s="45"/>
      <c r="M584" s="3"/>
    </row>
    <row r="585" spans="1:13" x14ac:dyDescent="0.25">
      <c r="A585" s="46" t="s">
        <v>3190</v>
      </c>
      <c r="B585" s="46" t="s">
        <v>59</v>
      </c>
      <c r="C585" s="46" t="s">
        <v>14</v>
      </c>
      <c r="D585" s="47">
        <v>1651</v>
      </c>
      <c r="E585" s="46" t="s">
        <v>3136</v>
      </c>
      <c r="F585" s="48">
        <v>39427</v>
      </c>
      <c r="G585" s="48">
        <v>39793</v>
      </c>
      <c r="H585" s="46" t="s">
        <v>40</v>
      </c>
      <c r="I585" s="45">
        <v>2540</v>
      </c>
      <c r="J585" s="45">
        <v>2540</v>
      </c>
      <c r="K585" s="49" t="s">
        <v>2650</v>
      </c>
      <c r="L585" s="45"/>
      <c r="M585" s="3"/>
    </row>
    <row r="586" spans="1:13" x14ac:dyDescent="0.25">
      <c r="A586" s="46" t="s">
        <v>3191</v>
      </c>
      <c r="B586" s="46" t="s">
        <v>59</v>
      </c>
      <c r="C586" s="46" t="s">
        <v>14</v>
      </c>
      <c r="D586" s="47">
        <v>1652</v>
      </c>
      <c r="E586" s="46" t="s">
        <v>59</v>
      </c>
      <c r="F586" s="48">
        <v>39483</v>
      </c>
      <c r="G586" s="48">
        <v>39849</v>
      </c>
      <c r="H586" s="46" t="s">
        <v>40</v>
      </c>
      <c r="I586" s="45">
        <v>5000</v>
      </c>
      <c r="J586" s="45">
        <v>5000</v>
      </c>
      <c r="K586" s="49" t="s">
        <v>2650</v>
      </c>
      <c r="L586" s="45"/>
      <c r="M586" s="3"/>
    </row>
    <row r="587" spans="1:13" x14ac:dyDescent="0.25">
      <c r="A587" s="46" t="s">
        <v>3192</v>
      </c>
      <c r="B587" s="46" t="s">
        <v>59</v>
      </c>
      <c r="C587" s="46" t="s">
        <v>14</v>
      </c>
      <c r="D587" s="47">
        <v>1656</v>
      </c>
      <c r="E587" s="46" t="s">
        <v>3193</v>
      </c>
      <c r="F587" s="48">
        <v>39483</v>
      </c>
      <c r="G587" s="48">
        <v>39849</v>
      </c>
      <c r="H587" s="46" t="s">
        <v>40</v>
      </c>
      <c r="I587" s="45">
        <v>7500</v>
      </c>
      <c r="J587" s="45">
        <v>7500</v>
      </c>
      <c r="K587" s="49" t="s">
        <v>2650</v>
      </c>
      <c r="L587" s="45"/>
      <c r="M587" s="3"/>
    </row>
    <row r="588" spans="1:13" x14ac:dyDescent="0.25">
      <c r="A588" s="46" t="s">
        <v>3194</v>
      </c>
      <c r="B588" s="46" t="s">
        <v>59</v>
      </c>
      <c r="C588" s="46" t="s">
        <v>14</v>
      </c>
      <c r="D588" s="47">
        <v>1658</v>
      </c>
      <c r="E588" s="46" t="s">
        <v>3195</v>
      </c>
      <c r="F588" s="48">
        <v>39483</v>
      </c>
      <c r="G588" s="48">
        <v>39849</v>
      </c>
      <c r="H588" s="46" t="s">
        <v>40</v>
      </c>
      <c r="I588" s="45">
        <v>15000</v>
      </c>
      <c r="J588" s="45">
        <v>15000</v>
      </c>
      <c r="K588" s="49" t="s">
        <v>2650</v>
      </c>
      <c r="L588" s="45"/>
      <c r="M588" s="3"/>
    </row>
    <row r="589" spans="1:13" x14ac:dyDescent="0.25">
      <c r="A589" s="46" t="s">
        <v>3200</v>
      </c>
      <c r="B589" s="46" t="s">
        <v>59</v>
      </c>
      <c r="C589" s="46" t="s">
        <v>14</v>
      </c>
      <c r="D589" s="47">
        <v>1663</v>
      </c>
      <c r="E589" s="46" t="s">
        <v>59</v>
      </c>
      <c r="F589" s="48">
        <v>39483</v>
      </c>
      <c r="G589" s="48">
        <v>39849</v>
      </c>
      <c r="H589" s="46" t="s">
        <v>40</v>
      </c>
      <c r="I589" s="45">
        <v>7500</v>
      </c>
      <c r="J589" s="45">
        <v>7500</v>
      </c>
      <c r="K589" s="49" t="s">
        <v>2650</v>
      </c>
      <c r="L589" s="45"/>
      <c r="M589" s="3"/>
    </row>
    <row r="590" spans="1:13" x14ac:dyDescent="0.25">
      <c r="A590" s="46" t="s">
        <v>3201</v>
      </c>
      <c r="B590" s="46" t="s">
        <v>59</v>
      </c>
      <c r="C590" s="46" t="s">
        <v>14</v>
      </c>
      <c r="D590" s="47">
        <v>1664</v>
      </c>
      <c r="E590" s="46" t="s">
        <v>3202</v>
      </c>
      <c r="F590" s="48">
        <v>39483</v>
      </c>
      <c r="G590" s="48">
        <v>39849</v>
      </c>
      <c r="H590" s="46" t="s">
        <v>40</v>
      </c>
      <c r="I590" s="45">
        <v>10000</v>
      </c>
      <c r="J590" s="45">
        <v>10000</v>
      </c>
      <c r="K590" s="49" t="s">
        <v>2650</v>
      </c>
      <c r="L590" s="45"/>
      <c r="M590" s="3"/>
    </row>
    <row r="591" spans="1:13" x14ac:dyDescent="0.25">
      <c r="A591" s="46" t="s">
        <v>3203</v>
      </c>
      <c r="B591" s="46" t="s">
        <v>59</v>
      </c>
      <c r="C591" s="46" t="s">
        <v>14</v>
      </c>
      <c r="D591" s="47">
        <v>1665</v>
      </c>
      <c r="E591" s="46" t="s">
        <v>3121</v>
      </c>
      <c r="F591" s="48">
        <v>39483</v>
      </c>
      <c r="G591" s="48">
        <v>39849</v>
      </c>
      <c r="H591" s="46" t="s">
        <v>40</v>
      </c>
      <c r="I591" s="45">
        <v>7500</v>
      </c>
      <c r="J591" s="45">
        <v>7500</v>
      </c>
      <c r="K591" s="49" t="s">
        <v>2650</v>
      </c>
      <c r="L591" s="45"/>
      <c r="M591" s="3"/>
    </row>
    <row r="592" spans="1:13" x14ac:dyDescent="0.25">
      <c r="A592" s="46" t="s">
        <v>3208</v>
      </c>
      <c r="B592" s="46" t="s">
        <v>59</v>
      </c>
      <c r="C592" s="46" t="s">
        <v>14</v>
      </c>
      <c r="D592" s="47">
        <v>1683</v>
      </c>
      <c r="E592" s="46" t="s">
        <v>3209</v>
      </c>
      <c r="F592" s="48">
        <v>39518</v>
      </c>
      <c r="G592" s="48">
        <v>39883</v>
      </c>
      <c r="H592" s="46" t="s">
        <v>40</v>
      </c>
      <c r="I592" s="45">
        <v>7500</v>
      </c>
      <c r="J592" s="45">
        <v>7500</v>
      </c>
      <c r="K592" s="49" t="s">
        <v>2650</v>
      </c>
      <c r="L592" s="45"/>
      <c r="M592" s="3"/>
    </row>
    <row r="593" spans="1:13" x14ac:dyDescent="0.25">
      <c r="A593" s="46" t="s">
        <v>3210</v>
      </c>
      <c r="B593" s="46" t="s">
        <v>59</v>
      </c>
      <c r="C593" s="46" t="s">
        <v>14</v>
      </c>
      <c r="D593" s="47">
        <v>1687</v>
      </c>
      <c r="E593" s="46" t="s">
        <v>3211</v>
      </c>
      <c r="F593" s="48">
        <v>39567</v>
      </c>
      <c r="G593" s="48">
        <v>39867</v>
      </c>
      <c r="H593" s="46" t="s">
        <v>40</v>
      </c>
      <c r="I593" s="45">
        <v>7500</v>
      </c>
      <c r="J593" s="45">
        <v>3750</v>
      </c>
      <c r="K593" s="49" t="s">
        <v>2650</v>
      </c>
      <c r="L593" s="45"/>
      <c r="M593" s="3"/>
    </row>
    <row r="594" spans="1:13" x14ac:dyDescent="0.25">
      <c r="A594" s="46" t="s">
        <v>3212</v>
      </c>
      <c r="B594" s="46" t="s">
        <v>59</v>
      </c>
      <c r="C594" s="46" t="s">
        <v>14</v>
      </c>
      <c r="D594" s="47">
        <v>1691</v>
      </c>
      <c r="E594" s="46" t="s">
        <v>3185</v>
      </c>
      <c r="F594" s="48">
        <v>39567</v>
      </c>
      <c r="G594" s="48">
        <v>39932</v>
      </c>
      <c r="H594" s="46" t="s">
        <v>40</v>
      </c>
      <c r="I594" s="45">
        <v>15000</v>
      </c>
      <c r="J594" s="45">
        <v>15000</v>
      </c>
      <c r="K594" s="49" t="s">
        <v>2650</v>
      </c>
      <c r="L594" s="45"/>
      <c r="M594" s="3"/>
    </row>
    <row r="595" spans="1:13" x14ac:dyDescent="0.25">
      <c r="A595" s="46" t="s">
        <v>3213</v>
      </c>
      <c r="B595" s="46" t="s">
        <v>59</v>
      </c>
      <c r="C595" s="46" t="s">
        <v>14</v>
      </c>
      <c r="D595" s="47">
        <v>1693</v>
      </c>
      <c r="E595" s="46" t="s">
        <v>3214</v>
      </c>
      <c r="F595" s="48">
        <v>39707</v>
      </c>
      <c r="G595" s="48">
        <v>39980</v>
      </c>
      <c r="H595" s="46" t="s">
        <v>40</v>
      </c>
      <c r="I595" s="45">
        <v>7500</v>
      </c>
      <c r="J595" s="45">
        <v>3750</v>
      </c>
      <c r="K595" s="49" t="s">
        <v>2650</v>
      </c>
      <c r="L595" s="45"/>
      <c r="M595" s="3"/>
    </row>
    <row r="596" spans="1:13" x14ac:dyDescent="0.25">
      <c r="A596" s="46" t="s">
        <v>3215</v>
      </c>
      <c r="B596" s="46" t="s">
        <v>59</v>
      </c>
      <c r="C596" s="46" t="s">
        <v>14</v>
      </c>
      <c r="D596" s="47">
        <v>1707</v>
      </c>
      <c r="E596" s="46" t="s">
        <v>3216</v>
      </c>
      <c r="F596" s="48">
        <v>39707</v>
      </c>
      <c r="G596" s="48">
        <v>39980</v>
      </c>
      <c r="H596" s="46" t="s">
        <v>40</v>
      </c>
      <c r="I596" s="45">
        <v>7500</v>
      </c>
      <c r="J596" s="45">
        <v>3750</v>
      </c>
      <c r="K596" s="49" t="s">
        <v>2650</v>
      </c>
      <c r="L596" s="45"/>
      <c r="M596" s="3"/>
    </row>
    <row r="597" spans="1:13" x14ac:dyDescent="0.25">
      <c r="A597" s="46" t="s">
        <v>3217</v>
      </c>
      <c r="B597" s="46" t="s">
        <v>59</v>
      </c>
      <c r="C597" s="46" t="s">
        <v>14</v>
      </c>
      <c r="D597" s="47">
        <v>1709</v>
      </c>
      <c r="E597" s="46" t="s">
        <v>3218</v>
      </c>
      <c r="F597" s="48">
        <v>39707</v>
      </c>
      <c r="G597" s="48">
        <v>39980</v>
      </c>
      <c r="H597" s="46" t="s">
        <v>40</v>
      </c>
      <c r="I597" s="45">
        <v>7500</v>
      </c>
      <c r="J597" s="45">
        <v>3750</v>
      </c>
      <c r="K597" s="49" t="s">
        <v>2650</v>
      </c>
      <c r="L597" s="45"/>
      <c r="M597" s="3"/>
    </row>
    <row r="598" spans="1:13" x14ac:dyDescent="0.2">
      <c r="A598" s="46" t="s">
        <v>3640</v>
      </c>
      <c r="B598" s="46" t="s">
        <v>59</v>
      </c>
      <c r="C598" s="46" t="s">
        <v>14</v>
      </c>
      <c r="D598" s="47">
        <v>1055</v>
      </c>
      <c r="E598" s="46" t="s">
        <v>3641</v>
      </c>
      <c r="F598" s="48">
        <v>39287</v>
      </c>
      <c r="G598" s="46"/>
      <c r="H598" s="46" t="s">
        <v>40</v>
      </c>
      <c r="I598" s="45">
        <v>3750</v>
      </c>
      <c r="J598" s="45">
        <v>3750</v>
      </c>
      <c r="K598" s="88" t="s">
        <v>11651</v>
      </c>
      <c r="L598" s="45"/>
      <c r="M598" s="3"/>
    </row>
    <row r="599" spans="1:13" x14ac:dyDescent="0.2">
      <c r="A599" s="46" t="s">
        <v>3656</v>
      </c>
      <c r="B599" s="46" t="s">
        <v>59</v>
      </c>
      <c r="C599" s="46" t="s">
        <v>14</v>
      </c>
      <c r="D599" s="47">
        <v>1092</v>
      </c>
      <c r="E599" s="46" t="s">
        <v>3657</v>
      </c>
      <c r="F599" s="48">
        <v>39350</v>
      </c>
      <c r="G599" s="46"/>
      <c r="H599" s="46" t="s">
        <v>40</v>
      </c>
      <c r="I599" s="45">
        <v>3750</v>
      </c>
      <c r="J599" s="45">
        <v>3750</v>
      </c>
      <c r="K599" s="88" t="s">
        <v>11651</v>
      </c>
      <c r="L599" s="45"/>
      <c r="M599" s="3"/>
    </row>
    <row r="600" spans="1:13" x14ac:dyDescent="0.2">
      <c r="A600" s="46" t="s">
        <v>3658</v>
      </c>
      <c r="B600" s="46" t="s">
        <v>59</v>
      </c>
      <c r="C600" s="46" t="s">
        <v>14</v>
      </c>
      <c r="D600" s="47">
        <v>1095</v>
      </c>
      <c r="E600" s="46" t="s">
        <v>3659</v>
      </c>
      <c r="F600" s="48">
        <v>39350</v>
      </c>
      <c r="G600" s="46"/>
      <c r="H600" s="46" t="s">
        <v>40</v>
      </c>
      <c r="I600" s="45">
        <v>18750</v>
      </c>
      <c r="J600" s="45">
        <v>18750</v>
      </c>
      <c r="K600" s="88" t="s">
        <v>11651</v>
      </c>
      <c r="L600" s="45"/>
      <c r="M600" s="3"/>
    </row>
    <row r="601" spans="1:13" x14ac:dyDescent="0.2">
      <c r="A601" s="46" t="s">
        <v>3660</v>
      </c>
      <c r="B601" s="46" t="s">
        <v>59</v>
      </c>
      <c r="C601" s="46" t="s">
        <v>14</v>
      </c>
      <c r="D601" s="47">
        <v>1101</v>
      </c>
      <c r="E601" s="46" t="s">
        <v>3187</v>
      </c>
      <c r="F601" s="48">
        <v>39350</v>
      </c>
      <c r="G601" s="46"/>
      <c r="H601" s="46" t="s">
        <v>40</v>
      </c>
      <c r="I601" s="45">
        <v>18750</v>
      </c>
      <c r="J601" s="45">
        <v>18750</v>
      </c>
      <c r="K601" s="88" t="s">
        <v>11651</v>
      </c>
      <c r="L601" s="45"/>
      <c r="M601" s="3"/>
    </row>
    <row r="602" spans="1:13" x14ac:dyDescent="0.2">
      <c r="A602" s="46" t="s">
        <v>3663</v>
      </c>
      <c r="B602" s="46" t="s">
        <v>59</v>
      </c>
      <c r="C602" s="46" t="s">
        <v>14</v>
      </c>
      <c r="D602" s="47">
        <v>1151</v>
      </c>
      <c r="E602" s="46" t="s">
        <v>3664</v>
      </c>
      <c r="F602" s="48">
        <v>39350</v>
      </c>
      <c r="G602" s="46"/>
      <c r="H602" s="46" t="s">
        <v>40</v>
      </c>
      <c r="I602" s="45">
        <v>15000</v>
      </c>
      <c r="J602" s="45">
        <v>15000</v>
      </c>
      <c r="K602" s="88" t="s">
        <v>11651</v>
      </c>
      <c r="L602" s="45"/>
      <c r="M602" s="3"/>
    </row>
    <row r="603" spans="1:13" x14ac:dyDescent="0.2">
      <c r="A603" s="46" t="s">
        <v>3681</v>
      </c>
      <c r="B603" s="46" t="s">
        <v>59</v>
      </c>
      <c r="C603" s="46" t="s">
        <v>14</v>
      </c>
      <c r="D603" s="47">
        <v>1622</v>
      </c>
      <c r="E603" s="46" t="s">
        <v>3682</v>
      </c>
      <c r="F603" s="48">
        <v>39434</v>
      </c>
      <c r="G603" s="46"/>
      <c r="H603" s="46" t="s">
        <v>40</v>
      </c>
      <c r="I603" s="45">
        <v>15000</v>
      </c>
      <c r="J603" s="45">
        <v>15000</v>
      </c>
      <c r="K603" s="88" t="s">
        <v>11651</v>
      </c>
      <c r="L603" s="45"/>
      <c r="M603" s="3"/>
    </row>
    <row r="604" spans="1:13" x14ac:dyDescent="0.2">
      <c r="A604" s="46" t="s">
        <v>3686</v>
      </c>
      <c r="B604" s="46" t="s">
        <v>59</v>
      </c>
      <c r="C604" s="46" t="s">
        <v>14</v>
      </c>
      <c r="D604" s="47">
        <v>1631</v>
      </c>
      <c r="E604" s="46" t="s">
        <v>3687</v>
      </c>
      <c r="F604" s="48">
        <v>39469</v>
      </c>
      <c r="G604" s="46"/>
      <c r="H604" s="46" t="s">
        <v>40</v>
      </c>
      <c r="I604" s="45">
        <v>7500</v>
      </c>
      <c r="J604" s="45">
        <v>7500</v>
      </c>
      <c r="K604" s="88" t="s">
        <v>11651</v>
      </c>
      <c r="L604" s="45"/>
      <c r="M604" s="3"/>
    </row>
    <row r="605" spans="1:13" x14ac:dyDescent="0.2">
      <c r="A605" s="46" t="s">
        <v>3698</v>
      </c>
      <c r="B605" s="46" t="s">
        <v>59</v>
      </c>
      <c r="C605" s="46" t="s">
        <v>14</v>
      </c>
      <c r="D605" s="47">
        <v>1654</v>
      </c>
      <c r="E605" s="46" t="s">
        <v>3699</v>
      </c>
      <c r="F605" s="48">
        <v>39623</v>
      </c>
      <c r="G605" s="46"/>
      <c r="H605" s="46" t="s">
        <v>40</v>
      </c>
      <c r="I605" s="45">
        <v>7500</v>
      </c>
      <c r="J605" s="45">
        <v>7500</v>
      </c>
      <c r="K605" s="88" t="s">
        <v>11651</v>
      </c>
      <c r="L605" s="45"/>
      <c r="M605" s="3"/>
    </row>
    <row r="606" spans="1:13" x14ac:dyDescent="0.2">
      <c r="A606" s="46" t="s">
        <v>3735</v>
      </c>
      <c r="B606" s="46" t="s">
        <v>59</v>
      </c>
      <c r="C606" s="46" t="s">
        <v>14</v>
      </c>
      <c r="D606" s="47">
        <v>3319</v>
      </c>
      <c r="E606" s="46" t="s">
        <v>3736</v>
      </c>
      <c r="F606" s="48">
        <v>39469</v>
      </c>
      <c r="G606" s="46"/>
      <c r="H606" s="46" t="s">
        <v>40</v>
      </c>
      <c r="I606" s="45">
        <v>11250</v>
      </c>
      <c r="J606" s="45">
        <v>11250</v>
      </c>
      <c r="K606" s="88" t="s">
        <v>11651</v>
      </c>
      <c r="L606" s="45"/>
      <c r="M606" s="3"/>
    </row>
    <row r="607" spans="1:13" x14ac:dyDescent="0.2">
      <c r="A607" s="46" t="s">
        <v>3741</v>
      </c>
      <c r="B607" s="46" t="s">
        <v>59</v>
      </c>
      <c r="C607" s="46" t="s">
        <v>14</v>
      </c>
      <c r="D607" s="47">
        <v>3326</v>
      </c>
      <c r="E607" s="46" t="s">
        <v>3651</v>
      </c>
      <c r="F607" s="48">
        <v>39350</v>
      </c>
      <c r="G607" s="46"/>
      <c r="H607" s="46" t="s">
        <v>40</v>
      </c>
      <c r="I607" s="45">
        <v>3750</v>
      </c>
      <c r="J607" s="45">
        <v>3750</v>
      </c>
      <c r="K607" s="88" t="s">
        <v>11651</v>
      </c>
      <c r="L607" s="45"/>
      <c r="M607" s="3"/>
    </row>
    <row r="608" spans="1:13" x14ac:dyDescent="0.2">
      <c r="A608" s="46" t="s">
        <v>3754</v>
      </c>
      <c r="B608" s="46" t="s">
        <v>59</v>
      </c>
      <c r="C608" s="46" t="s">
        <v>14</v>
      </c>
      <c r="D608" s="47">
        <v>4139</v>
      </c>
      <c r="E608" s="46" t="s">
        <v>3755</v>
      </c>
      <c r="F608" s="48">
        <v>39469</v>
      </c>
      <c r="G608" s="46"/>
      <c r="H608" s="46" t="s">
        <v>40</v>
      </c>
      <c r="I608" s="45">
        <v>22500</v>
      </c>
      <c r="J608" s="45">
        <v>22500</v>
      </c>
      <c r="K608" s="88" t="s">
        <v>11651</v>
      </c>
      <c r="L608" s="45"/>
      <c r="M608" s="3"/>
    </row>
    <row r="609" spans="1:13" x14ac:dyDescent="0.2">
      <c r="A609" s="46" t="s">
        <v>3756</v>
      </c>
      <c r="B609" s="46" t="s">
        <v>59</v>
      </c>
      <c r="C609" s="46" t="s">
        <v>14</v>
      </c>
      <c r="D609" s="47">
        <v>4759</v>
      </c>
      <c r="E609" s="46" t="s">
        <v>3757</v>
      </c>
      <c r="F609" s="48">
        <v>39756</v>
      </c>
      <c r="G609" s="46"/>
      <c r="H609" s="46" t="s">
        <v>40</v>
      </c>
      <c r="I609" s="45">
        <v>7500</v>
      </c>
      <c r="J609" s="45">
        <v>7500</v>
      </c>
      <c r="K609" s="88" t="s">
        <v>11651</v>
      </c>
      <c r="L609" s="45"/>
      <c r="M609" s="3"/>
    </row>
    <row r="610" spans="1:13" x14ac:dyDescent="0.2">
      <c r="A610" s="46" t="s">
        <v>3758</v>
      </c>
      <c r="B610" s="46" t="s">
        <v>59</v>
      </c>
      <c r="C610" s="46" t="s">
        <v>14</v>
      </c>
      <c r="D610" s="47">
        <v>4760</v>
      </c>
      <c r="E610" s="46" t="s">
        <v>3759</v>
      </c>
      <c r="F610" s="48">
        <v>39791</v>
      </c>
      <c r="G610" s="46"/>
      <c r="H610" s="46" t="s">
        <v>40</v>
      </c>
      <c r="I610" s="45">
        <v>3750</v>
      </c>
      <c r="J610" s="45">
        <v>3750</v>
      </c>
      <c r="K610" s="88" t="s">
        <v>11651</v>
      </c>
      <c r="L610" s="45"/>
      <c r="M610" s="3"/>
    </row>
    <row r="611" spans="1:13" ht="25.5" x14ac:dyDescent="0.2">
      <c r="A611" s="46" t="s">
        <v>3762</v>
      </c>
      <c r="B611" s="46" t="s">
        <v>59</v>
      </c>
      <c r="C611" s="46" t="s">
        <v>14</v>
      </c>
      <c r="D611" s="47">
        <v>4851</v>
      </c>
      <c r="E611" s="46" t="s">
        <v>3763</v>
      </c>
      <c r="F611" s="48">
        <v>39959</v>
      </c>
      <c r="G611" s="46"/>
      <c r="H611" s="46" t="s">
        <v>40</v>
      </c>
      <c r="I611" s="45">
        <v>3750</v>
      </c>
      <c r="J611" s="45">
        <v>3750</v>
      </c>
      <c r="K611" s="88" t="s">
        <v>11651</v>
      </c>
      <c r="L611" s="45"/>
      <c r="M611" s="3"/>
    </row>
    <row r="612" spans="1:13" ht="25.5" x14ac:dyDescent="0.2">
      <c r="A612" s="46" t="s">
        <v>3768</v>
      </c>
      <c r="B612" s="46" t="s">
        <v>59</v>
      </c>
      <c r="C612" s="46" t="s">
        <v>14</v>
      </c>
      <c r="D612" s="47">
        <v>4863</v>
      </c>
      <c r="E612" s="46" t="s">
        <v>3769</v>
      </c>
      <c r="F612" s="48">
        <v>39987</v>
      </c>
      <c r="G612" s="46"/>
      <c r="H612" s="46" t="s">
        <v>40</v>
      </c>
      <c r="I612" s="45">
        <v>7500</v>
      </c>
      <c r="J612" s="45">
        <v>7500</v>
      </c>
      <c r="K612" s="88" t="s">
        <v>11651</v>
      </c>
      <c r="L612" s="45"/>
      <c r="M612" s="3"/>
    </row>
    <row r="613" spans="1:13" ht="25.5" x14ac:dyDescent="0.2">
      <c r="A613" s="46" t="s">
        <v>3770</v>
      </c>
      <c r="B613" s="46" t="s">
        <v>59</v>
      </c>
      <c r="C613" s="46" t="s">
        <v>14</v>
      </c>
      <c r="D613" s="47">
        <v>4923</v>
      </c>
      <c r="E613" s="46" t="s">
        <v>3771</v>
      </c>
      <c r="F613" s="48">
        <v>39987</v>
      </c>
      <c r="G613" s="46"/>
      <c r="H613" s="46" t="s">
        <v>40</v>
      </c>
      <c r="I613" s="45">
        <v>3750</v>
      </c>
      <c r="J613" s="45">
        <v>7500</v>
      </c>
      <c r="K613" s="88" t="s">
        <v>11651</v>
      </c>
      <c r="L613" s="45"/>
      <c r="M613" s="3"/>
    </row>
    <row r="614" spans="1:13" x14ac:dyDescent="0.2">
      <c r="A614" s="46" t="s">
        <v>3796</v>
      </c>
      <c r="B614" s="46" t="s">
        <v>59</v>
      </c>
      <c r="C614" s="46" t="s">
        <v>14</v>
      </c>
      <c r="D614" s="47">
        <v>7064</v>
      </c>
      <c r="E614" s="46" t="s">
        <v>3797</v>
      </c>
      <c r="F614" s="48">
        <v>40022</v>
      </c>
      <c r="G614" s="46"/>
      <c r="H614" s="46" t="s">
        <v>40</v>
      </c>
      <c r="I614" s="45">
        <v>7500</v>
      </c>
      <c r="J614" s="45">
        <v>7500</v>
      </c>
      <c r="K614" s="88" t="s">
        <v>11651</v>
      </c>
      <c r="L614" s="45"/>
      <c r="M614" s="3"/>
    </row>
    <row r="615" spans="1:13" x14ac:dyDescent="0.2">
      <c r="A615" s="46" t="s">
        <v>3800</v>
      </c>
      <c r="B615" s="46" t="s">
        <v>59</v>
      </c>
      <c r="C615" s="46" t="s">
        <v>14</v>
      </c>
      <c r="D615" s="47">
        <v>7080</v>
      </c>
      <c r="E615" s="46" t="s">
        <v>3801</v>
      </c>
      <c r="F615" s="48">
        <v>40106</v>
      </c>
      <c r="G615" s="46"/>
      <c r="H615" s="46" t="s">
        <v>40</v>
      </c>
      <c r="I615" s="45">
        <v>3750</v>
      </c>
      <c r="J615" s="45">
        <v>3750</v>
      </c>
      <c r="K615" s="88" t="s">
        <v>11651</v>
      </c>
      <c r="L615" s="45"/>
      <c r="M615" s="3"/>
    </row>
    <row r="616" spans="1:13" x14ac:dyDescent="0.2">
      <c r="A616" s="46" t="s">
        <v>3802</v>
      </c>
      <c r="B616" s="46" t="s">
        <v>59</v>
      </c>
      <c r="C616" s="46" t="s">
        <v>14</v>
      </c>
      <c r="D616" s="47">
        <v>7081</v>
      </c>
      <c r="E616" s="46" t="s">
        <v>3803</v>
      </c>
      <c r="F616" s="48">
        <v>40078</v>
      </c>
      <c r="G616" s="46"/>
      <c r="H616" s="46" t="s">
        <v>40</v>
      </c>
      <c r="I616" s="45">
        <v>1875</v>
      </c>
      <c r="J616" s="45">
        <v>1875</v>
      </c>
      <c r="K616" s="88" t="s">
        <v>11651</v>
      </c>
      <c r="L616" s="45"/>
      <c r="M616" s="3"/>
    </row>
    <row r="617" spans="1:13" x14ac:dyDescent="0.2">
      <c r="A617" s="46" t="s">
        <v>3852</v>
      </c>
      <c r="B617" s="46" t="s">
        <v>59</v>
      </c>
      <c r="C617" s="46" t="s">
        <v>14</v>
      </c>
      <c r="D617" s="47">
        <v>7400</v>
      </c>
      <c r="E617" s="46" t="s">
        <v>3853</v>
      </c>
      <c r="F617" s="48">
        <v>40106</v>
      </c>
      <c r="G617" s="46"/>
      <c r="H617" s="46" t="s">
        <v>40</v>
      </c>
      <c r="I617" s="45">
        <v>3750</v>
      </c>
      <c r="J617" s="45">
        <v>3750</v>
      </c>
      <c r="K617" s="88" t="s">
        <v>11651</v>
      </c>
      <c r="L617" s="45"/>
      <c r="M617" s="3"/>
    </row>
    <row r="618" spans="1:13" x14ac:dyDescent="0.25">
      <c r="A618" s="46" t="s">
        <v>4100</v>
      </c>
      <c r="B618" s="46" t="s">
        <v>59</v>
      </c>
      <c r="C618" s="46" t="s">
        <v>14</v>
      </c>
      <c r="D618" s="47">
        <v>2567</v>
      </c>
      <c r="E618" s="46" t="s">
        <v>4101</v>
      </c>
      <c r="F618" s="48">
        <v>39175</v>
      </c>
      <c r="G618" s="48">
        <v>39379</v>
      </c>
      <c r="H618" s="46" t="s">
        <v>40</v>
      </c>
      <c r="I618" s="45">
        <v>5000</v>
      </c>
      <c r="J618" s="45">
        <v>5000</v>
      </c>
      <c r="K618" s="49" t="s">
        <v>4035</v>
      </c>
      <c r="L618" s="45"/>
      <c r="M618" s="3"/>
    </row>
    <row r="619" spans="1:13" x14ac:dyDescent="0.25">
      <c r="A619" s="46" t="s">
        <v>4102</v>
      </c>
      <c r="B619" s="46" t="s">
        <v>59</v>
      </c>
      <c r="C619" s="46" t="s">
        <v>14</v>
      </c>
      <c r="D619" s="47">
        <v>2569</v>
      </c>
      <c r="E619" s="46" t="s">
        <v>4103</v>
      </c>
      <c r="F619" s="48">
        <v>39119</v>
      </c>
      <c r="G619" s="48">
        <v>39400</v>
      </c>
      <c r="H619" s="46" t="s">
        <v>40</v>
      </c>
      <c r="I619" s="45">
        <v>5000</v>
      </c>
      <c r="J619" s="45">
        <v>5000</v>
      </c>
      <c r="K619" s="49" t="s">
        <v>4035</v>
      </c>
      <c r="L619" s="45"/>
      <c r="M619" s="3"/>
    </row>
    <row r="620" spans="1:13" x14ac:dyDescent="0.25">
      <c r="A620" s="46" t="s">
        <v>4104</v>
      </c>
      <c r="B620" s="46" t="s">
        <v>59</v>
      </c>
      <c r="C620" s="46" t="s">
        <v>14</v>
      </c>
      <c r="D620" s="47">
        <v>2570</v>
      </c>
      <c r="E620" s="46" t="s">
        <v>4105</v>
      </c>
      <c r="F620" s="48">
        <v>39175</v>
      </c>
      <c r="G620" s="48">
        <v>39409</v>
      </c>
      <c r="H620" s="46" t="s">
        <v>40</v>
      </c>
      <c r="I620" s="45">
        <v>3000</v>
      </c>
      <c r="J620" s="45">
        <v>3000</v>
      </c>
      <c r="K620" s="49" t="s">
        <v>4035</v>
      </c>
      <c r="L620" s="45"/>
      <c r="M620" s="3"/>
    </row>
    <row r="621" spans="1:13" x14ac:dyDescent="0.25">
      <c r="A621" s="46" t="s">
        <v>4106</v>
      </c>
      <c r="B621" s="46" t="s">
        <v>59</v>
      </c>
      <c r="C621" s="46" t="s">
        <v>14</v>
      </c>
      <c r="D621" s="47">
        <v>2571</v>
      </c>
      <c r="E621" s="46" t="s">
        <v>4107</v>
      </c>
      <c r="F621" s="48">
        <v>39211</v>
      </c>
      <c r="G621" s="48">
        <v>39245</v>
      </c>
      <c r="H621" s="46" t="s">
        <v>40</v>
      </c>
      <c r="I621" s="45">
        <v>10000</v>
      </c>
      <c r="J621" s="45">
        <v>10000</v>
      </c>
      <c r="K621" s="49" t="s">
        <v>4035</v>
      </c>
      <c r="L621" s="45"/>
      <c r="M621" s="3"/>
    </row>
    <row r="622" spans="1:13" x14ac:dyDescent="0.25">
      <c r="A622" s="46" t="s">
        <v>4108</v>
      </c>
      <c r="B622" s="46" t="s">
        <v>59</v>
      </c>
      <c r="C622" s="46" t="s">
        <v>14</v>
      </c>
      <c r="D622" s="47">
        <v>2572</v>
      </c>
      <c r="E622" s="46" t="s">
        <v>4109</v>
      </c>
      <c r="F622" s="48">
        <v>39211</v>
      </c>
      <c r="G622" s="48">
        <v>39420</v>
      </c>
      <c r="H622" s="46" t="s">
        <v>40</v>
      </c>
      <c r="I622" s="45">
        <v>3000</v>
      </c>
      <c r="J622" s="45">
        <v>3000</v>
      </c>
      <c r="K622" s="49" t="s">
        <v>4035</v>
      </c>
      <c r="L622" s="45"/>
      <c r="M622" s="3"/>
    </row>
    <row r="623" spans="1:13" x14ac:dyDescent="0.25">
      <c r="A623" s="46" t="s">
        <v>4110</v>
      </c>
      <c r="B623" s="46" t="s">
        <v>59</v>
      </c>
      <c r="C623" s="46" t="s">
        <v>14</v>
      </c>
      <c r="D623" s="47">
        <v>2605</v>
      </c>
      <c r="E623" s="46" t="s">
        <v>4111</v>
      </c>
      <c r="F623" s="48">
        <v>39211</v>
      </c>
      <c r="G623" s="48">
        <v>39388</v>
      </c>
      <c r="H623" s="46" t="s">
        <v>40</v>
      </c>
      <c r="I623" s="45">
        <v>5000</v>
      </c>
      <c r="J623" s="45">
        <v>5000</v>
      </c>
      <c r="K623" s="49" t="s">
        <v>4035</v>
      </c>
      <c r="L623" s="45"/>
      <c r="M623" s="3"/>
    </row>
    <row r="624" spans="1:13" x14ac:dyDescent="0.25">
      <c r="A624" s="46" t="s">
        <v>4114</v>
      </c>
      <c r="B624" s="46" t="s">
        <v>59</v>
      </c>
      <c r="C624" s="46" t="s">
        <v>14</v>
      </c>
      <c r="D624" s="47">
        <v>2607</v>
      </c>
      <c r="E624" s="46" t="s">
        <v>4115</v>
      </c>
      <c r="F624" s="48">
        <v>39274</v>
      </c>
      <c r="G624" s="48">
        <v>39552</v>
      </c>
      <c r="H624" s="46" t="s">
        <v>40</v>
      </c>
      <c r="I624" s="45">
        <v>5000</v>
      </c>
      <c r="J624" s="45">
        <v>5000</v>
      </c>
      <c r="K624" s="49" t="s">
        <v>4035</v>
      </c>
      <c r="L624" s="45"/>
      <c r="M624" s="3"/>
    </row>
    <row r="625" spans="1:13" x14ac:dyDescent="0.25">
      <c r="A625" s="46" t="s">
        <v>4116</v>
      </c>
      <c r="B625" s="46" t="s">
        <v>59</v>
      </c>
      <c r="C625" s="46" t="s">
        <v>14</v>
      </c>
      <c r="D625" s="47">
        <v>2608</v>
      </c>
      <c r="E625" s="46" t="s">
        <v>4117</v>
      </c>
      <c r="F625" s="48">
        <v>39330</v>
      </c>
      <c r="G625" s="48">
        <v>39549</v>
      </c>
      <c r="H625" s="46" t="s">
        <v>40</v>
      </c>
      <c r="I625" s="45">
        <v>10000</v>
      </c>
      <c r="J625" s="45">
        <v>10000</v>
      </c>
      <c r="K625" s="49" t="s">
        <v>4035</v>
      </c>
      <c r="L625" s="45"/>
      <c r="M625" s="3"/>
    </row>
    <row r="626" spans="1:13" x14ac:dyDescent="0.25">
      <c r="A626" s="46" t="s">
        <v>4118</v>
      </c>
      <c r="B626" s="46" t="s">
        <v>59</v>
      </c>
      <c r="C626" s="46" t="s">
        <v>14</v>
      </c>
      <c r="D626" s="47">
        <v>2610</v>
      </c>
      <c r="E626" s="46" t="s">
        <v>4119</v>
      </c>
      <c r="F626" s="48">
        <v>39274</v>
      </c>
      <c r="G626" s="48">
        <v>39599</v>
      </c>
      <c r="H626" s="46" t="s">
        <v>40</v>
      </c>
      <c r="I626" s="45">
        <v>2500</v>
      </c>
      <c r="J626" s="45">
        <v>2500</v>
      </c>
      <c r="K626" s="49" t="s">
        <v>4035</v>
      </c>
      <c r="L626" s="45"/>
      <c r="M626" s="3"/>
    </row>
    <row r="627" spans="1:13" x14ac:dyDescent="0.25">
      <c r="A627" s="46" t="s">
        <v>4122</v>
      </c>
      <c r="B627" s="46" t="s">
        <v>59</v>
      </c>
      <c r="C627" s="46" t="s">
        <v>14</v>
      </c>
      <c r="D627" s="47">
        <v>2614</v>
      </c>
      <c r="E627" s="46" t="s">
        <v>4123</v>
      </c>
      <c r="F627" s="48">
        <v>39393</v>
      </c>
      <c r="G627" s="48">
        <v>39599</v>
      </c>
      <c r="H627" s="46" t="s">
        <v>40</v>
      </c>
      <c r="I627" s="45">
        <v>4000</v>
      </c>
      <c r="J627" s="45">
        <v>4000</v>
      </c>
      <c r="K627" s="49" t="s">
        <v>4035</v>
      </c>
      <c r="L627" s="45"/>
      <c r="M627" s="3"/>
    </row>
    <row r="628" spans="1:13" x14ac:dyDescent="0.25">
      <c r="A628" s="46" t="s">
        <v>4134</v>
      </c>
      <c r="B628" s="46" t="s">
        <v>59</v>
      </c>
      <c r="C628" s="46" t="s">
        <v>14</v>
      </c>
      <c r="D628" s="47">
        <v>2622</v>
      </c>
      <c r="E628" s="46" t="s">
        <v>4135</v>
      </c>
      <c r="F628" s="48">
        <v>39603</v>
      </c>
      <c r="G628" s="48">
        <v>39885</v>
      </c>
      <c r="H628" s="46" t="s">
        <v>40</v>
      </c>
      <c r="I628" s="45">
        <v>5000</v>
      </c>
      <c r="J628" s="45">
        <v>5000</v>
      </c>
      <c r="K628" s="49" t="s">
        <v>4035</v>
      </c>
      <c r="L628" s="45"/>
      <c r="M628" s="3"/>
    </row>
    <row r="629" spans="1:13" x14ac:dyDescent="0.25">
      <c r="A629" s="46" t="s">
        <v>4136</v>
      </c>
      <c r="B629" s="46" t="s">
        <v>59</v>
      </c>
      <c r="C629" s="46" t="s">
        <v>14</v>
      </c>
      <c r="D629" s="47">
        <v>2623</v>
      </c>
      <c r="E629" s="46" t="s">
        <v>4137</v>
      </c>
      <c r="F629" s="48">
        <v>39603</v>
      </c>
      <c r="G629" s="48">
        <v>39842</v>
      </c>
      <c r="H629" s="46" t="s">
        <v>40</v>
      </c>
      <c r="I629" s="45">
        <v>5000</v>
      </c>
      <c r="J629" s="45">
        <v>5000</v>
      </c>
      <c r="K629" s="49" t="s">
        <v>4035</v>
      </c>
      <c r="L629" s="45"/>
      <c r="M629" s="3"/>
    </row>
    <row r="630" spans="1:13" x14ac:dyDescent="0.25">
      <c r="A630" s="46" t="s">
        <v>4140</v>
      </c>
      <c r="B630" s="46" t="s">
        <v>59</v>
      </c>
      <c r="C630" s="46" t="s">
        <v>14</v>
      </c>
      <c r="D630" s="47">
        <v>2625</v>
      </c>
      <c r="E630" s="46" t="s">
        <v>4141</v>
      </c>
      <c r="F630" s="48">
        <v>39757</v>
      </c>
      <c r="G630" s="48">
        <v>39973</v>
      </c>
      <c r="H630" s="46" t="s">
        <v>40</v>
      </c>
      <c r="I630" s="45">
        <v>7500</v>
      </c>
      <c r="J630" s="45">
        <v>7500</v>
      </c>
      <c r="K630" s="49" t="s">
        <v>4035</v>
      </c>
      <c r="L630" s="45"/>
      <c r="M630" s="3"/>
    </row>
    <row r="631" spans="1:13" x14ac:dyDescent="0.25">
      <c r="A631" s="46" t="s">
        <v>4144</v>
      </c>
      <c r="B631" s="46" t="s">
        <v>59</v>
      </c>
      <c r="C631" s="46" t="s">
        <v>14</v>
      </c>
      <c r="D631" s="47">
        <v>2627</v>
      </c>
      <c r="E631" s="46" t="s">
        <v>4145</v>
      </c>
      <c r="F631" s="48">
        <v>39792</v>
      </c>
      <c r="G631" s="48">
        <v>39993</v>
      </c>
      <c r="H631" s="46" t="s">
        <v>40</v>
      </c>
      <c r="I631" s="45">
        <v>12000</v>
      </c>
      <c r="J631" s="45">
        <v>12000</v>
      </c>
      <c r="K631" s="49" t="s">
        <v>4035</v>
      </c>
      <c r="L631" s="45"/>
      <c r="M631" s="3"/>
    </row>
    <row r="632" spans="1:13" x14ac:dyDescent="0.25">
      <c r="A632" s="46" t="s">
        <v>4150</v>
      </c>
      <c r="B632" s="46" t="s">
        <v>59</v>
      </c>
      <c r="C632" s="46" t="s">
        <v>14</v>
      </c>
      <c r="D632" s="47">
        <v>4683</v>
      </c>
      <c r="E632" s="46" t="s">
        <v>4151</v>
      </c>
      <c r="F632" s="48">
        <v>39904</v>
      </c>
      <c r="G632" s="46"/>
      <c r="H632" s="46" t="s">
        <v>40</v>
      </c>
      <c r="I632" s="45">
        <v>22500</v>
      </c>
      <c r="J632" s="45">
        <v>22500</v>
      </c>
      <c r="K632" s="49" t="s">
        <v>4035</v>
      </c>
      <c r="L632" s="45"/>
      <c r="M632" s="3"/>
    </row>
    <row r="633" spans="1:13" x14ac:dyDescent="0.25">
      <c r="A633" s="46" t="s">
        <v>4152</v>
      </c>
      <c r="B633" s="46" t="s">
        <v>59</v>
      </c>
      <c r="C633" s="46" t="s">
        <v>14</v>
      </c>
      <c r="D633" s="47">
        <v>4684</v>
      </c>
      <c r="E633" s="46" t="s">
        <v>4153</v>
      </c>
      <c r="F633" s="48">
        <v>39876</v>
      </c>
      <c r="G633" s="48">
        <v>40164</v>
      </c>
      <c r="H633" s="46" t="s">
        <v>40</v>
      </c>
      <c r="I633" s="45">
        <v>12000</v>
      </c>
      <c r="J633" s="45">
        <v>12000</v>
      </c>
      <c r="K633" s="49" t="s">
        <v>4035</v>
      </c>
      <c r="L633" s="45"/>
      <c r="M633" s="3"/>
    </row>
    <row r="634" spans="1:13" x14ac:dyDescent="0.25">
      <c r="A634" s="46" t="s">
        <v>4154</v>
      </c>
      <c r="B634" s="46" t="s">
        <v>59</v>
      </c>
      <c r="C634" s="46" t="s">
        <v>14</v>
      </c>
      <c r="D634" s="47">
        <v>4685</v>
      </c>
      <c r="E634" s="46" t="s">
        <v>4155</v>
      </c>
      <c r="F634" s="48">
        <v>39876</v>
      </c>
      <c r="G634" s="48">
        <v>40154</v>
      </c>
      <c r="H634" s="46" t="s">
        <v>40</v>
      </c>
      <c r="I634" s="45">
        <v>7000</v>
      </c>
      <c r="J634" s="45">
        <v>7000</v>
      </c>
      <c r="K634" s="49" t="s">
        <v>4035</v>
      </c>
      <c r="L634" s="45"/>
      <c r="M634" s="3"/>
    </row>
    <row r="635" spans="1:13" x14ac:dyDescent="0.25">
      <c r="A635" s="46" t="s">
        <v>4157</v>
      </c>
      <c r="B635" s="46" t="s">
        <v>59</v>
      </c>
      <c r="C635" s="46" t="s">
        <v>14</v>
      </c>
      <c r="D635" s="47">
        <v>4687</v>
      </c>
      <c r="E635" s="46" t="s">
        <v>4158</v>
      </c>
      <c r="F635" s="48">
        <v>39995</v>
      </c>
      <c r="G635" s="46"/>
      <c r="H635" s="46" t="s">
        <v>40</v>
      </c>
      <c r="I635" s="45">
        <v>3750</v>
      </c>
      <c r="J635" s="45">
        <v>3750</v>
      </c>
      <c r="K635" s="49" t="s">
        <v>4035</v>
      </c>
      <c r="L635" s="45"/>
      <c r="M635" s="3"/>
    </row>
    <row r="636" spans="1:13" ht="38.25" x14ac:dyDescent="0.25">
      <c r="A636" s="46" t="s">
        <v>4161</v>
      </c>
      <c r="B636" s="46" t="s">
        <v>59</v>
      </c>
      <c r="C636" s="46" t="s">
        <v>14</v>
      </c>
      <c r="D636" s="47">
        <v>4690</v>
      </c>
      <c r="E636" s="50" t="s">
        <v>4162</v>
      </c>
      <c r="F636" s="48">
        <v>39995</v>
      </c>
      <c r="G636" s="46"/>
      <c r="H636" s="46" t="s">
        <v>40</v>
      </c>
      <c r="I636" s="45">
        <v>19000</v>
      </c>
      <c r="J636" s="45">
        <v>19000</v>
      </c>
      <c r="K636" s="49" t="s">
        <v>4035</v>
      </c>
      <c r="L636" s="45"/>
      <c r="M636" s="3"/>
    </row>
    <row r="637" spans="1:13" x14ac:dyDescent="0.25">
      <c r="A637" s="46" t="s">
        <v>4163</v>
      </c>
      <c r="B637" s="46" t="s">
        <v>59</v>
      </c>
      <c r="C637" s="46" t="s">
        <v>14</v>
      </c>
      <c r="D637" s="47">
        <v>4691</v>
      </c>
      <c r="E637" s="46" t="s">
        <v>4164</v>
      </c>
      <c r="F637" s="48">
        <v>40058</v>
      </c>
      <c r="G637" s="46"/>
      <c r="H637" s="46" t="s">
        <v>40</v>
      </c>
      <c r="I637" s="45">
        <v>15000</v>
      </c>
      <c r="J637" s="45">
        <v>15000</v>
      </c>
      <c r="K637" s="49" t="s">
        <v>4035</v>
      </c>
      <c r="L637" s="45"/>
      <c r="M637" s="3"/>
    </row>
    <row r="638" spans="1:13" ht="51" x14ac:dyDescent="0.25">
      <c r="A638" s="46" t="s">
        <v>4165</v>
      </c>
      <c r="B638" s="46" t="s">
        <v>59</v>
      </c>
      <c r="C638" s="46" t="s">
        <v>14</v>
      </c>
      <c r="D638" s="47">
        <v>4693</v>
      </c>
      <c r="E638" s="50" t="s">
        <v>4166</v>
      </c>
      <c r="F638" s="48">
        <v>40058</v>
      </c>
      <c r="G638" s="46"/>
      <c r="H638" s="46" t="s">
        <v>40</v>
      </c>
      <c r="I638" s="45">
        <v>5000</v>
      </c>
      <c r="J638" s="45">
        <v>5000</v>
      </c>
      <c r="K638" s="49" t="s">
        <v>4035</v>
      </c>
      <c r="L638" s="45"/>
      <c r="M638" s="3"/>
    </row>
    <row r="639" spans="1:13" x14ac:dyDescent="0.25">
      <c r="A639" s="46" t="s">
        <v>4369</v>
      </c>
      <c r="B639" s="46" t="s">
        <v>59</v>
      </c>
      <c r="C639" s="46" t="s">
        <v>14</v>
      </c>
      <c r="D639" s="47">
        <v>2121</v>
      </c>
      <c r="E639" s="46" t="s">
        <v>4370</v>
      </c>
      <c r="F639" s="48">
        <v>39146</v>
      </c>
      <c r="G639" s="48">
        <v>39434</v>
      </c>
      <c r="H639" s="46" t="s">
        <v>40</v>
      </c>
      <c r="I639" s="45">
        <v>1250</v>
      </c>
      <c r="J639" s="45">
        <v>1250</v>
      </c>
      <c r="K639" s="49" t="s">
        <v>4318</v>
      </c>
      <c r="L639" s="45"/>
      <c r="M639" s="3"/>
    </row>
    <row r="640" spans="1:13" x14ac:dyDescent="0.25">
      <c r="A640" s="46" t="s">
        <v>4373</v>
      </c>
      <c r="B640" s="46" t="s">
        <v>59</v>
      </c>
      <c r="C640" s="46" t="s">
        <v>14</v>
      </c>
      <c r="D640" s="47">
        <v>2123</v>
      </c>
      <c r="E640" s="46" t="s">
        <v>4374</v>
      </c>
      <c r="F640" s="48">
        <v>39146</v>
      </c>
      <c r="G640" s="48">
        <v>39458</v>
      </c>
      <c r="H640" s="46" t="s">
        <v>40</v>
      </c>
      <c r="I640" s="45">
        <v>3000</v>
      </c>
      <c r="J640" s="45">
        <v>3000</v>
      </c>
      <c r="K640" s="49" t="s">
        <v>4318</v>
      </c>
      <c r="L640" s="45"/>
      <c r="M640" s="3"/>
    </row>
    <row r="641" spans="1:13" x14ac:dyDescent="0.25">
      <c r="A641" s="46" t="s">
        <v>4379</v>
      </c>
      <c r="B641" s="46" t="s">
        <v>59</v>
      </c>
      <c r="C641" s="46" t="s">
        <v>14</v>
      </c>
      <c r="D641" s="47">
        <v>2132</v>
      </c>
      <c r="E641" s="46" t="s">
        <v>4380</v>
      </c>
      <c r="F641" s="48">
        <v>39146</v>
      </c>
      <c r="G641" s="48">
        <v>39829</v>
      </c>
      <c r="H641" s="46" t="s">
        <v>40</v>
      </c>
      <c r="I641" s="45">
        <v>15000</v>
      </c>
      <c r="J641" s="45">
        <v>15000</v>
      </c>
      <c r="K641" s="49" t="s">
        <v>4318</v>
      </c>
      <c r="L641" s="45"/>
      <c r="M641" s="3"/>
    </row>
    <row r="642" spans="1:13" x14ac:dyDescent="0.25">
      <c r="A642" s="46" t="s">
        <v>4381</v>
      </c>
      <c r="B642" s="46" t="s">
        <v>59</v>
      </c>
      <c r="C642" s="46" t="s">
        <v>14</v>
      </c>
      <c r="D642" s="47">
        <v>2133</v>
      </c>
      <c r="E642" s="46" t="s">
        <v>4382</v>
      </c>
      <c r="F642" s="48">
        <v>39146</v>
      </c>
      <c r="G642" s="48">
        <v>39358</v>
      </c>
      <c r="H642" s="46" t="s">
        <v>40</v>
      </c>
      <c r="I642" s="45">
        <v>7500</v>
      </c>
      <c r="J642" s="45">
        <v>7500</v>
      </c>
      <c r="K642" s="49" t="s">
        <v>4318</v>
      </c>
      <c r="L642" s="45"/>
      <c r="M642" s="3"/>
    </row>
    <row r="643" spans="1:13" x14ac:dyDescent="0.25">
      <c r="A643" s="46" t="s">
        <v>4385</v>
      </c>
      <c r="B643" s="46" t="s">
        <v>59</v>
      </c>
      <c r="C643" s="46" t="s">
        <v>14</v>
      </c>
      <c r="D643" s="47">
        <v>2136</v>
      </c>
      <c r="E643" s="46" t="s">
        <v>4386</v>
      </c>
      <c r="F643" s="48">
        <v>39202</v>
      </c>
      <c r="G643" s="48">
        <v>39475</v>
      </c>
      <c r="H643" s="46" t="s">
        <v>40</v>
      </c>
      <c r="I643" s="45">
        <v>22500</v>
      </c>
      <c r="J643" s="45">
        <v>22500</v>
      </c>
      <c r="K643" s="49" t="s">
        <v>4318</v>
      </c>
      <c r="L643" s="45"/>
      <c r="M643" s="3"/>
    </row>
    <row r="644" spans="1:13" x14ac:dyDescent="0.25">
      <c r="A644" s="46" t="s">
        <v>4389</v>
      </c>
      <c r="B644" s="46" t="s">
        <v>59</v>
      </c>
      <c r="C644" s="46" t="s">
        <v>14</v>
      </c>
      <c r="D644" s="47">
        <v>2139</v>
      </c>
      <c r="E644" s="46" t="s">
        <v>4390</v>
      </c>
      <c r="F644" s="48">
        <v>39202</v>
      </c>
      <c r="G644" s="48">
        <v>39568</v>
      </c>
      <c r="H644" s="46" t="s">
        <v>40</v>
      </c>
      <c r="I644" s="45">
        <v>4994</v>
      </c>
      <c r="J644" s="45">
        <v>4994</v>
      </c>
      <c r="K644" s="49" t="s">
        <v>4318</v>
      </c>
      <c r="L644" s="45"/>
      <c r="M644" s="3"/>
    </row>
    <row r="645" spans="1:13" x14ac:dyDescent="0.25">
      <c r="A645" s="46" t="s">
        <v>4391</v>
      </c>
      <c r="B645" s="46" t="s">
        <v>59</v>
      </c>
      <c r="C645" s="46" t="s">
        <v>14</v>
      </c>
      <c r="D645" s="47">
        <v>2142</v>
      </c>
      <c r="E645" s="46" t="s">
        <v>4392</v>
      </c>
      <c r="F645" s="48">
        <v>39202</v>
      </c>
      <c r="G645" s="48">
        <v>39415</v>
      </c>
      <c r="H645" s="46" t="s">
        <v>40</v>
      </c>
      <c r="I645" s="45">
        <v>7500</v>
      </c>
      <c r="J645" s="45">
        <v>7500</v>
      </c>
      <c r="K645" s="49" t="s">
        <v>4318</v>
      </c>
      <c r="L645" s="45"/>
      <c r="M645" s="3"/>
    </row>
    <row r="646" spans="1:13" x14ac:dyDescent="0.25">
      <c r="A646" s="46" t="s">
        <v>4393</v>
      </c>
      <c r="B646" s="46" t="s">
        <v>59</v>
      </c>
      <c r="C646" s="46" t="s">
        <v>14</v>
      </c>
      <c r="D646" s="47">
        <v>2144</v>
      </c>
      <c r="E646" s="46" t="s">
        <v>4394</v>
      </c>
      <c r="F646" s="48">
        <v>39202</v>
      </c>
      <c r="G646" s="48">
        <v>39563</v>
      </c>
      <c r="H646" s="46" t="s">
        <v>40</v>
      </c>
      <c r="I646" s="45">
        <v>7500</v>
      </c>
      <c r="J646" s="45">
        <v>7500</v>
      </c>
      <c r="K646" s="49" t="s">
        <v>4318</v>
      </c>
      <c r="L646" s="45"/>
      <c r="M646" s="3"/>
    </row>
    <row r="647" spans="1:13" x14ac:dyDescent="0.25">
      <c r="A647" s="46" t="s">
        <v>4395</v>
      </c>
      <c r="B647" s="46" t="s">
        <v>59</v>
      </c>
      <c r="C647" s="46" t="s">
        <v>14</v>
      </c>
      <c r="D647" s="47">
        <v>2145</v>
      </c>
      <c r="E647" s="46" t="s">
        <v>4396</v>
      </c>
      <c r="F647" s="48">
        <v>39258</v>
      </c>
      <c r="G647" s="48">
        <v>39554</v>
      </c>
      <c r="H647" s="46" t="s">
        <v>40</v>
      </c>
      <c r="I647" s="45">
        <v>22500</v>
      </c>
      <c r="J647" s="45">
        <v>22500</v>
      </c>
      <c r="K647" s="49" t="s">
        <v>4318</v>
      </c>
      <c r="L647" s="45"/>
      <c r="M647" s="3"/>
    </row>
    <row r="648" spans="1:13" x14ac:dyDescent="0.25">
      <c r="A648" s="46" t="s">
        <v>4411</v>
      </c>
      <c r="B648" s="46" t="s">
        <v>59</v>
      </c>
      <c r="C648" s="46" t="s">
        <v>14</v>
      </c>
      <c r="D648" s="47">
        <v>2157</v>
      </c>
      <c r="E648" s="46" t="s">
        <v>4412</v>
      </c>
      <c r="F648" s="48">
        <v>39475</v>
      </c>
      <c r="G648" s="48">
        <v>39805</v>
      </c>
      <c r="H648" s="46" t="s">
        <v>40</v>
      </c>
      <c r="I648" s="45">
        <v>15000</v>
      </c>
      <c r="J648" s="45">
        <v>15000</v>
      </c>
      <c r="K648" s="49" t="s">
        <v>4318</v>
      </c>
      <c r="L648" s="45"/>
      <c r="M648" s="3"/>
    </row>
    <row r="649" spans="1:13" ht="25.5" x14ac:dyDescent="0.25">
      <c r="A649" s="46" t="s">
        <v>4421</v>
      </c>
      <c r="B649" s="46" t="s">
        <v>59</v>
      </c>
      <c r="C649" s="46" t="s">
        <v>14</v>
      </c>
      <c r="D649" s="47">
        <v>2200</v>
      </c>
      <c r="E649" s="46" t="s">
        <v>4422</v>
      </c>
      <c r="F649" s="48">
        <v>39475</v>
      </c>
      <c r="G649" s="48">
        <v>39731</v>
      </c>
      <c r="H649" s="46" t="s">
        <v>40</v>
      </c>
      <c r="I649" s="45">
        <v>3750</v>
      </c>
      <c r="J649" s="45">
        <v>3750</v>
      </c>
      <c r="K649" s="49" t="s">
        <v>4318</v>
      </c>
      <c r="L649" s="45"/>
      <c r="M649" s="3"/>
    </row>
    <row r="650" spans="1:13" x14ac:dyDescent="0.25">
      <c r="A650" s="46" t="s">
        <v>4423</v>
      </c>
      <c r="B650" s="46" t="s">
        <v>59</v>
      </c>
      <c r="C650" s="46" t="s">
        <v>14</v>
      </c>
      <c r="D650" s="47">
        <v>2202</v>
      </c>
      <c r="E650" s="46" t="s">
        <v>4424</v>
      </c>
      <c r="F650" s="48">
        <v>39538</v>
      </c>
      <c r="G650" s="48">
        <v>39792</v>
      </c>
      <c r="H650" s="46" t="s">
        <v>40</v>
      </c>
      <c r="I650" s="45">
        <v>6770</v>
      </c>
      <c r="J650" s="45">
        <v>6770</v>
      </c>
      <c r="K650" s="49" t="s">
        <v>4318</v>
      </c>
      <c r="L650" s="45"/>
      <c r="M650" s="3"/>
    </row>
    <row r="651" spans="1:13" x14ac:dyDescent="0.25">
      <c r="A651" s="46" t="s">
        <v>4429</v>
      </c>
      <c r="B651" s="46" t="s">
        <v>59</v>
      </c>
      <c r="C651" s="46" t="s">
        <v>14</v>
      </c>
      <c r="D651" s="47">
        <v>2205</v>
      </c>
      <c r="E651" s="46" t="s">
        <v>4430</v>
      </c>
      <c r="F651" s="48">
        <v>39538</v>
      </c>
      <c r="G651" s="48">
        <v>40123</v>
      </c>
      <c r="H651" s="46" t="s">
        <v>40</v>
      </c>
      <c r="I651" s="45">
        <v>5000</v>
      </c>
      <c r="J651" s="45">
        <v>5000</v>
      </c>
      <c r="K651" s="49" t="s">
        <v>4318</v>
      </c>
      <c r="L651" s="45"/>
      <c r="M651" s="3"/>
    </row>
    <row r="652" spans="1:13" x14ac:dyDescent="0.25">
      <c r="A652" s="46" t="s">
        <v>4471</v>
      </c>
      <c r="B652" s="46" t="s">
        <v>59</v>
      </c>
      <c r="C652" s="46" t="s">
        <v>14</v>
      </c>
      <c r="D652" s="47">
        <v>4916</v>
      </c>
      <c r="E652" s="46" t="s">
        <v>4472</v>
      </c>
      <c r="F652" s="48">
        <v>39815</v>
      </c>
      <c r="G652" s="48">
        <v>39878</v>
      </c>
      <c r="H652" s="46" t="s">
        <v>40</v>
      </c>
      <c r="I652" s="45">
        <v>7500</v>
      </c>
      <c r="J652" s="45">
        <v>7500</v>
      </c>
      <c r="K652" s="49" t="s">
        <v>4318</v>
      </c>
      <c r="L652" s="45"/>
      <c r="M652" s="3"/>
    </row>
    <row r="653" spans="1:13" x14ac:dyDescent="0.25">
      <c r="A653" s="46" t="s">
        <v>4481</v>
      </c>
      <c r="B653" s="46" t="s">
        <v>59</v>
      </c>
      <c r="C653" s="46" t="s">
        <v>14</v>
      </c>
      <c r="D653" s="47">
        <v>4925</v>
      </c>
      <c r="E653" s="46" t="s">
        <v>4482</v>
      </c>
      <c r="F653" s="48">
        <v>39853</v>
      </c>
      <c r="G653" s="48">
        <v>40113</v>
      </c>
      <c r="H653" s="46" t="s">
        <v>40</v>
      </c>
      <c r="I653" s="45">
        <v>2500</v>
      </c>
      <c r="J653" s="45">
        <v>2500</v>
      </c>
      <c r="K653" s="49" t="s">
        <v>4318</v>
      </c>
      <c r="L653" s="45"/>
      <c r="M653" s="3"/>
    </row>
    <row r="654" spans="1:13" x14ac:dyDescent="0.25">
      <c r="A654" s="46" t="s">
        <v>4483</v>
      </c>
      <c r="B654" s="46" t="s">
        <v>59</v>
      </c>
      <c r="C654" s="46" t="s">
        <v>14</v>
      </c>
      <c r="D654" s="47">
        <v>4927</v>
      </c>
      <c r="E654" s="46" t="s">
        <v>4484</v>
      </c>
      <c r="F654" s="48">
        <v>39853</v>
      </c>
      <c r="G654" s="48">
        <v>40171</v>
      </c>
      <c r="H654" s="46" t="s">
        <v>40</v>
      </c>
      <c r="I654" s="45">
        <v>50000</v>
      </c>
      <c r="J654" s="45">
        <v>50000</v>
      </c>
      <c r="K654" s="49" t="s">
        <v>4318</v>
      </c>
      <c r="L654" s="45"/>
      <c r="M654" s="3"/>
    </row>
    <row r="655" spans="1:13" x14ac:dyDescent="0.25">
      <c r="A655" s="46" t="s">
        <v>4491</v>
      </c>
      <c r="B655" s="46" t="s">
        <v>59</v>
      </c>
      <c r="C655" s="46" t="s">
        <v>14</v>
      </c>
      <c r="D655" s="47">
        <v>4980</v>
      </c>
      <c r="E655" s="46" t="s">
        <v>4492</v>
      </c>
      <c r="F655" s="48">
        <v>39853</v>
      </c>
      <c r="G655" s="48">
        <v>40095</v>
      </c>
      <c r="H655" s="46" t="s">
        <v>40</v>
      </c>
      <c r="I655" s="45">
        <v>7500</v>
      </c>
      <c r="J655" s="45">
        <v>7500</v>
      </c>
      <c r="K655" s="49" t="s">
        <v>4318</v>
      </c>
      <c r="L655" s="45"/>
      <c r="M655" s="3"/>
    </row>
    <row r="656" spans="1:13" x14ac:dyDescent="0.25">
      <c r="A656" s="46" t="s">
        <v>4493</v>
      </c>
      <c r="B656" s="46" t="s">
        <v>59</v>
      </c>
      <c r="C656" s="46" t="s">
        <v>14</v>
      </c>
      <c r="D656" s="47">
        <v>4991</v>
      </c>
      <c r="E656" s="46" t="s">
        <v>4494</v>
      </c>
      <c r="F656" s="48">
        <v>39919</v>
      </c>
      <c r="G656" s="48">
        <v>40200</v>
      </c>
      <c r="H656" s="46" t="s">
        <v>40</v>
      </c>
      <c r="I656" s="45">
        <v>7500</v>
      </c>
      <c r="J656" s="45">
        <v>7500</v>
      </c>
      <c r="K656" s="49" t="s">
        <v>4318</v>
      </c>
      <c r="L656" s="45"/>
      <c r="M656" s="3"/>
    </row>
    <row r="657" spans="1:13" x14ac:dyDescent="0.25">
      <c r="A657" s="46" t="s">
        <v>4497</v>
      </c>
      <c r="B657" s="46" t="s">
        <v>59</v>
      </c>
      <c r="C657" s="46" t="s">
        <v>14</v>
      </c>
      <c r="D657" s="47">
        <v>4998</v>
      </c>
      <c r="E657" s="46" t="s">
        <v>4498</v>
      </c>
      <c r="F657" s="48">
        <v>39919</v>
      </c>
      <c r="G657" s="48">
        <v>40210</v>
      </c>
      <c r="H657" s="46" t="s">
        <v>40</v>
      </c>
      <c r="I657" s="45">
        <v>7500</v>
      </c>
      <c r="J657" s="45">
        <v>7500</v>
      </c>
      <c r="K657" s="49" t="s">
        <v>4318</v>
      </c>
      <c r="L657" s="45"/>
      <c r="M657" s="3"/>
    </row>
    <row r="658" spans="1:13" x14ac:dyDescent="0.25">
      <c r="A658" s="46" t="s">
        <v>4499</v>
      </c>
      <c r="B658" s="46" t="s">
        <v>59</v>
      </c>
      <c r="C658" s="46" t="s">
        <v>14</v>
      </c>
      <c r="D658" s="47">
        <v>4999</v>
      </c>
      <c r="E658" s="46" t="s">
        <v>4500</v>
      </c>
      <c r="F658" s="48">
        <v>39919</v>
      </c>
      <c r="G658" s="48">
        <v>40141</v>
      </c>
      <c r="H658" s="46" t="s">
        <v>40</v>
      </c>
      <c r="I658" s="45">
        <v>5000</v>
      </c>
      <c r="J658" s="45">
        <v>5000</v>
      </c>
      <c r="K658" s="49" t="s">
        <v>4318</v>
      </c>
      <c r="L658" s="45"/>
      <c r="M658" s="3"/>
    </row>
    <row r="659" spans="1:13" x14ac:dyDescent="0.25">
      <c r="A659" s="46" t="s">
        <v>4501</v>
      </c>
      <c r="B659" s="46" t="s">
        <v>59</v>
      </c>
      <c r="C659" s="46" t="s">
        <v>14</v>
      </c>
      <c r="D659" s="47">
        <v>5000</v>
      </c>
      <c r="E659" s="46" t="s">
        <v>4502</v>
      </c>
      <c r="F659" s="48">
        <v>40091</v>
      </c>
      <c r="G659" s="48">
        <v>40323</v>
      </c>
      <c r="H659" s="46" t="s">
        <v>40</v>
      </c>
      <c r="I659" s="45">
        <v>5000</v>
      </c>
      <c r="J659" s="45">
        <v>5000</v>
      </c>
      <c r="K659" s="49" t="s">
        <v>4318</v>
      </c>
      <c r="L659" s="45"/>
      <c r="M659" s="3"/>
    </row>
    <row r="660" spans="1:13" x14ac:dyDescent="0.25">
      <c r="A660" s="46" t="s">
        <v>4828</v>
      </c>
      <c r="B660" s="46" t="s">
        <v>59</v>
      </c>
      <c r="C660" s="46" t="s">
        <v>14</v>
      </c>
      <c r="D660" s="47">
        <v>2900</v>
      </c>
      <c r="E660" s="46" t="s">
        <v>4829</v>
      </c>
      <c r="F660" s="48">
        <v>39213</v>
      </c>
      <c r="G660" s="46"/>
      <c r="H660" s="46" t="s">
        <v>40</v>
      </c>
      <c r="I660" s="45">
        <v>11250</v>
      </c>
      <c r="J660" s="45">
        <v>11250</v>
      </c>
      <c r="K660" s="49" t="s">
        <v>4667</v>
      </c>
      <c r="L660" s="45"/>
      <c r="M660" s="3"/>
    </row>
    <row r="661" spans="1:13" x14ac:dyDescent="0.25">
      <c r="A661" s="46" t="s">
        <v>4834</v>
      </c>
      <c r="B661" s="46" t="s">
        <v>59</v>
      </c>
      <c r="C661" s="46" t="s">
        <v>14</v>
      </c>
      <c r="D661" s="47">
        <v>2904</v>
      </c>
      <c r="E661" s="46" t="s">
        <v>4835</v>
      </c>
      <c r="F661" s="48">
        <v>39213</v>
      </c>
      <c r="G661" s="46"/>
      <c r="H661" s="46" t="s">
        <v>40</v>
      </c>
      <c r="I661" s="45">
        <v>3000</v>
      </c>
      <c r="J661" s="45">
        <v>3000</v>
      </c>
      <c r="K661" s="49" t="s">
        <v>4667</v>
      </c>
      <c r="L661" s="45"/>
      <c r="M661" s="3"/>
    </row>
    <row r="662" spans="1:13" x14ac:dyDescent="0.25">
      <c r="A662" s="46" t="s">
        <v>4842</v>
      </c>
      <c r="B662" s="46" t="s">
        <v>59</v>
      </c>
      <c r="C662" s="46" t="s">
        <v>14</v>
      </c>
      <c r="D662" s="47">
        <v>2911</v>
      </c>
      <c r="E662" s="46" t="s">
        <v>4843</v>
      </c>
      <c r="F662" s="48">
        <v>39213</v>
      </c>
      <c r="G662" s="46"/>
      <c r="H662" s="46" t="s">
        <v>40</v>
      </c>
      <c r="I662" s="45">
        <v>7500</v>
      </c>
      <c r="J662" s="45">
        <v>7500</v>
      </c>
      <c r="K662" s="49" t="s">
        <v>4667</v>
      </c>
      <c r="L662" s="45"/>
      <c r="M662" s="3"/>
    </row>
    <row r="663" spans="1:13" x14ac:dyDescent="0.25">
      <c r="A663" s="46" t="s">
        <v>4846</v>
      </c>
      <c r="B663" s="46" t="s">
        <v>59</v>
      </c>
      <c r="C663" s="46" t="s">
        <v>14</v>
      </c>
      <c r="D663" s="47">
        <v>2914</v>
      </c>
      <c r="E663" s="46" t="s">
        <v>4847</v>
      </c>
      <c r="F663" s="48">
        <v>39269</v>
      </c>
      <c r="G663" s="46"/>
      <c r="H663" s="46" t="s">
        <v>40</v>
      </c>
      <c r="I663" s="45">
        <v>11250</v>
      </c>
      <c r="J663" s="45">
        <v>11250</v>
      </c>
      <c r="K663" s="49" t="s">
        <v>4667</v>
      </c>
      <c r="L663" s="45"/>
      <c r="M663" s="3"/>
    </row>
    <row r="664" spans="1:13" x14ac:dyDescent="0.25">
      <c r="A664" s="46" t="s">
        <v>4848</v>
      </c>
      <c r="B664" s="46" t="s">
        <v>59</v>
      </c>
      <c r="C664" s="46" t="s">
        <v>14</v>
      </c>
      <c r="D664" s="47">
        <v>2915</v>
      </c>
      <c r="E664" s="46" t="s">
        <v>4849</v>
      </c>
      <c r="F664" s="48">
        <v>39136</v>
      </c>
      <c r="G664" s="46"/>
      <c r="H664" s="46" t="s">
        <v>40</v>
      </c>
      <c r="I664" s="45">
        <v>3750</v>
      </c>
      <c r="J664" s="45">
        <v>3750</v>
      </c>
      <c r="K664" s="49" t="s">
        <v>4667</v>
      </c>
      <c r="L664" s="45"/>
      <c r="M664" s="3"/>
    </row>
    <row r="665" spans="1:13" x14ac:dyDescent="0.25">
      <c r="A665" s="46" t="s">
        <v>4863</v>
      </c>
      <c r="B665" s="46" t="s">
        <v>59</v>
      </c>
      <c r="C665" s="46" t="s">
        <v>14</v>
      </c>
      <c r="D665" s="47">
        <v>2926</v>
      </c>
      <c r="E665" s="46" t="s">
        <v>4864</v>
      </c>
      <c r="F665" s="48">
        <v>39703</v>
      </c>
      <c r="G665" s="46"/>
      <c r="H665" s="46" t="s">
        <v>40</v>
      </c>
      <c r="I665" s="45">
        <v>7500</v>
      </c>
      <c r="J665" s="45">
        <v>7500</v>
      </c>
      <c r="K665" s="49" t="s">
        <v>4667</v>
      </c>
      <c r="L665" s="45"/>
      <c r="M665" s="3"/>
    </row>
    <row r="666" spans="1:13" x14ac:dyDescent="0.25">
      <c r="A666" s="46" t="s">
        <v>4865</v>
      </c>
      <c r="B666" s="46" t="s">
        <v>59</v>
      </c>
      <c r="C666" s="46" t="s">
        <v>14</v>
      </c>
      <c r="D666" s="47">
        <v>2927</v>
      </c>
      <c r="E666" s="46" t="s">
        <v>4866</v>
      </c>
      <c r="F666" s="48">
        <v>39703</v>
      </c>
      <c r="G666" s="46"/>
      <c r="H666" s="46" t="s">
        <v>40</v>
      </c>
      <c r="I666" s="45">
        <v>7500</v>
      </c>
      <c r="J666" s="45">
        <v>7500</v>
      </c>
      <c r="K666" s="49" t="s">
        <v>4667</v>
      </c>
      <c r="L666" s="45"/>
      <c r="M666" s="3"/>
    </row>
    <row r="667" spans="1:13" x14ac:dyDescent="0.25">
      <c r="A667" s="46" t="s">
        <v>4882</v>
      </c>
      <c r="B667" s="46" t="s">
        <v>59</v>
      </c>
      <c r="C667" s="46" t="s">
        <v>14</v>
      </c>
      <c r="D667" s="47">
        <v>5820</v>
      </c>
      <c r="E667" s="46" t="s">
        <v>4883</v>
      </c>
      <c r="F667" s="48">
        <v>39820</v>
      </c>
      <c r="G667" s="46"/>
      <c r="H667" s="46" t="s">
        <v>40</v>
      </c>
      <c r="I667" s="45">
        <v>11250</v>
      </c>
      <c r="J667" s="45">
        <v>11250</v>
      </c>
      <c r="K667" s="49" t="s">
        <v>4667</v>
      </c>
      <c r="L667" s="45"/>
      <c r="M667" s="3"/>
    </row>
    <row r="668" spans="1:13" ht="25.5" x14ac:dyDescent="0.25">
      <c r="A668" s="46" t="s">
        <v>4884</v>
      </c>
      <c r="B668" s="46" t="s">
        <v>59</v>
      </c>
      <c r="C668" s="46" t="s">
        <v>14</v>
      </c>
      <c r="D668" s="47">
        <v>5821</v>
      </c>
      <c r="E668" s="46" t="s">
        <v>4885</v>
      </c>
      <c r="F668" s="48">
        <v>39904</v>
      </c>
      <c r="G668" s="46"/>
      <c r="H668" s="46" t="s">
        <v>40</v>
      </c>
      <c r="I668" s="45">
        <v>11250</v>
      </c>
      <c r="J668" s="45">
        <v>11250</v>
      </c>
      <c r="K668" s="49" t="s">
        <v>4667</v>
      </c>
      <c r="L668" s="45"/>
      <c r="M668" s="3"/>
    </row>
    <row r="669" spans="1:13" ht="25.5" x14ac:dyDescent="0.25">
      <c r="A669" s="46" t="s">
        <v>4886</v>
      </c>
      <c r="B669" s="46" t="s">
        <v>59</v>
      </c>
      <c r="C669" s="46" t="s">
        <v>14</v>
      </c>
      <c r="D669" s="47">
        <v>5822</v>
      </c>
      <c r="E669" s="46" t="s">
        <v>4887</v>
      </c>
      <c r="F669" s="48">
        <v>39965</v>
      </c>
      <c r="G669" s="46"/>
      <c r="H669" s="46" t="s">
        <v>40</v>
      </c>
      <c r="I669" s="45">
        <v>3750</v>
      </c>
      <c r="J669" s="45">
        <v>3750</v>
      </c>
      <c r="K669" s="49" t="s">
        <v>4667</v>
      </c>
      <c r="L669" s="45"/>
      <c r="M669" s="3"/>
    </row>
    <row r="670" spans="1:13" x14ac:dyDescent="0.25">
      <c r="A670" s="46" t="s">
        <v>4888</v>
      </c>
      <c r="B670" s="46" t="s">
        <v>59</v>
      </c>
      <c r="C670" s="46" t="s">
        <v>14</v>
      </c>
      <c r="D670" s="47">
        <v>5823</v>
      </c>
      <c r="E670" s="46" t="s">
        <v>4889</v>
      </c>
      <c r="F670" s="48">
        <v>39919</v>
      </c>
      <c r="G670" s="46"/>
      <c r="H670" s="46" t="s">
        <v>40</v>
      </c>
      <c r="I670" s="45">
        <v>4000</v>
      </c>
      <c r="J670" s="45">
        <v>4000</v>
      </c>
      <c r="K670" s="49" t="s">
        <v>4667</v>
      </c>
      <c r="L670" s="45"/>
      <c r="M670" s="3"/>
    </row>
    <row r="671" spans="1:13" x14ac:dyDescent="0.25">
      <c r="A671" s="46" t="s">
        <v>4894</v>
      </c>
      <c r="B671" s="46" t="s">
        <v>59</v>
      </c>
      <c r="C671" s="46" t="s">
        <v>14</v>
      </c>
      <c r="D671" s="47">
        <v>5826</v>
      </c>
      <c r="E671" s="46" t="s">
        <v>4895</v>
      </c>
      <c r="F671" s="48">
        <v>39966</v>
      </c>
      <c r="G671" s="46"/>
      <c r="H671" s="46" t="s">
        <v>40</v>
      </c>
      <c r="I671" s="45">
        <v>30000</v>
      </c>
      <c r="J671" s="45">
        <v>30000</v>
      </c>
      <c r="K671" s="49" t="s">
        <v>4667</v>
      </c>
      <c r="L671" s="45"/>
      <c r="M671" s="3"/>
    </row>
    <row r="672" spans="1:13" ht="25.5" x14ac:dyDescent="0.25">
      <c r="A672" s="46" t="s">
        <v>4896</v>
      </c>
      <c r="B672" s="46" t="s">
        <v>59</v>
      </c>
      <c r="C672" s="46" t="s">
        <v>14</v>
      </c>
      <c r="D672" s="47">
        <v>5827</v>
      </c>
      <c r="E672" s="46" t="s">
        <v>4897</v>
      </c>
      <c r="F672" s="48">
        <v>40007</v>
      </c>
      <c r="G672" s="46"/>
      <c r="H672" s="46" t="s">
        <v>40</v>
      </c>
      <c r="I672" s="45">
        <v>26250</v>
      </c>
      <c r="J672" s="45">
        <v>52500</v>
      </c>
      <c r="K672" s="49" t="s">
        <v>4667</v>
      </c>
      <c r="L672" s="45"/>
      <c r="M672" s="3"/>
    </row>
    <row r="673" spans="1:13" x14ac:dyDescent="0.25">
      <c r="A673" s="46" t="s">
        <v>4898</v>
      </c>
      <c r="B673" s="46" t="s">
        <v>59</v>
      </c>
      <c r="C673" s="46" t="s">
        <v>14</v>
      </c>
      <c r="D673" s="47">
        <v>5828</v>
      </c>
      <c r="E673" s="46" t="s">
        <v>4899</v>
      </c>
      <c r="F673" s="48">
        <v>40084</v>
      </c>
      <c r="G673" s="46"/>
      <c r="H673" s="46" t="s">
        <v>40</v>
      </c>
      <c r="I673" s="45">
        <v>6000</v>
      </c>
      <c r="J673" s="45">
        <v>6000</v>
      </c>
      <c r="K673" s="49" t="s">
        <v>4667</v>
      </c>
      <c r="L673" s="45"/>
      <c r="M673" s="3"/>
    </row>
    <row r="674" spans="1:13" ht="25.5" x14ac:dyDescent="0.25">
      <c r="A674" s="46" t="s">
        <v>4900</v>
      </c>
      <c r="B674" s="46" t="s">
        <v>59</v>
      </c>
      <c r="C674" s="46" t="s">
        <v>14</v>
      </c>
      <c r="D674" s="47">
        <v>5829</v>
      </c>
      <c r="E674" s="46" t="s">
        <v>4901</v>
      </c>
      <c r="F674" s="48">
        <v>40086</v>
      </c>
      <c r="G674" s="46"/>
      <c r="H674" s="46" t="s">
        <v>40</v>
      </c>
      <c r="I674" s="45">
        <v>7500</v>
      </c>
      <c r="J674" s="45">
        <v>7500</v>
      </c>
      <c r="K674" s="49" t="s">
        <v>4667</v>
      </c>
      <c r="L674" s="45"/>
      <c r="M674" s="3"/>
    </row>
    <row r="675" spans="1:13" x14ac:dyDescent="0.25">
      <c r="A675" s="46" t="s">
        <v>4912</v>
      </c>
      <c r="B675" s="46" t="s">
        <v>59</v>
      </c>
      <c r="C675" s="46" t="s">
        <v>14</v>
      </c>
      <c r="D675" s="47">
        <v>6934</v>
      </c>
      <c r="E675" s="46" t="s">
        <v>4913</v>
      </c>
      <c r="F675" s="48">
        <v>40154</v>
      </c>
      <c r="G675" s="46"/>
      <c r="H675" s="46" t="s">
        <v>40</v>
      </c>
      <c r="I675" s="45">
        <v>7500</v>
      </c>
      <c r="J675" s="45">
        <v>7500</v>
      </c>
      <c r="K675" s="49" t="s">
        <v>4667</v>
      </c>
      <c r="L675" s="45"/>
      <c r="M675" s="3"/>
    </row>
    <row r="676" spans="1:13" ht="25.5" x14ac:dyDescent="0.25">
      <c r="A676" s="46" t="s">
        <v>4918</v>
      </c>
      <c r="B676" s="46" t="s">
        <v>59</v>
      </c>
      <c r="C676" s="46" t="s">
        <v>14</v>
      </c>
      <c r="D676" s="47">
        <v>6953</v>
      </c>
      <c r="E676" s="46" t="s">
        <v>4919</v>
      </c>
      <c r="F676" s="48">
        <v>40154</v>
      </c>
      <c r="G676" s="46"/>
      <c r="H676" s="46" t="s">
        <v>40</v>
      </c>
      <c r="I676" s="45">
        <v>3750</v>
      </c>
      <c r="J676" s="45">
        <v>3750</v>
      </c>
      <c r="K676" s="49" t="s">
        <v>4667</v>
      </c>
      <c r="L676" s="45"/>
      <c r="M676" s="3"/>
    </row>
    <row r="677" spans="1:13" ht="25.5" x14ac:dyDescent="0.25">
      <c r="A677" s="46" t="s">
        <v>4930</v>
      </c>
      <c r="B677" s="46" t="s">
        <v>59</v>
      </c>
      <c r="C677" s="46" t="s">
        <v>14</v>
      </c>
      <c r="D677" s="47">
        <v>6966</v>
      </c>
      <c r="E677" s="46" t="s">
        <v>4931</v>
      </c>
      <c r="F677" s="48">
        <v>40154</v>
      </c>
      <c r="G677" s="46"/>
      <c r="H677" s="46" t="s">
        <v>40</v>
      </c>
      <c r="I677" s="45">
        <v>3750</v>
      </c>
      <c r="J677" s="45">
        <v>3750</v>
      </c>
      <c r="K677" s="49" t="s">
        <v>4667</v>
      </c>
      <c r="L677" s="45"/>
      <c r="M677" s="3"/>
    </row>
    <row r="678" spans="1:13" ht="38.25" x14ac:dyDescent="0.25">
      <c r="A678" s="46" t="s">
        <v>4936</v>
      </c>
      <c r="B678" s="46" t="s">
        <v>59</v>
      </c>
      <c r="C678" s="46" t="s">
        <v>14</v>
      </c>
      <c r="D678" s="47">
        <v>6980</v>
      </c>
      <c r="E678" s="46" t="s">
        <v>4937</v>
      </c>
      <c r="F678" s="48">
        <v>40154</v>
      </c>
      <c r="G678" s="46"/>
      <c r="H678" s="46" t="s">
        <v>40</v>
      </c>
      <c r="I678" s="45">
        <v>7500</v>
      </c>
      <c r="J678" s="45">
        <v>7500</v>
      </c>
      <c r="K678" s="49" t="s">
        <v>4667</v>
      </c>
      <c r="L678" s="45"/>
      <c r="M678" s="3"/>
    </row>
    <row r="679" spans="1:13" x14ac:dyDescent="0.25">
      <c r="A679" s="46" t="s">
        <v>5068</v>
      </c>
      <c r="B679" s="46" t="s">
        <v>59</v>
      </c>
      <c r="C679" s="46" t="s">
        <v>14</v>
      </c>
      <c r="D679" s="47">
        <v>1484</v>
      </c>
      <c r="E679" s="46" t="s">
        <v>5069</v>
      </c>
      <c r="F679" s="48">
        <v>39164</v>
      </c>
      <c r="G679" s="48">
        <v>39530</v>
      </c>
      <c r="H679" s="46" t="s">
        <v>40</v>
      </c>
      <c r="I679" s="45">
        <v>5000</v>
      </c>
      <c r="J679" s="45">
        <v>5000</v>
      </c>
      <c r="K679" s="49" t="s">
        <v>5018</v>
      </c>
      <c r="L679" s="45"/>
      <c r="M679" s="3"/>
    </row>
    <row r="680" spans="1:13" x14ac:dyDescent="0.25">
      <c r="A680" s="46" t="s">
        <v>5070</v>
      </c>
      <c r="B680" s="46" t="s">
        <v>59</v>
      </c>
      <c r="C680" s="46" t="s">
        <v>14</v>
      </c>
      <c r="D680" s="47">
        <v>1518</v>
      </c>
      <c r="E680" s="46" t="s">
        <v>5071</v>
      </c>
      <c r="F680" s="48">
        <v>39202</v>
      </c>
      <c r="G680" s="48">
        <v>39568</v>
      </c>
      <c r="H680" s="46" t="s">
        <v>40</v>
      </c>
      <c r="I680" s="45">
        <v>5000</v>
      </c>
      <c r="J680" s="45">
        <v>5000</v>
      </c>
      <c r="K680" s="49" t="s">
        <v>5018</v>
      </c>
      <c r="L680" s="45"/>
      <c r="M680" s="3"/>
    </row>
    <row r="681" spans="1:13" x14ac:dyDescent="0.25">
      <c r="A681" s="46" t="s">
        <v>5072</v>
      </c>
      <c r="B681" s="46" t="s">
        <v>59</v>
      </c>
      <c r="C681" s="46" t="s">
        <v>14</v>
      </c>
      <c r="D681" s="47">
        <v>1526</v>
      </c>
      <c r="E681" s="46" t="s">
        <v>5073</v>
      </c>
      <c r="F681" s="48">
        <v>39202</v>
      </c>
      <c r="G681" s="48">
        <v>39568</v>
      </c>
      <c r="H681" s="46" t="s">
        <v>40</v>
      </c>
      <c r="I681" s="45">
        <v>5000</v>
      </c>
      <c r="J681" s="45">
        <v>5000</v>
      </c>
      <c r="K681" s="49" t="s">
        <v>5018</v>
      </c>
      <c r="L681" s="45"/>
      <c r="M681" s="3"/>
    </row>
    <row r="682" spans="1:13" x14ac:dyDescent="0.25">
      <c r="A682" s="46" t="s">
        <v>5074</v>
      </c>
      <c r="B682" s="46" t="s">
        <v>59</v>
      </c>
      <c r="C682" s="46" t="s">
        <v>14</v>
      </c>
      <c r="D682" s="47">
        <v>1529</v>
      </c>
      <c r="E682" s="46" t="s">
        <v>5075</v>
      </c>
      <c r="F682" s="48">
        <v>39202</v>
      </c>
      <c r="G682" s="48">
        <v>39568</v>
      </c>
      <c r="H682" s="46" t="s">
        <v>40</v>
      </c>
      <c r="I682" s="45">
        <v>5000</v>
      </c>
      <c r="J682" s="45">
        <v>5000</v>
      </c>
      <c r="K682" s="49" t="s">
        <v>5018</v>
      </c>
      <c r="L682" s="45"/>
      <c r="M682" s="3"/>
    </row>
    <row r="683" spans="1:13" x14ac:dyDescent="0.25">
      <c r="A683" s="46" t="s">
        <v>5080</v>
      </c>
      <c r="B683" s="46" t="s">
        <v>59</v>
      </c>
      <c r="C683" s="46" t="s">
        <v>14</v>
      </c>
      <c r="D683" s="47">
        <v>1560</v>
      </c>
      <c r="E683" s="46" t="s">
        <v>5081</v>
      </c>
      <c r="F683" s="48">
        <v>39202</v>
      </c>
      <c r="G683" s="48">
        <v>39568</v>
      </c>
      <c r="H683" s="46" t="s">
        <v>40</v>
      </c>
      <c r="I683" s="45">
        <v>3125</v>
      </c>
      <c r="J683" s="45">
        <v>3125</v>
      </c>
      <c r="K683" s="49" t="s">
        <v>5018</v>
      </c>
      <c r="L683" s="45"/>
      <c r="M683" s="3"/>
    </row>
    <row r="684" spans="1:13" x14ac:dyDescent="0.25">
      <c r="A684" s="46" t="s">
        <v>5084</v>
      </c>
      <c r="B684" s="46" t="s">
        <v>59</v>
      </c>
      <c r="C684" s="46" t="s">
        <v>14</v>
      </c>
      <c r="D684" s="47">
        <v>1568</v>
      </c>
      <c r="E684" s="46" t="s">
        <v>5085</v>
      </c>
      <c r="F684" s="48">
        <v>39202</v>
      </c>
      <c r="G684" s="48">
        <v>39568</v>
      </c>
      <c r="H684" s="46" t="s">
        <v>40</v>
      </c>
      <c r="I684" s="45">
        <v>2500</v>
      </c>
      <c r="J684" s="45">
        <v>2500</v>
      </c>
      <c r="K684" s="49" t="s">
        <v>5018</v>
      </c>
      <c r="L684" s="45"/>
      <c r="M684" s="3"/>
    </row>
    <row r="685" spans="1:13" x14ac:dyDescent="0.25">
      <c r="A685" s="46" t="s">
        <v>5086</v>
      </c>
      <c r="B685" s="46" t="s">
        <v>59</v>
      </c>
      <c r="C685" s="46" t="s">
        <v>14</v>
      </c>
      <c r="D685" s="47">
        <v>1570</v>
      </c>
      <c r="E685" s="46" t="s">
        <v>5087</v>
      </c>
      <c r="F685" s="48">
        <v>39377</v>
      </c>
      <c r="G685" s="48">
        <v>39743</v>
      </c>
      <c r="H685" s="46" t="s">
        <v>40</v>
      </c>
      <c r="I685" s="45">
        <v>5000</v>
      </c>
      <c r="J685" s="45">
        <v>5000</v>
      </c>
      <c r="K685" s="49" t="s">
        <v>5018</v>
      </c>
      <c r="L685" s="45"/>
      <c r="M685" s="3"/>
    </row>
    <row r="686" spans="1:13" x14ac:dyDescent="0.25">
      <c r="A686" s="46" t="s">
        <v>5088</v>
      </c>
      <c r="B686" s="46" t="s">
        <v>59</v>
      </c>
      <c r="C686" s="46" t="s">
        <v>14</v>
      </c>
      <c r="D686" s="47">
        <v>1574</v>
      </c>
      <c r="E686" s="46" t="s">
        <v>5089</v>
      </c>
      <c r="F686" s="48">
        <v>39258</v>
      </c>
      <c r="G686" s="48">
        <v>39625</v>
      </c>
      <c r="H686" s="46" t="s">
        <v>40</v>
      </c>
      <c r="I686" s="45">
        <v>10000</v>
      </c>
      <c r="J686" s="45">
        <v>10000</v>
      </c>
      <c r="K686" s="49" t="s">
        <v>5018</v>
      </c>
      <c r="L686" s="45"/>
      <c r="M686" s="3"/>
    </row>
    <row r="687" spans="1:13" x14ac:dyDescent="0.25">
      <c r="A687" s="46" t="s">
        <v>5090</v>
      </c>
      <c r="B687" s="46" t="s">
        <v>59</v>
      </c>
      <c r="C687" s="46" t="s">
        <v>14</v>
      </c>
      <c r="D687" s="47">
        <v>1580</v>
      </c>
      <c r="E687" s="46" t="s">
        <v>5091</v>
      </c>
      <c r="F687" s="48">
        <v>39335</v>
      </c>
      <c r="G687" s="48">
        <v>39701</v>
      </c>
      <c r="H687" s="46" t="s">
        <v>40</v>
      </c>
      <c r="I687" s="45">
        <v>5000</v>
      </c>
      <c r="J687" s="45">
        <v>5000</v>
      </c>
      <c r="K687" s="49" t="s">
        <v>5018</v>
      </c>
      <c r="L687" s="45"/>
      <c r="M687" s="3"/>
    </row>
    <row r="688" spans="1:13" x14ac:dyDescent="0.25">
      <c r="A688" s="46" t="s">
        <v>5098</v>
      </c>
      <c r="B688" s="46" t="s">
        <v>59</v>
      </c>
      <c r="C688" s="46" t="s">
        <v>14</v>
      </c>
      <c r="D688" s="47">
        <v>1591</v>
      </c>
      <c r="E688" s="46" t="s">
        <v>5099</v>
      </c>
      <c r="F688" s="48">
        <v>39258</v>
      </c>
      <c r="G688" s="48">
        <v>39716</v>
      </c>
      <c r="H688" s="46" t="s">
        <v>40</v>
      </c>
      <c r="I688" s="45">
        <v>7500</v>
      </c>
      <c r="J688" s="45">
        <v>7500</v>
      </c>
      <c r="K688" s="49" t="s">
        <v>5018</v>
      </c>
      <c r="L688" s="45"/>
      <c r="M688" s="3"/>
    </row>
    <row r="689" spans="1:13" x14ac:dyDescent="0.25">
      <c r="A689" s="46" t="s">
        <v>5100</v>
      </c>
      <c r="B689" s="46" t="s">
        <v>59</v>
      </c>
      <c r="C689" s="46" t="s">
        <v>14</v>
      </c>
      <c r="D689" s="47">
        <v>1596</v>
      </c>
      <c r="E689" s="46" t="s">
        <v>5101</v>
      </c>
      <c r="F689" s="48">
        <v>39335</v>
      </c>
      <c r="G689" s="48">
        <v>39701</v>
      </c>
      <c r="H689" s="46" t="s">
        <v>40</v>
      </c>
      <c r="I689" s="45">
        <v>5000</v>
      </c>
      <c r="J689" s="45">
        <v>5000</v>
      </c>
      <c r="K689" s="49" t="s">
        <v>5018</v>
      </c>
      <c r="L689" s="45"/>
      <c r="M689" s="3"/>
    </row>
    <row r="690" spans="1:13" x14ac:dyDescent="0.25">
      <c r="A690" s="46" t="s">
        <v>5102</v>
      </c>
      <c r="B690" s="46" t="s">
        <v>59</v>
      </c>
      <c r="C690" s="46" t="s">
        <v>14</v>
      </c>
      <c r="D690" s="47">
        <v>1598</v>
      </c>
      <c r="E690" s="46" t="s">
        <v>5103</v>
      </c>
      <c r="F690" s="48">
        <v>39377</v>
      </c>
      <c r="G690" s="48">
        <v>39743</v>
      </c>
      <c r="H690" s="46" t="s">
        <v>40</v>
      </c>
      <c r="I690" s="45">
        <v>5000</v>
      </c>
      <c r="J690" s="45">
        <v>5000</v>
      </c>
      <c r="K690" s="49" t="s">
        <v>5018</v>
      </c>
      <c r="L690" s="45"/>
      <c r="M690" s="3"/>
    </row>
    <row r="691" spans="1:13" x14ac:dyDescent="0.25">
      <c r="A691" s="46" t="s">
        <v>5106</v>
      </c>
      <c r="B691" s="46" t="s">
        <v>59</v>
      </c>
      <c r="C691" s="46" t="s">
        <v>14</v>
      </c>
      <c r="D691" s="47">
        <v>1604</v>
      </c>
      <c r="E691" s="46" t="s">
        <v>5107</v>
      </c>
      <c r="F691" s="48">
        <v>39428</v>
      </c>
      <c r="G691" s="48">
        <v>39794</v>
      </c>
      <c r="H691" s="46" t="s">
        <v>40</v>
      </c>
      <c r="I691" s="45">
        <v>2500</v>
      </c>
      <c r="J691" s="45">
        <v>2500</v>
      </c>
      <c r="K691" s="49" t="s">
        <v>5018</v>
      </c>
      <c r="L691" s="45"/>
      <c r="M691" s="3"/>
    </row>
    <row r="692" spans="1:13" x14ac:dyDescent="0.25">
      <c r="A692" s="46" t="s">
        <v>5108</v>
      </c>
      <c r="B692" s="46" t="s">
        <v>59</v>
      </c>
      <c r="C692" s="46" t="s">
        <v>14</v>
      </c>
      <c r="D692" s="47">
        <v>1607</v>
      </c>
      <c r="E692" s="46" t="s">
        <v>5109</v>
      </c>
      <c r="F692" s="48">
        <v>39428</v>
      </c>
      <c r="G692" s="48">
        <v>39794</v>
      </c>
      <c r="H692" s="46" t="s">
        <v>40</v>
      </c>
      <c r="I692" s="45">
        <v>5000</v>
      </c>
      <c r="J692" s="45">
        <v>5000</v>
      </c>
      <c r="K692" s="49" t="s">
        <v>5018</v>
      </c>
      <c r="L692" s="45"/>
      <c r="M692" s="3"/>
    </row>
    <row r="693" spans="1:13" x14ac:dyDescent="0.25">
      <c r="A693" s="46" t="s">
        <v>5110</v>
      </c>
      <c r="B693" s="46" t="s">
        <v>59</v>
      </c>
      <c r="C693" s="46" t="s">
        <v>14</v>
      </c>
      <c r="D693" s="47">
        <v>1608</v>
      </c>
      <c r="E693" s="46" t="s">
        <v>5111</v>
      </c>
      <c r="F693" s="48">
        <v>39428</v>
      </c>
      <c r="G693" s="48">
        <v>39794</v>
      </c>
      <c r="H693" s="46" t="s">
        <v>40</v>
      </c>
      <c r="I693" s="45">
        <v>10000</v>
      </c>
      <c r="J693" s="45">
        <v>10000</v>
      </c>
      <c r="K693" s="49" t="s">
        <v>5018</v>
      </c>
      <c r="L693" s="45"/>
      <c r="M693" s="3"/>
    </row>
    <row r="694" spans="1:13" x14ac:dyDescent="0.25">
      <c r="A694" s="46" t="s">
        <v>5112</v>
      </c>
      <c r="B694" s="46" t="s">
        <v>59</v>
      </c>
      <c r="C694" s="46" t="s">
        <v>14</v>
      </c>
      <c r="D694" s="47">
        <v>1610</v>
      </c>
      <c r="E694" s="46" t="s">
        <v>5113</v>
      </c>
      <c r="F694" s="48">
        <v>39552</v>
      </c>
      <c r="G694" s="48">
        <v>39917</v>
      </c>
      <c r="H694" s="46" t="s">
        <v>40</v>
      </c>
      <c r="I694" s="45">
        <v>5000</v>
      </c>
      <c r="J694" s="45">
        <v>5000</v>
      </c>
      <c r="K694" s="49" t="s">
        <v>5018</v>
      </c>
      <c r="L694" s="45"/>
      <c r="M694" s="3"/>
    </row>
    <row r="695" spans="1:13" x14ac:dyDescent="0.25">
      <c r="A695" s="46" t="s">
        <v>5114</v>
      </c>
      <c r="B695" s="46" t="s">
        <v>59</v>
      </c>
      <c r="C695" s="46" t="s">
        <v>14</v>
      </c>
      <c r="D695" s="47">
        <v>1611</v>
      </c>
      <c r="E695" s="46" t="s">
        <v>5115</v>
      </c>
      <c r="F695" s="48">
        <v>39503</v>
      </c>
      <c r="G695" s="48">
        <v>39869</v>
      </c>
      <c r="H695" s="46" t="s">
        <v>40</v>
      </c>
      <c r="I695" s="45">
        <v>5000</v>
      </c>
      <c r="J695" s="45">
        <v>5000</v>
      </c>
      <c r="K695" s="49" t="s">
        <v>5018</v>
      </c>
      <c r="L695" s="45"/>
      <c r="M695" s="3"/>
    </row>
    <row r="696" spans="1:13" x14ac:dyDescent="0.25">
      <c r="A696" s="46" t="s">
        <v>5118</v>
      </c>
      <c r="B696" s="46" t="s">
        <v>59</v>
      </c>
      <c r="C696" s="46" t="s">
        <v>14</v>
      </c>
      <c r="D696" s="47">
        <v>1613</v>
      </c>
      <c r="E696" s="46" t="s">
        <v>5119</v>
      </c>
      <c r="F696" s="48">
        <v>39428</v>
      </c>
      <c r="G696" s="48">
        <v>39794</v>
      </c>
      <c r="H696" s="46" t="s">
        <v>40</v>
      </c>
      <c r="I696" s="45">
        <v>1250</v>
      </c>
      <c r="J696" s="45">
        <v>1250</v>
      </c>
      <c r="K696" s="49" t="s">
        <v>5018</v>
      </c>
      <c r="L696" s="45"/>
      <c r="M696" s="3"/>
    </row>
    <row r="697" spans="1:13" x14ac:dyDescent="0.25">
      <c r="A697" s="46" t="s">
        <v>5120</v>
      </c>
      <c r="B697" s="46" t="s">
        <v>59</v>
      </c>
      <c r="C697" s="46" t="s">
        <v>14</v>
      </c>
      <c r="D697" s="47">
        <v>1615</v>
      </c>
      <c r="E697" s="46" t="s">
        <v>5121</v>
      </c>
      <c r="F697" s="48">
        <v>39594</v>
      </c>
      <c r="G697" s="48">
        <v>39959</v>
      </c>
      <c r="H697" s="46" t="s">
        <v>40</v>
      </c>
      <c r="I697" s="45">
        <v>5000</v>
      </c>
      <c r="J697" s="45">
        <v>5000</v>
      </c>
      <c r="K697" s="49" t="s">
        <v>5018</v>
      </c>
      <c r="L697" s="45"/>
      <c r="M697" s="3"/>
    </row>
    <row r="698" spans="1:13" x14ac:dyDescent="0.25">
      <c r="A698" s="46" t="s">
        <v>5122</v>
      </c>
      <c r="B698" s="46" t="s">
        <v>59</v>
      </c>
      <c r="C698" s="46" t="s">
        <v>14</v>
      </c>
      <c r="D698" s="47">
        <v>1616</v>
      </c>
      <c r="E698" s="46" t="s">
        <v>5123</v>
      </c>
      <c r="F698" s="48">
        <v>39503</v>
      </c>
      <c r="G698" s="48">
        <v>39869</v>
      </c>
      <c r="H698" s="46" t="s">
        <v>40</v>
      </c>
      <c r="I698" s="45">
        <v>5000</v>
      </c>
      <c r="J698" s="45">
        <v>5000</v>
      </c>
      <c r="K698" s="49" t="s">
        <v>5018</v>
      </c>
      <c r="L698" s="45"/>
      <c r="M698" s="3"/>
    </row>
    <row r="699" spans="1:13" x14ac:dyDescent="0.25">
      <c r="A699" s="46" t="s">
        <v>5110</v>
      </c>
      <c r="B699" s="46" t="s">
        <v>59</v>
      </c>
      <c r="C699" s="46" t="s">
        <v>14</v>
      </c>
      <c r="D699" s="47">
        <v>1626</v>
      </c>
      <c r="E699" s="46" t="s">
        <v>5134</v>
      </c>
      <c r="F699" s="48">
        <v>39713</v>
      </c>
      <c r="G699" s="48">
        <v>40078</v>
      </c>
      <c r="H699" s="46" t="s">
        <v>40</v>
      </c>
      <c r="I699" s="45">
        <v>5000</v>
      </c>
      <c r="J699" s="45">
        <v>5000</v>
      </c>
      <c r="K699" s="49" t="s">
        <v>5018</v>
      </c>
      <c r="L699" s="45"/>
      <c r="M699" s="3"/>
    </row>
    <row r="700" spans="1:13" x14ac:dyDescent="0.25">
      <c r="A700" s="46" t="s">
        <v>5135</v>
      </c>
      <c r="B700" s="46" t="s">
        <v>59</v>
      </c>
      <c r="C700" s="46" t="s">
        <v>14</v>
      </c>
      <c r="D700" s="47">
        <v>1627</v>
      </c>
      <c r="E700" s="46" t="s">
        <v>5136</v>
      </c>
      <c r="F700" s="48">
        <v>39713</v>
      </c>
      <c r="G700" s="48">
        <v>40078</v>
      </c>
      <c r="H700" s="46" t="s">
        <v>40</v>
      </c>
      <c r="I700" s="45">
        <v>5000</v>
      </c>
      <c r="J700" s="45">
        <v>5000</v>
      </c>
      <c r="K700" s="49" t="s">
        <v>5018</v>
      </c>
      <c r="L700" s="45"/>
      <c r="M700" s="3"/>
    </row>
    <row r="701" spans="1:13" x14ac:dyDescent="0.25">
      <c r="A701" s="46" t="s">
        <v>5137</v>
      </c>
      <c r="B701" s="46" t="s">
        <v>59</v>
      </c>
      <c r="C701" s="46" t="s">
        <v>14</v>
      </c>
      <c r="D701" s="47">
        <v>1628</v>
      </c>
      <c r="E701" s="46" t="s">
        <v>5138</v>
      </c>
      <c r="F701" s="48">
        <v>39636</v>
      </c>
      <c r="G701" s="48">
        <v>40001</v>
      </c>
      <c r="H701" s="46" t="s">
        <v>40</v>
      </c>
      <c r="I701" s="45">
        <v>10000</v>
      </c>
      <c r="J701" s="45">
        <v>10000</v>
      </c>
      <c r="K701" s="49" t="s">
        <v>5018</v>
      </c>
      <c r="L701" s="45"/>
      <c r="M701" s="3"/>
    </row>
    <row r="702" spans="1:13" x14ac:dyDescent="0.25">
      <c r="A702" s="46" t="s">
        <v>5139</v>
      </c>
      <c r="B702" s="46" t="s">
        <v>59</v>
      </c>
      <c r="C702" s="46" t="s">
        <v>14</v>
      </c>
      <c r="D702" s="47">
        <v>1629</v>
      </c>
      <c r="E702" s="46" t="s">
        <v>5140</v>
      </c>
      <c r="F702" s="48">
        <v>39552</v>
      </c>
      <c r="G702" s="48">
        <v>39917</v>
      </c>
      <c r="H702" s="46" t="s">
        <v>40</v>
      </c>
      <c r="I702" s="45">
        <v>5000</v>
      </c>
      <c r="J702" s="45">
        <v>5000</v>
      </c>
      <c r="K702" s="49" t="s">
        <v>5018</v>
      </c>
      <c r="L702" s="45"/>
      <c r="M702" s="3"/>
    </row>
    <row r="703" spans="1:13" x14ac:dyDescent="0.25">
      <c r="A703" s="46" t="s">
        <v>5141</v>
      </c>
      <c r="B703" s="46" t="s">
        <v>59</v>
      </c>
      <c r="C703" s="46" t="s">
        <v>14</v>
      </c>
      <c r="D703" s="47">
        <v>1630</v>
      </c>
      <c r="E703" s="46" t="s">
        <v>5142</v>
      </c>
      <c r="F703" s="48">
        <v>39713</v>
      </c>
      <c r="G703" s="48">
        <v>40078</v>
      </c>
      <c r="H703" s="46" t="s">
        <v>40</v>
      </c>
      <c r="I703" s="45">
        <v>5000</v>
      </c>
      <c r="J703" s="45">
        <v>5000</v>
      </c>
      <c r="K703" s="49" t="s">
        <v>5018</v>
      </c>
      <c r="L703" s="45"/>
      <c r="M703" s="3"/>
    </row>
    <row r="704" spans="1:13" x14ac:dyDescent="0.25">
      <c r="A704" s="46" t="s">
        <v>5338</v>
      </c>
      <c r="B704" s="46" t="s">
        <v>59</v>
      </c>
      <c r="C704" s="46" t="s">
        <v>14</v>
      </c>
      <c r="D704" s="47">
        <v>4549</v>
      </c>
      <c r="E704" s="46" t="s">
        <v>5339</v>
      </c>
      <c r="F704" s="48">
        <v>39814</v>
      </c>
      <c r="G704" s="48">
        <v>40178</v>
      </c>
      <c r="H704" s="46" t="s">
        <v>40</v>
      </c>
      <c r="I704" s="45">
        <v>2500</v>
      </c>
      <c r="J704" s="45">
        <v>2500</v>
      </c>
      <c r="K704" s="49" t="s">
        <v>5018</v>
      </c>
      <c r="L704" s="45"/>
      <c r="M704" s="3"/>
    </row>
    <row r="705" spans="1:13" x14ac:dyDescent="0.25">
      <c r="A705" s="46" t="s">
        <v>5340</v>
      </c>
      <c r="B705" s="46" t="s">
        <v>59</v>
      </c>
      <c r="C705" s="46" t="s">
        <v>14</v>
      </c>
      <c r="D705" s="47">
        <v>4556</v>
      </c>
      <c r="E705" s="46" t="s">
        <v>5341</v>
      </c>
      <c r="F705" s="48">
        <v>39909</v>
      </c>
      <c r="G705" s="48">
        <v>40274</v>
      </c>
      <c r="H705" s="46" t="s">
        <v>40</v>
      </c>
      <c r="I705" s="45">
        <v>5000</v>
      </c>
      <c r="J705" s="45">
        <v>5000</v>
      </c>
      <c r="K705" s="49" t="s">
        <v>5018</v>
      </c>
      <c r="L705" s="45"/>
      <c r="M705" s="3"/>
    </row>
    <row r="706" spans="1:13" x14ac:dyDescent="0.25">
      <c r="A706" s="46" t="s">
        <v>5342</v>
      </c>
      <c r="B706" s="46" t="s">
        <v>59</v>
      </c>
      <c r="C706" s="46" t="s">
        <v>14</v>
      </c>
      <c r="D706" s="47">
        <v>4557</v>
      </c>
      <c r="E706" s="46" t="s">
        <v>5343</v>
      </c>
      <c r="F706" s="48">
        <v>39867</v>
      </c>
      <c r="G706" s="48">
        <v>40232</v>
      </c>
      <c r="H706" s="46" t="s">
        <v>40</v>
      </c>
      <c r="I706" s="45">
        <v>2500</v>
      </c>
      <c r="J706" s="45">
        <v>2500</v>
      </c>
      <c r="K706" s="49" t="s">
        <v>5018</v>
      </c>
      <c r="L706" s="45"/>
      <c r="M706" s="3"/>
    </row>
    <row r="707" spans="1:13" ht="25.5" x14ac:dyDescent="0.25">
      <c r="A707" s="46" t="s">
        <v>5348</v>
      </c>
      <c r="B707" s="46" t="s">
        <v>59</v>
      </c>
      <c r="C707" s="46" t="s">
        <v>14</v>
      </c>
      <c r="D707" s="47">
        <v>4564</v>
      </c>
      <c r="E707" s="46" t="s">
        <v>5349</v>
      </c>
      <c r="F707" s="48">
        <v>40000</v>
      </c>
      <c r="G707" s="48">
        <v>40543</v>
      </c>
      <c r="H707" s="46" t="s">
        <v>40</v>
      </c>
      <c r="I707" s="45">
        <v>5000</v>
      </c>
      <c r="J707" s="45">
        <v>5000</v>
      </c>
      <c r="K707" s="49" t="s">
        <v>5018</v>
      </c>
      <c r="L707" s="45"/>
      <c r="M707" s="3"/>
    </row>
    <row r="708" spans="1:13" x14ac:dyDescent="0.25">
      <c r="A708" s="46" t="s">
        <v>5350</v>
      </c>
      <c r="B708" s="46" t="s">
        <v>59</v>
      </c>
      <c r="C708" s="46" t="s">
        <v>14</v>
      </c>
      <c r="D708" s="47">
        <v>4566</v>
      </c>
      <c r="E708" s="46" t="s">
        <v>5351</v>
      </c>
      <c r="F708" s="48">
        <v>39958</v>
      </c>
      <c r="G708" s="48">
        <v>40323</v>
      </c>
      <c r="H708" s="46" t="s">
        <v>40</v>
      </c>
      <c r="I708" s="45">
        <v>5000</v>
      </c>
      <c r="J708" s="45">
        <v>5000</v>
      </c>
      <c r="K708" s="49" t="s">
        <v>5018</v>
      </c>
      <c r="L708" s="45"/>
      <c r="M708" s="3"/>
    </row>
    <row r="709" spans="1:13" ht="25.5" x14ac:dyDescent="0.25">
      <c r="A709" s="46" t="s">
        <v>5139</v>
      </c>
      <c r="B709" s="46" t="s">
        <v>59</v>
      </c>
      <c r="C709" s="46" t="s">
        <v>14</v>
      </c>
      <c r="D709" s="47">
        <v>4568</v>
      </c>
      <c r="E709" s="46" t="s">
        <v>5352</v>
      </c>
      <c r="F709" s="48">
        <v>40126</v>
      </c>
      <c r="G709" s="48">
        <v>40491</v>
      </c>
      <c r="H709" s="46" t="s">
        <v>40</v>
      </c>
      <c r="I709" s="45">
        <v>5000</v>
      </c>
      <c r="J709" s="45">
        <v>5000</v>
      </c>
      <c r="K709" s="49" t="s">
        <v>5018</v>
      </c>
      <c r="L709" s="45"/>
      <c r="M709" s="3"/>
    </row>
    <row r="710" spans="1:13" x14ac:dyDescent="0.25">
      <c r="A710" s="46" t="s">
        <v>5357</v>
      </c>
      <c r="B710" s="46" t="s">
        <v>59</v>
      </c>
      <c r="C710" s="46" t="s">
        <v>14</v>
      </c>
      <c r="D710" s="47">
        <v>4573</v>
      </c>
      <c r="E710" s="46" t="s">
        <v>5358</v>
      </c>
      <c r="F710" s="48">
        <v>40000</v>
      </c>
      <c r="G710" s="48">
        <v>40365</v>
      </c>
      <c r="H710" s="46" t="s">
        <v>40</v>
      </c>
      <c r="I710" s="45">
        <v>2500</v>
      </c>
      <c r="J710" s="45">
        <v>2500</v>
      </c>
      <c r="K710" s="49" t="s">
        <v>5018</v>
      </c>
      <c r="L710" s="45"/>
      <c r="M710" s="3"/>
    </row>
    <row r="711" spans="1:13" x14ac:dyDescent="0.25">
      <c r="A711" s="46" t="s">
        <v>5361</v>
      </c>
      <c r="B711" s="46" t="s">
        <v>59</v>
      </c>
      <c r="C711" s="46" t="s">
        <v>14</v>
      </c>
      <c r="D711" s="47">
        <v>5273</v>
      </c>
      <c r="E711" s="46" t="s">
        <v>5362</v>
      </c>
      <c r="F711" s="48">
        <v>40084</v>
      </c>
      <c r="G711" s="48">
        <v>40449</v>
      </c>
      <c r="H711" s="46" t="s">
        <v>40</v>
      </c>
      <c r="I711" s="45">
        <v>5000</v>
      </c>
      <c r="J711" s="45">
        <v>5000</v>
      </c>
      <c r="K711" s="49" t="s">
        <v>5018</v>
      </c>
      <c r="L711" s="45"/>
      <c r="M711" s="3"/>
    </row>
    <row r="712" spans="1:13" x14ac:dyDescent="0.25">
      <c r="A712" s="46" t="s">
        <v>5363</v>
      </c>
      <c r="B712" s="46" t="s">
        <v>59</v>
      </c>
      <c r="C712" s="46" t="s">
        <v>14</v>
      </c>
      <c r="D712" s="47">
        <v>5281</v>
      </c>
      <c r="E712" s="46" t="s">
        <v>5364</v>
      </c>
      <c r="F712" s="48">
        <v>40084</v>
      </c>
      <c r="G712" s="48">
        <v>40449</v>
      </c>
      <c r="H712" s="46" t="s">
        <v>40</v>
      </c>
      <c r="I712" s="45">
        <v>2500</v>
      </c>
      <c r="J712" s="45">
        <v>2500</v>
      </c>
      <c r="K712" s="49" t="s">
        <v>5018</v>
      </c>
      <c r="L712" s="45"/>
      <c r="M712" s="3"/>
    </row>
    <row r="713" spans="1:13" x14ac:dyDescent="0.25">
      <c r="A713" s="46" t="s">
        <v>5373</v>
      </c>
      <c r="B713" s="46" t="s">
        <v>59</v>
      </c>
      <c r="C713" s="46" t="s">
        <v>14</v>
      </c>
      <c r="D713" s="47">
        <v>5319</v>
      </c>
      <c r="E713" s="46" t="s">
        <v>5374</v>
      </c>
      <c r="F713" s="48">
        <v>40000</v>
      </c>
      <c r="G713" s="48">
        <v>40365</v>
      </c>
      <c r="H713" s="46" t="s">
        <v>40</v>
      </c>
      <c r="I713" s="45">
        <v>5000</v>
      </c>
      <c r="J713" s="45">
        <v>5000</v>
      </c>
      <c r="K713" s="49" t="s">
        <v>5018</v>
      </c>
      <c r="L713" s="45"/>
      <c r="M713" s="3"/>
    </row>
    <row r="714" spans="1:13" x14ac:dyDescent="0.25">
      <c r="A714" s="46" t="s">
        <v>5375</v>
      </c>
      <c r="B714" s="46" t="s">
        <v>59</v>
      </c>
      <c r="C714" s="46" t="s">
        <v>14</v>
      </c>
      <c r="D714" s="47">
        <v>5321</v>
      </c>
      <c r="E714" s="46" t="s">
        <v>5376</v>
      </c>
      <c r="F714" s="48">
        <v>40084</v>
      </c>
      <c r="G714" s="48">
        <v>40449</v>
      </c>
      <c r="H714" s="46" t="s">
        <v>40</v>
      </c>
      <c r="I714" s="45">
        <v>5000</v>
      </c>
      <c r="J714" s="45">
        <v>5000</v>
      </c>
      <c r="K714" s="49" t="s">
        <v>5018</v>
      </c>
      <c r="L714" s="45"/>
      <c r="M714" s="3"/>
    </row>
    <row r="715" spans="1:13" ht="25.5" x14ac:dyDescent="0.25">
      <c r="A715" s="46" t="s">
        <v>5377</v>
      </c>
      <c r="B715" s="46" t="s">
        <v>59</v>
      </c>
      <c r="C715" s="46" t="s">
        <v>14</v>
      </c>
      <c r="D715" s="47">
        <v>5322</v>
      </c>
      <c r="E715" s="46" t="s">
        <v>5378</v>
      </c>
      <c r="F715" s="48">
        <v>40161</v>
      </c>
      <c r="G715" s="48">
        <v>40526</v>
      </c>
      <c r="H715" s="46" t="s">
        <v>40</v>
      </c>
      <c r="I715" s="45">
        <v>10000</v>
      </c>
      <c r="J715" s="45">
        <v>10000</v>
      </c>
      <c r="K715" s="49" t="s">
        <v>5018</v>
      </c>
      <c r="L715" s="45"/>
      <c r="M715" s="3"/>
    </row>
    <row r="716" spans="1:13" x14ac:dyDescent="0.25">
      <c r="A716" s="46" t="s">
        <v>5463</v>
      </c>
      <c r="B716" s="46" t="s">
        <v>59</v>
      </c>
      <c r="C716" s="46" t="s">
        <v>14</v>
      </c>
      <c r="D716" s="47">
        <v>7363</v>
      </c>
      <c r="E716" s="46" t="s">
        <v>5464</v>
      </c>
      <c r="F716" s="48">
        <v>40100</v>
      </c>
      <c r="G716" s="48">
        <v>40452</v>
      </c>
      <c r="H716" s="46" t="s">
        <v>40</v>
      </c>
      <c r="I716" s="45">
        <v>2500</v>
      </c>
      <c r="J716" s="45">
        <v>2500</v>
      </c>
      <c r="K716" s="49" t="s">
        <v>5018</v>
      </c>
      <c r="L716" s="45"/>
      <c r="M716" s="3"/>
    </row>
    <row r="717" spans="1:13" ht="25.5" x14ac:dyDescent="0.25">
      <c r="A717" s="46" t="s">
        <v>5467</v>
      </c>
      <c r="B717" s="46" t="s">
        <v>59</v>
      </c>
      <c r="C717" s="46" t="s">
        <v>14</v>
      </c>
      <c r="D717" s="47">
        <v>7371</v>
      </c>
      <c r="E717" s="46" t="s">
        <v>5468</v>
      </c>
      <c r="F717" s="48">
        <v>40162</v>
      </c>
      <c r="G717" s="48">
        <v>40532</v>
      </c>
      <c r="H717" s="46" t="s">
        <v>40</v>
      </c>
      <c r="I717" s="45">
        <v>2500</v>
      </c>
      <c r="J717" s="45">
        <v>2500</v>
      </c>
      <c r="K717" s="49" t="s">
        <v>5018</v>
      </c>
      <c r="L717" s="45"/>
      <c r="M717" s="3"/>
    </row>
    <row r="718" spans="1:13" x14ac:dyDescent="0.25">
      <c r="A718" s="46" t="s">
        <v>5887</v>
      </c>
      <c r="B718" s="46" t="s">
        <v>59</v>
      </c>
      <c r="C718" s="46" t="s">
        <v>14</v>
      </c>
      <c r="D718" s="47">
        <v>622</v>
      </c>
      <c r="E718" s="46" t="s">
        <v>5888</v>
      </c>
      <c r="F718" s="48">
        <v>39196</v>
      </c>
      <c r="G718" s="48">
        <v>39401</v>
      </c>
      <c r="H718" s="46" t="s">
        <v>40</v>
      </c>
      <c r="I718" s="45">
        <v>7500</v>
      </c>
      <c r="J718" s="45">
        <v>7500</v>
      </c>
      <c r="K718" s="49" t="s">
        <v>5815</v>
      </c>
      <c r="L718" s="45"/>
      <c r="M718" s="3"/>
    </row>
    <row r="719" spans="1:13" x14ac:dyDescent="0.25">
      <c r="A719" s="46" t="s">
        <v>5901</v>
      </c>
      <c r="B719" s="46" t="s">
        <v>59</v>
      </c>
      <c r="C719" s="46" t="s">
        <v>14</v>
      </c>
      <c r="D719" s="47">
        <v>636</v>
      </c>
      <c r="E719" s="46" t="s">
        <v>5902</v>
      </c>
      <c r="F719" s="48">
        <v>39290</v>
      </c>
      <c r="G719" s="48">
        <v>39447</v>
      </c>
      <c r="H719" s="46" t="s">
        <v>40</v>
      </c>
      <c r="I719" s="45">
        <v>7500</v>
      </c>
      <c r="J719" s="45">
        <v>7500</v>
      </c>
      <c r="K719" s="49" t="s">
        <v>5815</v>
      </c>
      <c r="L719" s="45"/>
      <c r="M719" s="3"/>
    </row>
    <row r="720" spans="1:13" x14ac:dyDescent="0.25">
      <c r="A720" s="46" t="s">
        <v>5903</v>
      </c>
      <c r="B720" s="46" t="s">
        <v>59</v>
      </c>
      <c r="C720" s="46" t="s">
        <v>14</v>
      </c>
      <c r="D720" s="47">
        <v>637</v>
      </c>
      <c r="E720" s="46" t="s">
        <v>5904</v>
      </c>
      <c r="F720" s="48">
        <v>39363</v>
      </c>
      <c r="G720" s="48">
        <v>39813</v>
      </c>
      <c r="H720" s="46" t="s">
        <v>40</v>
      </c>
      <c r="I720" s="45">
        <v>3750</v>
      </c>
      <c r="J720" s="45">
        <v>3750</v>
      </c>
      <c r="K720" s="49" t="s">
        <v>5815</v>
      </c>
      <c r="L720" s="45"/>
      <c r="M720" s="3"/>
    </row>
    <row r="721" spans="1:13" ht="25.5" x14ac:dyDescent="0.25">
      <c r="A721" s="46" t="s">
        <v>5905</v>
      </c>
      <c r="B721" s="46" t="s">
        <v>59</v>
      </c>
      <c r="C721" s="46" t="s">
        <v>14</v>
      </c>
      <c r="D721" s="47">
        <v>640</v>
      </c>
      <c r="E721" s="46" t="s">
        <v>5906</v>
      </c>
      <c r="F721" s="48">
        <v>39408</v>
      </c>
      <c r="G721" s="48">
        <v>39447</v>
      </c>
      <c r="H721" s="46" t="s">
        <v>40</v>
      </c>
      <c r="I721" s="45">
        <v>1500</v>
      </c>
      <c r="J721" s="45">
        <v>1500</v>
      </c>
      <c r="K721" s="49" t="s">
        <v>5815</v>
      </c>
      <c r="L721" s="45"/>
      <c r="M721" s="3"/>
    </row>
    <row r="722" spans="1:13" x14ac:dyDescent="0.25">
      <c r="A722" s="46" t="s">
        <v>5911</v>
      </c>
      <c r="B722" s="46" t="s">
        <v>59</v>
      </c>
      <c r="C722" s="46" t="s">
        <v>14</v>
      </c>
      <c r="D722" s="47">
        <v>644</v>
      </c>
      <c r="E722" s="46" t="s">
        <v>5912</v>
      </c>
      <c r="F722" s="48">
        <v>39644</v>
      </c>
      <c r="G722" s="48">
        <v>39813</v>
      </c>
      <c r="H722" s="46" t="s">
        <v>40</v>
      </c>
      <c r="I722" s="45">
        <v>11250</v>
      </c>
      <c r="J722" s="45">
        <v>11250</v>
      </c>
      <c r="K722" s="49" t="s">
        <v>5815</v>
      </c>
      <c r="L722" s="45"/>
      <c r="M722" s="3"/>
    </row>
    <row r="723" spans="1:13" x14ac:dyDescent="0.25">
      <c r="A723" s="46" t="s">
        <v>5913</v>
      </c>
      <c r="B723" s="46" t="s">
        <v>59</v>
      </c>
      <c r="C723" s="46" t="s">
        <v>14</v>
      </c>
      <c r="D723" s="47">
        <v>645</v>
      </c>
      <c r="E723" s="46" t="s">
        <v>5914</v>
      </c>
      <c r="F723" s="48">
        <v>39624</v>
      </c>
      <c r="G723" s="48">
        <v>39813</v>
      </c>
      <c r="H723" s="46" t="s">
        <v>40</v>
      </c>
      <c r="I723" s="45">
        <v>22500</v>
      </c>
      <c r="J723" s="45">
        <v>22500</v>
      </c>
      <c r="K723" s="49" t="s">
        <v>5815</v>
      </c>
      <c r="L723" s="45"/>
      <c r="M723" s="3"/>
    </row>
    <row r="724" spans="1:13" x14ac:dyDescent="0.25">
      <c r="A724" s="46" t="s">
        <v>5921</v>
      </c>
      <c r="B724" s="46" t="s">
        <v>59</v>
      </c>
      <c r="C724" s="46" t="s">
        <v>14</v>
      </c>
      <c r="D724" s="47">
        <v>649</v>
      </c>
      <c r="E724" s="46" t="s">
        <v>5922</v>
      </c>
      <c r="F724" s="48">
        <v>39624</v>
      </c>
      <c r="G724" s="48">
        <v>40178</v>
      </c>
      <c r="H724" s="46" t="s">
        <v>40</v>
      </c>
      <c r="I724" s="45">
        <v>15000</v>
      </c>
      <c r="J724" s="45">
        <v>15000</v>
      </c>
      <c r="K724" s="49" t="s">
        <v>5815</v>
      </c>
      <c r="L724" s="45"/>
      <c r="M724" s="3"/>
    </row>
    <row r="725" spans="1:13" x14ac:dyDescent="0.25">
      <c r="A725" s="46" t="s">
        <v>5923</v>
      </c>
      <c r="B725" s="46" t="s">
        <v>59</v>
      </c>
      <c r="C725" s="46" t="s">
        <v>14</v>
      </c>
      <c r="D725" s="47">
        <v>650</v>
      </c>
      <c r="E725" s="46" t="s">
        <v>5924</v>
      </c>
      <c r="F725" s="48">
        <v>39647</v>
      </c>
      <c r="G725" s="48">
        <v>40178</v>
      </c>
      <c r="H725" s="46" t="s">
        <v>40</v>
      </c>
      <c r="I725" s="45">
        <v>15000</v>
      </c>
      <c r="J725" s="45">
        <v>15000</v>
      </c>
      <c r="K725" s="49" t="s">
        <v>5815</v>
      </c>
      <c r="L725" s="45"/>
      <c r="M725" s="3"/>
    </row>
    <row r="726" spans="1:13" x14ac:dyDescent="0.25">
      <c r="A726" s="46" t="s">
        <v>5925</v>
      </c>
      <c r="B726" s="46" t="s">
        <v>59</v>
      </c>
      <c r="C726" s="46" t="s">
        <v>14</v>
      </c>
      <c r="D726" s="47">
        <v>651</v>
      </c>
      <c r="E726" s="46" t="s">
        <v>5926</v>
      </c>
      <c r="F726" s="48">
        <v>39647</v>
      </c>
      <c r="G726" s="48">
        <v>40163</v>
      </c>
      <c r="H726" s="46" t="s">
        <v>40</v>
      </c>
      <c r="I726" s="45">
        <v>7500</v>
      </c>
      <c r="J726" s="45">
        <v>7500</v>
      </c>
      <c r="K726" s="49" t="s">
        <v>5815</v>
      </c>
      <c r="L726" s="45"/>
      <c r="M726" s="3"/>
    </row>
    <row r="727" spans="1:13" ht="25.5" x14ac:dyDescent="0.25">
      <c r="A727" s="46" t="s">
        <v>5927</v>
      </c>
      <c r="B727" s="46" t="s">
        <v>59</v>
      </c>
      <c r="C727" s="46" t="s">
        <v>14</v>
      </c>
      <c r="D727" s="47">
        <v>652</v>
      </c>
      <c r="E727" s="46" t="s">
        <v>5928</v>
      </c>
      <c r="F727" s="48">
        <v>39647</v>
      </c>
      <c r="G727" s="48">
        <v>39892</v>
      </c>
      <c r="H727" s="46" t="s">
        <v>40</v>
      </c>
      <c r="I727" s="45">
        <v>7500</v>
      </c>
      <c r="J727" s="45">
        <v>7500</v>
      </c>
      <c r="K727" s="49" t="s">
        <v>5815</v>
      </c>
      <c r="L727" s="45"/>
      <c r="M727" s="3"/>
    </row>
    <row r="728" spans="1:13" x14ac:dyDescent="0.25">
      <c r="A728" s="46" t="s">
        <v>5969</v>
      </c>
      <c r="B728" s="46" t="s">
        <v>59</v>
      </c>
      <c r="C728" s="46" t="s">
        <v>14</v>
      </c>
      <c r="D728" s="47">
        <v>674</v>
      </c>
      <c r="E728" s="46" t="s">
        <v>5970</v>
      </c>
      <c r="F728" s="48">
        <v>39083</v>
      </c>
      <c r="G728" s="48">
        <v>39813</v>
      </c>
      <c r="H728" s="46" t="s">
        <v>40</v>
      </c>
      <c r="I728" s="45">
        <v>7015</v>
      </c>
      <c r="J728" s="45">
        <v>7015</v>
      </c>
      <c r="K728" s="49" t="s">
        <v>5815</v>
      </c>
      <c r="L728" s="45"/>
      <c r="M728" s="3"/>
    </row>
    <row r="729" spans="1:13" ht="25.5" x14ac:dyDescent="0.25">
      <c r="A729" s="46" t="s">
        <v>6014</v>
      </c>
      <c r="B729" s="46" t="s">
        <v>59</v>
      </c>
      <c r="C729" s="46" t="s">
        <v>14</v>
      </c>
      <c r="D729" s="47">
        <v>5201</v>
      </c>
      <c r="E729" s="46" t="s">
        <v>6015</v>
      </c>
      <c r="F729" s="48">
        <v>39803</v>
      </c>
      <c r="G729" s="48">
        <v>40057</v>
      </c>
      <c r="H729" s="46" t="s">
        <v>40</v>
      </c>
      <c r="I729" s="45">
        <v>7500</v>
      </c>
      <c r="J729" s="45">
        <v>7500</v>
      </c>
      <c r="K729" s="49" t="s">
        <v>5815</v>
      </c>
      <c r="L729" s="45"/>
      <c r="M729" s="3"/>
    </row>
    <row r="730" spans="1:13" ht="25.5" x14ac:dyDescent="0.25">
      <c r="A730" s="46" t="s">
        <v>6016</v>
      </c>
      <c r="B730" s="46" t="s">
        <v>59</v>
      </c>
      <c r="C730" s="46" t="s">
        <v>14</v>
      </c>
      <c r="D730" s="47">
        <v>5210</v>
      </c>
      <c r="E730" s="46" t="s">
        <v>6017</v>
      </c>
      <c r="F730" s="48">
        <v>39853</v>
      </c>
      <c r="G730" s="48">
        <v>39994</v>
      </c>
      <c r="H730" s="46" t="s">
        <v>40</v>
      </c>
      <c r="I730" s="45">
        <v>7500</v>
      </c>
      <c r="J730" s="45">
        <v>7500</v>
      </c>
      <c r="K730" s="49" t="s">
        <v>5815</v>
      </c>
      <c r="L730" s="45"/>
      <c r="M730" s="3"/>
    </row>
    <row r="731" spans="1:13" x14ac:dyDescent="0.25">
      <c r="A731" s="46" t="s">
        <v>6018</v>
      </c>
      <c r="B731" s="46" t="s">
        <v>59</v>
      </c>
      <c r="C731" s="46" t="s">
        <v>14</v>
      </c>
      <c r="D731" s="47">
        <v>5214</v>
      </c>
      <c r="E731" s="46" t="s">
        <v>6019</v>
      </c>
      <c r="F731" s="48">
        <v>39945</v>
      </c>
      <c r="G731" s="48">
        <v>40163</v>
      </c>
      <c r="H731" s="46" t="s">
        <v>40</v>
      </c>
      <c r="I731" s="45">
        <v>7500</v>
      </c>
      <c r="J731" s="45">
        <v>7500</v>
      </c>
      <c r="K731" s="49" t="s">
        <v>5815</v>
      </c>
      <c r="L731" s="45"/>
      <c r="M731" s="3"/>
    </row>
    <row r="732" spans="1:13" ht="25.5" x14ac:dyDescent="0.25">
      <c r="A732" s="46" t="s">
        <v>6020</v>
      </c>
      <c r="B732" s="46" t="s">
        <v>59</v>
      </c>
      <c r="C732" s="46" t="s">
        <v>14</v>
      </c>
      <c r="D732" s="47">
        <v>5218</v>
      </c>
      <c r="E732" s="46" t="s">
        <v>6021</v>
      </c>
      <c r="F732" s="48">
        <v>39940</v>
      </c>
      <c r="G732" s="46"/>
      <c r="H732" s="46" t="s">
        <v>40</v>
      </c>
      <c r="I732" s="45">
        <v>7500</v>
      </c>
      <c r="J732" s="45">
        <v>7500</v>
      </c>
      <c r="K732" s="49" t="s">
        <v>5815</v>
      </c>
      <c r="L732" s="45"/>
      <c r="M732" s="3"/>
    </row>
    <row r="733" spans="1:13" x14ac:dyDescent="0.25">
      <c r="A733" s="46" t="s">
        <v>6022</v>
      </c>
      <c r="B733" s="46" t="s">
        <v>59</v>
      </c>
      <c r="C733" s="46" t="s">
        <v>14</v>
      </c>
      <c r="D733" s="47">
        <v>5219</v>
      </c>
      <c r="E733" s="46" t="s">
        <v>6023</v>
      </c>
      <c r="F733" s="48">
        <v>39955</v>
      </c>
      <c r="G733" s="46"/>
      <c r="H733" s="46" t="s">
        <v>40</v>
      </c>
      <c r="I733" s="45">
        <v>7500</v>
      </c>
      <c r="J733" s="45">
        <v>7500</v>
      </c>
      <c r="K733" s="49" t="s">
        <v>5815</v>
      </c>
      <c r="L733" s="45"/>
      <c r="M733" s="3"/>
    </row>
    <row r="734" spans="1:13" x14ac:dyDescent="0.25">
      <c r="A734" s="46" t="s">
        <v>6024</v>
      </c>
      <c r="B734" s="46" t="s">
        <v>59</v>
      </c>
      <c r="C734" s="46" t="s">
        <v>14</v>
      </c>
      <c r="D734" s="47">
        <v>5221</v>
      </c>
      <c r="E734" s="46" t="s">
        <v>6025</v>
      </c>
      <c r="F734" s="48">
        <v>39954</v>
      </c>
      <c r="G734" s="48">
        <v>40134</v>
      </c>
      <c r="H734" s="46" t="s">
        <v>40</v>
      </c>
      <c r="I734" s="45">
        <v>7500</v>
      </c>
      <c r="J734" s="45">
        <v>7500</v>
      </c>
      <c r="K734" s="49" t="s">
        <v>5815</v>
      </c>
      <c r="L734" s="45"/>
      <c r="M734" s="3"/>
    </row>
    <row r="735" spans="1:13" x14ac:dyDescent="0.25">
      <c r="A735" s="46" t="s">
        <v>6026</v>
      </c>
      <c r="B735" s="46" t="s">
        <v>59</v>
      </c>
      <c r="C735" s="46" t="s">
        <v>14</v>
      </c>
      <c r="D735" s="47">
        <v>5224</v>
      </c>
      <c r="E735" s="46" t="s">
        <v>6027</v>
      </c>
      <c r="F735" s="48">
        <v>39969</v>
      </c>
      <c r="G735" s="48">
        <v>40156</v>
      </c>
      <c r="H735" s="46" t="s">
        <v>40</v>
      </c>
      <c r="I735" s="45">
        <v>15000</v>
      </c>
      <c r="J735" s="45">
        <v>15000</v>
      </c>
      <c r="K735" s="49" t="s">
        <v>5815</v>
      </c>
      <c r="L735" s="45"/>
      <c r="M735" s="3"/>
    </row>
    <row r="736" spans="1:13" ht="25.5" x14ac:dyDescent="0.25">
      <c r="A736" s="46" t="s">
        <v>6028</v>
      </c>
      <c r="B736" s="46" t="s">
        <v>59</v>
      </c>
      <c r="C736" s="46" t="s">
        <v>14</v>
      </c>
      <c r="D736" s="47">
        <v>5227</v>
      </c>
      <c r="E736" s="46" t="s">
        <v>6029</v>
      </c>
      <c r="F736" s="48">
        <v>39976</v>
      </c>
      <c r="G736" s="46"/>
      <c r="H736" s="46" t="s">
        <v>40</v>
      </c>
      <c r="I736" s="45">
        <v>37500</v>
      </c>
      <c r="J736" s="45">
        <v>37500</v>
      </c>
      <c r="K736" s="49" t="s">
        <v>5815</v>
      </c>
      <c r="L736" s="45"/>
      <c r="M736" s="3"/>
    </row>
    <row r="737" spans="1:13" x14ac:dyDescent="0.25">
      <c r="A737" s="46" t="s">
        <v>6032</v>
      </c>
      <c r="B737" s="46" t="s">
        <v>59</v>
      </c>
      <c r="C737" s="46" t="s">
        <v>14</v>
      </c>
      <c r="D737" s="47">
        <v>5300</v>
      </c>
      <c r="E737" s="46" t="s">
        <v>6033</v>
      </c>
      <c r="F737" s="48">
        <v>39994</v>
      </c>
      <c r="G737" s="48">
        <v>40178</v>
      </c>
      <c r="H737" s="46" t="s">
        <v>40</v>
      </c>
      <c r="I737" s="45">
        <v>7500</v>
      </c>
      <c r="J737" s="45">
        <v>7500</v>
      </c>
      <c r="K737" s="49" t="s">
        <v>5815</v>
      </c>
      <c r="L737" s="45"/>
      <c r="M737" s="3"/>
    </row>
    <row r="738" spans="1:13" ht="25.5" x14ac:dyDescent="0.25">
      <c r="A738" s="46" t="s">
        <v>6034</v>
      </c>
      <c r="B738" s="46" t="s">
        <v>59</v>
      </c>
      <c r="C738" s="46" t="s">
        <v>14</v>
      </c>
      <c r="D738" s="47">
        <v>5301</v>
      </c>
      <c r="E738" s="46" t="s">
        <v>6035</v>
      </c>
      <c r="F738" s="48">
        <v>39994</v>
      </c>
      <c r="G738" s="48">
        <v>40357</v>
      </c>
      <c r="H738" s="46" t="s">
        <v>40</v>
      </c>
      <c r="I738" s="45">
        <v>15000</v>
      </c>
      <c r="J738" s="45">
        <v>15000</v>
      </c>
      <c r="K738" s="49" t="s">
        <v>5815</v>
      </c>
      <c r="L738" s="45"/>
      <c r="M738" s="3"/>
    </row>
    <row r="739" spans="1:13" x14ac:dyDescent="0.25">
      <c r="A739" s="46" t="s">
        <v>6036</v>
      </c>
      <c r="B739" s="46" t="s">
        <v>59</v>
      </c>
      <c r="C739" s="46" t="s">
        <v>14</v>
      </c>
      <c r="D739" s="47">
        <v>5304</v>
      </c>
      <c r="E739" s="46" t="s">
        <v>6037</v>
      </c>
      <c r="F739" s="48">
        <v>40009</v>
      </c>
      <c r="G739" s="48">
        <v>40135</v>
      </c>
      <c r="H739" s="46" t="s">
        <v>40</v>
      </c>
      <c r="I739" s="45">
        <v>7500</v>
      </c>
      <c r="J739" s="45">
        <v>7500</v>
      </c>
      <c r="K739" s="49" t="s">
        <v>5815</v>
      </c>
      <c r="L739" s="45"/>
      <c r="M739" s="3"/>
    </row>
    <row r="740" spans="1:13" x14ac:dyDescent="0.25">
      <c r="A740" s="46" t="s">
        <v>6038</v>
      </c>
      <c r="B740" s="46" t="s">
        <v>59</v>
      </c>
      <c r="C740" s="46" t="s">
        <v>14</v>
      </c>
      <c r="D740" s="47">
        <v>5305</v>
      </c>
      <c r="E740" s="46" t="s">
        <v>6039</v>
      </c>
      <c r="F740" s="48">
        <v>40017</v>
      </c>
      <c r="G740" s="48">
        <v>40178</v>
      </c>
      <c r="H740" s="46" t="s">
        <v>40</v>
      </c>
      <c r="I740" s="45">
        <v>7500</v>
      </c>
      <c r="J740" s="45">
        <v>7500</v>
      </c>
      <c r="K740" s="49" t="s">
        <v>5815</v>
      </c>
      <c r="L740" s="45"/>
      <c r="M740" s="3"/>
    </row>
    <row r="741" spans="1:13" ht="25.5" x14ac:dyDescent="0.25">
      <c r="A741" s="46" t="s">
        <v>6040</v>
      </c>
      <c r="B741" s="46" t="s">
        <v>59</v>
      </c>
      <c r="C741" s="46" t="s">
        <v>14</v>
      </c>
      <c r="D741" s="47">
        <v>5315</v>
      </c>
      <c r="E741" s="46" t="s">
        <v>6041</v>
      </c>
      <c r="F741" s="48">
        <v>40088</v>
      </c>
      <c r="G741" s="48">
        <v>40472</v>
      </c>
      <c r="H741" s="46" t="s">
        <v>40</v>
      </c>
      <c r="I741" s="45">
        <v>30000</v>
      </c>
      <c r="J741" s="45">
        <v>30000</v>
      </c>
      <c r="K741" s="49" t="s">
        <v>5815</v>
      </c>
      <c r="L741" s="45"/>
      <c r="M741" s="3"/>
    </row>
    <row r="742" spans="1:13" x14ac:dyDescent="0.25">
      <c r="A742" s="46" t="s">
        <v>6042</v>
      </c>
      <c r="B742" s="46" t="s">
        <v>59</v>
      </c>
      <c r="C742" s="46" t="s">
        <v>14</v>
      </c>
      <c r="D742" s="47">
        <v>5316</v>
      </c>
      <c r="E742" s="46" t="s">
        <v>6043</v>
      </c>
      <c r="F742" s="48">
        <v>40109</v>
      </c>
      <c r="G742" s="46"/>
      <c r="H742" s="46" t="s">
        <v>40</v>
      </c>
      <c r="I742" s="45">
        <v>7500</v>
      </c>
      <c r="J742" s="45">
        <v>7500</v>
      </c>
      <c r="K742" s="49" t="s">
        <v>5815</v>
      </c>
      <c r="L742" s="45"/>
      <c r="M742" s="3"/>
    </row>
    <row r="743" spans="1:13" x14ac:dyDescent="0.25">
      <c r="A743" s="46" t="s">
        <v>6044</v>
      </c>
      <c r="B743" s="46" t="s">
        <v>59</v>
      </c>
      <c r="C743" s="46" t="s">
        <v>14</v>
      </c>
      <c r="D743" s="47">
        <v>5346</v>
      </c>
      <c r="E743" s="46" t="s">
        <v>6045</v>
      </c>
      <c r="F743" s="48">
        <v>40134</v>
      </c>
      <c r="G743" s="48">
        <v>40358</v>
      </c>
      <c r="H743" s="46" t="s">
        <v>40</v>
      </c>
      <c r="I743" s="45">
        <v>7500</v>
      </c>
      <c r="J743" s="45">
        <v>7500</v>
      </c>
      <c r="K743" s="49" t="s">
        <v>5815</v>
      </c>
      <c r="L743" s="45"/>
      <c r="M743" s="3"/>
    </row>
    <row r="744" spans="1:13" x14ac:dyDescent="0.25">
      <c r="A744" s="46" t="s">
        <v>6046</v>
      </c>
      <c r="B744" s="46" t="s">
        <v>59</v>
      </c>
      <c r="C744" s="46" t="s">
        <v>14</v>
      </c>
      <c r="D744" s="47">
        <v>5347</v>
      </c>
      <c r="E744" s="46" t="s">
        <v>6047</v>
      </c>
      <c r="F744" s="48">
        <v>40163</v>
      </c>
      <c r="G744" s="48">
        <v>40529</v>
      </c>
      <c r="H744" s="46" t="s">
        <v>40</v>
      </c>
      <c r="I744" s="45">
        <v>30000</v>
      </c>
      <c r="J744" s="45">
        <v>30000</v>
      </c>
      <c r="K744" s="49" t="s">
        <v>5815</v>
      </c>
      <c r="L744" s="45"/>
      <c r="M744" s="3"/>
    </row>
    <row r="745" spans="1:13" ht="25.5" x14ac:dyDescent="0.25">
      <c r="A745" s="46" t="s">
        <v>6058</v>
      </c>
      <c r="B745" s="46" t="s">
        <v>59</v>
      </c>
      <c r="C745" s="46" t="s">
        <v>14</v>
      </c>
      <c r="D745" s="47">
        <v>5391</v>
      </c>
      <c r="E745" s="46" t="s">
        <v>6059</v>
      </c>
      <c r="F745" s="48">
        <v>40009</v>
      </c>
      <c r="G745" s="48">
        <v>40213</v>
      </c>
      <c r="H745" s="46" t="s">
        <v>40</v>
      </c>
      <c r="I745" s="45">
        <v>7500</v>
      </c>
      <c r="J745" s="45">
        <v>7500</v>
      </c>
      <c r="K745" s="49" t="s">
        <v>5815</v>
      </c>
      <c r="L745" s="45"/>
      <c r="M745" s="3"/>
    </row>
    <row r="746" spans="1:13" x14ac:dyDescent="0.25">
      <c r="A746" s="46" t="s">
        <v>6060</v>
      </c>
      <c r="B746" s="46" t="s">
        <v>59</v>
      </c>
      <c r="C746" s="46" t="s">
        <v>14</v>
      </c>
      <c r="D746" s="47">
        <v>5392</v>
      </c>
      <c r="E746" s="46" t="s">
        <v>6061</v>
      </c>
      <c r="F746" s="48">
        <v>40163</v>
      </c>
      <c r="G746" s="48">
        <v>40518</v>
      </c>
      <c r="H746" s="46" t="s">
        <v>40</v>
      </c>
      <c r="I746" s="45">
        <v>11250</v>
      </c>
      <c r="J746" s="45">
        <v>11250</v>
      </c>
      <c r="K746" s="49" t="s">
        <v>5815</v>
      </c>
      <c r="L746" s="45"/>
      <c r="M746" s="3"/>
    </row>
    <row r="747" spans="1:13" x14ac:dyDescent="0.25">
      <c r="A747" s="46" t="s">
        <v>6062</v>
      </c>
      <c r="B747" s="46" t="s">
        <v>59</v>
      </c>
      <c r="C747" s="46" t="s">
        <v>14</v>
      </c>
      <c r="D747" s="47">
        <v>5395</v>
      </c>
      <c r="E747" s="46" t="s">
        <v>6063</v>
      </c>
      <c r="F747" s="48">
        <v>40057</v>
      </c>
      <c r="G747" s="46"/>
      <c r="H747" s="46" t="s">
        <v>40</v>
      </c>
      <c r="I747" s="45">
        <v>13125</v>
      </c>
      <c r="J747" s="45">
        <v>13125</v>
      </c>
      <c r="K747" s="49" t="s">
        <v>5815</v>
      </c>
      <c r="L747" s="45"/>
      <c r="M747" s="3"/>
    </row>
    <row r="748" spans="1:13" x14ac:dyDescent="0.25">
      <c r="A748" s="46" t="s">
        <v>6225</v>
      </c>
      <c r="B748" s="46" t="s">
        <v>59</v>
      </c>
      <c r="C748" s="46" t="s">
        <v>14</v>
      </c>
      <c r="D748" s="47">
        <v>1035</v>
      </c>
      <c r="E748" s="46" t="s">
        <v>6226</v>
      </c>
      <c r="F748" s="48">
        <v>39475</v>
      </c>
      <c r="G748" s="46"/>
      <c r="H748" s="46" t="s">
        <v>40</v>
      </c>
      <c r="I748" s="45">
        <v>6000</v>
      </c>
      <c r="J748" s="45">
        <v>6000</v>
      </c>
      <c r="K748" s="49" t="s">
        <v>6182</v>
      </c>
      <c r="L748" s="45"/>
      <c r="M748" s="3"/>
    </row>
    <row r="749" spans="1:13" x14ac:dyDescent="0.25">
      <c r="A749" s="46" t="s">
        <v>6233</v>
      </c>
      <c r="B749" s="46" t="s">
        <v>59</v>
      </c>
      <c r="C749" s="46" t="s">
        <v>14</v>
      </c>
      <c r="D749" s="47">
        <v>1040</v>
      </c>
      <c r="E749" s="46" t="s">
        <v>6234</v>
      </c>
      <c r="F749" s="48">
        <v>39538</v>
      </c>
      <c r="G749" s="48">
        <v>39651</v>
      </c>
      <c r="H749" s="46" t="s">
        <v>40</v>
      </c>
      <c r="I749" s="45">
        <v>6000</v>
      </c>
      <c r="J749" s="45">
        <v>6000</v>
      </c>
      <c r="K749" s="49" t="s">
        <v>6182</v>
      </c>
      <c r="L749" s="45"/>
      <c r="M749" s="3"/>
    </row>
    <row r="750" spans="1:13" x14ac:dyDescent="0.25">
      <c r="A750" s="46" t="s">
        <v>6241</v>
      </c>
      <c r="B750" s="46" t="s">
        <v>59</v>
      </c>
      <c r="C750" s="46" t="s">
        <v>14</v>
      </c>
      <c r="D750" s="47">
        <v>1045</v>
      </c>
      <c r="E750" s="46" t="s">
        <v>6242</v>
      </c>
      <c r="F750" s="48">
        <v>39167</v>
      </c>
      <c r="G750" s="48">
        <v>40059</v>
      </c>
      <c r="H750" s="46" t="s">
        <v>40</v>
      </c>
      <c r="I750" s="45">
        <v>21750</v>
      </c>
      <c r="J750" s="45">
        <v>21750</v>
      </c>
      <c r="K750" s="49" t="s">
        <v>6182</v>
      </c>
      <c r="L750" s="45"/>
      <c r="M750" s="3"/>
    </row>
    <row r="751" spans="1:13" x14ac:dyDescent="0.25">
      <c r="A751" s="46" t="s">
        <v>6247</v>
      </c>
      <c r="B751" s="46" t="s">
        <v>59</v>
      </c>
      <c r="C751" s="46" t="s">
        <v>14</v>
      </c>
      <c r="D751" s="47">
        <v>1049</v>
      </c>
      <c r="E751" s="46" t="s">
        <v>6248</v>
      </c>
      <c r="F751" s="48">
        <v>39594</v>
      </c>
      <c r="G751" s="48">
        <v>39673</v>
      </c>
      <c r="H751" s="46" t="s">
        <v>40</v>
      </c>
      <c r="I751" s="45">
        <v>6000</v>
      </c>
      <c r="J751" s="45">
        <v>6000</v>
      </c>
      <c r="K751" s="49" t="s">
        <v>6182</v>
      </c>
      <c r="L751" s="45"/>
      <c r="M751" s="3"/>
    </row>
    <row r="752" spans="1:13" x14ac:dyDescent="0.25">
      <c r="A752" s="46" t="s">
        <v>6368</v>
      </c>
      <c r="B752" s="46" t="s">
        <v>59</v>
      </c>
      <c r="C752" s="46" t="s">
        <v>14</v>
      </c>
      <c r="D752" s="47">
        <v>5747</v>
      </c>
      <c r="E752" s="46" t="s">
        <v>6369</v>
      </c>
      <c r="F752" s="48">
        <v>39966</v>
      </c>
      <c r="G752" s="46"/>
      <c r="H752" s="46" t="s">
        <v>40</v>
      </c>
      <c r="I752" s="45">
        <v>3750</v>
      </c>
      <c r="J752" s="45">
        <v>3750</v>
      </c>
      <c r="K752" s="49" t="s">
        <v>6182</v>
      </c>
      <c r="L752" s="45"/>
      <c r="M752" s="3"/>
    </row>
    <row r="753" spans="1:13" x14ac:dyDescent="0.25">
      <c r="A753" s="46" t="s">
        <v>6376</v>
      </c>
      <c r="B753" s="46" t="s">
        <v>59</v>
      </c>
      <c r="C753" s="46" t="s">
        <v>14</v>
      </c>
      <c r="D753" s="47">
        <v>5922</v>
      </c>
      <c r="E753" s="46" t="s">
        <v>6377</v>
      </c>
      <c r="F753" s="48">
        <v>39839</v>
      </c>
      <c r="G753" s="46"/>
      <c r="H753" s="46" t="s">
        <v>40</v>
      </c>
      <c r="I753" s="45">
        <v>3000</v>
      </c>
      <c r="J753" s="45">
        <v>3000</v>
      </c>
      <c r="K753" s="49" t="s">
        <v>6182</v>
      </c>
      <c r="L753" s="45"/>
      <c r="M753" s="3"/>
    </row>
    <row r="754" spans="1:13" x14ac:dyDescent="0.25">
      <c r="A754" s="46" t="s">
        <v>6380</v>
      </c>
      <c r="B754" s="46" t="s">
        <v>59</v>
      </c>
      <c r="C754" s="46" t="s">
        <v>14</v>
      </c>
      <c r="D754" s="47">
        <v>5924</v>
      </c>
      <c r="E754" s="46" t="s">
        <v>6381</v>
      </c>
      <c r="F754" s="48">
        <v>40014</v>
      </c>
      <c r="G754" s="46"/>
      <c r="H754" s="46" t="s">
        <v>40</v>
      </c>
      <c r="I754" s="45">
        <v>3250</v>
      </c>
      <c r="J754" s="45">
        <v>3250</v>
      </c>
      <c r="K754" s="49" t="s">
        <v>6182</v>
      </c>
      <c r="L754" s="45"/>
      <c r="M754" s="3"/>
    </row>
    <row r="755" spans="1:13" x14ac:dyDescent="0.25">
      <c r="A755" s="46" t="s">
        <v>6382</v>
      </c>
      <c r="B755" s="46" t="s">
        <v>59</v>
      </c>
      <c r="C755" s="46" t="s">
        <v>14</v>
      </c>
      <c r="D755" s="47">
        <v>5931</v>
      </c>
      <c r="E755" s="46" t="s">
        <v>6383</v>
      </c>
      <c r="F755" s="48">
        <v>39958</v>
      </c>
      <c r="G755" s="46"/>
      <c r="H755" s="46" t="s">
        <v>40</v>
      </c>
      <c r="I755" s="45">
        <v>3750</v>
      </c>
      <c r="J755" s="45">
        <v>3750</v>
      </c>
      <c r="K755" s="49" t="s">
        <v>6182</v>
      </c>
      <c r="L755" s="45"/>
      <c r="M755" s="3"/>
    </row>
    <row r="756" spans="1:13" ht="25.5" x14ac:dyDescent="0.25">
      <c r="A756" s="46" t="s">
        <v>6487</v>
      </c>
      <c r="B756" s="46" t="s">
        <v>59</v>
      </c>
      <c r="C756" s="46" t="s">
        <v>14</v>
      </c>
      <c r="D756" s="47">
        <v>7740</v>
      </c>
      <c r="E756" s="46" t="s">
        <v>6488</v>
      </c>
      <c r="F756" s="48">
        <v>40210</v>
      </c>
      <c r="G756" s="46"/>
      <c r="H756" s="46" t="s">
        <v>40</v>
      </c>
      <c r="I756" s="45">
        <v>15000</v>
      </c>
      <c r="J756" s="45">
        <v>15000</v>
      </c>
      <c r="K756" s="49" t="s">
        <v>6182</v>
      </c>
      <c r="L756" s="45"/>
      <c r="M756" s="3"/>
    </row>
    <row r="757" spans="1:13" ht="25.5" x14ac:dyDescent="0.25">
      <c r="A757" s="46" t="s">
        <v>6493</v>
      </c>
      <c r="B757" s="46" t="s">
        <v>59</v>
      </c>
      <c r="C757" s="46" t="s">
        <v>14</v>
      </c>
      <c r="D757" s="47">
        <v>7743</v>
      </c>
      <c r="E757" s="46" t="s">
        <v>6494</v>
      </c>
      <c r="F757" s="48">
        <v>40245</v>
      </c>
      <c r="G757" s="46"/>
      <c r="H757" s="46" t="s">
        <v>40</v>
      </c>
      <c r="I757" s="45">
        <v>3750</v>
      </c>
      <c r="J757" s="45">
        <v>3750</v>
      </c>
      <c r="K757" s="49" t="s">
        <v>6182</v>
      </c>
      <c r="L757" s="45"/>
      <c r="M757" s="3"/>
    </row>
    <row r="758" spans="1:13" ht="38.25" x14ac:dyDescent="0.25">
      <c r="A758" s="46" t="s">
        <v>6507</v>
      </c>
      <c r="B758" s="46" t="s">
        <v>59</v>
      </c>
      <c r="C758" s="46" t="s">
        <v>14</v>
      </c>
      <c r="D758" s="47">
        <v>7750</v>
      </c>
      <c r="E758" s="46" t="s">
        <v>6508</v>
      </c>
      <c r="F758" s="48">
        <v>40225</v>
      </c>
      <c r="G758" s="46"/>
      <c r="H758" s="46" t="s">
        <v>40</v>
      </c>
      <c r="I758" s="45">
        <v>3250</v>
      </c>
      <c r="J758" s="45">
        <v>3250</v>
      </c>
      <c r="K758" s="49" t="s">
        <v>6182</v>
      </c>
      <c r="L758" s="45"/>
      <c r="M758" s="3"/>
    </row>
    <row r="759" spans="1:13" ht="25.5" x14ac:dyDescent="0.25">
      <c r="A759" s="46" t="s">
        <v>6509</v>
      </c>
      <c r="B759" s="46" t="s">
        <v>59</v>
      </c>
      <c r="C759" s="46" t="s">
        <v>14</v>
      </c>
      <c r="D759" s="47">
        <v>7751</v>
      </c>
      <c r="E759" s="46" t="s">
        <v>6510</v>
      </c>
      <c r="F759" s="48">
        <v>40318</v>
      </c>
      <c r="G759" s="46"/>
      <c r="H759" s="46" t="s">
        <v>40</v>
      </c>
      <c r="I759" s="45">
        <v>3750</v>
      </c>
      <c r="J759" s="45">
        <v>3750</v>
      </c>
      <c r="K759" s="49" t="s">
        <v>6182</v>
      </c>
      <c r="L759" s="45"/>
      <c r="M759" s="3"/>
    </row>
    <row r="760" spans="1:13" ht="25.5" x14ac:dyDescent="0.25">
      <c r="A760" s="46" t="s">
        <v>6513</v>
      </c>
      <c r="B760" s="46" t="s">
        <v>59</v>
      </c>
      <c r="C760" s="46" t="s">
        <v>14</v>
      </c>
      <c r="D760" s="47">
        <v>7753</v>
      </c>
      <c r="E760" s="46" t="s">
        <v>6514</v>
      </c>
      <c r="F760" s="48">
        <v>40200</v>
      </c>
      <c r="G760" s="46"/>
      <c r="H760" s="46" t="s">
        <v>40</v>
      </c>
      <c r="I760" s="45">
        <v>3000</v>
      </c>
      <c r="J760" s="45">
        <v>3000</v>
      </c>
      <c r="K760" s="49" t="s">
        <v>6182</v>
      </c>
      <c r="L760" s="45"/>
      <c r="M760" s="3"/>
    </row>
    <row r="761" spans="1:13" ht="25.5" x14ac:dyDescent="0.25">
      <c r="A761" s="46" t="s">
        <v>6687</v>
      </c>
      <c r="B761" s="46" t="s">
        <v>59</v>
      </c>
      <c r="C761" s="46" t="s">
        <v>14</v>
      </c>
      <c r="D761" s="47">
        <v>11091</v>
      </c>
      <c r="E761" s="46" t="s">
        <v>6688</v>
      </c>
      <c r="F761" s="48">
        <v>41058</v>
      </c>
      <c r="G761" s="48">
        <v>41274</v>
      </c>
      <c r="H761" s="46" t="s">
        <v>40</v>
      </c>
      <c r="I761" s="45">
        <f>12000+4000</f>
        <v>16000</v>
      </c>
      <c r="J761" s="45">
        <f>4000+4000</f>
        <v>8000</v>
      </c>
      <c r="K761" s="49" t="s">
        <v>6182</v>
      </c>
      <c r="L761" s="45"/>
      <c r="M761" s="3"/>
    </row>
    <row r="762" spans="1:13" x14ac:dyDescent="0.25">
      <c r="A762" s="46" t="s">
        <v>6765</v>
      </c>
      <c r="B762" s="46" t="s">
        <v>59</v>
      </c>
      <c r="C762" s="46" t="s">
        <v>14</v>
      </c>
      <c r="D762" s="47">
        <v>3176</v>
      </c>
      <c r="E762" s="46" t="s">
        <v>6766</v>
      </c>
      <c r="F762" s="48">
        <v>39154</v>
      </c>
      <c r="G762" s="48">
        <v>39383</v>
      </c>
      <c r="H762" s="46" t="s">
        <v>40</v>
      </c>
      <c r="I762" s="45">
        <v>1000</v>
      </c>
      <c r="J762" s="45">
        <v>1000</v>
      </c>
      <c r="K762" s="49" t="s">
        <v>6720</v>
      </c>
      <c r="L762" s="45"/>
      <c r="M762" s="3"/>
    </row>
    <row r="763" spans="1:13" x14ac:dyDescent="0.25">
      <c r="A763" s="46" t="s">
        <v>6773</v>
      </c>
      <c r="B763" s="46" t="s">
        <v>59</v>
      </c>
      <c r="C763" s="46" t="s">
        <v>14</v>
      </c>
      <c r="D763" s="47">
        <v>3184</v>
      </c>
      <c r="E763" s="46" t="s">
        <v>6774</v>
      </c>
      <c r="F763" s="48">
        <v>39434</v>
      </c>
      <c r="G763" s="48">
        <v>39623</v>
      </c>
      <c r="H763" s="46" t="s">
        <v>40</v>
      </c>
      <c r="I763" s="45">
        <v>12000</v>
      </c>
      <c r="J763" s="45">
        <v>12000</v>
      </c>
      <c r="K763" s="49" t="s">
        <v>6720</v>
      </c>
      <c r="L763" s="45"/>
      <c r="M763" s="3"/>
    </row>
    <row r="764" spans="1:13" x14ac:dyDescent="0.25">
      <c r="A764" s="46" t="s">
        <v>6775</v>
      </c>
      <c r="B764" s="46" t="s">
        <v>59</v>
      </c>
      <c r="C764" s="46" t="s">
        <v>14</v>
      </c>
      <c r="D764" s="47">
        <v>3187</v>
      </c>
      <c r="E764" s="46" t="s">
        <v>6776</v>
      </c>
      <c r="F764" s="48">
        <v>39436</v>
      </c>
      <c r="G764" s="48">
        <v>39813</v>
      </c>
      <c r="H764" s="46" t="s">
        <v>40</v>
      </c>
      <c r="I764" s="45">
        <v>7500</v>
      </c>
      <c r="J764" s="45">
        <v>7500</v>
      </c>
      <c r="K764" s="49" t="s">
        <v>6720</v>
      </c>
      <c r="L764" s="45"/>
      <c r="M764" s="3"/>
    </row>
    <row r="765" spans="1:13" x14ac:dyDescent="0.25">
      <c r="A765" s="46" t="s">
        <v>6777</v>
      </c>
      <c r="B765" s="46" t="s">
        <v>59</v>
      </c>
      <c r="C765" s="46" t="s">
        <v>14</v>
      </c>
      <c r="D765" s="47">
        <v>3192</v>
      </c>
      <c r="E765" s="46" t="s">
        <v>6778</v>
      </c>
      <c r="F765" s="48">
        <v>39435</v>
      </c>
      <c r="G765" s="48">
        <v>39814</v>
      </c>
      <c r="H765" s="46" t="s">
        <v>40</v>
      </c>
      <c r="I765" s="45">
        <v>19250</v>
      </c>
      <c r="J765" s="45">
        <v>19250</v>
      </c>
      <c r="K765" s="49" t="s">
        <v>6720</v>
      </c>
      <c r="L765" s="45"/>
      <c r="M765" s="3"/>
    </row>
    <row r="766" spans="1:13" x14ac:dyDescent="0.25">
      <c r="A766" s="46" t="s">
        <v>6795</v>
      </c>
      <c r="B766" s="46" t="s">
        <v>59</v>
      </c>
      <c r="C766" s="46" t="s">
        <v>14</v>
      </c>
      <c r="D766" s="47">
        <v>3201</v>
      </c>
      <c r="E766" s="46" t="s">
        <v>6796</v>
      </c>
      <c r="F766" s="48">
        <v>39505</v>
      </c>
      <c r="G766" s="48">
        <v>39755</v>
      </c>
      <c r="H766" s="46" t="s">
        <v>40</v>
      </c>
      <c r="I766" s="45">
        <v>7500</v>
      </c>
      <c r="J766" s="45">
        <v>7500</v>
      </c>
      <c r="K766" s="49" t="s">
        <v>6720</v>
      </c>
      <c r="L766" s="45"/>
      <c r="M766" s="3"/>
    </row>
    <row r="767" spans="1:13" x14ac:dyDescent="0.25">
      <c r="A767" s="46" t="s">
        <v>6799</v>
      </c>
      <c r="B767" s="46" t="s">
        <v>59</v>
      </c>
      <c r="C767" s="46" t="s">
        <v>14</v>
      </c>
      <c r="D767" s="47">
        <v>3203</v>
      </c>
      <c r="E767" s="46" t="s">
        <v>6800</v>
      </c>
      <c r="F767" s="48">
        <v>39616</v>
      </c>
      <c r="G767" s="48">
        <v>39933</v>
      </c>
      <c r="H767" s="46" t="s">
        <v>40</v>
      </c>
      <c r="I767" s="45">
        <v>7500</v>
      </c>
      <c r="J767" s="45">
        <v>7500</v>
      </c>
      <c r="K767" s="49" t="s">
        <v>6720</v>
      </c>
      <c r="L767" s="45"/>
      <c r="M767" s="3"/>
    </row>
    <row r="768" spans="1:13" x14ac:dyDescent="0.25">
      <c r="A768" s="46" t="s">
        <v>6801</v>
      </c>
      <c r="B768" s="46" t="s">
        <v>59</v>
      </c>
      <c r="C768" s="46" t="s">
        <v>14</v>
      </c>
      <c r="D768" s="47">
        <v>3204</v>
      </c>
      <c r="E768" s="46" t="s">
        <v>6802</v>
      </c>
      <c r="F768" s="48">
        <v>39600</v>
      </c>
      <c r="G768" s="48">
        <v>39930</v>
      </c>
      <c r="H768" s="46" t="s">
        <v>40</v>
      </c>
      <c r="I768" s="45">
        <v>8000</v>
      </c>
      <c r="J768" s="45">
        <v>8000</v>
      </c>
      <c r="K768" s="49" t="s">
        <v>6720</v>
      </c>
      <c r="L768" s="45"/>
      <c r="M768" s="3"/>
    </row>
    <row r="769" spans="1:13" x14ac:dyDescent="0.25">
      <c r="A769" s="46" t="s">
        <v>6803</v>
      </c>
      <c r="B769" s="46" t="s">
        <v>59</v>
      </c>
      <c r="C769" s="46" t="s">
        <v>14</v>
      </c>
      <c r="D769" s="47">
        <v>3205</v>
      </c>
      <c r="E769" s="46" t="s">
        <v>6804</v>
      </c>
      <c r="F769" s="48">
        <v>39692</v>
      </c>
      <c r="G769" s="48">
        <v>39972</v>
      </c>
      <c r="H769" s="46" t="s">
        <v>40</v>
      </c>
      <c r="I769" s="45">
        <v>7500</v>
      </c>
      <c r="J769" s="45">
        <v>7500</v>
      </c>
      <c r="K769" s="49" t="s">
        <v>6720</v>
      </c>
      <c r="L769" s="45"/>
      <c r="M769" s="3"/>
    </row>
    <row r="770" spans="1:13" x14ac:dyDescent="0.25">
      <c r="A770" s="46" t="s">
        <v>6807</v>
      </c>
      <c r="B770" s="46" t="s">
        <v>59</v>
      </c>
      <c r="C770" s="46" t="s">
        <v>14</v>
      </c>
      <c r="D770" s="47">
        <v>3225</v>
      </c>
      <c r="E770" s="46" t="s">
        <v>6808</v>
      </c>
      <c r="F770" s="48">
        <v>39346</v>
      </c>
      <c r="G770" s="48">
        <v>39814</v>
      </c>
      <c r="H770" s="46" t="s">
        <v>40</v>
      </c>
      <c r="I770" s="45">
        <v>36000</v>
      </c>
      <c r="J770" s="45">
        <v>36000</v>
      </c>
      <c r="K770" s="49" t="s">
        <v>6720</v>
      </c>
      <c r="L770" s="45"/>
      <c r="M770" s="3"/>
    </row>
    <row r="771" spans="1:13" x14ac:dyDescent="0.25">
      <c r="A771" s="46" t="s">
        <v>6918</v>
      </c>
      <c r="B771" s="46" t="s">
        <v>59</v>
      </c>
      <c r="C771" s="46" t="s">
        <v>14</v>
      </c>
      <c r="D771" s="47">
        <v>5907</v>
      </c>
      <c r="E771" s="46" t="s">
        <v>6919</v>
      </c>
      <c r="F771" s="48">
        <v>40135</v>
      </c>
      <c r="G771" s="48">
        <v>40152</v>
      </c>
      <c r="H771" s="46" t="s">
        <v>40</v>
      </c>
      <c r="I771" s="45">
        <v>2000</v>
      </c>
      <c r="J771" s="45">
        <v>2000</v>
      </c>
      <c r="K771" s="49" t="s">
        <v>6720</v>
      </c>
      <c r="L771" s="45"/>
      <c r="M771" s="3"/>
    </row>
    <row r="772" spans="1:13" x14ac:dyDescent="0.25">
      <c r="A772" s="46" t="s">
        <v>6924</v>
      </c>
      <c r="B772" s="46" t="s">
        <v>59</v>
      </c>
      <c r="C772" s="46" t="s">
        <v>14</v>
      </c>
      <c r="D772" s="47">
        <v>5911</v>
      </c>
      <c r="E772" s="46" t="s">
        <v>6925</v>
      </c>
      <c r="F772" s="48">
        <v>40003</v>
      </c>
      <c r="G772" s="48">
        <v>40049</v>
      </c>
      <c r="H772" s="46" t="s">
        <v>40</v>
      </c>
      <c r="I772" s="45">
        <v>10000</v>
      </c>
      <c r="J772" s="45">
        <v>10000</v>
      </c>
      <c r="K772" s="49" t="s">
        <v>6720</v>
      </c>
      <c r="L772" s="45"/>
      <c r="M772" s="3"/>
    </row>
    <row r="773" spans="1:13" ht="25.5" x14ac:dyDescent="0.25">
      <c r="A773" s="46" t="s">
        <v>6928</v>
      </c>
      <c r="B773" s="46" t="s">
        <v>59</v>
      </c>
      <c r="C773" s="46" t="s">
        <v>14</v>
      </c>
      <c r="D773" s="47">
        <v>5917</v>
      </c>
      <c r="E773" s="46" t="s">
        <v>6929</v>
      </c>
      <c r="F773" s="48">
        <v>40140</v>
      </c>
      <c r="G773" s="48">
        <v>40543</v>
      </c>
      <c r="H773" s="46" t="s">
        <v>40</v>
      </c>
      <c r="I773" s="45">
        <v>37500</v>
      </c>
      <c r="J773" s="45">
        <v>37500</v>
      </c>
      <c r="K773" s="49" t="s">
        <v>6720</v>
      </c>
      <c r="L773" s="45"/>
      <c r="M773" s="3"/>
    </row>
    <row r="774" spans="1:13" x14ac:dyDescent="0.25">
      <c r="A774" s="46" t="s">
        <v>6930</v>
      </c>
      <c r="B774" s="46" t="s">
        <v>59</v>
      </c>
      <c r="C774" s="46" t="s">
        <v>14</v>
      </c>
      <c r="D774" s="47">
        <v>5918</v>
      </c>
      <c r="E774" s="46" t="s">
        <v>6931</v>
      </c>
      <c r="F774" s="48">
        <v>39979</v>
      </c>
      <c r="G774" s="48">
        <v>40168</v>
      </c>
      <c r="H774" s="46" t="s">
        <v>40</v>
      </c>
      <c r="I774" s="45">
        <v>9000</v>
      </c>
      <c r="J774" s="45">
        <v>9000</v>
      </c>
      <c r="K774" s="49" t="s">
        <v>6720</v>
      </c>
      <c r="L774" s="45"/>
      <c r="M774" s="3"/>
    </row>
    <row r="775" spans="1:13" ht="25.5" x14ac:dyDescent="0.25">
      <c r="A775" s="46" t="s">
        <v>6936</v>
      </c>
      <c r="B775" s="46" t="s">
        <v>59</v>
      </c>
      <c r="C775" s="46" t="s">
        <v>14</v>
      </c>
      <c r="D775" s="47">
        <v>5936</v>
      </c>
      <c r="E775" s="46" t="s">
        <v>6937</v>
      </c>
      <c r="F775" s="48">
        <v>39982</v>
      </c>
      <c r="G775" s="48">
        <v>39995</v>
      </c>
      <c r="H775" s="46" t="s">
        <v>40</v>
      </c>
      <c r="I775" s="45">
        <v>5000</v>
      </c>
      <c r="J775" s="45">
        <v>5000</v>
      </c>
      <c r="K775" s="49" t="s">
        <v>6720</v>
      </c>
      <c r="L775" s="45"/>
      <c r="M775" s="3"/>
    </row>
    <row r="776" spans="1:13" x14ac:dyDescent="0.25">
      <c r="A776" s="46" t="s">
        <v>6945</v>
      </c>
      <c r="B776" s="46" t="s">
        <v>59</v>
      </c>
      <c r="C776" s="46" t="s">
        <v>14</v>
      </c>
      <c r="D776" s="47">
        <v>5953</v>
      </c>
      <c r="E776" s="46" t="s">
        <v>6946</v>
      </c>
      <c r="F776" s="48">
        <v>40038</v>
      </c>
      <c r="G776" s="48">
        <v>40077</v>
      </c>
      <c r="H776" s="46" t="s">
        <v>40</v>
      </c>
      <c r="I776" s="45">
        <v>1000</v>
      </c>
      <c r="J776" s="45">
        <v>1000</v>
      </c>
      <c r="K776" s="49" t="s">
        <v>6720</v>
      </c>
      <c r="L776" s="45"/>
      <c r="M776" s="3"/>
    </row>
    <row r="777" spans="1:13" x14ac:dyDescent="0.25">
      <c r="A777" s="46" t="s">
        <v>6947</v>
      </c>
      <c r="B777" s="46" t="s">
        <v>59</v>
      </c>
      <c r="C777" s="46" t="s">
        <v>14</v>
      </c>
      <c r="D777" s="47">
        <v>5956</v>
      </c>
      <c r="E777" s="46" t="s">
        <v>6948</v>
      </c>
      <c r="F777" s="48">
        <v>39996</v>
      </c>
      <c r="G777" s="48">
        <v>40003</v>
      </c>
      <c r="H777" s="46" t="s">
        <v>40</v>
      </c>
      <c r="I777" s="45">
        <v>10000</v>
      </c>
      <c r="J777" s="45">
        <v>10000</v>
      </c>
      <c r="K777" s="49" t="s">
        <v>6720</v>
      </c>
      <c r="L777" s="45"/>
      <c r="M777" s="3"/>
    </row>
    <row r="778" spans="1:13" x14ac:dyDescent="0.25">
      <c r="A778" s="46" t="s">
        <v>6949</v>
      </c>
      <c r="B778" s="46" t="s">
        <v>59</v>
      </c>
      <c r="C778" s="46" t="s">
        <v>14</v>
      </c>
      <c r="D778" s="47">
        <v>7110</v>
      </c>
      <c r="E778" s="46" t="s">
        <v>6950</v>
      </c>
      <c r="F778" s="48">
        <v>40179</v>
      </c>
      <c r="G778" s="48">
        <v>40543</v>
      </c>
      <c r="H778" s="46" t="s">
        <v>40</v>
      </c>
      <c r="I778" s="45">
        <v>5000</v>
      </c>
      <c r="J778" s="45">
        <v>5000</v>
      </c>
      <c r="K778" s="49" t="s">
        <v>6720</v>
      </c>
      <c r="L778" s="45"/>
      <c r="M778" s="3"/>
    </row>
    <row r="779" spans="1:13" ht="25.5" x14ac:dyDescent="0.25">
      <c r="A779" s="46" t="s">
        <v>6955</v>
      </c>
      <c r="B779" s="46" t="s">
        <v>59</v>
      </c>
      <c r="C779" s="46" t="s">
        <v>14</v>
      </c>
      <c r="D779" s="47">
        <v>7117</v>
      </c>
      <c r="E779" s="46" t="s">
        <v>6956</v>
      </c>
      <c r="F779" s="48">
        <v>40107</v>
      </c>
      <c r="G779" s="48">
        <v>40472</v>
      </c>
      <c r="H779" s="46" t="s">
        <v>40</v>
      </c>
      <c r="I779" s="45">
        <v>4000</v>
      </c>
      <c r="J779" s="45">
        <v>2000</v>
      </c>
      <c r="K779" s="49" t="s">
        <v>6720</v>
      </c>
      <c r="L779" s="45"/>
      <c r="M779" s="3"/>
    </row>
    <row r="780" spans="1:13" ht="51" x14ac:dyDescent="0.25">
      <c r="A780" s="46" t="s">
        <v>6961</v>
      </c>
      <c r="B780" s="46" t="s">
        <v>59</v>
      </c>
      <c r="C780" s="46" t="s">
        <v>14</v>
      </c>
      <c r="D780" s="47">
        <v>7120</v>
      </c>
      <c r="E780" s="50" t="s">
        <v>6962</v>
      </c>
      <c r="F780" s="48">
        <v>39867</v>
      </c>
      <c r="G780" s="46"/>
      <c r="H780" s="46" t="s">
        <v>40</v>
      </c>
      <c r="I780" s="45">
        <v>11250</v>
      </c>
      <c r="J780" s="45">
        <v>11250</v>
      </c>
      <c r="K780" s="49" t="s">
        <v>6720</v>
      </c>
      <c r="L780" s="45"/>
      <c r="M780" s="3"/>
    </row>
    <row r="781" spans="1:13" ht="25.5" x14ac:dyDescent="0.25">
      <c r="A781" s="46" t="s">
        <v>6971</v>
      </c>
      <c r="B781" s="46" t="s">
        <v>59</v>
      </c>
      <c r="C781" s="46" t="s">
        <v>14</v>
      </c>
      <c r="D781" s="47">
        <v>7125</v>
      </c>
      <c r="E781" s="46" t="s">
        <v>6972</v>
      </c>
      <c r="F781" s="48">
        <v>40161</v>
      </c>
      <c r="G781" s="48">
        <v>40526</v>
      </c>
      <c r="H781" s="46" t="s">
        <v>40</v>
      </c>
      <c r="I781" s="45">
        <v>5000</v>
      </c>
      <c r="J781" s="45">
        <v>5000</v>
      </c>
      <c r="K781" s="49" t="s">
        <v>6720</v>
      </c>
      <c r="L781" s="45"/>
      <c r="M781" s="3"/>
    </row>
    <row r="782" spans="1:13" ht="25.5" x14ac:dyDescent="0.25">
      <c r="A782" s="46" t="s">
        <v>6973</v>
      </c>
      <c r="B782" s="46" t="s">
        <v>59</v>
      </c>
      <c r="C782" s="46" t="s">
        <v>14</v>
      </c>
      <c r="D782" s="47">
        <v>7126</v>
      </c>
      <c r="E782" s="46" t="s">
        <v>6974</v>
      </c>
      <c r="F782" s="48">
        <v>39728</v>
      </c>
      <c r="G782" s="48">
        <v>40093</v>
      </c>
      <c r="H782" s="46" t="s">
        <v>40</v>
      </c>
      <c r="I782" s="45">
        <v>1750</v>
      </c>
      <c r="J782" s="45">
        <v>1750</v>
      </c>
      <c r="K782" s="49" t="s">
        <v>6720</v>
      </c>
      <c r="L782" s="45"/>
      <c r="M782" s="3"/>
    </row>
    <row r="783" spans="1:13" x14ac:dyDescent="0.25">
      <c r="A783" s="46" t="s">
        <v>6983</v>
      </c>
      <c r="B783" s="46" t="s">
        <v>59</v>
      </c>
      <c r="C783" s="46" t="s">
        <v>14</v>
      </c>
      <c r="D783" s="47">
        <v>7132</v>
      </c>
      <c r="E783" s="46" t="s">
        <v>6984</v>
      </c>
      <c r="F783" s="48">
        <v>40161</v>
      </c>
      <c r="G783" s="46"/>
      <c r="H783" s="46" t="s">
        <v>40</v>
      </c>
      <c r="I783" s="45">
        <v>12000</v>
      </c>
      <c r="J783" s="45">
        <v>12000</v>
      </c>
      <c r="K783" s="49" t="s">
        <v>6720</v>
      </c>
      <c r="L783" s="45"/>
      <c r="M783" s="3"/>
    </row>
    <row r="784" spans="1:13" ht="25.5" x14ac:dyDescent="0.25">
      <c r="A784" s="46" t="s">
        <v>7119</v>
      </c>
      <c r="B784" s="46" t="s">
        <v>59</v>
      </c>
      <c r="C784" s="46" t="s">
        <v>14</v>
      </c>
      <c r="D784" s="47">
        <v>3161</v>
      </c>
      <c r="E784" s="46" t="s">
        <v>7120</v>
      </c>
      <c r="F784" s="48">
        <v>39707</v>
      </c>
      <c r="G784" s="48">
        <v>40009</v>
      </c>
      <c r="H784" s="46" t="s">
        <v>40</v>
      </c>
      <c r="I784" s="45">
        <v>7500</v>
      </c>
      <c r="J784" s="45">
        <v>7500</v>
      </c>
      <c r="K784" s="49" t="s">
        <v>7102</v>
      </c>
      <c r="L784" s="45"/>
      <c r="M784" s="3"/>
    </row>
    <row r="785" spans="1:13" x14ac:dyDescent="0.25">
      <c r="A785" s="46" t="s">
        <v>7131</v>
      </c>
      <c r="B785" s="46" t="s">
        <v>59</v>
      </c>
      <c r="C785" s="46" t="s">
        <v>14</v>
      </c>
      <c r="D785" s="47">
        <v>3170</v>
      </c>
      <c r="E785" s="46" t="s">
        <v>7132</v>
      </c>
      <c r="F785" s="48">
        <v>39497</v>
      </c>
      <c r="G785" s="48">
        <v>39801</v>
      </c>
      <c r="H785" s="46" t="s">
        <v>40</v>
      </c>
      <c r="I785" s="45">
        <v>6000</v>
      </c>
      <c r="J785" s="45">
        <v>6000</v>
      </c>
      <c r="K785" s="49" t="s">
        <v>7102</v>
      </c>
      <c r="L785" s="45"/>
      <c r="M785" s="3"/>
    </row>
    <row r="786" spans="1:13" ht="25.5" x14ac:dyDescent="0.25">
      <c r="A786" s="46" t="s">
        <v>7133</v>
      </c>
      <c r="B786" s="46" t="s">
        <v>59</v>
      </c>
      <c r="C786" s="46" t="s">
        <v>14</v>
      </c>
      <c r="D786" s="47">
        <v>3172</v>
      </c>
      <c r="E786" s="46" t="s">
        <v>7134</v>
      </c>
      <c r="F786" s="48">
        <v>39497</v>
      </c>
      <c r="G786" s="48">
        <v>39735</v>
      </c>
      <c r="H786" s="46" t="s">
        <v>40</v>
      </c>
      <c r="I786" s="45">
        <v>3000</v>
      </c>
      <c r="J786" s="45">
        <v>3000</v>
      </c>
      <c r="K786" s="49" t="s">
        <v>7102</v>
      </c>
      <c r="L786" s="45"/>
      <c r="M786" s="3"/>
    </row>
    <row r="787" spans="1:13" x14ac:dyDescent="0.25">
      <c r="A787" s="46" t="s">
        <v>7139</v>
      </c>
      <c r="B787" s="46" t="s">
        <v>59</v>
      </c>
      <c r="C787" s="46" t="s">
        <v>14</v>
      </c>
      <c r="D787" s="47">
        <v>3180</v>
      </c>
      <c r="E787" s="46" t="s">
        <v>7140</v>
      </c>
      <c r="F787" s="48">
        <v>39189</v>
      </c>
      <c r="G787" s="48">
        <v>39436</v>
      </c>
      <c r="H787" s="46" t="s">
        <v>40</v>
      </c>
      <c r="I787" s="45">
        <v>18750</v>
      </c>
      <c r="J787" s="45">
        <v>18750</v>
      </c>
      <c r="K787" s="49" t="s">
        <v>7102</v>
      </c>
      <c r="L787" s="45"/>
      <c r="M787" s="3"/>
    </row>
    <row r="788" spans="1:13" ht="25.5" x14ac:dyDescent="0.25">
      <c r="A788" s="46" t="s">
        <v>7145</v>
      </c>
      <c r="B788" s="46" t="s">
        <v>59</v>
      </c>
      <c r="C788" s="46" t="s">
        <v>14</v>
      </c>
      <c r="D788" s="47">
        <v>3185</v>
      </c>
      <c r="E788" s="46" t="s">
        <v>7146</v>
      </c>
      <c r="F788" s="48">
        <v>39497</v>
      </c>
      <c r="G788" s="48">
        <v>39801</v>
      </c>
      <c r="H788" s="46" t="s">
        <v>40</v>
      </c>
      <c r="I788" s="45">
        <v>4000</v>
      </c>
      <c r="J788" s="45">
        <v>4000</v>
      </c>
      <c r="K788" s="49" t="s">
        <v>7102</v>
      </c>
      <c r="L788" s="45"/>
      <c r="M788" s="3"/>
    </row>
    <row r="789" spans="1:13" x14ac:dyDescent="0.25">
      <c r="A789" s="46" t="s">
        <v>7147</v>
      </c>
      <c r="B789" s="46" t="s">
        <v>59</v>
      </c>
      <c r="C789" s="46" t="s">
        <v>14</v>
      </c>
      <c r="D789" s="47">
        <v>3186</v>
      </c>
      <c r="E789" s="46" t="s">
        <v>7148</v>
      </c>
      <c r="F789" s="48">
        <v>39252</v>
      </c>
      <c r="G789" s="48">
        <v>39604</v>
      </c>
      <c r="H789" s="46" t="s">
        <v>40</v>
      </c>
      <c r="I789" s="45">
        <v>5000</v>
      </c>
      <c r="J789" s="45">
        <v>5000</v>
      </c>
      <c r="K789" s="49" t="s">
        <v>7102</v>
      </c>
      <c r="L789" s="45"/>
      <c r="M789" s="3"/>
    </row>
    <row r="790" spans="1:13" x14ac:dyDescent="0.25">
      <c r="A790" s="46" t="s">
        <v>7265</v>
      </c>
      <c r="B790" s="46" t="s">
        <v>59</v>
      </c>
      <c r="C790" s="46" t="s">
        <v>14</v>
      </c>
      <c r="D790" s="47">
        <v>5597</v>
      </c>
      <c r="E790" s="46" t="s">
        <v>7266</v>
      </c>
      <c r="F790" s="48">
        <v>39798</v>
      </c>
      <c r="G790" s="48">
        <v>40060</v>
      </c>
      <c r="H790" s="46" t="s">
        <v>40</v>
      </c>
      <c r="I790" s="45">
        <v>7500</v>
      </c>
      <c r="J790" s="45">
        <v>7500</v>
      </c>
      <c r="K790" s="49" t="s">
        <v>7102</v>
      </c>
      <c r="L790" s="45"/>
      <c r="M790" s="3"/>
    </row>
    <row r="791" spans="1:13" x14ac:dyDescent="0.25">
      <c r="A791" s="46" t="s">
        <v>7269</v>
      </c>
      <c r="B791" s="46" t="s">
        <v>59</v>
      </c>
      <c r="C791" s="46" t="s">
        <v>14</v>
      </c>
      <c r="D791" s="47">
        <v>5602</v>
      </c>
      <c r="E791" s="46" t="s">
        <v>7270</v>
      </c>
      <c r="F791" s="48">
        <v>39974</v>
      </c>
      <c r="G791" s="48">
        <v>40009</v>
      </c>
      <c r="H791" s="46" t="s">
        <v>40</v>
      </c>
      <c r="I791" s="45">
        <v>2000</v>
      </c>
      <c r="J791" s="45">
        <v>2000</v>
      </c>
      <c r="K791" s="49" t="s">
        <v>7102</v>
      </c>
      <c r="L791" s="45"/>
      <c r="M791" s="3"/>
    </row>
    <row r="792" spans="1:13" ht="25.5" x14ac:dyDescent="0.25">
      <c r="A792" s="46" t="s">
        <v>7271</v>
      </c>
      <c r="B792" s="46" t="s">
        <v>59</v>
      </c>
      <c r="C792" s="46" t="s">
        <v>14</v>
      </c>
      <c r="D792" s="47">
        <v>5603</v>
      </c>
      <c r="E792" s="46" t="s">
        <v>7272</v>
      </c>
      <c r="F792" s="48">
        <v>39868</v>
      </c>
      <c r="G792" s="48">
        <v>40108</v>
      </c>
      <c r="H792" s="46" t="s">
        <v>40</v>
      </c>
      <c r="I792" s="45">
        <v>15000</v>
      </c>
      <c r="J792" s="45">
        <v>15000</v>
      </c>
      <c r="K792" s="49" t="s">
        <v>7102</v>
      </c>
      <c r="L792" s="45"/>
      <c r="M792" s="3"/>
    </row>
    <row r="793" spans="1:13" x14ac:dyDescent="0.25">
      <c r="A793" s="46" t="s">
        <v>7273</v>
      </c>
      <c r="B793" s="46" t="s">
        <v>59</v>
      </c>
      <c r="C793" s="46" t="s">
        <v>14</v>
      </c>
      <c r="D793" s="47">
        <v>5604</v>
      </c>
      <c r="E793" s="46" t="s">
        <v>7274</v>
      </c>
      <c r="F793" s="48">
        <v>39974</v>
      </c>
      <c r="G793" s="48">
        <v>40168</v>
      </c>
      <c r="H793" s="46" t="s">
        <v>40</v>
      </c>
      <c r="I793" s="45">
        <v>7500</v>
      </c>
      <c r="J793" s="45">
        <v>7500</v>
      </c>
      <c r="K793" s="49" t="s">
        <v>7102</v>
      </c>
      <c r="L793" s="45"/>
      <c r="M793" s="3"/>
    </row>
    <row r="794" spans="1:13" x14ac:dyDescent="0.25">
      <c r="A794" s="46" t="s">
        <v>7275</v>
      </c>
      <c r="B794" s="46" t="s">
        <v>59</v>
      </c>
      <c r="C794" s="46" t="s">
        <v>14</v>
      </c>
      <c r="D794" s="47">
        <v>5605</v>
      </c>
      <c r="E794" s="46" t="s">
        <v>7276</v>
      </c>
      <c r="F794" s="48">
        <v>40121</v>
      </c>
      <c r="G794" s="48">
        <v>40499</v>
      </c>
      <c r="H794" s="46" t="s">
        <v>40</v>
      </c>
      <c r="I794" s="45">
        <v>15000</v>
      </c>
      <c r="J794" s="45">
        <v>15000</v>
      </c>
      <c r="K794" s="49" t="s">
        <v>7102</v>
      </c>
      <c r="L794" s="45"/>
      <c r="M794" s="3"/>
    </row>
    <row r="795" spans="1:13" ht="25.5" x14ac:dyDescent="0.25">
      <c r="A795" s="46" t="s">
        <v>7291</v>
      </c>
      <c r="B795" s="46" t="s">
        <v>59</v>
      </c>
      <c r="C795" s="46" t="s">
        <v>14</v>
      </c>
      <c r="D795" s="47">
        <v>5640</v>
      </c>
      <c r="E795" s="46" t="s">
        <v>7292</v>
      </c>
      <c r="F795" s="48">
        <v>39974</v>
      </c>
      <c r="G795" s="48">
        <v>40253</v>
      </c>
      <c r="H795" s="46" t="s">
        <v>40</v>
      </c>
      <c r="I795" s="45">
        <v>7000</v>
      </c>
      <c r="J795" s="45">
        <v>7000</v>
      </c>
      <c r="K795" s="49" t="s">
        <v>7102</v>
      </c>
      <c r="L795" s="45"/>
      <c r="M795" s="3"/>
    </row>
    <row r="796" spans="1:13" ht="38.25" x14ac:dyDescent="0.25">
      <c r="A796" s="46" t="s">
        <v>7293</v>
      </c>
      <c r="B796" s="46" t="s">
        <v>59</v>
      </c>
      <c r="C796" s="46" t="s">
        <v>14</v>
      </c>
      <c r="D796" s="47">
        <v>5641</v>
      </c>
      <c r="E796" s="46" t="s">
        <v>7294</v>
      </c>
      <c r="F796" s="48">
        <v>39974</v>
      </c>
      <c r="G796" s="46"/>
      <c r="H796" s="46" t="s">
        <v>40</v>
      </c>
      <c r="I796" s="45">
        <v>2000</v>
      </c>
      <c r="J796" s="45">
        <v>2000</v>
      </c>
      <c r="K796" s="49" t="s">
        <v>7102</v>
      </c>
      <c r="L796" s="45"/>
      <c r="M796" s="3"/>
    </row>
    <row r="797" spans="1:13" ht="25.5" x14ac:dyDescent="0.25">
      <c r="A797" s="46" t="s">
        <v>7317</v>
      </c>
      <c r="B797" s="46" t="s">
        <v>59</v>
      </c>
      <c r="C797" s="46" t="s">
        <v>14</v>
      </c>
      <c r="D797" s="47">
        <v>7540</v>
      </c>
      <c r="E797" s="46" t="s">
        <v>7318</v>
      </c>
      <c r="F797" s="48">
        <v>40162</v>
      </c>
      <c r="G797" s="48">
        <v>40360</v>
      </c>
      <c r="H797" s="46" t="s">
        <v>40</v>
      </c>
      <c r="I797" s="45">
        <v>3500</v>
      </c>
      <c r="J797" s="45">
        <v>3500</v>
      </c>
      <c r="K797" s="49" t="s">
        <v>7102</v>
      </c>
      <c r="L797" s="45"/>
      <c r="M797" s="3"/>
    </row>
    <row r="798" spans="1:13" ht="25.5" x14ac:dyDescent="0.25">
      <c r="A798" s="46" t="s">
        <v>7337</v>
      </c>
      <c r="B798" s="46" t="s">
        <v>59</v>
      </c>
      <c r="C798" s="46" t="s">
        <v>14</v>
      </c>
      <c r="D798" s="47">
        <v>7550</v>
      </c>
      <c r="E798" s="46" t="s">
        <v>7338</v>
      </c>
      <c r="F798" s="48">
        <v>39974</v>
      </c>
      <c r="G798" s="48">
        <v>40297</v>
      </c>
      <c r="H798" s="46" t="s">
        <v>40</v>
      </c>
      <c r="I798" s="45">
        <v>7500</v>
      </c>
      <c r="J798" s="45">
        <v>7500</v>
      </c>
      <c r="K798" s="49" t="s">
        <v>7102</v>
      </c>
      <c r="L798" s="45"/>
      <c r="M798" s="3"/>
    </row>
    <row r="799" spans="1:13" x14ac:dyDescent="0.25">
      <c r="A799" s="46" t="s">
        <v>7508</v>
      </c>
      <c r="B799" s="46" t="s">
        <v>59</v>
      </c>
      <c r="C799" s="46" t="s">
        <v>14</v>
      </c>
      <c r="D799" s="47">
        <v>371</v>
      </c>
      <c r="E799" s="46" t="s">
        <v>7509</v>
      </c>
      <c r="F799" s="48">
        <v>39190</v>
      </c>
      <c r="G799" s="48">
        <v>39266</v>
      </c>
      <c r="H799" s="46" t="s">
        <v>40</v>
      </c>
      <c r="I799" s="45">
        <v>11250</v>
      </c>
      <c r="J799" s="45">
        <v>11250</v>
      </c>
      <c r="K799" s="49" t="s">
        <v>7456</v>
      </c>
      <c r="L799" s="45"/>
      <c r="M799" s="3"/>
    </row>
    <row r="800" spans="1:13" x14ac:dyDescent="0.25">
      <c r="A800" s="46" t="s">
        <v>7512</v>
      </c>
      <c r="B800" s="46" t="s">
        <v>59</v>
      </c>
      <c r="C800" s="46" t="s">
        <v>14</v>
      </c>
      <c r="D800" s="47">
        <v>373</v>
      </c>
      <c r="E800" s="46" t="s">
        <v>7513</v>
      </c>
      <c r="F800" s="48">
        <v>39281</v>
      </c>
      <c r="G800" s="48">
        <v>39489</v>
      </c>
      <c r="H800" s="46" t="s">
        <v>40</v>
      </c>
      <c r="I800" s="45">
        <v>7500</v>
      </c>
      <c r="J800" s="45">
        <v>7500</v>
      </c>
      <c r="K800" s="49" t="s">
        <v>7456</v>
      </c>
      <c r="L800" s="45"/>
      <c r="M800" s="3"/>
    </row>
    <row r="801" spans="1:13" x14ac:dyDescent="0.25">
      <c r="A801" s="46" t="s">
        <v>7554</v>
      </c>
      <c r="B801" s="46" t="s">
        <v>59</v>
      </c>
      <c r="C801" s="46" t="s">
        <v>14</v>
      </c>
      <c r="D801" s="47">
        <v>792</v>
      </c>
      <c r="E801" s="46" t="s">
        <v>7555</v>
      </c>
      <c r="F801" s="48">
        <v>39083</v>
      </c>
      <c r="G801" s="48">
        <v>39098</v>
      </c>
      <c r="H801" s="46" t="s">
        <v>40</v>
      </c>
      <c r="I801" s="45">
        <v>3750</v>
      </c>
      <c r="J801" s="45">
        <v>3750</v>
      </c>
      <c r="K801" s="49" t="s">
        <v>7456</v>
      </c>
      <c r="L801" s="45"/>
      <c r="M801" s="3"/>
    </row>
    <row r="802" spans="1:13" x14ac:dyDescent="0.25">
      <c r="A802" s="46" t="s">
        <v>7586</v>
      </c>
      <c r="B802" s="46" t="s">
        <v>59</v>
      </c>
      <c r="C802" s="46" t="s">
        <v>14</v>
      </c>
      <c r="D802" s="47">
        <v>3424</v>
      </c>
      <c r="E802" s="46" t="s">
        <v>7518</v>
      </c>
      <c r="F802" s="48">
        <v>39448</v>
      </c>
      <c r="G802" s="48">
        <v>39813</v>
      </c>
      <c r="H802" s="46" t="s">
        <v>40</v>
      </c>
      <c r="I802" s="45">
        <v>25000</v>
      </c>
      <c r="J802" s="45">
        <v>12500</v>
      </c>
      <c r="K802" s="49" t="s">
        <v>7456</v>
      </c>
      <c r="L802" s="45"/>
      <c r="M802" s="3"/>
    </row>
    <row r="803" spans="1:13" x14ac:dyDescent="0.25">
      <c r="A803" s="46" t="s">
        <v>7589</v>
      </c>
      <c r="B803" s="46" t="s">
        <v>59</v>
      </c>
      <c r="C803" s="46" t="s">
        <v>14</v>
      </c>
      <c r="D803" s="47">
        <v>3432</v>
      </c>
      <c r="E803" s="46" t="s">
        <v>7590</v>
      </c>
      <c r="F803" s="48">
        <v>39589</v>
      </c>
      <c r="G803" s="48">
        <v>40178</v>
      </c>
      <c r="H803" s="46" t="s">
        <v>40</v>
      </c>
      <c r="I803" s="45">
        <v>7500</v>
      </c>
      <c r="J803" s="45">
        <v>7500</v>
      </c>
      <c r="K803" s="49" t="s">
        <v>7456</v>
      </c>
      <c r="L803" s="45"/>
      <c r="M803" s="3"/>
    </row>
    <row r="804" spans="1:13" x14ac:dyDescent="0.25">
      <c r="A804" s="46" t="s">
        <v>7595</v>
      </c>
      <c r="B804" s="46" t="s">
        <v>59</v>
      </c>
      <c r="C804" s="46" t="s">
        <v>14</v>
      </c>
      <c r="D804" s="47">
        <v>3436</v>
      </c>
      <c r="E804" s="46" t="s">
        <v>7596</v>
      </c>
      <c r="F804" s="48">
        <v>39806</v>
      </c>
      <c r="G804" s="48">
        <v>40170</v>
      </c>
      <c r="H804" s="46" t="s">
        <v>40</v>
      </c>
      <c r="I804" s="45">
        <v>15000</v>
      </c>
      <c r="J804" s="45">
        <v>15000</v>
      </c>
      <c r="K804" s="49" t="s">
        <v>7456</v>
      </c>
      <c r="L804" s="45"/>
      <c r="M804" s="3"/>
    </row>
    <row r="805" spans="1:13" x14ac:dyDescent="0.25">
      <c r="A805" s="46" t="s">
        <v>7597</v>
      </c>
      <c r="B805" s="46" t="s">
        <v>59</v>
      </c>
      <c r="C805" s="46" t="s">
        <v>14</v>
      </c>
      <c r="D805" s="47">
        <v>3447</v>
      </c>
      <c r="E805" s="46" t="s">
        <v>7598</v>
      </c>
      <c r="F805" s="48">
        <v>39645</v>
      </c>
      <c r="G805" s="48">
        <v>39660</v>
      </c>
      <c r="H805" s="46" t="s">
        <v>40</v>
      </c>
      <c r="I805" s="45">
        <v>7500</v>
      </c>
      <c r="J805" s="45">
        <v>7500</v>
      </c>
      <c r="K805" s="49" t="s">
        <v>7456</v>
      </c>
      <c r="L805" s="45"/>
      <c r="M805" s="3"/>
    </row>
    <row r="806" spans="1:13" x14ac:dyDescent="0.25">
      <c r="A806" s="46" t="s">
        <v>7599</v>
      </c>
      <c r="B806" s="46" t="s">
        <v>59</v>
      </c>
      <c r="C806" s="46" t="s">
        <v>14</v>
      </c>
      <c r="D806" s="47">
        <v>3448</v>
      </c>
      <c r="E806" s="46" t="s">
        <v>7600</v>
      </c>
      <c r="F806" s="48">
        <v>39743</v>
      </c>
      <c r="G806" s="48">
        <v>39813</v>
      </c>
      <c r="H806" s="46" t="s">
        <v>40</v>
      </c>
      <c r="I806" s="45">
        <v>22500</v>
      </c>
      <c r="J806" s="45">
        <v>22500</v>
      </c>
      <c r="K806" s="49" t="s">
        <v>7456</v>
      </c>
      <c r="L806" s="45"/>
      <c r="M806" s="3"/>
    </row>
    <row r="807" spans="1:13" ht="25.5" x14ac:dyDescent="0.25">
      <c r="A807" s="46" t="s">
        <v>7603</v>
      </c>
      <c r="B807" s="46" t="s">
        <v>59</v>
      </c>
      <c r="C807" s="46" t="s">
        <v>14</v>
      </c>
      <c r="D807" s="47">
        <v>3746</v>
      </c>
      <c r="E807" s="46" t="s">
        <v>7604</v>
      </c>
      <c r="F807" s="48">
        <v>39805</v>
      </c>
      <c r="G807" s="48">
        <v>39813</v>
      </c>
      <c r="H807" s="46" t="s">
        <v>40</v>
      </c>
      <c r="I807" s="45">
        <v>7500</v>
      </c>
      <c r="J807" s="45">
        <v>7500</v>
      </c>
      <c r="K807" s="49" t="s">
        <v>7456</v>
      </c>
      <c r="L807" s="45"/>
      <c r="M807" s="3"/>
    </row>
    <row r="808" spans="1:13" x14ac:dyDescent="0.25">
      <c r="A808" s="46" t="s">
        <v>7607</v>
      </c>
      <c r="B808" s="46" t="s">
        <v>59</v>
      </c>
      <c r="C808" s="46" t="s">
        <v>14</v>
      </c>
      <c r="D808" s="47">
        <v>4539</v>
      </c>
      <c r="E808" s="46" t="s">
        <v>7608</v>
      </c>
      <c r="F808" s="48">
        <v>39568</v>
      </c>
      <c r="G808" s="48">
        <v>40178</v>
      </c>
      <c r="H808" s="46" t="s">
        <v>40</v>
      </c>
      <c r="I808" s="45">
        <v>7500</v>
      </c>
      <c r="J808" s="45">
        <v>7500</v>
      </c>
      <c r="K808" s="49" t="s">
        <v>7456</v>
      </c>
      <c r="L808" s="45"/>
      <c r="M808" s="3"/>
    </row>
    <row r="809" spans="1:13" ht="25.5" x14ac:dyDescent="0.25">
      <c r="A809" s="46" t="s">
        <v>7609</v>
      </c>
      <c r="B809" s="46" t="s">
        <v>59</v>
      </c>
      <c r="C809" s="46" t="s">
        <v>14</v>
      </c>
      <c r="D809" s="47">
        <v>4545</v>
      </c>
      <c r="E809" s="46" t="s">
        <v>7610</v>
      </c>
      <c r="F809" s="48">
        <v>39841</v>
      </c>
      <c r="G809" s="48">
        <v>40178</v>
      </c>
      <c r="H809" s="46" t="s">
        <v>40</v>
      </c>
      <c r="I809" s="45">
        <v>18750</v>
      </c>
      <c r="J809" s="45">
        <v>18750</v>
      </c>
      <c r="K809" s="49" t="s">
        <v>7456</v>
      </c>
      <c r="L809" s="45"/>
      <c r="M809" s="3"/>
    </row>
    <row r="810" spans="1:13" x14ac:dyDescent="0.25">
      <c r="A810" s="46" t="s">
        <v>7613</v>
      </c>
      <c r="B810" s="46" t="s">
        <v>59</v>
      </c>
      <c r="C810" s="46" t="s">
        <v>14</v>
      </c>
      <c r="D810" s="47">
        <v>4547</v>
      </c>
      <c r="E810" s="46" t="s">
        <v>7614</v>
      </c>
      <c r="F810" s="48">
        <v>39869</v>
      </c>
      <c r="G810" s="48">
        <v>40178</v>
      </c>
      <c r="H810" s="46" t="s">
        <v>40</v>
      </c>
      <c r="I810" s="45">
        <v>15000</v>
      </c>
      <c r="J810" s="45">
        <v>15000</v>
      </c>
      <c r="K810" s="49" t="s">
        <v>7456</v>
      </c>
      <c r="L810" s="45"/>
      <c r="M810" s="3"/>
    </row>
    <row r="811" spans="1:13" x14ac:dyDescent="0.25">
      <c r="A811" s="46" t="s">
        <v>7615</v>
      </c>
      <c r="B811" s="46" t="s">
        <v>59</v>
      </c>
      <c r="C811" s="46" t="s">
        <v>14</v>
      </c>
      <c r="D811" s="47">
        <v>4548</v>
      </c>
      <c r="E811" s="46" t="s">
        <v>7616</v>
      </c>
      <c r="F811" s="48">
        <v>39869</v>
      </c>
      <c r="G811" s="48">
        <v>40178</v>
      </c>
      <c r="H811" s="46" t="s">
        <v>40</v>
      </c>
      <c r="I811" s="45">
        <v>30000</v>
      </c>
      <c r="J811" s="45">
        <v>15000</v>
      </c>
      <c r="K811" s="49" t="s">
        <v>7456</v>
      </c>
      <c r="L811" s="45"/>
      <c r="M811" s="3"/>
    </row>
    <row r="812" spans="1:13" x14ac:dyDescent="0.25">
      <c r="A812" s="46" t="s">
        <v>7619</v>
      </c>
      <c r="B812" s="46" t="s">
        <v>59</v>
      </c>
      <c r="C812" s="46" t="s">
        <v>14</v>
      </c>
      <c r="D812" s="47">
        <v>4551</v>
      </c>
      <c r="E812" s="46" t="s">
        <v>7620</v>
      </c>
      <c r="F812" s="48">
        <v>39960</v>
      </c>
      <c r="G812" s="48">
        <v>40543</v>
      </c>
      <c r="H812" s="46" t="s">
        <v>40</v>
      </c>
      <c r="I812" s="45">
        <v>3750</v>
      </c>
      <c r="J812" s="45">
        <v>7500</v>
      </c>
      <c r="K812" s="49" t="s">
        <v>7456</v>
      </c>
      <c r="L812" s="45"/>
      <c r="M812" s="3"/>
    </row>
    <row r="813" spans="1:13" x14ac:dyDescent="0.25">
      <c r="A813" s="46" t="s">
        <v>7623</v>
      </c>
      <c r="B813" s="46" t="s">
        <v>59</v>
      </c>
      <c r="C813" s="46" t="s">
        <v>14</v>
      </c>
      <c r="D813" s="47">
        <v>4554</v>
      </c>
      <c r="E813" s="46" t="s">
        <v>7624</v>
      </c>
      <c r="F813" s="48">
        <v>40015</v>
      </c>
      <c r="G813" s="48">
        <v>40219</v>
      </c>
      <c r="H813" s="46" t="s">
        <v>40</v>
      </c>
      <c r="I813" s="45">
        <v>7500</v>
      </c>
      <c r="J813" s="45">
        <v>7500</v>
      </c>
      <c r="K813" s="49" t="s">
        <v>7456</v>
      </c>
      <c r="L813" s="45"/>
      <c r="M813" s="3"/>
    </row>
    <row r="814" spans="1:13" x14ac:dyDescent="0.25">
      <c r="A814" s="46" t="s">
        <v>7625</v>
      </c>
      <c r="B814" s="46" t="s">
        <v>59</v>
      </c>
      <c r="C814" s="46" t="s">
        <v>14</v>
      </c>
      <c r="D814" s="47">
        <v>4555</v>
      </c>
      <c r="E814" s="46" t="s">
        <v>7626</v>
      </c>
      <c r="F814" s="48">
        <v>40015</v>
      </c>
      <c r="G814" s="48">
        <v>40543</v>
      </c>
      <c r="H814" s="46" t="s">
        <v>40</v>
      </c>
      <c r="I814" s="45">
        <v>3750</v>
      </c>
      <c r="J814" s="45">
        <v>7500</v>
      </c>
      <c r="K814" s="49" t="s">
        <v>7456</v>
      </c>
      <c r="L814" s="45"/>
      <c r="M814" s="3"/>
    </row>
    <row r="815" spans="1:13" x14ac:dyDescent="0.25">
      <c r="A815" s="46" t="s">
        <v>7631</v>
      </c>
      <c r="B815" s="46" t="s">
        <v>59</v>
      </c>
      <c r="C815" s="46" t="s">
        <v>14</v>
      </c>
      <c r="D815" s="47">
        <v>4561</v>
      </c>
      <c r="E815" s="46" t="s">
        <v>7632</v>
      </c>
      <c r="F815" s="48">
        <v>39960</v>
      </c>
      <c r="G815" s="48">
        <v>40178</v>
      </c>
      <c r="H815" s="46" t="s">
        <v>40</v>
      </c>
      <c r="I815" s="45">
        <v>7500</v>
      </c>
      <c r="J815" s="45">
        <v>7500</v>
      </c>
      <c r="K815" s="49" t="s">
        <v>7456</v>
      </c>
      <c r="L815" s="45"/>
      <c r="M815" s="3"/>
    </row>
    <row r="816" spans="1:13" x14ac:dyDescent="0.25">
      <c r="A816" s="46" t="s">
        <v>7633</v>
      </c>
      <c r="B816" s="46" t="s">
        <v>59</v>
      </c>
      <c r="C816" s="46" t="s">
        <v>14</v>
      </c>
      <c r="D816" s="47">
        <v>4563</v>
      </c>
      <c r="E816" s="46" t="s">
        <v>7634</v>
      </c>
      <c r="F816" s="48">
        <v>40066</v>
      </c>
      <c r="G816" s="48">
        <v>40178</v>
      </c>
      <c r="H816" s="46" t="s">
        <v>40</v>
      </c>
      <c r="I816" s="45">
        <v>7500</v>
      </c>
      <c r="J816" s="45">
        <v>7500</v>
      </c>
      <c r="K816" s="49" t="s">
        <v>7456</v>
      </c>
      <c r="L816" s="45"/>
      <c r="M816" s="3"/>
    </row>
    <row r="817" spans="1:13" x14ac:dyDescent="0.25">
      <c r="A817" s="46" t="s">
        <v>7635</v>
      </c>
      <c r="B817" s="46" t="s">
        <v>59</v>
      </c>
      <c r="C817" s="46" t="s">
        <v>14</v>
      </c>
      <c r="D817" s="47">
        <v>4565</v>
      </c>
      <c r="E817" s="46" t="s">
        <v>7636</v>
      </c>
      <c r="F817" s="48">
        <v>40066</v>
      </c>
      <c r="G817" s="48">
        <v>40543</v>
      </c>
      <c r="H817" s="46" t="s">
        <v>40</v>
      </c>
      <c r="I817" s="45">
        <v>7500</v>
      </c>
      <c r="J817" s="45">
        <v>15000</v>
      </c>
      <c r="K817" s="49" t="s">
        <v>7456</v>
      </c>
      <c r="L817" s="45"/>
      <c r="M817" s="3"/>
    </row>
    <row r="818" spans="1:13" x14ac:dyDescent="0.25">
      <c r="A818" s="46" t="s">
        <v>7684</v>
      </c>
      <c r="B818" s="46" t="s">
        <v>59</v>
      </c>
      <c r="C818" s="46" t="s">
        <v>14</v>
      </c>
      <c r="D818" s="47">
        <v>6572</v>
      </c>
      <c r="E818" s="46" t="s">
        <v>7685</v>
      </c>
      <c r="F818" s="48">
        <v>40093</v>
      </c>
      <c r="G818" s="48">
        <v>40543</v>
      </c>
      <c r="H818" s="46" t="s">
        <v>40</v>
      </c>
      <c r="I818" s="45">
        <v>7500</v>
      </c>
      <c r="J818" s="45">
        <v>7500</v>
      </c>
      <c r="K818" s="49" t="s">
        <v>7456</v>
      </c>
      <c r="L818" s="45"/>
      <c r="M818" s="3"/>
    </row>
    <row r="819" spans="1:13" x14ac:dyDescent="0.25">
      <c r="A819" s="46" t="s">
        <v>7686</v>
      </c>
      <c r="B819" s="46" t="s">
        <v>59</v>
      </c>
      <c r="C819" s="46" t="s">
        <v>14</v>
      </c>
      <c r="D819" s="47">
        <v>6573</v>
      </c>
      <c r="E819" s="46" t="s">
        <v>7687</v>
      </c>
      <c r="F819" s="48">
        <v>40192</v>
      </c>
      <c r="G819" s="48">
        <v>40543</v>
      </c>
      <c r="H819" s="46" t="s">
        <v>40</v>
      </c>
      <c r="I819" s="45">
        <v>7500</v>
      </c>
      <c r="J819" s="45">
        <v>7500</v>
      </c>
      <c r="K819" s="49" t="s">
        <v>7456</v>
      </c>
      <c r="L819" s="45"/>
      <c r="M819" s="3"/>
    </row>
    <row r="820" spans="1:13" x14ac:dyDescent="0.25">
      <c r="A820" s="46" t="s">
        <v>7688</v>
      </c>
      <c r="B820" s="46" t="s">
        <v>59</v>
      </c>
      <c r="C820" s="46" t="s">
        <v>14</v>
      </c>
      <c r="D820" s="47">
        <v>6574</v>
      </c>
      <c r="E820" s="46" t="s">
        <v>7689</v>
      </c>
      <c r="F820" s="48">
        <v>40199</v>
      </c>
      <c r="G820" s="48">
        <v>40543</v>
      </c>
      <c r="H820" s="46" t="s">
        <v>40</v>
      </c>
      <c r="I820" s="45">
        <v>40000</v>
      </c>
      <c r="J820" s="45">
        <v>40000</v>
      </c>
      <c r="K820" s="49" t="s">
        <v>7456</v>
      </c>
      <c r="L820" s="45"/>
      <c r="M820" s="3"/>
    </row>
    <row r="821" spans="1:13" ht="25.5" x14ac:dyDescent="0.25">
      <c r="A821" s="46" t="s">
        <v>7692</v>
      </c>
      <c r="B821" s="46" t="s">
        <v>59</v>
      </c>
      <c r="C821" s="46" t="s">
        <v>14</v>
      </c>
      <c r="D821" s="47">
        <v>6576</v>
      </c>
      <c r="E821" s="46" t="s">
        <v>7693</v>
      </c>
      <c r="F821" s="48">
        <v>40489</v>
      </c>
      <c r="G821" s="48">
        <v>40543</v>
      </c>
      <c r="H821" s="46" t="s">
        <v>40</v>
      </c>
      <c r="I821" s="45">
        <v>14000</v>
      </c>
      <c r="J821" s="45">
        <v>14000</v>
      </c>
      <c r="K821" s="49" t="s">
        <v>7456</v>
      </c>
      <c r="L821" s="45"/>
      <c r="M821" s="3"/>
    </row>
    <row r="822" spans="1:13" ht="38.25" x14ac:dyDescent="0.25">
      <c r="A822" s="46" t="s">
        <v>7704</v>
      </c>
      <c r="B822" s="46" t="s">
        <v>59</v>
      </c>
      <c r="C822" s="46" t="s">
        <v>14</v>
      </c>
      <c r="D822" s="47">
        <v>6972</v>
      </c>
      <c r="E822" s="46" t="s">
        <v>7705</v>
      </c>
      <c r="F822" s="48">
        <v>40106</v>
      </c>
      <c r="G822" s="48">
        <v>40526</v>
      </c>
      <c r="H822" s="46" t="s">
        <v>40</v>
      </c>
      <c r="I822" s="45">
        <v>11020.23</v>
      </c>
      <c r="J822" s="45">
        <v>11020.23</v>
      </c>
      <c r="K822" s="49" t="s">
        <v>7456</v>
      </c>
      <c r="L822" s="45"/>
      <c r="M822" s="3"/>
    </row>
    <row r="823" spans="1:13" x14ac:dyDescent="0.25">
      <c r="A823" s="46" t="s">
        <v>8077</v>
      </c>
      <c r="B823" s="46" t="s">
        <v>59</v>
      </c>
      <c r="C823" s="46" t="s">
        <v>14</v>
      </c>
      <c r="D823" s="47">
        <v>2386</v>
      </c>
      <c r="E823" s="46" t="s">
        <v>8078</v>
      </c>
      <c r="F823" s="48">
        <v>39272</v>
      </c>
      <c r="G823" s="48">
        <v>39304</v>
      </c>
      <c r="H823" s="46" t="s">
        <v>40</v>
      </c>
      <c r="I823" s="45">
        <v>6000</v>
      </c>
      <c r="J823" s="45">
        <v>6000</v>
      </c>
      <c r="K823" s="49" t="s">
        <v>7941</v>
      </c>
      <c r="L823" s="45"/>
      <c r="M823" s="3"/>
    </row>
    <row r="824" spans="1:13" x14ac:dyDescent="0.25">
      <c r="A824" s="46" t="s">
        <v>8079</v>
      </c>
      <c r="B824" s="46" t="s">
        <v>59</v>
      </c>
      <c r="C824" s="46" t="s">
        <v>14</v>
      </c>
      <c r="D824" s="47">
        <v>2388</v>
      </c>
      <c r="E824" s="46" t="s">
        <v>8080</v>
      </c>
      <c r="F824" s="48">
        <v>39167</v>
      </c>
      <c r="G824" s="48">
        <v>39485</v>
      </c>
      <c r="H824" s="46" t="s">
        <v>40</v>
      </c>
      <c r="I824" s="45">
        <v>6000</v>
      </c>
      <c r="J824" s="45">
        <v>6000</v>
      </c>
      <c r="K824" s="49" t="s">
        <v>7941</v>
      </c>
      <c r="L824" s="45"/>
      <c r="M824" s="3"/>
    </row>
    <row r="825" spans="1:13" x14ac:dyDescent="0.25">
      <c r="A825" s="46" t="s">
        <v>8081</v>
      </c>
      <c r="B825" s="46" t="s">
        <v>59</v>
      </c>
      <c r="C825" s="46" t="s">
        <v>14</v>
      </c>
      <c r="D825" s="47">
        <v>2392</v>
      </c>
      <c r="E825" s="46" t="s">
        <v>8082</v>
      </c>
      <c r="F825" s="48">
        <v>39230</v>
      </c>
      <c r="G825" s="48">
        <v>39542</v>
      </c>
      <c r="H825" s="46" t="s">
        <v>40</v>
      </c>
      <c r="I825" s="45">
        <v>6000</v>
      </c>
      <c r="J825" s="45">
        <v>6000</v>
      </c>
      <c r="K825" s="49" t="s">
        <v>7941</v>
      </c>
      <c r="L825" s="45"/>
      <c r="M825" s="3"/>
    </row>
    <row r="826" spans="1:13" x14ac:dyDescent="0.25">
      <c r="A826" s="46" t="s">
        <v>8083</v>
      </c>
      <c r="B826" s="46" t="s">
        <v>59</v>
      </c>
      <c r="C826" s="46" t="s">
        <v>14</v>
      </c>
      <c r="D826" s="47">
        <v>2393</v>
      </c>
      <c r="E826" s="46" t="s">
        <v>8084</v>
      </c>
      <c r="F826" s="48">
        <v>39230</v>
      </c>
      <c r="G826" s="48">
        <v>39429</v>
      </c>
      <c r="H826" s="46" t="s">
        <v>40</v>
      </c>
      <c r="I826" s="45">
        <v>6000</v>
      </c>
      <c r="J826" s="45">
        <v>6000</v>
      </c>
      <c r="K826" s="49" t="s">
        <v>7941</v>
      </c>
      <c r="L826" s="45"/>
      <c r="M826" s="3"/>
    </row>
    <row r="827" spans="1:13" x14ac:dyDescent="0.25">
      <c r="A827" s="46" t="s">
        <v>8085</v>
      </c>
      <c r="B827" s="46" t="s">
        <v>59</v>
      </c>
      <c r="C827" s="46" t="s">
        <v>14</v>
      </c>
      <c r="D827" s="47">
        <v>2395</v>
      </c>
      <c r="E827" s="46" t="s">
        <v>8086</v>
      </c>
      <c r="F827" s="48">
        <v>39272</v>
      </c>
      <c r="G827" s="48">
        <v>39793</v>
      </c>
      <c r="H827" s="46" t="s">
        <v>40</v>
      </c>
      <c r="I827" s="45">
        <v>30000</v>
      </c>
      <c r="J827" s="45">
        <v>30000</v>
      </c>
      <c r="K827" s="49" t="s">
        <v>7941</v>
      </c>
      <c r="L827" s="45"/>
      <c r="M827" s="3"/>
    </row>
    <row r="828" spans="1:13" x14ac:dyDescent="0.25">
      <c r="A828" s="46" t="s">
        <v>8087</v>
      </c>
      <c r="B828" s="46" t="s">
        <v>59</v>
      </c>
      <c r="C828" s="46" t="s">
        <v>14</v>
      </c>
      <c r="D828" s="47">
        <v>2397</v>
      </c>
      <c r="E828" s="46" t="s">
        <v>8088</v>
      </c>
      <c r="F828" s="48">
        <v>39272</v>
      </c>
      <c r="G828" s="48">
        <v>39479</v>
      </c>
      <c r="H828" s="46" t="s">
        <v>40</v>
      </c>
      <c r="I828" s="45">
        <v>6000</v>
      </c>
      <c r="J828" s="45">
        <v>6000</v>
      </c>
      <c r="K828" s="49" t="s">
        <v>7941</v>
      </c>
      <c r="L828" s="45"/>
      <c r="M828" s="3"/>
    </row>
    <row r="829" spans="1:13" ht="25.5" x14ac:dyDescent="0.25">
      <c r="A829" s="46" t="s">
        <v>8099</v>
      </c>
      <c r="B829" s="46" t="s">
        <v>59</v>
      </c>
      <c r="C829" s="46" t="s">
        <v>14</v>
      </c>
      <c r="D829" s="47">
        <v>2429</v>
      </c>
      <c r="E829" s="46" t="s">
        <v>8100</v>
      </c>
      <c r="F829" s="48">
        <v>39511</v>
      </c>
      <c r="G829" s="48">
        <v>39968</v>
      </c>
      <c r="H829" s="46" t="s">
        <v>40</v>
      </c>
      <c r="I829" s="45">
        <v>12000</v>
      </c>
      <c r="J829" s="45">
        <v>12000</v>
      </c>
      <c r="K829" s="49" t="s">
        <v>7941</v>
      </c>
      <c r="L829" s="45"/>
      <c r="M829" s="3"/>
    </row>
    <row r="830" spans="1:13" x14ac:dyDescent="0.25">
      <c r="A830" s="46" t="s">
        <v>8101</v>
      </c>
      <c r="B830" s="46" t="s">
        <v>59</v>
      </c>
      <c r="C830" s="46" t="s">
        <v>14</v>
      </c>
      <c r="D830" s="47">
        <v>2430</v>
      </c>
      <c r="E830" s="46" t="s">
        <v>8102</v>
      </c>
      <c r="F830" s="48">
        <v>39784</v>
      </c>
      <c r="G830" s="48">
        <v>41639</v>
      </c>
      <c r="H830" s="46" t="s">
        <v>40</v>
      </c>
      <c r="I830" s="45">
        <v>6000</v>
      </c>
      <c r="J830" s="45">
        <v>6000</v>
      </c>
      <c r="K830" s="49" t="s">
        <v>7941</v>
      </c>
      <c r="L830" s="45"/>
      <c r="M830" s="3"/>
    </row>
    <row r="831" spans="1:13" x14ac:dyDescent="0.25">
      <c r="A831" s="46" t="s">
        <v>8103</v>
      </c>
      <c r="B831" s="46" t="s">
        <v>59</v>
      </c>
      <c r="C831" s="46" t="s">
        <v>14</v>
      </c>
      <c r="D831" s="47">
        <v>2431</v>
      </c>
      <c r="E831" s="46" t="s">
        <v>8104</v>
      </c>
      <c r="F831" s="48">
        <v>39699</v>
      </c>
      <c r="G831" s="48">
        <v>41639</v>
      </c>
      <c r="H831" s="46" t="s">
        <v>40</v>
      </c>
      <c r="I831" s="45">
        <v>6000</v>
      </c>
      <c r="J831" s="45">
        <v>6000</v>
      </c>
      <c r="K831" s="49" t="s">
        <v>7941</v>
      </c>
      <c r="L831" s="45"/>
      <c r="M831" s="3"/>
    </row>
    <row r="832" spans="1:13" x14ac:dyDescent="0.25">
      <c r="A832" s="46" t="s">
        <v>8105</v>
      </c>
      <c r="B832" s="46" t="s">
        <v>59</v>
      </c>
      <c r="C832" s="46" t="s">
        <v>14</v>
      </c>
      <c r="D832" s="47">
        <v>2432</v>
      </c>
      <c r="E832" s="46" t="s">
        <v>8106</v>
      </c>
      <c r="F832" s="48">
        <v>39699</v>
      </c>
      <c r="G832" s="48">
        <v>41639</v>
      </c>
      <c r="H832" s="46" t="s">
        <v>40</v>
      </c>
      <c r="I832" s="45">
        <v>6000</v>
      </c>
      <c r="J832" s="45">
        <v>6000</v>
      </c>
      <c r="K832" s="49" t="s">
        <v>7941</v>
      </c>
      <c r="L832" s="45"/>
      <c r="M832" s="3"/>
    </row>
    <row r="833" spans="1:13" x14ac:dyDescent="0.25">
      <c r="A833" s="46" t="s">
        <v>8113</v>
      </c>
      <c r="B833" s="46" t="s">
        <v>59</v>
      </c>
      <c r="C833" s="46" t="s">
        <v>14</v>
      </c>
      <c r="D833" s="47">
        <v>2436</v>
      </c>
      <c r="E833" s="46" t="s">
        <v>8114</v>
      </c>
      <c r="F833" s="48">
        <v>39587</v>
      </c>
      <c r="G833" s="48">
        <v>41639</v>
      </c>
      <c r="H833" s="46" t="s">
        <v>40</v>
      </c>
      <c r="I833" s="45">
        <v>3000</v>
      </c>
      <c r="J833" s="45">
        <v>3000</v>
      </c>
      <c r="K833" s="49" t="s">
        <v>7941</v>
      </c>
      <c r="L833" s="45"/>
      <c r="M833" s="3"/>
    </row>
    <row r="834" spans="1:13" x14ac:dyDescent="0.25">
      <c r="A834" s="46" t="s">
        <v>8123</v>
      </c>
      <c r="B834" s="46" t="s">
        <v>59</v>
      </c>
      <c r="C834" s="46" t="s">
        <v>14</v>
      </c>
      <c r="D834" s="47">
        <v>2441</v>
      </c>
      <c r="E834" s="46" t="s">
        <v>8124</v>
      </c>
      <c r="F834" s="48">
        <v>39587</v>
      </c>
      <c r="G834" s="48">
        <v>39810</v>
      </c>
      <c r="H834" s="46" t="s">
        <v>40</v>
      </c>
      <c r="I834" s="45">
        <v>6000</v>
      </c>
      <c r="J834" s="45">
        <v>6000</v>
      </c>
      <c r="K834" s="49" t="s">
        <v>7941</v>
      </c>
      <c r="L834" s="45"/>
      <c r="M834" s="3"/>
    </row>
    <row r="835" spans="1:13" x14ac:dyDescent="0.25">
      <c r="A835" s="46" t="s">
        <v>8125</v>
      </c>
      <c r="B835" s="46" t="s">
        <v>59</v>
      </c>
      <c r="C835" s="46" t="s">
        <v>14</v>
      </c>
      <c r="D835" s="47">
        <v>2442</v>
      </c>
      <c r="E835" s="46" t="s">
        <v>8126</v>
      </c>
      <c r="F835" s="48">
        <v>39587</v>
      </c>
      <c r="G835" s="48">
        <v>39941</v>
      </c>
      <c r="H835" s="46" t="s">
        <v>40</v>
      </c>
      <c r="I835" s="45">
        <v>3000</v>
      </c>
      <c r="J835" s="45">
        <v>3000</v>
      </c>
      <c r="K835" s="49" t="s">
        <v>7941</v>
      </c>
      <c r="L835" s="45"/>
      <c r="M835" s="3"/>
    </row>
    <row r="836" spans="1:13" x14ac:dyDescent="0.25">
      <c r="A836" s="46" t="s">
        <v>8127</v>
      </c>
      <c r="B836" s="46" t="s">
        <v>59</v>
      </c>
      <c r="C836" s="46" t="s">
        <v>14</v>
      </c>
      <c r="D836" s="47">
        <v>2443</v>
      </c>
      <c r="E836" s="46" t="s">
        <v>8128</v>
      </c>
      <c r="F836" s="48">
        <v>39587</v>
      </c>
      <c r="G836" s="48">
        <v>39786</v>
      </c>
      <c r="H836" s="46" t="s">
        <v>40</v>
      </c>
      <c r="I836" s="45">
        <v>3000</v>
      </c>
      <c r="J836" s="45">
        <v>3000</v>
      </c>
      <c r="K836" s="49" t="s">
        <v>7941</v>
      </c>
      <c r="L836" s="45"/>
      <c r="M836" s="3"/>
    </row>
    <row r="837" spans="1:13" ht="25.5" x14ac:dyDescent="0.25">
      <c r="A837" s="46" t="s">
        <v>8129</v>
      </c>
      <c r="B837" s="46" t="s">
        <v>59</v>
      </c>
      <c r="C837" s="46" t="s">
        <v>14</v>
      </c>
      <c r="D837" s="47">
        <v>2444</v>
      </c>
      <c r="E837" s="46" t="s">
        <v>8130</v>
      </c>
      <c r="F837" s="48">
        <v>39587</v>
      </c>
      <c r="G837" s="48">
        <v>41639</v>
      </c>
      <c r="H837" s="46" t="s">
        <v>40</v>
      </c>
      <c r="I837" s="45">
        <v>3000</v>
      </c>
      <c r="J837" s="45">
        <v>3000</v>
      </c>
      <c r="K837" s="49" t="s">
        <v>7941</v>
      </c>
      <c r="L837" s="45"/>
      <c r="M837" s="3"/>
    </row>
    <row r="838" spans="1:13" x14ac:dyDescent="0.25">
      <c r="A838" s="46" t="s">
        <v>8133</v>
      </c>
      <c r="B838" s="46" t="s">
        <v>59</v>
      </c>
      <c r="C838" s="46" t="s">
        <v>14</v>
      </c>
      <c r="D838" s="47">
        <v>2446</v>
      </c>
      <c r="E838" s="46" t="s">
        <v>8134</v>
      </c>
      <c r="F838" s="48">
        <v>39699</v>
      </c>
      <c r="G838" s="48">
        <v>41639</v>
      </c>
      <c r="H838" s="46" t="s">
        <v>40</v>
      </c>
      <c r="I838" s="45">
        <v>6000</v>
      </c>
      <c r="J838" s="45">
        <v>6000</v>
      </c>
      <c r="K838" s="49" t="s">
        <v>7941</v>
      </c>
      <c r="L838" s="45"/>
      <c r="M838" s="3"/>
    </row>
    <row r="839" spans="1:13" x14ac:dyDescent="0.25">
      <c r="A839" s="46" t="s">
        <v>8135</v>
      </c>
      <c r="B839" s="46" t="s">
        <v>59</v>
      </c>
      <c r="C839" s="46" t="s">
        <v>14</v>
      </c>
      <c r="D839" s="47">
        <v>2447</v>
      </c>
      <c r="E839" s="46" t="s">
        <v>8136</v>
      </c>
      <c r="F839" s="48">
        <v>39272</v>
      </c>
      <c r="G839" s="48">
        <v>39731</v>
      </c>
      <c r="H839" s="46" t="s">
        <v>40</v>
      </c>
      <c r="I839" s="45">
        <v>6000</v>
      </c>
      <c r="J839" s="45">
        <v>6000</v>
      </c>
      <c r="K839" s="49" t="s">
        <v>7941</v>
      </c>
      <c r="L839" s="45"/>
      <c r="M839" s="3"/>
    </row>
    <row r="840" spans="1:13" x14ac:dyDescent="0.25">
      <c r="A840" s="46" t="s">
        <v>8158</v>
      </c>
      <c r="B840" s="46" t="s">
        <v>59</v>
      </c>
      <c r="C840" s="46" t="s">
        <v>14</v>
      </c>
      <c r="D840" s="47">
        <v>4866</v>
      </c>
      <c r="E840" s="46" t="s">
        <v>8159</v>
      </c>
      <c r="F840" s="48">
        <v>39919</v>
      </c>
      <c r="G840" s="48">
        <v>40284</v>
      </c>
      <c r="H840" s="46" t="s">
        <v>40</v>
      </c>
      <c r="I840" s="45">
        <v>3000</v>
      </c>
      <c r="J840" s="45">
        <v>3000</v>
      </c>
      <c r="K840" s="49" t="s">
        <v>7941</v>
      </c>
      <c r="L840" s="45"/>
      <c r="M840" s="3"/>
    </row>
    <row r="841" spans="1:13" x14ac:dyDescent="0.25">
      <c r="A841" s="46" t="s">
        <v>8160</v>
      </c>
      <c r="B841" s="46" t="s">
        <v>59</v>
      </c>
      <c r="C841" s="46" t="s">
        <v>14</v>
      </c>
      <c r="D841" s="47">
        <v>4868</v>
      </c>
      <c r="E841" s="46" t="s">
        <v>8161</v>
      </c>
      <c r="F841" s="48">
        <v>39919</v>
      </c>
      <c r="G841" s="48">
        <v>40284</v>
      </c>
      <c r="H841" s="46" t="s">
        <v>40</v>
      </c>
      <c r="I841" s="45">
        <v>6000</v>
      </c>
      <c r="J841" s="45">
        <v>6000</v>
      </c>
      <c r="K841" s="49" t="s">
        <v>7941</v>
      </c>
      <c r="L841" s="45"/>
      <c r="M841" s="3"/>
    </row>
    <row r="842" spans="1:13" x14ac:dyDescent="0.25">
      <c r="A842" s="46" t="s">
        <v>8162</v>
      </c>
      <c r="B842" s="46" t="s">
        <v>59</v>
      </c>
      <c r="C842" s="46" t="s">
        <v>14</v>
      </c>
      <c r="D842" s="47">
        <v>4873</v>
      </c>
      <c r="E842" s="46" t="s">
        <v>8163</v>
      </c>
      <c r="F842" s="48">
        <v>39699</v>
      </c>
      <c r="G842" s="48">
        <v>40178</v>
      </c>
      <c r="H842" s="46" t="s">
        <v>40</v>
      </c>
      <c r="I842" s="45">
        <v>6000</v>
      </c>
      <c r="J842" s="45">
        <v>6000</v>
      </c>
      <c r="K842" s="49" t="s">
        <v>7941</v>
      </c>
      <c r="L842" s="45"/>
      <c r="M842" s="3"/>
    </row>
    <row r="843" spans="1:13" ht="25.5" x14ac:dyDescent="0.25">
      <c r="A843" s="46" t="s">
        <v>8169</v>
      </c>
      <c r="B843" s="46" t="s">
        <v>59</v>
      </c>
      <c r="C843" s="46" t="s">
        <v>14</v>
      </c>
      <c r="D843" s="47">
        <v>4879</v>
      </c>
      <c r="E843" s="46" t="s">
        <v>8170</v>
      </c>
      <c r="F843" s="48">
        <v>39951</v>
      </c>
      <c r="G843" s="48">
        <v>40316</v>
      </c>
      <c r="H843" s="46" t="s">
        <v>40</v>
      </c>
      <c r="I843" s="45">
        <v>6000</v>
      </c>
      <c r="J843" s="45">
        <v>6000</v>
      </c>
      <c r="K843" s="49" t="s">
        <v>7941</v>
      </c>
      <c r="L843" s="45"/>
      <c r="M843" s="3"/>
    </row>
    <row r="844" spans="1:13" ht="25.5" x14ac:dyDescent="0.25">
      <c r="A844" s="46" t="s">
        <v>8173</v>
      </c>
      <c r="B844" s="46" t="s">
        <v>59</v>
      </c>
      <c r="C844" s="46" t="s">
        <v>14</v>
      </c>
      <c r="D844" s="47">
        <v>4881</v>
      </c>
      <c r="E844" s="46" t="s">
        <v>8174</v>
      </c>
      <c r="F844" s="48">
        <v>40007</v>
      </c>
      <c r="G844" s="48">
        <v>40372</v>
      </c>
      <c r="H844" s="46" t="s">
        <v>40</v>
      </c>
      <c r="I844" s="45">
        <v>3000</v>
      </c>
      <c r="J844" s="45">
        <v>6000</v>
      </c>
      <c r="K844" s="49" t="s">
        <v>7941</v>
      </c>
      <c r="L844" s="45"/>
      <c r="M844" s="3"/>
    </row>
    <row r="845" spans="1:13" ht="25.5" x14ac:dyDescent="0.25">
      <c r="A845" s="46" t="s">
        <v>8175</v>
      </c>
      <c r="B845" s="46" t="s">
        <v>59</v>
      </c>
      <c r="C845" s="46" t="s">
        <v>14</v>
      </c>
      <c r="D845" s="47">
        <v>4882</v>
      </c>
      <c r="E845" s="46" t="s">
        <v>8176</v>
      </c>
      <c r="F845" s="48">
        <v>40007</v>
      </c>
      <c r="G845" s="48">
        <v>40372</v>
      </c>
      <c r="H845" s="46" t="s">
        <v>40</v>
      </c>
      <c r="I845" s="45">
        <v>6000</v>
      </c>
      <c r="J845" s="45">
        <v>6000</v>
      </c>
      <c r="K845" s="49" t="s">
        <v>7941</v>
      </c>
      <c r="L845" s="45"/>
      <c r="M845" s="3"/>
    </row>
    <row r="846" spans="1:13" x14ac:dyDescent="0.25">
      <c r="A846" s="46" t="s">
        <v>8177</v>
      </c>
      <c r="B846" s="46" t="s">
        <v>59</v>
      </c>
      <c r="C846" s="46" t="s">
        <v>14</v>
      </c>
      <c r="D846" s="47">
        <v>4883</v>
      </c>
      <c r="E846" s="46" t="s">
        <v>8178</v>
      </c>
      <c r="F846" s="48">
        <v>40007</v>
      </c>
      <c r="G846" s="48">
        <v>40372</v>
      </c>
      <c r="H846" s="46" t="s">
        <v>40</v>
      </c>
      <c r="I846" s="45">
        <v>3000</v>
      </c>
      <c r="J846" s="45">
        <v>6000</v>
      </c>
      <c r="K846" s="49" t="s">
        <v>7941</v>
      </c>
      <c r="L846" s="45"/>
      <c r="M846" s="3"/>
    </row>
    <row r="847" spans="1:13" ht="25.5" x14ac:dyDescent="0.25">
      <c r="A847" s="46" t="s">
        <v>8181</v>
      </c>
      <c r="B847" s="46" t="s">
        <v>59</v>
      </c>
      <c r="C847" s="46" t="s">
        <v>14</v>
      </c>
      <c r="D847" s="47">
        <v>4885</v>
      </c>
      <c r="E847" s="46" t="s">
        <v>8182</v>
      </c>
      <c r="F847" s="48">
        <v>40105</v>
      </c>
      <c r="G847" s="48">
        <v>40470</v>
      </c>
      <c r="H847" s="46" t="s">
        <v>40</v>
      </c>
      <c r="I847" s="45">
        <v>6000</v>
      </c>
      <c r="J847" s="45">
        <v>6000</v>
      </c>
      <c r="K847" s="49" t="s">
        <v>7941</v>
      </c>
      <c r="L847" s="45"/>
      <c r="M847" s="3"/>
    </row>
    <row r="848" spans="1:13" x14ac:dyDescent="0.25">
      <c r="A848" s="46" t="s">
        <v>8183</v>
      </c>
      <c r="B848" s="46" t="s">
        <v>59</v>
      </c>
      <c r="C848" s="46" t="s">
        <v>14</v>
      </c>
      <c r="D848" s="47">
        <v>4886</v>
      </c>
      <c r="E848" s="46" t="s">
        <v>8184</v>
      </c>
      <c r="F848" s="48">
        <v>40105</v>
      </c>
      <c r="G848" s="48">
        <v>40470</v>
      </c>
      <c r="H848" s="46" t="s">
        <v>40</v>
      </c>
      <c r="I848" s="45">
        <v>6000</v>
      </c>
      <c r="J848" s="45">
        <v>6000</v>
      </c>
      <c r="K848" s="49" t="s">
        <v>7941</v>
      </c>
      <c r="L848" s="45"/>
      <c r="M848" s="3"/>
    </row>
    <row r="849" spans="1:13" x14ac:dyDescent="0.25">
      <c r="A849" s="46" t="s">
        <v>8185</v>
      </c>
      <c r="B849" s="46" t="s">
        <v>59</v>
      </c>
      <c r="C849" s="46" t="s">
        <v>14</v>
      </c>
      <c r="D849" s="47">
        <v>4887</v>
      </c>
      <c r="E849" s="46" t="s">
        <v>8186</v>
      </c>
      <c r="F849" s="48">
        <v>40105</v>
      </c>
      <c r="G849" s="48">
        <v>40470</v>
      </c>
      <c r="H849" s="46" t="s">
        <v>40</v>
      </c>
      <c r="I849" s="45">
        <v>6000</v>
      </c>
      <c r="J849" s="45">
        <v>6000</v>
      </c>
      <c r="K849" s="49" t="s">
        <v>7941</v>
      </c>
      <c r="L849" s="45"/>
      <c r="M849" s="3"/>
    </row>
    <row r="850" spans="1:13" x14ac:dyDescent="0.25">
      <c r="A850" s="46" t="s">
        <v>8187</v>
      </c>
      <c r="B850" s="46" t="s">
        <v>59</v>
      </c>
      <c r="C850" s="46" t="s">
        <v>14</v>
      </c>
      <c r="D850" s="47">
        <v>4888</v>
      </c>
      <c r="E850" s="46" t="s">
        <v>8188</v>
      </c>
      <c r="F850" s="48">
        <v>40105</v>
      </c>
      <c r="G850" s="48">
        <v>40470</v>
      </c>
      <c r="H850" s="46" t="s">
        <v>40</v>
      </c>
      <c r="I850" s="45">
        <v>1500</v>
      </c>
      <c r="J850" s="45">
        <v>1500</v>
      </c>
      <c r="K850" s="49" t="s">
        <v>7941</v>
      </c>
      <c r="L850" s="45"/>
      <c r="M850" s="3"/>
    </row>
    <row r="851" spans="1:13" x14ac:dyDescent="0.25">
      <c r="A851" s="46" t="s">
        <v>8189</v>
      </c>
      <c r="B851" s="46" t="s">
        <v>59</v>
      </c>
      <c r="C851" s="46" t="s">
        <v>14</v>
      </c>
      <c r="D851" s="47">
        <v>4889</v>
      </c>
      <c r="E851" s="46" t="s">
        <v>8190</v>
      </c>
      <c r="F851" s="48">
        <v>39951</v>
      </c>
      <c r="G851" s="48">
        <v>40316</v>
      </c>
      <c r="H851" s="46" t="s">
        <v>40</v>
      </c>
      <c r="I851" s="45">
        <v>6000</v>
      </c>
      <c r="J851" s="45">
        <v>6000</v>
      </c>
      <c r="K851" s="49" t="s">
        <v>7941</v>
      </c>
      <c r="L851" s="45"/>
      <c r="M851" s="3"/>
    </row>
    <row r="852" spans="1:13" x14ac:dyDescent="0.25">
      <c r="A852" s="46" t="s">
        <v>8194</v>
      </c>
      <c r="B852" s="46" t="s">
        <v>59</v>
      </c>
      <c r="C852" s="46" t="s">
        <v>14</v>
      </c>
      <c r="D852" s="47">
        <v>4892</v>
      </c>
      <c r="E852" s="46" t="s">
        <v>8195</v>
      </c>
      <c r="F852" s="48">
        <v>40007</v>
      </c>
      <c r="G852" s="48">
        <v>40372</v>
      </c>
      <c r="H852" s="46" t="s">
        <v>40</v>
      </c>
      <c r="I852" s="45">
        <v>6000</v>
      </c>
      <c r="J852" s="45">
        <v>6000</v>
      </c>
      <c r="K852" s="49" t="s">
        <v>7941</v>
      </c>
      <c r="L852" s="45"/>
      <c r="M852" s="3"/>
    </row>
    <row r="853" spans="1:13" x14ac:dyDescent="0.25">
      <c r="A853" s="46" t="s">
        <v>8202</v>
      </c>
      <c r="B853" s="46" t="s">
        <v>59</v>
      </c>
      <c r="C853" s="46" t="s">
        <v>14</v>
      </c>
      <c r="D853" s="47">
        <v>4896</v>
      </c>
      <c r="E853" s="46" t="s">
        <v>8203</v>
      </c>
      <c r="F853" s="48">
        <v>40105</v>
      </c>
      <c r="G853" s="48">
        <v>40470</v>
      </c>
      <c r="H853" s="46" t="s">
        <v>40</v>
      </c>
      <c r="I853" s="45">
        <v>3000</v>
      </c>
      <c r="J853" s="45">
        <v>3000</v>
      </c>
      <c r="K853" s="49" t="s">
        <v>7941</v>
      </c>
      <c r="L853" s="45"/>
      <c r="M853" s="3"/>
    </row>
    <row r="854" spans="1:13" ht="25.5" x14ac:dyDescent="0.25">
      <c r="A854" s="46" t="s">
        <v>8206</v>
      </c>
      <c r="B854" s="46" t="s">
        <v>59</v>
      </c>
      <c r="C854" s="46" t="s">
        <v>14</v>
      </c>
      <c r="D854" s="47">
        <v>4898</v>
      </c>
      <c r="E854" s="46" t="s">
        <v>8207</v>
      </c>
      <c r="F854" s="48">
        <v>39951</v>
      </c>
      <c r="G854" s="48">
        <v>40316</v>
      </c>
      <c r="H854" s="46" t="s">
        <v>40</v>
      </c>
      <c r="I854" s="45">
        <v>1500</v>
      </c>
      <c r="J854" s="45">
        <v>1500</v>
      </c>
      <c r="K854" s="49" t="s">
        <v>7941</v>
      </c>
      <c r="L854" s="45"/>
      <c r="M854" s="3"/>
    </row>
    <row r="855" spans="1:13" x14ac:dyDescent="0.25">
      <c r="A855" s="46" t="s">
        <v>8400</v>
      </c>
      <c r="B855" s="46" t="s">
        <v>59</v>
      </c>
      <c r="C855" s="46" t="s">
        <v>14</v>
      </c>
      <c r="D855" s="47">
        <v>408</v>
      </c>
      <c r="E855" s="46" t="s">
        <v>8401</v>
      </c>
      <c r="F855" s="48">
        <v>39259</v>
      </c>
      <c r="G855" s="48">
        <v>39457</v>
      </c>
      <c r="H855" s="46" t="s">
        <v>40</v>
      </c>
      <c r="I855" s="45">
        <v>7000</v>
      </c>
      <c r="J855" s="45">
        <v>7000</v>
      </c>
      <c r="K855" s="49" t="s">
        <v>8348</v>
      </c>
      <c r="L855" s="45"/>
      <c r="M855" s="3"/>
    </row>
    <row r="856" spans="1:13" x14ac:dyDescent="0.25">
      <c r="A856" s="46" t="s">
        <v>8402</v>
      </c>
      <c r="B856" s="46" t="s">
        <v>59</v>
      </c>
      <c r="C856" s="46" t="s">
        <v>14</v>
      </c>
      <c r="D856" s="47">
        <v>412</v>
      </c>
      <c r="E856" s="46" t="s">
        <v>8403</v>
      </c>
      <c r="F856" s="48">
        <v>39259</v>
      </c>
      <c r="G856" s="48">
        <v>39450</v>
      </c>
      <c r="H856" s="46" t="s">
        <v>40</v>
      </c>
      <c r="I856" s="45">
        <v>14000</v>
      </c>
      <c r="J856" s="45">
        <v>14000</v>
      </c>
      <c r="K856" s="49" t="s">
        <v>8348</v>
      </c>
      <c r="L856" s="45"/>
      <c r="M856" s="3"/>
    </row>
    <row r="857" spans="1:13" x14ac:dyDescent="0.25">
      <c r="A857" s="46" t="s">
        <v>8404</v>
      </c>
      <c r="B857" s="46" t="s">
        <v>59</v>
      </c>
      <c r="C857" s="46" t="s">
        <v>14</v>
      </c>
      <c r="D857" s="47">
        <v>413</v>
      </c>
      <c r="E857" s="46" t="s">
        <v>8405</v>
      </c>
      <c r="F857" s="48">
        <v>39259</v>
      </c>
      <c r="G857" s="48">
        <v>39462</v>
      </c>
      <c r="H857" s="46" t="s">
        <v>40</v>
      </c>
      <c r="I857" s="45">
        <v>5000</v>
      </c>
      <c r="J857" s="45">
        <v>5000</v>
      </c>
      <c r="K857" s="49" t="s">
        <v>8348</v>
      </c>
      <c r="L857" s="45"/>
      <c r="M857" s="3"/>
    </row>
    <row r="858" spans="1:13" x14ac:dyDescent="0.25">
      <c r="A858" s="46" t="s">
        <v>8406</v>
      </c>
      <c r="B858" s="46" t="s">
        <v>59</v>
      </c>
      <c r="C858" s="46" t="s">
        <v>14</v>
      </c>
      <c r="D858" s="47">
        <v>414</v>
      </c>
      <c r="E858" s="46" t="s">
        <v>8407</v>
      </c>
      <c r="F858" s="48">
        <v>39197</v>
      </c>
      <c r="G858" s="48">
        <v>39450</v>
      </c>
      <c r="H858" s="46" t="s">
        <v>40</v>
      </c>
      <c r="I858" s="45">
        <v>7500</v>
      </c>
      <c r="J858" s="45">
        <v>7500</v>
      </c>
      <c r="K858" s="49" t="s">
        <v>8348</v>
      </c>
      <c r="L858" s="45"/>
      <c r="M858" s="3"/>
    </row>
    <row r="859" spans="1:13" x14ac:dyDescent="0.25">
      <c r="A859" s="46" t="s">
        <v>8410</v>
      </c>
      <c r="B859" s="46" t="s">
        <v>59</v>
      </c>
      <c r="C859" s="46" t="s">
        <v>14</v>
      </c>
      <c r="D859" s="47">
        <v>416</v>
      </c>
      <c r="E859" s="46" t="s">
        <v>8411</v>
      </c>
      <c r="F859" s="48">
        <v>39358</v>
      </c>
      <c r="G859" s="48">
        <v>39721</v>
      </c>
      <c r="H859" s="46" t="s">
        <v>40</v>
      </c>
      <c r="I859" s="45">
        <v>16500</v>
      </c>
      <c r="J859" s="45">
        <v>16500</v>
      </c>
      <c r="K859" s="49" t="s">
        <v>8348</v>
      </c>
      <c r="L859" s="45"/>
      <c r="M859" s="3"/>
    </row>
    <row r="860" spans="1:13" x14ac:dyDescent="0.25">
      <c r="A860" s="46" t="s">
        <v>8416</v>
      </c>
      <c r="B860" s="46" t="s">
        <v>59</v>
      </c>
      <c r="C860" s="46" t="s">
        <v>14</v>
      </c>
      <c r="D860" s="47">
        <v>419</v>
      </c>
      <c r="E860" s="46" t="s">
        <v>8417</v>
      </c>
      <c r="F860" s="48">
        <v>39197</v>
      </c>
      <c r="G860" s="48">
        <v>39388</v>
      </c>
      <c r="H860" s="46" t="s">
        <v>40</v>
      </c>
      <c r="I860" s="45">
        <v>3750</v>
      </c>
      <c r="J860" s="45">
        <v>3750</v>
      </c>
      <c r="K860" s="49" t="s">
        <v>8348</v>
      </c>
      <c r="L860" s="45"/>
      <c r="M860" s="3"/>
    </row>
    <row r="861" spans="1:13" x14ac:dyDescent="0.25">
      <c r="A861" s="46" t="s">
        <v>8418</v>
      </c>
      <c r="B861" s="46" t="s">
        <v>59</v>
      </c>
      <c r="C861" s="46" t="s">
        <v>14</v>
      </c>
      <c r="D861" s="47">
        <v>420</v>
      </c>
      <c r="E861" s="46" t="s">
        <v>8419</v>
      </c>
      <c r="F861" s="48">
        <v>39260</v>
      </c>
      <c r="G861" s="48">
        <v>39426</v>
      </c>
      <c r="H861" s="46" t="s">
        <v>40</v>
      </c>
      <c r="I861" s="45">
        <v>3750</v>
      </c>
      <c r="J861" s="45">
        <v>3750</v>
      </c>
      <c r="K861" s="49" t="s">
        <v>8348</v>
      </c>
      <c r="L861" s="45"/>
      <c r="M861" s="3"/>
    </row>
    <row r="862" spans="1:13" x14ac:dyDescent="0.25">
      <c r="A862" s="46" t="s">
        <v>8424</v>
      </c>
      <c r="B862" s="46" t="s">
        <v>59</v>
      </c>
      <c r="C862" s="46" t="s">
        <v>14</v>
      </c>
      <c r="D862" s="47">
        <v>423</v>
      </c>
      <c r="E862" s="46" t="s">
        <v>8425</v>
      </c>
      <c r="F862" s="48">
        <v>39260</v>
      </c>
      <c r="G862" s="48">
        <v>39657</v>
      </c>
      <c r="H862" s="46" t="s">
        <v>40</v>
      </c>
      <c r="I862" s="45">
        <v>10000</v>
      </c>
      <c r="J862" s="45">
        <v>10000</v>
      </c>
      <c r="K862" s="49" t="s">
        <v>8348</v>
      </c>
      <c r="L862" s="45"/>
      <c r="M862" s="3"/>
    </row>
    <row r="863" spans="1:13" x14ac:dyDescent="0.25">
      <c r="A863" s="46" t="s">
        <v>8441</v>
      </c>
      <c r="B863" s="46" t="s">
        <v>59</v>
      </c>
      <c r="C863" s="46" t="s">
        <v>14</v>
      </c>
      <c r="D863" s="47">
        <v>432</v>
      </c>
      <c r="E863" s="46" t="s">
        <v>8442</v>
      </c>
      <c r="F863" s="48">
        <v>39505</v>
      </c>
      <c r="G863" s="48">
        <v>39759</v>
      </c>
      <c r="H863" s="46" t="s">
        <v>40</v>
      </c>
      <c r="I863" s="45">
        <v>5000</v>
      </c>
      <c r="J863" s="45">
        <v>5000</v>
      </c>
      <c r="K863" s="49" t="s">
        <v>8348</v>
      </c>
      <c r="L863" s="45"/>
      <c r="M863" s="3"/>
    </row>
    <row r="864" spans="1:13" x14ac:dyDescent="0.25">
      <c r="A864" s="46" t="s">
        <v>8450</v>
      </c>
      <c r="B864" s="46" t="s">
        <v>59</v>
      </c>
      <c r="C864" s="46" t="s">
        <v>14</v>
      </c>
      <c r="D864" s="47">
        <v>437</v>
      </c>
      <c r="E864" s="46" t="s">
        <v>8451</v>
      </c>
      <c r="F864" s="48">
        <v>39624</v>
      </c>
      <c r="G864" s="48">
        <v>39868</v>
      </c>
      <c r="H864" s="46" t="s">
        <v>40</v>
      </c>
      <c r="I864" s="45">
        <v>7500</v>
      </c>
      <c r="J864" s="45">
        <v>7500</v>
      </c>
      <c r="K864" s="49" t="s">
        <v>8348</v>
      </c>
      <c r="L864" s="45"/>
      <c r="M864" s="3"/>
    </row>
    <row r="865" spans="1:13" x14ac:dyDescent="0.25">
      <c r="A865" s="46" t="s">
        <v>8452</v>
      </c>
      <c r="B865" s="46" t="s">
        <v>59</v>
      </c>
      <c r="C865" s="46" t="s">
        <v>14</v>
      </c>
      <c r="D865" s="47">
        <v>439</v>
      </c>
      <c r="E865" s="46" t="s">
        <v>8453</v>
      </c>
      <c r="F865" s="48">
        <v>39624</v>
      </c>
      <c r="G865" s="48">
        <v>39814</v>
      </c>
      <c r="H865" s="46" t="s">
        <v>40</v>
      </c>
      <c r="I865" s="45">
        <v>7500</v>
      </c>
      <c r="J865" s="45">
        <v>7500</v>
      </c>
      <c r="K865" s="49" t="s">
        <v>8348</v>
      </c>
      <c r="L865" s="45"/>
      <c r="M865" s="3"/>
    </row>
    <row r="866" spans="1:13" x14ac:dyDescent="0.25">
      <c r="A866" s="46" t="s">
        <v>8454</v>
      </c>
      <c r="B866" s="46" t="s">
        <v>59</v>
      </c>
      <c r="C866" s="46" t="s">
        <v>14</v>
      </c>
      <c r="D866" s="47">
        <v>440</v>
      </c>
      <c r="E866" s="46" t="s">
        <v>8455</v>
      </c>
      <c r="F866" s="48">
        <v>39659</v>
      </c>
      <c r="G866" s="48">
        <v>39891</v>
      </c>
      <c r="H866" s="46" t="s">
        <v>40</v>
      </c>
      <c r="I866" s="45">
        <v>7500</v>
      </c>
      <c r="J866" s="45">
        <v>7500</v>
      </c>
      <c r="K866" s="49" t="s">
        <v>8348</v>
      </c>
      <c r="L866" s="45"/>
      <c r="M866" s="3"/>
    </row>
    <row r="867" spans="1:13" x14ac:dyDescent="0.25">
      <c r="A867" s="46" t="s">
        <v>8456</v>
      </c>
      <c r="B867" s="46" t="s">
        <v>59</v>
      </c>
      <c r="C867" s="46" t="s">
        <v>14</v>
      </c>
      <c r="D867" s="47">
        <v>441</v>
      </c>
      <c r="E867" s="46" t="s">
        <v>8457</v>
      </c>
      <c r="F867" s="48">
        <v>39659</v>
      </c>
      <c r="G867" s="48">
        <v>39897</v>
      </c>
      <c r="H867" s="46" t="s">
        <v>40</v>
      </c>
      <c r="I867" s="45">
        <v>7500</v>
      </c>
      <c r="J867" s="45">
        <v>7500</v>
      </c>
      <c r="K867" s="49" t="s">
        <v>8348</v>
      </c>
      <c r="L867" s="45"/>
      <c r="M867" s="3"/>
    </row>
    <row r="868" spans="1:13" x14ac:dyDescent="0.25">
      <c r="A868" s="46" t="s">
        <v>8458</v>
      </c>
      <c r="B868" s="46" t="s">
        <v>59</v>
      </c>
      <c r="C868" s="46" t="s">
        <v>14</v>
      </c>
      <c r="D868" s="47">
        <v>442</v>
      </c>
      <c r="E868" s="46" t="s">
        <v>8459</v>
      </c>
      <c r="F868" s="48">
        <v>39659</v>
      </c>
      <c r="G868" s="48">
        <v>39883</v>
      </c>
      <c r="H868" s="46" t="s">
        <v>40</v>
      </c>
      <c r="I868" s="45">
        <v>7500</v>
      </c>
      <c r="J868" s="45">
        <v>7500</v>
      </c>
      <c r="K868" s="49" t="s">
        <v>8348</v>
      </c>
      <c r="L868" s="45"/>
      <c r="M868" s="3"/>
    </row>
    <row r="869" spans="1:13" x14ac:dyDescent="0.25">
      <c r="A869" s="46" t="s">
        <v>8538</v>
      </c>
      <c r="B869" s="46" t="s">
        <v>59</v>
      </c>
      <c r="C869" s="46" t="s">
        <v>14</v>
      </c>
      <c r="D869" s="47">
        <v>4918</v>
      </c>
      <c r="E869" s="46" t="s">
        <v>8539</v>
      </c>
      <c r="F869" s="48">
        <v>39864</v>
      </c>
      <c r="G869" s="48">
        <v>40042</v>
      </c>
      <c r="H869" s="46" t="s">
        <v>40</v>
      </c>
      <c r="I869" s="45">
        <v>7500</v>
      </c>
      <c r="J869" s="45">
        <v>7500</v>
      </c>
      <c r="K869" s="49" t="s">
        <v>8348</v>
      </c>
      <c r="L869" s="45"/>
      <c r="M869" s="3"/>
    </row>
    <row r="870" spans="1:13" x14ac:dyDescent="0.25">
      <c r="A870" s="46" t="s">
        <v>8540</v>
      </c>
      <c r="B870" s="46" t="s">
        <v>59</v>
      </c>
      <c r="C870" s="46" t="s">
        <v>14</v>
      </c>
      <c r="D870" s="47">
        <v>4929</v>
      </c>
      <c r="E870" s="46" t="s">
        <v>8451</v>
      </c>
      <c r="F870" s="48">
        <v>39902</v>
      </c>
      <c r="G870" s="48">
        <v>40073</v>
      </c>
      <c r="H870" s="46" t="s">
        <v>40</v>
      </c>
      <c r="I870" s="45">
        <v>5000</v>
      </c>
      <c r="J870" s="45">
        <v>5000</v>
      </c>
      <c r="K870" s="49" t="s">
        <v>8348</v>
      </c>
      <c r="L870" s="45"/>
      <c r="M870" s="3"/>
    </row>
    <row r="871" spans="1:13" x14ac:dyDescent="0.25">
      <c r="A871" s="46" t="s">
        <v>8541</v>
      </c>
      <c r="B871" s="46" t="s">
        <v>59</v>
      </c>
      <c r="C871" s="46" t="s">
        <v>14</v>
      </c>
      <c r="D871" s="47">
        <v>4932</v>
      </c>
      <c r="E871" s="46" t="s">
        <v>8542</v>
      </c>
      <c r="F871" s="48">
        <v>39941</v>
      </c>
      <c r="G871" s="48">
        <v>40107</v>
      </c>
      <c r="H871" s="46" t="s">
        <v>40</v>
      </c>
      <c r="I871" s="45">
        <v>7500</v>
      </c>
      <c r="J871" s="45">
        <v>7500</v>
      </c>
      <c r="K871" s="49" t="s">
        <v>8348</v>
      </c>
      <c r="L871" s="45"/>
      <c r="M871" s="3"/>
    </row>
    <row r="872" spans="1:13" x14ac:dyDescent="0.25">
      <c r="A872" s="46" t="s">
        <v>8543</v>
      </c>
      <c r="B872" s="46" t="s">
        <v>59</v>
      </c>
      <c r="C872" s="46" t="s">
        <v>14</v>
      </c>
      <c r="D872" s="47">
        <v>4935</v>
      </c>
      <c r="E872" s="46" t="s">
        <v>8544</v>
      </c>
      <c r="F872" s="48">
        <v>39933</v>
      </c>
      <c r="G872" s="48">
        <v>40116</v>
      </c>
      <c r="H872" s="46" t="s">
        <v>40</v>
      </c>
      <c r="I872" s="45">
        <v>7500</v>
      </c>
      <c r="J872" s="45">
        <v>7500</v>
      </c>
      <c r="K872" s="49" t="s">
        <v>8348</v>
      </c>
      <c r="L872" s="45"/>
      <c r="M872" s="3"/>
    </row>
    <row r="873" spans="1:13" x14ac:dyDescent="0.25">
      <c r="A873" s="46" t="s">
        <v>8545</v>
      </c>
      <c r="B873" s="46" t="s">
        <v>59</v>
      </c>
      <c r="C873" s="46" t="s">
        <v>14</v>
      </c>
      <c r="D873" s="47">
        <v>4937</v>
      </c>
      <c r="E873" s="46" t="s">
        <v>3202</v>
      </c>
      <c r="F873" s="48">
        <v>39960</v>
      </c>
      <c r="G873" s="48">
        <v>40144</v>
      </c>
      <c r="H873" s="46" t="s">
        <v>40</v>
      </c>
      <c r="I873" s="45">
        <v>7500</v>
      </c>
      <c r="J873" s="45">
        <v>7500</v>
      </c>
      <c r="K873" s="49" t="s">
        <v>8348</v>
      </c>
      <c r="L873" s="45"/>
      <c r="M873" s="3"/>
    </row>
    <row r="874" spans="1:13" x14ac:dyDescent="0.25">
      <c r="A874" s="46" t="s">
        <v>8546</v>
      </c>
      <c r="B874" s="46" t="s">
        <v>59</v>
      </c>
      <c r="C874" s="46" t="s">
        <v>14</v>
      </c>
      <c r="D874" s="47">
        <v>4940</v>
      </c>
      <c r="E874" s="46" t="s">
        <v>8547</v>
      </c>
      <c r="F874" s="48">
        <v>39976</v>
      </c>
      <c r="G874" s="48">
        <v>40262</v>
      </c>
      <c r="H874" s="46" t="s">
        <v>40</v>
      </c>
      <c r="I874" s="45">
        <v>7500</v>
      </c>
      <c r="J874" s="45">
        <v>7500</v>
      </c>
      <c r="K874" s="49" t="s">
        <v>8348</v>
      </c>
      <c r="L874" s="45"/>
      <c r="M874" s="3"/>
    </row>
    <row r="875" spans="1:13" x14ac:dyDescent="0.25">
      <c r="A875" s="46" t="s">
        <v>8548</v>
      </c>
      <c r="B875" s="46" t="s">
        <v>59</v>
      </c>
      <c r="C875" s="46" t="s">
        <v>14</v>
      </c>
      <c r="D875" s="47">
        <v>5002</v>
      </c>
      <c r="E875" s="46" t="s">
        <v>8549</v>
      </c>
      <c r="F875" s="48">
        <v>40079</v>
      </c>
      <c r="G875" s="48">
        <v>40287</v>
      </c>
      <c r="H875" s="46" t="s">
        <v>40</v>
      </c>
      <c r="I875" s="45">
        <v>7500</v>
      </c>
      <c r="J875" s="45">
        <v>7500</v>
      </c>
      <c r="K875" s="49" t="s">
        <v>8348</v>
      </c>
      <c r="L875" s="45"/>
      <c r="M875" s="3"/>
    </row>
    <row r="876" spans="1:13" x14ac:dyDescent="0.25">
      <c r="A876" s="46" t="s">
        <v>8550</v>
      </c>
      <c r="B876" s="46" t="s">
        <v>59</v>
      </c>
      <c r="C876" s="46" t="s">
        <v>14</v>
      </c>
      <c r="D876" s="47">
        <v>5006</v>
      </c>
      <c r="E876" s="46" t="s">
        <v>8551</v>
      </c>
      <c r="F876" s="48">
        <v>40077</v>
      </c>
      <c r="G876" s="48">
        <v>40303</v>
      </c>
      <c r="H876" s="46" t="s">
        <v>40</v>
      </c>
      <c r="I876" s="45">
        <v>9000</v>
      </c>
      <c r="J876" s="45">
        <v>9000</v>
      </c>
      <c r="K876" s="49" t="s">
        <v>8348</v>
      </c>
      <c r="L876" s="45"/>
      <c r="M876" s="3"/>
    </row>
    <row r="877" spans="1:13" ht="38.25" x14ac:dyDescent="0.25">
      <c r="A877" s="46" t="s">
        <v>8560</v>
      </c>
      <c r="B877" s="46" t="s">
        <v>59</v>
      </c>
      <c r="C877" s="46" t="s">
        <v>14</v>
      </c>
      <c r="D877" s="47">
        <v>5016</v>
      </c>
      <c r="E877" s="46" t="s">
        <v>8561</v>
      </c>
      <c r="F877" s="48">
        <v>40102</v>
      </c>
      <c r="G877" s="48">
        <v>40287</v>
      </c>
      <c r="H877" s="46" t="s">
        <v>40</v>
      </c>
      <c r="I877" s="45">
        <v>7500</v>
      </c>
      <c r="J877" s="45">
        <v>7500</v>
      </c>
      <c r="K877" s="49" t="s">
        <v>8348</v>
      </c>
      <c r="L877" s="45"/>
      <c r="M877" s="3"/>
    </row>
    <row r="878" spans="1:13" x14ac:dyDescent="0.25">
      <c r="A878" s="46" t="s">
        <v>8562</v>
      </c>
      <c r="B878" s="46" t="s">
        <v>59</v>
      </c>
      <c r="C878" s="46" t="s">
        <v>14</v>
      </c>
      <c r="D878" s="47">
        <v>5036</v>
      </c>
      <c r="E878" s="46" t="s">
        <v>8563</v>
      </c>
      <c r="F878" s="48">
        <v>40092</v>
      </c>
      <c r="G878" s="48">
        <v>40262</v>
      </c>
      <c r="H878" s="46" t="s">
        <v>40</v>
      </c>
      <c r="I878" s="45">
        <v>15000.09</v>
      </c>
      <c r="J878" s="45">
        <v>15000.09</v>
      </c>
      <c r="K878" s="49" t="s">
        <v>8348</v>
      </c>
      <c r="L878" s="45"/>
      <c r="M878" s="3"/>
    </row>
    <row r="879" spans="1:13" x14ac:dyDescent="0.25">
      <c r="A879" s="46" t="s">
        <v>8565</v>
      </c>
      <c r="B879" s="46" t="s">
        <v>59</v>
      </c>
      <c r="C879" s="46" t="s">
        <v>14</v>
      </c>
      <c r="D879" s="47">
        <v>5040</v>
      </c>
      <c r="E879" s="46" t="s">
        <v>8549</v>
      </c>
      <c r="F879" s="48">
        <v>40128</v>
      </c>
      <c r="G879" s="48">
        <v>40318</v>
      </c>
      <c r="H879" s="46" t="s">
        <v>40</v>
      </c>
      <c r="I879" s="45">
        <v>3750</v>
      </c>
      <c r="J879" s="45">
        <v>3750</v>
      </c>
      <c r="K879" s="49" t="s">
        <v>8348</v>
      </c>
      <c r="L879" s="45"/>
      <c r="M879" s="3"/>
    </row>
    <row r="880" spans="1:13" x14ac:dyDescent="0.25">
      <c r="A880" s="46" t="s">
        <v>8568</v>
      </c>
      <c r="B880" s="46" t="s">
        <v>59</v>
      </c>
      <c r="C880" s="46" t="s">
        <v>14</v>
      </c>
      <c r="D880" s="47">
        <v>5053</v>
      </c>
      <c r="E880" s="46" t="s">
        <v>8569</v>
      </c>
      <c r="F880" s="48">
        <v>40161</v>
      </c>
      <c r="G880" s="48">
        <v>40318</v>
      </c>
      <c r="H880" s="46" t="s">
        <v>40</v>
      </c>
      <c r="I880" s="45">
        <v>7500</v>
      </c>
      <c r="J880" s="45">
        <v>7500</v>
      </c>
      <c r="K880" s="49" t="s">
        <v>8348</v>
      </c>
      <c r="L880" s="45"/>
      <c r="M880" s="3"/>
    </row>
    <row r="881" spans="1:13" x14ac:dyDescent="0.25">
      <c r="A881" s="46" t="s">
        <v>8570</v>
      </c>
      <c r="B881" s="46" t="s">
        <v>59</v>
      </c>
      <c r="C881" s="46" t="s">
        <v>14</v>
      </c>
      <c r="D881" s="47">
        <v>5054</v>
      </c>
      <c r="E881" s="46" t="s">
        <v>8571</v>
      </c>
      <c r="F881" s="48">
        <v>40143</v>
      </c>
      <c r="G881" s="48">
        <v>40430</v>
      </c>
      <c r="H881" s="46" t="s">
        <v>40</v>
      </c>
      <c r="I881" s="45">
        <v>11666.67</v>
      </c>
      <c r="J881" s="45">
        <v>11666.67</v>
      </c>
      <c r="K881" s="49" t="s">
        <v>8348</v>
      </c>
      <c r="L881" s="45"/>
      <c r="M881" s="3"/>
    </row>
    <row r="882" spans="1:13" x14ac:dyDescent="0.25">
      <c r="A882" s="46" t="s">
        <v>8574</v>
      </c>
      <c r="B882" s="46" t="s">
        <v>59</v>
      </c>
      <c r="C882" s="46" t="s">
        <v>14</v>
      </c>
      <c r="D882" s="47">
        <v>5063</v>
      </c>
      <c r="E882" s="46" t="s">
        <v>8575</v>
      </c>
      <c r="F882" s="48">
        <v>40078</v>
      </c>
      <c r="G882" s="48">
        <v>40262</v>
      </c>
      <c r="H882" s="46" t="s">
        <v>40</v>
      </c>
      <c r="I882" s="45">
        <v>3500</v>
      </c>
      <c r="J882" s="45">
        <v>3500</v>
      </c>
      <c r="K882" s="49" t="s">
        <v>8348</v>
      </c>
      <c r="L882" s="45"/>
      <c r="M882" s="3"/>
    </row>
    <row r="883" spans="1:13" x14ac:dyDescent="0.25">
      <c r="A883" s="46" t="s">
        <v>8934</v>
      </c>
      <c r="B883" s="46" t="s">
        <v>59</v>
      </c>
      <c r="C883" s="46" t="s">
        <v>14</v>
      </c>
      <c r="D883" s="47">
        <v>1774</v>
      </c>
      <c r="E883" s="46" t="s">
        <v>8935</v>
      </c>
      <c r="F883" s="48">
        <v>39125</v>
      </c>
      <c r="G883" s="46"/>
      <c r="H883" s="46" t="s">
        <v>40</v>
      </c>
      <c r="I883" s="45">
        <v>7500</v>
      </c>
      <c r="J883" s="45">
        <v>7500</v>
      </c>
      <c r="K883" s="49" t="s">
        <v>8905</v>
      </c>
      <c r="L883" s="45"/>
      <c r="M883" s="3"/>
    </row>
    <row r="884" spans="1:13" x14ac:dyDescent="0.25">
      <c r="A884" s="46" t="s">
        <v>8940</v>
      </c>
      <c r="B884" s="46" t="s">
        <v>59</v>
      </c>
      <c r="C884" s="46" t="s">
        <v>14</v>
      </c>
      <c r="D884" s="47">
        <v>1805</v>
      </c>
      <c r="E884" s="46" t="s">
        <v>8941</v>
      </c>
      <c r="F884" s="48">
        <v>39335</v>
      </c>
      <c r="G884" s="48">
        <v>39577</v>
      </c>
      <c r="H884" s="46" t="s">
        <v>40</v>
      </c>
      <c r="I884" s="45">
        <v>18000</v>
      </c>
      <c r="J884" s="45">
        <v>7500</v>
      </c>
      <c r="K884" s="49" t="s">
        <v>8905</v>
      </c>
      <c r="L884" s="45"/>
      <c r="M884" s="3"/>
    </row>
    <row r="885" spans="1:13" x14ac:dyDescent="0.25">
      <c r="A885" s="46" t="s">
        <v>8974</v>
      </c>
      <c r="B885" s="46" t="s">
        <v>59</v>
      </c>
      <c r="C885" s="46" t="s">
        <v>14</v>
      </c>
      <c r="D885" s="47">
        <v>3091</v>
      </c>
      <c r="E885" s="46" t="s">
        <v>8975</v>
      </c>
      <c r="F885" s="48">
        <v>39729</v>
      </c>
      <c r="G885" s="48">
        <v>39772</v>
      </c>
      <c r="H885" s="46" t="s">
        <v>40</v>
      </c>
      <c r="I885" s="45">
        <v>7500</v>
      </c>
      <c r="J885" s="45">
        <v>3750</v>
      </c>
      <c r="K885" s="49" t="s">
        <v>8905</v>
      </c>
      <c r="L885" s="45"/>
      <c r="M885" s="3"/>
    </row>
    <row r="886" spans="1:13" x14ac:dyDescent="0.25">
      <c r="A886" s="46" t="s">
        <v>9043</v>
      </c>
      <c r="B886" s="46" t="s">
        <v>59</v>
      </c>
      <c r="C886" s="46" t="s">
        <v>14</v>
      </c>
      <c r="D886" s="47">
        <v>5722</v>
      </c>
      <c r="E886" s="46" t="s">
        <v>9044</v>
      </c>
      <c r="F886" s="48">
        <v>39722</v>
      </c>
      <c r="G886" s="48">
        <v>40178</v>
      </c>
      <c r="H886" s="46" t="s">
        <v>40</v>
      </c>
      <c r="I886" s="45">
        <v>3750</v>
      </c>
      <c r="J886" s="45">
        <v>3750</v>
      </c>
      <c r="K886" s="49" t="s">
        <v>8905</v>
      </c>
      <c r="L886" s="45"/>
      <c r="M886" s="3"/>
    </row>
    <row r="887" spans="1:13" x14ac:dyDescent="0.25">
      <c r="A887" s="46" t="s">
        <v>9045</v>
      </c>
      <c r="B887" s="46" t="s">
        <v>59</v>
      </c>
      <c r="C887" s="46" t="s">
        <v>14</v>
      </c>
      <c r="D887" s="47">
        <v>5723</v>
      </c>
      <c r="E887" s="46" t="s">
        <v>9046</v>
      </c>
      <c r="F887" s="48">
        <v>39797</v>
      </c>
      <c r="G887" s="48">
        <v>40178</v>
      </c>
      <c r="H887" s="46" t="s">
        <v>40</v>
      </c>
      <c r="I887" s="45">
        <v>7500</v>
      </c>
      <c r="J887" s="45">
        <v>7500</v>
      </c>
      <c r="K887" s="49" t="s">
        <v>8905</v>
      </c>
      <c r="L887" s="45"/>
      <c r="M887" s="3"/>
    </row>
    <row r="888" spans="1:13" x14ac:dyDescent="0.25">
      <c r="A888" s="46" t="s">
        <v>9057</v>
      </c>
      <c r="B888" s="46" t="s">
        <v>59</v>
      </c>
      <c r="C888" s="46" t="s">
        <v>14</v>
      </c>
      <c r="D888" s="47">
        <v>5729</v>
      </c>
      <c r="E888" s="46" t="s">
        <v>9058</v>
      </c>
      <c r="F888" s="48">
        <v>39860</v>
      </c>
      <c r="G888" s="48">
        <v>40178</v>
      </c>
      <c r="H888" s="46" t="s">
        <v>40</v>
      </c>
      <c r="I888" s="45">
        <v>11250</v>
      </c>
      <c r="J888" s="45">
        <v>11250</v>
      </c>
      <c r="K888" s="49" t="s">
        <v>8905</v>
      </c>
      <c r="L888" s="45"/>
      <c r="M888" s="3"/>
    </row>
    <row r="889" spans="1:13" x14ac:dyDescent="0.25">
      <c r="A889" s="46" t="s">
        <v>9059</v>
      </c>
      <c r="B889" s="46" t="s">
        <v>59</v>
      </c>
      <c r="C889" s="46" t="s">
        <v>14</v>
      </c>
      <c r="D889" s="47">
        <v>5730</v>
      </c>
      <c r="E889" s="46" t="s">
        <v>9060</v>
      </c>
      <c r="F889" s="48">
        <v>39986</v>
      </c>
      <c r="G889" s="48">
        <v>40178</v>
      </c>
      <c r="H889" s="46" t="s">
        <v>40</v>
      </c>
      <c r="I889" s="45">
        <v>7500</v>
      </c>
      <c r="J889" s="45">
        <v>7500</v>
      </c>
      <c r="K889" s="49" t="s">
        <v>8905</v>
      </c>
      <c r="L889" s="45"/>
      <c r="M889" s="3"/>
    </row>
    <row r="890" spans="1:13" x14ac:dyDescent="0.25">
      <c r="A890" s="46" t="s">
        <v>9063</v>
      </c>
      <c r="B890" s="46" t="s">
        <v>59</v>
      </c>
      <c r="C890" s="46" t="s">
        <v>14</v>
      </c>
      <c r="D890" s="47">
        <v>5732</v>
      </c>
      <c r="E890" s="46" t="s">
        <v>9064</v>
      </c>
      <c r="F890" s="48">
        <v>39986</v>
      </c>
      <c r="G890" s="48">
        <v>40178</v>
      </c>
      <c r="H890" s="46" t="s">
        <v>40</v>
      </c>
      <c r="I890" s="45">
        <v>3500</v>
      </c>
      <c r="J890" s="45">
        <v>3750</v>
      </c>
      <c r="K890" s="49" t="s">
        <v>8905</v>
      </c>
      <c r="L890" s="45"/>
      <c r="M890" s="3"/>
    </row>
    <row r="891" spans="1:13" x14ac:dyDescent="0.25">
      <c r="A891" s="46" t="s">
        <v>9065</v>
      </c>
      <c r="B891" s="46" t="s">
        <v>59</v>
      </c>
      <c r="C891" s="46" t="s">
        <v>14</v>
      </c>
      <c r="D891" s="47">
        <v>5733</v>
      </c>
      <c r="E891" s="46" t="s">
        <v>9066</v>
      </c>
      <c r="F891" s="48">
        <v>39986</v>
      </c>
      <c r="G891" s="48">
        <v>40178</v>
      </c>
      <c r="H891" s="46" t="s">
        <v>40</v>
      </c>
      <c r="I891" s="45">
        <v>7500</v>
      </c>
      <c r="J891" s="45">
        <v>7500</v>
      </c>
      <c r="K891" s="49" t="s">
        <v>8905</v>
      </c>
      <c r="L891" s="45"/>
      <c r="M891" s="3"/>
    </row>
    <row r="892" spans="1:13" x14ac:dyDescent="0.25">
      <c r="A892" s="46" t="s">
        <v>9067</v>
      </c>
      <c r="B892" s="46" t="s">
        <v>59</v>
      </c>
      <c r="C892" s="46" t="s">
        <v>14</v>
      </c>
      <c r="D892" s="47">
        <v>5735</v>
      </c>
      <c r="E892" s="46" t="s">
        <v>9068</v>
      </c>
      <c r="F892" s="48">
        <v>40070</v>
      </c>
      <c r="G892" s="48">
        <v>40178</v>
      </c>
      <c r="H892" s="46" t="s">
        <v>40</v>
      </c>
      <c r="I892" s="45">
        <v>3750</v>
      </c>
      <c r="J892" s="45">
        <v>3750</v>
      </c>
      <c r="K892" s="49" t="s">
        <v>8905</v>
      </c>
      <c r="L892" s="45"/>
      <c r="M892" s="3"/>
    </row>
    <row r="893" spans="1:13" x14ac:dyDescent="0.25">
      <c r="A893" s="46" t="s">
        <v>9071</v>
      </c>
      <c r="B893" s="46" t="s">
        <v>59</v>
      </c>
      <c r="C893" s="46" t="s">
        <v>14</v>
      </c>
      <c r="D893" s="47">
        <v>5737</v>
      </c>
      <c r="E893" s="46" t="s">
        <v>9072</v>
      </c>
      <c r="F893" s="48">
        <v>40077</v>
      </c>
      <c r="G893" s="48">
        <v>40178</v>
      </c>
      <c r="H893" s="46" t="s">
        <v>40</v>
      </c>
      <c r="I893" s="45">
        <v>6000</v>
      </c>
      <c r="J893" s="45">
        <v>6000</v>
      </c>
      <c r="K893" s="49" t="s">
        <v>8905</v>
      </c>
      <c r="L893" s="45"/>
      <c r="M893" s="3"/>
    </row>
    <row r="894" spans="1:13" x14ac:dyDescent="0.25">
      <c r="A894" s="46" t="s">
        <v>9073</v>
      </c>
      <c r="B894" s="46" t="s">
        <v>59</v>
      </c>
      <c r="C894" s="46" t="s">
        <v>14</v>
      </c>
      <c r="D894" s="47">
        <v>5738</v>
      </c>
      <c r="E894" s="46" t="s">
        <v>9074</v>
      </c>
      <c r="F894" s="48">
        <v>40077</v>
      </c>
      <c r="G894" s="48">
        <v>40178</v>
      </c>
      <c r="H894" s="46" t="s">
        <v>40</v>
      </c>
      <c r="I894" s="45">
        <v>7500</v>
      </c>
      <c r="J894" s="45">
        <v>7500</v>
      </c>
      <c r="K894" s="49" t="s">
        <v>8905</v>
      </c>
      <c r="L894" s="45"/>
      <c r="M894" s="3"/>
    </row>
    <row r="895" spans="1:13" x14ac:dyDescent="0.25">
      <c r="A895" s="46" t="s">
        <v>9093</v>
      </c>
      <c r="B895" s="46" t="s">
        <v>59</v>
      </c>
      <c r="C895" s="46" t="s">
        <v>14</v>
      </c>
      <c r="D895" s="47">
        <v>7338</v>
      </c>
      <c r="E895" s="46" t="s">
        <v>9094</v>
      </c>
      <c r="F895" s="48">
        <v>40147</v>
      </c>
      <c r="G895" s="46"/>
      <c r="H895" s="46" t="s">
        <v>40</v>
      </c>
      <c r="I895" s="45">
        <v>7500</v>
      </c>
      <c r="J895" s="45">
        <v>7500</v>
      </c>
      <c r="K895" s="49" t="s">
        <v>8905</v>
      </c>
      <c r="L895" s="45"/>
      <c r="M895" s="3"/>
    </row>
    <row r="896" spans="1:13" x14ac:dyDescent="0.25">
      <c r="A896" s="46" t="s">
        <v>9142</v>
      </c>
      <c r="B896" s="46" t="s">
        <v>59</v>
      </c>
      <c r="C896" s="46" t="s">
        <v>14</v>
      </c>
      <c r="D896" s="47">
        <v>8491</v>
      </c>
      <c r="E896" s="46" t="s">
        <v>9143</v>
      </c>
      <c r="F896" s="48">
        <v>40504</v>
      </c>
      <c r="G896" s="48">
        <v>40737</v>
      </c>
      <c r="H896" s="46" t="s">
        <v>40</v>
      </c>
      <c r="I896" s="45">
        <v>7500</v>
      </c>
      <c r="J896" s="45">
        <v>7500</v>
      </c>
      <c r="K896" s="49" t="s">
        <v>8905</v>
      </c>
      <c r="L896" s="45"/>
      <c r="M896" s="3"/>
    </row>
    <row r="897" spans="1:13" ht="25.5" x14ac:dyDescent="0.25">
      <c r="A897" s="46" t="s">
        <v>9150</v>
      </c>
      <c r="B897" s="46" t="s">
        <v>59</v>
      </c>
      <c r="C897" s="46" t="s">
        <v>14</v>
      </c>
      <c r="D897" s="47">
        <v>8495</v>
      </c>
      <c r="E897" s="46" t="s">
        <v>9151</v>
      </c>
      <c r="F897" s="48">
        <v>40869</v>
      </c>
      <c r="G897" s="46"/>
      <c r="H897" s="46" t="s">
        <v>40</v>
      </c>
      <c r="I897" s="45">
        <f>16203.92+6250</f>
        <v>22453.919999999998</v>
      </c>
      <c r="J897" s="45">
        <f>8113.48+6250</f>
        <v>14363.48</v>
      </c>
      <c r="K897" s="49" t="s">
        <v>8905</v>
      </c>
      <c r="L897" s="45"/>
      <c r="M897" s="3"/>
    </row>
    <row r="898" spans="1:13" x14ac:dyDescent="0.25">
      <c r="A898" s="46" t="s">
        <v>9154</v>
      </c>
      <c r="B898" s="46" t="s">
        <v>59</v>
      </c>
      <c r="C898" s="46" t="s">
        <v>14</v>
      </c>
      <c r="D898" s="47">
        <v>8497</v>
      </c>
      <c r="E898" s="46" t="s">
        <v>9153</v>
      </c>
      <c r="F898" s="48">
        <v>40596</v>
      </c>
      <c r="G898" s="46"/>
      <c r="H898" s="46" t="s">
        <v>40</v>
      </c>
      <c r="I898" s="45">
        <v>7500</v>
      </c>
      <c r="J898" s="45">
        <v>7500</v>
      </c>
      <c r="K898" s="49" t="s">
        <v>8905</v>
      </c>
      <c r="L898" s="45"/>
      <c r="M898" s="3"/>
    </row>
    <row r="899" spans="1:13" x14ac:dyDescent="0.25">
      <c r="A899" s="46" t="s">
        <v>9337</v>
      </c>
      <c r="B899" s="46" t="s">
        <v>59</v>
      </c>
      <c r="C899" s="46" t="s">
        <v>14</v>
      </c>
      <c r="D899" s="47">
        <v>933</v>
      </c>
      <c r="E899" s="46" t="s">
        <v>9338</v>
      </c>
      <c r="F899" s="48">
        <v>39252</v>
      </c>
      <c r="G899" s="48">
        <v>41639</v>
      </c>
      <c r="H899" s="46" t="s">
        <v>40</v>
      </c>
      <c r="I899" s="45">
        <v>7500</v>
      </c>
      <c r="J899" s="45">
        <v>7500</v>
      </c>
      <c r="K899" s="49" t="s">
        <v>9243</v>
      </c>
      <c r="L899" s="46"/>
    </row>
    <row r="900" spans="1:13" x14ac:dyDescent="0.25">
      <c r="A900" s="46" t="s">
        <v>9359</v>
      </c>
      <c r="B900" s="46" t="s">
        <v>59</v>
      </c>
      <c r="C900" s="46" t="s">
        <v>14</v>
      </c>
      <c r="D900" s="47">
        <v>977</v>
      </c>
      <c r="E900" s="46" t="s">
        <v>9360</v>
      </c>
      <c r="F900" s="48">
        <v>39280</v>
      </c>
      <c r="G900" s="48">
        <v>41639</v>
      </c>
      <c r="H900" s="46" t="s">
        <v>40</v>
      </c>
      <c r="I900" s="45">
        <v>11250</v>
      </c>
      <c r="J900" s="45">
        <v>11250</v>
      </c>
      <c r="K900" s="49" t="s">
        <v>9243</v>
      </c>
      <c r="L900" s="46"/>
    </row>
    <row r="901" spans="1:13" ht="25.5" x14ac:dyDescent="0.25">
      <c r="A901" s="46" t="s">
        <v>9365</v>
      </c>
      <c r="B901" s="46" t="s">
        <v>59</v>
      </c>
      <c r="C901" s="46" t="s">
        <v>14</v>
      </c>
      <c r="D901" s="47">
        <v>1008</v>
      </c>
      <c r="E901" s="46" t="s">
        <v>9366</v>
      </c>
      <c r="F901" s="48">
        <v>39497</v>
      </c>
      <c r="G901" s="48">
        <v>41639</v>
      </c>
      <c r="H901" s="46" t="s">
        <v>40</v>
      </c>
      <c r="I901" s="45">
        <v>30000</v>
      </c>
      <c r="J901" s="45">
        <v>30000</v>
      </c>
      <c r="K901" s="49" t="s">
        <v>9243</v>
      </c>
      <c r="L901" s="46"/>
    </row>
    <row r="902" spans="1:13" x14ac:dyDescent="0.25">
      <c r="A902" s="46" t="s">
        <v>9371</v>
      </c>
      <c r="B902" s="46" t="s">
        <v>59</v>
      </c>
      <c r="C902" s="46" t="s">
        <v>14</v>
      </c>
      <c r="D902" s="47">
        <v>1011</v>
      </c>
      <c r="E902" s="46" t="s">
        <v>9372</v>
      </c>
      <c r="F902" s="48">
        <v>39553</v>
      </c>
      <c r="G902" s="48">
        <v>41639</v>
      </c>
      <c r="H902" s="46" t="s">
        <v>40</v>
      </c>
      <c r="I902" s="45">
        <v>7500</v>
      </c>
      <c r="J902" s="45">
        <v>7500</v>
      </c>
      <c r="K902" s="49" t="s">
        <v>9243</v>
      </c>
      <c r="L902" s="46"/>
    </row>
    <row r="903" spans="1:13" x14ac:dyDescent="0.25">
      <c r="A903" s="46" t="s">
        <v>9381</v>
      </c>
      <c r="B903" s="46" t="s">
        <v>59</v>
      </c>
      <c r="C903" s="46" t="s">
        <v>14</v>
      </c>
      <c r="D903" s="47">
        <v>1016</v>
      </c>
      <c r="E903" s="46" t="s">
        <v>9382</v>
      </c>
      <c r="F903" s="48">
        <v>39588</v>
      </c>
      <c r="G903" s="48">
        <v>41639</v>
      </c>
      <c r="H903" s="46" t="s">
        <v>40</v>
      </c>
      <c r="I903" s="45">
        <v>7500</v>
      </c>
      <c r="J903" s="45">
        <v>7500</v>
      </c>
      <c r="K903" s="49" t="s">
        <v>9243</v>
      </c>
      <c r="L903" s="46"/>
    </row>
    <row r="904" spans="1:13" x14ac:dyDescent="0.25">
      <c r="A904" s="46" t="s">
        <v>9463</v>
      </c>
      <c r="B904" s="46" t="s">
        <v>59</v>
      </c>
      <c r="C904" s="46" t="s">
        <v>14</v>
      </c>
      <c r="D904" s="47">
        <v>5245</v>
      </c>
      <c r="E904" s="46" t="s">
        <v>9464</v>
      </c>
      <c r="F904" s="48">
        <v>39976</v>
      </c>
      <c r="G904" s="48">
        <v>40154</v>
      </c>
      <c r="H904" s="46" t="s">
        <v>40</v>
      </c>
      <c r="I904" s="45">
        <v>7500</v>
      </c>
      <c r="J904" s="45">
        <v>7500</v>
      </c>
      <c r="K904" s="49" t="s">
        <v>9243</v>
      </c>
      <c r="L904" s="46"/>
    </row>
    <row r="905" spans="1:13" x14ac:dyDescent="0.25">
      <c r="A905" s="46" t="s">
        <v>9469</v>
      </c>
      <c r="B905" s="46" t="s">
        <v>59</v>
      </c>
      <c r="C905" s="46" t="s">
        <v>14</v>
      </c>
      <c r="D905" s="47">
        <v>5253</v>
      </c>
      <c r="E905" s="46" t="s">
        <v>9470</v>
      </c>
      <c r="F905" s="48">
        <v>40052</v>
      </c>
      <c r="G905" s="48">
        <v>40267</v>
      </c>
      <c r="H905" s="46" t="s">
        <v>40</v>
      </c>
      <c r="I905" s="45">
        <v>15000</v>
      </c>
      <c r="J905" s="45">
        <v>15000</v>
      </c>
      <c r="K905" s="49" t="s">
        <v>9243</v>
      </c>
      <c r="L905" s="46"/>
    </row>
    <row r="906" spans="1:13" x14ac:dyDescent="0.25">
      <c r="A906" s="46" t="s">
        <v>9489</v>
      </c>
      <c r="B906" s="46" t="s">
        <v>59</v>
      </c>
      <c r="C906" s="46" t="s">
        <v>14</v>
      </c>
      <c r="D906" s="47">
        <v>5271</v>
      </c>
      <c r="E906" s="46" t="s">
        <v>9490</v>
      </c>
      <c r="F906" s="48">
        <v>39976</v>
      </c>
      <c r="G906" s="48">
        <v>40154</v>
      </c>
      <c r="H906" s="46" t="s">
        <v>40</v>
      </c>
      <c r="I906" s="45">
        <v>7500</v>
      </c>
      <c r="J906" s="45">
        <v>7500</v>
      </c>
      <c r="K906" s="49" t="s">
        <v>9243</v>
      </c>
      <c r="L906" s="46"/>
    </row>
    <row r="907" spans="1:13" ht="25.5" x14ac:dyDescent="0.25">
      <c r="A907" s="46" t="s">
        <v>9491</v>
      </c>
      <c r="B907" s="46" t="s">
        <v>59</v>
      </c>
      <c r="C907" s="46" t="s">
        <v>14</v>
      </c>
      <c r="D907" s="47">
        <v>5272</v>
      </c>
      <c r="E907" s="46" t="s">
        <v>9492</v>
      </c>
      <c r="F907" s="48">
        <v>40011</v>
      </c>
      <c r="G907" s="48">
        <v>40095</v>
      </c>
      <c r="H907" s="46" t="s">
        <v>40</v>
      </c>
      <c r="I907" s="45">
        <v>11250</v>
      </c>
      <c r="J907" s="45">
        <v>11250</v>
      </c>
      <c r="K907" s="49" t="s">
        <v>9243</v>
      </c>
      <c r="L907" s="46"/>
    </row>
    <row r="908" spans="1:13" x14ac:dyDescent="0.25">
      <c r="A908" s="46" t="s">
        <v>9493</v>
      </c>
      <c r="B908" s="46" t="s">
        <v>59</v>
      </c>
      <c r="C908" s="46" t="s">
        <v>14</v>
      </c>
      <c r="D908" s="47">
        <v>5274</v>
      </c>
      <c r="E908" s="46" t="s">
        <v>9494</v>
      </c>
      <c r="F908" s="48">
        <v>40052</v>
      </c>
      <c r="G908" s="48">
        <v>40267</v>
      </c>
      <c r="H908" s="46" t="s">
        <v>40</v>
      </c>
      <c r="I908" s="45">
        <v>3750</v>
      </c>
      <c r="J908" s="45">
        <v>3750</v>
      </c>
      <c r="K908" s="49" t="s">
        <v>9243</v>
      </c>
      <c r="L908" s="46"/>
    </row>
    <row r="909" spans="1:13" ht="25.5" x14ac:dyDescent="0.25">
      <c r="A909" s="46" t="s">
        <v>9501</v>
      </c>
      <c r="B909" s="46" t="s">
        <v>59</v>
      </c>
      <c r="C909" s="46" t="s">
        <v>14</v>
      </c>
      <c r="D909" s="47">
        <v>5279</v>
      </c>
      <c r="E909" s="46" t="s">
        <v>9502</v>
      </c>
      <c r="F909" s="48">
        <v>40148</v>
      </c>
      <c r="G909" s="48">
        <v>40513</v>
      </c>
      <c r="H909" s="46" t="s">
        <v>40</v>
      </c>
      <c r="I909" s="45">
        <v>7500</v>
      </c>
      <c r="J909" s="45">
        <v>7500</v>
      </c>
      <c r="K909" s="49" t="s">
        <v>9243</v>
      </c>
      <c r="L909" s="46"/>
    </row>
    <row r="910" spans="1:13" ht="25.5" x14ac:dyDescent="0.25">
      <c r="A910" s="46" t="s">
        <v>9505</v>
      </c>
      <c r="B910" s="46" t="s">
        <v>59</v>
      </c>
      <c r="C910" s="46" t="s">
        <v>14</v>
      </c>
      <c r="D910" s="47">
        <v>5284</v>
      </c>
      <c r="E910" s="46" t="s">
        <v>9506</v>
      </c>
      <c r="F910" s="48">
        <v>39925</v>
      </c>
      <c r="G910" s="48">
        <v>39925</v>
      </c>
      <c r="H910" s="46" t="s">
        <v>40</v>
      </c>
      <c r="I910" s="45">
        <v>3750</v>
      </c>
      <c r="J910" s="45">
        <v>3750</v>
      </c>
      <c r="K910" s="49" t="s">
        <v>9243</v>
      </c>
      <c r="L910" s="46"/>
    </row>
    <row r="911" spans="1:13" ht="25.5" x14ac:dyDescent="0.25">
      <c r="A911" s="46" t="s">
        <v>9507</v>
      </c>
      <c r="B911" s="46" t="s">
        <v>59</v>
      </c>
      <c r="C911" s="46" t="s">
        <v>14</v>
      </c>
      <c r="D911" s="47">
        <v>5286</v>
      </c>
      <c r="E911" s="46" t="s">
        <v>9508</v>
      </c>
      <c r="F911" s="48">
        <v>39925</v>
      </c>
      <c r="G911" s="48">
        <v>39925</v>
      </c>
      <c r="H911" s="46" t="s">
        <v>40</v>
      </c>
      <c r="I911" s="45">
        <v>15000</v>
      </c>
      <c r="J911" s="45">
        <v>15000</v>
      </c>
      <c r="K911" s="49" t="s">
        <v>9243</v>
      </c>
      <c r="L911" s="46"/>
    </row>
    <row r="912" spans="1:13" x14ac:dyDescent="0.25">
      <c r="A912" s="46" t="s">
        <v>9509</v>
      </c>
      <c r="B912" s="46" t="s">
        <v>59</v>
      </c>
      <c r="C912" s="46" t="s">
        <v>14</v>
      </c>
      <c r="D912" s="47">
        <v>5287</v>
      </c>
      <c r="E912" s="46" t="s">
        <v>9510</v>
      </c>
      <c r="F912" s="48">
        <v>39925</v>
      </c>
      <c r="G912" s="48">
        <v>39925</v>
      </c>
      <c r="H912" s="46" t="s">
        <v>40</v>
      </c>
      <c r="I912" s="45">
        <v>3750</v>
      </c>
      <c r="J912" s="45">
        <v>3750</v>
      </c>
      <c r="K912" s="49" t="s">
        <v>9243</v>
      </c>
      <c r="L912" s="46"/>
    </row>
    <row r="913" spans="1:13" x14ac:dyDescent="0.25">
      <c r="A913" s="46" t="s">
        <v>10929</v>
      </c>
      <c r="B913" s="46" t="s">
        <v>10930</v>
      </c>
      <c r="C913" s="46" t="s">
        <v>14</v>
      </c>
      <c r="D913" s="47">
        <v>12603</v>
      </c>
      <c r="E913" s="46" t="s">
        <v>10931</v>
      </c>
      <c r="F913" s="48">
        <v>41302</v>
      </c>
      <c r="G913" s="46"/>
      <c r="H913" s="46" t="s">
        <v>651</v>
      </c>
      <c r="I913" s="45">
        <v>10000</v>
      </c>
      <c r="J913" s="45">
        <v>10000</v>
      </c>
      <c r="K913" s="49" t="s">
        <v>6182</v>
      </c>
      <c r="L913" s="46"/>
    </row>
    <row r="914" spans="1:13" ht="51" x14ac:dyDescent="0.25">
      <c r="A914" s="46" t="s">
        <v>11096</v>
      </c>
      <c r="B914" s="46" t="s">
        <v>10930</v>
      </c>
      <c r="C914" s="46" t="s">
        <v>14</v>
      </c>
      <c r="D914" s="47">
        <v>12423</v>
      </c>
      <c r="E914" s="46" t="s">
        <v>11097</v>
      </c>
      <c r="F914" s="48">
        <v>41276</v>
      </c>
      <c r="G914" s="48">
        <v>41639</v>
      </c>
      <c r="H914" s="46" t="s">
        <v>651</v>
      </c>
      <c r="I914" s="45">
        <v>6092.08</v>
      </c>
      <c r="J914" s="45">
        <v>6092.08</v>
      </c>
      <c r="K914" s="49" t="s">
        <v>7102</v>
      </c>
      <c r="L914" s="46"/>
    </row>
    <row r="915" spans="1:13" ht="25.5" x14ac:dyDescent="0.25">
      <c r="A915" s="46" t="s">
        <v>2394</v>
      </c>
      <c r="B915" s="46" t="s">
        <v>2395</v>
      </c>
      <c r="C915" s="46" t="s">
        <v>14</v>
      </c>
      <c r="D915" s="47">
        <v>5804</v>
      </c>
      <c r="E915" s="46" t="s">
        <v>2396</v>
      </c>
      <c r="F915" s="48">
        <v>39946</v>
      </c>
      <c r="G915" s="46"/>
      <c r="H915" s="46" t="s">
        <v>40</v>
      </c>
      <c r="I915" s="45">
        <v>50000</v>
      </c>
      <c r="J915" s="45">
        <v>25000</v>
      </c>
      <c r="K915" s="49" t="s">
        <v>2033</v>
      </c>
      <c r="L915" s="45"/>
      <c r="M915" s="3"/>
    </row>
    <row r="916" spans="1:13" ht="25.5" x14ac:dyDescent="0.25">
      <c r="A916" s="46" t="s">
        <v>2397</v>
      </c>
      <c r="B916" s="46" t="s">
        <v>2395</v>
      </c>
      <c r="C916" s="46" t="s">
        <v>14</v>
      </c>
      <c r="D916" s="47">
        <v>5807</v>
      </c>
      <c r="E916" s="46" t="s">
        <v>2398</v>
      </c>
      <c r="F916" s="48">
        <v>40008</v>
      </c>
      <c r="G916" s="46"/>
      <c r="H916" s="46" t="s">
        <v>40</v>
      </c>
      <c r="I916" s="45">
        <v>100000</v>
      </c>
      <c r="J916" s="45">
        <v>25000</v>
      </c>
      <c r="K916" s="49" t="s">
        <v>2033</v>
      </c>
      <c r="L916" s="45"/>
      <c r="M916" s="3"/>
    </row>
    <row r="917" spans="1:13" x14ac:dyDescent="0.25">
      <c r="A917" s="46" t="s">
        <v>2436</v>
      </c>
      <c r="B917" s="46" t="s">
        <v>2395</v>
      </c>
      <c r="C917" s="46" t="s">
        <v>14</v>
      </c>
      <c r="D917" s="47">
        <v>7379</v>
      </c>
      <c r="E917" s="46" t="s">
        <v>2437</v>
      </c>
      <c r="F917" s="48">
        <v>40442</v>
      </c>
      <c r="G917" s="48">
        <v>40508</v>
      </c>
      <c r="H917" s="46" t="s">
        <v>40</v>
      </c>
      <c r="I917" s="45">
        <v>80000</v>
      </c>
      <c r="J917" s="45">
        <v>40000</v>
      </c>
      <c r="K917" s="49" t="s">
        <v>2033</v>
      </c>
      <c r="L917" s="45"/>
      <c r="M917" s="3"/>
    </row>
    <row r="918" spans="1:13" ht="38.25" x14ac:dyDescent="0.25">
      <c r="A918" s="46" t="s">
        <v>2462</v>
      </c>
      <c r="B918" s="46" t="s">
        <v>2395</v>
      </c>
      <c r="C918" s="46" t="s">
        <v>14</v>
      </c>
      <c r="D918" s="47">
        <v>7699</v>
      </c>
      <c r="E918" s="46" t="s">
        <v>2463</v>
      </c>
      <c r="F918" s="48">
        <v>40477</v>
      </c>
      <c r="G918" s="48">
        <v>40508</v>
      </c>
      <c r="H918" s="46" t="s">
        <v>40</v>
      </c>
      <c r="I918" s="45">
        <v>140000</v>
      </c>
      <c r="J918" s="45">
        <v>70000</v>
      </c>
      <c r="K918" s="49" t="s">
        <v>2033</v>
      </c>
      <c r="L918" s="45"/>
      <c r="M918" s="3"/>
    </row>
    <row r="919" spans="1:13" x14ac:dyDescent="0.25">
      <c r="A919" s="46" t="s">
        <v>12</v>
      </c>
      <c r="B919" s="46" t="s">
        <v>13</v>
      </c>
      <c r="C919" s="46" t="s">
        <v>14</v>
      </c>
      <c r="D919" s="47">
        <v>3605</v>
      </c>
      <c r="E919" s="46" t="s">
        <v>15</v>
      </c>
      <c r="F919" s="48">
        <v>39562</v>
      </c>
      <c r="G919" s="48">
        <v>39721</v>
      </c>
      <c r="H919" s="46" t="s">
        <v>16</v>
      </c>
      <c r="I919" s="45">
        <v>9600</v>
      </c>
      <c r="J919" s="45">
        <v>2700</v>
      </c>
      <c r="K919" s="49" t="s">
        <v>17</v>
      </c>
      <c r="L919" s="45"/>
      <c r="M919" s="3"/>
    </row>
    <row r="920" spans="1:13" ht="38.25" x14ac:dyDescent="0.25">
      <c r="A920" s="46" t="s">
        <v>18</v>
      </c>
      <c r="B920" s="46" t="s">
        <v>13</v>
      </c>
      <c r="C920" s="46" t="s">
        <v>14</v>
      </c>
      <c r="D920" s="47">
        <v>3606</v>
      </c>
      <c r="E920" s="50" t="s">
        <v>19</v>
      </c>
      <c r="F920" s="48">
        <v>39380</v>
      </c>
      <c r="G920" s="48">
        <v>39507</v>
      </c>
      <c r="H920" s="46" t="s">
        <v>16</v>
      </c>
      <c r="I920" s="45">
        <v>11440</v>
      </c>
      <c r="J920" s="45">
        <v>3116.7</v>
      </c>
      <c r="K920" s="49" t="s">
        <v>17</v>
      </c>
      <c r="L920" s="45"/>
      <c r="M920" s="3"/>
    </row>
    <row r="921" spans="1:13" ht="38.25" x14ac:dyDescent="0.25">
      <c r="A921" s="46" t="s">
        <v>20</v>
      </c>
      <c r="B921" s="46" t="s">
        <v>13</v>
      </c>
      <c r="C921" s="46" t="s">
        <v>14</v>
      </c>
      <c r="D921" s="47">
        <v>3607</v>
      </c>
      <c r="E921" s="50" t="s">
        <v>21</v>
      </c>
      <c r="F921" s="48">
        <v>39342</v>
      </c>
      <c r="G921" s="48">
        <v>39624</v>
      </c>
      <c r="H921" s="46" t="s">
        <v>16</v>
      </c>
      <c r="I921" s="45">
        <v>50000</v>
      </c>
      <c r="J921" s="45">
        <v>15000</v>
      </c>
      <c r="K921" s="49" t="s">
        <v>17</v>
      </c>
      <c r="L921" s="45"/>
      <c r="M921" s="3"/>
    </row>
    <row r="922" spans="1:13" x14ac:dyDescent="0.25">
      <c r="A922" s="46" t="s">
        <v>22</v>
      </c>
      <c r="B922" s="46" t="s">
        <v>13</v>
      </c>
      <c r="C922" s="46" t="s">
        <v>14</v>
      </c>
      <c r="D922" s="47">
        <v>3619</v>
      </c>
      <c r="E922" s="46" t="s">
        <v>23</v>
      </c>
      <c r="F922" s="48">
        <v>39583</v>
      </c>
      <c r="G922" s="48">
        <v>39721</v>
      </c>
      <c r="H922" s="46" t="s">
        <v>16</v>
      </c>
      <c r="I922" s="45">
        <v>180000</v>
      </c>
      <c r="J922" s="45">
        <v>54000</v>
      </c>
      <c r="K922" s="49" t="s">
        <v>17</v>
      </c>
      <c r="L922" s="45"/>
      <c r="M922" s="3"/>
    </row>
    <row r="923" spans="1:13" ht="38.25" x14ac:dyDescent="0.25">
      <c r="A923" s="46" t="s">
        <v>24</v>
      </c>
      <c r="B923" s="46" t="s">
        <v>13</v>
      </c>
      <c r="C923" s="46" t="s">
        <v>14</v>
      </c>
      <c r="D923" s="47">
        <v>3625</v>
      </c>
      <c r="E923" s="46" t="s">
        <v>25</v>
      </c>
      <c r="F923" s="48">
        <v>39206</v>
      </c>
      <c r="G923" s="48">
        <v>39508</v>
      </c>
      <c r="H923" s="46" t="s">
        <v>16</v>
      </c>
      <c r="I923" s="45">
        <v>50000</v>
      </c>
      <c r="J923" s="45">
        <v>15000</v>
      </c>
      <c r="K923" s="49" t="s">
        <v>17</v>
      </c>
      <c r="L923" s="45"/>
      <c r="M923" s="3"/>
    </row>
    <row r="924" spans="1:13" x14ac:dyDescent="0.25">
      <c r="A924" s="46" t="s">
        <v>26</v>
      </c>
      <c r="B924" s="46" t="s">
        <v>13</v>
      </c>
      <c r="C924" s="46" t="s">
        <v>14</v>
      </c>
      <c r="D924" s="47">
        <v>3626</v>
      </c>
      <c r="E924" s="46" t="s">
        <v>27</v>
      </c>
      <c r="F924" s="48">
        <v>39636</v>
      </c>
      <c r="G924" s="48">
        <v>39791</v>
      </c>
      <c r="H924" s="46" t="s">
        <v>16</v>
      </c>
      <c r="I924" s="45">
        <v>169900</v>
      </c>
      <c r="J924" s="45">
        <v>50970</v>
      </c>
      <c r="K924" s="49" t="s">
        <v>17</v>
      </c>
      <c r="L924" s="45"/>
      <c r="M924" s="3"/>
    </row>
    <row r="925" spans="1:13" ht="38.25" x14ac:dyDescent="0.25">
      <c r="A925" s="46" t="s">
        <v>28</v>
      </c>
      <c r="B925" s="46" t="s">
        <v>13</v>
      </c>
      <c r="C925" s="46" t="s">
        <v>14</v>
      </c>
      <c r="D925" s="47">
        <v>3638</v>
      </c>
      <c r="E925" s="46" t="s">
        <v>29</v>
      </c>
      <c r="F925" s="48">
        <v>39694</v>
      </c>
      <c r="G925" s="48">
        <v>39933</v>
      </c>
      <c r="H925" s="46" t="s">
        <v>16</v>
      </c>
      <c r="I925" s="45">
        <v>66802</v>
      </c>
      <c r="J925" s="45">
        <v>18611.099999999999</v>
      </c>
      <c r="K925" s="49" t="s">
        <v>17</v>
      </c>
      <c r="L925" s="45"/>
      <c r="M925" s="3"/>
    </row>
    <row r="926" spans="1:13" ht="25.5" x14ac:dyDescent="0.25">
      <c r="A926" s="46" t="s">
        <v>30</v>
      </c>
      <c r="B926" s="46" t="s">
        <v>13</v>
      </c>
      <c r="C926" s="46" t="s">
        <v>14</v>
      </c>
      <c r="D926" s="47">
        <v>3639</v>
      </c>
      <c r="E926" s="46" t="s">
        <v>31</v>
      </c>
      <c r="F926" s="48">
        <v>39832</v>
      </c>
      <c r="G926" s="48">
        <v>39994</v>
      </c>
      <c r="H926" s="46" t="s">
        <v>16</v>
      </c>
      <c r="I926" s="45">
        <v>15150</v>
      </c>
      <c r="J926" s="45">
        <v>2110.2600000000002</v>
      </c>
      <c r="K926" s="49" t="s">
        <v>17</v>
      </c>
      <c r="L926" s="45"/>
      <c r="M926" s="3"/>
    </row>
    <row r="927" spans="1:13" x14ac:dyDescent="0.25">
      <c r="A927" s="46" t="s">
        <v>32</v>
      </c>
      <c r="B927" s="46" t="s">
        <v>13</v>
      </c>
      <c r="C927" s="46" t="s">
        <v>14</v>
      </c>
      <c r="D927" s="47">
        <v>10046</v>
      </c>
      <c r="E927" s="46" t="s">
        <v>33</v>
      </c>
      <c r="F927" s="48">
        <v>40470</v>
      </c>
      <c r="G927" s="48">
        <v>40533</v>
      </c>
      <c r="H927" s="46" t="s">
        <v>16</v>
      </c>
      <c r="I927" s="45">
        <v>9614.6</v>
      </c>
      <c r="J927" s="45">
        <v>2884.2</v>
      </c>
      <c r="K927" s="49" t="s">
        <v>17</v>
      </c>
      <c r="L927" s="45"/>
      <c r="M927" s="3"/>
    </row>
    <row r="928" spans="1:13" x14ac:dyDescent="0.25">
      <c r="A928" s="46" t="s">
        <v>32</v>
      </c>
      <c r="B928" s="46" t="s">
        <v>13</v>
      </c>
      <c r="C928" s="46" t="s">
        <v>14</v>
      </c>
      <c r="D928" s="47">
        <v>10052</v>
      </c>
      <c r="E928" s="46" t="s">
        <v>34</v>
      </c>
      <c r="F928" s="48">
        <v>40448</v>
      </c>
      <c r="G928" s="48">
        <v>40513</v>
      </c>
      <c r="H928" s="46" t="s">
        <v>16</v>
      </c>
      <c r="I928" s="45">
        <v>18010</v>
      </c>
      <c r="J928" s="45">
        <v>5403</v>
      </c>
      <c r="K928" s="49" t="s">
        <v>17</v>
      </c>
      <c r="L928" s="46"/>
    </row>
    <row r="929" spans="1:13" x14ac:dyDescent="0.25">
      <c r="A929" s="46" t="s">
        <v>35</v>
      </c>
      <c r="B929" s="46" t="s">
        <v>13</v>
      </c>
      <c r="C929" s="46" t="s">
        <v>14</v>
      </c>
      <c r="D929" s="47">
        <v>10214</v>
      </c>
      <c r="E929" s="46" t="s">
        <v>36</v>
      </c>
      <c r="F929" s="48">
        <v>40470</v>
      </c>
      <c r="G929" s="48">
        <v>40598</v>
      </c>
      <c r="H929" s="46" t="s">
        <v>16</v>
      </c>
      <c r="I929" s="45">
        <v>7800</v>
      </c>
      <c r="J929" s="45">
        <v>2340</v>
      </c>
      <c r="K929" s="49" t="s">
        <v>17</v>
      </c>
      <c r="L929" s="45"/>
      <c r="M929" s="3"/>
    </row>
    <row r="930" spans="1:13" ht="38.25" x14ac:dyDescent="0.25">
      <c r="A930" s="46" t="s">
        <v>354</v>
      </c>
      <c r="B930" s="46" t="s">
        <v>13</v>
      </c>
      <c r="C930" s="46" t="s">
        <v>14</v>
      </c>
      <c r="D930" s="47">
        <v>3627</v>
      </c>
      <c r="E930" s="46" t="s">
        <v>355</v>
      </c>
      <c r="F930" s="48">
        <v>39118</v>
      </c>
      <c r="G930" s="48">
        <v>39507</v>
      </c>
      <c r="H930" s="46" t="s">
        <v>16</v>
      </c>
      <c r="I930" s="45">
        <v>100638</v>
      </c>
      <c r="J930" s="55">
        <v>30191</v>
      </c>
      <c r="K930" s="49" t="s">
        <v>356</v>
      </c>
      <c r="L930" s="45"/>
      <c r="M930" s="3"/>
    </row>
    <row r="931" spans="1:13" x14ac:dyDescent="0.25">
      <c r="A931" s="46" t="s">
        <v>357</v>
      </c>
      <c r="B931" s="46" t="s">
        <v>13</v>
      </c>
      <c r="C931" s="46" t="s">
        <v>14</v>
      </c>
      <c r="D931" s="47">
        <v>3628</v>
      </c>
      <c r="E931" s="46" t="s">
        <v>358</v>
      </c>
      <c r="F931" s="48">
        <v>39328</v>
      </c>
      <c r="G931" s="48">
        <v>39776</v>
      </c>
      <c r="H931" s="46" t="s">
        <v>16</v>
      </c>
      <c r="I931" s="45">
        <v>135000</v>
      </c>
      <c r="J931" s="55">
        <v>63750</v>
      </c>
      <c r="K931" s="49" t="s">
        <v>356</v>
      </c>
      <c r="L931" s="45"/>
      <c r="M931" s="3"/>
    </row>
    <row r="932" spans="1:13" ht="25.5" x14ac:dyDescent="0.25">
      <c r="A932" s="46" t="s">
        <v>359</v>
      </c>
      <c r="B932" s="46" t="s">
        <v>13</v>
      </c>
      <c r="C932" s="46" t="s">
        <v>14</v>
      </c>
      <c r="D932" s="47">
        <v>3629</v>
      </c>
      <c r="E932" s="46" t="s">
        <v>360</v>
      </c>
      <c r="F932" s="48">
        <v>39468</v>
      </c>
      <c r="G932" s="48">
        <v>39598</v>
      </c>
      <c r="H932" s="46" t="s">
        <v>16</v>
      </c>
      <c r="I932" s="45">
        <v>60000</v>
      </c>
      <c r="J932" s="55">
        <v>18000</v>
      </c>
      <c r="K932" s="49" t="s">
        <v>356</v>
      </c>
      <c r="L932" s="45"/>
      <c r="M932" s="3"/>
    </row>
    <row r="933" spans="1:13" x14ac:dyDescent="0.25">
      <c r="A933" s="46" t="s">
        <v>361</v>
      </c>
      <c r="B933" s="46" t="s">
        <v>13</v>
      </c>
      <c r="C933" s="46" t="s">
        <v>14</v>
      </c>
      <c r="D933" s="47">
        <v>3647</v>
      </c>
      <c r="E933" s="46" t="s">
        <v>362</v>
      </c>
      <c r="F933" s="48">
        <v>39821</v>
      </c>
      <c r="G933" s="48">
        <v>39933</v>
      </c>
      <c r="H933" s="46" t="s">
        <v>16</v>
      </c>
      <c r="I933" s="45">
        <v>10900</v>
      </c>
      <c r="J933" s="55">
        <v>3270</v>
      </c>
      <c r="K933" s="49" t="s">
        <v>356</v>
      </c>
      <c r="L933" s="45"/>
      <c r="M933" s="3"/>
    </row>
    <row r="934" spans="1:13" x14ac:dyDescent="0.25">
      <c r="A934" s="46" t="s">
        <v>363</v>
      </c>
      <c r="B934" s="46" t="s">
        <v>13</v>
      </c>
      <c r="C934" s="46" t="s">
        <v>14</v>
      </c>
      <c r="D934" s="47">
        <v>3649</v>
      </c>
      <c r="E934" s="46" t="s">
        <v>364</v>
      </c>
      <c r="F934" s="48">
        <v>39962</v>
      </c>
      <c r="G934" s="48">
        <v>40140</v>
      </c>
      <c r="H934" s="46" t="s">
        <v>16</v>
      </c>
      <c r="I934" s="45">
        <v>19228</v>
      </c>
      <c r="J934" s="55">
        <v>5082.17</v>
      </c>
      <c r="K934" s="49" t="s">
        <v>356</v>
      </c>
      <c r="L934" s="45"/>
      <c r="M934" s="3"/>
    </row>
    <row r="935" spans="1:13" ht="25.5" x14ac:dyDescent="0.25">
      <c r="A935" s="46" t="s">
        <v>363</v>
      </c>
      <c r="B935" s="46" t="s">
        <v>13</v>
      </c>
      <c r="C935" s="46" t="s">
        <v>14</v>
      </c>
      <c r="D935" s="47">
        <v>3652</v>
      </c>
      <c r="E935" s="46" t="s">
        <v>365</v>
      </c>
      <c r="F935" s="48">
        <v>39961</v>
      </c>
      <c r="G935" s="48">
        <v>40140</v>
      </c>
      <c r="H935" s="46" t="s">
        <v>16</v>
      </c>
      <c r="I935" s="45">
        <v>9600</v>
      </c>
      <c r="J935" s="55">
        <v>2643.17</v>
      </c>
      <c r="K935" s="49" t="s">
        <v>356</v>
      </c>
      <c r="L935" s="45"/>
      <c r="M935" s="3"/>
    </row>
    <row r="936" spans="1:13" ht="38.25" x14ac:dyDescent="0.25">
      <c r="A936" s="46" t="s">
        <v>366</v>
      </c>
      <c r="B936" s="46" t="s">
        <v>13</v>
      </c>
      <c r="C936" s="46" t="s">
        <v>14</v>
      </c>
      <c r="D936" s="47">
        <v>3655</v>
      </c>
      <c r="E936" s="50" t="s">
        <v>367</v>
      </c>
      <c r="F936" s="48">
        <v>39847</v>
      </c>
      <c r="G936" s="48">
        <v>40053</v>
      </c>
      <c r="H936" s="46" t="s">
        <v>16</v>
      </c>
      <c r="I936" s="45">
        <v>16000</v>
      </c>
      <c r="J936" s="55">
        <v>4704.7</v>
      </c>
      <c r="K936" s="49" t="s">
        <v>356</v>
      </c>
      <c r="L936" s="45"/>
      <c r="M936" s="3"/>
    </row>
    <row r="937" spans="1:13" ht="25.5" x14ac:dyDescent="0.25">
      <c r="A937" s="46" t="s">
        <v>368</v>
      </c>
      <c r="B937" s="46" t="s">
        <v>13</v>
      </c>
      <c r="C937" s="46" t="s">
        <v>14</v>
      </c>
      <c r="D937" s="47">
        <v>3660</v>
      </c>
      <c r="E937" s="46" t="s">
        <v>369</v>
      </c>
      <c r="F937" s="48">
        <v>39328</v>
      </c>
      <c r="G937" s="48">
        <v>39566</v>
      </c>
      <c r="H937" s="46" t="s">
        <v>16</v>
      </c>
      <c r="I937" s="45">
        <v>7494</v>
      </c>
      <c r="J937" s="55">
        <v>2108.85</v>
      </c>
      <c r="K937" s="49" t="s">
        <v>356</v>
      </c>
      <c r="L937" s="45"/>
      <c r="M937" s="3"/>
    </row>
    <row r="938" spans="1:13" ht="25.5" x14ac:dyDescent="0.25">
      <c r="A938" s="46" t="s">
        <v>370</v>
      </c>
      <c r="B938" s="46" t="s">
        <v>13</v>
      </c>
      <c r="C938" s="46" t="s">
        <v>14</v>
      </c>
      <c r="D938" s="47">
        <v>3670</v>
      </c>
      <c r="E938" s="46" t="s">
        <v>371</v>
      </c>
      <c r="F938" s="48">
        <v>39351</v>
      </c>
      <c r="G938" s="48">
        <v>39752</v>
      </c>
      <c r="H938" s="46" t="s">
        <v>16</v>
      </c>
      <c r="I938" s="45">
        <v>105000</v>
      </c>
      <c r="J938" s="55">
        <v>31500</v>
      </c>
      <c r="K938" s="49" t="s">
        <v>356</v>
      </c>
      <c r="L938" s="45"/>
      <c r="M938" s="3"/>
    </row>
    <row r="939" spans="1:13" ht="38.25" x14ac:dyDescent="0.25">
      <c r="A939" s="46" t="s">
        <v>372</v>
      </c>
      <c r="B939" s="46" t="s">
        <v>13</v>
      </c>
      <c r="C939" s="46" t="s">
        <v>14</v>
      </c>
      <c r="D939" s="47">
        <v>3674</v>
      </c>
      <c r="E939" s="50" t="s">
        <v>373</v>
      </c>
      <c r="F939" s="48">
        <v>39484</v>
      </c>
      <c r="G939" s="48">
        <v>39598</v>
      </c>
      <c r="H939" s="46" t="s">
        <v>16</v>
      </c>
      <c r="I939" s="45">
        <v>18336</v>
      </c>
      <c r="J939" s="55">
        <v>5501</v>
      </c>
      <c r="K939" s="49" t="s">
        <v>356</v>
      </c>
      <c r="L939" s="45"/>
      <c r="M939" s="3"/>
    </row>
    <row r="940" spans="1:13" x14ac:dyDescent="0.25">
      <c r="A940" s="46" t="s">
        <v>374</v>
      </c>
      <c r="B940" s="46" t="s">
        <v>13</v>
      </c>
      <c r="C940" s="46" t="s">
        <v>14</v>
      </c>
      <c r="D940" s="47">
        <v>3677</v>
      </c>
      <c r="E940" s="46" t="s">
        <v>375</v>
      </c>
      <c r="F940" s="48">
        <v>39596</v>
      </c>
      <c r="G940" s="48">
        <v>39791</v>
      </c>
      <c r="H940" s="46" t="s">
        <v>16</v>
      </c>
      <c r="I940" s="45">
        <v>12335</v>
      </c>
      <c r="J940" s="55">
        <v>3700</v>
      </c>
      <c r="K940" s="49" t="s">
        <v>356</v>
      </c>
      <c r="L940" s="45"/>
      <c r="M940" s="3"/>
    </row>
    <row r="941" spans="1:13" x14ac:dyDescent="0.25">
      <c r="A941" s="46" t="s">
        <v>376</v>
      </c>
      <c r="B941" s="46" t="s">
        <v>13</v>
      </c>
      <c r="C941" s="46" t="s">
        <v>14</v>
      </c>
      <c r="D941" s="47">
        <v>3896</v>
      </c>
      <c r="E941" s="46" t="s">
        <v>377</v>
      </c>
      <c r="F941" s="48">
        <v>39821</v>
      </c>
      <c r="G941" s="48">
        <v>40116</v>
      </c>
      <c r="H941" s="46" t="s">
        <v>16</v>
      </c>
      <c r="I941" s="45">
        <v>60000</v>
      </c>
      <c r="J941" s="55">
        <v>20814.8</v>
      </c>
      <c r="K941" s="49" t="s">
        <v>356</v>
      </c>
      <c r="L941" s="45"/>
      <c r="M941" s="3"/>
    </row>
    <row r="942" spans="1:13" x14ac:dyDescent="0.25">
      <c r="A942" s="46" t="s">
        <v>378</v>
      </c>
      <c r="B942" s="46" t="s">
        <v>13</v>
      </c>
      <c r="C942" s="46" t="s">
        <v>14</v>
      </c>
      <c r="D942" s="47">
        <v>9465</v>
      </c>
      <c r="E942" s="46" t="s">
        <v>379</v>
      </c>
      <c r="F942" s="48">
        <v>40017</v>
      </c>
      <c r="G942" s="48">
        <v>40177</v>
      </c>
      <c r="H942" s="46" t="s">
        <v>16</v>
      </c>
      <c r="I942" s="45">
        <v>14000</v>
      </c>
      <c r="J942" s="55">
        <v>3633</v>
      </c>
      <c r="K942" s="49" t="s">
        <v>356</v>
      </c>
      <c r="L942" s="45"/>
      <c r="M942" s="3"/>
    </row>
    <row r="943" spans="1:13" x14ac:dyDescent="0.25">
      <c r="A943" s="46" t="s">
        <v>380</v>
      </c>
      <c r="B943" s="46" t="s">
        <v>13</v>
      </c>
      <c r="C943" s="46" t="s">
        <v>14</v>
      </c>
      <c r="D943" s="47">
        <v>9494</v>
      </c>
      <c r="E943" s="46" t="s">
        <v>381</v>
      </c>
      <c r="F943" s="48">
        <v>39847</v>
      </c>
      <c r="G943" s="48">
        <v>39933</v>
      </c>
      <c r="H943" s="46" t="s">
        <v>16</v>
      </c>
      <c r="I943" s="45">
        <v>40620</v>
      </c>
      <c r="J943" s="55">
        <v>12186</v>
      </c>
      <c r="K943" s="49" t="s">
        <v>356</v>
      </c>
      <c r="L943" s="45"/>
      <c r="M943" s="3"/>
    </row>
    <row r="944" spans="1:13" x14ac:dyDescent="0.25">
      <c r="A944" s="46" t="s">
        <v>382</v>
      </c>
      <c r="B944" s="46" t="s">
        <v>13</v>
      </c>
      <c r="C944" s="46" t="s">
        <v>14</v>
      </c>
      <c r="D944" s="47">
        <v>9992</v>
      </c>
      <c r="E944" s="46" t="s">
        <v>383</v>
      </c>
      <c r="F944" s="48">
        <v>40017</v>
      </c>
      <c r="G944" s="48">
        <v>40452</v>
      </c>
      <c r="H944" s="46" t="s">
        <v>16</v>
      </c>
      <c r="I944" s="45">
        <v>13500</v>
      </c>
      <c r="J944" s="55">
        <v>3900</v>
      </c>
      <c r="K944" s="49" t="s">
        <v>356</v>
      </c>
      <c r="L944" s="45"/>
      <c r="M944" s="3"/>
    </row>
    <row r="945" spans="1:13" x14ac:dyDescent="0.25">
      <c r="A945" s="46" t="s">
        <v>384</v>
      </c>
      <c r="B945" s="46" t="s">
        <v>13</v>
      </c>
      <c r="C945" s="46" t="s">
        <v>14</v>
      </c>
      <c r="D945" s="47">
        <v>9996</v>
      </c>
      <c r="E945" s="46" t="s">
        <v>385</v>
      </c>
      <c r="F945" s="48">
        <v>40240</v>
      </c>
      <c r="G945" s="48">
        <v>40364</v>
      </c>
      <c r="H945" s="46" t="s">
        <v>16</v>
      </c>
      <c r="I945" s="45">
        <v>6658</v>
      </c>
      <c r="J945" s="55">
        <v>1997.4</v>
      </c>
      <c r="K945" s="49" t="s">
        <v>356</v>
      </c>
      <c r="L945" s="45"/>
      <c r="M945" s="3"/>
    </row>
    <row r="946" spans="1:13" x14ac:dyDescent="0.25">
      <c r="A946" s="46" t="s">
        <v>378</v>
      </c>
      <c r="B946" s="46" t="s">
        <v>13</v>
      </c>
      <c r="C946" s="46" t="s">
        <v>14</v>
      </c>
      <c r="D946" s="47">
        <v>10222</v>
      </c>
      <c r="E946" s="46" t="s">
        <v>386</v>
      </c>
      <c r="F946" s="48">
        <v>40289</v>
      </c>
      <c r="G946" s="48">
        <v>40364</v>
      </c>
      <c r="H946" s="46" t="s">
        <v>16</v>
      </c>
      <c r="I946" s="45">
        <v>7312.77</v>
      </c>
      <c r="J946" s="55">
        <v>2192</v>
      </c>
      <c r="K946" s="49" t="s">
        <v>356</v>
      </c>
      <c r="L946" s="45"/>
      <c r="M946" s="3"/>
    </row>
    <row r="947" spans="1:13" ht="25.5" x14ac:dyDescent="0.25">
      <c r="A947" s="46" t="s">
        <v>387</v>
      </c>
      <c r="B947" s="46" t="s">
        <v>13</v>
      </c>
      <c r="C947" s="46" t="s">
        <v>14</v>
      </c>
      <c r="D947" s="47">
        <v>9380</v>
      </c>
      <c r="E947" s="46" t="s">
        <v>388</v>
      </c>
      <c r="F947" s="48">
        <v>39267</v>
      </c>
      <c r="G947" s="48">
        <v>39598</v>
      </c>
      <c r="H947" s="46" t="s">
        <v>389</v>
      </c>
      <c r="I947" s="45">
        <v>172100</v>
      </c>
      <c r="J947" s="45">
        <v>34580.379999999997</v>
      </c>
      <c r="K947" s="49" t="s">
        <v>356</v>
      </c>
      <c r="L947" s="45"/>
      <c r="M947" s="3"/>
    </row>
    <row r="948" spans="1:13" ht="38.25" x14ac:dyDescent="0.25">
      <c r="A948" s="46" t="s">
        <v>390</v>
      </c>
      <c r="B948" s="46" t="s">
        <v>13</v>
      </c>
      <c r="C948" s="46" t="s">
        <v>14</v>
      </c>
      <c r="D948" s="47">
        <v>9967</v>
      </c>
      <c r="E948" s="46" t="s">
        <v>391</v>
      </c>
      <c r="F948" s="48">
        <v>40108</v>
      </c>
      <c r="G948" s="48">
        <v>40217</v>
      </c>
      <c r="H948" s="46" t="s">
        <v>392</v>
      </c>
      <c r="I948" s="45">
        <v>23343.48</v>
      </c>
      <c r="J948" s="45">
        <v>7469.91</v>
      </c>
      <c r="K948" s="49" t="s">
        <v>356</v>
      </c>
      <c r="L948" s="45"/>
      <c r="M948" s="3"/>
    </row>
    <row r="949" spans="1:13" x14ac:dyDescent="0.25">
      <c r="A949" s="46" t="s">
        <v>393</v>
      </c>
      <c r="B949" s="46" t="s">
        <v>13</v>
      </c>
      <c r="C949" s="46" t="s">
        <v>14</v>
      </c>
      <c r="D949" s="47">
        <v>10172</v>
      </c>
      <c r="E949" s="46" t="s">
        <v>394</v>
      </c>
      <c r="F949" s="48">
        <v>41142</v>
      </c>
      <c r="G949" s="48">
        <v>41271</v>
      </c>
      <c r="H949" s="46" t="s">
        <v>392</v>
      </c>
      <c r="I949" s="45">
        <v>59974</v>
      </c>
      <c r="J949" s="45">
        <v>20990.9</v>
      </c>
      <c r="K949" s="49" t="s">
        <v>356</v>
      </c>
      <c r="L949" s="45"/>
      <c r="M949" s="3"/>
    </row>
    <row r="950" spans="1:13" ht="38.25" x14ac:dyDescent="0.25">
      <c r="A950" s="46" t="s">
        <v>788</v>
      </c>
      <c r="B950" s="46" t="s">
        <v>13</v>
      </c>
      <c r="C950" s="46" t="s">
        <v>14</v>
      </c>
      <c r="D950" s="47">
        <v>3681</v>
      </c>
      <c r="E950" s="50" t="s">
        <v>789</v>
      </c>
      <c r="F950" s="48">
        <v>39332</v>
      </c>
      <c r="G950" s="48">
        <v>39598</v>
      </c>
      <c r="H950" s="46" t="s">
        <v>16</v>
      </c>
      <c r="I950" s="45">
        <v>1200000</v>
      </c>
      <c r="J950" s="45">
        <v>255000</v>
      </c>
      <c r="K950" s="49" t="s">
        <v>790</v>
      </c>
      <c r="L950" s="45"/>
      <c r="M950" s="3"/>
    </row>
    <row r="951" spans="1:13" ht="38.25" x14ac:dyDescent="0.25">
      <c r="A951" s="46" t="s">
        <v>791</v>
      </c>
      <c r="B951" s="46" t="s">
        <v>13</v>
      </c>
      <c r="C951" s="46" t="s">
        <v>14</v>
      </c>
      <c r="D951" s="47">
        <v>3684</v>
      </c>
      <c r="E951" s="50" t="s">
        <v>792</v>
      </c>
      <c r="F951" s="48">
        <v>39468</v>
      </c>
      <c r="G951" s="48">
        <v>39797</v>
      </c>
      <c r="H951" s="46" t="s">
        <v>16</v>
      </c>
      <c r="I951" s="45">
        <v>24300</v>
      </c>
      <c r="J951" s="45">
        <v>7290</v>
      </c>
      <c r="K951" s="49" t="s">
        <v>790</v>
      </c>
      <c r="L951" s="45"/>
      <c r="M951" s="3"/>
    </row>
    <row r="952" spans="1:13" ht="25.5" x14ac:dyDescent="0.25">
      <c r="A952" s="46" t="s">
        <v>793</v>
      </c>
      <c r="B952" s="46" t="s">
        <v>13</v>
      </c>
      <c r="C952" s="46" t="s">
        <v>14</v>
      </c>
      <c r="D952" s="47">
        <v>3690</v>
      </c>
      <c r="E952" s="46" t="s">
        <v>794</v>
      </c>
      <c r="F952" s="48">
        <v>39562</v>
      </c>
      <c r="G952" s="48">
        <v>39812</v>
      </c>
      <c r="H952" s="46" t="s">
        <v>16</v>
      </c>
      <c r="I952" s="45">
        <v>17950</v>
      </c>
      <c r="J952" s="45">
        <v>5385</v>
      </c>
      <c r="K952" s="49" t="s">
        <v>790</v>
      </c>
      <c r="L952" s="45"/>
      <c r="M952" s="3"/>
    </row>
    <row r="953" spans="1:13" ht="25.5" x14ac:dyDescent="0.25">
      <c r="A953" s="46" t="s">
        <v>795</v>
      </c>
      <c r="B953" s="46" t="s">
        <v>13</v>
      </c>
      <c r="C953" s="46" t="s">
        <v>14</v>
      </c>
      <c r="D953" s="47">
        <v>3692</v>
      </c>
      <c r="E953" s="46" t="s">
        <v>796</v>
      </c>
      <c r="F953" s="48">
        <v>39477</v>
      </c>
      <c r="G953" s="48">
        <v>39629</v>
      </c>
      <c r="H953" s="46" t="s">
        <v>16</v>
      </c>
      <c r="I953" s="45">
        <v>18099</v>
      </c>
      <c r="J953" s="45">
        <v>5430</v>
      </c>
      <c r="K953" s="49" t="s">
        <v>790</v>
      </c>
      <c r="L953" s="45"/>
      <c r="M953" s="3"/>
    </row>
    <row r="954" spans="1:13" ht="25.5" x14ac:dyDescent="0.25">
      <c r="A954" s="46" t="s">
        <v>797</v>
      </c>
      <c r="B954" s="46" t="s">
        <v>13</v>
      </c>
      <c r="C954" s="46" t="s">
        <v>14</v>
      </c>
      <c r="D954" s="47">
        <v>3693</v>
      </c>
      <c r="E954" s="46" t="s">
        <v>798</v>
      </c>
      <c r="F954" s="48">
        <v>39555</v>
      </c>
      <c r="G954" s="48">
        <v>39721</v>
      </c>
      <c r="H954" s="46" t="s">
        <v>16</v>
      </c>
      <c r="I954" s="45">
        <v>14227</v>
      </c>
      <c r="J954" s="45">
        <v>4158</v>
      </c>
      <c r="K954" s="49" t="s">
        <v>790</v>
      </c>
      <c r="L954" s="45"/>
      <c r="M954" s="3"/>
    </row>
    <row r="955" spans="1:13" ht="25.5" x14ac:dyDescent="0.25">
      <c r="A955" s="46" t="s">
        <v>799</v>
      </c>
      <c r="B955" s="46" t="s">
        <v>13</v>
      </c>
      <c r="C955" s="46" t="s">
        <v>14</v>
      </c>
      <c r="D955" s="47">
        <v>3714</v>
      </c>
      <c r="E955" s="46" t="s">
        <v>800</v>
      </c>
      <c r="F955" s="48">
        <v>39961</v>
      </c>
      <c r="G955" s="48">
        <v>40267</v>
      </c>
      <c r="H955" s="46" t="s">
        <v>16</v>
      </c>
      <c r="I955" s="45">
        <v>34192.6</v>
      </c>
      <c r="J955" s="45">
        <v>7440</v>
      </c>
      <c r="K955" s="49" t="s">
        <v>790</v>
      </c>
      <c r="L955" s="45"/>
      <c r="M955" s="3"/>
    </row>
    <row r="956" spans="1:13" x14ac:dyDescent="0.25">
      <c r="A956" s="46" t="s">
        <v>801</v>
      </c>
      <c r="B956" s="46" t="s">
        <v>13</v>
      </c>
      <c r="C956" s="46" t="s">
        <v>14</v>
      </c>
      <c r="D956" s="47">
        <v>3716</v>
      </c>
      <c r="E956" s="46" t="s">
        <v>802</v>
      </c>
      <c r="F956" s="48">
        <v>39671</v>
      </c>
      <c r="G956" s="48">
        <v>39876</v>
      </c>
      <c r="H956" s="46" t="s">
        <v>16</v>
      </c>
      <c r="I956" s="45">
        <v>28150</v>
      </c>
      <c r="J956" s="45">
        <v>8445</v>
      </c>
      <c r="K956" s="49" t="s">
        <v>790</v>
      </c>
      <c r="L956" s="45"/>
      <c r="M956" s="3"/>
    </row>
    <row r="957" spans="1:13" x14ac:dyDescent="0.25">
      <c r="A957" s="46" t="s">
        <v>803</v>
      </c>
      <c r="B957" s="46" t="s">
        <v>13</v>
      </c>
      <c r="C957" s="46" t="s">
        <v>14</v>
      </c>
      <c r="D957" s="47">
        <v>3723</v>
      </c>
      <c r="E957" s="46" t="s">
        <v>804</v>
      </c>
      <c r="F957" s="48">
        <v>39380</v>
      </c>
      <c r="G957" s="48">
        <v>39776</v>
      </c>
      <c r="H957" s="46" t="s">
        <v>16</v>
      </c>
      <c r="I957" s="45">
        <v>6900</v>
      </c>
      <c r="J957" s="45">
        <v>10560</v>
      </c>
      <c r="K957" s="49" t="s">
        <v>790</v>
      </c>
      <c r="L957" s="45"/>
      <c r="M957" s="3"/>
    </row>
    <row r="958" spans="1:13" ht="25.5" x14ac:dyDescent="0.25">
      <c r="A958" s="46" t="s">
        <v>805</v>
      </c>
      <c r="B958" s="46" t="s">
        <v>13</v>
      </c>
      <c r="C958" s="46" t="s">
        <v>14</v>
      </c>
      <c r="D958" s="47">
        <v>3739</v>
      </c>
      <c r="E958" s="46" t="s">
        <v>806</v>
      </c>
      <c r="F958" s="48">
        <v>39507</v>
      </c>
      <c r="G958" s="48">
        <v>39631</v>
      </c>
      <c r="H958" s="46" t="s">
        <v>16</v>
      </c>
      <c r="I958" s="45">
        <v>37400</v>
      </c>
      <c r="J958" s="45">
        <v>4493.1000000000004</v>
      </c>
      <c r="K958" s="49" t="s">
        <v>790</v>
      </c>
      <c r="L958" s="45"/>
      <c r="M958" s="3"/>
    </row>
    <row r="959" spans="1:13" ht="25.5" x14ac:dyDescent="0.25">
      <c r="A959" s="46" t="s">
        <v>807</v>
      </c>
      <c r="B959" s="46" t="s">
        <v>13</v>
      </c>
      <c r="C959" s="46" t="s">
        <v>14</v>
      </c>
      <c r="D959" s="47">
        <v>3740</v>
      </c>
      <c r="E959" s="46" t="s">
        <v>808</v>
      </c>
      <c r="F959" s="48">
        <v>39757</v>
      </c>
      <c r="G959" s="48">
        <v>39870</v>
      </c>
      <c r="H959" s="46" t="s">
        <v>16</v>
      </c>
      <c r="I959" s="45">
        <v>5900</v>
      </c>
      <c r="J959" s="45">
        <v>2160</v>
      </c>
      <c r="K959" s="49" t="s">
        <v>790</v>
      </c>
      <c r="L959" s="45"/>
      <c r="M959" s="3"/>
    </row>
    <row r="960" spans="1:13" x14ac:dyDescent="0.25">
      <c r="A960" s="46" t="s">
        <v>809</v>
      </c>
      <c r="B960" s="46" t="s">
        <v>13</v>
      </c>
      <c r="C960" s="46" t="s">
        <v>14</v>
      </c>
      <c r="D960" s="47">
        <v>3741</v>
      </c>
      <c r="E960" s="46" t="s">
        <v>810</v>
      </c>
      <c r="F960" s="48">
        <v>39659</v>
      </c>
      <c r="G960" s="48">
        <v>40025</v>
      </c>
      <c r="H960" s="46" t="s">
        <v>16</v>
      </c>
      <c r="I960" s="45">
        <v>5900</v>
      </c>
      <c r="J960" s="45">
        <v>3000</v>
      </c>
      <c r="K960" s="49" t="s">
        <v>790</v>
      </c>
      <c r="L960" s="45"/>
      <c r="M960" s="3"/>
    </row>
    <row r="961" spans="1:13" x14ac:dyDescent="0.25">
      <c r="A961" s="46" t="s">
        <v>811</v>
      </c>
      <c r="B961" s="46" t="s">
        <v>13</v>
      </c>
      <c r="C961" s="46" t="s">
        <v>14</v>
      </c>
      <c r="D961" s="47">
        <v>3743</v>
      </c>
      <c r="E961" s="46" t="s">
        <v>812</v>
      </c>
      <c r="F961" s="48">
        <v>39738</v>
      </c>
      <c r="G961" s="48">
        <v>40088</v>
      </c>
      <c r="H961" s="46" t="s">
        <v>16</v>
      </c>
      <c r="I961" s="45">
        <v>5900</v>
      </c>
      <c r="J961" s="45">
        <v>1770</v>
      </c>
      <c r="K961" s="49" t="s">
        <v>790</v>
      </c>
      <c r="L961" s="45"/>
      <c r="M961" s="3"/>
    </row>
    <row r="962" spans="1:13" x14ac:dyDescent="0.25">
      <c r="A962" s="46" t="s">
        <v>813</v>
      </c>
      <c r="B962" s="46" t="s">
        <v>13</v>
      </c>
      <c r="C962" s="46" t="s">
        <v>14</v>
      </c>
      <c r="D962" s="47">
        <v>3744</v>
      </c>
      <c r="E962" s="46" t="s">
        <v>814</v>
      </c>
      <c r="F962" s="48">
        <v>39961</v>
      </c>
      <c r="G962" s="48">
        <v>40053</v>
      </c>
      <c r="H962" s="46" t="s">
        <v>16</v>
      </c>
      <c r="I962" s="45">
        <v>5900</v>
      </c>
      <c r="J962" s="45">
        <v>1461</v>
      </c>
      <c r="K962" s="49" t="s">
        <v>790</v>
      </c>
      <c r="L962" s="45"/>
      <c r="M962" s="3"/>
    </row>
    <row r="963" spans="1:13" ht="38.25" x14ac:dyDescent="0.25">
      <c r="A963" s="46" t="s">
        <v>815</v>
      </c>
      <c r="B963" s="46" t="s">
        <v>13</v>
      </c>
      <c r="C963" s="46" t="s">
        <v>14</v>
      </c>
      <c r="D963" s="47">
        <v>3747</v>
      </c>
      <c r="E963" s="50" t="s">
        <v>816</v>
      </c>
      <c r="F963" s="48">
        <v>39036</v>
      </c>
      <c r="G963" s="48">
        <v>39097</v>
      </c>
      <c r="H963" s="46" t="s">
        <v>16</v>
      </c>
      <c r="I963" s="45">
        <v>5900</v>
      </c>
      <c r="J963" s="45">
        <v>18840</v>
      </c>
      <c r="K963" s="49" t="s">
        <v>790</v>
      </c>
      <c r="L963" s="45"/>
      <c r="M963" s="3"/>
    </row>
    <row r="964" spans="1:13" ht="25.5" x14ac:dyDescent="0.25">
      <c r="A964" s="46" t="s">
        <v>817</v>
      </c>
      <c r="B964" s="46" t="s">
        <v>13</v>
      </c>
      <c r="C964" s="46" t="s">
        <v>14</v>
      </c>
      <c r="D964" s="47">
        <v>3752</v>
      </c>
      <c r="E964" s="46" t="s">
        <v>818</v>
      </c>
      <c r="F964" s="48">
        <v>39415</v>
      </c>
      <c r="G964" s="48">
        <v>39805</v>
      </c>
      <c r="H964" s="46" t="s">
        <v>16</v>
      </c>
      <c r="I964" s="45">
        <v>140000</v>
      </c>
      <c r="J964" s="45">
        <v>36837.730000000003</v>
      </c>
      <c r="K964" s="49" t="s">
        <v>790</v>
      </c>
      <c r="L964" s="45"/>
      <c r="M964" s="3"/>
    </row>
    <row r="965" spans="1:13" ht="25.5" x14ac:dyDescent="0.25">
      <c r="A965" s="46" t="s">
        <v>793</v>
      </c>
      <c r="B965" s="46" t="s">
        <v>13</v>
      </c>
      <c r="C965" s="46" t="s">
        <v>14</v>
      </c>
      <c r="D965" s="47">
        <v>3753</v>
      </c>
      <c r="E965" s="46" t="s">
        <v>819</v>
      </c>
      <c r="F965" s="48">
        <v>39545</v>
      </c>
      <c r="G965" s="48">
        <v>39813</v>
      </c>
      <c r="H965" s="46" t="s">
        <v>16</v>
      </c>
      <c r="I965" s="45">
        <v>6900</v>
      </c>
      <c r="J965" s="45">
        <v>2070</v>
      </c>
      <c r="K965" s="49" t="s">
        <v>790</v>
      </c>
      <c r="L965" s="45"/>
      <c r="M965" s="3"/>
    </row>
    <row r="966" spans="1:13" x14ac:dyDescent="0.25">
      <c r="A966" s="46" t="s">
        <v>820</v>
      </c>
      <c r="B966" s="46" t="s">
        <v>13</v>
      </c>
      <c r="C966" s="46" t="s">
        <v>14</v>
      </c>
      <c r="D966" s="47">
        <v>3758</v>
      </c>
      <c r="E966" s="46" t="s">
        <v>821</v>
      </c>
      <c r="F966" s="48">
        <v>40058</v>
      </c>
      <c r="G966" s="48">
        <v>40269</v>
      </c>
      <c r="H966" s="46" t="s">
        <v>16</v>
      </c>
      <c r="I966" s="45">
        <v>5903</v>
      </c>
      <c r="J966" s="45">
        <v>1771</v>
      </c>
      <c r="K966" s="49" t="s">
        <v>790</v>
      </c>
      <c r="L966" s="45"/>
      <c r="M966" s="3"/>
    </row>
    <row r="967" spans="1:13" x14ac:dyDescent="0.25">
      <c r="A967" s="46" t="s">
        <v>822</v>
      </c>
      <c r="B967" s="46" t="s">
        <v>13</v>
      </c>
      <c r="C967" s="46" t="s">
        <v>14</v>
      </c>
      <c r="D967" s="47">
        <v>3765</v>
      </c>
      <c r="E967" s="46" t="s">
        <v>823</v>
      </c>
      <c r="F967" s="48">
        <v>39972</v>
      </c>
      <c r="G967" s="48">
        <v>40217</v>
      </c>
      <c r="H967" s="46" t="s">
        <v>16</v>
      </c>
      <c r="I967" s="45">
        <v>14625.5</v>
      </c>
      <c r="J967" s="45">
        <v>4387.6499999999996</v>
      </c>
      <c r="K967" s="49" t="s">
        <v>790</v>
      </c>
      <c r="L967" s="45"/>
      <c r="M967" s="3"/>
    </row>
    <row r="968" spans="1:13" ht="38.25" x14ac:dyDescent="0.25">
      <c r="A968" s="46" t="s">
        <v>824</v>
      </c>
      <c r="B968" s="46" t="s">
        <v>13</v>
      </c>
      <c r="C968" s="46" t="s">
        <v>14</v>
      </c>
      <c r="D968" s="47">
        <v>3778</v>
      </c>
      <c r="E968" s="46" t="s">
        <v>825</v>
      </c>
      <c r="F968" s="48">
        <v>39468</v>
      </c>
      <c r="G968" s="48">
        <v>39631</v>
      </c>
      <c r="H968" s="46" t="s">
        <v>16</v>
      </c>
      <c r="I968" s="45">
        <v>5900</v>
      </c>
      <c r="J968" s="45">
        <v>4800</v>
      </c>
      <c r="K968" s="49" t="s">
        <v>790</v>
      </c>
      <c r="L968" s="45"/>
      <c r="M968" s="3"/>
    </row>
    <row r="969" spans="1:13" ht="25.5" x14ac:dyDescent="0.25">
      <c r="A969" s="46" t="s">
        <v>826</v>
      </c>
      <c r="B969" s="46" t="s">
        <v>13</v>
      </c>
      <c r="C969" s="46" t="s">
        <v>14</v>
      </c>
      <c r="D969" s="47">
        <v>3802</v>
      </c>
      <c r="E969" s="46" t="s">
        <v>827</v>
      </c>
      <c r="F969" s="48">
        <v>39234</v>
      </c>
      <c r="G969" s="48">
        <v>39258</v>
      </c>
      <c r="H969" s="46" t="s">
        <v>16</v>
      </c>
      <c r="I969" s="45">
        <v>17292</v>
      </c>
      <c r="J969" s="45">
        <v>5188</v>
      </c>
      <c r="K969" s="49" t="s">
        <v>790</v>
      </c>
      <c r="L969" s="45"/>
      <c r="M969" s="3"/>
    </row>
    <row r="970" spans="1:13" x14ac:dyDescent="0.25">
      <c r="A970" s="46" t="s">
        <v>828</v>
      </c>
      <c r="B970" s="46" t="s">
        <v>13</v>
      </c>
      <c r="C970" s="46" t="s">
        <v>14</v>
      </c>
      <c r="D970" s="47">
        <v>3803</v>
      </c>
      <c r="E970" s="46" t="s">
        <v>829</v>
      </c>
      <c r="F970" s="48">
        <v>39336</v>
      </c>
      <c r="G970" s="48">
        <v>39626</v>
      </c>
      <c r="H970" s="46" t="s">
        <v>16</v>
      </c>
      <c r="I970" s="45">
        <v>50000</v>
      </c>
      <c r="J970" s="45">
        <v>14680</v>
      </c>
      <c r="K970" s="49" t="s">
        <v>790</v>
      </c>
      <c r="L970" s="45"/>
      <c r="M970" s="3"/>
    </row>
    <row r="971" spans="1:13" x14ac:dyDescent="0.25">
      <c r="A971" s="46" t="s">
        <v>830</v>
      </c>
      <c r="B971" s="46" t="s">
        <v>13</v>
      </c>
      <c r="C971" s="46" t="s">
        <v>14</v>
      </c>
      <c r="D971" s="47">
        <v>3814</v>
      </c>
      <c r="E971" s="46" t="s">
        <v>831</v>
      </c>
      <c r="F971" s="48">
        <v>39357</v>
      </c>
      <c r="G971" s="48">
        <v>39797</v>
      </c>
      <c r="H971" s="46" t="s">
        <v>16</v>
      </c>
      <c r="I971" s="45">
        <v>5000</v>
      </c>
      <c r="J971" s="45">
        <v>2000</v>
      </c>
      <c r="K971" s="49" t="s">
        <v>790</v>
      </c>
      <c r="L971" s="45"/>
      <c r="M971" s="3"/>
    </row>
    <row r="972" spans="1:13" x14ac:dyDescent="0.25">
      <c r="A972" s="46" t="s">
        <v>832</v>
      </c>
      <c r="B972" s="46" t="s">
        <v>13</v>
      </c>
      <c r="C972" s="46" t="s">
        <v>14</v>
      </c>
      <c r="D972" s="47">
        <v>3818</v>
      </c>
      <c r="E972" s="46" t="s">
        <v>833</v>
      </c>
      <c r="F972" s="48">
        <v>39415</v>
      </c>
      <c r="G972" s="48">
        <v>39511</v>
      </c>
      <c r="H972" s="46" t="s">
        <v>16</v>
      </c>
      <c r="I972" s="45">
        <v>138950</v>
      </c>
      <c r="J972" s="45">
        <v>30300</v>
      </c>
      <c r="K972" s="49" t="s">
        <v>790</v>
      </c>
      <c r="L972" s="45"/>
      <c r="M972" s="3"/>
    </row>
    <row r="973" spans="1:13" ht="38.25" x14ac:dyDescent="0.25">
      <c r="A973" s="46" t="s">
        <v>834</v>
      </c>
      <c r="B973" s="46" t="s">
        <v>13</v>
      </c>
      <c r="C973" s="46" t="s">
        <v>14</v>
      </c>
      <c r="D973" s="47">
        <v>3821</v>
      </c>
      <c r="E973" s="46" t="s">
        <v>835</v>
      </c>
      <c r="F973" s="48">
        <v>39568</v>
      </c>
      <c r="G973" s="48">
        <v>39871</v>
      </c>
      <c r="H973" s="46" t="s">
        <v>16</v>
      </c>
      <c r="I973" s="45">
        <v>31765</v>
      </c>
      <c r="J973" s="45">
        <v>8550</v>
      </c>
      <c r="K973" s="49" t="s">
        <v>790</v>
      </c>
      <c r="L973" s="45"/>
      <c r="M973" s="3"/>
    </row>
    <row r="974" spans="1:13" ht="25.5" x14ac:dyDescent="0.25">
      <c r="A974" s="46" t="s">
        <v>836</v>
      </c>
      <c r="B974" s="46" t="s">
        <v>13</v>
      </c>
      <c r="C974" s="46" t="s">
        <v>14</v>
      </c>
      <c r="D974" s="47">
        <v>3824</v>
      </c>
      <c r="E974" s="46" t="s">
        <v>837</v>
      </c>
      <c r="F974" s="48">
        <v>39724</v>
      </c>
      <c r="G974" s="48">
        <v>40087</v>
      </c>
      <c r="H974" s="46" t="s">
        <v>16</v>
      </c>
      <c r="I974" s="45">
        <v>5900</v>
      </c>
      <c r="J974" s="45">
        <v>1770</v>
      </c>
      <c r="K974" s="49" t="s">
        <v>790</v>
      </c>
      <c r="L974" s="45"/>
      <c r="M974" s="3"/>
    </row>
    <row r="975" spans="1:13" x14ac:dyDescent="0.25">
      <c r="A975" s="46" t="s">
        <v>809</v>
      </c>
      <c r="B975" s="46" t="s">
        <v>13</v>
      </c>
      <c r="C975" s="46" t="s">
        <v>14</v>
      </c>
      <c r="D975" s="47">
        <v>3826</v>
      </c>
      <c r="E975" s="46" t="s">
        <v>838</v>
      </c>
      <c r="F975" s="48">
        <v>39659</v>
      </c>
      <c r="G975" s="48">
        <v>40025</v>
      </c>
      <c r="H975" s="46" t="s">
        <v>16</v>
      </c>
      <c r="I975" s="45">
        <v>14100</v>
      </c>
      <c r="J975" s="45">
        <v>4230</v>
      </c>
      <c r="K975" s="49" t="s">
        <v>790</v>
      </c>
      <c r="L975" s="45"/>
      <c r="M975" s="3"/>
    </row>
    <row r="976" spans="1:13" ht="38.25" x14ac:dyDescent="0.25">
      <c r="A976" s="46" t="s">
        <v>839</v>
      </c>
      <c r="B976" s="46" t="s">
        <v>13</v>
      </c>
      <c r="C976" s="46" t="s">
        <v>14</v>
      </c>
      <c r="D976" s="47">
        <v>3828</v>
      </c>
      <c r="E976" s="50" t="s">
        <v>840</v>
      </c>
      <c r="F976" s="48">
        <v>39568</v>
      </c>
      <c r="G976" s="48">
        <v>39972</v>
      </c>
      <c r="H976" s="46" t="s">
        <v>16</v>
      </c>
      <c r="I976" s="45">
        <v>40040</v>
      </c>
      <c r="J976" s="45">
        <v>11700</v>
      </c>
      <c r="K976" s="49" t="s">
        <v>790</v>
      </c>
      <c r="L976" s="45"/>
      <c r="M976" s="3"/>
    </row>
    <row r="977" spans="1:13" ht="38.25" x14ac:dyDescent="0.25">
      <c r="A977" s="46" t="s">
        <v>841</v>
      </c>
      <c r="B977" s="46" t="s">
        <v>13</v>
      </c>
      <c r="C977" s="46" t="s">
        <v>14</v>
      </c>
      <c r="D977" s="47">
        <v>3832</v>
      </c>
      <c r="E977" s="46" t="s">
        <v>842</v>
      </c>
      <c r="F977" s="48">
        <v>39687</v>
      </c>
      <c r="G977" s="48">
        <v>39721</v>
      </c>
      <c r="H977" s="46" t="s">
        <v>16</v>
      </c>
      <c r="I977" s="45">
        <v>9600</v>
      </c>
      <c r="J977" s="45">
        <v>2880</v>
      </c>
      <c r="K977" s="49" t="s">
        <v>790</v>
      </c>
      <c r="L977" s="45"/>
      <c r="M977" s="3"/>
    </row>
    <row r="978" spans="1:13" ht="25.5" x14ac:dyDescent="0.25">
      <c r="A978" s="46" t="s">
        <v>843</v>
      </c>
      <c r="B978" s="46" t="s">
        <v>13</v>
      </c>
      <c r="C978" s="46" t="s">
        <v>14</v>
      </c>
      <c r="D978" s="47">
        <v>3833</v>
      </c>
      <c r="E978" s="46" t="s">
        <v>844</v>
      </c>
      <c r="F978" s="48">
        <v>40003</v>
      </c>
      <c r="G978" s="48">
        <v>40256</v>
      </c>
      <c r="H978" s="46" t="s">
        <v>16</v>
      </c>
      <c r="I978" s="45">
        <v>12345</v>
      </c>
      <c r="J978" s="45">
        <v>3703.5</v>
      </c>
      <c r="K978" s="49" t="s">
        <v>790</v>
      </c>
      <c r="L978" s="45"/>
      <c r="M978" s="3"/>
    </row>
    <row r="979" spans="1:13" x14ac:dyDescent="0.25">
      <c r="A979" s="46" t="s">
        <v>845</v>
      </c>
      <c r="B979" s="46" t="s">
        <v>13</v>
      </c>
      <c r="C979" s="46" t="s">
        <v>14</v>
      </c>
      <c r="D979" s="47">
        <v>3849</v>
      </c>
      <c r="E979" s="46" t="s">
        <v>846</v>
      </c>
      <c r="F979" s="48">
        <v>39183</v>
      </c>
      <c r="G979" s="48">
        <v>39776</v>
      </c>
      <c r="H979" s="46" t="s">
        <v>16</v>
      </c>
      <c r="I979" s="45">
        <v>39110</v>
      </c>
      <c r="J979" s="45">
        <v>10380</v>
      </c>
      <c r="K979" s="49" t="s">
        <v>790</v>
      </c>
      <c r="L979" s="45"/>
      <c r="M979" s="3"/>
    </row>
    <row r="980" spans="1:13" ht="51" x14ac:dyDescent="0.25">
      <c r="A980" s="46" t="s">
        <v>847</v>
      </c>
      <c r="B980" s="46" t="s">
        <v>13</v>
      </c>
      <c r="C980" s="46" t="s">
        <v>14</v>
      </c>
      <c r="D980" s="47">
        <v>3851</v>
      </c>
      <c r="E980" s="50" t="s">
        <v>848</v>
      </c>
      <c r="F980" s="48">
        <v>39596</v>
      </c>
      <c r="G980" s="48">
        <v>40054</v>
      </c>
      <c r="H980" s="46" t="s">
        <v>16</v>
      </c>
      <c r="I980" s="45">
        <v>6900</v>
      </c>
      <c r="J980" s="45">
        <v>2070</v>
      </c>
      <c r="K980" s="49" t="s">
        <v>790</v>
      </c>
      <c r="L980" s="45"/>
      <c r="M980" s="3"/>
    </row>
    <row r="981" spans="1:13" ht="38.25" x14ac:dyDescent="0.25">
      <c r="A981" s="46" t="s">
        <v>849</v>
      </c>
      <c r="B981" s="46" t="s">
        <v>13</v>
      </c>
      <c r="C981" s="46" t="s">
        <v>14</v>
      </c>
      <c r="D981" s="47">
        <v>3853</v>
      </c>
      <c r="E981" s="46" t="s">
        <v>850</v>
      </c>
      <c r="F981" s="48">
        <v>39545</v>
      </c>
      <c r="G981" s="48">
        <v>39812</v>
      </c>
      <c r="H981" s="46" t="s">
        <v>16</v>
      </c>
      <c r="I981" s="45">
        <v>17600</v>
      </c>
      <c r="J981" s="45">
        <v>5280</v>
      </c>
      <c r="K981" s="49" t="s">
        <v>790</v>
      </c>
      <c r="L981" s="45"/>
      <c r="M981" s="3"/>
    </row>
    <row r="982" spans="1:13" x14ac:dyDescent="0.25">
      <c r="A982" s="46" t="s">
        <v>851</v>
      </c>
      <c r="B982" s="46" t="s">
        <v>13</v>
      </c>
      <c r="C982" s="46" t="s">
        <v>14</v>
      </c>
      <c r="D982" s="47">
        <v>3878</v>
      </c>
      <c r="E982" s="46" t="s">
        <v>852</v>
      </c>
      <c r="F982" s="48">
        <v>39188</v>
      </c>
      <c r="G982" s="48">
        <v>39507</v>
      </c>
      <c r="H982" s="46" t="s">
        <v>16</v>
      </c>
      <c r="I982" s="45">
        <v>29040</v>
      </c>
      <c r="J982" s="45">
        <v>10962</v>
      </c>
      <c r="K982" s="49" t="s">
        <v>790</v>
      </c>
      <c r="L982" s="45"/>
      <c r="M982" s="3"/>
    </row>
    <row r="983" spans="1:13" ht="25.5" x14ac:dyDescent="0.25">
      <c r="A983" s="46" t="s">
        <v>853</v>
      </c>
      <c r="B983" s="46" t="s">
        <v>13</v>
      </c>
      <c r="C983" s="46" t="s">
        <v>14</v>
      </c>
      <c r="D983" s="47">
        <v>3879</v>
      </c>
      <c r="E983" s="46" t="s">
        <v>854</v>
      </c>
      <c r="F983" s="48">
        <v>39825</v>
      </c>
      <c r="G983" s="48">
        <v>40234</v>
      </c>
      <c r="H983" s="46" t="s">
        <v>16</v>
      </c>
      <c r="I983" s="45">
        <v>5900</v>
      </c>
      <c r="J983" s="45">
        <v>1747.2</v>
      </c>
      <c r="K983" s="49" t="s">
        <v>790</v>
      </c>
      <c r="L983" s="45"/>
      <c r="M983" s="3"/>
    </row>
    <row r="984" spans="1:13" ht="38.25" x14ac:dyDescent="0.25">
      <c r="A984" s="46" t="s">
        <v>855</v>
      </c>
      <c r="B984" s="46" t="s">
        <v>13</v>
      </c>
      <c r="C984" s="46" t="s">
        <v>14</v>
      </c>
      <c r="D984" s="47">
        <v>3883</v>
      </c>
      <c r="E984" s="46" t="s">
        <v>856</v>
      </c>
      <c r="F984" s="48">
        <v>39555</v>
      </c>
      <c r="G984" s="48">
        <v>39871</v>
      </c>
      <c r="H984" s="46" t="s">
        <v>16</v>
      </c>
      <c r="I984" s="45">
        <v>30000</v>
      </c>
      <c r="J984" s="45">
        <v>9000</v>
      </c>
      <c r="K984" s="49" t="s">
        <v>790</v>
      </c>
      <c r="L984" s="45"/>
      <c r="M984" s="3"/>
    </row>
    <row r="985" spans="1:13" x14ac:dyDescent="0.25">
      <c r="A985" s="46" t="s">
        <v>857</v>
      </c>
      <c r="B985" s="46" t="s">
        <v>13</v>
      </c>
      <c r="C985" s="46" t="s">
        <v>14</v>
      </c>
      <c r="D985" s="47">
        <v>3884</v>
      </c>
      <c r="E985" s="46" t="s">
        <v>858</v>
      </c>
      <c r="F985" s="48">
        <v>39514</v>
      </c>
      <c r="G985" s="48">
        <v>39842</v>
      </c>
      <c r="H985" s="46" t="s">
        <v>16</v>
      </c>
      <c r="I985" s="45">
        <v>7200</v>
      </c>
      <c r="J985" s="45">
        <v>1980</v>
      </c>
      <c r="K985" s="49" t="s">
        <v>790</v>
      </c>
      <c r="L985" s="45"/>
      <c r="M985" s="3"/>
    </row>
    <row r="986" spans="1:13" ht="38.25" x14ac:dyDescent="0.25">
      <c r="A986" s="46" t="s">
        <v>859</v>
      </c>
      <c r="B986" s="46" t="s">
        <v>13</v>
      </c>
      <c r="C986" s="46" t="s">
        <v>14</v>
      </c>
      <c r="D986" s="47">
        <v>3885</v>
      </c>
      <c r="E986" s="46" t="s">
        <v>860</v>
      </c>
      <c r="F986" s="48">
        <v>39596</v>
      </c>
      <c r="G986" s="48">
        <v>39797</v>
      </c>
      <c r="H986" s="46" t="s">
        <v>16</v>
      </c>
      <c r="I986" s="45">
        <v>25000</v>
      </c>
      <c r="J986" s="45">
        <v>7500</v>
      </c>
      <c r="K986" s="49" t="s">
        <v>790</v>
      </c>
      <c r="L986" s="45"/>
      <c r="M986" s="3"/>
    </row>
    <row r="987" spans="1:13" ht="38.25" x14ac:dyDescent="0.25">
      <c r="A987" s="46" t="s">
        <v>861</v>
      </c>
      <c r="B987" s="46" t="s">
        <v>13</v>
      </c>
      <c r="C987" s="46" t="s">
        <v>14</v>
      </c>
      <c r="D987" s="47">
        <v>3886</v>
      </c>
      <c r="E987" s="46" t="s">
        <v>862</v>
      </c>
      <c r="F987" s="48">
        <v>39742</v>
      </c>
      <c r="G987" s="48">
        <v>39782</v>
      </c>
      <c r="H987" s="46" t="s">
        <v>16</v>
      </c>
      <c r="I987" s="45">
        <v>175000</v>
      </c>
      <c r="J987" s="45">
        <v>50770.85</v>
      </c>
      <c r="K987" s="49" t="s">
        <v>790</v>
      </c>
      <c r="L987" s="45"/>
      <c r="M987" s="3"/>
    </row>
    <row r="988" spans="1:13" ht="25.5" x14ac:dyDescent="0.25">
      <c r="A988" s="46" t="s">
        <v>863</v>
      </c>
      <c r="B988" s="46" t="s">
        <v>13</v>
      </c>
      <c r="C988" s="46" t="s">
        <v>14</v>
      </c>
      <c r="D988" s="47">
        <v>3887</v>
      </c>
      <c r="E988" s="46" t="s">
        <v>864</v>
      </c>
      <c r="F988" s="48">
        <v>39770</v>
      </c>
      <c r="G988" s="48">
        <v>39871</v>
      </c>
      <c r="H988" s="46" t="s">
        <v>16</v>
      </c>
      <c r="I988" s="45">
        <v>7200</v>
      </c>
      <c r="J988" s="45">
        <v>2160</v>
      </c>
      <c r="K988" s="49" t="s">
        <v>790</v>
      </c>
      <c r="L988" s="45"/>
      <c r="M988" s="3"/>
    </row>
    <row r="989" spans="1:13" x14ac:dyDescent="0.25">
      <c r="A989" s="46" t="s">
        <v>865</v>
      </c>
      <c r="B989" s="46" t="s">
        <v>13</v>
      </c>
      <c r="C989" s="46" t="s">
        <v>14</v>
      </c>
      <c r="D989" s="47">
        <v>3888</v>
      </c>
      <c r="E989" s="46" t="s">
        <v>866</v>
      </c>
      <c r="F989" s="48">
        <v>39562</v>
      </c>
      <c r="G989" s="48">
        <v>39791</v>
      </c>
      <c r="H989" s="46" t="s">
        <v>16</v>
      </c>
      <c r="I989" s="45">
        <v>12600</v>
      </c>
      <c r="J989" s="45">
        <v>3600</v>
      </c>
      <c r="K989" s="49" t="s">
        <v>790</v>
      </c>
      <c r="L989" s="45"/>
      <c r="M989" s="3"/>
    </row>
    <row r="990" spans="1:13" ht="25.5" x14ac:dyDescent="0.25">
      <c r="A990" s="46" t="s">
        <v>867</v>
      </c>
      <c r="B990" s="46" t="s">
        <v>13</v>
      </c>
      <c r="C990" s="46" t="s">
        <v>14</v>
      </c>
      <c r="D990" s="47">
        <v>3889</v>
      </c>
      <c r="E990" s="46" t="s">
        <v>868</v>
      </c>
      <c r="F990" s="48">
        <v>39821</v>
      </c>
      <c r="G990" s="48">
        <v>39962</v>
      </c>
      <c r="H990" s="46" t="s">
        <v>16</v>
      </c>
      <c r="I990" s="45">
        <v>22400</v>
      </c>
      <c r="J990" s="45">
        <v>6720</v>
      </c>
      <c r="K990" s="49" t="s">
        <v>790</v>
      </c>
      <c r="L990" s="45"/>
      <c r="M990" s="3"/>
    </row>
    <row r="991" spans="1:13" ht="25.5" x14ac:dyDescent="0.25">
      <c r="A991" s="46" t="s">
        <v>839</v>
      </c>
      <c r="B991" s="46" t="s">
        <v>13</v>
      </c>
      <c r="C991" s="46" t="s">
        <v>14</v>
      </c>
      <c r="D991" s="47">
        <v>3892</v>
      </c>
      <c r="E991" s="46" t="s">
        <v>869</v>
      </c>
      <c r="F991" s="48">
        <v>39671</v>
      </c>
      <c r="G991" s="48">
        <v>39933</v>
      </c>
      <c r="H991" s="46" t="s">
        <v>16</v>
      </c>
      <c r="I991" s="45">
        <v>11136</v>
      </c>
      <c r="J991" s="45">
        <v>3341</v>
      </c>
      <c r="K991" s="49" t="s">
        <v>790</v>
      </c>
      <c r="L991" s="45"/>
      <c r="M991" s="3"/>
    </row>
    <row r="992" spans="1:13" ht="38.25" x14ac:dyDescent="0.25">
      <c r="A992" s="46" t="s">
        <v>870</v>
      </c>
      <c r="B992" s="46" t="s">
        <v>13</v>
      </c>
      <c r="C992" s="46" t="s">
        <v>14</v>
      </c>
      <c r="D992" s="47">
        <v>3899</v>
      </c>
      <c r="E992" s="50" t="s">
        <v>871</v>
      </c>
      <c r="F992" s="48">
        <v>39556</v>
      </c>
      <c r="G992" s="48">
        <v>39776</v>
      </c>
      <c r="H992" s="46" t="s">
        <v>16</v>
      </c>
      <c r="I992" s="45">
        <v>4800925.37</v>
      </c>
      <c r="J992" s="45">
        <v>1380000</v>
      </c>
      <c r="K992" s="49" t="s">
        <v>790</v>
      </c>
      <c r="L992" s="45"/>
      <c r="M992" s="3"/>
    </row>
    <row r="993" spans="1:13" ht="25.5" x14ac:dyDescent="0.25">
      <c r="A993" s="46" t="s">
        <v>872</v>
      </c>
      <c r="B993" s="46" t="s">
        <v>13</v>
      </c>
      <c r="C993" s="46" t="s">
        <v>14</v>
      </c>
      <c r="D993" s="47">
        <v>3904</v>
      </c>
      <c r="E993" s="46" t="s">
        <v>873</v>
      </c>
      <c r="F993" s="48">
        <v>39521</v>
      </c>
      <c r="G993" s="48">
        <v>40267</v>
      </c>
      <c r="H993" s="46" t="s">
        <v>16</v>
      </c>
      <c r="I993" s="45">
        <v>126995</v>
      </c>
      <c r="J993" s="45">
        <v>24764</v>
      </c>
      <c r="K993" s="49" t="s">
        <v>790</v>
      </c>
      <c r="L993" s="45"/>
      <c r="M993" s="3"/>
    </row>
    <row r="994" spans="1:13" ht="25.5" x14ac:dyDescent="0.25">
      <c r="A994" s="46" t="s">
        <v>874</v>
      </c>
      <c r="B994" s="46" t="s">
        <v>13</v>
      </c>
      <c r="C994" s="46" t="s">
        <v>14</v>
      </c>
      <c r="D994" s="47">
        <v>3906</v>
      </c>
      <c r="E994" s="46" t="s">
        <v>875</v>
      </c>
      <c r="F994" s="48">
        <v>39979</v>
      </c>
      <c r="G994" s="48">
        <v>40533</v>
      </c>
      <c r="H994" s="46" t="s">
        <v>16</v>
      </c>
      <c r="I994" s="45">
        <v>143020</v>
      </c>
      <c r="J994" s="45">
        <v>42906</v>
      </c>
      <c r="K994" s="49" t="s">
        <v>790</v>
      </c>
      <c r="L994" s="45"/>
      <c r="M994" s="3"/>
    </row>
    <row r="995" spans="1:13" x14ac:dyDescent="0.25">
      <c r="A995" s="46" t="s">
        <v>876</v>
      </c>
      <c r="B995" s="46" t="s">
        <v>13</v>
      </c>
      <c r="C995" s="46" t="s">
        <v>14</v>
      </c>
      <c r="D995" s="47">
        <v>3908</v>
      </c>
      <c r="E995" s="46" t="s">
        <v>877</v>
      </c>
      <c r="F995" s="48">
        <v>39545</v>
      </c>
      <c r="G995" s="48">
        <v>40088</v>
      </c>
      <c r="H995" s="46" t="s">
        <v>16</v>
      </c>
      <c r="I995" s="45">
        <v>15000</v>
      </c>
      <c r="J995" s="45">
        <v>6000</v>
      </c>
      <c r="K995" s="49" t="s">
        <v>790</v>
      </c>
      <c r="L995" s="45"/>
      <c r="M995" s="3"/>
    </row>
    <row r="996" spans="1:13" x14ac:dyDescent="0.25">
      <c r="A996" s="46" t="s">
        <v>878</v>
      </c>
      <c r="B996" s="46" t="s">
        <v>13</v>
      </c>
      <c r="C996" s="46" t="s">
        <v>14</v>
      </c>
      <c r="D996" s="47">
        <v>3943</v>
      </c>
      <c r="E996" s="46" t="s">
        <v>879</v>
      </c>
      <c r="F996" s="48">
        <v>39966</v>
      </c>
      <c r="G996" s="48">
        <v>40217</v>
      </c>
      <c r="H996" s="46" t="s">
        <v>16</v>
      </c>
      <c r="I996" s="45">
        <v>3461</v>
      </c>
      <c r="J996" s="45">
        <v>1038</v>
      </c>
      <c r="K996" s="49" t="s">
        <v>790</v>
      </c>
      <c r="L996" s="45"/>
      <c r="M996" s="3"/>
    </row>
    <row r="997" spans="1:13" ht="25.5" x14ac:dyDescent="0.25">
      <c r="A997" s="46" t="s">
        <v>880</v>
      </c>
      <c r="B997" s="46" t="s">
        <v>13</v>
      </c>
      <c r="C997" s="46" t="s">
        <v>14</v>
      </c>
      <c r="D997" s="47">
        <v>4141</v>
      </c>
      <c r="E997" s="46" t="s">
        <v>881</v>
      </c>
      <c r="F997" s="48">
        <v>39966</v>
      </c>
      <c r="G997" s="48">
        <v>40170</v>
      </c>
      <c r="H997" s="46" t="s">
        <v>16</v>
      </c>
      <c r="I997" s="45">
        <v>40500</v>
      </c>
      <c r="J997" s="45">
        <v>12150</v>
      </c>
      <c r="K997" s="49" t="s">
        <v>790</v>
      </c>
      <c r="L997" s="45"/>
      <c r="M997" s="3"/>
    </row>
    <row r="998" spans="1:13" x14ac:dyDescent="0.25">
      <c r="A998" s="46" t="s">
        <v>882</v>
      </c>
      <c r="B998" s="46" t="s">
        <v>13</v>
      </c>
      <c r="C998" s="46" t="s">
        <v>14</v>
      </c>
      <c r="D998" s="47">
        <v>4146</v>
      </c>
      <c r="E998" s="46" t="s">
        <v>883</v>
      </c>
      <c r="F998" s="48">
        <v>39637</v>
      </c>
      <c r="G998" s="48">
        <v>39776</v>
      </c>
      <c r="H998" s="46" t="s">
        <v>16</v>
      </c>
      <c r="I998" s="45">
        <v>32000</v>
      </c>
      <c r="J998" s="45">
        <v>8458.15</v>
      </c>
      <c r="K998" s="49" t="s">
        <v>790</v>
      </c>
      <c r="L998" s="45"/>
      <c r="M998" s="3"/>
    </row>
    <row r="999" spans="1:13" ht="25.5" x14ac:dyDescent="0.25">
      <c r="A999" s="46" t="s">
        <v>884</v>
      </c>
      <c r="B999" s="46" t="s">
        <v>13</v>
      </c>
      <c r="C999" s="46" t="s">
        <v>14</v>
      </c>
      <c r="D999" s="47">
        <v>4147</v>
      </c>
      <c r="E999" s="46" t="s">
        <v>885</v>
      </c>
      <c r="F999" s="48">
        <v>39792</v>
      </c>
      <c r="G999" s="48">
        <v>40053</v>
      </c>
      <c r="H999" s="46" t="s">
        <v>16</v>
      </c>
      <c r="I999" s="45">
        <v>32000</v>
      </c>
      <c r="J999" s="45">
        <v>9600</v>
      </c>
      <c r="K999" s="49" t="s">
        <v>790</v>
      </c>
      <c r="L999" s="45"/>
      <c r="M999" s="3"/>
    </row>
    <row r="1000" spans="1:13" ht="38.25" x14ac:dyDescent="0.25">
      <c r="A1000" s="46" t="s">
        <v>886</v>
      </c>
      <c r="B1000" s="46" t="s">
        <v>13</v>
      </c>
      <c r="C1000" s="46" t="s">
        <v>14</v>
      </c>
      <c r="D1000" s="47">
        <v>4148</v>
      </c>
      <c r="E1000" s="46" t="s">
        <v>887</v>
      </c>
      <c r="F1000" s="48">
        <v>39128</v>
      </c>
      <c r="G1000" s="48">
        <v>39377</v>
      </c>
      <c r="H1000" s="46" t="s">
        <v>16</v>
      </c>
      <c r="I1000" s="45">
        <v>41935</v>
      </c>
      <c r="J1000" s="45">
        <v>12580</v>
      </c>
      <c r="K1000" s="49" t="s">
        <v>790</v>
      </c>
      <c r="L1000" s="45"/>
      <c r="M1000" s="3"/>
    </row>
    <row r="1001" spans="1:13" x14ac:dyDescent="0.25">
      <c r="A1001" s="46" t="s">
        <v>828</v>
      </c>
      <c r="B1001" s="46" t="s">
        <v>13</v>
      </c>
      <c r="C1001" s="46" t="s">
        <v>14</v>
      </c>
      <c r="D1001" s="47">
        <v>4149</v>
      </c>
      <c r="E1001" s="46" t="s">
        <v>888</v>
      </c>
      <c r="F1001" s="48">
        <v>39336</v>
      </c>
      <c r="G1001" s="48">
        <v>39507</v>
      </c>
      <c r="H1001" s="46" t="s">
        <v>16</v>
      </c>
      <c r="I1001" s="45">
        <v>19200</v>
      </c>
      <c r="J1001" s="45">
        <v>5760</v>
      </c>
      <c r="K1001" s="49" t="s">
        <v>790</v>
      </c>
      <c r="L1001" s="45"/>
      <c r="M1001" s="3"/>
    </row>
    <row r="1002" spans="1:13" ht="38.25" x14ac:dyDescent="0.25">
      <c r="A1002" s="46" t="s">
        <v>889</v>
      </c>
      <c r="B1002" s="46" t="s">
        <v>13</v>
      </c>
      <c r="C1002" s="46" t="s">
        <v>14</v>
      </c>
      <c r="D1002" s="47">
        <v>4154</v>
      </c>
      <c r="E1002" s="46" t="s">
        <v>890</v>
      </c>
      <c r="F1002" s="48">
        <v>39821</v>
      </c>
      <c r="G1002" s="48">
        <v>40116</v>
      </c>
      <c r="H1002" s="46" t="s">
        <v>16</v>
      </c>
      <c r="I1002" s="45">
        <v>12870</v>
      </c>
      <c r="J1002" s="45">
        <v>3861</v>
      </c>
      <c r="K1002" s="49" t="s">
        <v>790</v>
      </c>
      <c r="L1002" s="45"/>
      <c r="M1002" s="3"/>
    </row>
    <row r="1003" spans="1:13" x14ac:dyDescent="0.25">
      <c r="A1003" s="46" t="s">
        <v>867</v>
      </c>
      <c r="B1003" s="46" t="s">
        <v>13</v>
      </c>
      <c r="C1003" s="46" t="s">
        <v>14</v>
      </c>
      <c r="D1003" s="47">
        <v>4156</v>
      </c>
      <c r="E1003" s="46" t="s">
        <v>891</v>
      </c>
      <c r="F1003" s="48">
        <v>39961</v>
      </c>
      <c r="G1003" s="48">
        <v>40170</v>
      </c>
      <c r="H1003" s="46" t="s">
        <v>16</v>
      </c>
      <c r="I1003" s="45">
        <v>38192</v>
      </c>
      <c r="J1003" s="45">
        <v>8382.6</v>
      </c>
      <c r="K1003" s="49" t="s">
        <v>790</v>
      </c>
      <c r="L1003" s="45"/>
      <c r="M1003" s="3"/>
    </row>
    <row r="1004" spans="1:13" ht="25.5" x14ac:dyDescent="0.25">
      <c r="A1004" s="46" t="s">
        <v>892</v>
      </c>
      <c r="B1004" s="46" t="s">
        <v>13</v>
      </c>
      <c r="C1004" s="46" t="s">
        <v>14</v>
      </c>
      <c r="D1004" s="47">
        <v>4159</v>
      </c>
      <c r="E1004" s="46" t="s">
        <v>893</v>
      </c>
      <c r="F1004" s="48">
        <v>39415</v>
      </c>
      <c r="G1004" s="48">
        <v>39570</v>
      </c>
      <c r="H1004" s="46" t="s">
        <v>16</v>
      </c>
      <c r="I1004" s="45">
        <v>6400</v>
      </c>
      <c r="J1004" s="45">
        <v>1920</v>
      </c>
      <c r="K1004" s="49" t="s">
        <v>790</v>
      </c>
      <c r="L1004" s="45"/>
      <c r="M1004" s="3"/>
    </row>
    <row r="1005" spans="1:13" x14ac:dyDescent="0.25">
      <c r="A1005" s="46" t="s">
        <v>894</v>
      </c>
      <c r="B1005" s="46" t="s">
        <v>13</v>
      </c>
      <c r="C1005" s="46" t="s">
        <v>14</v>
      </c>
      <c r="D1005" s="47">
        <v>4160</v>
      </c>
      <c r="E1005" s="46" t="s">
        <v>895</v>
      </c>
      <c r="F1005" s="48">
        <v>39188</v>
      </c>
      <c r="G1005" s="48">
        <v>39752</v>
      </c>
      <c r="H1005" s="46" t="s">
        <v>16</v>
      </c>
      <c r="I1005" s="45">
        <v>30000</v>
      </c>
      <c r="J1005" s="45">
        <v>7094.04</v>
      </c>
      <c r="K1005" s="49" t="s">
        <v>790</v>
      </c>
      <c r="L1005" s="45"/>
      <c r="M1005" s="3"/>
    </row>
    <row r="1006" spans="1:13" x14ac:dyDescent="0.25">
      <c r="A1006" s="46" t="s">
        <v>859</v>
      </c>
      <c r="B1006" s="46" t="s">
        <v>13</v>
      </c>
      <c r="C1006" s="46" t="s">
        <v>14</v>
      </c>
      <c r="D1006" s="47">
        <v>4162</v>
      </c>
      <c r="E1006" s="46" t="s">
        <v>896</v>
      </c>
      <c r="F1006" s="48">
        <v>39582</v>
      </c>
      <c r="G1006" s="48">
        <v>39776</v>
      </c>
      <c r="H1006" s="46" t="s">
        <v>16</v>
      </c>
      <c r="I1006" s="45">
        <v>5088</v>
      </c>
      <c r="J1006" s="45">
        <v>1526</v>
      </c>
      <c r="K1006" s="49" t="s">
        <v>790</v>
      </c>
      <c r="L1006" s="45"/>
      <c r="M1006" s="3"/>
    </row>
    <row r="1007" spans="1:13" ht="38.25" x14ac:dyDescent="0.25">
      <c r="A1007" s="46" t="s">
        <v>897</v>
      </c>
      <c r="B1007" s="46" t="s">
        <v>13</v>
      </c>
      <c r="C1007" s="46" t="s">
        <v>14</v>
      </c>
      <c r="D1007" s="47">
        <v>4164</v>
      </c>
      <c r="E1007" s="46" t="s">
        <v>898</v>
      </c>
      <c r="F1007" s="48">
        <v>39961</v>
      </c>
      <c r="G1007" s="48">
        <v>40087</v>
      </c>
      <c r="H1007" s="46" t="s">
        <v>16</v>
      </c>
      <c r="I1007" s="45">
        <v>6535</v>
      </c>
      <c r="J1007" s="45">
        <v>1961</v>
      </c>
      <c r="K1007" s="49" t="s">
        <v>790</v>
      </c>
      <c r="L1007" s="45"/>
      <c r="M1007" s="3"/>
    </row>
    <row r="1008" spans="1:13" x14ac:dyDescent="0.25">
      <c r="A1008" s="46" t="s">
        <v>899</v>
      </c>
      <c r="B1008" s="46" t="s">
        <v>13</v>
      </c>
      <c r="C1008" s="46" t="s">
        <v>14</v>
      </c>
      <c r="D1008" s="47">
        <v>4165</v>
      </c>
      <c r="E1008" s="46" t="s">
        <v>900</v>
      </c>
      <c r="F1008" s="48">
        <v>39759</v>
      </c>
      <c r="G1008" s="48">
        <v>39962</v>
      </c>
      <c r="H1008" s="46" t="s">
        <v>16</v>
      </c>
      <c r="I1008" s="45">
        <v>6000</v>
      </c>
      <c r="J1008" s="45">
        <v>1500</v>
      </c>
      <c r="K1008" s="49" t="s">
        <v>790</v>
      </c>
      <c r="L1008" s="45"/>
      <c r="M1008" s="3"/>
    </row>
    <row r="1009" spans="1:13" ht="38.25" x14ac:dyDescent="0.25">
      <c r="A1009" s="46" t="s">
        <v>901</v>
      </c>
      <c r="B1009" s="46" t="s">
        <v>13</v>
      </c>
      <c r="C1009" s="46" t="s">
        <v>14</v>
      </c>
      <c r="D1009" s="47">
        <v>4166</v>
      </c>
      <c r="E1009" s="46" t="s">
        <v>902</v>
      </c>
      <c r="F1009" s="48">
        <v>39921</v>
      </c>
      <c r="G1009" s="48">
        <v>40330</v>
      </c>
      <c r="H1009" s="46" t="s">
        <v>16</v>
      </c>
      <c r="I1009" s="45">
        <v>66737</v>
      </c>
      <c r="J1009" s="45">
        <v>17550</v>
      </c>
      <c r="K1009" s="49" t="s">
        <v>790</v>
      </c>
      <c r="L1009" s="45"/>
      <c r="M1009" s="3"/>
    </row>
    <row r="1010" spans="1:13" x14ac:dyDescent="0.25">
      <c r="A1010" s="46" t="s">
        <v>903</v>
      </c>
      <c r="B1010" s="46" t="s">
        <v>13</v>
      </c>
      <c r="C1010" s="46" t="s">
        <v>14</v>
      </c>
      <c r="D1010" s="47">
        <v>4167</v>
      </c>
      <c r="E1010" s="46" t="s">
        <v>904</v>
      </c>
      <c r="F1010" s="48">
        <v>39962</v>
      </c>
      <c r="G1010" s="48">
        <v>40025</v>
      </c>
      <c r="H1010" s="46" t="s">
        <v>16</v>
      </c>
      <c r="I1010" s="45">
        <v>3862</v>
      </c>
      <c r="J1010" s="45">
        <v>1158</v>
      </c>
      <c r="K1010" s="49" t="s">
        <v>790</v>
      </c>
      <c r="L1010" s="45"/>
      <c r="M1010" s="3"/>
    </row>
    <row r="1011" spans="1:13" ht="25.5" x14ac:dyDescent="0.25">
      <c r="A1011" s="46" t="s">
        <v>799</v>
      </c>
      <c r="B1011" s="46" t="s">
        <v>13</v>
      </c>
      <c r="C1011" s="46" t="s">
        <v>14</v>
      </c>
      <c r="D1011" s="47">
        <v>4168</v>
      </c>
      <c r="E1011" s="46" t="s">
        <v>905</v>
      </c>
      <c r="F1011" s="48">
        <v>40017</v>
      </c>
      <c r="G1011" s="48">
        <v>40269</v>
      </c>
      <c r="H1011" s="46" t="s">
        <v>16</v>
      </c>
      <c r="I1011" s="45">
        <v>13134</v>
      </c>
      <c r="J1011" s="45">
        <v>3379</v>
      </c>
      <c r="K1011" s="49" t="s">
        <v>790</v>
      </c>
      <c r="L1011" s="45"/>
      <c r="M1011" s="3"/>
    </row>
    <row r="1012" spans="1:13" x14ac:dyDescent="0.25">
      <c r="A1012" s="46" t="s">
        <v>906</v>
      </c>
      <c r="B1012" s="46" t="s">
        <v>13</v>
      </c>
      <c r="C1012" s="46" t="s">
        <v>14</v>
      </c>
      <c r="D1012" s="47">
        <v>9480</v>
      </c>
      <c r="E1012" s="46" t="s">
        <v>907</v>
      </c>
      <c r="F1012" s="48">
        <v>40017</v>
      </c>
      <c r="G1012" s="48">
        <v>40147</v>
      </c>
      <c r="H1012" s="46" t="s">
        <v>16</v>
      </c>
      <c r="I1012" s="45">
        <v>12250</v>
      </c>
      <c r="J1012" s="45">
        <v>3675</v>
      </c>
      <c r="K1012" s="49" t="s">
        <v>790</v>
      </c>
      <c r="L1012" s="45"/>
      <c r="M1012" s="3"/>
    </row>
    <row r="1013" spans="1:13" x14ac:dyDescent="0.25">
      <c r="A1013" s="46" t="s">
        <v>908</v>
      </c>
      <c r="B1013" s="46" t="s">
        <v>13</v>
      </c>
      <c r="C1013" s="46" t="s">
        <v>14</v>
      </c>
      <c r="D1013" s="47">
        <v>9872</v>
      </c>
      <c r="E1013" s="46" t="s">
        <v>909</v>
      </c>
      <c r="F1013" s="48">
        <v>40035</v>
      </c>
      <c r="G1013" s="48">
        <v>40217</v>
      </c>
      <c r="H1013" s="46" t="s">
        <v>16</v>
      </c>
      <c r="I1013" s="45">
        <v>44365.35</v>
      </c>
      <c r="J1013" s="45">
        <v>7260</v>
      </c>
      <c r="K1013" s="49" t="s">
        <v>790</v>
      </c>
      <c r="L1013" s="45"/>
      <c r="M1013" s="3"/>
    </row>
    <row r="1014" spans="1:13" x14ac:dyDescent="0.25">
      <c r="A1014" s="46" t="s">
        <v>910</v>
      </c>
      <c r="B1014" s="46" t="s">
        <v>13</v>
      </c>
      <c r="C1014" s="46" t="s">
        <v>14</v>
      </c>
      <c r="D1014" s="47">
        <v>9874</v>
      </c>
      <c r="E1014" s="46" t="s">
        <v>911</v>
      </c>
      <c r="F1014" s="48">
        <v>40354</v>
      </c>
      <c r="G1014" s="48">
        <v>40466</v>
      </c>
      <c r="H1014" s="46" t="s">
        <v>16</v>
      </c>
      <c r="I1014" s="45">
        <v>47731.4</v>
      </c>
      <c r="J1014" s="45">
        <v>14319</v>
      </c>
      <c r="K1014" s="49" t="s">
        <v>790</v>
      </c>
      <c r="L1014" s="45"/>
      <c r="M1014" s="3"/>
    </row>
    <row r="1015" spans="1:13" x14ac:dyDescent="0.25">
      <c r="A1015" s="46" t="s">
        <v>912</v>
      </c>
      <c r="B1015" s="46" t="s">
        <v>13</v>
      </c>
      <c r="C1015" s="46" t="s">
        <v>14</v>
      </c>
      <c r="D1015" s="47">
        <v>9881</v>
      </c>
      <c r="E1015" s="46" t="s">
        <v>913</v>
      </c>
      <c r="F1015" s="48">
        <v>40318</v>
      </c>
      <c r="G1015" s="48">
        <v>40542</v>
      </c>
      <c r="H1015" s="46" t="s">
        <v>16</v>
      </c>
      <c r="I1015" s="45">
        <v>18127</v>
      </c>
      <c r="J1015" s="55">
        <v>5232</v>
      </c>
      <c r="K1015" s="49" t="s">
        <v>790</v>
      </c>
      <c r="L1015" s="45"/>
      <c r="M1015" s="3"/>
    </row>
    <row r="1016" spans="1:13" x14ac:dyDescent="0.25">
      <c r="A1016" s="46" t="s">
        <v>914</v>
      </c>
      <c r="B1016" s="46" t="s">
        <v>13</v>
      </c>
      <c r="C1016" s="46" t="s">
        <v>14</v>
      </c>
      <c r="D1016" s="47">
        <v>9887</v>
      </c>
      <c r="E1016" s="46" t="s">
        <v>915</v>
      </c>
      <c r="F1016" s="48">
        <v>40424</v>
      </c>
      <c r="G1016" s="48">
        <v>40494</v>
      </c>
      <c r="H1016" s="46" t="s">
        <v>16</v>
      </c>
      <c r="I1016" s="45">
        <v>10300</v>
      </c>
      <c r="J1016" s="45">
        <v>3090</v>
      </c>
      <c r="K1016" s="49" t="s">
        <v>790</v>
      </c>
      <c r="L1016" s="45"/>
      <c r="M1016" s="3"/>
    </row>
    <row r="1017" spans="1:13" x14ac:dyDescent="0.25">
      <c r="A1017" s="46" t="s">
        <v>916</v>
      </c>
      <c r="B1017" s="46" t="s">
        <v>13</v>
      </c>
      <c r="C1017" s="46" t="s">
        <v>14</v>
      </c>
      <c r="D1017" s="47">
        <v>9894</v>
      </c>
      <c r="E1017" s="46" t="s">
        <v>917</v>
      </c>
      <c r="F1017" s="48">
        <v>40302</v>
      </c>
      <c r="G1017" s="48">
        <v>40508</v>
      </c>
      <c r="H1017" s="46" t="s">
        <v>16</v>
      </c>
      <c r="I1017" s="45">
        <v>189566</v>
      </c>
      <c r="J1017" s="45">
        <v>36965</v>
      </c>
      <c r="K1017" s="49" t="s">
        <v>790</v>
      </c>
      <c r="L1017" s="45"/>
      <c r="M1017" s="3"/>
    </row>
    <row r="1018" spans="1:13" x14ac:dyDescent="0.25">
      <c r="A1018" s="46" t="s">
        <v>918</v>
      </c>
      <c r="B1018" s="46" t="s">
        <v>13</v>
      </c>
      <c r="C1018" s="46" t="s">
        <v>14</v>
      </c>
      <c r="D1018" s="47">
        <v>9921</v>
      </c>
      <c r="E1018" s="46" t="s">
        <v>919</v>
      </c>
      <c r="F1018" s="48">
        <v>40347</v>
      </c>
      <c r="G1018" s="48">
        <v>40500</v>
      </c>
      <c r="H1018" s="46" t="s">
        <v>16</v>
      </c>
      <c r="I1018" s="45">
        <v>24270</v>
      </c>
      <c r="J1018" s="45">
        <v>3837.9</v>
      </c>
      <c r="K1018" s="49" t="s">
        <v>790</v>
      </c>
      <c r="L1018" s="45"/>
      <c r="M1018" s="3"/>
    </row>
    <row r="1019" spans="1:13" x14ac:dyDescent="0.25">
      <c r="A1019" s="46" t="s">
        <v>920</v>
      </c>
      <c r="B1019" s="46" t="s">
        <v>13</v>
      </c>
      <c r="C1019" s="46" t="s">
        <v>14</v>
      </c>
      <c r="D1019" s="47">
        <v>9939</v>
      </c>
      <c r="E1019" s="46" t="s">
        <v>921</v>
      </c>
      <c r="F1019" s="48">
        <v>40003</v>
      </c>
      <c r="G1019" s="48">
        <v>40269</v>
      </c>
      <c r="H1019" s="46" t="s">
        <v>16</v>
      </c>
      <c r="I1019" s="45">
        <v>7140.83</v>
      </c>
      <c r="J1019" s="45">
        <v>2142.25</v>
      </c>
      <c r="K1019" s="49" t="s">
        <v>790</v>
      </c>
      <c r="L1019" s="45"/>
      <c r="M1019" s="3"/>
    </row>
    <row r="1020" spans="1:13" x14ac:dyDescent="0.25">
      <c r="A1020" s="46" t="s">
        <v>922</v>
      </c>
      <c r="B1020" s="46" t="s">
        <v>13</v>
      </c>
      <c r="C1020" s="46" t="s">
        <v>14</v>
      </c>
      <c r="D1020" s="47">
        <v>9942</v>
      </c>
      <c r="E1020" s="46" t="s">
        <v>923</v>
      </c>
      <c r="F1020" s="48">
        <v>40204</v>
      </c>
      <c r="G1020" s="48">
        <v>40269</v>
      </c>
      <c r="H1020" s="46" t="s">
        <v>16</v>
      </c>
      <c r="I1020" s="45">
        <v>3690</v>
      </c>
      <c r="J1020" s="45">
        <v>1107</v>
      </c>
      <c r="K1020" s="49" t="s">
        <v>790</v>
      </c>
      <c r="L1020" s="45"/>
      <c r="M1020" s="3"/>
    </row>
    <row r="1021" spans="1:13" x14ac:dyDescent="0.25">
      <c r="A1021" s="46" t="s">
        <v>924</v>
      </c>
      <c r="B1021" s="46" t="s">
        <v>13</v>
      </c>
      <c r="C1021" s="46" t="s">
        <v>14</v>
      </c>
      <c r="D1021" s="47">
        <v>9964</v>
      </c>
      <c r="E1021" s="46" t="s">
        <v>385</v>
      </c>
      <c r="F1021" s="48">
        <v>40493</v>
      </c>
      <c r="G1021" s="48">
        <v>40533</v>
      </c>
      <c r="H1021" s="46" t="s">
        <v>16</v>
      </c>
      <c r="I1021" s="45">
        <v>6134.52</v>
      </c>
      <c r="J1021" s="45">
        <v>1840</v>
      </c>
      <c r="K1021" s="49" t="s">
        <v>790</v>
      </c>
      <c r="L1021" s="45"/>
      <c r="M1021" s="3"/>
    </row>
    <row r="1022" spans="1:13" x14ac:dyDescent="0.25">
      <c r="A1022" s="46" t="s">
        <v>925</v>
      </c>
      <c r="B1022" s="46" t="s">
        <v>13</v>
      </c>
      <c r="C1022" s="46" t="s">
        <v>14</v>
      </c>
      <c r="D1022" s="47">
        <v>9971</v>
      </c>
      <c r="E1022" s="46" t="s">
        <v>926</v>
      </c>
      <c r="F1022" s="48">
        <v>40526</v>
      </c>
      <c r="G1022" s="48">
        <v>40709</v>
      </c>
      <c r="H1022" s="46" t="s">
        <v>16</v>
      </c>
      <c r="I1022" s="45">
        <v>9809.69</v>
      </c>
      <c r="J1022" s="45">
        <v>2942.7</v>
      </c>
      <c r="K1022" s="49" t="s">
        <v>790</v>
      </c>
      <c r="L1022" s="45"/>
      <c r="M1022" s="3"/>
    </row>
    <row r="1023" spans="1:13" x14ac:dyDescent="0.25">
      <c r="A1023" s="46" t="s">
        <v>927</v>
      </c>
      <c r="B1023" s="46" t="s">
        <v>13</v>
      </c>
      <c r="C1023" s="46" t="s">
        <v>14</v>
      </c>
      <c r="D1023" s="47">
        <v>9999</v>
      </c>
      <c r="E1023" s="46" t="s">
        <v>928</v>
      </c>
      <c r="F1023" s="48">
        <v>40221</v>
      </c>
      <c r="G1023" s="48">
        <v>40309</v>
      </c>
      <c r="H1023" s="46" t="s">
        <v>16</v>
      </c>
      <c r="I1023" s="45">
        <v>4072.11</v>
      </c>
      <c r="J1023" s="45">
        <v>1221</v>
      </c>
      <c r="K1023" s="49" t="s">
        <v>790</v>
      </c>
      <c r="L1023" s="45"/>
      <c r="M1023" s="3"/>
    </row>
    <row r="1024" spans="1:13" ht="38.25" x14ac:dyDescent="0.25">
      <c r="A1024" s="46" t="s">
        <v>929</v>
      </c>
      <c r="B1024" s="46" t="s">
        <v>13</v>
      </c>
      <c r="C1024" s="46" t="s">
        <v>14</v>
      </c>
      <c r="D1024" s="47">
        <v>10007</v>
      </c>
      <c r="E1024" s="46" t="s">
        <v>930</v>
      </c>
      <c r="F1024" s="48">
        <v>39833</v>
      </c>
      <c r="G1024" s="48">
        <v>40364</v>
      </c>
      <c r="H1024" s="46" t="s">
        <v>16</v>
      </c>
      <c r="I1024" s="45">
        <v>35000</v>
      </c>
      <c r="J1024" s="45">
        <v>14000</v>
      </c>
      <c r="K1024" s="49" t="s">
        <v>790</v>
      </c>
      <c r="L1024" s="45"/>
      <c r="M1024" s="3"/>
    </row>
    <row r="1025" spans="1:13" x14ac:dyDescent="0.25">
      <c r="A1025" s="46" t="s">
        <v>931</v>
      </c>
      <c r="B1025" s="46" t="s">
        <v>13</v>
      </c>
      <c r="C1025" s="46" t="s">
        <v>14</v>
      </c>
      <c r="D1025" s="47">
        <v>10047</v>
      </c>
      <c r="E1025" s="46" t="s">
        <v>932</v>
      </c>
      <c r="F1025" s="48">
        <v>40387</v>
      </c>
      <c r="G1025" s="48">
        <v>40494</v>
      </c>
      <c r="H1025" s="46" t="s">
        <v>16</v>
      </c>
      <c r="I1025" s="45">
        <v>4247.93</v>
      </c>
      <c r="J1025" s="45">
        <v>1169</v>
      </c>
      <c r="K1025" s="49" t="s">
        <v>790</v>
      </c>
      <c r="L1025" s="45"/>
      <c r="M1025" s="3"/>
    </row>
    <row r="1026" spans="1:13" x14ac:dyDescent="0.25">
      <c r="A1026" s="46" t="s">
        <v>933</v>
      </c>
      <c r="B1026" s="46" t="s">
        <v>13</v>
      </c>
      <c r="C1026" s="46" t="s">
        <v>14</v>
      </c>
      <c r="D1026" s="47">
        <v>10054</v>
      </c>
      <c r="E1026" s="46" t="s">
        <v>934</v>
      </c>
      <c r="F1026" s="48">
        <v>40059</v>
      </c>
      <c r="G1026" s="48">
        <v>40269</v>
      </c>
      <c r="H1026" s="46" t="s">
        <v>16</v>
      </c>
      <c r="I1026" s="45">
        <v>7398.84</v>
      </c>
      <c r="J1026" s="45">
        <v>2219.65</v>
      </c>
      <c r="K1026" s="49" t="s">
        <v>790</v>
      </c>
      <c r="L1026" s="45"/>
      <c r="M1026" s="3"/>
    </row>
    <row r="1027" spans="1:13" x14ac:dyDescent="0.25">
      <c r="A1027" s="46" t="s">
        <v>935</v>
      </c>
      <c r="B1027" s="46" t="s">
        <v>13</v>
      </c>
      <c r="C1027" s="46" t="s">
        <v>14</v>
      </c>
      <c r="D1027" s="47">
        <v>10061</v>
      </c>
      <c r="E1027" s="46" t="s">
        <v>936</v>
      </c>
      <c r="F1027" s="48">
        <v>40534</v>
      </c>
      <c r="G1027" s="48">
        <v>40717</v>
      </c>
      <c r="H1027" s="46" t="s">
        <v>16</v>
      </c>
      <c r="I1027" s="45">
        <v>34000</v>
      </c>
      <c r="J1027" s="45">
        <v>9210</v>
      </c>
      <c r="K1027" s="49" t="s">
        <v>790</v>
      </c>
      <c r="L1027" s="45"/>
      <c r="M1027" s="3"/>
    </row>
    <row r="1028" spans="1:13" x14ac:dyDescent="0.25">
      <c r="A1028" s="46" t="s">
        <v>937</v>
      </c>
      <c r="B1028" s="46" t="s">
        <v>13</v>
      </c>
      <c r="C1028" s="46" t="s">
        <v>14</v>
      </c>
      <c r="D1028" s="47">
        <v>10140</v>
      </c>
      <c r="E1028" s="46" t="s">
        <v>938</v>
      </c>
      <c r="F1028" s="48">
        <v>40534</v>
      </c>
      <c r="G1028" s="48">
        <v>40640</v>
      </c>
      <c r="H1028" s="46" t="s">
        <v>16</v>
      </c>
      <c r="I1028" s="45">
        <v>45794.2</v>
      </c>
      <c r="J1028" s="45">
        <v>13738.2</v>
      </c>
      <c r="K1028" s="49" t="s">
        <v>790</v>
      </c>
      <c r="L1028" s="45"/>
      <c r="M1028" s="3"/>
    </row>
    <row r="1029" spans="1:13" ht="25.5" x14ac:dyDescent="0.25">
      <c r="A1029" s="46" t="s">
        <v>939</v>
      </c>
      <c r="B1029" s="46" t="s">
        <v>13</v>
      </c>
      <c r="C1029" s="46" t="s">
        <v>14</v>
      </c>
      <c r="D1029" s="47">
        <v>10169</v>
      </c>
      <c r="E1029" s="46" t="s">
        <v>940</v>
      </c>
      <c r="F1029" s="48">
        <v>40017</v>
      </c>
      <c r="G1029" s="48">
        <v>40309</v>
      </c>
      <c r="H1029" s="46" t="s">
        <v>16</v>
      </c>
      <c r="I1029" s="45">
        <v>6700</v>
      </c>
      <c r="J1029" s="45">
        <v>2680</v>
      </c>
      <c r="K1029" s="49" t="s">
        <v>790</v>
      </c>
      <c r="L1029" s="46"/>
    </row>
    <row r="1030" spans="1:13" ht="63.75" x14ac:dyDescent="0.25">
      <c r="A1030" s="46" t="s">
        <v>941</v>
      </c>
      <c r="B1030" s="46" t="s">
        <v>13</v>
      </c>
      <c r="C1030" s="46" t="s">
        <v>14</v>
      </c>
      <c r="D1030" s="47">
        <v>10198</v>
      </c>
      <c r="E1030" s="50" t="s">
        <v>942</v>
      </c>
      <c r="F1030" s="48">
        <v>40086</v>
      </c>
      <c r="G1030" s="48">
        <v>40364</v>
      </c>
      <c r="H1030" s="46" t="s">
        <v>16</v>
      </c>
      <c r="I1030" s="45">
        <v>35549.019999999997</v>
      </c>
      <c r="J1030" s="45">
        <v>14219.61</v>
      </c>
      <c r="K1030" s="49" t="s">
        <v>790</v>
      </c>
      <c r="L1030" s="45"/>
      <c r="M1030" s="3"/>
    </row>
    <row r="1031" spans="1:13" ht="38.25" x14ac:dyDescent="0.25">
      <c r="A1031" s="46" t="s">
        <v>943</v>
      </c>
      <c r="B1031" s="46" t="s">
        <v>13</v>
      </c>
      <c r="C1031" s="46" t="s">
        <v>14</v>
      </c>
      <c r="D1031" s="47">
        <v>9376</v>
      </c>
      <c r="E1031" s="46" t="s">
        <v>944</v>
      </c>
      <c r="F1031" s="48">
        <v>39267</v>
      </c>
      <c r="G1031" s="48">
        <v>39433</v>
      </c>
      <c r="H1031" s="46" t="s">
        <v>389</v>
      </c>
      <c r="I1031" s="45">
        <v>157240</v>
      </c>
      <c r="J1031" s="55">
        <v>60000</v>
      </c>
      <c r="K1031" s="49" t="s">
        <v>790</v>
      </c>
      <c r="L1031" s="45"/>
      <c r="M1031" s="3"/>
    </row>
    <row r="1032" spans="1:13" ht="25.5" x14ac:dyDescent="0.25">
      <c r="A1032" s="46" t="s">
        <v>945</v>
      </c>
      <c r="B1032" s="46" t="s">
        <v>13</v>
      </c>
      <c r="C1032" s="46" t="s">
        <v>14</v>
      </c>
      <c r="D1032" s="47">
        <v>9377</v>
      </c>
      <c r="E1032" s="46" t="s">
        <v>946</v>
      </c>
      <c r="F1032" s="48">
        <v>39370</v>
      </c>
      <c r="G1032" s="48">
        <v>39446</v>
      </c>
      <c r="H1032" s="46" t="s">
        <v>389</v>
      </c>
      <c r="I1032" s="45">
        <v>29045</v>
      </c>
      <c r="J1032" s="55">
        <v>11618</v>
      </c>
      <c r="K1032" s="49" t="s">
        <v>790</v>
      </c>
      <c r="L1032" s="45"/>
      <c r="M1032" s="3"/>
    </row>
    <row r="1033" spans="1:13" ht="25.5" x14ac:dyDescent="0.25">
      <c r="A1033" s="46" t="s">
        <v>947</v>
      </c>
      <c r="B1033" s="46" t="s">
        <v>13</v>
      </c>
      <c r="C1033" s="46" t="s">
        <v>14</v>
      </c>
      <c r="D1033" s="47">
        <v>9458</v>
      </c>
      <c r="E1033" s="46" t="s">
        <v>948</v>
      </c>
      <c r="F1033" s="48">
        <v>39302</v>
      </c>
      <c r="G1033" s="48">
        <v>39446</v>
      </c>
      <c r="H1033" s="46" t="s">
        <v>389</v>
      </c>
      <c r="I1033" s="45">
        <v>120000</v>
      </c>
      <c r="J1033" s="55">
        <v>45009.63</v>
      </c>
      <c r="K1033" s="49" t="s">
        <v>790</v>
      </c>
      <c r="L1033" s="45"/>
      <c r="M1033" s="3"/>
    </row>
    <row r="1034" spans="1:13" x14ac:dyDescent="0.25">
      <c r="A1034" s="46" t="s">
        <v>799</v>
      </c>
      <c r="B1034" s="46" t="s">
        <v>13</v>
      </c>
      <c r="C1034" s="46" t="s">
        <v>14</v>
      </c>
      <c r="D1034" s="47">
        <v>9469</v>
      </c>
      <c r="E1034" s="46" t="s">
        <v>949</v>
      </c>
      <c r="F1034" s="48">
        <v>40085</v>
      </c>
      <c r="G1034" s="48">
        <v>40158</v>
      </c>
      <c r="H1034" s="46" t="s">
        <v>389</v>
      </c>
      <c r="I1034" s="45">
        <v>131187.04999999999</v>
      </c>
      <c r="J1034" s="55">
        <v>45915.46</v>
      </c>
      <c r="K1034" s="49" t="s">
        <v>790</v>
      </c>
      <c r="L1034" s="45"/>
      <c r="M1034" s="3"/>
    </row>
    <row r="1035" spans="1:13" ht="25.5" x14ac:dyDescent="0.25">
      <c r="A1035" s="46" t="s">
        <v>950</v>
      </c>
      <c r="B1035" s="46" t="s">
        <v>13</v>
      </c>
      <c r="C1035" s="46" t="s">
        <v>14</v>
      </c>
      <c r="D1035" s="47">
        <v>9487</v>
      </c>
      <c r="E1035" s="46" t="s">
        <v>951</v>
      </c>
      <c r="F1035" s="48">
        <v>39434</v>
      </c>
      <c r="G1035" s="48">
        <v>39932</v>
      </c>
      <c r="H1035" s="46" t="s">
        <v>389</v>
      </c>
      <c r="I1035" s="45">
        <v>68000</v>
      </c>
      <c r="J1035" s="55">
        <v>25050</v>
      </c>
      <c r="K1035" s="49" t="s">
        <v>790</v>
      </c>
      <c r="L1035" s="45"/>
      <c r="M1035" s="3"/>
    </row>
    <row r="1036" spans="1:13" x14ac:dyDescent="0.25">
      <c r="A1036" s="46" t="s">
        <v>952</v>
      </c>
      <c r="B1036" s="46" t="s">
        <v>13</v>
      </c>
      <c r="C1036" s="46" t="s">
        <v>14</v>
      </c>
      <c r="D1036" s="47">
        <v>9489</v>
      </c>
      <c r="E1036" s="46" t="s">
        <v>953</v>
      </c>
      <c r="F1036" s="48">
        <v>40081</v>
      </c>
      <c r="G1036" s="48">
        <v>40140</v>
      </c>
      <c r="H1036" s="46" t="s">
        <v>389</v>
      </c>
      <c r="I1036" s="45">
        <v>50895</v>
      </c>
      <c r="J1036" s="55">
        <v>17813.25</v>
      </c>
      <c r="K1036" s="49" t="s">
        <v>790</v>
      </c>
      <c r="L1036" s="45"/>
      <c r="M1036" s="3"/>
    </row>
    <row r="1037" spans="1:13" x14ac:dyDescent="0.25">
      <c r="A1037" s="46" t="s">
        <v>954</v>
      </c>
      <c r="B1037" s="46" t="s">
        <v>13</v>
      </c>
      <c r="C1037" s="46" t="s">
        <v>14</v>
      </c>
      <c r="D1037" s="47">
        <v>9491</v>
      </c>
      <c r="E1037" s="46" t="s">
        <v>955</v>
      </c>
      <c r="F1037" s="48">
        <v>40081</v>
      </c>
      <c r="G1037" s="48">
        <v>40140</v>
      </c>
      <c r="H1037" s="46" t="s">
        <v>389</v>
      </c>
      <c r="I1037" s="45">
        <v>33645</v>
      </c>
      <c r="J1037" s="55">
        <v>11745</v>
      </c>
      <c r="K1037" s="49" t="s">
        <v>790</v>
      </c>
      <c r="L1037" s="45"/>
      <c r="M1037" s="3"/>
    </row>
    <row r="1038" spans="1:13" ht="25.5" x14ac:dyDescent="0.25">
      <c r="A1038" s="46" t="s">
        <v>954</v>
      </c>
      <c r="B1038" s="46" t="s">
        <v>13</v>
      </c>
      <c r="C1038" s="46" t="s">
        <v>14</v>
      </c>
      <c r="D1038" s="47">
        <v>9858</v>
      </c>
      <c r="E1038" s="46" t="s">
        <v>956</v>
      </c>
      <c r="F1038" s="48">
        <v>40394</v>
      </c>
      <c r="G1038" s="48">
        <v>40522</v>
      </c>
      <c r="H1038" s="46" t="s">
        <v>392</v>
      </c>
      <c r="I1038" s="45">
        <v>1527788</v>
      </c>
      <c r="J1038" s="55">
        <v>500000</v>
      </c>
      <c r="K1038" s="49" t="s">
        <v>790</v>
      </c>
      <c r="L1038" s="45"/>
      <c r="M1038" s="3"/>
    </row>
    <row r="1039" spans="1:13" x14ac:dyDescent="0.25">
      <c r="A1039" s="46" t="s">
        <v>957</v>
      </c>
      <c r="B1039" s="46" t="s">
        <v>13</v>
      </c>
      <c r="C1039" s="46" t="s">
        <v>14</v>
      </c>
      <c r="D1039" s="47">
        <v>9864</v>
      </c>
      <c r="E1039" s="46" t="s">
        <v>958</v>
      </c>
      <c r="F1039" s="48">
        <v>40448</v>
      </c>
      <c r="G1039" s="48">
        <v>40542</v>
      </c>
      <c r="H1039" s="46" t="s">
        <v>392</v>
      </c>
      <c r="I1039" s="45">
        <v>271038.31</v>
      </c>
      <c r="J1039" s="55">
        <v>67759.58</v>
      </c>
      <c r="K1039" s="49" t="s">
        <v>790</v>
      </c>
      <c r="L1039" s="45"/>
      <c r="M1039" s="3"/>
    </row>
    <row r="1040" spans="1:13" x14ac:dyDescent="0.25">
      <c r="A1040" s="46" t="s">
        <v>959</v>
      </c>
      <c r="B1040" s="46" t="s">
        <v>13</v>
      </c>
      <c r="C1040" s="46" t="s">
        <v>14</v>
      </c>
      <c r="D1040" s="47">
        <v>9896</v>
      </c>
      <c r="E1040" s="46" t="s">
        <v>960</v>
      </c>
      <c r="F1040" s="48">
        <v>40836</v>
      </c>
      <c r="G1040" s="48">
        <v>40897</v>
      </c>
      <c r="H1040" s="46" t="s">
        <v>392</v>
      </c>
      <c r="I1040" s="45">
        <v>839533</v>
      </c>
      <c r="J1040" s="55">
        <v>100744</v>
      </c>
      <c r="K1040" s="49" t="s">
        <v>790</v>
      </c>
      <c r="L1040" s="45"/>
      <c r="M1040" s="3"/>
    </row>
    <row r="1041" spans="1:13" ht="38.25" x14ac:dyDescent="0.25">
      <c r="A1041" s="46" t="s">
        <v>961</v>
      </c>
      <c r="B1041" s="46" t="s">
        <v>13</v>
      </c>
      <c r="C1041" s="46" t="s">
        <v>14</v>
      </c>
      <c r="D1041" s="47">
        <v>9900</v>
      </c>
      <c r="E1041" s="46" t="s">
        <v>962</v>
      </c>
      <c r="F1041" s="48">
        <v>40785</v>
      </c>
      <c r="G1041" s="48">
        <v>40897</v>
      </c>
      <c r="H1041" s="46" t="s">
        <v>392</v>
      </c>
      <c r="I1041" s="45">
        <v>1345109.08</v>
      </c>
      <c r="J1041" s="55">
        <v>470788.18</v>
      </c>
      <c r="K1041" s="49" t="s">
        <v>790</v>
      </c>
      <c r="L1041" s="45"/>
      <c r="M1041" s="3"/>
    </row>
    <row r="1042" spans="1:13" ht="51" x14ac:dyDescent="0.25">
      <c r="A1042" s="46" t="s">
        <v>963</v>
      </c>
      <c r="B1042" s="46" t="s">
        <v>13</v>
      </c>
      <c r="C1042" s="46" t="s">
        <v>14</v>
      </c>
      <c r="D1042" s="47">
        <v>9903</v>
      </c>
      <c r="E1042" s="50" t="s">
        <v>964</v>
      </c>
      <c r="F1042" s="48">
        <v>40400</v>
      </c>
      <c r="G1042" s="48">
        <v>40522</v>
      </c>
      <c r="H1042" s="46" t="s">
        <v>392</v>
      </c>
      <c r="I1042" s="45">
        <v>56470.400000000001</v>
      </c>
      <c r="J1042" s="55">
        <v>19764.64</v>
      </c>
      <c r="K1042" s="49" t="s">
        <v>790</v>
      </c>
      <c r="L1042" s="45"/>
      <c r="M1042" s="3"/>
    </row>
    <row r="1043" spans="1:13" ht="25.5" x14ac:dyDescent="0.25">
      <c r="A1043" s="46" t="s">
        <v>954</v>
      </c>
      <c r="B1043" s="46" t="s">
        <v>13</v>
      </c>
      <c r="C1043" s="46" t="s">
        <v>14</v>
      </c>
      <c r="D1043" s="47">
        <v>9913</v>
      </c>
      <c r="E1043" s="46" t="s">
        <v>965</v>
      </c>
      <c r="F1043" s="48">
        <v>40766</v>
      </c>
      <c r="G1043" s="48">
        <v>40899</v>
      </c>
      <c r="H1043" s="46" t="s">
        <v>392</v>
      </c>
      <c r="I1043" s="45">
        <v>427986.84</v>
      </c>
      <c r="J1043" s="55">
        <v>149795.39000000001</v>
      </c>
      <c r="K1043" s="49" t="s">
        <v>790</v>
      </c>
      <c r="L1043" s="45"/>
      <c r="M1043" s="3"/>
    </row>
    <row r="1044" spans="1:13" x14ac:dyDescent="0.25">
      <c r="A1044" s="46" t="s">
        <v>7447</v>
      </c>
      <c r="B1044" s="46" t="s">
        <v>13</v>
      </c>
      <c r="C1044" s="46" t="s">
        <v>14</v>
      </c>
      <c r="D1044" s="47">
        <v>9970</v>
      </c>
      <c r="E1044" s="46" t="s">
        <v>7448</v>
      </c>
      <c r="F1044" s="48">
        <v>40129</v>
      </c>
      <c r="G1044" s="48">
        <v>40364</v>
      </c>
      <c r="H1044" s="46" t="s">
        <v>16</v>
      </c>
      <c r="I1044" s="45">
        <v>22478</v>
      </c>
      <c r="J1044" s="45">
        <v>6743.4</v>
      </c>
      <c r="K1044" s="49" t="s">
        <v>790</v>
      </c>
      <c r="L1044" s="45"/>
      <c r="M1044" s="3"/>
    </row>
    <row r="1045" spans="1:13" x14ac:dyDescent="0.25">
      <c r="A1045" s="46" t="s">
        <v>959</v>
      </c>
      <c r="B1045" s="46" t="s">
        <v>13</v>
      </c>
      <c r="C1045" s="46" t="s">
        <v>14</v>
      </c>
      <c r="D1045" s="47">
        <v>9985</v>
      </c>
      <c r="E1045" s="46" t="s">
        <v>966</v>
      </c>
      <c r="F1045" s="48">
        <v>40428</v>
      </c>
      <c r="G1045" s="48">
        <v>40542</v>
      </c>
      <c r="H1045" s="46" t="s">
        <v>392</v>
      </c>
      <c r="I1045" s="45">
        <v>1347757</v>
      </c>
      <c r="J1045" s="55">
        <v>471714.95</v>
      </c>
      <c r="K1045" s="49" t="s">
        <v>790</v>
      </c>
      <c r="L1045" s="45"/>
      <c r="M1045" s="3"/>
    </row>
    <row r="1046" spans="1:13" ht="25.5" x14ac:dyDescent="0.25">
      <c r="A1046" s="46" t="s">
        <v>967</v>
      </c>
      <c r="B1046" s="46" t="s">
        <v>13</v>
      </c>
      <c r="C1046" s="46" t="s">
        <v>14</v>
      </c>
      <c r="D1046" s="47">
        <v>10008</v>
      </c>
      <c r="E1046" s="46" t="s">
        <v>968</v>
      </c>
      <c r="F1046" s="48">
        <v>41106</v>
      </c>
      <c r="G1046" s="48">
        <v>41593</v>
      </c>
      <c r="H1046" s="46" t="s">
        <v>392</v>
      </c>
      <c r="I1046" s="45">
        <v>530049.19999999995</v>
      </c>
      <c r="J1046" s="55">
        <v>132512.29999999999</v>
      </c>
      <c r="K1046" s="49" t="s">
        <v>790</v>
      </c>
      <c r="L1046" s="45"/>
      <c r="M1046" s="3"/>
    </row>
    <row r="1047" spans="1:13" ht="38.25" x14ac:dyDescent="0.25">
      <c r="A1047" s="46" t="s">
        <v>969</v>
      </c>
      <c r="B1047" s="46" t="s">
        <v>13</v>
      </c>
      <c r="C1047" s="46" t="s">
        <v>14</v>
      </c>
      <c r="D1047" s="47">
        <v>10027</v>
      </c>
      <c r="E1047" s="46" t="s">
        <v>970</v>
      </c>
      <c r="F1047" s="48">
        <v>40406</v>
      </c>
      <c r="G1047" s="48">
        <v>40512</v>
      </c>
      <c r="H1047" s="46" t="s">
        <v>392</v>
      </c>
      <c r="I1047" s="45">
        <v>62798</v>
      </c>
      <c r="J1047" s="55">
        <v>21979.3</v>
      </c>
      <c r="K1047" s="49" t="s">
        <v>790</v>
      </c>
      <c r="L1047" s="45"/>
      <c r="M1047" s="3"/>
    </row>
    <row r="1048" spans="1:13" ht="25.5" x14ac:dyDescent="0.25">
      <c r="A1048" s="46" t="s">
        <v>971</v>
      </c>
      <c r="B1048" s="46" t="s">
        <v>13</v>
      </c>
      <c r="C1048" s="46" t="s">
        <v>14</v>
      </c>
      <c r="D1048" s="47">
        <v>10065</v>
      </c>
      <c r="E1048" s="46" t="s">
        <v>972</v>
      </c>
      <c r="F1048" s="48">
        <v>40844</v>
      </c>
      <c r="G1048" s="48">
        <v>40897</v>
      </c>
      <c r="H1048" s="46" t="s">
        <v>392</v>
      </c>
      <c r="I1048" s="45">
        <v>61500</v>
      </c>
      <c r="J1048" s="55">
        <v>2095.23</v>
      </c>
      <c r="K1048" s="49" t="s">
        <v>790</v>
      </c>
      <c r="L1048" s="45"/>
      <c r="M1048" s="3"/>
    </row>
    <row r="1049" spans="1:13" ht="25.5" x14ac:dyDescent="0.25">
      <c r="A1049" s="46" t="s">
        <v>973</v>
      </c>
      <c r="B1049" s="46" t="s">
        <v>13</v>
      </c>
      <c r="C1049" s="46" t="s">
        <v>14</v>
      </c>
      <c r="D1049" s="47">
        <v>10066</v>
      </c>
      <c r="E1049" s="46" t="s">
        <v>974</v>
      </c>
      <c r="F1049" s="48">
        <v>40793</v>
      </c>
      <c r="G1049" s="46"/>
      <c r="H1049" s="46" t="s">
        <v>392</v>
      </c>
      <c r="I1049" s="45">
        <v>77868.7</v>
      </c>
      <c r="J1049" s="55">
        <v>27254.04</v>
      </c>
      <c r="K1049" s="49" t="s">
        <v>790</v>
      </c>
      <c r="L1049" s="45"/>
      <c r="M1049" s="3"/>
    </row>
    <row r="1050" spans="1:13" x14ac:dyDescent="0.25">
      <c r="A1050" s="46" t="s">
        <v>975</v>
      </c>
      <c r="B1050" s="46" t="s">
        <v>13</v>
      </c>
      <c r="C1050" s="46" t="s">
        <v>14</v>
      </c>
      <c r="D1050" s="47">
        <v>10073</v>
      </c>
      <c r="E1050" s="46" t="s">
        <v>976</v>
      </c>
      <c r="F1050" s="48">
        <v>40779</v>
      </c>
      <c r="G1050" s="48">
        <v>40897</v>
      </c>
      <c r="H1050" s="46" t="s">
        <v>392</v>
      </c>
      <c r="I1050" s="45">
        <v>105287</v>
      </c>
      <c r="J1050" s="55">
        <v>26321.75</v>
      </c>
      <c r="K1050" s="49" t="s">
        <v>790</v>
      </c>
      <c r="L1050" s="45"/>
      <c r="M1050" s="3"/>
    </row>
    <row r="1051" spans="1:13" ht="38.25" x14ac:dyDescent="0.25">
      <c r="A1051" s="46" t="s">
        <v>977</v>
      </c>
      <c r="B1051" s="46" t="s">
        <v>13</v>
      </c>
      <c r="C1051" s="46" t="s">
        <v>14</v>
      </c>
      <c r="D1051" s="47">
        <v>10181</v>
      </c>
      <c r="E1051" s="46" t="s">
        <v>978</v>
      </c>
      <c r="F1051" s="48">
        <v>41114</v>
      </c>
      <c r="G1051" s="48">
        <v>41248</v>
      </c>
      <c r="H1051" s="46" t="s">
        <v>392</v>
      </c>
      <c r="I1051" s="45">
        <v>869043.69</v>
      </c>
      <c r="J1051" s="55">
        <v>273748.76</v>
      </c>
      <c r="K1051" s="49" t="s">
        <v>790</v>
      </c>
      <c r="L1051" s="45"/>
      <c r="M1051" s="3"/>
    </row>
    <row r="1052" spans="1:13" ht="25.5" x14ac:dyDescent="0.25">
      <c r="A1052" s="46" t="s">
        <v>979</v>
      </c>
      <c r="B1052" s="46" t="s">
        <v>13</v>
      </c>
      <c r="C1052" s="46" t="s">
        <v>14</v>
      </c>
      <c r="D1052" s="47">
        <v>10186</v>
      </c>
      <c r="E1052" s="46" t="s">
        <v>980</v>
      </c>
      <c r="F1052" s="48">
        <v>41142</v>
      </c>
      <c r="G1052" s="48">
        <v>41246</v>
      </c>
      <c r="H1052" s="46" t="s">
        <v>392</v>
      </c>
      <c r="I1052" s="45">
        <v>140753</v>
      </c>
      <c r="J1052" s="55">
        <v>49263.55</v>
      </c>
      <c r="K1052" s="49" t="s">
        <v>790</v>
      </c>
      <c r="L1052" s="45"/>
      <c r="M1052" s="3"/>
    </row>
    <row r="1053" spans="1:13" ht="63.75" x14ac:dyDescent="0.25">
      <c r="A1053" s="46" t="s">
        <v>981</v>
      </c>
      <c r="B1053" s="46" t="s">
        <v>13</v>
      </c>
      <c r="C1053" s="46" t="s">
        <v>14</v>
      </c>
      <c r="D1053" s="47">
        <v>10215</v>
      </c>
      <c r="E1053" s="50" t="s">
        <v>982</v>
      </c>
      <c r="F1053" s="48">
        <v>41116</v>
      </c>
      <c r="G1053" s="48">
        <v>41271</v>
      </c>
      <c r="H1053" s="46" t="s">
        <v>392</v>
      </c>
      <c r="I1053" s="45">
        <v>637236</v>
      </c>
      <c r="J1053" s="55">
        <v>223032.6</v>
      </c>
      <c r="K1053" s="49" t="s">
        <v>790</v>
      </c>
      <c r="L1053" s="45"/>
      <c r="M1053" s="3"/>
    </row>
    <row r="1054" spans="1:13" ht="25.5" x14ac:dyDescent="0.25">
      <c r="A1054" s="46" t="s">
        <v>983</v>
      </c>
      <c r="B1054" s="46" t="s">
        <v>13</v>
      </c>
      <c r="C1054" s="46" t="s">
        <v>14</v>
      </c>
      <c r="D1054" s="47">
        <v>10216</v>
      </c>
      <c r="E1054" s="46" t="s">
        <v>984</v>
      </c>
      <c r="F1054" s="48">
        <v>41185</v>
      </c>
      <c r="G1054" s="48">
        <v>41250</v>
      </c>
      <c r="H1054" s="46" t="s">
        <v>392</v>
      </c>
      <c r="I1054" s="45">
        <v>39667.31</v>
      </c>
      <c r="J1054" s="55">
        <v>13883.56</v>
      </c>
      <c r="K1054" s="49" t="s">
        <v>790</v>
      </c>
      <c r="L1054" s="45"/>
      <c r="M1054" s="3"/>
    </row>
    <row r="1055" spans="1:13" ht="63.75" x14ac:dyDescent="0.25">
      <c r="A1055" s="46" t="s">
        <v>985</v>
      </c>
      <c r="B1055" s="46" t="s">
        <v>13</v>
      </c>
      <c r="C1055" s="46" t="s">
        <v>14</v>
      </c>
      <c r="D1055" s="47">
        <v>10218</v>
      </c>
      <c r="E1055" s="50" t="s">
        <v>986</v>
      </c>
      <c r="F1055" s="48">
        <v>41114</v>
      </c>
      <c r="G1055" s="48">
        <v>41250</v>
      </c>
      <c r="H1055" s="46" t="s">
        <v>392</v>
      </c>
      <c r="I1055" s="45">
        <v>193385.91</v>
      </c>
      <c r="J1055" s="55">
        <v>64494.2</v>
      </c>
      <c r="K1055" s="49" t="s">
        <v>790</v>
      </c>
      <c r="L1055" s="45"/>
      <c r="M1055" s="3"/>
    </row>
    <row r="1056" spans="1:13" ht="25.5" x14ac:dyDescent="0.25">
      <c r="A1056" s="46" t="s">
        <v>1014</v>
      </c>
      <c r="B1056" s="46" t="s">
        <v>13</v>
      </c>
      <c r="C1056" s="46" t="s">
        <v>14</v>
      </c>
      <c r="D1056" s="47">
        <v>521</v>
      </c>
      <c r="E1056" s="46" t="s">
        <v>1015</v>
      </c>
      <c r="F1056" s="48">
        <v>39553</v>
      </c>
      <c r="G1056" s="46"/>
      <c r="H1056" s="46" t="s">
        <v>40</v>
      </c>
      <c r="I1056" s="45">
        <v>46158.76</v>
      </c>
      <c r="J1056" s="45">
        <v>23079.38</v>
      </c>
      <c r="K1056" s="49" t="s">
        <v>790</v>
      </c>
      <c r="L1056" s="45"/>
      <c r="M1056" s="3"/>
    </row>
    <row r="1057" spans="1:60" ht="25.5" x14ac:dyDescent="0.25">
      <c r="A1057" s="46" t="s">
        <v>11386</v>
      </c>
      <c r="B1057" s="46" t="s">
        <v>13</v>
      </c>
      <c r="C1057" s="46" t="s">
        <v>14</v>
      </c>
      <c r="D1057" s="47">
        <v>12121</v>
      </c>
      <c r="E1057" s="46" t="s">
        <v>11387</v>
      </c>
      <c r="F1057" s="48">
        <v>41261</v>
      </c>
      <c r="G1057" s="48">
        <v>41639</v>
      </c>
      <c r="H1057" s="46" t="s">
        <v>651</v>
      </c>
      <c r="I1057" s="45">
        <v>40000</v>
      </c>
      <c r="J1057" s="45">
        <v>20000</v>
      </c>
      <c r="K1057" s="49" t="s">
        <v>790</v>
      </c>
      <c r="L1057" s="46"/>
    </row>
    <row r="1058" spans="1:60" ht="51" x14ac:dyDescent="0.25">
      <c r="A1058" s="46" t="s">
        <v>2025</v>
      </c>
      <c r="B1058" s="46" t="s">
        <v>13</v>
      </c>
      <c r="C1058" s="46" t="s">
        <v>14</v>
      </c>
      <c r="D1058" s="47">
        <v>9998</v>
      </c>
      <c r="E1058" s="50" t="s">
        <v>2026</v>
      </c>
      <c r="F1058" s="48">
        <v>40353</v>
      </c>
      <c r="G1058" s="48">
        <v>40898</v>
      </c>
      <c r="H1058" s="46" t="s">
        <v>2027</v>
      </c>
      <c r="I1058" s="45">
        <v>166222.76999999999</v>
      </c>
      <c r="J1058" s="45">
        <v>37724.67</v>
      </c>
      <c r="K1058" s="49" t="s">
        <v>790</v>
      </c>
      <c r="L1058" s="46"/>
      <c r="M1058" s="3"/>
    </row>
    <row r="1059" spans="1:60" ht="38.25" x14ac:dyDescent="0.25">
      <c r="A1059" s="46" t="s">
        <v>4316</v>
      </c>
      <c r="B1059" s="61" t="s">
        <v>13</v>
      </c>
      <c r="C1059" s="61" t="s">
        <v>14</v>
      </c>
      <c r="D1059" s="62">
        <v>4410</v>
      </c>
      <c r="E1059" s="46" t="s">
        <v>11617</v>
      </c>
      <c r="F1059" s="63">
        <v>39553</v>
      </c>
      <c r="G1059" s="63">
        <v>41274</v>
      </c>
      <c r="H1059" s="61" t="s">
        <v>11618</v>
      </c>
      <c r="I1059" s="64">
        <v>246578.22</v>
      </c>
      <c r="J1059" s="64">
        <v>1203692.6299999999</v>
      </c>
      <c r="K1059" s="65" t="s">
        <v>2033</v>
      </c>
      <c r="L1059" s="6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row>
    <row r="1060" spans="1:60" ht="25.5" x14ac:dyDescent="0.25">
      <c r="A1060" s="46" t="s">
        <v>2030</v>
      </c>
      <c r="B1060" s="61" t="s">
        <v>13</v>
      </c>
      <c r="C1060" s="61" t="s">
        <v>14</v>
      </c>
      <c r="D1060" s="62">
        <v>6186</v>
      </c>
      <c r="E1060" s="46" t="s">
        <v>2031</v>
      </c>
      <c r="F1060" s="63">
        <v>39643</v>
      </c>
      <c r="G1060" s="63">
        <v>41104</v>
      </c>
      <c r="H1060" s="61" t="s">
        <v>11618</v>
      </c>
      <c r="I1060" s="64">
        <v>227664.31</v>
      </c>
      <c r="J1060" s="64">
        <v>1009069.9</v>
      </c>
      <c r="K1060" s="65" t="s">
        <v>2033</v>
      </c>
      <c r="L1060" s="6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row>
    <row r="1061" spans="1:60" x14ac:dyDescent="0.25">
      <c r="A1061" s="46" t="s">
        <v>11404</v>
      </c>
      <c r="B1061" s="61" t="s">
        <v>13</v>
      </c>
      <c r="C1061" s="61" t="s">
        <v>14</v>
      </c>
      <c r="D1061" s="62">
        <v>10984</v>
      </c>
      <c r="E1061" s="46" t="s">
        <v>11404</v>
      </c>
      <c r="F1061" s="63">
        <v>40544</v>
      </c>
      <c r="G1061" s="63">
        <v>41274</v>
      </c>
      <c r="H1061" s="61" t="s">
        <v>11618</v>
      </c>
      <c r="I1061" s="64">
        <v>180606.87</v>
      </c>
      <c r="J1061" s="64">
        <v>291845.84999999998</v>
      </c>
      <c r="K1061" s="65" t="s">
        <v>2033</v>
      </c>
      <c r="L1061" s="66"/>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row>
    <row r="1062" spans="1:60" x14ac:dyDescent="0.25">
      <c r="A1062" s="46" t="s">
        <v>2034</v>
      </c>
      <c r="B1062" s="46" t="s">
        <v>13</v>
      </c>
      <c r="C1062" s="46" t="s">
        <v>14</v>
      </c>
      <c r="D1062" s="47">
        <v>3907</v>
      </c>
      <c r="E1062" s="46" t="s">
        <v>2035</v>
      </c>
      <c r="F1062" s="48">
        <v>39770</v>
      </c>
      <c r="G1062" s="48">
        <v>40170</v>
      </c>
      <c r="H1062" s="46" t="s">
        <v>16</v>
      </c>
      <c r="I1062" s="45">
        <v>228170</v>
      </c>
      <c r="J1062" s="45">
        <v>44493</v>
      </c>
      <c r="K1062" s="49" t="s">
        <v>2033</v>
      </c>
      <c r="L1062" s="45"/>
      <c r="M1062" s="3"/>
    </row>
    <row r="1063" spans="1:60" ht="25.5" x14ac:dyDescent="0.25">
      <c r="A1063" s="46" t="s">
        <v>839</v>
      </c>
      <c r="B1063" s="46" t="s">
        <v>13</v>
      </c>
      <c r="C1063" s="46" t="s">
        <v>14</v>
      </c>
      <c r="D1063" s="47">
        <v>4163</v>
      </c>
      <c r="E1063" s="46" t="s">
        <v>2036</v>
      </c>
      <c r="F1063" s="48">
        <v>39545</v>
      </c>
      <c r="G1063" s="48">
        <v>39903</v>
      </c>
      <c r="H1063" s="46" t="s">
        <v>16</v>
      </c>
      <c r="I1063" s="45">
        <v>18800</v>
      </c>
      <c r="J1063" s="45">
        <v>5640</v>
      </c>
      <c r="K1063" s="49" t="s">
        <v>2033</v>
      </c>
      <c r="L1063" s="45"/>
      <c r="M1063" s="3"/>
    </row>
    <row r="1064" spans="1:60" ht="63.75" x14ac:dyDescent="0.25">
      <c r="A1064" s="46" t="s">
        <v>2037</v>
      </c>
      <c r="B1064" s="46" t="s">
        <v>13</v>
      </c>
      <c r="C1064" s="46" t="s">
        <v>14</v>
      </c>
      <c r="D1064" s="47">
        <v>4401</v>
      </c>
      <c r="E1064" s="50" t="s">
        <v>2038</v>
      </c>
      <c r="F1064" s="48">
        <v>39356</v>
      </c>
      <c r="G1064" s="48">
        <v>40298</v>
      </c>
      <c r="H1064" s="46" t="s">
        <v>2039</v>
      </c>
      <c r="I1064" s="45">
        <f>328708.53+246578.22</f>
        <v>575286.75</v>
      </c>
      <c r="J1064" s="45">
        <f>328708.53</f>
        <v>328708.53000000003</v>
      </c>
      <c r="K1064" s="49" t="s">
        <v>2033</v>
      </c>
      <c r="L1064" s="45"/>
      <c r="M1064" s="3"/>
    </row>
    <row r="1065" spans="1:60" ht="63.75" x14ac:dyDescent="0.25">
      <c r="A1065" s="46" t="s">
        <v>2040</v>
      </c>
      <c r="B1065" s="46" t="s">
        <v>13</v>
      </c>
      <c r="C1065" s="46" t="s">
        <v>14</v>
      </c>
      <c r="D1065" s="47">
        <v>4727</v>
      </c>
      <c r="E1065" s="50" t="s">
        <v>2041</v>
      </c>
      <c r="F1065" s="48">
        <v>39417</v>
      </c>
      <c r="G1065" s="48">
        <v>39903</v>
      </c>
      <c r="H1065" s="46" t="s">
        <v>2039</v>
      </c>
      <c r="I1065" s="45">
        <v>63642.69</v>
      </c>
      <c r="J1065" s="45">
        <v>63642.69</v>
      </c>
      <c r="K1065" s="49" t="s">
        <v>2033</v>
      </c>
      <c r="L1065" s="45"/>
      <c r="M1065" s="3"/>
    </row>
    <row r="1066" spans="1:60" ht="51" x14ac:dyDescent="0.25">
      <c r="A1066" s="46" t="s">
        <v>2042</v>
      </c>
      <c r="B1066" s="46" t="s">
        <v>13</v>
      </c>
      <c r="C1066" s="46" t="s">
        <v>14</v>
      </c>
      <c r="D1066" s="47">
        <v>4730</v>
      </c>
      <c r="E1066" s="50" t="s">
        <v>2043</v>
      </c>
      <c r="F1066" s="48">
        <v>39332</v>
      </c>
      <c r="G1066" s="48">
        <v>39887</v>
      </c>
      <c r="H1066" s="46" t="s">
        <v>2039</v>
      </c>
      <c r="I1066" s="45">
        <v>74657.41</v>
      </c>
      <c r="J1066" s="45">
        <v>74657.41</v>
      </c>
      <c r="K1066" s="49" t="s">
        <v>2033</v>
      </c>
      <c r="L1066" s="45"/>
      <c r="M1066" s="3"/>
    </row>
    <row r="1067" spans="1:60" ht="76.5" x14ac:dyDescent="0.25">
      <c r="A1067" s="46" t="s">
        <v>2044</v>
      </c>
      <c r="B1067" s="46" t="s">
        <v>13</v>
      </c>
      <c r="C1067" s="46" t="s">
        <v>14</v>
      </c>
      <c r="D1067" s="47">
        <v>4732</v>
      </c>
      <c r="E1067" s="50" t="s">
        <v>2045</v>
      </c>
      <c r="F1067" s="48">
        <v>40179</v>
      </c>
      <c r="G1067" s="48">
        <v>41090</v>
      </c>
      <c r="H1067" s="46" t="s">
        <v>2039</v>
      </c>
      <c r="I1067" s="45">
        <f>178456.98+14506.25</f>
        <v>192963.23</v>
      </c>
      <c r="J1067" s="45">
        <f>178456.98+14506.25</f>
        <v>192963.23</v>
      </c>
      <c r="K1067" s="49" t="s">
        <v>2033</v>
      </c>
      <c r="L1067" s="45"/>
      <c r="M1067" s="3"/>
    </row>
    <row r="1068" spans="1:60" ht="51" x14ac:dyDescent="0.25">
      <c r="A1068" s="46" t="s">
        <v>2046</v>
      </c>
      <c r="B1068" s="46" t="s">
        <v>13</v>
      </c>
      <c r="C1068" s="46" t="s">
        <v>14</v>
      </c>
      <c r="D1068" s="47">
        <v>4734</v>
      </c>
      <c r="E1068" s="50" t="s">
        <v>2047</v>
      </c>
      <c r="F1068" s="48">
        <v>39873</v>
      </c>
      <c r="G1068" s="48">
        <v>40245</v>
      </c>
      <c r="H1068" s="46" t="s">
        <v>2039</v>
      </c>
      <c r="I1068" s="45">
        <v>80356.88</v>
      </c>
      <c r="J1068" s="45">
        <v>80356.88</v>
      </c>
      <c r="K1068" s="49" t="s">
        <v>2033</v>
      </c>
      <c r="L1068" s="45"/>
      <c r="M1068" s="3"/>
    </row>
    <row r="1069" spans="1:60" ht="25.5" x14ac:dyDescent="0.25">
      <c r="A1069" s="46" t="s">
        <v>2048</v>
      </c>
      <c r="B1069" s="46" t="s">
        <v>13</v>
      </c>
      <c r="C1069" s="46" t="s">
        <v>14</v>
      </c>
      <c r="D1069" s="47">
        <v>4736</v>
      </c>
      <c r="E1069" s="46" t="s">
        <v>2049</v>
      </c>
      <c r="F1069" s="48">
        <v>39873</v>
      </c>
      <c r="G1069" s="48">
        <v>40451</v>
      </c>
      <c r="H1069" s="46" t="s">
        <v>2039</v>
      </c>
      <c r="I1069" s="45">
        <v>79934.37</v>
      </c>
      <c r="J1069" s="45">
        <v>79934.37</v>
      </c>
      <c r="K1069" s="49" t="s">
        <v>2033</v>
      </c>
      <c r="L1069" s="45"/>
      <c r="M1069" s="3"/>
    </row>
    <row r="1070" spans="1:60" ht="76.5" x14ac:dyDescent="0.25">
      <c r="A1070" s="46" t="s">
        <v>2050</v>
      </c>
      <c r="B1070" s="46" t="s">
        <v>13</v>
      </c>
      <c r="C1070" s="46" t="s">
        <v>14</v>
      </c>
      <c r="D1070" s="47">
        <v>4737</v>
      </c>
      <c r="E1070" s="50" t="s">
        <v>2051</v>
      </c>
      <c r="F1070" s="48">
        <v>39904</v>
      </c>
      <c r="G1070" s="48">
        <v>40817</v>
      </c>
      <c r="H1070" s="46" t="s">
        <v>2039</v>
      </c>
      <c r="I1070" s="45">
        <v>355589.24</v>
      </c>
      <c r="J1070" s="45">
        <v>355589.24</v>
      </c>
      <c r="K1070" s="49" t="s">
        <v>2033</v>
      </c>
      <c r="L1070" s="45"/>
      <c r="M1070" s="3"/>
    </row>
    <row r="1071" spans="1:60" ht="63.75" x14ac:dyDescent="0.25">
      <c r="A1071" s="46" t="s">
        <v>2052</v>
      </c>
      <c r="B1071" s="46" t="s">
        <v>13</v>
      </c>
      <c r="C1071" s="46" t="s">
        <v>14</v>
      </c>
      <c r="D1071" s="47">
        <v>4739</v>
      </c>
      <c r="E1071" s="50" t="s">
        <v>2053</v>
      </c>
      <c r="F1071" s="48">
        <v>40057</v>
      </c>
      <c r="G1071" s="48">
        <v>40421</v>
      </c>
      <c r="H1071" s="46" t="s">
        <v>2039</v>
      </c>
      <c r="I1071" s="45">
        <v>84495.02</v>
      </c>
      <c r="J1071" s="45">
        <v>84495.02</v>
      </c>
      <c r="K1071" s="49" t="s">
        <v>2033</v>
      </c>
      <c r="L1071" s="45"/>
      <c r="M1071" s="3"/>
    </row>
    <row r="1072" spans="1:60" ht="63.75" x14ac:dyDescent="0.25">
      <c r="A1072" s="46" t="s">
        <v>2054</v>
      </c>
      <c r="B1072" s="46" t="s">
        <v>13</v>
      </c>
      <c r="C1072" s="46" t="s">
        <v>14</v>
      </c>
      <c r="D1072" s="47">
        <v>4741</v>
      </c>
      <c r="E1072" s="50" t="s">
        <v>2055</v>
      </c>
      <c r="F1072" s="48">
        <v>40087</v>
      </c>
      <c r="G1072" s="48">
        <v>40451</v>
      </c>
      <c r="H1072" s="46" t="s">
        <v>2039</v>
      </c>
      <c r="I1072" s="45">
        <v>87034.96</v>
      </c>
      <c r="J1072" s="45">
        <v>87034.96</v>
      </c>
      <c r="K1072" s="49" t="s">
        <v>2033</v>
      </c>
      <c r="L1072" s="45"/>
      <c r="M1072" s="3"/>
    </row>
    <row r="1073" spans="1:13" ht="76.5" x14ac:dyDescent="0.25">
      <c r="A1073" s="46" t="s">
        <v>2056</v>
      </c>
      <c r="B1073" s="46" t="s">
        <v>13</v>
      </c>
      <c r="C1073" s="46" t="s">
        <v>14</v>
      </c>
      <c r="D1073" s="47">
        <v>4742</v>
      </c>
      <c r="E1073" s="50" t="s">
        <v>2057</v>
      </c>
      <c r="F1073" s="48">
        <v>39387</v>
      </c>
      <c r="G1073" s="48">
        <v>39752</v>
      </c>
      <c r="H1073" s="46" t="s">
        <v>2039</v>
      </c>
      <c r="I1073" s="45">
        <v>70261.350000000006</v>
      </c>
      <c r="J1073" s="45">
        <v>70261.350000000006</v>
      </c>
      <c r="K1073" s="49" t="s">
        <v>2033</v>
      </c>
      <c r="L1073" s="45"/>
      <c r="M1073" s="3"/>
    </row>
    <row r="1074" spans="1:13" ht="76.5" x14ac:dyDescent="0.25">
      <c r="A1074" s="46" t="s">
        <v>2058</v>
      </c>
      <c r="B1074" s="46" t="s">
        <v>13</v>
      </c>
      <c r="C1074" s="46" t="s">
        <v>14</v>
      </c>
      <c r="D1074" s="47">
        <v>4743</v>
      </c>
      <c r="E1074" s="50" t="s">
        <v>2059</v>
      </c>
      <c r="F1074" s="48">
        <v>40119</v>
      </c>
      <c r="G1074" s="48">
        <v>40786</v>
      </c>
      <c r="H1074" s="46" t="s">
        <v>2039</v>
      </c>
      <c r="I1074" s="45">
        <v>89185.81</v>
      </c>
      <c r="J1074" s="45">
        <v>89185.81</v>
      </c>
      <c r="K1074" s="49" t="s">
        <v>2033</v>
      </c>
      <c r="L1074" s="45"/>
      <c r="M1074" s="3"/>
    </row>
    <row r="1075" spans="1:13" ht="25.5" x14ac:dyDescent="0.25">
      <c r="A1075" s="46" t="s">
        <v>2060</v>
      </c>
      <c r="B1075" s="46" t="s">
        <v>13</v>
      </c>
      <c r="C1075" s="46" t="s">
        <v>14</v>
      </c>
      <c r="D1075" s="47">
        <v>4745</v>
      </c>
      <c r="E1075" s="46" t="s">
        <v>2060</v>
      </c>
      <c r="F1075" s="48">
        <v>39448</v>
      </c>
      <c r="G1075" s="48">
        <v>39994</v>
      </c>
      <c r="H1075" s="46" t="s">
        <v>2039</v>
      </c>
      <c r="I1075" s="45">
        <v>33161.93</v>
      </c>
      <c r="J1075" s="45">
        <v>33161.93</v>
      </c>
      <c r="K1075" s="49" t="s">
        <v>2033</v>
      </c>
      <c r="L1075" s="45"/>
      <c r="M1075" s="3"/>
    </row>
    <row r="1076" spans="1:13" ht="63.75" x14ac:dyDescent="0.25">
      <c r="A1076" s="46" t="s">
        <v>2061</v>
      </c>
      <c r="B1076" s="46" t="s">
        <v>13</v>
      </c>
      <c r="C1076" s="46" t="s">
        <v>14</v>
      </c>
      <c r="D1076" s="47">
        <v>4764</v>
      </c>
      <c r="E1076" s="50" t="s">
        <v>2062</v>
      </c>
      <c r="F1076" s="48">
        <v>39508</v>
      </c>
      <c r="G1076" s="48">
        <v>40602</v>
      </c>
      <c r="H1076" s="46" t="s">
        <v>2039</v>
      </c>
      <c r="I1076" s="45">
        <v>106597.83</v>
      </c>
      <c r="J1076" s="45">
        <v>106597.83</v>
      </c>
      <c r="K1076" s="49" t="s">
        <v>2033</v>
      </c>
      <c r="L1076" s="45"/>
      <c r="M1076" s="3"/>
    </row>
    <row r="1077" spans="1:13" ht="76.5" x14ac:dyDescent="0.25">
      <c r="A1077" s="46" t="s">
        <v>2063</v>
      </c>
      <c r="B1077" s="46" t="s">
        <v>13</v>
      </c>
      <c r="C1077" s="46" t="s">
        <v>14</v>
      </c>
      <c r="D1077" s="47">
        <v>4765</v>
      </c>
      <c r="E1077" s="50" t="s">
        <v>2064</v>
      </c>
      <c r="F1077" s="48">
        <v>39569</v>
      </c>
      <c r="G1077" s="48">
        <v>39933</v>
      </c>
      <c r="H1077" s="46" t="s">
        <v>2039</v>
      </c>
      <c r="I1077" s="45">
        <v>51086.48</v>
      </c>
      <c r="J1077" s="45">
        <v>51086.48</v>
      </c>
      <c r="K1077" s="49" t="s">
        <v>2033</v>
      </c>
      <c r="L1077" s="45"/>
      <c r="M1077" s="3"/>
    </row>
    <row r="1078" spans="1:13" ht="76.5" x14ac:dyDescent="0.25">
      <c r="A1078" s="46" t="s">
        <v>2065</v>
      </c>
      <c r="B1078" s="46" t="s">
        <v>13</v>
      </c>
      <c r="C1078" s="46" t="s">
        <v>14</v>
      </c>
      <c r="D1078" s="47">
        <v>4766</v>
      </c>
      <c r="E1078" s="50" t="s">
        <v>2066</v>
      </c>
      <c r="F1078" s="48">
        <v>39753</v>
      </c>
      <c r="G1078" s="48">
        <v>40117</v>
      </c>
      <c r="H1078" s="46" t="s">
        <v>2039</v>
      </c>
      <c r="I1078" s="45">
        <v>78334.350000000006</v>
      </c>
      <c r="J1078" s="45">
        <v>78334.350000000006</v>
      </c>
      <c r="K1078" s="49" t="s">
        <v>2033</v>
      </c>
      <c r="L1078" s="45"/>
      <c r="M1078" s="3"/>
    </row>
    <row r="1079" spans="1:13" ht="25.5" x14ac:dyDescent="0.25">
      <c r="A1079" s="46" t="s">
        <v>2067</v>
      </c>
      <c r="B1079" s="46" t="s">
        <v>13</v>
      </c>
      <c r="C1079" s="46" t="s">
        <v>14</v>
      </c>
      <c r="D1079" s="47">
        <v>4772</v>
      </c>
      <c r="E1079" s="46" t="s">
        <v>2068</v>
      </c>
      <c r="F1079" s="48">
        <v>39948</v>
      </c>
      <c r="G1079" s="48">
        <v>40132</v>
      </c>
      <c r="H1079" s="46" t="s">
        <v>2039</v>
      </c>
      <c r="I1079" s="45">
        <v>46931.6</v>
      </c>
      <c r="J1079" s="45">
        <v>46931.6</v>
      </c>
      <c r="K1079" s="49" t="s">
        <v>2033</v>
      </c>
      <c r="L1079" s="45"/>
      <c r="M1079" s="3"/>
    </row>
    <row r="1080" spans="1:13" ht="63.75" x14ac:dyDescent="0.25">
      <c r="A1080" s="46" t="s">
        <v>2069</v>
      </c>
      <c r="B1080" s="46" t="s">
        <v>13</v>
      </c>
      <c r="C1080" s="46" t="s">
        <v>14</v>
      </c>
      <c r="D1080" s="47">
        <v>4775</v>
      </c>
      <c r="E1080" s="50" t="s">
        <v>2070</v>
      </c>
      <c r="F1080" s="48">
        <v>39510</v>
      </c>
      <c r="G1080" s="48">
        <v>39996</v>
      </c>
      <c r="H1080" s="46" t="s">
        <v>2039</v>
      </c>
      <c r="I1080" s="45">
        <v>71756.240000000005</v>
      </c>
      <c r="J1080" s="45">
        <v>71756.240000000005</v>
      </c>
      <c r="K1080" s="49" t="s">
        <v>2033</v>
      </c>
      <c r="L1080" s="45"/>
      <c r="M1080" s="3"/>
    </row>
    <row r="1081" spans="1:13" ht="76.5" x14ac:dyDescent="0.25">
      <c r="A1081" s="46" t="s">
        <v>2071</v>
      </c>
      <c r="B1081" s="46" t="s">
        <v>13</v>
      </c>
      <c r="C1081" s="46" t="s">
        <v>14</v>
      </c>
      <c r="D1081" s="47">
        <v>4796</v>
      </c>
      <c r="E1081" s="50" t="s">
        <v>2072</v>
      </c>
      <c r="F1081" s="48">
        <v>39448</v>
      </c>
      <c r="G1081" s="48">
        <v>40663</v>
      </c>
      <c r="H1081" s="46" t="s">
        <v>2039</v>
      </c>
      <c r="I1081" s="45">
        <v>193979.61</v>
      </c>
      <c r="J1081" s="45">
        <v>193979.61</v>
      </c>
      <c r="K1081" s="49" t="s">
        <v>2033</v>
      </c>
      <c r="L1081" s="45"/>
      <c r="M1081" s="3"/>
    </row>
    <row r="1082" spans="1:13" ht="38.25" x14ac:dyDescent="0.25">
      <c r="A1082" s="46" t="s">
        <v>2073</v>
      </c>
      <c r="B1082" s="46" t="s">
        <v>13</v>
      </c>
      <c r="C1082" s="46" t="s">
        <v>14</v>
      </c>
      <c r="D1082" s="47">
        <v>4797</v>
      </c>
      <c r="E1082" s="46" t="s">
        <v>2074</v>
      </c>
      <c r="F1082" s="48">
        <v>39722</v>
      </c>
      <c r="G1082" s="48">
        <v>40086</v>
      </c>
      <c r="H1082" s="46" t="s">
        <v>2039</v>
      </c>
      <c r="I1082" s="45">
        <v>58590.98</v>
      </c>
      <c r="J1082" s="45">
        <v>58590.98</v>
      </c>
      <c r="K1082" s="49" t="s">
        <v>2033</v>
      </c>
      <c r="L1082" s="45"/>
      <c r="M1082" s="3"/>
    </row>
    <row r="1083" spans="1:13" ht="38.25" x14ac:dyDescent="0.25">
      <c r="A1083" s="46" t="s">
        <v>2075</v>
      </c>
      <c r="B1083" s="46" t="s">
        <v>13</v>
      </c>
      <c r="C1083" s="46" t="s">
        <v>14</v>
      </c>
      <c r="D1083" s="47">
        <v>4837</v>
      </c>
      <c r="E1083" s="46" t="s">
        <v>2076</v>
      </c>
      <c r="F1083" s="48">
        <v>39234</v>
      </c>
      <c r="G1083" s="48">
        <v>39599</v>
      </c>
      <c r="H1083" s="46" t="s">
        <v>2039</v>
      </c>
      <c r="I1083" s="45">
        <v>78675.25</v>
      </c>
      <c r="J1083" s="45">
        <v>78675.25</v>
      </c>
      <c r="K1083" s="49" t="s">
        <v>2033</v>
      </c>
      <c r="L1083" s="45"/>
      <c r="M1083" s="3"/>
    </row>
    <row r="1084" spans="1:13" ht="38.25" x14ac:dyDescent="0.25">
      <c r="A1084" s="46" t="s">
        <v>2077</v>
      </c>
      <c r="B1084" s="46" t="s">
        <v>13</v>
      </c>
      <c r="C1084" s="46" t="s">
        <v>14</v>
      </c>
      <c r="D1084" s="47">
        <v>4838</v>
      </c>
      <c r="E1084" s="46" t="s">
        <v>2078</v>
      </c>
      <c r="F1084" s="48">
        <v>39448</v>
      </c>
      <c r="G1084" s="48">
        <v>40847</v>
      </c>
      <c r="H1084" s="46" t="s">
        <v>2039</v>
      </c>
      <c r="I1084" s="45">
        <v>96918.52</v>
      </c>
      <c r="J1084" s="45">
        <v>96918.52</v>
      </c>
      <c r="K1084" s="49" t="s">
        <v>2033</v>
      </c>
      <c r="L1084" s="45"/>
      <c r="M1084" s="3"/>
    </row>
    <row r="1085" spans="1:13" ht="38.25" x14ac:dyDescent="0.25">
      <c r="A1085" s="46" t="s">
        <v>2079</v>
      </c>
      <c r="B1085" s="46" t="s">
        <v>13</v>
      </c>
      <c r="C1085" s="46" t="s">
        <v>14</v>
      </c>
      <c r="D1085" s="47">
        <v>4840</v>
      </c>
      <c r="E1085" s="46" t="s">
        <v>2079</v>
      </c>
      <c r="F1085" s="48">
        <v>39722</v>
      </c>
      <c r="G1085" s="48">
        <v>40177</v>
      </c>
      <c r="H1085" s="46" t="s">
        <v>2039</v>
      </c>
      <c r="I1085" s="45">
        <v>72489.62</v>
      </c>
      <c r="J1085" s="45">
        <v>72489.62</v>
      </c>
      <c r="K1085" s="49" t="s">
        <v>2033</v>
      </c>
      <c r="L1085" s="45"/>
      <c r="M1085" s="3"/>
    </row>
    <row r="1086" spans="1:13" ht="63.75" x14ac:dyDescent="0.25">
      <c r="A1086" s="46" t="s">
        <v>2080</v>
      </c>
      <c r="B1086" s="46" t="s">
        <v>13</v>
      </c>
      <c r="C1086" s="46" t="s">
        <v>14</v>
      </c>
      <c r="D1086" s="47">
        <v>4842</v>
      </c>
      <c r="E1086" s="50" t="s">
        <v>2081</v>
      </c>
      <c r="F1086" s="48">
        <v>39783</v>
      </c>
      <c r="G1086" s="48">
        <v>41213</v>
      </c>
      <c r="H1086" s="46" t="s">
        <v>2039</v>
      </c>
      <c r="I1086" s="45">
        <f>133314.36+54407.91</f>
        <v>187722.27</v>
      </c>
      <c r="J1086" s="45">
        <f>133314.36+54407.91</f>
        <v>187722.27</v>
      </c>
      <c r="K1086" s="49" t="s">
        <v>2033</v>
      </c>
      <c r="L1086" s="45"/>
      <c r="M1086" s="3"/>
    </row>
    <row r="1087" spans="1:13" x14ac:dyDescent="0.25">
      <c r="A1087" s="46" t="s">
        <v>2082</v>
      </c>
      <c r="B1087" s="46" t="s">
        <v>13</v>
      </c>
      <c r="C1087" s="46" t="s">
        <v>14</v>
      </c>
      <c r="D1087" s="47">
        <v>4953</v>
      </c>
      <c r="E1087" s="46" t="s">
        <v>2082</v>
      </c>
      <c r="F1087" s="48">
        <v>39691</v>
      </c>
      <c r="G1087" s="48">
        <v>40057</v>
      </c>
      <c r="H1087" s="46" t="s">
        <v>2039</v>
      </c>
      <c r="I1087" s="45">
        <v>56203.45</v>
      </c>
      <c r="J1087" s="45">
        <v>56203.45</v>
      </c>
      <c r="K1087" s="49" t="s">
        <v>2033</v>
      </c>
      <c r="L1087" s="45"/>
      <c r="M1087" s="3"/>
    </row>
    <row r="1088" spans="1:13" ht="25.5" x14ac:dyDescent="0.25">
      <c r="A1088" s="46" t="s">
        <v>2083</v>
      </c>
      <c r="B1088" s="46" t="s">
        <v>13</v>
      </c>
      <c r="C1088" s="46" t="s">
        <v>14</v>
      </c>
      <c r="D1088" s="47">
        <v>5840</v>
      </c>
      <c r="E1088" s="46" t="s">
        <v>2084</v>
      </c>
      <c r="F1088" s="48">
        <v>39846</v>
      </c>
      <c r="G1088" s="48">
        <v>40025</v>
      </c>
      <c r="H1088" s="46" t="s">
        <v>2039</v>
      </c>
      <c r="I1088" s="45">
        <v>140530.87</v>
      </c>
      <c r="J1088" s="45">
        <v>140530.87</v>
      </c>
      <c r="K1088" s="49" t="s">
        <v>2033</v>
      </c>
      <c r="L1088" s="45"/>
      <c r="M1088" s="3"/>
    </row>
    <row r="1089" spans="1:13" ht="38.25" x14ac:dyDescent="0.25">
      <c r="A1089" s="46" t="s">
        <v>2085</v>
      </c>
      <c r="B1089" s="46" t="s">
        <v>13</v>
      </c>
      <c r="C1089" s="46" t="s">
        <v>14</v>
      </c>
      <c r="D1089" s="47">
        <v>5860</v>
      </c>
      <c r="E1089" s="46" t="s">
        <v>2086</v>
      </c>
      <c r="F1089" s="48">
        <v>39204</v>
      </c>
      <c r="G1089" s="48">
        <v>40147</v>
      </c>
      <c r="H1089" s="46" t="s">
        <v>2039</v>
      </c>
      <c r="I1089" s="45">
        <v>91960.04</v>
      </c>
      <c r="J1089" s="45">
        <v>91960.04</v>
      </c>
      <c r="K1089" s="49" t="s">
        <v>2033</v>
      </c>
      <c r="L1089" s="45"/>
      <c r="M1089" s="3"/>
    </row>
    <row r="1090" spans="1:13" ht="38.25" x14ac:dyDescent="0.25">
      <c r="A1090" s="46" t="s">
        <v>2087</v>
      </c>
      <c r="B1090" s="46" t="s">
        <v>13</v>
      </c>
      <c r="C1090" s="46" t="s">
        <v>14</v>
      </c>
      <c r="D1090" s="47">
        <v>5861</v>
      </c>
      <c r="E1090" s="46" t="s">
        <v>2088</v>
      </c>
      <c r="F1090" s="48">
        <v>39426</v>
      </c>
      <c r="G1090" s="48">
        <v>39903</v>
      </c>
      <c r="H1090" s="46" t="s">
        <v>2039</v>
      </c>
      <c r="I1090" s="45">
        <v>87879.79</v>
      </c>
      <c r="J1090" s="45">
        <v>87879.79</v>
      </c>
      <c r="K1090" s="49" t="s">
        <v>2033</v>
      </c>
      <c r="L1090" s="45"/>
      <c r="M1090" s="3"/>
    </row>
    <row r="1091" spans="1:13" ht="38.25" x14ac:dyDescent="0.25">
      <c r="A1091" s="46" t="s">
        <v>2089</v>
      </c>
      <c r="B1091" s="46" t="s">
        <v>13</v>
      </c>
      <c r="C1091" s="46" t="s">
        <v>14</v>
      </c>
      <c r="D1091" s="47">
        <v>5862</v>
      </c>
      <c r="E1091" s="46" t="s">
        <v>2090</v>
      </c>
      <c r="F1091" s="48">
        <v>39580</v>
      </c>
      <c r="G1091" s="48">
        <v>40237</v>
      </c>
      <c r="H1091" s="46" t="s">
        <v>2039</v>
      </c>
      <c r="I1091" s="45">
        <v>58330.75</v>
      </c>
      <c r="J1091" s="45">
        <v>58330.75</v>
      </c>
      <c r="K1091" s="49" t="s">
        <v>2033</v>
      </c>
      <c r="L1091" s="45"/>
      <c r="M1091" s="3"/>
    </row>
    <row r="1092" spans="1:13" ht="38.25" x14ac:dyDescent="0.25">
      <c r="A1092" s="46" t="s">
        <v>2091</v>
      </c>
      <c r="B1092" s="46" t="s">
        <v>13</v>
      </c>
      <c r="C1092" s="46" t="s">
        <v>14</v>
      </c>
      <c r="D1092" s="47">
        <v>5864</v>
      </c>
      <c r="E1092" s="46" t="s">
        <v>2086</v>
      </c>
      <c r="F1092" s="48">
        <v>39630</v>
      </c>
      <c r="G1092" s="48">
        <v>40086</v>
      </c>
      <c r="H1092" s="46" t="s">
        <v>2039</v>
      </c>
      <c r="I1092" s="45">
        <v>96454.66</v>
      </c>
      <c r="J1092" s="45">
        <v>96454.66</v>
      </c>
      <c r="K1092" s="49" t="s">
        <v>2033</v>
      </c>
      <c r="L1092" s="45"/>
      <c r="M1092" s="3"/>
    </row>
    <row r="1093" spans="1:13" ht="25.5" x14ac:dyDescent="0.25">
      <c r="A1093" s="46" t="s">
        <v>2092</v>
      </c>
      <c r="B1093" s="46" t="s">
        <v>13</v>
      </c>
      <c r="C1093" s="46" t="s">
        <v>14</v>
      </c>
      <c r="D1093" s="47">
        <v>5865</v>
      </c>
      <c r="E1093" s="46" t="s">
        <v>2093</v>
      </c>
      <c r="F1093" s="48">
        <v>39814</v>
      </c>
      <c r="G1093" s="48">
        <v>40268</v>
      </c>
      <c r="H1093" s="46" t="s">
        <v>2039</v>
      </c>
      <c r="I1093" s="45">
        <v>94218.67</v>
      </c>
      <c r="J1093" s="45">
        <v>94218.67</v>
      </c>
      <c r="K1093" s="49" t="s">
        <v>2033</v>
      </c>
      <c r="L1093" s="45"/>
      <c r="M1093" s="3"/>
    </row>
    <row r="1094" spans="1:13" ht="51" x14ac:dyDescent="0.25">
      <c r="A1094" s="46" t="s">
        <v>2094</v>
      </c>
      <c r="B1094" s="46" t="s">
        <v>13</v>
      </c>
      <c r="C1094" s="46" t="s">
        <v>14</v>
      </c>
      <c r="D1094" s="47">
        <v>5866</v>
      </c>
      <c r="E1094" s="50" t="s">
        <v>2095</v>
      </c>
      <c r="F1094" s="48">
        <v>39797</v>
      </c>
      <c r="G1094" s="48">
        <v>40251</v>
      </c>
      <c r="H1094" s="46" t="s">
        <v>2039</v>
      </c>
      <c r="I1094" s="45">
        <v>100560.91</v>
      </c>
      <c r="J1094" s="45">
        <v>100560.91</v>
      </c>
      <c r="K1094" s="49" t="s">
        <v>2033</v>
      </c>
      <c r="L1094" s="45"/>
      <c r="M1094" s="3"/>
    </row>
    <row r="1095" spans="1:13" ht="38.25" x14ac:dyDescent="0.25">
      <c r="A1095" s="46" t="s">
        <v>2096</v>
      </c>
      <c r="B1095" s="46" t="s">
        <v>13</v>
      </c>
      <c r="C1095" s="46" t="s">
        <v>14</v>
      </c>
      <c r="D1095" s="47">
        <v>5867</v>
      </c>
      <c r="E1095" s="50" t="s">
        <v>2097</v>
      </c>
      <c r="F1095" s="48">
        <v>39767</v>
      </c>
      <c r="G1095" s="48">
        <v>40313</v>
      </c>
      <c r="H1095" s="46" t="s">
        <v>2039</v>
      </c>
      <c r="I1095" s="45">
        <v>97651.58</v>
      </c>
      <c r="J1095" s="45">
        <v>97651.58</v>
      </c>
      <c r="K1095" s="49" t="s">
        <v>2033</v>
      </c>
      <c r="L1095" s="45"/>
      <c r="M1095" s="3"/>
    </row>
    <row r="1096" spans="1:13" ht="51" x14ac:dyDescent="0.25">
      <c r="A1096" s="46" t="s">
        <v>2098</v>
      </c>
      <c r="B1096" s="46" t="s">
        <v>13</v>
      </c>
      <c r="C1096" s="46" t="s">
        <v>14</v>
      </c>
      <c r="D1096" s="47">
        <v>5868</v>
      </c>
      <c r="E1096" s="50" t="s">
        <v>2099</v>
      </c>
      <c r="F1096" s="48">
        <v>39845</v>
      </c>
      <c r="G1096" s="48">
        <v>40390</v>
      </c>
      <c r="H1096" s="46" t="s">
        <v>2039</v>
      </c>
      <c r="I1096" s="45">
        <v>90916.18</v>
      </c>
      <c r="J1096" s="45">
        <v>90916.18</v>
      </c>
      <c r="K1096" s="49" t="s">
        <v>2033</v>
      </c>
      <c r="L1096" s="45"/>
      <c r="M1096" s="3"/>
    </row>
    <row r="1097" spans="1:13" ht="51" x14ac:dyDescent="0.25">
      <c r="A1097" s="46" t="s">
        <v>2100</v>
      </c>
      <c r="B1097" s="46" t="s">
        <v>13</v>
      </c>
      <c r="C1097" s="46" t="s">
        <v>14</v>
      </c>
      <c r="D1097" s="47">
        <v>5869</v>
      </c>
      <c r="E1097" s="50" t="s">
        <v>2101</v>
      </c>
      <c r="F1097" s="48">
        <v>39845</v>
      </c>
      <c r="G1097" s="48">
        <v>40391</v>
      </c>
      <c r="H1097" s="46" t="s">
        <v>2039</v>
      </c>
      <c r="I1097" s="45">
        <v>90390.54</v>
      </c>
      <c r="J1097" s="45">
        <v>90390.54</v>
      </c>
      <c r="K1097" s="49" t="s">
        <v>2033</v>
      </c>
      <c r="L1097" s="45"/>
      <c r="M1097" s="3"/>
    </row>
    <row r="1098" spans="1:13" ht="38.25" x14ac:dyDescent="0.25">
      <c r="A1098" s="46" t="s">
        <v>2102</v>
      </c>
      <c r="B1098" s="46" t="s">
        <v>13</v>
      </c>
      <c r="C1098" s="46" t="s">
        <v>14</v>
      </c>
      <c r="D1098" s="47">
        <v>5870</v>
      </c>
      <c r="E1098" s="46" t="s">
        <v>2103</v>
      </c>
      <c r="F1098" s="48">
        <v>39783</v>
      </c>
      <c r="G1098" s="48">
        <v>40237</v>
      </c>
      <c r="H1098" s="46" t="s">
        <v>2039</v>
      </c>
      <c r="I1098" s="45">
        <v>81707.56</v>
      </c>
      <c r="J1098" s="45">
        <v>68307.960000000006</v>
      </c>
      <c r="K1098" s="49" t="s">
        <v>2033</v>
      </c>
      <c r="L1098" s="45"/>
      <c r="M1098" s="3"/>
    </row>
    <row r="1099" spans="1:13" ht="63.75" x14ac:dyDescent="0.25">
      <c r="A1099" s="46" t="s">
        <v>2104</v>
      </c>
      <c r="B1099" s="46" t="s">
        <v>13</v>
      </c>
      <c r="C1099" s="46" t="s">
        <v>14</v>
      </c>
      <c r="D1099" s="47">
        <v>5871</v>
      </c>
      <c r="E1099" s="50" t="s">
        <v>2105</v>
      </c>
      <c r="F1099" s="48">
        <v>39873</v>
      </c>
      <c r="G1099" s="48">
        <v>40441</v>
      </c>
      <c r="H1099" s="46" t="s">
        <v>2039</v>
      </c>
      <c r="I1099" s="45">
        <v>101299.26</v>
      </c>
      <c r="J1099" s="45">
        <v>101299.26</v>
      </c>
      <c r="K1099" s="49" t="s">
        <v>2033</v>
      </c>
      <c r="L1099" s="45"/>
      <c r="M1099" s="3"/>
    </row>
    <row r="1100" spans="1:13" ht="51" x14ac:dyDescent="0.25">
      <c r="A1100" s="46" t="s">
        <v>2106</v>
      </c>
      <c r="B1100" s="46" t="s">
        <v>13</v>
      </c>
      <c r="C1100" s="46" t="s">
        <v>14</v>
      </c>
      <c r="D1100" s="47">
        <v>5872</v>
      </c>
      <c r="E1100" s="50" t="s">
        <v>2107</v>
      </c>
      <c r="F1100" s="48">
        <v>39904</v>
      </c>
      <c r="G1100" s="48">
        <v>40497</v>
      </c>
      <c r="H1100" s="46" t="s">
        <v>2039</v>
      </c>
      <c r="I1100" s="45">
        <v>83876.25</v>
      </c>
      <c r="J1100" s="45">
        <v>83876.25</v>
      </c>
      <c r="K1100" s="49" t="s">
        <v>2033</v>
      </c>
      <c r="L1100" s="45"/>
      <c r="M1100" s="3"/>
    </row>
    <row r="1101" spans="1:13" ht="25.5" x14ac:dyDescent="0.25">
      <c r="A1101" s="46" t="s">
        <v>2108</v>
      </c>
      <c r="B1101" s="46" t="s">
        <v>13</v>
      </c>
      <c r="C1101" s="46" t="s">
        <v>14</v>
      </c>
      <c r="D1101" s="47">
        <v>5873</v>
      </c>
      <c r="E1101" s="46" t="s">
        <v>2109</v>
      </c>
      <c r="F1101" s="48">
        <v>39844</v>
      </c>
      <c r="G1101" s="48">
        <v>40391</v>
      </c>
      <c r="H1101" s="46" t="s">
        <v>2039</v>
      </c>
      <c r="I1101" s="45">
        <v>88745.53</v>
      </c>
      <c r="J1101" s="45">
        <v>88745.53</v>
      </c>
      <c r="K1101" s="49" t="s">
        <v>2033</v>
      </c>
      <c r="L1101" s="45"/>
      <c r="M1101" s="3"/>
    </row>
    <row r="1102" spans="1:13" ht="38.25" x14ac:dyDescent="0.25">
      <c r="A1102" s="46" t="s">
        <v>2110</v>
      </c>
      <c r="B1102" s="46" t="s">
        <v>13</v>
      </c>
      <c r="C1102" s="46" t="s">
        <v>14</v>
      </c>
      <c r="D1102" s="47">
        <v>5874</v>
      </c>
      <c r="E1102" s="46" t="s">
        <v>2111</v>
      </c>
      <c r="F1102" s="48">
        <v>40087</v>
      </c>
      <c r="G1102" s="48">
        <v>40633</v>
      </c>
      <c r="H1102" s="46" t="s">
        <v>2039</v>
      </c>
      <c r="I1102" s="45">
        <v>62667.07</v>
      </c>
      <c r="J1102" s="45">
        <v>62667.07</v>
      </c>
      <c r="K1102" s="49" t="s">
        <v>2033</v>
      </c>
      <c r="L1102" s="45"/>
      <c r="M1102" s="3"/>
    </row>
    <row r="1103" spans="1:13" ht="51" x14ac:dyDescent="0.25">
      <c r="A1103" s="46" t="s">
        <v>2112</v>
      </c>
      <c r="B1103" s="46" t="s">
        <v>13</v>
      </c>
      <c r="C1103" s="46" t="s">
        <v>14</v>
      </c>
      <c r="D1103" s="47">
        <v>5875</v>
      </c>
      <c r="E1103" s="50" t="s">
        <v>2113</v>
      </c>
      <c r="F1103" s="48">
        <v>40210</v>
      </c>
      <c r="G1103" s="48">
        <v>40755</v>
      </c>
      <c r="H1103" s="46" t="s">
        <v>2039</v>
      </c>
      <c r="I1103" s="45">
        <v>97769.81</v>
      </c>
      <c r="J1103" s="45">
        <v>97130.05</v>
      </c>
      <c r="K1103" s="49" t="s">
        <v>2033</v>
      </c>
      <c r="L1103" s="45"/>
      <c r="M1103" s="3"/>
    </row>
    <row r="1104" spans="1:13" ht="51" x14ac:dyDescent="0.25">
      <c r="A1104" s="46" t="s">
        <v>2114</v>
      </c>
      <c r="B1104" s="46" t="s">
        <v>13</v>
      </c>
      <c r="C1104" s="46" t="s">
        <v>14</v>
      </c>
      <c r="D1104" s="47">
        <v>5876</v>
      </c>
      <c r="E1104" s="50" t="s">
        <v>2115</v>
      </c>
      <c r="F1104" s="48">
        <v>39328</v>
      </c>
      <c r="G1104" s="48">
        <v>39823</v>
      </c>
      <c r="H1104" s="46" t="s">
        <v>2039</v>
      </c>
      <c r="I1104" s="45">
        <v>93355.34</v>
      </c>
      <c r="J1104" s="45">
        <v>93355.34</v>
      </c>
      <c r="K1104" s="49" t="s">
        <v>2033</v>
      </c>
      <c r="L1104" s="45"/>
      <c r="M1104" s="3"/>
    </row>
    <row r="1105" spans="1:13" ht="51" x14ac:dyDescent="0.25">
      <c r="A1105" s="46" t="s">
        <v>2116</v>
      </c>
      <c r="B1105" s="46" t="s">
        <v>13</v>
      </c>
      <c r="C1105" s="46" t="s">
        <v>14</v>
      </c>
      <c r="D1105" s="47">
        <v>5877</v>
      </c>
      <c r="E1105" s="50" t="s">
        <v>2117</v>
      </c>
      <c r="F1105" s="48">
        <v>39448</v>
      </c>
      <c r="G1105" s="48">
        <v>40663</v>
      </c>
      <c r="H1105" s="46" t="s">
        <v>2039</v>
      </c>
      <c r="I1105" s="45">
        <v>132969.66</v>
      </c>
      <c r="J1105" s="45">
        <v>132969.66</v>
      </c>
      <c r="K1105" s="49" t="s">
        <v>2033</v>
      </c>
      <c r="L1105" s="45"/>
      <c r="M1105" s="3"/>
    </row>
    <row r="1106" spans="1:13" ht="25.5" x14ac:dyDescent="0.25">
      <c r="A1106" s="46" t="s">
        <v>2118</v>
      </c>
      <c r="B1106" s="46" t="s">
        <v>13</v>
      </c>
      <c r="C1106" s="46" t="s">
        <v>14</v>
      </c>
      <c r="D1106" s="47">
        <v>5878</v>
      </c>
      <c r="E1106" s="46" t="s">
        <v>2119</v>
      </c>
      <c r="F1106" s="48">
        <v>39479</v>
      </c>
      <c r="G1106" s="48">
        <v>40862</v>
      </c>
      <c r="H1106" s="46" t="s">
        <v>2039</v>
      </c>
      <c r="I1106" s="45">
        <f>306853.55-2431.13</f>
        <v>304422.42</v>
      </c>
      <c r="J1106" s="45">
        <f>306853.55-2431.13</f>
        <v>304422.42</v>
      </c>
      <c r="K1106" s="49" t="s">
        <v>2033</v>
      </c>
      <c r="L1106" s="45"/>
      <c r="M1106" s="3"/>
    </row>
    <row r="1107" spans="1:13" ht="38.25" x14ac:dyDescent="0.25">
      <c r="A1107" s="46" t="s">
        <v>2120</v>
      </c>
      <c r="B1107" s="46" t="s">
        <v>13</v>
      </c>
      <c r="C1107" s="46" t="s">
        <v>14</v>
      </c>
      <c r="D1107" s="47">
        <v>5879</v>
      </c>
      <c r="E1107" s="46" t="s">
        <v>2121</v>
      </c>
      <c r="F1107" s="48">
        <v>39797</v>
      </c>
      <c r="G1107" s="48">
        <v>41214</v>
      </c>
      <c r="H1107" s="46" t="s">
        <v>2039</v>
      </c>
      <c r="I1107" s="45">
        <f>45071.26+57715.84</f>
        <v>102787.1</v>
      </c>
      <c r="J1107" s="45">
        <f>45071.26+57715.84</f>
        <v>102787.1</v>
      </c>
      <c r="K1107" s="49" t="s">
        <v>2033</v>
      </c>
      <c r="L1107" s="45"/>
      <c r="M1107" s="3"/>
    </row>
    <row r="1108" spans="1:13" ht="63.75" x14ac:dyDescent="0.25">
      <c r="A1108" s="46" t="s">
        <v>2122</v>
      </c>
      <c r="B1108" s="46" t="s">
        <v>13</v>
      </c>
      <c r="C1108" s="46" t="s">
        <v>14</v>
      </c>
      <c r="D1108" s="47">
        <v>5880</v>
      </c>
      <c r="E1108" s="50" t="s">
        <v>2123</v>
      </c>
      <c r="F1108" s="48">
        <v>39845</v>
      </c>
      <c r="G1108" s="48">
        <v>41030</v>
      </c>
      <c r="H1108" s="46" t="s">
        <v>2039</v>
      </c>
      <c r="I1108" s="45">
        <f>201731.42+17364.74</f>
        <v>219096.16</v>
      </c>
      <c r="J1108" s="45">
        <v>219096.196</v>
      </c>
      <c r="K1108" s="49" t="s">
        <v>2033</v>
      </c>
      <c r="L1108" s="45"/>
      <c r="M1108" s="3"/>
    </row>
    <row r="1109" spans="1:13" ht="51" x14ac:dyDescent="0.25">
      <c r="A1109" s="46" t="s">
        <v>2124</v>
      </c>
      <c r="B1109" s="46" t="s">
        <v>13</v>
      </c>
      <c r="C1109" s="46" t="s">
        <v>14</v>
      </c>
      <c r="D1109" s="47">
        <v>5881</v>
      </c>
      <c r="E1109" s="50" t="s">
        <v>2125</v>
      </c>
      <c r="F1109" s="48">
        <v>39814</v>
      </c>
      <c r="G1109" s="48">
        <v>40663</v>
      </c>
      <c r="H1109" s="46" t="s">
        <v>2039</v>
      </c>
      <c r="I1109" s="45">
        <v>369313.58</v>
      </c>
      <c r="J1109" s="45">
        <v>369313.58</v>
      </c>
      <c r="K1109" s="49" t="s">
        <v>2033</v>
      </c>
      <c r="L1109" s="45"/>
      <c r="M1109" s="3"/>
    </row>
    <row r="1110" spans="1:13" ht="38.25" x14ac:dyDescent="0.25">
      <c r="A1110" s="46" t="s">
        <v>2126</v>
      </c>
      <c r="B1110" s="46" t="s">
        <v>13</v>
      </c>
      <c r="C1110" s="46" t="s">
        <v>14</v>
      </c>
      <c r="D1110" s="47">
        <v>5882</v>
      </c>
      <c r="E1110" s="46" t="s">
        <v>2127</v>
      </c>
      <c r="F1110" s="48">
        <v>39904</v>
      </c>
      <c r="G1110" s="48">
        <v>41000</v>
      </c>
      <c r="H1110" s="46" t="s">
        <v>2039</v>
      </c>
      <c r="I1110" s="45">
        <f>256137.65+44972.52</f>
        <v>301110.17</v>
      </c>
      <c r="J1110" s="45">
        <f>256137.65+44972.52</f>
        <v>301110.17</v>
      </c>
      <c r="K1110" s="49" t="s">
        <v>2033</v>
      </c>
      <c r="L1110" s="45"/>
      <c r="M1110" s="3"/>
    </row>
    <row r="1111" spans="1:13" ht="25.5" x14ac:dyDescent="0.25">
      <c r="A1111" s="46" t="s">
        <v>2128</v>
      </c>
      <c r="B1111" s="46" t="s">
        <v>13</v>
      </c>
      <c r="C1111" s="46" t="s">
        <v>14</v>
      </c>
      <c r="D1111" s="47">
        <v>6180</v>
      </c>
      <c r="E1111" s="46" t="s">
        <v>2129</v>
      </c>
      <c r="F1111" s="48">
        <v>39447</v>
      </c>
      <c r="G1111" s="48">
        <v>40056</v>
      </c>
      <c r="H1111" s="46" t="s">
        <v>2039</v>
      </c>
      <c r="I1111" s="45">
        <v>83679.759999999995</v>
      </c>
      <c r="J1111" s="45">
        <v>83679.759999999995</v>
      </c>
      <c r="K1111" s="49" t="s">
        <v>2033</v>
      </c>
      <c r="L1111" s="45"/>
      <c r="M1111" s="3"/>
    </row>
    <row r="1112" spans="1:13" ht="25.5" x14ac:dyDescent="0.25">
      <c r="A1112" s="46" t="s">
        <v>2130</v>
      </c>
      <c r="B1112" s="46" t="s">
        <v>13</v>
      </c>
      <c r="C1112" s="46" t="s">
        <v>14</v>
      </c>
      <c r="D1112" s="47">
        <v>6181</v>
      </c>
      <c r="E1112" s="46" t="s">
        <v>2131</v>
      </c>
      <c r="F1112" s="48">
        <v>39448</v>
      </c>
      <c r="G1112" s="48">
        <v>40830</v>
      </c>
      <c r="H1112" s="46" t="s">
        <v>2039</v>
      </c>
      <c r="I1112" s="45">
        <v>321712.77</v>
      </c>
      <c r="J1112" s="45">
        <v>321712.77</v>
      </c>
      <c r="K1112" s="49" t="s">
        <v>2033</v>
      </c>
      <c r="L1112" s="45"/>
      <c r="M1112" s="3"/>
    </row>
    <row r="1113" spans="1:13" ht="25.5" x14ac:dyDescent="0.25">
      <c r="A1113" s="46" t="s">
        <v>2132</v>
      </c>
      <c r="B1113" s="46" t="s">
        <v>13</v>
      </c>
      <c r="C1113" s="46" t="s">
        <v>14</v>
      </c>
      <c r="D1113" s="47">
        <v>6182</v>
      </c>
      <c r="E1113" s="46" t="s">
        <v>2133</v>
      </c>
      <c r="F1113" s="48">
        <v>39431</v>
      </c>
      <c r="G1113" s="48">
        <v>40147</v>
      </c>
      <c r="H1113" s="46" t="s">
        <v>2039</v>
      </c>
      <c r="I1113" s="45">
        <v>88680.41</v>
      </c>
      <c r="J1113" s="45">
        <v>88680.41</v>
      </c>
      <c r="K1113" s="49" t="s">
        <v>2033</v>
      </c>
      <c r="L1113" s="45"/>
      <c r="M1113" s="3"/>
    </row>
    <row r="1114" spans="1:13" ht="25.5" x14ac:dyDescent="0.25">
      <c r="A1114" s="46" t="s">
        <v>2134</v>
      </c>
      <c r="B1114" s="46" t="s">
        <v>13</v>
      </c>
      <c r="C1114" s="46" t="s">
        <v>14</v>
      </c>
      <c r="D1114" s="47">
        <v>6191</v>
      </c>
      <c r="E1114" s="46" t="s">
        <v>2135</v>
      </c>
      <c r="F1114" s="48">
        <v>39904</v>
      </c>
      <c r="G1114" s="48">
        <v>40359</v>
      </c>
      <c r="H1114" s="46" t="s">
        <v>2039</v>
      </c>
      <c r="I1114" s="45">
        <v>105536.33</v>
      </c>
      <c r="J1114" s="45">
        <f>62500.05+10956.45</f>
        <v>73456.5</v>
      </c>
      <c r="K1114" s="49" t="s">
        <v>2033</v>
      </c>
      <c r="L1114" s="45"/>
      <c r="M1114" s="3"/>
    </row>
    <row r="1115" spans="1:13" ht="25.5" x14ac:dyDescent="0.25">
      <c r="A1115" s="46" t="s">
        <v>2136</v>
      </c>
      <c r="B1115" s="46" t="s">
        <v>13</v>
      </c>
      <c r="C1115" s="46" t="s">
        <v>14</v>
      </c>
      <c r="D1115" s="47">
        <v>6192</v>
      </c>
      <c r="E1115" s="46" t="s">
        <v>2137</v>
      </c>
      <c r="F1115" s="48">
        <v>39661</v>
      </c>
      <c r="G1115" s="48">
        <v>40512</v>
      </c>
      <c r="H1115" s="46" t="s">
        <v>2039</v>
      </c>
      <c r="I1115" s="45">
        <v>237299</v>
      </c>
      <c r="J1115" s="45">
        <v>127888.47</v>
      </c>
      <c r="K1115" s="49" t="s">
        <v>2033</v>
      </c>
      <c r="L1115" s="45"/>
      <c r="M1115" s="3"/>
    </row>
    <row r="1116" spans="1:13" ht="25.5" x14ac:dyDescent="0.25">
      <c r="A1116" s="46" t="s">
        <v>2138</v>
      </c>
      <c r="B1116" s="46" t="s">
        <v>13</v>
      </c>
      <c r="C1116" s="46" t="s">
        <v>14</v>
      </c>
      <c r="D1116" s="47">
        <v>6193</v>
      </c>
      <c r="E1116" s="46" t="s">
        <v>2138</v>
      </c>
      <c r="F1116" s="48">
        <v>39417</v>
      </c>
      <c r="G1116" s="48">
        <v>39782</v>
      </c>
      <c r="H1116" s="46" t="s">
        <v>2039</v>
      </c>
      <c r="I1116" s="45">
        <v>55987.51</v>
      </c>
      <c r="J1116" s="45">
        <v>55987.51</v>
      </c>
      <c r="K1116" s="49" t="s">
        <v>2033</v>
      </c>
      <c r="L1116" s="45"/>
      <c r="M1116" s="3"/>
    </row>
    <row r="1117" spans="1:13" ht="25.5" x14ac:dyDescent="0.25">
      <c r="A1117" s="46" t="s">
        <v>2139</v>
      </c>
      <c r="B1117" s="46" t="s">
        <v>13</v>
      </c>
      <c r="C1117" s="46" t="s">
        <v>14</v>
      </c>
      <c r="D1117" s="47">
        <v>6194</v>
      </c>
      <c r="E1117" s="46" t="s">
        <v>2140</v>
      </c>
      <c r="F1117" s="48">
        <v>39203</v>
      </c>
      <c r="G1117" s="48">
        <v>39568</v>
      </c>
      <c r="H1117" s="46" t="s">
        <v>2039</v>
      </c>
      <c r="I1117" s="45">
        <v>77490</v>
      </c>
      <c r="J1117" s="45">
        <v>77607.289999999994</v>
      </c>
      <c r="K1117" s="49" t="s">
        <v>2033</v>
      </c>
      <c r="L1117" s="45"/>
      <c r="M1117" s="3"/>
    </row>
    <row r="1118" spans="1:13" x14ac:dyDescent="0.25">
      <c r="A1118" s="46" t="s">
        <v>2141</v>
      </c>
      <c r="B1118" s="46" t="s">
        <v>13</v>
      </c>
      <c r="C1118" s="46" t="s">
        <v>14</v>
      </c>
      <c r="D1118" s="47">
        <v>6195</v>
      </c>
      <c r="E1118" s="46" t="s">
        <v>2142</v>
      </c>
      <c r="F1118" s="48">
        <v>40118</v>
      </c>
      <c r="G1118" s="48">
        <v>40573</v>
      </c>
      <c r="H1118" s="46" t="s">
        <v>2039</v>
      </c>
      <c r="I1118" s="45">
        <v>102717</v>
      </c>
      <c r="J1118" s="45">
        <v>83599.37</v>
      </c>
      <c r="K1118" s="49" t="s">
        <v>2033</v>
      </c>
      <c r="L1118" s="45"/>
      <c r="M1118" s="3"/>
    </row>
    <row r="1119" spans="1:13" ht="25.5" x14ac:dyDescent="0.25">
      <c r="A1119" s="46" t="s">
        <v>2143</v>
      </c>
      <c r="B1119" s="46" t="s">
        <v>13</v>
      </c>
      <c r="C1119" s="46" t="s">
        <v>14</v>
      </c>
      <c r="D1119" s="47">
        <v>6196</v>
      </c>
      <c r="E1119" s="46" t="s">
        <v>2144</v>
      </c>
      <c r="F1119" s="48">
        <v>40056</v>
      </c>
      <c r="G1119" s="48">
        <v>40602</v>
      </c>
      <c r="H1119" s="46" t="s">
        <v>2039</v>
      </c>
      <c r="I1119" s="45">
        <v>113271</v>
      </c>
      <c r="J1119" s="45">
        <v>88608.34</v>
      </c>
      <c r="K1119" s="49" t="s">
        <v>2033</v>
      </c>
      <c r="L1119" s="45"/>
      <c r="M1119" s="3"/>
    </row>
    <row r="1120" spans="1:13" ht="25.5" x14ac:dyDescent="0.25">
      <c r="A1120" s="46" t="s">
        <v>2145</v>
      </c>
      <c r="B1120" s="46" t="s">
        <v>13</v>
      </c>
      <c r="C1120" s="46" t="s">
        <v>14</v>
      </c>
      <c r="D1120" s="47">
        <v>6198</v>
      </c>
      <c r="E1120" s="46" t="s">
        <v>2146</v>
      </c>
      <c r="F1120" s="48">
        <v>39265</v>
      </c>
      <c r="G1120" s="48">
        <v>39721</v>
      </c>
      <c r="H1120" s="46" t="s">
        <v>2039</v>
      </c>
      <c r="I1120" s="45">
        <v>92000</v>
      </c>
      <c r="J1120" s="45">
        <v>61773.120000000003</v>
      </c>
      <c r="K1120" s="49" t="s">
        <v>2033</v>
      </c>
      <c r="L1120" s="45"/>
      <c r="M1120" s="3"/>
    </row>
    <row r="1121" spans="1:60" ht="25.5" x14ac:dyDescent="0.25">
      <c r="A1121" s="46" t="s">
        <v>2147</v>
      </c>
      <c r="B1121" s="46" t="s">
        <v>13</v>
      </c>
      <c r="C1121" s="46" t="s">
        <v>14</v>
      </c>
      <c r="D1121" s="47">
        <v>6535</v>
      </c>
      <c r="E1121" s="46" t="s">
        <v>2148</v>
      </c>
      <c r="F1121" s="48">
        <v>40360</v>
      </c>
      <c r="G1121" s="48">
        <v>40816</v>
      </c>
      <c r="H1121" s="46" t="s">
        <v>2039</v>
      </c>
      <c r="I1121" s="45">
        <v>83974.57</v>
      </c>
      <c r="J1121" s="45">
        <v>83974.57</v>
      </c>
      <c r="K1121" s="49" t="s">
        <v>2033</v>
      </c>
      <c r="L1121" s="45"/>
      <c r="M1121" s="3"/>
    </row>
    <row r="1122" spans="1:60" ht="76.5" x14ac:dyDescent="0.25">
      <c r="A1122" s="46" t="s">
        <v>2149</v>
      </c>
      <c r="B1122" s="46" t="s">
        <v>13</v>
      </c>
      <c r="C1122" s="46" t="s">
        <v>14</v>
      </c>
      <c r="D1122" s="47">
        <v>6536</v>
      </c>
      <c r="E1122" s="50" t="s">
        <v>2150</v>
      </c>
      <c r="F1122" s="48">
        <v>40308</v>
      </c>
      <c r="G1122" s="48">
        <v>40718</v>
      </c>
      <c r="H1122" s="46" t="s">
        <v>2039</v>
      </c>
      <c r="I1122" s="45">
        <v>61336.41</v>
      </c>
      <c r="J1122" s="45">
        <v>61336.41</v>
      </c>
      <c r="K1122" s="49" t="s">
        <v>2033</v>
      </c>
      <c r="L1122" s="45"/>
      <c r="M1122" s="3"/>
    </row>
    <row r="1123" spans="1:60" ht="25.5" x14ac:dyDescent="0.25">
      <c r="A1123" s="46" t="s">
        <v>2151</v>
      </c>
      <c r="B1123" s="46" t="s">
        <v>13</v>
      </c>
      <c r="C1123" s="46" t="s">
        <v>14</v>
      </c>
      <c r="D1123" s="47">
        <v>8465</v>
      </c>
      <c r="E1123" s="46" t="s">
        <v>2152</v>
      </c>
      <c r="F1123" s="48">
        <v>40269</v>
      </c>
      <c r="G1123" s="48">
        <v>40893</v>
      </c>
      <c r="H1123" s="46" t="s">
        <v>2039</v>
      </c>
      <c r="I1123" s="45">
        <v>84690</v>
      </c>
      <c r="J1123" s="45">
        <v>71363.28</v>
      </c>
      <c r="K1123" s="49" t="s">
        <v>2033</v>
      </c>
      <c r="L1123" s="45"/>
      <c r="M1123" s="3"/>
    </row>
    <row r="1124" spans="1:60" x14ac:dyDescent="0.25">
      <c r="A1124" s="46" t="s">
        <v>2153</v>
      </c>
      <c r="B1124" s="46" t="s">
        <v>13</v>
      </c>
      <c r="C1124" s="46" t="s">
        <v>14</v>
      </c>
      <c r="D1124" s="47">
        <v>10146</v>
      </c>
      <c r="E1124" s="46" t="s">
        <v>2154</v>
      </c>
      <c r="F1124" s="48">
        <v>39630</v>
      </c>
      <c r="G1124" s="48">
        <v>40131</v>
      </c>
      <c r="H1124" s="46" t="s">
        <v>2155</v>
      </c>
      <c r="I1124" s="45">
        <v>102.53</v>
      </c>
      <c r="J1124" s="45">
        <v>102.53</v>
      </c>
      <c r="K1124" s="49" t="s">
        <v>2033</v>
      </c>
      <c r="L1124" s="45"/>
      <c r="M1124" s="3"/>
    </row>
    <row r="1125" spans="1:60" x14ac:dyDescent="0.25">
      <c r="A1125" s="46" t="s">
        <v>2157</v>
      </c>
      <c r="B1125" s="46" t="s">
        <v>13</v>
      </c>
      <c r="C1125" s="46" t="s">
        <v>14</v>
      </c>
      <c r="D1125" s="47">
        <v>10972</v>
      </c>
      <c r="E1125" s="46" t="s">
        <v>2158</v>
      </c>
      <c r="F1125" s="48">
        <v>40603</v>
      </c>
      <c r="G1125" s="48">
        <v>40967</v>
      </c>
      <c r="H1125" s="46" t="s">
        <v>2039</v>
      </c>
      <c r="I1125" s="45">
        <f>93013+22853.24</f>
        <v>115866.24000000001</v>
      </c>
      <c r="J1125" s="55">
        <f>67149.18+22853.24</f>
        <v>90002.42</v>
      </c>
      <c r="K1125" s="49" t="s">
        <v>2033</v>
      </c>
      <c r="L1125" s="45"/>
      <c r="M1125" s="3"/>
    </row>
    <row r="1126" spans="1:60" x14ac:dyDescent="0.25">
      <c r="A1126" s="46" t="s">
        <v>2159</v>
      </c>
      <c r="B1126" s="46" t="s">
        <v>13</v>
      </c>
      <c r="C1126" s="46" t="s">
        <v>14</v>
      </c>
      <c r="D1126" s="47">
        <v>10973</v>
      </c>
      <c r="E1126" s="46" t="s">
        <v>2160</v>
      </c>
      <c r="F1126" s="48">
        <v>40728</v>
      </c>
      <c r="G1126" s="48">
        <v>41131</v>
      </c>
      <c r="H1126" s="46" t="s">
        <v>2039</v>
      </c>
      <c r="I1126" s="45">
        <f>88147+77789.12</f>
        <v>165936.12</v>
      </c>
      <c r="J1126" s="55">
        <f>8867.18+77789.12</f>
        <v>86656.299999999988</v>
      </c>
      <c r="K1126" s="49" t="s">
        <v>2033</v>
      </c>
      <c r="L1126" s="45"/>
      <c r="M1126" s="3"/>
    </row>
    <row r="1127" spans="1:60" x14ac:dyDescent="0.25">
      <c r="A1127" s="46" t="s">
        <v>2161</v>
      </c>
      <c r="B1127" s="46" t="s">
        <v>13</v>
      </c>
      <c r="C1127" s="46" t="s">
        <v>14</v>
      </c>
      <c r="D1127" s="47">
        <v>10974</v>
      </c>
      <c r="E1127" s="46" t="s">
        <v>2161</v>
      </c>
      <c r="F1127" s="48">
        <v>40784</v>
      </c>
      <c r="G1127" s="48">
        <v>40929</v>
      </c>
      <c r="H1127" s="46" t="s">
        <v>2039</v>
      </c>
      <c r="I1127" s="45">
        <f>14500+4068.12</f>
        <v>18568.12</v>
      </c>
      <c r="J1127" s="55">
        <f>3085.5+4066.12</f>
        <v>7151.62</v>
      </c>
      <c r="K1127" s="49" t="s">
        <v>2033</v>
      </c>
      <c r="L1127" s="45"/>
      <c r="M1127" s="3"/>
    </row>
    <row r="1128" spans="1:60" x14ac:dyDescent="0.25">
      <c r="A1128" s="46" t="s">
        <v>2162</v>
      </c>
      <c r="B1128" s="46" t="s">
        <v>13</v>
      </c>
      <c r="C1128" s="46" t="s">
        <v>14</v>
      </c>
      <c r="D1128" s="47">
        <v>10975</v>
      </c>
      <c r="E1128" s="46" t="s">
        <v>2162</v>
      </c>
      <c r="F1128" s="48">
        <v>40805</v>
      </c>
      <c r="G1128" s="48">
        <v>40893</v>
      </c>
      <c r="H1128" s="46" t="s">
        <v>2039</v>
      </c>
      <c r="I1128" s="45">
        <v>15000</v>
      </c>
      <c r="J1128" s="55">
        <v>9167.89</v>
      </c>
      <c r="K1128" s="49" t="s">
        <v>2033</v>
      </c>
      <c r="L1128" s="45"/>
      <c r="M1128" s="3"/>
    </row>
    <row r="1129" spans="1:60" x14ac:dyDescent="0.25">
      <c r="A1129" s="46" t="s">
        <v>2163</v>
      </c>
      <c r="B1129" s="46" t="s">
        <v>13</v>
      </c>
      <c r="C1129" s="46" t="s">
        <v>14</v>
      </c>
      <c r="D1129" s="47">
        <v>10976</v>
      </c>
      <c r="E1129" s="46" t="s">
        <v>2163</v>
      </c>
      <c r="F1129" s="48">
        <v>40758</v>
      </c>
      <c r="G1129" s="48">
        <v>40897</v>
      </c>
      <c r="H1129" s="46" t="s">
        <v>2039</v>
      </c>
      <c r="I1129" s="45">
        <v>15000</v>
      </c>
      <c r="J1129" s="55">
        <v>9396.0300000000007</v>
      </c>
      <c r="K1129" s="49" t="s">
        <v>2033</v>
      </c>
      <c r="L1129" s="45"/>
      <c r="M1129" s="3"/>
    </row>
    <row r="1130" spans="1:60" ht="25.5" x14ac:dyDescent="0.25">
      <c r="A1130" s="46" t="s">
        <v>2164</v>
      </c>
      <c r="B1130" s="46" t="s">
        <v>13</v>
      </c>
      <c r="C1130" s="46" t="s">
        <v>14</v>
      </c>
      <c r="D1130" s="47">
        <v>10977</v>
      </c>
      <c r="E1130" s="46" t="s">
        <v>2164</v>
      </c>
      <c r="F1130" s="48">
        <v>40791</v>
      </c>
      <c r="G1130" s="48">
        <v>40872</v>
      </c>
      <c r="H1130" s="46" t="s">
        <v>2039</v>
      </c>
      <c r="I1130" s="45">
        <v>14503</v>
      </c>
      <c r="J1130" s="55">
        <v>9438</v>
      </c>
      <c r="K1130" s="49" t="s">
        <v>2033</v>
      </c>
      <c r="L1130" s="45"/>
      <c r="M1130" s="3"/>
    </row>
    <row r="1131" spans="1:60" x14ac:dyDescent="0.25">
      <c r="A1131" s="46" t="s">
        <v>2165</v>
      </c>
      <c r="B1131" s="46" t="s">
        <v>13</v>
      </c>
      <c r="C1131" s="46" t="s">
        <v>14</v>
      </c>
      <c r="D1131" s="47">
        <v>10978</v>
      </c>
      <c r="E1131" s="46" t="s">
        <v>2165</v>
      </c>
      <c r="F1131" s="48">
        <v>40819</v>
      </c>
      <c r="G1131" s="48">
        <v>40900</v>
      </c>
      <c r="H1131" s="46" t="s">
        <v>2039</v>
      </c>
      <c r="I1131" s="45">
        <v>14612</v>
      </c>
      <c r="J1131" s="55">
        <v>5288.91</v>
      </c>
      <c r="K1131" s="49" t="s">
        <v>2033</v>
      </c>
      <c r="L1131" s="45"/>
      <c r="M1131" s="3"/>
    </row>
    <row r="1132" spans="1:60" x14ac:dyDescent="0.25">
      <c r="A1132" s="46" t="s">
        <v>2166</v>
      </c>
      <c r="B1132" s="46" t="s">
        <v>13</v>
      </c>
      <c r="C1132" s="46" t="s">
        <v>14</v>
      </c>
      <c r="D1132" s="47">
        <v>10979</v>
      </c>
      <c r="E1132" s="46" t="s">
        <v>2167</v>
      </c>
      <c r="F1132" s="48">
        <v>40805</v>
      </c>
      <c r="G1132" s="48">
        <v>40896</v>
      </c>
      <c r="H1132" s="46" t="s">
        <v>2039</v>
      </c>
      <c r="I1132" s="45">
        <v>14500</v>
      </c>
      <c r="J1132" s="55">
        <v>5936.01</v>
      </c>
      <c r="K1132" s="49" t="s">
        <v>2033</v>
      </c>
      <c r="L1132" s="45"/>
      <c r="M1132" s="3"/>
    </row>
    <row r="1133" spans="1:60" x14ac:dyDescent="0.25">
      <c r="A1133" s="46" t="s">
        <v>2168</v>
      </c>
      <c r="B1133" s="46" t="s">
        <v>13</v>
      </c>
      <c r="C1133" s="46" t="s">
        <v>14</v>
      </c>
      <c r="D1133" s="47">
        <v>10980</v>
      </c>
      <c r="E1133" s="46" t="s">
        <v>2169</v>
      </c>
      <c r="F1133" s="48">
        <v>40787</v>
      </c>
      <c r="G1133" s="48">
        <v>41243</v>
      </c>
      <c r="H1133" s="46" t="s">
        <v>2039</v>
      </c>
      <c r="I1133" s="45">
        <f>136934+76247.91</f>
        <v>213181.91</v>
      </c>
      <c r="J1133" s="55">
        <f>1338+76247.91</f>
        <v>77585.91</v>
      </c>
      <c r="K1133" s="49" t="s">
        <v>2033</v>
      </c>
      <c r="L1133" s="45"/>
      <c r="M1133" s="3"/>
    </row>
    <row r="1134" spans="1:60" x14ac:dyDescent="0.25">
      <c r="A1134" s="46" t="s">
        <v>11401</v>
      </c>
      <c r="B1134" s="61" t="s">
        <v>13</v>
      </c>
      <c r="C1134" s="61" t="s">
        <v>14</v>
      </c>
      <c r="D1134" s="62">
        <v>10981</v>
      </c>
      <c r="E1134" s="46" t="s">
        <v>11401</v>
      </c>
      <c r="F1134" s="63">
        <v>40938</v>
      </c>
      <c r="G1134" s="63">
        <v>41020</v>
      </c>
      <c r="H1134" s="46" t="s">
        <v>2039</v>
      </c>
      <c r="I1134" s="64">
        <v>6190.03</v>
      </c>
      <c r="J1134" s="64">
        <v>6190.03</v>
      </c>
      <c r="K1134" s="65" t="s">
        <v>2033</v>
      </c>
      <c r="L1134" s="6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row>
    <row r="1135" spans="1:60" x14ac:dyDescent="0.25">
      <c r="A1135" s="46" t="s">
        <v>11402</v>
      </c>
      <c r="B1135" s="61" t="s">
        <v>13</v>
      </c>
      <c r="C1135" s="61" t="s">
        <v>14</v>
      </c>
      <c r="D1135" s="62">
        <v>10982</v>
      </c>
      <c r="E1135" s="46" t="s">
        <v>11403</v>
      </c>
      <c r="F1135" s="61"/>
      <c r="G1135" s="61"/>
      <c r="H1135" s="46" t="s">
        <v>2039</v>
      </c>
      <c r="I1135" s="64">
        <v>14253.22</v>
      </c>
      <c r="J1135" s="64">
        <v>14253.22</v>
      </c>
      <c r="K1135" s="65" t="s">
        <v>2033</v>
      </c>
      <c r="L1135" s="6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row>
    <row r="1136" spans="1:60" ht="25.5" x14ac:dyDescent="0.25">
      <c r="A1136" s="46" t="s">
        <v>2170</v>
      </c>
      <c r="B1136" s="46" t="s">
        <v>13</v>
      </c>
      <c r="C1136" s="46" t="s">
        <v>14</v>
      </c>
      <c r="D1136" s="47">
        <v>11107</v>
      </c>
      <c r="E1136" s="46" t="s">
        <v>2170</v>
      </c>
      <c r="F1136" s="48">
        <v>39797</v>
      </c>
      <c r="G1136" s="48">
        <v>41258</v>
      </c>
      <c r="H1136" s="46" t="s">
        <v>2039</v>
      </c>
      <c r="I1136" s="45">
        <v>67967.17</v>
      </c>
      <c r="J1136" s="45">
        <v>67932.17</v>
      </c>
      <c r="K1136" s="49" t="s">
        <v>2033</v>
      </c>
      <c r="L1136" s="45"/>
      <c r="M1136" s="3"/>
    </row>
    <row r="1137" spans="1:60" x14ac:dyDescent="0.25">
      <c r="A1137" s="46" t="s">
        <v>2171</v>
      </c>
      <c r="B1137" s="46" t="s">
        <v>13</v>
      </c>
      <c r="C1137" s="46" t="s">
        <v>14</v>
      </c>
      <c r="D1137" s="47">
        <v>11108</v>
      </c>
      <c r="E1137" s="46" t="s">
        <v>2171</v>
      </c>
      <c r="F1137" s="48">
        <v>40483</v>
      </c>
      <c r="G1137" s="48">
        <v>41090</v>
      </c>
      <c r="H1137" s="46" t="s">
        <v>2039</v>
      </c>
      <c r="I1137" s="45">
        <f>33686.08+33385.38</f>
        <v>67071.459999999992</v>
      </c>
      <c r="J1137" s="45">
        <f>33686.08+33385.38</f>
        <v>67071.459999999992</v>
      </c>
      <c r="K1137" s="49" t="s">
        <v>2033</v>
      </c>
      <c r="L1137" s="45"/>
      <c r="M1137" s="3"/>
    </row>
    <row r="1138" spans="1:60" x14ac:dyDescent="0.25">
      <c r="A1138" s="46" t="s">
        <v>2172</v>
      </c>
      <c r="B1138" s="46" t="s">
        <v>13</v>
      </c>
      <c r="C1138" s="46" t="s">
        <v>14</v>
      </c>
      <c r="D1138" s="47">
        <v>11109</v>
      </c>
      <c r="E1138" s="46" t="s">
        <v>2172</v>
      </c>
      <c r="F1138" s="48">
        <v>40575</v>
      </c>
      <c r="G1138" s="48">
        <v>41029</v>
      </c>
      <c r="H1138" s="46" t="s">
        <v>2039</v>
      </c>
      <c r="I1138" s="45">
        <v>51695.72</v>
      </c>
      <c r="J1138" s="45">
        <v>51695.72</v>
      </c>
      <c r="K1138" s="49" t="s">
        <v>2033</v>
      </c>
      <c r="L1138" s="45"/>
      <c r="M1138" s="3"/>
    </row>
    <row r="1139" spans="1:60" ht="25.5" x14ac:dyDescent="0.25">
      <c r="A1139" s="46" t="s">
        <v>2173</v>
      </c>
      <c r="B1139" s="46" t="s">
        <v>13</v>
      </c>
      <c r="C1139" s="46" t="s">
        <v>14</v>
      </c>
      <c r="D1139" s="47">
        <v>11110</v>
      </c>
      <c r="E1139" s="46" t="s">
        <v>2173</v>
      </c>
      <c r="F1139" s="48">
        <v>40718</v>
      </c>
      <c r="G1139" s="48">
        <v>40831</v>
      </c>
      <c r="H1139" s="46" t="s">
        <v>2039</v>
      </c>
      <c r="I1139" s="45">
        <f>12402.66-1684.2</f>
        <v>10718.46</v>
      </c>
      <c r="J1139" s="45">
        <f>12402.66-1684.2</f>
        <v>10718.46</v>
      </c>
      <c r="K1139" s="49" t="s">
        <v>2033</v>
      </c>
      <c r="L1139" s="45"/>
      <c r="M1139" s="3"/>
    </row>
    <row r="1140" spans="1:60" x14ac:dyDescent="0.25">
      <c r="A1140" s="46" t="s">
        <v>2174</v>
      </c>
      <c r="B1140" s="46" t="s">
        <v>13</v>
      </c>
      <c r="C1140" s="46" t="s">
        <v>14</v>
      </c>
      <c r="D1140" s="47">
        <v>11111</v>
      </c>
      <c r="E1140" s="46" t="s">
        <v>2175</v>
      </c>
      <c r="F1140" s="48">
        <v>40787</v>
      </c>
      <c r="G1140" s="48">
        <v>40896</v>
      </c>
      <c r="H1140" s="46" t="s">
        <v>2039</v>
      </c>
      <c r="I1140" s="45">
        <v>3306.64</v>
      </c>
      <c r="J1140" s="45">
        <v>12306.64</v>
      </c>
      <c r="K1140" s="49" t="s">
        <v>2033</v>
      </c>
      <c r="L1140" s="45"/>
      <c r="M1140" s="3"/>
    </row>
    <row r="1141" spans="1:60" ht="25.5" x14ac:dyDescent="0.25">
      <c r="A1141" s="46" t="s">
        <v>2176</v>
      </c>
      <c r="B1141" s="46" t="s">
        <v>13</v>
      </c>
      <c r="C1141" s="46" t="s">
        <v>14</v>
      </c>
      <c r="D1141" s="47">
        <v>11112</v>
      </c>
      <c r="E1141" s="46" t="s">
        <v>2176</v>
      </c>
      <c r="F1141" s="48">
        <v>40787</v>
      </c>
      <c r="G1141" s="48">
        <v>41213</v>
      </c>
      <c r="H1141" s="46" t="s">
        <v>2039</v>
      </c>
      <c r="I1141" s="45">
        <f>10552.93+101561.29</f>
        <v>112114.22</v>
      </c>
      <c r="J1141" s="45">
        <f>10552.93+101561.29</f>
        <v>112114.22</v>
      </c>
      <c r="K1141" s="49" t="s">
        <v>2033</v>
      </c>
      <c r="L1141" s="45"/>
      <c r="M1141" s="3"/>
    </row>
    <row r="1142" spans="1:60" ht="25.5" x14ac:dyDescent="0.25">
      <c r="A1142" s="46" t="s">
        <v>2177</v>
      </c>
      <c r="B1142" s="46" t="s">
        <v>13</v>
      </c>
      <c r="C1142" s="46" t="s">
        <v>14</v>
      </c>
      <c r="D1142" s="47">
        <v>11675</v>
      </c>
      <c r="E1142" s="46" t="s">
        <v>2178</v>
      </c>
      <c r="F1142" s="48">
        <v>40629</v>
      </c>
      <c r="G1142" s="48">
        <v>41275</v>
      </c>
      <c r="H1142" s="46" t="s">
        <v>2039</v>
      </c>
      <c r="I1142" s="45">
        <f>46559.59+74014.77</f>
        <v>120574.36</v>
      </c>
      <c r="J1142" s="45">
        <f>46559.59+74014.77</f>
        <v>120574.36</v>
      </c>
      <c r="K1142" s="49" t="s">
        <v>2033</v>
      </c>
      <c r="L1142" s="45"/>
      <c r="M1142" s="3"/>
    </row>
    <row r="1143" spans="1:60" ht="38.25" x14ac:dyDescent="0.25">
      <c r="A1143" s="46" t="s">
        <v>2179</v>
      </c>
      <c r="B1143" s="46" t="s">
        <v>13</v>
      </c>
      <c r="C1143" s="46" t="s">
        <v>14</v>
      </c>
      <c r="D1143" s="47">
        <v>11676</v>
      </c>
      <c r="E1143" s="46" t="s">
        <v>2180</v>
      </c>
      <c r="F1143" s="48">
        <v>40634</v>
      </c>
      <c r="G1143" s="48">
        <v>41455</v>
      </c>
      <c r="H1143" s="46" t="s">
        <v>2039</v>
      </c>
      <c r="I1143" s="45">
        <f>57389.21+6283.61</f>
        <v>63672.82</v>
      </c>
      <c r="J1143" s="45">
        <f>57389.21+6283.61</f>
        <v>63672.82</v>
      </c>
      <c r="K1143" s="49" t="s">
        <v>2033</v>
      </c>
      <c r="L1143" s="45"/>
      <c r="M1143" s="3"/>
    </row>
    <row r="1144" spans="1:60" ht="25.5" x14ac:dyDescent="0.25">
      <c r="A1144" s="46" t="s">
        <v>2181</v>
      </c>
      <c r="B1144" s="46" t="s">
        <v>13</v>
      </c>
      <c r="C1144" s="46" t="s">
        <v>14</v>
      </c>
      <c r="D1144" s="47">
        <v>11677</v>
      </c>
      <c r="E1144" s="46" t="s">
        <v>2182</v>
      </c>
      <c r="F1144" s="48">
        <v>40695</v>
      </c>
      <c r="G1144" s="48">
        <v>41243</v>
      </c>
      <c r="H1144" s="46" t="s">
        <v>2039</v>
      </c>
      <c r="I1144" s="45">
        <f>28868.42+103231.68</f>
        <v>132100.09999999998</v>
      </c>
      <c r="J1144" s="45">
        <f>28868.42+103231.68</f>
        <v>132100.09999999998</v>
      </c>
      <c r="K1144" s="49" t="s">
        <v>2033</v>
      </c>
      <c r="L1144" s="45"/>
      <c r="M1144" s="3"/>
    </row>
    <row r="1145" spans="1:60" ht="38.25" x14ac:dyDescent="0.25">
      <c r="A1145" s="46" t="s">
        <v>2183</v>
      </c>
      <c r="B1145" s="46" t="s">
        <v>13</v>
      </c>
      <c r="C1145" s="46" t="s">
        <v>14</v>
      </c>
      <c r="D1145" s="47">
        <v>11678</v>
      </c>
      <c r="E1145" s="46" t="s">
        <v>2184</v>
      </c>
      <c r="F1145" s="48">
        <v>40756</v>
      </c>
      <c r="G1145" s="48">
        <v>41593</v>
      </c>
      <c r="H1145" s="46" t="s">
        <v>2039</v>
      </c>
      <c r="I1145" s="45">
        <f>31911.33+109536.29</f>
        <v>141447.62</v>
      </c>
      <c r="J1145" s="45">
        <f>31911.33+109536.29</f>
        <v>141447.62</v>
      </c>
      <c r="K1145" s="49" t="s">
        <v>2033</v>
      </c>
      <c r="L1145" s="45"/>
      <c r="M1145" s="3"/>
    </row>
    <row r="1146" spans="1:60" ht="38.25" x14ac:dyDescent="0.25">
      <c r="A1146" s="46" t="s">
        <v>2185</v>
      </c>
      <c r="B1146" s="46" t="s">
        <v>13</v>
      </c>
      <c r="C1146" s="46" t="s">
        <v>14</v>
      </c>
      <c r="D1146" s="47">
        <v>11679</v>
      </c>
      <c r="E1146" s="46" t="s">
        <v>2186</v>
      </c>
      <c r="F1146" s="48">
        <v>40725</v>
      </c>
      <c r="G1146" s="48">
        <v>41883</v>
      </c>
      <c r="H1146" s="46" t="s">
        <v>2039</v>
      </c>
      <c r="I1146" s="45">
        <f>49559.21+83315.1</f>
        <v>132874.31</v>
      </c>
      <c r="J1146" s="45">
        <f>49559.21+83315.14</f>
        <v>132874.35</v>
      </c>
      <c r="K1146" s="49" t="s">
        <v>2033</v>
      </c>
      <c r="L1146" s="45"/>
      <c r="M1146" s="3"/>
    </row>
    <row r="1147" spans="1:60" ht="38.25" x14ac:dyDescent="0.25">
      <c r="A1147" s="46" t="s">
        <v>2187</v>
      </c>
      <c r="B1147" s="46" t="s">
        <v>13</v>
      </c>
      <c r="C1147" s="46" t="s">
        <v>14</v>
      </c>
      <c r="D1147" s="47">
        <v>11680</v>
      </c>
      <c r="E1147" s="46" t="s">
        <v>2188</v>
      </c>
      <c r="F1147" s="48">
        <v>40787</v>
      </c>
      <c r="G1147" s="48">
        <v>41883</v>
      </c>
      <c r="H1147" s="46" t="s">
        <v>2039</v>
      </c>
      <c r="I1147" s="45">
        <f>10188.12+58942.49</f>
        <v>69130.61</v>
      </c>
      <c r="J1147" s="45">
        <f>10188.12+58942.45</f>
        <v>69130.569999999992</v>
      </c>
      <c r="K1147" s="49" t="s">
        <v>2033</v>
      </c>
      <c r="L1147" s="46"/>
      <c r="M1147" s="3"/>
    </row>
    <row r="1148" spans="1:60" x14ac:dyDescent="0.25">
      <c r="A1148" s="46" t="s">
        <v>11405</v>
      </c>
      <c r="B1148" s="61" t="s">
        <v>13</v>
      </c>
      <c r="C1148" s="61" t="s">
        <v>14</v>
      </c>
      <c r="D1148" s="62">
        <v>12915</v>
      </c>
      <c r="E1148" s="46" t="s">
        <v>11406</v>
      </c>
      <c r="F1148" s="63">
        <v>41115</v>
      </c>
      <c r="G1148" s="63">
        <v>41480</v>
      </c>
      <c r="H1148" s="46" t="s">
        <v>2039</v>
      </c>
      <c r="I1148" s="64">
        <f>39794.15</f>
        <v>39794.15</v>
      </c>
      <c r="J1148" s="64">
        <f>39794.15</f>
        <v>39794.15</v>
      </c>
      <c r="K1148" s="65" t="s">
        <v>2033</v>
      </c>
      <c r="L1148" s="6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row>
    <row r="1149" spans="1:60" x14ac:dyDescent="0.25">
      <c r="A1149" s="46" t="s">
        <v>11604</v>
      </c>
      <c r="B1149" s="61" t="s">
        <v>13</v>
      </c>
      <c r="C1149" s="61" t="s">
        <v>14</v>
      </c>
      <c r="D1149" s="62">
        <v>12916</v>
      </c>
      <c r="E1149" s="46" t="s">
        <v>11604</v>
      </c>
      <c r="F1149" s="61"/>
      <c r="G1149" s="61"/>
      <c r="H1149" s="46" t="s">
        <v>2039</v>
      </c>
      <c r="I1149" s="64">
        <v>12975.4</v>
      </c>
      <c r="J1149" s="64">
        <v>12975.4</v>
      </c>
      <c r="K1149" s="65" t="s">
        <v>2033</v>
      </c>
      <c r="L1149" s="6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row>
    <row r="1150" spans="1:60" x14ac:dyDescent="0.25">
      <c r="A1150" s="46" t="s">
        <v>11605</v>
      </c>
      <c r="B1150" s="61" t="s">
        <v>13</v>
      </c>
      <c r="C1150" s="61" t="s">
        <v>14</v>
      </c>
      <c r="D1150" s="62">
        <v>12950</v>
      </c>
      <c r="E1150" s="46" t="s">
        <v>11605</v>
      </c>
      <c r="F1150" s="63">
        <v>40969</v>
      </c>
      <c r="G1150" s="63">
        <v>41152</v>
      </c>
      <c r="H1150" s="46" t="s">
        <v>2039</v>
      </c>
      <c r="I1150" s="64">
        <v>10492</v>
      </c>
      <c r="J1150" s="64">
        <v>10492</v>
      </c>
      <c r="K1150" s="65" t="s">
        <v>2033</v>
      </c>
      <c r="L1150" s="6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row>
    <row r="1151" spans="1:60" ht="38.25" x14ac:dyDescent="0.25">
      <c r="A1151" s="46" t="s">
        <v>11606</v>
      </c>
      <c r="B1151" s="61" t="s">
        <v>13</v>
      </c>
      <c r="C1151" s="61" t="s">
        <v>14</v>
      </c>
      <c r="D1151" s="62">
        <v>12951</v>
      </c>
      <c r="E1151" s="46" t="s">
        <v>11606</v>
      </c>
      <c r="F1151" s="63">
        <v>40969</v>
      </c>
      <c r="G1151" s="63">
        <v>41152</v>
      </c>
      <c r="H1151" s="46" t="s">
        <v>2039</v>
      </c>
      <c r="I1151" s="64">
        <v>4228.53</v>
      </c>
      <c r="J1151" s="64">
        <v>4228.53</v>
      </c>
      <c r="K1151" s="65" t="s">
        <v>2033</v>
      </c>
      <c r="L1151" s="6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row>
    <row r="1152" spans="1:60" ht="25.5" x14ac:dyDescent="0.25">
      <c r="A1152" s="46" t="s">
        <v>11607</v>
      </c>
      <c r="B1152" s="61" t="s">
        <v>13</v>
      </c>
      <c r="C1152" s="61" t="s">
        <v>14</v>
      </c>
      <c r="D1152" s="62">
        <v>12952</v>
      </c>
      <c r="E1152" s="46" t="s">
        <v>11607</v>
      </c>
      <c r="F1152" s="63">
        <v>41147</v>
      </c>
      <c r="G1152" s="63">
        <v>41269</v>
      </c>
      <c r="H1152" s="46" t="s">
        <v>2039</v>
      </c>
      <c r="I1152" s="64">
        <v>2169.7199999999998</v>
      </c>
      <c r="J1152" s="64">
        <v>2169.7199999999998</v>
      </c>
      <c r="K1152" s="65" t="s">
        <v>2033</v>
      </c>
      <c r="L1152" s="6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row>
    <row r="1153" spans="1:60" ht="25.5" x14ac:dyDescent="0.25">
      <c r="A1153" s="46" t="s">
        <v>11608</v>
      </c>
      <c r="B1153" s="61" t="s">
        <v>13</v>
      </c>
      <c r="C1153" s="61" t="s">
        <v>14</v>
      </c>
      <c r="D1153" s="62">
        <v>12953</v>
      </c>
      <c r="E1153" s="46" t="s">
        <v>11608</v>
      </c>
      <c r="F1153" s="63">
        <v>40909</v>
      </c>
      <c r="G1153" s="63">
        <v>41684</v>
      </c>
      <c r="H1153" s="46" t="s">
        <v>2039</v>
      </c>
      <c r="I1153" s="64">
        <v>108421.6</v>
      </c>
      <c r="J1153" s="64">
        <v>108421.6</v>
      </c>
      <c r="K1153" s="65" t="s">
        <v>2033</v>
      </c>
      <c r="L1153" s="6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row>
    <row r="1154" spans="1:60" ht="25.5" x14ac:dyDescent="0.25">
      <c r="A1154" s="46" t="s">
        <v>11609</v>
      </c>
      <c r="B1154" s="61" t="s">
        <v>13</v>
      </c>
      <c r="C1154" s="61" t="s">
        <v>14</v>
      </c>
      <c r="D1154" s="62">
        <v>12954</v>
      </c>
      <c r="E1154" s="46" t="s">
        <v>11609</v>
      </c>
      <c r="F1154" s="63">
        <v>40969</v>
      </c>
      <c r="G1154" s="63">
        <v>41578</v>
      </c>
      <c r="H1154" s="46" t="s">
        <v>2039</v>
      </c>
      <c r="I1154" s="64">
        <v>36725.440000000002</v>
      </c>
      <c r="J1154" s="64">
        <v>36725.440000000002</v>
      </c>
      <c r="K1154" s="65" t="s">
        <v>2033</v>
      </c>
      <c r="L1154" s="6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row>
    <row r="1155" spans="1:60" ht="38.25" x14ac:dyDescent="0.25">
      <c r="A1155" s="46" t="s">
        <v>11610</v>
      </c>
      <c r="B1155" s="61" t="s">
        <v>13</v>
      </c>
      <c r="C1155" s="61" t="s">
        <v>14</v>
      </c>
      <c r="D1155" s="62">
        <v>12955</v>
      </c>
      <c r="E1155" s="46" t="s">
        <v>11610</v>
      </c>
      <c r="F1155" s="63">
        <v>41153</v>
      </c>
      <c r="G1155" s="63">
        <v>41943</v>
      </c>
      <c r="H1155" s="46" t="s">
        <v>2039</v>
      </c>
      <c r="I1155" s="64">
        <v>20673.330000000002</v>
      </c>
      <c r="J1155" s="64">
        <v>20673.330000000002</v>
      </c>
      <c r="K1155" s="65" t="s">
        <v>2033</v>
      </c>
      <c r="L1155" s="6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row>
    <row r="1156" spans="1:60" ht="25.5" x14ac:dyDescent="0.25">
      <c r="A1156" s="46" t="s">
        <v>11611</v>
      </c>
      <c r="B1156" s="61" t="s">
        <v>13</v>
      </c>
      <c r="C1156" s="61" t="s">
        <v>14</v>
      </c>
      <c r="D1156" s="62">
        <v>12956</v>
      </c>
      <c r="E1156" s="46" t="s">
        <v>11611</v>
      </c>
      <c r="F1156" s="63">
        <v>40817</v>
      </c>
      <c r="G1156" s="63">
        <v>41912</v>
      </c>
      <c r="H1156" s="46" t="s">
        <v>2039</v>
      </c>
      <c r="I1156" s="64">
        <v>59412.800000000003</v>
      </c>
      <c r="J1156" s="64">
        <v>59412.800000000003</v>
      </c>
      <c r="K1156" s="65" t="s">
        <v>2033</v>
      </c>
      <c r="L1156" s="6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row>
    <row r="1157" spans="1:60" ht="25.5" x14ac:dyDescent="0.25">
      <c r="A1157" s="46" t="s">
        <v>11407</v>
      </c>
      <c r="B1157" s="61" t="s">
        <v>13</v>
      </c>
      <c r="C1157" s="61" t="s">
        <v>14</v>
      </c>
      <c r="D1157" s="62">
        <v>13110</v>
      </c>
      <c r="E1157" s="46" t="s">
        <v>11407</v>
      </c>
      <c r="F1157" s="63">
        <v>41136</v>
      </c>
      <c r="G1157" s="63">
        <v>41228</v>
      </c>
      <c r="H1157" s="46" t="s">
        <v>2039</v>
      </c>
      <c r="I1157" s="64">
        <v>13529.99</v>
      </c>
      <c r="J1157" s="64">
        <v>13529.99</v>
      </c>
      <c r="K1157" s="65" t="s">
        <v>2033</v>
      </c>
      <c r="L1157" s="6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row>
    <row r="1158" spans="1:60" ht="25.5" x14ac:dyDescent="0.25">
      <c r="A1158" s="46" t="s">
        <v>11408</v>
      </c>
      <c r="B1158" s="61" t="s">
        <v>13</v>
      </c>
      <c r="C1158" s="61" t="s">
        <v>14</v>
      </c>
      <c r="D1158" s="62">
        <v>13111</v>
      </c>
      <c r="E1158" s="46" t="s">
        <v>11408</v>
      </c>
      <c r="F1158" s="63">
        <v>41106</v>
      </c>
      <c r="G1158" s="63">
        <v>41218</v>
      </c>
      <c r="H1158" s="46" t="s">
        <v>2039</v>
      </c>
      <c r="I1158" s="64">
        <v>3997.5</v>
      </c>
      <c r="J1158" s="64">
        <v>3997.5</v>
      </c>
      <c r="K1158" s="65" t="s">
        <v>2033</v>
      </c>
      <c r="L1158" s="6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row>
    <row r="1159" spans="1:60" ht="25.5" x14ac:dyDescent="0.25">
      <c r="A1159" s="46" t="s">
        <v>11409</v>
      </c>
      <c r="B1159" s="61" t="s">
        <v>13</v>
      </c>
      <c r="C1159" s="61" t="s">
        <v>14</v>
      </c>
      <c r="D1159" s="62">
        <v>13112</v>
      </c>
      <c r="E1159" s="46" t="s">
        <v>11410</v>
      </c>
      <c r="F1159" s="63">
        <v>40966</v>
      </c>
      <c r="G1159" s="63">
        <v>41136</v>
      </c>
      <c r="H1159" s="46" t="s">
        <v>2039</v>
      </c>
      <c r="I1159" s="64">
        <v>11999.88</v>
      </c>
      <c r="J1159" s="64">
        <v>11999.88</v>
      </c>
      <c r="K1159" s="65" t="s">
        <v>2033</v>
      </c>
      <c r="L1159" s="6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row>
    <row r="1160" spans="1:60" ht="25.5" x14ac:dyDescent="0.25">
      <c r="A1160" s="46" t="s">
        <v>11494</v>
      </c>
      <c r="B1160" s="61" t="s">
        <v>13</v>
      </c>
      <c r="C1160" s="61" t="s">
        <v>14</v>
      </c>
      <c r="D1160" s="62">
        <v>13113</v>
      </c>
      <c r="E1160" s="46" t="s">
        <v>11495</v>
      </c>
      <c r="F1160" s="63">
        <v>41153</v>
      </c>
      <c r="G1160" s="63">
        <v>41599</v>
      </c>
      <c r="H1160" s="46" t="s">
        <v>2039</v>
      </c>
      <c r="I1160" s="64">
        <v>21487.54</v>
      </c>
      <c r="J1160" s="64">
        <v>21487.54</v>
      </c>
      <c r="K1160" s="65" t="s">
        <v>2033</v>
      </c>
      <c r="L1160" s="6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row>
    <row r="1161" spans="1:60" x14ac:dyDescent="0.25">
      <c r="A1161" s="46" t="s">
        <v>11411</v>
      </c>
      <c r="B1161" s="61" t="s">
        <v>13</v>
      </c>
      <c r="C1161" s="61" t="s">
        <v>14</v>
      </c>
      <c r="D1161" s="62">
        <v>13115</v>
      </c>
      <c r="E1161" s="46" t="s">
        <v>11412</v>
      </c>
      <c r="F1161" s="63">
        <v>41122</v>
      </c>
      <c r="G1161" s="63">
        <v>41608</v>
      </c>
      <c r="H1161" s="46" t="s">
        <v>2039</v>
      </c>
      <c r="I1161" s="64">
        <v>4014.57</v>
      </c>
      <c r="J1161" s="64">
        <v>4014.57</v>
      </c>
      <c r="K1161" s="65" t="s">
        <v>2033</v>
      </c>
      <c r="L1161" s="6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row>
    <row r="1162" spans="1:60" x14ac:dyDescent="0.25">
      <c r="A1162" s="46" t="s">
        <v>11413</v>
      </c>
      <c r="B1162" s="61" t="s">
        <v>13</v>
      </c>
      <c r="C1162" s="61" t="s">
        <v>14</v>
      </c>
      <c r="D1162" s="62">
        <v>13116</v>
      </c>
      <c r="E1162" s="46" t="s">
        <v>11413</v>
      </c>
      <c r="F1162" s="63">
        <v>40878</v>
      </c>
      <c r="G1162" s="63">
        <v>41578</v>
      </c>
      <c r="H1162" s="46" t="s">
        <v>2039</v>
      </c>
      <c r="I1162" s="64">
        <v>49459.63</v>
      </c>
      <c r="J1162" s="64">
        <v>49459.63</v>
      </c>
      <c r="K1162" s="65" t="s">
        <v>2033</v>
      </c>
      <c r="L1162" s="6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row>
    <row r="1163" spans="1:60" x14ac:dyDescent="0.25">
      <c r="A1163" s="46" t="s">
        <v>11414</v>
      </c>
      <c r="B1163" s="61" t="s">
        <v>13</v>
      </c>
      <c r="C1163" s="61" t="s">
        <v>14</v>
      </c>
      <c r="D1163" s="62">
        <v>13117</v>
      </c>
      <c r="E1163" s="46" t="s">
        <v>11414</v>
      </c>
      <c r="F1163" s="63">
        <v>41065</v>
      </c>
      <c r="G1163" s="63">
        <v>41578</v>
      </c>
      <c r="H1163" s="46" t="s">
        <v>2039</v>
      </c>
      <c r="I1163" s="64">
        <v>33053.01</v>
      </c>
      <c r="J1163" s="64">
        <v>33053.01</v>
      </c>
      <c r="K1163" s="65" t="s">
        <v>2033</v>
      </c>
      <c r="L1163" s="6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row>
    <row r="1164" spans="1:60" ht="25.5" x14ac:dyDescent="0.25">
      <c r="A1164" s="46" t="s">
        <v>11415</v>
      </c>
      <c r="B1164" s="61" t="s">
        <v>13</v>
      </c>
      <c r="C1164" s="61" t="s">
        <v>14</v>
      </c>
      <c r="D1164" s="62">
        <v>13118</v>
      </c>
      <c r="E1164" s="46" t="s">
        <v>11415</v>
      </c>
      <c r="F1164" s="63">
        <v>40969</v>
      </c>
      <c r="G1164" s="63">
        <v>41577</v>
      </c>
      <c r="H1164" s="46" t="s">
        <v>2039</v>
      </c>
      <c r="I1164" s="64">
        <v>1115.8599999999999</v>
      </c>
      <c r="J1164" s="64">
        <v>1115.8599999999999</v>
      </c>
      <c r="K1164" s="65" t="s">
        <v>2033</v>
      </c>
      <c r="L1164" s="6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row>
    <row r="1165" spans="1:60" x14ac:dyDescent="0.25">
      <c r="A1165" s="46" t="s">
        <v>2189</v>
      </c>
      <c r="B1165" s="46" t="s">
        <v>13</v>
      </c>
      <c r="C1165" s="46" t="s">
        <v>14</v>
      </c>
      <c r="D1165" s="47">
        <v>9462</v>
      </c>
      <c r="E1165" s="46" t="s">
        <v>2190</v>
      </c>
      <c r="F1165" s="48">
        <v>39400</v>
      </c>
      <c r="G1165" s="48">
        <v>39446</v>
      </c>
      <c r="H1165" s="46" t="s">
        <v>389</v>
      </c>
      <c r="I1165" s="45">
        <v>48600</v>
      </c>
      <c r="J1165" s="45">
        <v>19258.2</v>
      </c>
      <c r="K1165" s="49" t="s">
        <v>2033</v>
      </c>
      <c r="L1165" s="45"/>
      <c r="M1165" s="3"/>
    </row>
    <row r="1166" spans="1:60" x14ac:dyDescent="0.25">
      <c r="A1166" s="46" t="s">
        <v>2191</v>
      </c>
      <c r="B1166" s="46" t="s">
        <v>13</v>
      </c>
      <c r="C1166" s="46" t="s">
        <v>14</v>
      </c>
      <c r="D1166" s="47">
        <v>9886</v>
      </c>
      <c r="E1166" s="46" t="s">
        <v>2192</v>
      </c>
      <c r="F1166" s="48">
        <v>40406</v>
      </c>
      <c r="G1166" s="48">
        <v>40535</v>
      </c>
      <c r="H1166" s="46" t="s">
        <v>392</v>
      </c>
      <c r="I1166" s="45">
        <v>97306.92</v>
      </c>
      <c r="J1166" s="45">
        <v>13038.7</v>
      </c>
      <c r="K1166" s="49" t="s">
        <v>2033</v>
      </c>
      <c r="L1166" s="45"/>
      <c r="M1166" s="3"/>
    </row>
    <row r="1167" spans="1:60" ht="51" x14ac:dyDescent="0.25">
      <c r="A1167" s="46" t="s">
        <v>2193</v>
      </c>
      <c r="B1167" s="46" t="s">
        <v>13</v>
      </c>
      <c r="C1167" s="46" t="s">
        <v>14</v>
      </c>
      <c r="D1167" s="47">
        <v>6929</v>
      </c>
      <c r="E1167" s="50" t="s">
        <v>2194</v>
      </c>
      <c r="F1167" s="48">
        <v>39083</v>
      </c>
      <c r="G1167" s="48">
        <v>40908</v>
      </c>
      <c r="H1167" s="46" t="s">
        <v>2195</v>
      </c>
      <c r="I1167" s="45">
        <v>5600000</v>
      </c>
      <c r="J1167" s="45">
        <v>5316686.01</v>
      </c>
      <c r="K1167" s="49" t="s">
        <v>2033</v>
      </c>
      <c r="L1167" s="45"/>
      <c r="M1167" s="3"/>
    </row>
    <row r="1168" spans="1:60" x14ac:dyDescent="0.25">
      <c r="A1168" s="46" t="s">
        <v>2350</v>
      </c>
      <c r="B1168" s="46" t="s">
        <v>13</v>
      </c>
      <c r="C1168" s="46" t="s">
        <v>14</v>
      </c>
      <c r="D1168" s="47">
        <v>2211</v>
      </c>
      <c r="E1168" s="46" t="s">
        <v>2285</v>
      </c>
      <c r="F1168" s="48">
        <v>39575</v>
      </c>
      <c r="G1168" s="48">
        <v>39722</v>
      </c>
      <c r="H1168" s="46" t="s">
        <v>40</v>
      </c>
      <c r="I1168" s="45">
        <v>1400</v>
      </c>
      <c r="J1168" s="45">
        <v>1400</v>
      </c>
      <c r="K1168" s="49" t="s">
        <v>2033</v>
      </c>
      <c r="L1168" s="45"/>
      <c r="M1168" s="3"/>
    </row>
    <row r="1169" spans="1:60" x14ac:dyDescent="0.25">
      <c r="A1169" s="46" t="s">
        <v>2392</v>
      </c>
      <c r="B1169" s="46" t="s">
        <v>13</v>
      </c>
      <c r="C1169" s="46" t="s">
        <v>14</v>
      </c>
      <c r="D1169" s="47">
        <v>5802</v>
      </c>
      <c r="E1169" s="46" t="s">
        <v>2393</v>
      </c>
      <c r="F1169" s="48">
        <v>39874</v>
      </c>
      <c r="G1169" s="48">
        <v>40035</v>
      </c>
      <c r="H1169" s="46" t="s">
        <v>40</v>
      </c>
      <c r="I1169" s="45">
        <v>15000</v>
      </c>
      <c r="J1169" s="45">
        <v>7500</v>
      </c>
      <c r="K1169" s="49" t="s">
        <v>2033</v>
      </c>
      <c r="L1169" s="45"/>
      <c r="M1169" s="3"/>
    </row>
    <row r="1170" spans="1:60" ht="63.75" x14ac:dyDescent="0.25">
      <c r="A1170" s="56" t="s">
        <v>2591</v>
      </c>
      <c r="B1170" s="56" t="s">
        <v>13</v>
      </c>
      <c r="C1170" s="56" t="s">
        <v>2033</v>
      </c>
      <c r="D1170" s="57">
        <v>3591</v>
      </c>
      <c r="E1170" s="68" t="s">
        <v>2592</v>
      </c>
      <c r="F1170" s="58">
        <v>39083</v>
      </c>
      <c r="G1170" s="58">
        <v>42369</v>
      </c>
      <c r="H1170" s="56" t="s">
        <v>2593</v>
      </c>
      <c r="I1170" s="55">
        <v>1052668.8600000001</v>
      </c>
      <c r="J1170" s="55">
        <v>1052668.8600000001</v>
      </c>
      <c r="K1170" s="69" t="s">
        <v>2033</v>
      </c>
      <c r="L1170" s="55"/>
      <c r="M1170" s="12"/>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c r="AO1170" s="9"/>
      <c r="AP1170" s="9"/>
      <c r="AQ1170" s="9"/>
      <c r="AR1170" s="9"/>
      <c r="AS1170" s="9"/>
      <c r="AT1170" s="9"/>
      <c r="AU1170" s="9"/>
      <c r="AV1170" s="9"/>
      <c r="AW1170" s="9"/>
      <c r="AX1170" s="9"/>
      <c r="AY1170" s="9"/>
      <c r="AZ1170" s="9"/>
      <c r="BA1170" s="9"/>
      <c r="BB1170" s="9"/>
      <c r="BC1170" s="9"/>
      <c r="BD1170" s="9"/>
      <c r="BE1170" s="9"/>
      <c r="BF1170" s="9"/>
      <c r="BG1170" s="9"/>
      <c r="BH1170" s="9"/>
    </row>
    <row r="1171" spans="1:60" ht="51" x14ac:dyDescent="0.25">
      <c r="A1171" s="56" t="s">
        <v>2594</v>
      </c>
      <c r="B1171" s="56" t="s">
        <v>13</v>
      </c>
      <c r="C1171" s="56" t="s">
        <v>2033</v>
      </c>
      <c r="D1171" s="57">
        <v>3596</v>
      </c>
      <c r="E1171" s="68" t="s">
        <v>2595</v>
      </c>
      <c r="F1171" s="58">
        <v>39083</v>
      </c>
      <c r="G1171" s="58">
        <v>42369</v>
      </c>
      <c r="H1171" s="56" t="s">
        <v>2593</v>
      </c>
      <c r="I1171" s="55">
        <v>441522.26</v>
      </c>
      <c r="J1171" s="55">
        <v>441522.26</v>
      </c>
      <c r="K1171" s="69" t="s">
        <v>2033</v>
      </c>
      <c r="L1171" s="55"/>
      <c r="M1171" s="12"/>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c r="AS1171" s="9"/>
      <c r="AT1171" s="9"/>
      <c r="AU1171" s="9"/>
      <c r="AV1171" s="9"/>
      <c r="AW1171" s="9"/>
      <c r="AX1171" s="9"/>
      <c r="AY1171" s="9"/>
      <c r="AZ1171" s="9"/>
      <c r="BA1171" s="9"/>
      <c r="BB1171" s="9"/>
      <c r="BC1171" s="9"/>
      <c r="BD1171" s="9"/>
      <c r="BE1171" s="9"/>
      <c r="BF1171" s="9"/>
      <c r="BG1171" s="9"/>
      <c r="BH1171" s="9"/>
    </row>
    <row r="1172" spans="1:60" ht="38.25" x14ac:dyDescent="0.25">
      <c r="A1172" s="56" t="s">
        <v>2596</v>
      </c>
      <c r="B1172" s="56" t="s">
        <v>13</v>
      </c>
      <c r="C1172" s="56" t="s">
        <v>2033</v>
      </c>
      <c r="D1172" s="57">
        <v>3616</v>
      </c>
      <c r="E1172" s="68" t="s">
        <v>2597</v>
      </c>
      <c r="F1172" s="58">
        <v>39083</v>
      </c>
      <c r="G1172" s="58">
        <v>42369</v>
      </c>
      <c r="H1172" s="56" t="s">
        <v>2593</v>
      </c>
      <c r="I1172" s="55">
        <v>316787.68</v>
      </c>
      <c r="J1172" s="55">
        <v>316787.08</v>
      </c>
      <c r="K1172" s="69" t="s">
        <v>2033</v>
      </c>
      <c r="L1172" s="55"/>
      <c r="M1172" s="12"/>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c r="AO1172" s="9"/>
      <c r="AP1172" s="9"/>
      <c r="AQ1172" s="9"/>
      <c r="AR1172" s="9"/>
      <c r="AS1172" s="9"/>
      <c r="AT1172" s="9"/>
      <c r="AU1172" s="9"/>
      <c r="AV1172" s="9"/>
      <c r="AW1172" s="9"/>
      <c r="AX1172" s="9"/>
      <c r="AY1172" s="9"/>
      <c r="AZ1172" s="9"/>
      <c r="BA1172" s="9"/>
      <c r="BB1172" s="9"/>
      <c r="BC1172" s="9"/>
      <c r="BD1172" s="9"/>
      <c r="BE1172" s="9"/>
      <c r="BF1172" s="9"/>
      <c r="BG1172" s="9"/>
      <c r="BH1172" s="9"/>
    </row>
    <row r="1173" spans="1:60" ht="38.25" x14ac:dyDescent="0.25">
      <c r="A1173" s="56" t="s">
        <v>2598</v>
      </c>
      <c r="B1173" s="56" t="s">
        <v>13</v>
      </c>
      <c r="C1173" s="56" t="s">
        <v>2033</v>
      </c>
      <c r="D1173" s="57">
        <v>4030</v>
      </c>
      <c r="E1173" s="68" t="s">
        <v>2599</v>
      </c>
      <c r="F1173" s="58">
        <v>39083</v>
      </c>
      <c r="G1173" s="58">
        <v>42369</v>
      </c>
      <c r="H1173" s="56" t="s">
        <v>2593</v>
      </c>
      <c r="I1173" s="55">
        <v>7110626.9800000004</v>
      </c>
      <c r="J1173" s="55">
        <v>7110626.9800000004</v>
      </c>
      <c r="K1173" s="69" t="s">
        <v>2033</v>
      </c>
      <c r="L1173" s="55"/>
      <c r="M1173" s="12"/>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c r="AS1173" s="9"/>
      <c r="AT1173" s="9"/>
      <c r="AU1173" s="9"/>
      <c r="AV1173" s="9"/>
      <c r="AW1173" s="9"/>
      <c r="AX1173" s="9"/>
      <c r="AY1173" s="9"/>
      <c r="AZ1173" s="9"/>
      <c r="BA1173" s="9"/>
      <c r="BB1173" s="9"/>
      <c r="BC1173" s="9"/>
      <c r="BD1173" s="9"/>
      <c r="BE1173" s="9"/>
      <c r="BF1173" s="9"/>
      <c r="BG1173" s="9"/>
      <c r="BH1173" s="9"/>
    </row>
    <row r="1174" spans="1:60" ht="76.5" x14ac:dyDescent="0.25">
      <c r="A1174" s="56" t="s">
        <v>2600</v>
      </c>
      <c r="B1174" s="56" t="s">
        <v>13</v>
      </c>
      <c r="C1174" s="56" t="s">
        <v>2033</v>
      </c>
      <c r="D1174" s="57">
        <v>4109</v>
      </c>
      <c r="E1174" s="68" t="s">
        <v>2601</v>
      </c>
      <c r="F1174" s="58">
        <v>39083</v>
      </c>
      <c r="G1174" s="58">
        <v>42369</v>
      </c>
      <c r="H1174" s="56" t="s">
        <v>2593</v>
      </c>
      <c r="I1174" s="55">
        <v>3201264.45</v>
      </c>
      <c r="J1174" s="55">
        <v>3201264.45</v>
      </c>
      <c r="K1174" s="69" t="s">
        <v>2033</v>
      </c>
      <c r="L1174" s="55"/>
      <c r="M1174" s="12"/>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c r="AR1174" s="9"/>
      <c r="AS1174" s="9"/>
      <c r="AT1174" s="9"/>
      <c r="AU1174" s="9"/>
      <c r="AV1174" s="9"/>
      <c r="AW1174" s="9"/>
      <c r="AX1174" s="9"/>
      <c r="AY1174" s="9"/>
      <c r="AZ1174" s="9"/>
      <c r="BA1174" s="9"/>
      <c r="BB1174" s="9"/>
      <c r="BC1174" s="9"/>
      <c r="BD1174" s="9"/>
      <c r="BE1174" s="9"/>
      <c r="BF1174" s="9"/>
      <c r="BG1174" s="9"/>
      <c r="BH1174" s="9"/>
    </row>
    <row r="1175" spans="1:60" ht="63.75" x14ac:dyDescent="0.25">
      <c r="A1175" s="56" t="s">
        <v>2602</v>
      </c>
      <c r="B1175" s="56" t="s">
        <v>13</v>
      </c>
      <c r="C1175" s="56" t="s">
        <v>2033</v>
      </c>
      <c r="D1175" s="57">
        <v>4110</v>
      </c>
      <c r="E1175" s="68" t="s">
        <v>2603</v>
      </c>
      <c r="F1175" s="58">
        <v>39083</v>
      </c>
      <c r="G1175" s="58">
        <v>42369</v>
      </c>
      <c r="H1175" s="56" t="s">
        <v>2593</v>
      </c>
      <c r="I1175" s="55">
        <v>2083330.94</v>
      </c>
      <c r="J1175" s="55">
        <v>2083330.94</v>
      </c>
      <c r="K1175" s="69" t="s">
        <v>2033</v>
      </c>
      <c r="L1175" s="55"/>
      <c r="M1175" s="12"/>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c r="AO1175" s="9"/>
      <c r="AP1175" s="9"/>
      <c r="AQ1175" s="9"/>
      <c r="AR1175" s="9"/>
      <c r="AS1175" s="9"/>
      <c r="AT1175" s="9"/>
      <c r="AU1175" s="9"/>
      <c r="AV1175" s="9"/>
      <c r="AW1175" s="9"/>
      <c r="AX1175" s="9"/>
      <c r="AY1175" s="9"/>
      <c r="AZ1175" s="9"/>
      <c r="BA1175" s="9"/>
      <c r="BB1175" s="9"/>
      <c r="BC1175" s="9"/>
      <c r="BD1175" s="9"/>
      <c r="BE1175" s="9"/>
      <c r="BF1175" s="9"/>
      <c r="BG1175" s="9"/>
      <c r="BH1175" s="9"/>
    </row>
    <row r="1176" spans="1:60" ht="51" x14ac:dyDescent="0.25">
      <c r="A1176" s="56" t="s">
        <v>2604</v>
      </c>
      <c r="B1176" s="56" t="s">
        <v>13</v>
      </c>
      <c r="C1176" s="56" t="s">
        <v>2033</v>
      </c>
      <c r="D1176" s="57">
        <v>4111</v>
      </c>
      <c r="E1176" s="68" t="s">
        <v>2605</v>
      </c>
      <c r="F1176" s="58">
        <v>39083</v>
      </c>
      <c r="G1176" s="58">
        <v>42369</v>
      </c>
      <c r="H1176" s="56" t="s">
        <v>2593</v>
      </c>
      <c r="I1176" s="55">
        <v>311013.21999999997</v>
      </c>
      <c r="J1176" s="55">
        <v>311013.21999999997</v>
      </c>
      <c r="K1176" s="69" t="s">
        <v>2033</v>
      </c>
      <c r="L1176" s="55"/>
      <c r="M1176" s="12"/>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c r="AO1176" s="9"/>
      <c r="AP1176" s="9"/>
      <c r="AQ1176" s="9"/>
      <c r="AR1176" s="9"/>
      <c r="AS1176" s="9"/>
      <c r="AT1176" s="9"/>
      <c r="AU1176" s="9"/>
      <c r="AV1176" s="9"/>
      <c r="AW1176" s="9"/>
      <c r="AX1176" s="9"/>
      <c r="AY1176" s="9"/>
      <c r="AZ1176" s="9"/>
      <c r="BA1176" s="9"/>
      <c r="BB1176" s="9"/>
      <c r="BC1176" s="9"/>
      <c r="BD1176" s="9"/>
      <c r="BE1176" s="9"/>
      <c r="BF1176" s="9"/>
      <c r="BG1176" s="9"/>
      <c r="BH1176" s="9"/>
    </row>
    <row r="1177" spans="1:60" ht="76.5" x14ac:dyDescent="0.25">
      <c r="A1177" s="56" t="s">
        <v>2606</v>
      </c>
      <c r="B1177" s="56" t="s">
        <v>13</v>
      </c>
      <c r="C1177" s="56" t="s">
        <v>2033</v>
      </c>
      <c r="D1177" s="57">
        <v>4112</v>
      </c>
      <c r="E1177" s="68" t="s">
        <v>2607</v>
      </c>
      <c r="F1177" s="58">
        <v>39083</v>
      </c>
      <c r="G1177" s="58">
        <v>42369</v>
      </c>
      <c r="H1177" s="56" t="s">
        <v>2593</v>
      </c>
      <c r="I1177" s="55">
        <v>13841.29</v>
      </c>
      <c r="J1177" s="55">
        <v>13841.29</v>
      </c>
      <c r="K1177" s="69" t="s">
        <v>2033</v>
      </c>
      <c r="L1177" s="55"/>
      <c r="M1177" s="12"/>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c r="AO1177" s="9"/>
      <c r="AP1177" s="9"/>
      <c r="AQ1177" s="9"/>
      <c r="AR1177" s="9"/>
      <c r="AS1177" s="9"/>
      <c r="AT1177" s="9"/>
      <c r="AU1177" s="9"/>
      <c r="AV1177" s="9"/>
      <c r="AW1177" s="9"/>
      <c r="AX1177" s="9"/>
      <c r="AY1177" s="9"/>
      <c r="AZ1177" s="9"/>
      <c r="BA1177" s="9"/>
      <c r="BB1177" s="9"/>
      <c r="BC1177" s="9"/>
      <c r="BD1177" s="9"/>
      <c r="BE1177" s="9"/>
      <c r="BF1177" s="9"/>
      <c r="BG1177" s="9"/>
      <c r="BH1177" s="9"/>
    </row>
    <row r="1178" spans="1:60" ht="63.75" x14ac:dyDescent="0.25">
      <c r="A1178" s="56" t="s">
        <v>2608</v>
      </c>
      <c r="B1178" s="56" t="s">
        <v>13</v>
      </c>
      <c r="C1178" s="56" t="s">
        <v>2033</v>
      </c>
      <c r="D1178" s="57">
        <v>4113</v>
      </c>
      <c r="E1178" s="68" t="s">
        <v>2609</v>
      </c>
      <c r="F1178" s="58">
        <v>39083</v>
      </c>
      <c r="G1178" s="58">
        <v>42369</v>
      </c>
      <c r="H1178" s="56" t="s">
        <v>2593</v>
      </c>
      <c r="I1178" s="55">
        <v>4634960.93</v>
      </c>
      <c r="J1178" s="55">
        <v>4634960.93</v>
      </c>
      <c r="K1178" s="69" t="s">
        <v>2033</v>
      </c>
      <c r="L1178" s="55"/>
      <c r="M1178" s="12"/>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c r="AR1178" s="9"/>
      <c r="AS1178" s="9"/>
      <c r="AT1178" s="9"/>
      <c r="AU1178" s="9"/>
      <c r="AV1178" s="9"/>
      <c r="AW1178" s="9"/>
      <c r="AX1178" s="9"/>
      <c r="AY1178" s="9"/>
      <c r="AZ1178" s="9"/>
      <c r="BA1178" s="9"/>
      <c r="BB1178" s="9"/>
      <c r="BC1178" s="9"/>
      <c r="BD1178" s="9"/>
      <c r="BE1178" s="9"/>
      <c r="BF1178" s="9"/>
      <c r="BG1178" s="9"/>
      <c r="BH1178" s="9"/>
    </row>
    <row r="1179" spans="1:60" ht="76.5" x14ac:dyDescent="0.25">
      <c r="A1179" s="56" t="s">
        <v>2610</v>
      </c>
      <c r="B1179" s="56" t="s">
        <v>13</v>
      </c>
      <c r="C1179" s="56" t="s">
        <v>2033</v>
      </c>
      <c r="D1179" s="57">
        <v>4114</v>
      </c>
      <c r="E1179" s="68" t="s">
        <v>2611</v>
      </c>
      <c r="F1179" s="58">
        <v>39083</v>
      </c>
      <c r="G1179" s="58">
        <v>42369</v>
      </c>
      <c r="H1179" s="56" t="s">
        <v>2593</v>
      </c>
      <c r="I1179" s="55">
        <v>803874.4</v>
      </c>
      <c r="J1179" s="55">
        <v>803874.4</v>
      </c>
      <c r="K1179" s="69" t="s">
        <v>2033</v>
      </c>
      <c r="L1179" s="55"/>
      <c r="M1179" s="12"/>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c r="AS1179" s="9"/>
      <c r="AT1179" s="9"/>
      <c r="AU1179" s="9"/>
      <c r="AV1179" s="9"/>
      <c r="AW1179" s="9"/>
      <c r="AX1179" s="9"/>
      <c r="AY1179" s="9"/>
      <c r="AZ1179" s="9"/>
      <c r="BA1179" s="9"/>
      <c r="BB1179" s="9"/>
      <c r="BC1179" s="9"/>
      <c r="BD1179" s="9"/>
      <c r="BE1179" s="9"/>
      <c r="BF1179" s="9"/>
      <c r="BG1179" s="9"/>
      <c r="BH1179" s="9"/>
    </row>
    <row r="1180" spans="1:60" ht="25.5" x14ac:dyDescent="0.25">
      <c r="A1180" s="56" t="s">
        <v>2612</v>
      </c>
      <c r="B1180" s="56" t="s">
        <v>13</v>
      </c>
      <c r="C1180" s="56" t="s">
        <v>2033</v>
      </c>
      <c r="D1180" s="57">
        <v>4215</v>
      </c>
      <c r="E1180" s="46" t="s">
        <v>2613</v>
      </c>
      <c r="F1180" s="58">
        <v>39083</v>
      </c>
      <c r="G1180" s="58">
        <v>42369</v>
      </c>
      <c r="H1180" s="56" t="s">
        <v>2593</v>
      </c>
      <c r="I1180" s="55">
        <v>150000</v>
      </c>
      <c r="J1180" s="55">
        <v>150000</v>
      </c>
      <c r="K1180" s="69" t="s">
        <v>2033</v>
      </c>
      <c r="L1180" s="55"/>
      <c r="M1180" s="12"/>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c r="AS1180" s="9"/>
      <c r="AT1180" s="9"/>
      <c r="AU1180" s="9"/>
      <c r="AV1180" s="9"/>
      <c r="AW1180" s="9"/>
      <c r="AX1180" s="9"/>
      <c r="AY1180" s="9"/>
      <c r="AZ1180" s="9"/>
      <c r="BA1180" s="9"/>
      <c r="BB1180" s="9"/>
      <c r="BC1180" s="9"/>
      <c r="BD1180" s="9"/>
      <c r="BE1180" s="9"/>
      <c r="BF1180" s="9"/>
      <c r="BG1180" s="9"/>
      <c r="BH1180" s="9"/>
    </row>
    <row r="1181" spans="1:60" ht="38.25" x14ac:dyDescent="0.25">
      <c r="A1181" s="56" t="s">
        <v>2614</v>
      </c>
      <c r="B1181" s="56" t="s">
        <v>13</v>
      </c>
      <c r="C1181" s="56" t="s">
        <v>2033</v>
      </c>
      <c r="D1181" s="57">
        <v>4216</v>
      </c>
      <c r="E1181" s="56" t="s">
        <v>2615</v>
      </c>
      <c r="F1181" s="58">
        <v>39083</v>
      </c>
      <c r="G1181" s="58">
        <v>42369</v>
      </c>
      <c r="H1181" s="56" t="s">
        <v>2593</v>
      </c>
      <c r="I1181" s="55">
        <v>446381.31</v>
      </c>
      <c r="J1181" s="55">
        <v>446381.31</v>
      </c>
      <c r="K1181" s="69" t="s">
        <v>2033</v>
      </c>
      <c r="L1181" s="55"/>
      <c r="M1181" s="12"/>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c r="AS1181" s="9"/>
      <c r="AT1181" s="9"/>
      <c r="AU1181" s="9"/>
      <c r="AV1181" s="9"/>
      <c r="AW1181" s="9"/>
      <c r="AX1181" s="9"/>
      <c r="AY1181" s="9"/>
      <c r="AZ1181" s="9"/>
      <c r="BA1181" s="9"/>
      <c r="BB1181" s="9"/>
      <c r="BC1181" s="9"/>
      <c r="BD1181" s="9"/>
      <c r="BE1181" s="9"/>
      <c r="BF1181" s="9"/>
      <c r="BG1181" s="9"/>
      <c r="BH1181" s="9"/>
    </row>
    <row r="1182" spans="1:60" ht="25.5" x14ac:dyDescent="0.25">
      <c r="A1182" s="56" t="s">
        <v>2616</v>
      </c>
      <c r="B1182" s="56" t="s">
        <v>13</v>
      </c>
      <c r="C1182" s="56" t="s">
        <v>2033</v>
      </c>
      <c r="D1182" s="57">
        <v>4218</v>
      </c>
      <c r="E1182" s="46" t="s">
        <v>2617</v>
      </c>
      <c r="F1182" s="58">
        <v>39083</v>
      </c>
      <c r="G1182" s="58">
        <v>42369</v>
      </c>
      <c r="H1182" s="56" t="s">
        <v>2593</v>
      </c>
      <c r="I1182" s="55">
        <v>259240.72</v>
      </c>
      <c r="J1182" s="55">
        <v>259240.72</v>
      </c>
      <c r="K1182" s="69" t="s">
        <v>2033</v>
      </c>
      <c r="L1182" s="55"/>
      <c r="M1182" s="12"/>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c r="AR1182" s="9"/>
      <c r="AS1182" s="9"/>
      <c r="AT1182" s="9"/>
      <c r="AU1182" s="9"/>
      <c r="AV1182" s="9"/>
      <c r="AW1182" s="9"/>
      <c r="AX1182" s="9"/>
      <c r="AY1182" s="9"/>
      <c r="AZ1182" s="9"/>
      <c r="BA1182" s="9"/>
      <c r="BB1182" s="9"/>
      <c r="BC1182" s="9"/>
      <c r="BD1182" s="9"/>
      <c r="BE1182" s="9"/>
      <c r="BF1182" s="9"/>
      <c r="BG1182" s="9"/>
      <c r="BH1182" s="9"/>
    </row>
    <row r="1183" spans="1:60" ht="38.25" x14ac:dyDescent="0.25">
      <c r="A1183" s="56" t="s">
        <v>2618</v>
      </c>
      <c r="B1183" s="56" t="s">
        <v>13</v>
      </c>
      <c r="C1183" s="56" t="s">
        <v>2033</v>
      </c>
      <c r="D1183" s="57">
        <v>4219</v>
      </c>
      <c r="E1183" s="56" t="s">
        <v>2619</v>
      </c>
      <c r="F1183" s="58">
        <v>39083</v>
      </c>
      <c r="G1183" s="58">
        <v>42369</v>
      </c>
      <c r="H1183" s="56" t="s">
        <v>2593</v>
      </c>
      <c r="I1183" s="55">
        <v>1173064.27</v>
      </c>
      <c r="J1183" s="55">
        <v>1173064.27</v>
      </c>
      <c r="K1183" s="69" t="s">
        <v>2033</v>
      </c>
      <c r="L1183" s="55"/>
      <c r="M1183" s="12"/>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c r="AR1183" s="9"/>
      <c r="AS1183" s="9"/>
      <c r="AT1183" s="9"/>
      <c r="AU1183" s="9"/>
      <c r="AV1183" s="9"/>
      <c r="AW1183" s="9"/>
      <c r="AX1183" s="9"/>
      <c r="AY1183" s="9"/>
      <c r="AZ1183" s="9"/>
      <c r="BA1183" s="9"/>
      <c r="BB1183" s="9"/>
      <c r="BC1183" s="9"/>
      <c r="BD1183" s="9"/>
      <c r="BE1183" s="9"/>
      <c r="BF1183" s="9"/>
      <c r="BG1183" s="9"/>
      <c r="BH1183" s="9"/>
    </row>
    <row r="1184" spans="1:60" ht="51" x14ac:dyDescent="0.25">
      <c r="A1184" s="56" t="s">
        <v>2620</v>
      </c>
      <c r="B1184" s="56" t="s">
        <v>13</v>
      </c>
      <c r="C1184" s="56" t="s">
        <v>2033</v>
      </c>
      <c r="D1184" s="57">
        <v>4220</v>
      </c>
      <c r="E1184" s="68" t="s">
        <v>2621</v>
      </c>
      <c r="F1184" s="58">
        <v>39083</v>
      </c>
      <c r="G1184" s="58">
        <v>42369</v>
      </c>
      <c r="H1184" s="56" t="s">
        <v>2593</v>
      </c>
      <c r="I1184" s="55">
        <v>3089531.87</v>
      </c>
      <c r="J1184" s="55">
        <v>3089531.87</v>
      </c>
      <c r="K1184" s="69" t="s">
        <v>2033</v>
      </c>
      <c r="L1184" s="55"/>
      <c r="M1184" s="12"/>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c r="AR1184" s="9"/>
      <c r="AS1184" s="9"/>
      <c r="AT1184" s="9"/>
      <c r="AU1184" s="9"/>
      <c r="AV1184" s="9"/>
      <c r="AW1184" s="9"/>
      <c r="AX1184" s="9"/>
      <c r="AY1184" s="9"/>
      <c r="AZ1184" s="9"/>
      <c r="BA1184" s="9"/>
      <c r="BB1184" s="9"/>
      <c r="BC1184" s="9"/>
      <c r="BD1184" s="9"/>
      <c r="BE1184" s="9"/>
      <c r="BF1184" s="9"/>
      <c r="BG1184" s="9"/>
      <c r="BH1184" s="9"/>
    </row>
    <row r="1185" spans="1:60" ht="76.5" x14ac:dyDescent="0.25">
      <c r="A1185" s="46" t="s">
        <v>2622</v>
      </c>
      <c r="B1185" s="56" t="s">
        <v>13</v>
      </c>
      <c r="C1185" s="56" t="s">
        <v>2033</v>
      </c>
      <c r="D1185" s="57">
        <v>4230</v>
      </c>
      <c r="E1185" s="46" t="s">
        <v>2623</v>
      </c>
      <c r="F1185" s="48">
        <v>39083</v>
      </c>
      <c r="G1185" s="48">
        <v>42369</v>
      </c>
      <c r="H1185" s="56" t="s">
        <v>2593</v>
      </c>
      <c r="I1185" s="55">
        <v>1121598.1000000001</v>
      </c>
      <c r="J1185" s="55">
        <v>1121598.1000000001</v>
      </c>
      <c r="K1185" s="69" t="s">
        <v>2033</v>
      </c>
      <c r="L1185" s="55"/>
      <c r="M1185" s="12"/>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c r="AR1185" s="9"/>
      <c r="AS1185" s="9"/>
      <c r="AT1185" s="9"/>
      <c r="AU1185" s="9"/>
      <c r="AV1185" s="9"/>
      <c r="AW1185" s="9"/>
      <c r="AX1185" s="9"/>
      <c r="AY1185" s="9"/>
      <c r="AZ1185" s="9"/>
      <c r="BA1185" s="9"/>
      <c r="BB1185" s="9"/>
      <c r="BC1185" s="9"/>
      <c r="BD1185" s="9"/>
      <c r="BE1185" s="9"/>
      <c r="BF1185" s="9"/>
      <c r="BG1185" s="9"/>
      <c r="BH1185" s="9"/>
    </row>
    <row r="1186" spans="1:60" ht="38.25" x14ac:dyDescent="0.25">
      <c r="A1186" s="56" t="s">
        <v>2624</v>
      </c>
      <c r="B1186" s="56" t="s">
        <v>13</v>
      </c>
      <c r="C1186" s="56" t="s">
        <v>2033</v>
      </c>
      <c r="D1186" s="57">
        <v>4234</v>
      </c>
      <c r="E1186" s="68" t="s">
        <v>2597</v>
      </c>
      <c r="F1186" s="58">
        <v>39083</v>
      </c>
      <c r="G1186" s="58">
        <v>42369</v>
      </c>
      <c r="H1186" s="56" t="s">
        <v>2593</v>
      </c>
      <c r="I1186" s="55">
        <v>2474401.33</v>
      </c>
      <c r="J1186" s="55">
        <v>2474401.33</v>
      </c>
      <c r="K1186" s="69" t="s">
        <v>2033</v>
      </c>
      <c r="L1186" s="55"/>
      <c r="M1186" s="12"/>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c r="AR1186" s="9"/>
      <c r="AS1186" s="9"/>
      <c r="AT1186" s="9"/>
      <c r="AU1186" s="9"/>
      <c r="AV1186" s="9"/>
      <c r="AW1186" s="9"/>
      <c r="AX1186" s="9"/>
      <c r="AY1186" s="9"/>
      <c r="AZ1186" s="9"/>
      <c r="BA1186" s="9"/>
      <c r="BB1186" s="9"/>
      <c r="BC1186" s="9"/>
      <c r="BD1186" s="9"/>
      <c r="BE1186" s="9"/>
      <c r="BF1186" s="9"/>
      <c r="BG1186" s="9"/>
      <c r="BH1186" s="9"/>
    </row>
    <row r="1187" spans="1:60" ht="76.5" x14ac:dyDescent="0.25">
      <c r="A1187" s="56" t="s">
        <v>2625</v>
      </c>
      <c r="B1187" s="56" t="s">
        <v>13</v>
      </c>
      <c r="C1187" s="56" t="s">
        <v>2033</v>
      </c>
      <c r="D1187" s="57">
        <v>10239</v>
      </c>
      <c r="E1187" s="68" t="s">
        <v>2626</v>
      </c>
      <c r="F1187" s="58">
        <v>40533</v>
      </c>
      <c r="G1187" s="58">
        <v>42825</v>
      </c>
      <c r="H1187" s="56" t="s">
        <v>2593</v>
      </c>
      <c r="I1187" s="55">
        <f>2367934.01+180319.8</f>
        <v>2548253.8099999996</v>
      </c>
      <c r="J1187" s="55">
        <f>2367934.01+180319.8</f>
        <v>2548253.8099999996</v>
      </c>
      <c r="K1187" s="69" t="s">
        <v>2033</v>
      </c>
      <c r="L1187" s="55"/>
      <c r="M1187" s="12"/>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c r="AR1187" s="9"/>
      <c r="AS1187" s="9"/>
      <c r="AT1187" s="9"/>
      <c r="AU1187" s="9"/>
      <c r="AV1187" s="9"/>
      <c r="AW1187" s="9"/>
      <c r="AX1187" s="9"/>
      <c r="AY1187" s="9"/>
      <c r="AZ1187" s="9"/>
      <c r="BA1187" s="9"/>
      <c r="BB1187" s="9"/>
      <c r="BC1187" s="9"/>
      <c r="BD1187" s="9"/>
      <c r="BE1187" s="9"/>
      <c r="BF1187" s="9"/>
      <c r="BG1187" s="9"/>
      <c r="BH1187" s="9"/>
    </row>
    <row r="1188" spans="1:60" ht="63.75" x14ac:dyDescent="0.25">
      <c r="A1188" s="56" t="s">
        <v>2627</v>
      </c>
      <c r="B1188" s="56" t="s">
        <v>13</v>
      </c>
      <c r="C1188" s="56" t="s">
        <v>2033</v>
      </c>
      <c r="D1188" s="57">
        <v>10242</v>
      </c>
      <c r="E1188" s="68" t="s">
        <v>2628</v>
      </c>
      <c r="F1188" s="58">
        <v>40533</v>
      </c>
      <c r="G1188" s="58">
        <v>42825</v>
      </c>
      <c r="H1188" s="56" t="s">
        <v>2593</v>
      </c>
      <c r="I1188" s="55">
        <f>2937068.1+27763.73</f>
        <v>2964831.83</v>
      </c>
      <c r="J1188" s="55">
        <f>2937068.1+27763.73</f>
        <v>2964831.83</v>
      </c>
      <c r="K1188" s="69" t="s">
        <v>2033</v>
      </c>
      <c r="L1188" s="55"/>
      <c r="M1188" s="12"/>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c r="AO1188" s="9"/>
      <c r="AP1188" s="9"/>
      <c r="AQ1188" s="9"/>
      <c r="AR1188" s="9"/>
      <c r="AS1188" s="9"/>
      <c r="AT1188" s="9"/>
      <c r="AU1188" s="9"/>
      <c r="AV1188" s="9"/>
      <c r="AW1188" s="9"/>
      <c r="AX1188" s="9"/>
      <c r="AY1188" s="9"/>
      <c r="AZ1188" s="9"/>
      <c r="BA1188" s="9"/>
      <c r="BB1188" s="9"/>
      <c r="BC1188" s="9"/>
      <c r="BD1188" s="9"/>
      <c r="BE1188" s="9"/>
      <c r="BF1188" s="9"/>
      <c r="BG1188" s="9"/>
      <c r="BH1188" s="9"/>
    </row>
    <row r="1189" spans="1:60" ht="76.5" x14ac:dyDescent="0.25">
      <c r="A1189" s="56" t="s">
        <v>2629</v>
      </c>
      <c r="B1189" s="56" t="s">
        <v>13</v>
      </c>
      <c r="C1189" s="56" t="s">
        <v>2033</v>
      </c>
      <c r="D1189" s="57">
        <v>10247</v>
      </c>
      <c r="E1189" s="68" t="s">
        <v>2630</v>
      </c>
      <c r="F1189" s="58">
        <v>39264</v>
      </c>
      <c r="G1189" s="58">
        <v>42369</v>
      </c>
      <c r="H1189" s="56" t="s">
        <v>2593</v>
      </c>
      <c r="I1189" s="55">
        <v>178205.34</v>
      </c>
      <c r="J1189" s="55">
        <v>178205.34</v>
      </c>
      <c r="K1189" s="69" t="s">
        <v>2033</v>
      </c>
      <c r="L1189" s="55"/>
      <c r="M1189" s="12"/>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c r="AO1189" s="9"/>
      <c r="AP1189" s="9"/>
      <c r="AQ1189" s="9"/>
      <c r="AR1189" s="9"/>
      <c r="AS1189" s="9"/>
      <c r="AT1189" s="9"/>
      <c r="AU1189" s="9"/>
      <c r="AV1189" s="9"/>
      <c r="AW1189" s="9"/>
      <c r="AX1189" s="9"/>
      <c r="AY1189" s="9"/>
      <c r="AZ1189" s="9"/>
      <c r="BA1189" s="9"/>
      <c r="BB1189" s="9"/>
      <c r="BC1189" s="9"/>
      <c r="BD1189" s="9"/>
      <c r="BE1189" s="9"/>
      <c r="BF1189" s="9"/>
      <c r="BG1189" s="9"/>
      <c r="BH1189" s="9"/>
    </row>
    <row r="1190" spans="1:60" ht="76.5" x14ac:dyDescent="0.25">
      <c r="A1190" s="56" t="s">
        <v>2631</v>
      </c>
      <c r="B1190" s="56" t="s">
        <v>13</v>
      </c>
      <c r="C1190" s="56" t="s">
        <v>2033</v>
      </c>
      <c r="D1190" s="57">
        <v>10248</v>
      </c>
      <c r="E1190" s="68" t="s">
        <v>2632</v>
      </c>
      <c r="F1190" s="58">
        <v>40533</v>
      </c>
      <c r="G1190" s="58">
        <v>42825</v>
      </c>
      <c r="H1190" s="56" t="s">
        <v>2593</v>
      </c>
      <c r="I1190" s="55">
        <f>1034912.95+744116.91</f>
        <v>1779029.8599999999</v>
      </c>
      <c r="J1190" s="55">
        <f>1034912.95+744116.91</f>
        <v>1779029.8599999999</v>
      </c>
      <c r="K1190" s="69" t="s">
        <v>2033</v>
      </c>
      <c r="L1190" s="45"/>
      <c r="M1190" s="3"/>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AY1190" s="9"/>
      <c r="AZ1190" s="9"/>
      <c r="BA1190" s="9"/>
      <c r="BB1190" s="9"/>
      <c r="BC1190" s="9"/>
      <c r="BD1190" s="9"/>
      <c r="BE1190" s="9"/>
      <c r="BF1190" s="9"/>
      <c r="BG1190" s="9"/>
      <c r="BH1190" s="9"/>
    </row>
    <row r="1191" spans="1:60" ht="38.25" x14ac:dyDescent="0.25">
      <c r="A1191" s="46" t="s">
        <v>11518</v>
      </c>
      <c r="B1191" s="61" t="s">
        <v>13</v>
      </c>
      <c r="C1191" s="61" t="s">
        <v>14</v>
      </c>
      <c r="D1191" s="62">
        <v>12987</v>
      </c>
      <c r="E1191" s="46" t="s">
        <v>11519</v>
      </c>
      <c r="F1191" s="63">
        <v>40544</v>
      </c>
      <c r="G1191" s="63">
        <v>42825</v>
      </c>
      <c r="H1191" s="56" t="s">
        <v>3587</v>
      </c>
      <c r="I1191" s="64">
        <v>140569.47</v>
      </c>
      <c r="J1191" s="64">
        <v>140569.47</v>
      </c>
      <c r="K1191" s="65" t="s">
        <v>2033</v>
      </c>
      <c r="L1191" s="6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row>
    <row r="1192" spans="1:60" ht="38.25" x14ac:dyDescent="0.25">
      <c r="A1192" s="46" t="s">
        <v>11520</v>
      </c>
      <c r="B1192" s="61" t="s">
        <v>13</v>
      </c>
      <c r="C1192" s="61" t="s">
        <v>14</v>
      </c>
      <c r="D1192" s="62">
        <v>12988</v>
      </c>
      <c r="E1192" s="46" t="s">
        <v>11521</v>
      </c>
      <c r="F1192" s="63">
        <v>40544</v>
      </c>
      <c r="G1192" s="63">
        <v>42825</v>
      </c>
      <c r="H1192" s="56" t="s">
        <v>3587</v>
      </c>
      <c r="I1192" s="64">
        <v>158450.4</v>
      </c>
      <c r="J1192" s="64">
        <v>158450.4</v>
      </c>
      <c r="K1192" s="65" t="s">
        <v>2033</v>
      </c>
      <c r="L1192" s="6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row>
    <row r="1193" spans="1:60" ht="51" x14ac:dyDescent="0.25">
      <c r="A1193" s="46" t="s">
        <v>11522</v>
      </c>
      <c r="B1193" s="61" t="s">
        <v>13</v>
      </c>
      <c r="C1193" s="61" t="s">
        <v>14</v>
      </c>
      <c r="D1193" s="62">
        <v>13008</v>
      </c>
      <c r="E1193" s="46" t="s">
        <v>11523</v>
      </c>
      <c r="F1193" s="63">
        <v>40544</v>
      </c>
      <c r="G1193" s="63">
        <v>42825</v>
      </c>
      <c r="H1193" s="56" t="s">
        <v>3587</v>
      </c>
      <c r="I1193" s="64">
        <v>736611.54</v>
      </c>
      <c r="J1193" s="64">
        <v>736611.54</v>
      </c>
      <c r="K1193" s="65" t="s">
        <v>2033</v>
      </c>
      <c r="L1193" s="6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row>
    <row r="1194" spans="1:60" ht="76.5" x14ac:dyDescent="0.25">
      <c r="A1194" s="46" t="s">
        <v>11524</v>
      </c>
      <c r="B1194" s="61" t="s">
        <v>13</v>
      </c>
      <c r="C1194" s="61" t="s">
        <v>14</v>
      </c>
      <c r="D1194" s="62">
        <v>13009</v>
      </c>
      <c r="E1194" s="46" t="s">
        <v>11525</v>
      </c>
      <c r="F1194" s="63">
        <v>40544</v>
      </c>
      <c r="G1194" s="63">
        <v>42825</v>
      </c>
      <c r="H1194" s="56" t="s">
        <v>3587</v>
      </c>
      <c r="I1194" s="64">
        <v>464407.7</v>
      </c>
      <c r="J1194" s="64">
        <v>464407.7</v>
      </c>
      <c r="K1194" s="65" t="s">
        <v>2033</v>
      </c>
      <c r="L1194" s="6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row>
    <row r="1195" spans="1:60" ht="38.25" x14ac:dyDescent="0.25">
      <c r="A1195" s="46" t="s">
        <v>11526</v>
      </c>
      <c r="B1195" s="61" t="s">
        <v>13</v>
      </c>
      <c r="C1195" s="61" t="s">
        <v>14</v>
      </c>
      <c r="D1195" s="62">
        <v>13010</v>
      </c>
      <c r="E1195" s="46" t="s">
        <v>11527</v>
      </c>
      <c r="F1195" s="63">
        <v>40544</v>
      </c>
      <c r="G1195" s="63">
        <v>42825</v>
      </c>
      <c r="H1195" s="56" t="s">
        <v>3587</v>
      </c>
      <c r="I1195" s="64">
        <v>196803.66</v>
      </c>
      <c r="J1195" s="64">
        <v>196803.66</v>
      </c>
      <c r="K1195" s="65" t="s">
        <v>2033</v>
      </c>
      <c r="L1195" s="6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row>
    <row r="1196" spans="1:60" ht="51" x14ac:dyDescent="0.25">
      <c r="A1196" s="46" t="s">
        <v>11528</v>
      </c>
      <c r="B1196" s="61" t="s">
        <v>13</v>
      </c>
      <c r="C1196" s="61" t="s">
        <v>14</v>
      </c>
      <c r="D1196" s="62">
        <v>13011</v>
      </c>
      <c r="E1196" s="46" t="s">
        <v>11529</v>
      </c>
      <c r="F1196" s="63">
        <v>40544</v>
      </c>
      <c r="G1196" s="63">
        <v>42825</v>
      </c>
      <c r="H1196" s="56" t="s">
        <v>3587</v>
      </c>
      <c r="I1196" s="64">
        <v>295796.40000000002</v>
      </c>
      <c r="J1196" s="64">
        <v>295796.40000000002</v>
      </c>
      <c r="K1196" s="65" t="s">
        <v>2033</v>
      </c>
      <c r="L1196" s="6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row>
    <row r="1197" spans="1:60" s="21" customFormat="1" ht="38.25" x14ac:dyDescent="0.25">
      <c r="A1197" s="46" t="s">
        <v>11530</v>
      </c>
      <c r="B1197" s="61" t="s">
        <v>13</v>
      </c>
      <c r="C1197" s="61" t="s">
        <v>14</v>
      </c>
      <c r="D1197" s="62">
        <v>13012</v>
      </c>
      <c r="E1197" s="46" t="s">
        <v>11531</v>
      </c>
      <c r="F1197" s="63">
        <v>40544</v>
      </c>
      <c r="G1197" s="63">
        <v>42825</v>
      </c>
      <c r="H1197" s="56" t="s">
        <v>3587</v>
      </c>
      <c r="I1197" s="64">
        <v>396599.34</v>
      </c>
      <c r="J1197" s="64">
        <v>396599.34</v>
      </c>
      <c r="K1197" s="65" t="s">
        <v>2033</v>
      </c>
      <c r="L1197" s="61"/>
    </row>
    <row r="1198" spans="1:60" s="21" customFormat="1" ht="63.75" x14ac:dyDescent="0.25">
      <c r="A1198" s="46" t="s">
        <v>11532</v>
      </c>
      <c r="B1198" s="61" t="s">
        <v>13</v>
      </c>
      <c r="C1198" s="61" t="s">
        <v>14</v>
      </c>
      <c r="D1198" s="62">
        <v>13013</v>
      </c>
      <c r="E1198" s="46" t="s">
        <v>11533</v>
      </c>
      <c r="F1198" s="63">
        <v>40544</v>
      </c>
      <c r="G1198" s="63">
        <v>42825</v>
      </c>
      <c r="H1198" s="56" t="s">
        <v>3587</v>
      </c>
      <c r="I1198" s="64">
        <v>155699.25</v>
      </c>
      <c r="J1198" s="64">
        <v>155699.25</v>
      </c>
      <c r="K1198" s="65" t="s">
        <v>2033</v>
      </c>
      <c r="L1198" s="61"/>
    </row>
    <row r="1199" spans="1:60" s="21" customFormat="1" ht="63.75" x14ac:dyDescent="0.25">
      <c r="A1199" s="46" t="s">
        <v>11534</v>
      </c>
      <c r="B1199" s="61" t="s">
        <v>13</v>
      </c>
      <c r="C1199" s="61" t="s">
        <v>14</v>
      </c>
      <c r="D1199" s="62">
        <v>13014</v>
      </c>
      <c r="E1199" s="46" t="s">
        <v>11535</v>
      </c>
      <c r="F1199" s="63">
        <v>40544</v>
      </c>
      <c r="G1199" s="63">
        <v>42825</v>
      </c>
      <c r="H1199" s="56" t="s">
        <v>3587</v>
      </c>
      <c r="I1199" s="64">
        <v>656404.31999999995</v>
      </c>
      <c r="J1199" s="64">
        <v>656404.31999999995</v>
      </c>
      <c r="K1199" s="65" t="s">
        <v>2033</v>
      </c>
      <c r="L1199" s="61"/>
    </row>
    <row r="1200" spans="1:60" ht="63.75" x14ac:dyDescent="0.25">
      <c r="A1200" s="46" t="s">
        <v>11536</v>
      </c>
      <c r="B1200" s="61" t="s">
        <v>13</v>
      </c>
      <c r="C1200" s="61" t="s">
        <v>14</v>
      </c>
      <c r="D1200" s="62">
        <v>13015</v>
      </c>
      <c r="E1200" s="46" t="s">
        <v>11537</v>
      </c>
      <c r="F1200" s="63">
        <v>40544</v>
      </c>
      <c r="G1200" s="63">
        <v>42825</v>
      </c>
      <c r="H1200" s="56" t="s">
        <v>3587</v>
      </c>
      <c r="I1200" s="64">
        <v>362210.56</v>
      </c>
      <c r="J1200" s="64">
        <v>362210.56</v>
      </c>
      <c r="K1200" s="65" t="s">
        <v>2033</v>
      </c>
      <c r="L1200" s="6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row>
    <row r="1201" spans="1:60" ht="38.25" x14ac:dyDescent="0.25">
      <c r="A1201" s="46" t="s">
        <v>11538</v>
      </c>
      <c r="B1201" s="61" t="s">
        <v>13</v>
      </c>
      <c r="C1201" s="61" t="s">
        <v>14</v>
      </c>
      <c r="D1201" s="62">
        <v>13016</v>
      </c>
      <c r="E1201" s="46" t="s">
        <v>11539</v>
      </c>
      <c r="F1201" s="63">
        <v>40544</v>
      </c>
      <c r="G1201" s="63">
        <v>42825</v>
      </c>
      <c r="H1201" s="56" t="s">
        <v>3587</v>
      </c>
      <c r="I1201" s="64">
        <v>273497.32</v>
      </c>
      <c r="J1201" s="64">
        <v>273497.32</v>
      </c>
      <c r="K1201" s="65" t="s">
        <v>2033</v>
      </c>
      <c r="L1201" s="6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row>
    <row r="1202" spans="1:60" ht="38.25" x14ac:dyDescent="0.25">
      <c r="A1202" s="46" t="s">
        <v>11540</v>
      </c>
      <c r="B1202" s="61" t="s">
        <v>13</v>
      </c>
      <c r="C1202" s="61" t="s">
        <v>14</v>
      </c>
      <c r="D1202" s="62">
        <v>13017</v>
      </c>
      <c r="E1202" s="46" t="s">
        <v>11541</v>
      </c>
      <c r="F1202" s="63">
        <v>40544</v>
      </c>
      <c r="G1202" s="63">
        <v>42825</v>
      </c>
      <c r="H1202" s="56" t="s">
        <v>3587</v>
      </c>
      <c r="I1202" s="64">
        <v>266462.34999999998</v>
      </c>
      <c r="J1202" s="64">
        <v>266462.34999999998</v>
      </c>
      <c r="K1202" s="65" t="s">
        <v>2033</v>
      </c>
      <c r="L1202" s="6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row>
    <row r="1203" spans="1:60" ht="25.5" x14ac:dyDescent="0.25">
      <c r="A1203" s="46" t="s">
        <v>2633</v>
      </c>
      <c r="B1203" s="46" t="s">
        <v>13</v>
      </c>
      <c r="C1203" s="46" t="s">
        <v>14</v>
      </c>
      <c r="D1203" s="47">
        <v>3748</v>
      </c>
      <c r="E1203" s="46" t="s">
        <v>2634</v>
      </c>
      <c r="F1203" s="48">
        <v>39777</v>
      </c>
      <c r="G1203" s="48">
        <v>40907</v>
      </c>
      <c r="H1203" s="46" t="s">
        <v>2027</v>
      </c>
      <c r="I1203" s="45">
        <v>40475</v>
      </c>
      <c r="J1203" s="45">
        <v>856419.3</v>
      </c>
      <c r="K1203" s="49" t="s">
        <v>2033</v>
      </c>
      <c r="L1203" s="45"/>
      <c r="M1203" s="3"/>
    </row>
    <row r="1204" spans="1:60" ht="76.5" x14ac:dyDescent="0.25">
      <c r="A1204" s="46" t="s">
        <v>2635</v>
      </c>
      <c r="B1204" s="46" t="s">
        <v>13</v>
      </c>
      <c r="C1204" s="46" t="s">
        <v>14</v>
      </c>
      <c r="D1204" s="47">
        <v>3722</v>
      </c>
      <c r="E1204" s="50" t="s">
        <v>2636</v>
      </c>
      <c r="F1204" s="48">
        <v>39083</v>
      </c>
      <c r="G1204" s="48">
        <v>42369</v>
      </c>
      <c r="H1204" s="46" t="s">
        <v>2637</v>
      </c>
      <c r="I1204" s="45">
        <v>225684</v>
      </c>
      <c r="J1204" s="45">
        <v>225684</v>
      </c>
      <c r="K1204" s="49" t="s">
        <v>2033</v>
      </c>
      <c r="L1204" s="45"/>
      <c r="M1204" s="3"/>
    </row>
    <row r="1205" spans="1:60" ht="76.5" x14ac:dyDescent="0.25">
      <c r="A1205" s="46" t="s">
        <v>2638</v>
      </c>
      <c r="B1205" s="46" t="s">
        <v>13</v>
      </c>
      <c r="C1205" s="46" t="s">
        <v>14</v>
      </c>
      <c r="D1205" s="47">
        <v>3991</v>
      </c>
      <c r="E1205" s="50" t="s">
        <v>2639</v>
      </c>
      <c r="F1205" s="48">
        <v>39083</v>
      </c>
      <c r="G1205" s="48">
        <v>42369</v>
      </c>
      <c r="H1205" s="46" t="s">
        <v>2637</v>
      </c>
      <c r="I1205" s="45">
        <v>2086030.21</v>
      </c>
      <c r="J1205" s="45">
        <v>2086030.21</v>
      </c>
      <c r="K1205" s="49" t="s">
        <v>2033</v>
      </c>
      <c r="L1205" s="45"/>
      <c r="M1205" s="3"/>
    </row>
    <row r="1206" spans="1:60" ht="63.75" x14ac:dyDescent="0.25">
      <c r="A1206" s="46" t="s">
        <v>2640</v>
      </c>
      <c r="B1206" s="46" t="s">
        <v>13</v>
      </c>
      <c r="C1206" s="46" t="s">
        <v>14</v>
      </c>
      <c r="D1206" s="47">
        <v>3992</v>
      </c>
      <c r="E1206" s="50" t="s">
        <v>2641</v>
      </c>
      <c r="F1206" s="48">
        <v>39083</v>
      </c>
      <c r="G1206" s="48">
        <v>42369</v>
      </c>
      <c r="H1206" s="46" t="s">
        <v>2637</v>
      </c>
      <c r="I1206" s="45">
        <v>453456.8</v>
      </c>
      <c r="J1206" s="45">
        <v>453456.8</v>
      </c>
      <c r="K1206" s="49" t="s">
        <v>2033</v>
      </c>
      <c r="L1206" s="46"/>
      <c r="M1206" s="3"/>
    </row>
    <row r="1207" spans="1:60" x14ac:dyDescent="0.25">
      <c r="A1207" s="46" t="s">
        <v>2648</v>
      </c>
      <c r="B1207" s="46" t="s">
        <v>13</v>
      </c>
      <c r="C1207" s="46" t="s">
        <v>14</v>
      </c>
      <c r="D1207" s="47">
        <v>3922</v>
      </c>
      <c r="E1207" s="46" t="s">
        <v>2649</v>
      </c>
      <c r="F1207" s="48">
        <v>39188</v>
      </c>
      <c r="G1207" s="48">
        <v>39871</v>
      </c>
      <c r="H1207" s="46" t="s">
        <v>16</v>
      </c>
      <c r="I1207" s="45">
        <v>254600</v>
      </c>
      <c r="J1207" s="45">
        <v>73980</v>
      </c>
      <c r="K1207" s="49" t="s">
        <v>2650</v>
      </c>
      <c r="L1207" s="45"/>
      <c r="M1207" s="3"/>
    </row>
    <row r="1208" spans="1:60" x14ac:dyDescent="0.25">
      <c r="A1208" s="46" t="s">
        <v>2651</v>
      </c>
      <c r="B1208" s="46" t="s">
        <v>13</v>
      </c>
      <c r="C1208" s="46" t="s">
        <v>14</v>
      </c>
      <c r="D1208" s="47">
        <v>4170</v>
      </c>
      <c r="E1208" s="46" t="s">
        <v>2652</v>
      </c>
      <c r="F1208" s="48">
        <v>39821</v>
      </c>
      <c r="G1208" s="48">
        <v>40170</v>
      </c>
      <c r="H1208" s="46" t="s">
        <v>16</v>
      </c>
      <c r="I1208" s="45">
        <v>54880</v>
      </c>
      <c r="J1208" s="45">
        <v>16006</v>
      </c>
      <c r="K1208" s="49" t="s">
        <v>2650</v>
      </c>
      <c r="L1208" s="45"/>
      <c r="M1208" s="3"/>
    </row>
    <row r="1209" spans="1:60" x14ac:dyDescent="0.25">
      <c r="A1209" s="46" t="s">
        <v>2651</v>
      </c>
      <c r="B1209" s="46" t="s">
        <v>13</v>
      </c>
      <c r="C1209" s="46" t="s">
        <v>14</v>
      </c>
      <c r="D1209" s="47">
        <v>4176</v>
      </c>
      <c r="E1209" s="46" t="s">
        <v>2653</v>
      </c>
      <c r="F1209" s="48">
        <v>39792</v>
      </c>
      <c r="G1209" s="48">
        <v>40170</v>
      </c>
      <c r="H1209" s="46" t="s">
        <v>16</v>
      </c>
      <c r="I1209" s="45">
        <v>27896</v>
      </c>
      <c r="J1209" s="45">
        <v>8369</v>
      </c>
      <c r="K1209" s="49" t="s">
        <v>2650</v>
      </c>
      <c r="L1209" s="45"/>
      <c r="M1209" s="3"/>
    </row>
    <row r="1210" spans="1:60" x14ac:dyDescent="0.25">
      <c r="A1210" s="46" t="s">
        <v>2654</v>
      </c>
      <c r="B1210" s="46" t="s">
        <v>13</v>
      </c>
      <c r="C1210" s="46" t="s">
        <v>14</v>
      </c>
      <c r="D1210" s="47">
        <v>4183</v>
      </c>
      <c r="E1210" s="46" t="s">
        <v>2655</v>
      </c>
      <c r="F1210" s="48">
        <v>39568</v>
      </c>
      <c r="G1210" s="48">
        <v>39933</v>
      </c>
      <c r="H1210" s="46" t="s">
        <v>16</v>
      </c>
      <c r="I1210" s="45">
        <v>162500</v>
      </c>
      <c r="J1210" s="45">
        <v>48750</v>
      </c>
      <c r="K1210" s="49" t="s">
        <v>2650</v>
      </c>
      <c r="L1210" s="45"/>
      <c r="M1210" s="3"/>
    </row>
    <row r="1211" spans="1:60" x14ac:dyDescent="0.25">
      <c r="A1211" s="46" t="s">
        <v>2656</v>
      </c>
      <c r="B1211" s="46" t="s">
        <v>13</v>
      </c>
      <c r="C1211" s="46" t="s">
        <v>14</v>
      </c>
      <c r="D1211" s="47">
        <v>4197</v>
      </c>
      <c r="E1211" s="46" t="s">
        <v>2657</v>
      </c>
      <c r="F1211" s="48">
        <v>39342</v>
      </c>
      <c r="G1211" s="48">
        <v>39721</v>
      </c>
      <c r="H1211" s="46" t="s">
        <v>16</v>
      </c>
      <c r="I1211" s="45">
        <v>19206</v>
      </c>
      <c r="J1211" s="45">
        <v>5762</v>
      </c>
      <c r="K1211" s="49" t="s">
        <v>2650</v>
      </c>
      <c r="L1211" s="45"/>
      <c r="M1211" s="3"/>
    </row>
    <row r="1212" spans="1:60" x14ac:dyDescent="0.25">
      <c r="A1212" s="46" t="s">
        <v>2658</v>
      </c>
      <c r="B1212" s="46" t="s">
        <v>13</v>
      </c>
      <c r="C1212" s="46" t="s">
        <v>14</v>
      </c>
      <c r="D1212" s="47">
        <v>4200</v>
      </c>
      <c r="E1212" s="46" t="s">
        <v>2659</v>
      </c>
      <c r="F1212" s="48">
        <v>39671</v>
      </c>
      <c r="G1212" s="48">
        <v>39805</v>
      </c>
      <c r="H1212" s="46" t="s">
        <v>16</v>
      </c>
      <c r="I1212" s="45">
        <v>4380</v>
      </c>
      <c r="J1212" s="45">
        <v>1314</v>
      </c>
      <c r="K1212" s="49" t="s">
        <v>2650</v>
      </c>
      <c r="L1212" s="45"/>
      <c r="M1212" s="3"/>
    </row>
    <row r="1213" spans="1:60" x14ac:dyDescent="0.25">
      <c r="A1213" s="46" t="s">
        <v>2660</v>
      </c>
      <c r="B1213" s="46" t="s">
        <v>13</v>
      </c>
      <c r="C1213" s="46" t="s">
        <v>14</v>
      </c>
      <c r="D1213" s="47">
        <v>4205</v>
      </c>
      <c r="E1213" s="46" t="s">
        <v>2661</v>
      </c>
      <c r="F1213" s="48">
        <v>39596</v>
      </c>
      <c r="G1213" s="48">
        <v>39990</v>
      </c>
      <c r="H1213" s="46" t="s">
        <v>16</v>
      </c>
      <c r="I1213" s="45">
        <v>29120</v>
      </c>
      <c r="J1213" s="45">
        <v>7009.92</v>
      </c>
      <c r="K1213" s="49" t="s">
        <v>2650</v>
      </c>
      <c r="L1213" s="45"/>
      <c r="M1213" s="3"/>
    </row>
    <row r="1214" spans="1:60" x14ac:dyDescent="0.25">
      <c r="A1214" s="46" t="s">
        <v>2662</v>
      </c>
      <c r="B1214" s="46" t="s">
        <v>13</v>
      </c>
      <c r="C1214" s="46" t="s">
        <v>14</v>
      </c>
      <c r="D1214" s="47">
        <v>4207</v>
      </c>
      <c r="E1214" s="46" t="s">
        <v>2663</v>
      </c>
      <c r="F1214" s="48">
        <v>39972</v>
      </c>
      <c r="G1214" s="48">
        <v>40221</v>
      </c>
      <c r="H1214" s="46" t="s">
        <v>16</v>
      </c>
      <c r="I1214" s="45">
        <v>44203.44</v>
      </c>
      <c r="J1214" s="45">
        <v>13261.03</v>
      </c>
      <c r="K1214" s="49" t="s">
        <v>2650</v>
      </c>
      <c r="L1214" s="45"/>
      <c r="M1214" s="3"/>
    </row>
    <row r="1215" spans="1:60" x14ac:dyDescent="0.25">
      <c r="A1215" s="46" t="s">
        <v>2662</v>
      </c>
      <c r="B1215" s="46" t="s">
        <v>13</v>
      </c>
      <c r="C1215" s="46" t="s">
        <v>14</v>
      </c>
      <c r="D1215" s="47">
        <v>4208</v>
      </c>
      <c r="E1215" s="46" t="s">
        <v>2664</v>
      </c>
      <c r="F1215" s="48">
        <v>39972</v>
      </c>
      <c r="G1215" s="48">
        <v>40221</v>
      </c>
      <c r="H1215" s="46" t="s">
        <v>16</v>
      </c>
      <c r="I1215" s="45">
        <v>7860.64</v>
      </c>
      <c r="J1215" s="45">
        <v>2343</v>
      </c>
      <c r="K1215" s="49" t="s">
        <v>2650</v>
      </c>
      <c r="L1215" s="45"/>
      <c r="M1215" s="3"/>
    </row>
    <row r="1216" spans="1:60" ht="25.5" x14ac:dyDescent="0.25">
      <c r="A1216" s="46" t="s">
        <v>361</v>
      </c>
      <c r="B1216" s="46" t="s">
        <v>13</v>
      </c>
      <c r="C1216" s="46" t="s">
        <v>14</v>
      </c>
      <c r="D1216" s="47">
        <v>4223</v>
      </c>
      <c r="E1216" s="46" t="s">
        <v>2665</v>
      </c>
      <c r="F1216" s="48">
        <v>39637</v>
      </c>
      <c r="G1216" s="48">
        <v>39752</v>
      </c>
      <c r="H1216" s="46" t="s">
        <v>16</v>
      </c>
      <c r="I1216" s="45">
        <v>7000</v>
      </c>
      <c r="J1216" s="55">
        <v>2800</v>
      </c>
      <c r="K1216" s="49" t="s">
        <v>2650</v>
      </c>
      <c r="L1216" s="45"/>
      <c r="M1216" s="3"/>
    </row>
    <row r="1217" spans="1:60" ht="25.5" x14ac:dyDescent="0.25">
      <c r="A1217" s="46" t="s">
        <v>2666</v>
      </c>
      <c r="B1217" s="46" t="s">
        <v>13</v>
      </c>
      <c r="C1217" s="46" t="s">
        <v>14</v>
      </c>
      <c r="D1217" s="47">
        <v>4224</v>
      </c>
      <c r="E1217" s="46" t="s">
        <v>2667</v>
      </c>
      <c r="F1217" s="48">
        <v>39399</v>
      </c>
      <c r="G1217" s="48">
        <v>39933</v>
      </c>
      <c r="H1217" s="46" t="s">
        <v>16</v>
      </c>
      <c r="I1217" s="45">
        <v>219600</v>
      </c>
      <c r="J1217" s="45">
        <v>55357.43</v>
      </c>
      <c r="K1217" s="49" t="s">
        <v>2650</v>
      </c>
      <c r="L1217" s="45"/>
      <c r="M1217" s="3"/>
    </row>
    <row r="1218" spans="1:60" x14ac:dyDescent="0.25">
      <c r="A1218" s="46" t="s">
        <v>2668</v>
      </c>
      <c r="B1218" s="46" t="s">
        <v>13</v>
      </c>
      <c r="C1218" s="46" t="s">
        <v>14</v>
      </c>
      <c r="D1218" s="47">
        <v>9484</v>
      </c>
      <c r="E1218" s="46" t="s">
        <v>2669</v>
      </c>
      <c r="F1218" s="48">
        <v>39783</v>
      </c>
      <c r="G1218" s="48">
        <v>40087</v>
      </c>
      <c r="H1218" s="46" t="s">
        <v>16</v>
      </c>
      <c r="I1218" s="45">
        <v>25929</v>
      </c>
      <c r="J1218" s="45">
        <v>7779</v>
      </c>
      <c r="K1218" s="49" t="s">
        <v>2650</v>
      </c>
      <c r="L1218" s="45"/>
      <c r="M1218" s="3"/>
    </row>
    <row r="1219" spans="1:60" x14ac:dyDescent="0.25">
      <c r="A1219" s="46" t="s">
        <v>2670</v>
      </c>
      <c r="B1219" s="46" t="s">
        <v>13</v>
      </c>
      <c r="C1219" s="46" t="s">
        <v>14</v>
      </c>
      <c r="D1219" s="47">
        <v>9521</v>
      </c>
      <c r="E1219" s="46" t="s">
        <v>2671</v>
      </c>
      <c r="F1219" s="48">
        <v>39847</v>
      </c>
      <c r="G1219" s="48">
        <v>40053</v>
      </c>
      <c r="H1219" s="46" t="s">
        <v>16</v>
      </c>
      <c r="I1219" s="45">
        <v>10060</v>
      </c>
      <c r="J1219" s="45">
        <v>3018</v>
      </c>
      <c r="K1219" s="49" t="s">
        <v>2650</v>
      </c>
      <c r="L1219" s="45"/>
      <c r="M1219" s="3"/>
    </row>
    <row r="1220" spans="1:60" x14ac:dyDescent="0.25">
      <c r="A1220" s="46" t="s">
        <v>2672</v>
      </c>
      <c r="B1220" s="46" t="s">
        <v>13</v>
      </c>
      <c r="C1220" s="46" t="s">
        <v>14</v>
      </c>
      <c r="D1220" s="47">
        <v>9963</v>
      </c>
      <c r="E1220" s="46" t="s">
        <v>2673</v>
      </c>
      <c r="F1220" s="48">
        <v>40486</v>
      </c>
      <c r="G1220" s="48">
        <v>40598</v>
      </c>
      <c r="H1220" s="46" t="s">
        <v>16</v>
      </c>
      <c r="I1220" s="45">
        <v>15500</v>
      </c>
      <c r="J1220" s="45">
        <v>3398.4</v>
      </c>
      <c r="K1220" s="49" t="s">
        <v>2650</v>
      </c>
      <c r="L1220" s="46"/>
    </row>
    <row r="1221" spans="1:60" ht="25.5" x14ac:dyDescent="0.25">
      <c r="A1221" s="46" t="s">
        <v>2674</v>
      </c>
      <c r="B1221" s="46" t="s">
        <v>13</v>
      </c>
      <c r="C1221" s="46" t="s">
        <v>14</v>
      </c>
      <c r="D1221" s="47">
        <v>10005</v>
      </c>
      <c r="E1221" s="46" t="s">
        <v>2675</v>
      </c>
      <c r="F1221" s="48">
        <v>40353</v>
      </c>
      <c r="G1221" s="48">
        <v>40626</v>
      </c>
      <c r="H1221" s="46" t="s">
        <v>16</v>
      </c>
      <c r="I1221" s="45">
        <v>27758.799999999999</v>
      </c>
      <c r="J1221" s="45">
        <v>11103.52</v>
      </c>
      <c r="K1221" s="49" t="s">
        <v>2650</v>
      </c>
      <c r="L1221" s="45"/>
      <c r="M1221" s="3"/>
    </row>
    <row r="1222" spans="1:60" x14ac:dyDescent="0.25">
      <c r="A1222" s="46" t="s">
        <v>2676</v>
      </c>
      <c r="B1222" s="46" t="s">
        <v>13</v>
      </c>
      <c r="C1222" s="46" t="s">
        <v>14</v>
      </c>
      <c r="D1222" s="47">
        <v>4397</v>
      </c>
      <c r="E1222" s="46" t="s">
        <v>2677</v>
      </c>
      <c r="F1222" s="48">
        <v>39400</v>
      </c>
      <c r="G1222" s="48">
        <v>40163</v>
      </c>
      <c r="H1222" s="46" t="s">
        <v>2039</v>
      </c>
      <c r="I1222" s="45">
        <v>76217.259999999995</v>
      </c>
      <c r="J1222" s="45">
        <v>76217.259999999995</v>
      </c>
      <c r="K1222" s="49" t="s">
        <v>2650</v>
      </c>
      <c r="L1222" s="45"/>
      <c r="M1222" s="3"/>
    </row>
    <row r="1223" spans="1:60" x14ac:dyDescent="0.25">
      <c r="A1223" s="46" t="s">
        <v>2678</v>
      </c>
      <c r="B1223" s="46" t="s">
        <v>13</v>
      </c>
      <c r="C1223" s="46" t="s">
        <v>14</v>
      </c>
      <c r="D1223" s="47">
        <v>4398</v>
      </c>
      <c r="E1223" s="46" t="s">
        <v>2678</v>
      </c>
      <c r="F1223" s="48">
        <v>39580</v>
      </c>
      <c r="G1223" s="48">
        <v>40158</v>
      </c>
      <c r="H1223" s="46" t="s">
        <v>2039</v>
      </c>
      <c r="I1223" s="45">
        <v>58638.91</v>
      </c>
      <c r="J1223" s="45">
        <v>58638.91</v>
      </c>
      <c r="K1223" s="49" t="s">
        <v>2650</v>
      </c>
      <c r="L1223" s="45"/>
      <c r="M1223" s="3"/>
    </row>
    <row r="1224" spans="1:60" ht="25.5" x14ac:dyDescent="0.25">
      <c r="A1224" s="46" t="s">
        <v>2679</v>
      </c>
      <c r="B1224" s="46" t="s">
        <v>13</v>
      </c>
      <c r="C1224" s="46" t="s">
        <v>14</v>
      </c>
      <c r="D1224" s="47">
        <v>4402</v>
      </c>
      <c r="E1224" s="46" t="s">
        <v>2680</v>
      </c>
      <c r="F1224" s="48">
        <v>39264</v>
      </c>
      <c r="G1224" s="48">
        <v>39782</v>
      </c>
      <c r="H1224" s="46" t="s">
        <v>2039</v>
      </c>
      <c r="I1224" s="45">
        <v>76096.850000000006</v>
      </c>
      <c r="J1224" s="45">
        <v>76096.850000000006</v>
      </c>
      <c r="K1224" s="49" t="s">
        <v>2650</v>
      </c>
      <c r="L1224" s="45"/>
      <c r="M1224" s="3"/>
    </row>
    <row r="1225" spans="1:60" s="9" customFormat="1" x14ac:dyDescent="0.25">
      <c r="A1225" s="46" t="s">
        <v>2681</v>
      </c>
      <c r="B1225" s="46" t="s">
        <v>13</v>
      </c>
      <c r="C1225" s="46" t="s">
        <v>14</v>
      </c>
      <c r="D1225" s="47">
        <v>4406</v>
      </c>
      <c r="E1225" s="46" t="s">
        <v>2682</v>
      </c>
      <c r="F1225" s="48">
        <v>39448</v>
      </c>
      <c r="G1225" s="48">
        <v>39994</v>
      </c>
      <c r="H1225" s="46" t="s">
        <v>2039</v>
      </c>
      <c r="I1225" s="45">
        <v>87500</v>
      </c>
      <c r="J1225" s="45">
        <v>84180.69</v>
      </c>
      <c r="K1225" s="49" t="s">
        <v>2650</v>
      </c>
      <c r="L1225" s="45"/>
      <c r="M1225" s="3"/>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row>
    <row r="1226" spans="1:60" ht="25.5" x14ac:dyDescent="0.25">
      <c r="A1226" s="46" t="s">
        <v>2683</v>
      </c>
      <c r="B1226" s="46" t="s">
        <v>13</v>
      </c>
      <c r="C1226" s="46" t="s">
        <v>14</v>
      </c>
      <c r="D1226" s="47">
        <v>4417</v>
      </c>
      <c r="E1226" s="46" t="s">
        <v>2684</v>
      </c>
      <c r="F1226" s="48">
        <v>39783</v>
      </c>
      <c r="G1226" s="48">
        <v>40147</v>
      </c>
      <c r="H1226" s="46" t="s">
        <v>2039</v>
      </c>
      <c r="I1226" s="45">
        <v>134790</v>
      </c>
      <c r="J1226" s="45">
        <v>134790</v>
      </c>
      <c r="K1226" s="49" t="s">
        <v>2650</v>
      </c>
      <c r="L1226" s="45"/>
      <c r="M1226" s="3"/>
    </row>
    <row r="1227" spans="1:60" ht="25.5" x14ac:dyDescent="0.25">
      <c r="A1227" s="46" t="s">
        <v>2685</v>
      </c>
      <c r="B1227" s="46" t="s">
        <v>13</v>
      </c>
      <c r="C1227" s="46" t="s">
        <v>14</v>
      </c>
      <c r="D1227" s="47">
        <v>4419</v>
      </c>
      <c r="E1227" s="46" t="s">
        <v>2686</v>
      </c>
      <c r="F1227" s="48">
        <v>39569</v>
      </c>
      <c r="G1227" s="48">
        <v>40025</v>
      </c>
      <c r="H1227" s="46" t="s">
        <v>2039</v>
      </c>
      <c r="I1227" s="45">
        <v>77540</v>
      </c>
      <c r="J1227" s="45">
        <v>77540</v>
      </c>
      <c r="K1227" s="49" t="s">
        <v>2650</v>
      </c>
      <c r="L1227" s="70"/>
      <c r="M1227" s="3"/>
    </row>
    <row r="1228" spans="1:60" x14ac:dyDescent="0.25">
      <c r="A1228" s="46" t="s">
        <v>2687</v>
      </c>
      <c r="B1228" s="46" t="s">
        <v>13</v>
      </c>
      <c r="C1228" s="46" t="s">
        <v>14</v>
      </c>
      <c r="D1228" s="47">
        <v>4533</v>
      </c>
      <c r="E1228" s="46" t="s">
        <v>2688</v>
      </c>
      <c r="F1228" s="48">
        <v>39904</v>
      </c>
      <c r="G1228" s="48">
        <v>40999</v>
      </c>
      <c r="H1228" s="46" t="s">
        <v>2039</v>
      </c>
      <c r="I1228" s="45">
        <f>235566.04+13299.66</f>
        <v>248865.7</v>
      </c>
      <c r="J1228" s="45">
        <f>235566.04+13299.66</f>
        <v>248865.7</v>
      </c>
      <c r="K1228" s="49" t="s">
        <v>2650</v>
      </c>
      <c r="L1228" s="45"/>
      <c r="M1228" s="3"/>
    </row>
    <row r="1229" spans="1:60" ht="25.5" x14ac:dyDescent="0.25">
      <c r="A1229" s="46" t="s">
        <v>2689</v>
      </c>
      <c r="B1229" s="46" t="s">
        <v>13</v>
      </c>
      <c r="C1229" s="46" t="s">
        <v>14</v>
      </c>
      <c r="D1229" s="47">
        <v>4535</v>
      </c>
      <c r="E1229" s="46" t="s">
        <v>2690</v>
      </c>
      <c r="F1229" s="48">
        <v>39981</v>
      </c>
      <c r="G1229" s="48">
        <v>40441</v>
      </c>
      <c r="H1229" s="46" t="s">
        <v>2039</v>
      </c>
      <c r="I1229" s="45">
        <v>65744.160000000003</v>
      </c>
      <c r="J1229" s="45">
        <v>65744.160000000003</v>
      </c>
      <c r="K1229" s="49" t="s">
        <v>2650</v>
      </c>
      <c r="L1229" s="45"/>
      <c r="M1229" s="3"/>
    </row>
    <row r="1230" spans="1:60" ht="38.25" x14ac:dyDescent="0.25">
      <c r="A1230" s="46" t="s">
        <v>2691</v>
      </c>
      <c r="B1230" s="46" t="s">
        <v>13</v>
      </c>
      <c r="C1230" s="46" t="s">
        <v>14</v>
      </c>
      <c r="D1230" s="47">
        <v>4537</v>
      </c>
      <c r="E1230" s="46" t="s">
        <v>2692</v>
      </c>
      <c r="F1230" s="48">
        <v>39904</v>
      </c>
      <c r="G1230" s="48">
        <v>40359</v>
      </c>
      <c r="H1230" s="46" t="s">
        <v>2039</v>
      </c>
      <c r="I1230" s="45">
        <v>34117.589999999997</v>
      </c>
      <c r="J1230" s="45">
        <v>34117.589999999997</v>
      </c>
      <c r="K1230" s="49" t="s">
        <v>2650</v>
      </c>
      <c r="L1230" s="45"/>
      <c r="M1230" s="3"/>
    </row>
    <row r="1231" spans="1:60" ht="38.25" x14ac:dyDescent="0.25">
      <c r="A1231" s="46" t="s">
        <v>2693</v>
      </c>
      <c r="B1231" s="46" t="s">
        <v>13</v>
      </c>
      <c r="C1231" s="46" t="s">
        <v>14</v>
      </c>
      <c r="D1231" s="47">
        <v>4543</v>
      </c>
      <c r="E1231" s="46" t="s">
        <v>2694</v>
      </c>
      <c r="F1231" s="48">
        <v>40025</v>
      </c>
      <c r="G1231" s="48">
        <v>40405</v>
      </c>
      <c r="H1231" s="46" t="s">
        <v>2039</v>
      </c>
      <c r="I1231" s="45">
        <v>67761.899999999994</v>
      </c>
      <c r="J1231" s="45">
        <v>67761.899999999994</v>
      </c>
      <c r="K1231" s="49" t="s">
        <v>2650</v>
      </c>
      <c r="L1231" s="45"/>
      <c r="M1231" s="3"/>
    </row>
    <row r="1232" spans="1:60" ht="25.5" x14ac:dyDescent="0.25">
      <c r="A1232" s="46" t="s">
        <v>2695</v>
      </c>
      <c r="B1232" s="46" t="s">
        <v>13</v>
      </c>
      <c r="C1232" s="46" t="s">
        <v>14</v>
      </c>
      <c r="D1232" s="47">
        <v>4574</v>
      </c>
      <c r="E1232" s="46" t="s">
        <v>2696</v>
      </c>
      <c r="F1232" s="48">
        <v>40057</v>
      </c>
      <c r="G1232" s="48">
        <v>41152</v>
      </c>
      <c r="H1232" s="46" t="s">
        <v>2039</v>
      </c>
      <c r="I1232" s="45">
        <f>121360.45+36934.82</f>
        <v>158295.26999999999</v>
      </c>
      <c r="J1232" s="45">
        <f>121360.45+36934.82</f>
        <v>158295.26999999999</v>
      </c>
      <c r="K1232" s="49" t="s">
        <v>2650</v>
      </c>
      <c r="L1232" s="45"/>
      <c r="M1232" s="3"/>
    </row>
    <row r="1233" spans="1:13" ht="25.5" x14ac:dyDescent="0.25">
      <c r="A1233" s="46" t="s">
        <v>2697</v>
      </c>
      <c r="B1233" s="46" t="s">
        <v>13</v>
      </c>
      <c r="C1233" s="46" t="s">
        <v>14</v>
      </c>
      <c r="D1233" s="47">
        <v>4575</v>
      </c>
      <c r="E1233" s="46" t="s">
        <v>2698</v>
      </c>
      <c r="F1233" s="48">
        <v>40057</v>
      </c>
      <c r="G1233" s="48">
        <v>40298</v>
      </c>
      <c r="H1233" s="46" t="s">
        <v>2039</v>
      </c>
      <c r="I1233" s="45">
        <v>54343.07</v>
      </c>
      <c r="J1233" s="45">
        <v>54343.07</v>
      </c>
      <c r="K1233" s="49" t="s">
        <v>2650</v>
      </c>
      <c r="L1233" s="45"/>
      <c r="M1233" s="3"/>
    </row>
    <row r="1234" spans="1:13" ht="38.25" x14ac:dyDescent="0.25">
      <c r="A1234" s="46" t="s">
        <v>2699</v>
      </c>
      <c r="B1234" s="46" t="s">
        <v>13</v>
      </c>
      <c r="C1234" s="46" t="s">
        <v>14</v>
      </c>
      <c r="D1234" s="47">
        <v>4576</v>
      </c>
      <c r="E1234" s="46" t="s">
        <v>2700</v>
      </c>
      <c r="F1234" s="48">
        <v>40086</v>
      </c>
      <c r="G1234" s="48">
        <v>40451</v>
      </c>
      <c r="H1234" s="46" t="s">
        <v>2039</v>
      </c>
      <c r="I1234" s="45">
        <v>68692.33</v>
      </c>
      <c r="J1234" s="45">
        <v>68692.33</v>
      </c>
      <c r="K1234" s="49" t="s">
        <v>2650</v>
      </c>
      <c r="L1234" s="45"/>
      <c r="M1234" s="3"/>
    </row>
    <row r="1235" spans="1:13" ht="38.25" x14ac:dyDescent="0.25">
      <c r="A1235" s="46" t="s">
        <v>2701</v>
      </c>
      <c r="B1235" s="46" t="s">
        <v>13</v>
      </c>
      <c r="C1235" s="46" t="s">
        <v>14</v>
      </c>
      <c r="D1235" s="47">
        <v>4577</v>
      </c>
      <c r="E1235" s="46" t="s">
        <v>2702</v>
      </c>
      <c r="F1235" s="48">
        <v>40117</v>
      </c>
      <c r="G1235" s="48">
        <v>40512</v>
      </c>
      <c r="H1235" s="46" t="s">
        <v>2039</v>
      </c>
      <c r="I1235" s="45">
        <v>59036.56</v>
      </c>
      <c r="J1235" s="45">
        <v>59036.56</v>
      </c>
      <c r="K1235" s="49" t="s">
        <v>2650</v>
      </c>
      <c r="L1235" s="45"/>
      <c r="M1235" s="3"/>
    </row>
    <row r="1236" spans="1:13" ht="38.25" x14ac:dyDescent="0.25">
      <c r="A1236" s="46" t="s">
        <v>2703</v>
      </c>
      <c r="B1236" s="46" t="s">
        <v>13</v>
      </c>
      <c r="C1236" s="46" t="s">
        <v>14</v>
      </c>
      <c r="D1236" s="47">
        <v>4578</v>
      </c>
      <c r="E1236" s="46" t="s">
        <v>2704</v>
      </c>
      <c r="F1236" s="48">
        <v>39540</v>
      </c>
      <c r="G1236" s="48">
        <v>40633</v>
      </c>
      <c r="H1236" s="46" t="s">
        <v>2039</v>
      </c>
      <c r="I1236" s="45">
        <v>316837.15999999997</v>
      </c>
      <c r="J1236" s="45">
        <v>316837.15999999997</v>
      </c>
      <c r="K1236" s="49" t="s">
        <v>2650</v>
      </c>
      <c r="L1236" s="45"/>
      <c r="M1236" s="3"/>
    </row>
    <row r="1237" spans="1:13" ht="38.25" x14ac:dyDescent="0.25">
      <c r="A1237" s="46" t="s">
        <v>2705</v>
      </c>
      <c r="B1237" s="46" t="s">
        <v>13</v>
      </c>
      <c r="C1237" s="46" t="s">
        <v>14</v>
      </c>
      <c r="D1237" s="47">
        <v>4579</v>
      </c>
      <c r="E1237" s="46" t="s">
        <v>2706</v>
      </c>
      <c r="F1237" s="48">
        <v>39721</v>
      </c>
      <c r="G1237" s="48">
        <v>40120</v>
      </c>
      <c r="H1237" s="46" t="s">
        <v>2039</v>
      </c>
      <c r="I1237" s="45">
        <v>98800.13</v>
      </c>
      <c r="J1237" s="45">
        <v>98800.13</v>
      </c>
      <c r="K1237" s="49" t="s">
        <v>2650</v>
      </c>
      <c r="L1237" s="45"/>
      <c r="M1237" s="3"/>
    </row>
    <row r="1238" spans="1:13" ht="25.5" x14ac:dyDescent="0.25">
      <c r="A1238" s="46" t="s">
        <v>2707</v>
      </c>
      <c r="B1238" s="46" t="s">
        <v>13</v>
      </c>
      <c r="C1238" s="46" t="s">
        <v>14</v>
      </c>
      <c r="D1238" s="47">
        <v>4580</v>
      </c>
      <c r="E1238" s="46" t="s">
        <v>2708</v>
      </c>
      <c r="F1238" s="48">
        <v>39479</v>
      </c>
      <c r="G1238" s="48">
        <v>40574</v>
      </c>
      <c r="H1238" s="46" t="s">
        <v>2039</v>
      </c>
      <c r="I1238" s="45">
        <v>301959.25</v>
      </c>
      <c r="J1238" s="45">
        <v>301959.25</v>
      </c>
      <c r="K1238" s="49" t="s">
        <v>2650</v>
      </c>
      <c r="L1238" s="45"/>
      <c r="M1238" s="3"/>
    </row>
    <row r="1239" spans="1:13" ht="38.25" x14ac:dyDescent="0.25">
      <c r="A1239" s="46" t="s">
        <v>2709</v>
      </c>
      <c r="B1239" s="46" t="s">
        <v>13</v>
      </c>
      <c r="C1239" s="46" t="s">
        <v>14</v>
      </c>
      <c r="D1239" s="47">
        <v>4581</v>
      </c>
      <c r="E1239" s="46" t="s">
        <v>2710</v>
      </c>
      <c r="F1239" s="48">
        <v>39722</v>
      </c>
      <c r="G1239" s="48">
        <v>40162</v>
      </c>
      <c r="H1239" s="46" t="s">
        <v>2039</v>
      </c>
      <c r="I1239" s="45">
        <v>73758.820000000007</v>
      </c>
      <c r="J1239" s="45">
        <v>73758.820000000007</v>
      </c>
      <c r="K1239" s="49" t="s">
        <v>2650</v>
      </c>
      <c r="L1239" s="45"/>
      <c r="M1239" s="3"/>
    </row>
    <row r="1240" spans="1:13" ht="38.25" x14ac:dyDescent="0.25">
      <c r="A1240" s="46" t="s">
        <v>2711</v>
      </c>
      <c r="B1240" s="46" t="s">
        <v>13</v>
      </c>
      <c r="C1240" s="46" t="s">
        <v>14</v>
      </c>
      <c r="D1240" s="47">
        <v>4583</v>
      </c>
      <c r="E1240" s="46" t="s">
        <v>2712</v>
      </c>
      <c r="F1240" s="48">
        <v>39722</v>
      </c>
      <c r="G1240" s="48">
        <v>40172</v>
      </c>
      <c r="H1240" s="46" t="s">
        <v>2039</v>
      </c>
      <c r="I1240" s="45">
        <v>68531.87</v>
      </c>
      <c r="J1240" s="45">
        <v>68531.87</v>
      </c>
      <c r="K1240" s="49" t="s">
        <v>2650</v>
      </c>
      <c r="L1240" s="45"/>
      <c r="M1240" s="3"/>
    </row>
    <row r="1241" spans="1:13" ht="25.5" x14ac:dyDescent="0.25">
      <c r="A1241" s="46" t="s">
        <v>2713</v>
      </c>
      <c r="B1241" s="46" t="s">
        <v>13</v>
      </c>
      <c r="C1241" s="46" t="s">
        <v>14</v>
      </c>
      <c r="D1241" s="47">
        <v>4584</v>
      </c>
      <c r="E1241" s="46" t="s">
        <v>2714</v>
      </c>
      <c r="F1241" s="48">
        <v>39800</v>
      </c>
      <c r="G1241" s="48">
        <v>40178</v>
      </c>
      <c r="H1241" s="46" t="s">
        <v>2039</v>
      </c>
      <c r="I1241" s="45">
        <v>93580.6</v>
      </c>
      <c r="J1241" s="45">
        <v>93580.6</v>
      </c>
      <c r="K1241" s="49" t="s">
        <v>2650</v>
      </c>
      <c r="L1241" s="45"/>
      <c r="M1241" s="3"/>
    </row>
    <row r="1242" spans="1:13" ht="25.5" x14ac:dyDescent="0.25">
      <c r="A1242" s="46" t="s">
        <v>2715</v>
      </c>
      <c r="B1242" s="46" t="s">
        <v>13</v>
      </c>
      <c r="C1242" s="46" t="s">
        <v>14</v>
      </c>
      <c r="D1242" s="47">
        <v>4585</v>
      </c>
      <c r="E1242" s="46" t="s">
        <v>2716</v>
      </c>
      <c r="F1242" s="48">
        <v>39782</v>
      </c>
      <c r="G1242" s="48">
        <v>40359</v>
      </c>
      <c r="H1242" s="46" t="s">
        <v>2039</v>
      </c>
      <c r="I1242" s="45">
        <v>40430.75</v>
      </c>
      <c r="J1242" s="45">
        <v>40430.75</v>
      </c>
      <c r="K1242" s="49" t="s">
        <v>2650</v>
      </c>
      <c r="L1242" s="45"/>
      <c r="M1242" s="3"/>
    </row>
    <row r="1243" spans="1:13" ht="38.25" x14ac:dyDescent="0.25">
      <c r="A1243" s="46" t="s">
        <v>2717</v>
      </c>
      <c r="B1243" s="46" t="s">
        <v>13</v>
      </c>
      <c r="C1243" s="46" t="s">
        <v>14</v>
      </c>
      <c r="D1243" s="47">
        <v>4587</v>
      </c>
      <c r="E1243" s="46" t="s">
        <v>2718</v>
      </c>
      <c r="F1243" s="48">
        <v>39783</v>
      </c>
      <c r="G1243" s="48">
        <v>40172</v>
      </c>
      <c r="H1243" s="46" t="s">
        <v>2039</v>
      </c>
      <c r="I1243" s="45">
        <v>73775.55</v>
      </c>
      <c r="J1243" s="45">
        <v>73775.55</v>
      </c>
      <c r="K1243" s="49" t="s">
        <v>2650</v>
      </c>
      <c r="L1243" s="45"/>
      <c r="M1243" s="3"/>
    </row>
    <row r="1244" spans="1:13" ht="25.5" x14ac:dyDescent="0.25">
      <c r="A1244" s="46" t="s">
        <v>2719</v>
      </c>
      <c r="B1244" s="46" t="s">
        <v>13</v>
      </c>
      <c r="C1244" s="46" t="s">
        <v>14</v>
      </c>
      <c r="D1244" s="47">
        <v>4588</v>
      </c>
      <c r="E1244" s="46" t="s">
        <v>2720</v>
      </c>
      <c r="F1244" s="48">
        <v>39722</v>
      </c>
      <c r="G1244" s="48">
        <v>40816</v>
      </c>
      <c r="H1244" s="46" t="s">
        <v>2039</v>
      </c>
      <c r="I1244" s="45">
        <v>302520.55</v>
      </c>
      <c r="J1244" s="45">
        <v>302520.55</v>
      </c>
      <c r="K1244" s="49" t="s">
        <v>2650</v>
      </c>
      <c r="L1244" s="45"/>
      <c r="M1244" s="3"/>
    </row>
    <row r="1245" spans="1:13" ht="25.5" x14ac:dyDescent="0.25">
      <c r="A1245" s="46" t="s">
        <v>2721</v>
      </c>
      <c r="B1245" s="46" t="s">
        <v>13</v>
      </c>
      <c r="C1245" s="46" t="s">
        <v>14</v>
      </c>
      <c r="D1245" s="47">
        <v>4589</v>
      </c>
      <c r="E1245" s="46" t="s">
        <v>2722</v>
      </c>
      <c r="F1245" s="48">
        <v>39755</v>
      </c>
      <c r="G1245" s="48">
        <v>40119</v>
      </c>
      <c r="H1245" s="46" t="s">
        <v>2039</v>
      </c>
      <c r="I1245" s="45">
        <v>78345.88</v>
      </c>
      <c r="J1245" s="45">
        <v>78345.88</v>
      </c>
      <c r="K1245" s="49" t="s">
        <v>2650</v>
      </c>
      <c r="L1245" s="45"/>
      <c r="M1245" s="3"/>
    </row>
    <row r="1246" spans="1:13" ht="25.5" x14ac:dyDescent="0.25">
      <c r="A1246" s="46" t="s">
        <v>2723</v>
      </c>
      <c r="B1246" s="46" t="s">
        <v>13</v>
      </c>
      <c r="C1246" s="46" t="s">
        <v>14</v>
      </c>
      <c r="D1246" s="47">
        <v>4590</v>
      </c>
      <c r="E1246" s="46" t="s">
        <v>2724</v>
      </c>
      <c r="F1246" s="48">
        <v>39813</v>
      </c>
      <c r="G1246" s="48">
        <v>40637</v>
      </c>
      <c r="H1246" s="46" t="s">
        <v>2039</v>
      </c>
      <c r="I1246" s="45">
        <v>171408.31</v>
      </c>
      <c r="J1246" s="45">
        <v>171408.31</v>
      </c>
      <c r="K1246" s="49" t="s">
        <v>2650</v>
      </c>
      <c r="L1246" s="45"/>
      <c r="M1246" s="3"/>
    </row>
    <row r="1247" spans="1:13" ht="38.25" x14ac:dyDescent="0.25">
      <c r="A1247" s="46" t="s">
        <v>2725</v>
      </c>
      <c r="B1247" s="46" t="s">
        <v>13</v>
      </c>
      <c r="C1247" s="46" t="s">
        <v>14</v>
      </c>
      <c r="D1247" s="47">
        <v>4591</v>
      </c>
      <c r="E1247" s="46" t="s">
        <v>2726</v>
      </c>
      <c r="F1247" s="48">
        <v>39727</v>
      </c>
      <c r="G1247" s="48">
        <v>40150</v>
      </c>
      <c r="H1247" s="46" t="s">
        <v>2039</v>
      </c>
      <c r="I1247" s="45">
        <v>54287.040000000001</v>
      </c>
      <c r="J1247" s="45">
        <v>54287.040000000001</v>
      </c>
      <c r="K1247" s="49" t="s">
        <v>2650</v>
      </c>
      <c r="L1247" s="45"/>
      <c r="M1247" s="3"/>
    </row>
    <row r="1248" spans="1:13" ht="38.25" x14ac:dyDescent="0.25">
      <c r="A1248" s="46" t="s">
        <v>2727</v>
      </c>
      <c r="B1248" s="46" t="s">
        <v>13</v>
      </c>
      <c r="C1248" s="46" t="s">
        <v>14</v>
      </c>
      <c r="D1248" s="47">
        <v>4592</v>
      </c>
      <c r="E1248" s="46" t="s">
        <v>2728</v>
      </c>
      <c r="F1248" s="48">
        <v>39814</v>
      </c>
      <c r="G1248" s="48">
        <v>40178</v>
      </c>
      <c r="H1248" s="46" t="s">
        <v>2039</v>
      </c>
      <c r="I1248" s="45">
        <v>89028.77</v>
      </c>
      <c r="J1248" s="45">
        <v>89028.77</v>
      </c>
      <c r="K1248" s="49" t="s">
        <v>2650</v>
      </c>
      <c r="L1248" s="45"/>
      <c r="M1248" s="3"/>
    </row>
    <row r="1249" spans="1:13" ht="25.5" x14ac:dyDescent="0.25">
      <c r="A1249" s="46" t="s">
        <v>2729</v>
      </c>
      <c r="B1249" s="46" t="s">
        <v>13</v>
      </c>
      <c r="C1249" s="46" t="s">
        <v>14</v>
      </c>
      <c r="D1249" s="47">
        <v>4593</v>
      </c>
      <c r="E1249" s="46" t="s">
        <v>2730</v>
      </c>
      <c r="F1249" s="48">
        <v>39814</v>
      </c>
      <c r="G1249" s="48">
        <v>40908</v>
      </c>
      <c r="H1249" s="46" t="s">
        <v>2039</v>
      </c>
      <c r="I1249" s="45">
        <f>254669.56+7260</f>
        <v>261929.56</v>
      </c>
      <c r="J1249" s="45">
        <f>254669.56+7260</f>
        <v>261929.56</v>
      </c>
      <c r="K1249" s="49" t="s">
        <v>2650</v>
      </c>
      <c r="L1249" s="45"/>
      <c r="M1249" s="3"/>
    </row>
    <row r="1250" spans="1:13" ht="25.5" x14ac:dyDescent="0.25">
      <c r="A1250" s="46" t="s">
        <v>2731</v>
      </c>
      <c r="B1250" s="46" t="s">
        <v>13</v>
      </c>
      <c r="C1250" s="46" t="s">
        <v>14</v>
      </c>
      <c r="D1250" s="47">
        <v>4594</v>
      </c>
      <c r="E1250" s="46" t="s">
        <v>2732</v>
      </c>
      <c r="F1250" s="48">
        <v>39845</v>
      </c>
      <c r="G1250" s="48">
        <v>40939</v>
      </c>
      <c r="H1250" s="46" t="s">
        <v>2039</v>
      </c>
      <c r="I1250" s="45">
        <f>221100.4+29877.81</f>
        <v>250978.21</v>
      </c>
      <c r="J1250" s="45">
        <f>221100.4+29877.81</f>
        <v>250978.21</v>
      </c>
      <c r="K1250" s="49" t="s">
        <v>2650</v>
      </c>
      <c r="L1250" s="45"/>
      <c r="M1250" s="3"/>
    </row>
    <row r="1251" spans="1:13" ht="38.25" x14ac:dyDescent="0.25">
      <c r="A1251" s="46" t="s">
        <v>2733</v>
      </c>
      <c r="B1251" s="46" t="s">
        <v>13</v>
      </c>
      <c r="C1251" s="46" t="s">
        <v>14</v>
      </c>
      <c r="D1251" s="47">
        <v>4595</v>
      </c>
      <c r="E1251" s="46" t="s">
        <v>2734</v>
      </c>
      <c r="F1251" s="48">
        <v>39814</v>
      </c>
      <c r="G1251" s="48">
        <v>40178</v>
      </c>
      <c r="H1251" s="46" t="s">
        <v>2039</v>
      </c>
      <c r="I1251" s="45">
        <v>37016.85</v>
      </c>
      <c r="J1251" s="45">
        <v>37016.85</v>
      </c>
      <c r="K1251" s="49" t="s">
        <v>2650</v>
      </c>
      <c r="L1251" s="45"/>
      <c r="M1251" s="3"/>
    </row>
    <row r="1252" spans="1:13" ht="25.5" x14ac:dyDescent="0.25">
      <c r="A1252" s="46" t="s">
        <v>2735</v>
      </c>
      <c r="B1252" s="46" t="s">
        <v>13</v>
      </c>
      <c r="C1252" s="46" t="s">
        <v>14</v>
      </c>
      <c r="D1252" s="47">
        <v>4596</v>
      </c>
      <c r="E1252" s="46" t="s">
        <v>2736</v>
      </c>
      <c r="F1252" s="48">
        <v>39840</v>
      </c>
      <c r="G1252" s="48">
        <v>40209</v>
      </c>
      <c r="H1252" s="46" t="s">
        <v>2039</v>
      </c>
      <c r="I1252" s="45">
        <v>50294.32</v>
      </c>
      <c r="J1252" s="45">
        <v>50294.32</v>
      </c>
      <c r="K1252" s="49" t="s">
        <v>2650</v>
      </c>
      <c r="L1252" s="45"/>
      <c r="M1252" s="3"/>
    </row>
    <row r="1253" spans="1:13" ht="51" x14ac:dyDescent="0.25">
      <c r="A1253" s="46" t="s">
        <v>2737</v>
      </c>
      <c r="B1253" s="46" t="s">
        <v>13</v>
      </c>
      <c r="C1253" s="46" t="s">
        <v>14</v>
      </c>
      <c r="D1253" s="47">
        <v>4597</v>
      </c>
      <c r="E1253" s="46" t="s">
        <v>2738</v>
      </c>
      <c r="F1253" s="48">
        <v>39295</v>
      </c>
      <c r="G1253" s="48">
        <v>40390</v>
      </c>
      <c r="H1253" s="46" t="s">
        <v>2039</v>
      </c>
      <c r="I1253" s="45">
        <f>301093.24-1853.48</f>
        <v>299239.76</v>
      </c>
      <c r="J1253" s="45">
        <f>301093.24-1853.48</f>
        <v>299239.76</v>
      </c>
      <c r="K1253" s="49" t="s">
        <v>2650</v>
      </c>
      <c r="L1253" s="45"/>
      <c r="M1253" s="3"/>
    </row>
    <row r="1254" spans="1:13" ht="38.25" x14ac:dyDescent="0.25">
      <c r="A1254" s="46" t="s">
        <v>2739</v>
      </c>
      <c r="B1254" s="46" t="s">
        <v>13</v>
      </c>
      <c r="C1254" s="46" t="s">
        <v>14</v>
      </c>
      <c r="D1254" s="47">
        <v>4598</v>
      </c>
      <c r="E1254" s="46" t="s">
        <v>2740</v>
      </c>
      <c r="F1254" s="48">
        <v>39356</v>
      </c>
      <c r="G1254" s="48">
        <v>40451</v>
      </c>
      <c r="H1254" s="46" t="s">
        <v>2039</v>
      </c>
      <c r="I1254" s="45">
        <v>281055.19</v>
      </c>
      <c r="J1254" s="45">
        <v>281055.19</v>
      </c>
      <c r="K1254" s="49" t="s">
        <v>2650</v>
      </c>
      <c r="L1254" s="45"/>
      <c r="M1254" s="3"/>
    </row>
    <row r="1255" spans="1:13" ht="25.5" x14ac:dyDescent="0.25">
      <c r="A1255" s="46" t="s">
        <v>2741</v>
      </c>
      <c r="B1255" s="46" t="s">
        <v>13</v>
      </c>
      <c r="C1255" s="46" t="s">
        <v>14</v>
      </c>
      <c r="D1255" s="47">
        <v>4599</v>
      </c>
      <c r="E1255" s="46" t="s">
        <v>2742</v>
      </c>
      <c r="F1255" s="48">
        <v>39417</v>
      </c>
      <c r="G1255" s="48">
        <v>40071</v>
      </c>
      <c r="H1255" s="46" t="s">
        <v>2039</v>
      </c>
      <c r="I1255" s="45">
        <v>72049.52</v>
      </c>
      <c r="J1255" s="45">
        <v>72049.52</v>
      </c>
      <c r="K1255" s="49" t="s">
        <v>2650</v>
      </c>
      <c r="L1255" s="45"/>
      <c r="M1255" s="3"/>
    </row>
    <row r="1256" spans="1:13" ht="25.5" x14ac:dyDescent="0.25">
      <c r="A1256" s="46" t="s">
        <v>2743</v>
      </c>
      <c r="B1256" s="46" t="s">
        <v>13</v>
      </c>
      <c r="C1256" s="46" t="s">
        <v>14</v>
      </c>
      <c r="D1256" s="47">
        <v>4600</v>
      </c>
      <c r="E1256" s="46" t="s">
        <v>2744</v>
      </c>
      <c r="F1256" s="48">
        <v>39224</v>
      </c>
      <c r="G1256" s="48">
        <v>40025</v>
      </c>
      <c r="H1256" s="46" t="s">
        <v>2039</v>
      </c>
      <c r="I1256" s="45">
        <v>49599.66</v>
      </c>
      <c r="J1256" s="45">
        <v>49599.66</v>
      </c>
      <c r="K1256" s="49" t="s">
        <v>2650</v>
      </c>
      <c r="L1256" s="45"/>
      <c r="M1256" s="3"/>
    </row>
    <row r="1257" spans="1:13" ht="25.5" x14ac:dyDescent="0.25">
      <c r="A1257" s="46" t="s">
        <v>2745</v>
      </c>
      <c r="B1257" s="46" t="s">
        <v>13</v>
      </c>
      <c r="C1257" s="46" t="s">
        <v>14</v>
      </c>
      <c r="D1257" s="47">
        <v>4601</v>
      </c>
      <c r="E1257" s="46" t="s">
        <v>2746</v>
      </c>
      <c r="F1257" s="48">
        <v>39224</v>
      </c>
      <c r="G1257" s="48">
        <v>40087</v>
      </c>
      <c r="H1257" s="46" t="s">
        <v>2039</v>
      </c>
      <c r="I1257" s="45">
        <v>63464.45</v>
      </c>
      <c r="J1257" s="45">
        <v>63464.45</v>
      </c>
      <c r="K1257" s="49" t="s">
        <v>2650</v>
      </c>
      <c r="L1257" s="45"/>
      <c r="M1257" s="3"/>
    </row>
    <row r="1258" spans="1:13" ht="25.5" x14ac:dyDescent="0.25">
      <c r="A1258" s="46" t="s">
        <v>2747</v>
      </c>
      <c r="B1258" s="46" t="s">
        <v>13</v>
      </c>
      <c r="C1258" s="46" t="s">
        <v>14</v>
      </c>
      <c r="D1258" s="47">
        <v>4602</v>
      </c>
      <c r="E1258" s="46" t="s">
        <v>2748</v>
      </c>
      <c r="F1258" s="48">
        <v>39338</v>
      </c>
      <c r="G1258" s="48">
        <v>40451</v>
      </c>
      <c r="H1258" s="46" t="s">
        <v>2039</v>
      </c>
      <c r="I1258" s="45">
        <v>250001.11</v>
      </c>
      <c r="J1258" s="45">
        <v>250001.11</v>
      </c>
      <c r="K1258" s="49" t="s">
        <v>2650</v>
      </c>
      <c r="L1258" s="45"/>
      <c r="M1258" s="3"/>
    </row>
    <row r="1259" spans="1:13" ht="25.5" x14ac:dyDescent="0.25">
      <c r="A1259" s="46" t="s">
        <v>2749</v>
      </c>
      <c r="B1259" s="46" t="s">
        <v>13</v>
      </c>
      <c r="C1259" s="46" t="s">
        <v>14</v>
      </c>
      <c r="D1259" s="47">
        <v>4604</v>
      </c>
      <c r="E1259" s="46" t="s">
        <v>2750</v>
      </c>
      <c r="F1259" s="48">
        <v>39363</v>
      </c>
      <c r="G1259" s="48">
        <v>39852</v>
      </c>
      <c r="H1259" s="46" t="s">
        <v>2039</v>
      </c>
      <c r="I1259" s="45">
        <v>53287.21</v>
      </c>
      <c r="J1259" s="45">
        <v>53287.21</v>
      </c>
      <c r="K1259" s="49" t="s">
        <v>2650</v>
      </c>
      <c r="L1259" s="45"/>
      <c r="M1259" s="3"/>
    </row>
    <row r="1260" spans="1:13" ht="25.5" x14ac:dyDescent="0.25">
      <c r="A1260" s="46" t="s">
        <v>2751</v>
      </c>
      <c r="B1260" s="46" t="s">
        <v>13</v>
      </c>
      <c r="C1260" s="46" t="s">
        <v>14</v>
      </c>
      <c r="D1260" s="47">
        <v>4605</v>
      </c>
      <c r="E1260" s="46" t="s">
        <v>2752</v>
      </c>
      <c r="F1260" s="48">
        <v>39346</v>
      </c>
      <c r="G1260" s="48">
        <v>39903</v>
      </c>
      <c r="H1260" s="46" t="s">
        <v>2039</v>
      </c>
      <c r="I1260" s="45">
        <v>64651.53</v>
      </c>
      <c r="J1260" s="45">
        <v>64651.53</v>
      </c>
      <c r="K1260" s="49" t="s">
        <v>2650</v>
      </c>
      <c r="L1260" s="45"/>
      <c r="M1260" s="3"/>
    </row>
    <row r="1261" spans="1:13" ht="25.5" x14ac:dyDescent="0.25">
      <c r="A1261" s="46" t="s">
        <v>2753</v>
      </c>
      <c r="B1261" s="46" t="s">
        <v>13</v>
      </c>
      <c r="C1261" s="46" t="s">
        <v>14</v>
      </c>
      <c r="D1261" s="47">
        <v>4606</v>
      </c>
      <c r="E1261" s="46" t="s">
        <v>2754</v>
      </c>
      <c r="F1261" s="48">
        <v>39821</v>
      </c>
      <c r="G1261" s="48">
        <v>40242</v>
      </c>
      <c r="H1261" s="46" t="s">
        <v>2039</v>
      </c>
      <c r="I1261" s="45">
        <v>64194.51</v>
      </c>
      <c r="J1261" s="45">
        <v>64194.51</v>
      </c>
      <c r="K1261" s="49" t="s">
        <v>2650</v>
      </c>
      <c r="L1261" s="45"/>
      <c r="M1261" s="3"/>
    </row>
    <row r="1262" spans="1:13" ht="38.25" x14ac:dyDescent="0.25">
      <c r="A1262" s="46" t="s">
        <v>2755</v>
      </c>
      <c r="B1262" s="46" t="s">
        <v>13</v>
      </c>
      <c r="C1262" s="46" t="s">
        <v>14</v>
      </c>
      <c r="D1262" s="47">
        <v>4607</v>
      </c>
      <c r="E1262" s="46" t="s">
        <v>2756</v>
      </c>
      <c r="F1262" s="48">
        <v>39539</v>
      </c>
      <c r="G1262" s="48">
        <v>40633</v>
      </c>
      <c r="H1262" s="46" t="s">
        <v>2039</v>
      </c>
      <c r="I1262" s="45">
        <v>313764.15000000002</v>
      </c>
      <c r="J1262" s="45">
        <v>313764.15000000002</v>
      </c>
      <c r="K1262" s="49" t="s">
        <v>2650</v>
      </c>
      <c r="L1262" s="45"/>
      <c r="M1262" s="3"/>
    </row>
    <row r="1263" spans="1:13" ht="25.5" x14ac:dyDescent="0.25">
      <c r="A1263" s="46" t="s">
        <v>2757</v>
      </c>
      <c r="B1263" s="46" t="s">
        <v>13</v>
      </c>
      <c r="C1263" s="46" t="s">
        <v>14</v>
      </c>
      <c r="D1263" s="47">
        <v>4608</v>
      </c>
      <c r="E1263" s="46" t="s">
        <v>2758</v>
      </c>
      <c r="F1263" s="48">
        <v>39569</v>
      </c>
      <c r="G1263" s="48">
        <v>40087</v>
      </c>
      <c r="H1263" s="46" t="s">
        <v>2039</v>
      </c>
      <c r="I1263" s="45">
        <v>70214.36</v>
      </c>
      <c r="J1263" s="45">
        <v>70214.36</v>
      </c>
      <c r="K1263" s="49" t="s">
        <v>2650</v>
      </c>
      <c r="L1263" s="45"/>
      <c r="M1263" s="3"/>
    </row>
    <row r="1264" spans="1:13" ht="25.5" x14ac:dyDescent="0.25">
      <c r="A1264" s="46" t="s">
        <v>2759</v>
      </c>
      <c r="B1264" s="46" t="s">
        <v>13</v>
      </c>
      <c r="C1264" s="46" t="s">
        <v>14</v>
      </c>
      <c r="D1264" s="47">
        <v>4609</v>
      </c>
      <c r="E1264" s="46" t="s">
        <v>2760</v>
      </c>
      <c r="F1264" s="48">
        <v>39630</v>
      </c>
      <c r="G1264" s="48">
        <v>40724</v>
      </c>
      <c r="H1264" s="46" t="s">
        <v>2039</v>
      </c>
      <c r="I1264" s="45">
        <f>291694.58-6523.26</f>
        <v>285171.32</v>
      </c>
      <c r="J1264" s="45">
        <f>291694.58-6523.26</f>
        <v>285171.32</v>
      </c>
      <c r="K1264" s="49" t="s">
        <v>2650</v>
      </c>
      <c r="L1264" s="45"/>
      <c r="M1264" s="3"/>
    </row>
    <row r="1265" spans="1:60" ht="38.25" x14ac:dyDescent="0.25">
      <c r="A1265" s="46" t="s">
        <v>2761</v>
      </c>
      <c r="B1265" s="46" t="s">
        <v>13</v>
      </c>
      <c r="C1265" s="46" t="s">
        <v>14</v>
      </c>
      <c r="D1265" s="47">
        <v>4610</v>
      </c>
      <c r="E1265" s="46" t="s">
        <v>2762</v>
      </c>
      <c r="F1265" s="48">
        <v>40117</v>
      </c>
      <c r="G1265" s="48">
        <v>41090</v>
      </c>
      <c r="H1265" s="46" t="s">
        <v>2039</v>
      </c>
      <c r="I1265" s="45">
        <f>203200.49+51396.94</f>
        <v>254597.43</v>
      </c>
      <c r="J1265" s="45">
        <f>203200.49+51396.94</f>
        <v>254597.43</v>
      </c>
      <c r="K1265" s="49" t="s">
        <v>2650</v>
      </c>
      <c r="L1265" s="45"/>
      <c r="M1265" s="3"/>
    </row>
    <row r="1266" spans="1:60" ht="38.25" x14ac:dyDescent="0.25">
      <c r="A1266" s="46" t="s">
        <v>2763</v>
      </c>
      <c r="B1266" s="46" t="s">
        <v>13</v>
      </c>
      <c r="C1266" s="46" t="s">
        <v>14</v>
      </c>
      <c r="D1266" s="47">
        <v>4611</v>
      </c>
      <c r="E1266" s="46" t="s">
        <v>2764</v>
      </c>
      <c r="F1266" s="48">
        <v>39417</v>
      </c>
      <c r="G1266" s="48">
        <v>40694</v>
      </c>
      <c r="H1266" s="46" t="s">
        <v>2039</v>
      </c>
      <c r="I1266" s="45">
        <v>302295.73</v>
      </c>
      <c r="J1266" s="45">
        <v>302295.73</v>
      </c>
      <c r="K1266" s="49" t="s">
        <v>2650</v>
      </c>
      <c r="L1266" s="45"/>
      <c r="M1266" s="3"/>
    </row>
    <row r="1267" spans="1:60" ht="25.5" x14ac:dyDescent="0.25">
      <c r="A1267" s="46" t="s">
        <v>2765</v>
      </c>
      <c r="B1267" s="46" t="s">
        <v>13</v>
      </c>
      <c r="C1267" s="46" t="s">
        <v>14</v>
      </c>
      <c r="D1267" s="47">
        <v>4612</v>
      </c>
      <c r="E1267" s="46" t="s">
        <v>2766</v>
      </c>
      <c r="F1267" s="48">
        <v>39448</v>
      </c>
      <c r="G1267" s="48">
        <v>40045</v>
      </c>
      <c r="H1267" s="46" t="s">
        <v>2039</v>
      </c>
      <c r="I1267" s="45">
        <v>72426.66</v>
      </c>
      <c r="J1267" s="45">
        <v>72426.66</v>
      </c>
      <c r="K1267" s="49" t="s">
        <v>2650</v>
      </c>
      <c r="L1267" s="45"/>
      <c r="M1267" s="3"/>
    </row>
    <row r="1268" spans="1:60" ht="25.5" x14ac:dyDescent="0.25">
      <c r="A1268" s="46" t="s">
        <v>2767</v>
      </c>
      <c r="B1268" s="46" t="s">
        <v>13</v>
      </c>
      <c r="C1268" s="46" t="s">
        <v>14</v>
      </c>
      <c r="D1268" s="47">
        <v>4613</v>
      </c>
      <c r="E1268" s="46" t="s">
        <v>2768</v>
      </c>
      <c r="F1268" s="48">
        <v>39429</v>
      </c>
      <c r="G1268" s="48">
        <v>40543</v>
      </c>
      <c r="H1268" s="46" t="s">
        <v>2039</v>
      </c>
      <c r="I1268" s="45">
        <v>298333.33</v>
      </c>
      <c r="J1268" s="45">
        <v>298333.33</v>
      </c>
      <c r="K1268" s="49" t="s">
        <v>2650</v>
      </c>
      <c r="L1268" s="45"/>
      <c r="M1268" s="3"/>
    </row>
    <row r="1269" spans="1:60" ht="38.25" x14ac:dyDescent="0.25">
      <c r="A1269" s="46" t="s">
        <v>2769</v>
      </c>
      <c r="B1269" s="46" t="s">
        <v>13</v>
      </c>
      <c r="C1269" s="46" t="s">
        <v>14</v>
      </c>
      <c r="D1269" s="47">
        <v>4614</v>
      </c>
      <c r="E1269" s="46" t="s">
        <v>2770</v>
      </c>
      <c r="F1269" s="48">
        <v>40086</v>
      </c>
      <c r="G1269" s="48">
        <v>40451</v>
      </c>
      <c r="H1269" s="46" t="s">
        <v>2039</v>
      </c>
      <c r="I1269" s="45">
        <v>75517.87</v>
      </c>
      <c r="J1269" s="45">
        <v>75517.87</v>
      </c>
      <c r="K1269" s="49" t="s">
        <v>2650</v>
      </c>
      <c r="L1269" s="45"/>
      <c r="M1269" s="3"/>
    </row>
    <row r="1270" spans="1:60" ht="38.25" x14ac:dyDescent="0.25">
      <c r="A1270" s="46" t="s">
        <v>2771</v>
      </c>
      <c r="B1270" s="46" t="s">
        <v>13</v>
      </c>
      <c r="C1270" s="46" t="s">
        <v>14</v>
      </c>
      <c r="D1270" s="47">
        <v>4615</v>
      </c>
      <c r="E1270" s="46" t="s">
        <v>2772</v>
      </c>
      <c r="F1270" s="48">
        <v>40118</v>
      </c>
      <c r="G1270" s="48">
        <v>41213</v>
      </c>
      <c r="H1270" s="46" t="s">
        <v>2039</v>
      </c>
      <c r="I1270" s="45">
        <f>178300.82+57410.51</f>
        <v>235711.33000000002</v>
      </c>
      <c r="J1270" s="45">
        <f>178300.82+57410.51</f>
        <v>235711.33000000002</v>
      </c>
      <c r="K1270" s="49" t="s">
        <v>2650</v>
      </c>
      <c r="L1270" s="45"/>
      <c r="M1270" s="3"/>
    </row>
    <row r="1271" spans="1:60" ht="25.5" x14ac:dyDescent="0.25">
      <c r="A1271" s="46" t="s">
        <v>2773</v>
      </c>
      <c r="B1271" s="46" t="s">
        <v>13</v>
      </c>
      <c r="C1271" s="46" t="s">
        <v>14</v>
      </c>
      <c r="D1271" s="47">
        <v>4620</v>
      </c>
      <c r="E1271" s="46" t="s">
        <v>2774</v>
      </c>
      <c r="F1271" s="48">
        <v>39539</v>
      </c>
      <c r="G1271" s="48">
        <v>39844</v>
      </c>
      <c r="H1271" s="46" t="s">
        <v>2039</v>
      </c>
      <c r="I1271" s="45">
        <v>80994</v>
      </c>
      <c r="J1271" s="45">
        <v>80994</v>
      </c>
      <c r="K1271" s="49" t="s">
        <v>2650</v>
      </c>
      <c r="L1271" s="45"/>
      <c r="M1271" s="3"/>
    </row>
    <row r="1272" spans="1:60" s="21" customFormat="1" ht="25.5" x14ac:dyDescent="0.25">
      <c r="A1272" s="46" t="s">
        <v>2775</v>
      </c>
      <c r="B1272" s="46" t="s">
        <v>13</v>
      </c>
      <c r="C1272" s="46" t="s">
        <v>14</v>
      </c>
      <c r="D1272" s="47">
        <v>4621</v>
      </c>
      <c r="E1272" s="46" t="s">
        <v>2776</v>
      </c>
      <c r="F1272" s="48">
        <v>39370</v>
      </c>
      <c r="G1272" s="48">
        <v>39918</v>
      </c>
      <c r="H1272" s="46" t="s">
        <v>2039</v>
      </c>
      <c r="I1272" s="45">
        <v>74136</v>
      </c>
      <c r="J1272" s="45">
        <v>74136</v>
      </c>
      <c r="K1272" s="49" t="s">
        <v>2650</v>
      </c>
      <c r="L1272" s="45"/>
      <c r="M1272" s="3"/>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row>
    <row r="1273" spans="1:60" s="21" customFormat="1" x14ac:dyDescent="0.25">
      <c r="A1273" s="46" t="s">
        <v>2777</v>
      </c>
      <c r="B1273" s="46" t="s">
        <v>13</v>
      </c>
      <c r="C1273" s="46" t="s">
        <v>14</v>
      </c>
      <c r="D1273" s="47">
        <v>4622</v>
      </c>
      <c r="E1273" s="46" t="s">
        <v>2778</v>
      </c>
      <c r="F1273" s="48">
        <v>39417</v>
      </c>
      <c r="G1273" s="48">
        <v>39964</v>
      </c>
      <c r="H1273" s="46" t="s">
        <v>2039</v>
      </c>
      <c r="I1273" s="45">
        <v>83131</v>
      </c>
      <c r="J1273" s="45">
        <v>83131</v>
      </c>
      <c r="K1273" s="49" t="s">
        <v>2650</v>
      </c>
      <c r="L1273" s="45"/>
      <c r="M1273" s="3"/>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row>
    <row r="1274" spans="1:60" ht="38.25" x14ac:dyDescent="0.25">
      <c r="A1274" s="46" t="s">
        <v>2779</v>
      </c>
      <c r="B1274" s="46" t="s">
        <v>13</v>
      </c>
      <c r="C1274" s="46" t="s">
        <v>14</v>
      </c>
      <c r="D1274" s="47">
        <v>4623</v>
      </c>
      <c r="E1274" s="46" t="s">
        <v>2780</v>
      </c>
      <c r="F1274" s="48">
        <v>39461</v>
      </c>
      <c r="G1274" s="48">
        <v>39927</v>
      </c>
      <c r="H1274" s="46" t="s">
        <v>2039</v>
      </c>
      <c r="I1274" s="45">
        <v>77711</v>
      </c>
      <c r="J1274" s="45">
        <v>77711</v>
      </c>
      <c r="K1274" s="49" t="s">
        <v>2650</v>
      </c>
      <c r="L1274" s="45"/>
      <c r="M1274" s="3"/>
    </row>
    <row r="1275" spans="1:60" x14ac:dyDescent="0.25">
      <c r="A1275" s="46" t="s">
        <v>2781</v>
      </c>
      <c r="B1275" s="46" t="s">
        <v>13</v>
      </c>
      <c r="C1275" s="46" t="s">
        <v>14</v>
      </c>
      <c r="D1275" s="47">
        <v>4624</v>
      </c>
      <c r="E1275" s="46" t="s">
        <v>2782</v>
      </c>
      <c r="F1275" s="48">
        <v>39387</v>
      </c>
      <c r="G1275" s="48">
        <v>39933</v>
      </c>
      <c r="H1275" s="46" t="s">
        <v>2039</v>
      </c>
      <c r="I1275" s="45">
        <v>96150</v>
      </c>
      <c r="J1275" s="45">
        <v>96150</v>
      </c>
      <c r="K1275" s="49" t="s">
        <v>2650</v>
      </c>
      <c r="L1275" s="45"/>
      <c r="M1275" s="3"/>
    </row>
    <row r="1276" spans="1:60" ht="38.25" x14ac:dyDescent="0.25">
      <c r="A1276" s="46" t="s">
        <v>2783</v>
      </c>
      <c r="B1276" s="46" t="s">
        <v>13</v>
      </c>
      <c r="C1276" s="46" t="s">
        <v>14</v>
      </c>
      <c r="D1276" s="47">
        <v>4625</v>
      </c>
      <c r="E1276" s="46" t="s">
        <v>2784</v>
      </c>
      <c r="F1276" s="48">
        <v>39479</v>
      </c>
      <c r="G1276" s="48">
        <v>39964</v>
      </c>
      <c r="H1276" s="46" t="s">
        <v>2039</v>
      </c>
      <c r="I1276" s="45">
        <v>75862</v>
      </c>
      <c r="J1276" s="45">
        <v>75862</v>
      </c>
      <c r="K1276" s="49" t="s">
        <v>2650</v>
      </c>
      <c r="L1276" s="45"/>
      <c r="M1276" s="3"/>
    </row>
    <row r="1277" spans="1:60" ht="38.25" x14ac:dyDescent="0.25">
      <c r="A1277" s="46" t="s">
        <v>2785</v>
      </c>
      <c r="B1277" s="46" t="s">
        <v>13</v>
      </c>
      <c r="C1277" s="46" t="s">
        <v>14</v>
      </c>
      <c r="D1277" s="47">
        <v>4626</v>
      </c>
      <c r="E1277" s="46" t="s">
        <v>2786</v>
      </c>
      <c r="F1277" s="48">
        <v>39569</v>
      </c>
      <c r="G1277" s="48">
        <v>40056</v>
      </c>
      <c r="H1277" s="46" t="s">
        <v>2039</v>
      </c>
      <c r="I1277" s="45">
        <v>82793</v>
      </c>
      <c r="J1277" s="45">
        <v>82793</v>
      </c>
      <c r="K1277" s="49" t="s">
        <v>2650</v>
      </c>
      <c r="L1277" s="45"/>
      <c r="M1277" s="3"/>
    </row>
    <row r="1278" spans="1:60" ht="38.25" x14ac:dyDescent="0.25">
      <c r="A1278" s="46" t="s">
        <v>2787</v>
      </c>
      <c r="B1278" s="46" t="s">
        <v>13</v>
      </c>
      <c r="C1278" s="46" t="s">
        <v>14</v>
      </c>
      <c r="D1278" s="47">
        <v>4627</v>
      </c>
      <c r="E1278" s="46" t="s">
        <v>2788</v>
      </c>
      <c r="F1278" s="48">
        <v>39873</v>
      </c>
      <c r="G1278" s="48">
        <v>40086</v>
      </c>
      <c r="H1278" s="46" t="s">
        <v>2039</v>
      </c>
      <c r="I1278" s="45">
        <v>31515</v>
      </c>
      <c r="J1278" s="45">
        <v>31515</v>
      </c>
      <c r="K1278" s="49" t="s">
        <v>2650</v>
      </c>
      <c r="L1278" s="45"/>
      <c r="M1278" s="3"/>
    </row>
    <row r="1279" spans="1:60" ht="25.5" x14ac:dyDescent="0.25">
      <c r="A1279" s="46" t="s">
        <v>2789</v>
      </c>
      <c r="B1279" s="46" t="s">
        <v>13</v>
      </c>
      <c r="C1279" s="46" t="s">
        <v>14</v>
      </c>
      <c r="D1279" s="47">
        <v>4628</v>
      </c>
      <c r="E1279" s="46" t="s">
        <v>2790</v>
      </c>
      <c r="F1279" s="48">
        <v>39426</v>
      </c>
      <c r="G1279" s="48">
        <v>39903</v>
      </c>
      <c r="H1279" s="46" t="s">
        <v>2039</v>
      </c>
      <c r="I1279" s="45">
        <v>73451</v>
      </c>
      <c r="J1279" s="45">
        <v>73451</v>
      </c>
      <c r="K1279" s="49" t="s">
        <v>2650</v>
      </c>
      <c r="L1279" s="45"/>
      <c r="M1279" s="3"/>
    </row>
    <row r="1280" spans="1:60" ht="38.25" x14ac:dyDescent="0.25">
      <c r="A1280" s="46" t="s">
        <v>2791</v>
      </c>
      <c r="B1280" s="46" t="s">
        <v>13</v>
      </c>
      <c r="C1280" s="46" t="s">
        <v>14</v>
      </c>
      <c r="D1280" s="47">
        <v>4629</v>
      </c>
      <c r="E1280" s="46" t="s">
        <v>2792</v>
      </c>
      <c r="F1280" s="48">
        <v>39569</v>
      </c>
      <c r="G1280" s="48">
        <v>40056</v>
      </c>
      <c r="H1280" s="46" t="s">
        <v>2039</v>
      </c>
      <c r="I1280" s="45">
        <v>63252</v>
      </c>
      <c r="J1280" s="45">
        <v>63252</v>
      </c>
      <c r="K1280" s="49" t="s">
        <v>2650</v>
      </c>
      <c r="L1280" s="45"/>
      <c r="M1280" s="3"/>
    </row>
    <row r="1281" spans="1:60" ht="38.25" x14ac:dyDescent="0.25">
      <c r="A1281" s="46" t="s">
        <v>2793</v>
      </c>
      <c r="B1281" s="46" t="s">
        <v>13</v>
      </c>
      <c r="C1281" s="46" t="s">
        <v>14</v>
      </c>
      <c r="D1281" s="47">
        <v>4630</v>
      </c>
      <c r="E1281" s="46" t="s">
        <v>2794</v>
      </c>
      <c r="F1281" s="48">
        <v>39569</v>
      </c>
      <c r="G1281" s="48">
        <v>40056</v>
      </c>
      <c r="H1281" s="46" t="s">
        <v>2039</v>
      </c>
      <c r="I1281" s="45">
        <v>87063</v>
      </c>
      <c r="J1281" s="45">
        <v>87063</v>
      </c>
      <c r="K1281" s="49" t="s">
        <v>2650</v>
      </c>
      <c r="L1281" s="45"/>
      <c r="M1281" s="3"/>
    </row>
    <row r="1282" spans="1:60" ht="25.5" x14ac:dyDescent="0.25">
      <c r="A1282" s="46" t="s">
        <v>2795</v>
      </c>
      <c r="B1282" s="46" t="s">
        <v>13</v>
      </c>
      <c r="C1282" s="46" t="s">
        <v>14</v>
      </c>
      <c r="D1282" s="47">
        <v>4631</v>
      </c>
      <c r="E1282" s="46" t="s">
        <v>2796</v>
      </c>
      <c r="F1282" s="48">
        <v>39569</v>
      </c>
      <c r="G1282" s="48">
        <v>40117</v>
      </c>
      <c r="H1282" s="46" t="s">
        <v>2039</v>
      </c>
      <c r="I1282" s="45">
        <v>83216</v>
      </c>
      <c r="J1282" s="45">
        <v>83216</v>
      </c>
      <c r="K1282" s="49" t="s">
        <v>2650</v>
      </c>
      <c r="L1282" s="45"/>
      <c r="M1282" s="3"/>
    </row>
    <row r="1283" spans="1:60" ht="25.5" x14ac:dyDescent="0.25">
      <c r="A1283" s="46" t="s">
        <v>2797</v>
      </c>
      <c r="B1283" s="46" t="s">
        <v>13</v>
      </c>
      <c r="C1283" s="46" t="s">
        <v>14</v>
      </c>
      <c r="D1283" s="47">
        <v>4632</v>
      </c>
      <c r="E1283" s="46" t="s">
        <v>2798</v>
      </c>
      <c r="F1283" s="48">
        <v>39762</v>
      </c>
      <c r="G1283" s="48">
        <v>40196</v>
      </c>
      <c r="H1283" s="46" t="s">
        <v>2039</v>
      </c>
      <c r="I1283" s="45">
        <v>70771</v>
      </c>
      <c r="J1283" s="45">
        <v>70771</v>
      </c>
      <c r="K1283" s="49" t="s">
        <v>2650</v>
      </c>
      <c r="L1283" s="45"/>
      <c r="M1283" s="3"/>
    </row>
    <row r="1284" spans="1:60" ht="38.25" x14ac:dyDescent="0.25">
      <c r="A1284" s="46" t="s">
        <v>2799</v>
      </c>
      <c r="B1284" s="46" t="s">
        <v>13</v>
      </c>
      <c r="C1284" s="46" t="s">
        <v>14</v>
      </c>
      <c r="D1284" s="47">
        <v>4633</v>
      </c>
      <c r="E1284" s="46" t="s">
        <v>2800</v>
      </c>
      <c r="F1284" s="48">
        <v>39692</v>
      </c>
      <c r="G1284" s="48">
        <v>40056</v>
      </c>
      <c r="H1284" s="46" t="s">
        <v>2039</v>
      </c>
      <c r="I1284" s="45">
        <v>76292.58</v>
      </c>
      <c r="J1284" s="45">
        <v>76292.58</v>
      </c>
      <c r="K1284" s="49" t="s">
        <v>2650</v>
      </c>
      <c r="L1284" s="45"/>
      <c r="M1284" s="3"/>
    </row>
    <row r="1285" spans="1:60" ht="38.25" x14ac:dyDescent="0.25">
      <c r="A1285" s="46" t="s">
        <v>2801</v>
      </c>
      <c r="B1285" s="46" t="s">
        <v>13</v>
      </c>
      <c r="C1285" s="46" t="s">
        <v>14</v>
      </c>
      <c r="D1285" s="47">
        <v>4634</v>
      </c>
      <c r="E1285" s="46" t="s">
        <v>2802</v>
      </c>
      <c r="F1285" s="48">
        <v>39846</v>
      </c>
      <c r="G1285" s="48">
        <v>40207</v>
      </c>
      <c r="H1285" s="46" t="s">
        <v>2039</v>
      </c>
      <c r="I1285" s="45">
        <v>63575</v>
      </c>
      <c r="J1285" s="45">
        <v>63575</v>
      </c>
      <c r="K1285" s="49" t="s">
        <v>2650</v>
      </c>
      <c r="L1285" s="45"/>
      <c r="M1285" s="3"/>
    </row>
    <row r="1286" spans="1:60" s="21" customFormat="1" ht="38.25" x14ac:dyDescent="0.25">
      <c r="A1286" s="46" t="s">
        <v>2803</v>
      </c>
      <c r="B1286" s="46" t="s">
        <v>13</v>
      </c>
      <c r="C1286" s="46" t="s">
        <v>14</v>
      </c>
      <c r="D1286" s="47">
        <v>4635</v>
      </c>
      <c r="E1286" s="46" t="s">
        <v>2804</v>
      </c>
      <c r="F1286" s="48">
        <v>39727</v>
      </c>
      <c r="G1286" s="48">
        <v>40150</v>
      </c>
      <c r="H1286" s="46" t="s">
        <v>2039</v>
      </c>
      <c r="I1286" s="45">
        <v>13100</v>
      </c>
      <c r="J1286" s="45">
        <v>13100</v>
      </c>
      <c r="K1286" s="49" t="s">
        <v>2650</v>
      </c>
      <c r="L1286" s="45"/>
      <c r="M1286" s="3"/>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row>
    <row r="1287" spans="1:60" s="21" customFormat="1" x14ac:dyDescent="0.25">
      <c r="A1287" s="46" t="s">
        <v>2805</v>
      </c>
      <c r="B1287" s="46" t="s">
        <v>13</v>
      </c>
      <c r="C1287" s="46" t="s">
        <v>14</v>
      </c>
      <c r="D1287" s="47">
        <v>4636</v>
      </c>
      <c r="E1287" s="46" t="s">
        <v>2806</v>
      </c>
      <c r="F1287" s="48">
        <v>39722</v>
      </c>
      <c r="G1287" s="48">
        <v>40132</v>
      </c>
      <c r="H1287" s="46" t="s">
        <v>2039</v>
      </c>
      <c r="I1287" s="45">
        <v>63508</v>
      </c>
      <c r="J1287" s="45">
        <v>63508</v>
      </c>
      <c r="K1287" s="49" t="s">
        <v>2650</v>
      </c>
      <c r="L1287" s="45"/>
      <c r="M1287" s="3"/>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row>
    <row r="1288" spans="1:60" s="21" customFormat="1" ht="25.5" x14ac:dyDescent="0.25">
      <c r="A1288" s="46" t="s">
        <v>2807</v>
      </c>
      <c r="B1288" s="46" t="s">
        <v>13</v>
      </c>
      <c r="C1288" s="46" t="s">
        <v>14</v>
      </c>
      <c r="D1288" s="47">
        <v>4637</v>
      </c>
      <c r="E1288" s="46" t="s">
        <v>2808</v>
      </c>
      <c r="F1288" s="48">
        <v>39772</v>
      </c>
      <c r="G1288" s="48">
        <v>40137</v>
      </c>
      <c r="H1288" s="46" t="s">
        <v>2039</v>
      </c>
      <c r="I1288" s="45">
        <v>50701</v>
      </c>
      <c r="J1288" s="45">
        <v>50701</v>
      </c>
      <c r="K1288" s="49" t="s">
        <v>2650</v>
      </c>
      <c r="L1288" s="45"/>
      <c r="M1288" s="3"/>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row>
    <row r="1289" spans="1:60" s="21" customFormat="1" ht="38.25" x14ac:dyDescent="0.25">
      <c r="A1289" s="46" t="s">
        <v>2809</v>
      </c>
      <c r="B1289" s="46" t="s">
        <v>13</v>
      </c>
      <c r="C1289" s="46" t="s">
        <v>14</v>
      </c>
      <c r="D1289" s="47">
        <v>4638</v>
      </c>
      <c r="E1289" s="46" t="s">
        <v>2810</v>
      </c>
      <c r="F1289" s="48">
        <v>39832</v>
      </c>
      <c r="G1289" s="48">
        <v>40178</v>
      </c>
      <c r="H1289" s="46" t="s">
        <v>2039</v>
      </c>
      <c r="I1289" s="45">
        <v>64561</v>
      </c>
      <c r="J1289" s="45">
        <v>64561</v>
      </c>
      <c r="K1289" s="49" t="s">
        <v>2650</v>
      </c>
      <c r="L1289" s="45"/>
      <c r="M1289" s="3"/>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row>
    <row r="1290" spans="1:60" s="21" customFormat="1" ht="38.25" x14ac:dyDescent="0.25">
      <c r="A1290" s="46" t="s">
        <v>2811</v>
      </c>
      <c r="B1290" s="46" t="s">
        <v>13</v>
      </c>
      <c r="C1290" s="46" t="s">
        <v>14</v>
      </c>
      <c r="D1290" s="47">
        <v>4639</v>
      </c>
      <c r="E1290" s="46" t="s">
        <v>2812</v>
      </c>
      <c r="F1290" s="48">
        <v>39904</v>
      </c>
      <c r="G1290" s="48">
        <v>40269</v>
      </c>
      <c r="H1290" s="46" t="s">
        <v>2039</v>
      </c>
      <c r="I1290" s="45">
        <v>84146</v>
      </c>
      <c r="J1290" s="45">
        <v>84146</v>
      </c>
      <c r="K1290" s="49" t="s">
        <v>2650</v>
      </c>
      <c r="L1290" s="45"/>
      <c r="M1290" s="3"/>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row>
    <row r="1291" spans="1:60" s="21" customFormat="1" ht="25.5" x14ac:dyDescent="0.25">
      <c r="A1291" s="46" t="s">
        <v>2813</v>
      </c>
      <c r="B1291" s="46" t="s">
        <v>13</v>
      </c>
      <c r="C1291" s="46" t="s">
        <v>14</v>
      </c>
      <c r="D1291" s="47">
        <v>4640</v>
      </c>
      <c r="E1291" s="46" t="s">
        <v>2814</v>
      </c>
      <c r="F1291" s="48">
        <v>39792</v>
      </c>
      <c r="G1291" s="48">
        <v>40156</v>
      </c>
      <c r="H1291" s="46" t="s">
        <v>2039</v>
      </c>
      <c r="I1291" s="45">
        <v>94445</v>
      </c>
      <c r="J1291" s="45">
        <v>94445</v>
      </c>
      <c r="K1291" s="49" t="s">
        <v>2650</v>
      </c>
      <c r="L1291" s="45"/>
      <c r="M1291" s="3"/>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row>
    <row r="1292" spans="1:60" s="21" customFormat="1" ht="38.25" x14ac:dyDescent="0.25">
      <c r="A1292" s="46" t="s">
        <v>2815</v>
      </c>
      <c r="B1292" s="46" t="s">
        <v>13</v>
      </c>
      <c r="C1292" s="46" t="s">
        <v>14</v>
      </c>
      <c r="D1292" s="47">
        <v>4641</v>
      </c>
      <c r="E1292" s="46" t="s">
        <v>2816</v>
      </c>
      <c r="F1292" s="48">
        <v>39832</v>
      </c>
      <c r="G1292" s="48">
        <v>40196</v>
      </c>
      <c r="H1292" s="46" t="s">
        <v>2039</v>
      </c>
      <c r="I1292" s="45">
        <v>55728</v>
      </c>
      <c r="J1292" s="45">
        <v>55728</v>
      </c>
      <c r="K1292" s="49" t="s">
        <v>2650</v>
      </c>
      <c r="L1292" s="45"/>
      <c r="M1292" s="3"/>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row>
    <row r="1293" spans="1:60" s="21" customFormat="1" x14ac:dyDescent="0.25">
      <c r="A1293" s="46" t="s">
        <v>2817</v>
      </c>
      <c r="B1293" s="46" t="s">
        <v>13</v>
      </c>
      <c r="C1293" s="46" t="s">
        <v>14</v>
      </c>
      <c r="D1293" s="47">
        <v>4642</v>
      </c>
      <c r="E1293" s="46" t="s">
        <v>2818</v>
      </c>
      <c r="F1293" s="48">
        <v>40057</v>
      </c>
      <c r="G1293" s="48">
        <v>40420</v>
      </c>
      <c r="H1293" s="46" t="s">
        <v>2039</v>
      </c>
      <c r="I1293" s="45">
        <v>45637</v>
      </c>
      <c r="J1293" s="45">
        <v>45637</v>
      </c>
      <c r="K1293" s="49" t="s">
        <v>2650</v>
      </c>
      <c r="L1293" s="45"/>
      <c r="M1293" s="3"/>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row>
    <row r="1294" spans="1:60" s="21" customFormat="1" ht="38.25" x14ac:dyDescent="0.25">
      <c r="A1294" s="46" t="s">
        <v>2819</v>
      </c>
      <c r="B1294" s="46" t="s">
        <v>13</v>
      </c>
      <c r="C1294" s="46" t="s">
        <v>14</v>
      </c>
      <c r="D1294" s="47">
        <v>4643</v>
      </c>
      <c r="E1294" s="46" t="s">
        <v>2820</v>
      </c>
      <c r="F1294" s="48">
        <v>39995</v>
      </c>
      <c r="G1294" s="48">
        <v>40359</v>
      </c>
      <c r="H1294" s="46" t="s">
        <v>2039</v>
      </c>
      <c r="I1294" s="45">
        <v>86285</v>
      </c>
      <c r="J1294" s="45">
        <v>86285</v>
      </c>
      <c r="K1294" s="49" t="s">
        <v>2650</v>
      </c>
      <c r="L1294" s="45"/>
      <c r="M1294" s="3"/>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row>
    <row r="1295" spans="1:60" s="21" customFormat="1" ht="38.25" x14ac:dyDescent="0.25">
      <c r="A1295" s="46" t="s">
        <v>2821</v>
      </c>
      <c r="B1295" s="46" t="s">
        <v>13</v>
      </c>
      <c r="C1295" s="46" t="s">
        <v>14</v>
      </c>
      <c r="D1295" s="47">
        <v>4644</v>
      </c>
      <c r="E1295" s="46" t="s">
        <v>2822</v>
      </c>
      <c r="F1295" s="48">
        <v>40091</v>
      </c>
      <c r="G1295" s="48">
        <v>40455</v>
      </c>
      <c r="H1295" s="46" t="s">
        <v>2039</v>
      </c>
      <c r="I1295" s="45">
        <v>52372</v>
      </c>
      <c r="J1295" s="45">
        <v>52372</v>
      </c>
      <c r="K1295" s="49" t="s">
        <v>2650</v>
      </c>
      <c r="L1295" s="45"/>
      <c r="M1295" s="3"/>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row>
    <row r="1296" spans="1:60" s="21" customFormat="1" ht="25.5" x14ac:dyDescent="0.25">
      <c r="A1296" s="46" t="s">
        <v>2823</v>
      </c>
      <c r="B1296" s="46" t="s">
        <v>13</v>
      </c>
      <c r="C1296" s="46" t="s">
        <v>14</v>
      </c>
      <c r="D1296" s="47">
        <v>4645</v>
      </c>
      <c r="E1296" s="46" t="s">
        <v>2824</v>
      </c>
      <c r="F1296" s="48">
        <v>40118</v>
      </c>
      <c r="G1296" s="48">
        <v>40482</v>
      </c>
      <c r="H1296" s="46" t="s">
        <v>2039</v>
      </c>
      <c r="I1296" s="45">
        <v>47410</v>
      </c>
      <c r="J1296" s="45">
        <v>47410</v>
      </c>
      <c r="K1296" s="49" t="s">
        <v>2650</v>
      </c>
      <c r="L1296" s="45"/>
      <c r="M1296" s="3"/>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row>
    <row r="1297" spans="1:60" s="21" customFormat="1" ht="25.5" x14ac:dyDescent="0.25">
      <c r="A1297" s="46" t="s">
        <v>2825</v>
      </c>
      <c r="B1297" s="46" t="s">
        <v>13</v>
      </c>
      <c r="C1297" s="46" t="s">
        <v>14</v>
      </c>
      <c r="D1297" s="47">
        <v>4646</v>
      </c>
      <c r="E1297" s="46" t="s">
        <v>2826</v>
      </c>
      <c r="F1297" s="48">
        <v>39265</v>
      </c>
      <c r="G1297" s="48">
        <v>39629</v>
      </c>
      <c r="H1297" s="46" t="s">
        <v>2039</v>
      </c>
      <c r="I1297" s="45">
        <v>66749</v>
      </c>
      <c r="J1297" s="45">
        <v>66749</v>
      </c>
      <c r="K1297" s="49" t="s">
        <v>2650</v>
      </c>
      <c r="L1297" s="45"/>
      <c r="M1297" s="3"/>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row>
    <row r="1298" spans="1:60" s="21" customFormat="1" ht="25.5" x14ac:dyDescent="0.25">
      <c r="A1298" s="46" t="s">
        <v>2827</v>
      </c>
      <c r="B1298" s="46" t="s">
        <v>13</v>
      </c>
      <c r="C1298" s="46" t="s">
        <v>14</v>
      </c>
      <c r="D1298" s="47">
        <v>4647</v>
      </c>
      <c r="E1298" s="46" t="s">
        <v>2828</v>
      </c>
      <c r="F1298" s="48">
        <v>39265</v>
      </c>
      <c r="G1298" s="48">
        <v>39721</v>
      </c>
      <c r="H1298" s="46" t="s">
        <v>2039</v>
      </c>
      <c r="I1298" s="45">
        <v>55704</v>
      </c>
      <c r="J1298" s="45">
        <v>55704</v>
      </c>
      <c r="K1298" s="49" t="s">
        <v>2650</v>
      </c>
      <c r="L1298" s="45"/>
      <c r="M1298" s="3"/>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row>
    <row r="1299" spans="1:60" s="21" customFormat="1" ht="25.5" x14ac:dyDescent="0.25">
      <c r="A1299" s="46" t="s">
        <v>2829</v>
      </c>
      <c r="B1299" s="46" t="s">
        <v>13</v>
      </c>
      <c r="C1299" s="46" t="s">
        <v>14</v>
      </c>
      <c r="D1299" s="47">
        <v>4648</v>
      </c>
      <c r="E1299" s="46" t="s">
        <v>2830</v>
      </c>
      <c r="F1299" s="48">
        <v>39265</v>
      </c>
      <c r="G1299" s="48">
        <v>39813</v>
      </c>
      <c r="H1299" s="46" t="s">
        <v>2039</v>
      </c>
      <c r="I1299" s="45">
        <v>73960</v>
      </c>
      <c r="J1299" s="45">
        <v>73960</v>
      </c>
      <c r="K1299" s="49" t="s">
        <v>2650</v>
      </c>
      <c r="L1299" s="45"/>
      <c r="M1299" s="3"/>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row>
    <row r="1300" spans="1:60" s="21" customFormat="1" ht="25.5" x14ac:dyDescent="0.25">
      <c r="A1300" s="46" t="s">
        <v>2831</v>
      </c>
      <c r="B1300" s="46" t="s">
        <v>13</v>
      </c>
      <c r="C1300" s="46" t="s">
        <v>14</v>
      </c>
      <c r="D1300" s="47">
        <v>4649</v>
      </c>
      <c r="E1300" s="46" t="s">
        <v>2832</v>
      </c>
      <c r="F1300" s="48">
        <v>39265</v>
      </c>
      <c r="G1300" s="48">
        <v>39751</v>
      </c>
      <c r="H1300" s="46" t="s">
        <v>2039</v>
      </c>
      <c r="I1300" s="45">
        <v>80118</v>
      </c>
      <c r="J1300" s="45">
        <v>80118</v>
      </c>
      <c r="K1300" s="49" t="s">
        <v>2650</v>
      </c>
      <c r="L1300" s="45"/>
      <c r="M1300" s="3"/>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row>
    <row r="1301" spans="1:60" s="21" customFormat="1" x14ac:dyDescent="0.25">
      <c r="A1301" s="46" t="s">
        <v>2833</v>
      </c>
      <c r="B1301" s="46" t="s">
        <v>13</v>
      </c>
      <c r="C1301" s="46" t="s">
        <v>14</v>
      </c>
      <c r="D1301" s="47">
        <v>4650</v>
      </c>
      <c r="E1301" s="46" t="s">
        <v>2834</v>
      </c>
      <c r="F1301" s="48">
        <v>39356</v>
      </c>
      <c r="G1301" s="48">
        <v>39844</v>
      </c>
      <c r="H1301" s="46" t="s">
        <v>2039</v>
      </c>
      <c r="I1301" s="45">
        <v>72036</v>
      </c>
      <c r="J1301" s="45">
        <v>72036</v>
      </c>
      <c r="K1301" s="49" t="s">
        <v>2650</v>
      </c>
      <c r="L1301" s="45"/>
      <c r="M1301" s="3"/>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row>
    <row r="1302" spans="1:60" s="21" customFormat="1" ht="25.5" x14ac:dyDescent="0.25">
      <c r="A1302" s="46" t="s">
        <v>2835</v>
      </c>
      <c r="B1302" s="46" t="s">
        <v>13</v>
      </c>
      <c r="C1302" s="46" t="s">
        <v>14</v>
      </c>
      <c r="D1302" s="47">
        <v>4651</v>
      </c>
      <c r="E1302" s="46" t="s">
        <v>2836</v>
      </c>
      <c r="F1302" s="48">
        <v>39426</v>
      </c>
      <c r="G1302" s="48">
        <v>39844</v>
      </c>
      <c r="H1302" s="46" t="s">
        <v>2039</v>
      </c>
      <c r="I1302" s="45">
        <v>73586</v>
      </c>
      <c r="J1302" s="45">
        <v>73586</v>
      </c>
      <c r="K1302" s="49" t="s">
        <v>2650</v>
      </c>
      <c r="L1302" s="45"/>
      <c r="M1302" s="3"/>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row>
    <row r="1303" spans="1:60" ht="25.5" x14ac:dyDescent="0.25">
      <c r="A1303" s="46" t="s">
        <v>2837</v>
      </c>
      <c r="B1303" s="46" t="s">
        <v>13</v>
      </c>
      <c r="C1303" s="46" t="s">
        <v>14</v>
      </c>
      <c r="D1303" s="47">
        <v>4652</v>
      </c>
      <c r="E1303" s="46" t="s">
        <v>2838</v>
      </c>
      <c r="F1303" s="48">
        <v>39426</v>
      </c>
      <c r="G1303" s="48">
        <v>39844</v>
      </c>
      <c r="H1303" s="46" t="s">
        <v>2039</v>
      </c>
      <c r="I1303" s="45">
        <v>88573</v>
      </c>
      <c r="J1303" s="45">
        <v>88573</v>
      </c>
      <c r="K1303" s="49" t="s">
        <v>2650</v>
      </c>
      <c r="L1303" s="45"/>
      <c r="M1303" s="3"/>
    </row>
    <row r="1304" spans="1:60" ht="38.25" x14ac:dyDescent="0.25">
      <c r="A1304" s="46" t="s">
        <v>2839</v>
      </c>
      <c r="B1304" s="46" t="s">
        <v>13</v>
      </c>
      <c r="C1304" s="46" t="s">
        <v>14</v>
      </c>
      <c r="D1304" s="47">
        <v>4654</v>
      </c>
      <c r="E1304" s="46" t="s">
        <v>2840</v>
      </c>
      <c r="F1304" s="48">
        <v>39426</v>
      </c>
      <c r="G1304" s="48">
        <v>39791</v>
      </c>
      <c r="H1304" s="46" t="s">
        <v>2039</v>
      </c>
      <c r="I1304" s="45">
        <v>38972</v>
      </c>
      <c r="J1304" s="45">
        <v>38972</v>
      </c>
      <c r="K1304" s="49" t="s">
        <v>2650</v>
      </c>
      <c r="L1304" s="45"/>
      <c r="M1304" s="3"/>
    </row>
    <row r="1305" spans="1:60" ht="25.5" x14ac:dyDescent="0.25">
      <c r="A1305" s="46" t="s">
        <v>2841</v>
      </c>
      <c r="B1305" s="46" t="s">
        <v>13</v>
      </c>
      <c r="C1305" s="46" t="s">
        <v>14</v>
      </c>
      <c r="D1305" s="47">
        <v>4655</v>
      </c>
      <c r="E1305" s="46" t="s">
        <v>2842</v>
      </c>
      <c r="F1305" s="48">
        <v>39203</v>
      </c>
      <c r="G1305" s="48">
        <v>40298</v>
      </c>
      <c r="H1305" s="46" t="s">
        <v>2039</v>
      </c>
      <c r="I1305" s="45">
        <v>344064</v>
      </c>
      <c r="J1305" s="45">
        <v>344064</v>
      </c>
      <c r="K1305" s="49" t="s">
        <v>2650</v>
      </c>
      <c r="L1305" s="45"/>
      <c r="M1305" s="3"/>
    </row>
    <row r="1306" spans="1:60" ht="25.5" x14ac:dyDescent="0.25">
      <c r="A1306" s="46" t="s">
        <v>2843</v>
      </c>
      <c r="B1306" s="46" t="s">
        <v>13</v>
      </c>
      <c r="C1306" s="46" t="s">
        <v>14</v>
      </c>
      <c r="D1306" s="47">
        <v>4656</v>
      </c>
      <c r="E1306" s="46" t="s">
        <v>2844</v>
      </c>
      <c r="F1306" s="48">
        <v>39264</v>
      </c>
      <c r="G1306" s="48">
        <v>40194</v>
      </c>
      <c r="H1306" s="46" t="s">
        <v>2039</v>
      </c>
      <c r="I1306" s="45">
        <v>399992</v>
      </c>
      <c r="J1306" s="45">
        <v>399992</v>
      </c>
      <c r="K1306" s="49" t="s">
        <v>2650</v>
      </c>
      <c r="L1306" s="45"/>
      <c r="M1306" s="3"/>
    </row>
    <row r="1307" spans="1:60" ht="25.5" x14ac:dyDescent="0.25">
      <c r="A1307" s="46" t="s">
        <v>2845</v>
      </c>
      <c r="B1307" s="46" t="s">
        <v>13</v>
      </c>
      <c r="C1307" s="46" t="s">
        <v>14</v>
      </c>
      <c r="D1307" s="47">
        <v>4658</v>
      </c>
      <c r="E1307" s="46" t="s">
        <v>2846</v>
      </c>
      <c r="F1307" s="48">
        <v>39264</v>
      </c>
      <c r="G1307" s="48">
        <v>40086</v>
      </c>
      <c r="H1307" s="46" t="s">
        <v>2039</v>
      </c>
      <c r="I1307" s="45">
        <v>267912</v>
      </c>
      <c r="J1307" s="45">
        <v>267912</v>
      </c>
      <c r="K1307" s="49" t="s">
        <v>2650</v>
      </c>
      <c r="L1307" s="45"/>
      <c r="M1307" s="3"/>
    </row>
    <row r="1308" spans="1:60" ht="38.25" x14ac:dyDescent="0.25">
      <c r="A1308" s="46" t="s">
        <v>2847</v>
      </c>
      <c r="B1308" s="46" t="s">
        <v>13</v>
      </c>
      <c r="C1308" s="46" t="s">
        <v>14</v>
      </c>
      <c r="D1308" s="47">
        <v>4660</v>
      </c>
      <c r="E1308" s="46" t="s">
        <v>2848</v>
      </c>
      <c r="F1308" s="48">
        <v>39234</v>
      </c>
      <c r="G1308" s="48">
        <v>40452</v>
      </c>
      <c r="H1308" s="46" t="s">
        <v>2039</v>
      </c>
      <c r="I1308" s="45">
        <v>291895.38</v>
      </c>
      <c r="J1308" s="45">
        <v>291895.38</v>
      </c>
      <c r="K1308" s="49" t="s">
        <v>2650</v>
      </c>
      <c r="L1308" s="45"/>
      <c r="M1308" s="3"/>
    </row>
    <row r="1309" spans="1:60" ht="25.5" x14ac:dyDescent="0.25">
      <c r="A1309" s="46" t="s">
        <v>2849</v>
      </c>
      <c r="B1309" s="46" t="s">
        <v>13</v>
      </c>
      <c r="C1309" s="46" t="s">
        <v>14</v>
      </c>
      <c r="D1309" s="47">
        <v>4661</v>
      </c>
      <c r="E1309" s="46" t="s">
        <v>2850</v>
      </c>
      <c r="F1309" s="48">
        <v>39356</v>
      </c>
      <c r="G1309" s="48">
        <v>40359</v>
      </c>
      <c r="H1309" s="46" t="s">
        <v>2039</v>
      </c>
      <c r="I1309" s="45">
        <v>355200</v>
      </c>
      <c r="J1309" s="45">
        <v>355200</v>
      </c>
      <c r="K1309" s="49" t="s">
        <v>2650</v>
      </c>
      <c r="L1309" s="45"/>
      <c r="M1309" s="3"/>
    </row>
    <row r="1310" spans="1:60" ht="38.25" x14ac:dyDescent="0.25">
      <c r="A1310" s="46" t="s">
        <v>2851</v>
      </c>
      <c r="B1310" s="46" t="s">
        <v>13</v>
      </c>
      <c r="C1310" s="46" t="s">
        <v>14</v>
      </c>
      <c r="D1310" s="47">
        <v>4662</v>
      </c>
      <c r="E1310" s="46" t="s">
        <v>2852</v>
      </c>
      <c r="F1310" s="48">
        <v>39600</v>
      </c>
      <c r="G1310" s="48">
        <v>40512</v>
      </c>
      <c r="H1310" s="46" t="s">
        <v>2039</v>
      </c>
      <c r="I1310" s="45">
        <v>178981</v>
      </c>
      <c r="J1310" s="45">
        <v>178981</v>
      </c>
      <c r="K1310" s="49" t="s">
        <v>2650</v>
      </c>
      <c r="L1310" s="45"/>
      <c r="M1310" s="3"/>
    </row>
    <row r="1311" spans="1:60" ht="25.5" x14ac:dyDescent="0.25">
      <c r="A1311" s="46" t="s">
        <v>2853</v>
      </c>
      <c r="B1311" s="46" t="s">
        <v>13</v>
      </c>
      <c r="C1311" s="46" t="s">
        <v>14</v>
      </c>
      <c r="D1311" s="47">
        <v>4664</v>
      </c>
      <c r="E1311" s="46" t="s">
        <v>2854</v>
      </c>
      <c r="F1311" s="48">
        <v>39479</v>
      </c>
      <c r="G1311" s="48">
        <v>40389</v>
      </c>
      <c r="H1311" s="46" t="s">
        <v>2039</v>
      </c>
      <c r="I1311" s="45">
        <v>354540</v>
      </c>
      <c r="J1311" s="45">
        <v>354540</v>
      </c>
      <c r="K1311" s="49" t="s">
        <v>2650</v>
      </c>
      <c r="L1311" s="45"/>
      <c r="M1311" s="3"/>
    </row>
    <row r="1312" spans="1:60" ht="25.5" x14ac:dyDescent="0.25">
      <c r="A1312" s="46" t="s">
        <v>2855</v>
      </c>
      <c r="B1312" s="46" t="s">
        <v>13</v>
      </c>
      <c r="C1312" s="46" t="s">
        <v>14</v>
      </c>
      <c r="D1312" s="47">
        <v>4666</v>
      </c>
      <c r="E1312" s="46" t="s">
        <v>2856</v>
      </c>
      <c r="F1312" s="48">
        <v>39722</v>
      </c>
      <c r="G1312" s="48">
        <v>40816</v>
      </c>
      <c r="H1312" s="46" t="s">
        <v>2039</v>
      </c>
      <c r="I1312" s="45">
        <v>292474.15999999997</v>
      </c>
      <c r="J1312" s="45">
        <v>292474.15999999997</v>
      </c>
      <c r="K1312" s="49" t="s">
        <v>2650</v>
      </c>
      <c r="L1312" s="45"/>
      <c r="M1312" s="3"/>
    </row>
    <row r="1313" spans="1:13" ht="25.5" x14ac:dyDescent="0.25">
      <c r="A1313" s="46" t="s">
        <v>2857</v>
      </c>
      <c r="B1313" s="46" t="s">
        <v>13</v>
      </c>
      <c r="C1313" s="46" t="s">
        <v>14</v>
      </c>
      <c r="D1313" s="47">
        <v>4667</v>
      </c>
      <c r="E1313" s="46" t="s">
        <v>2858</v>
      </c>
      <c r="F1313" s="48">
        <v>39692</v>
      </c>
      <c r="G1313" s="48">
        <v>40421</v>
      </c>
      <c r="H1313" s="46" t="s">
        <v>2039</v>
      </c>
      <c r="I1313" s="45">
        <v>160824</v>
      </c>
      <c r="J1313" s="45">
        <v>160824</v>
      </c>
      <c r="K1313" s="49" t="s">
        <v>2650</v>
      </c>
      <c r="L1313" s="45"/>
      <c r="M1313" s="3"/>
    </row>
    <row r="1314" spans="1:13" x14ac:dyDescent="0.25">
      <c r="A1314" s="46" t="s">
        <v>2859</v>
      </c>
      <c r="B1314" s="46" t="s">
        <v>13</v>
      </c>
      <c r="C1314" s="46" t="s">
        <v>14</v>
      </c>
      <c r="D1314" s="47">
        <v>4668</v>
      </c>
      <c r="E1314" s="46" t="s">
        <v>2860</v>
      </c>
      <c r="F1314" s="48">
        <v>39722</v>
      </c>
      <c r="G1314" s="48">
        <v>40817</v>
      </c>
      <c r="H1314" s="46" t="s">
        <v>2039</v>
      </c>
      <c r="I1314" s="45">
        <f>333531.14+17099.49</f>
        <v>350630.63</v>
      </c>
      <c r="J1314" s="45">
        <f>333531.14+17099.49</f>
        <v>350630.63</v>
      </c>
      <c r="K1314" s="49" t="s">
        <v>2650</v>
      </c>
      <c r="L1314" s="45"/>
      <c r="M1314" s="3"/>
    </row>
    <row r="1315" spans="1:13" ht="38.25" x14ac:dyDescent="0.25">
      <c r="A1315" s="46" t="s">
        <v>2861</v>
      </c>
      <c r="B1315" s="46" t="s">
        <v>13</v>
      </c>
      <c r="C1315" s="46" t="s">
        <v>14</v>
      </c>
      <c r="D1315" s="47">
        <v>4671</v>
      </c>
      <c r="E1315" s="46" t="s">
        <v>2862</v>
      </c>
      <c r="F1315" s="48">
        <v>40087</v>
      </c>
      <c r="G1315" s="48">
        <v>40816</v>
      </c>
      <c r="H1315" s="46" t="s">
        <v>2039</v>
      </c>
      <c r="I1315" s="45">
        <v>174751.1</v>
      </c>
      <c r="J1315" s="45">
        <v>174751.1</v>
      </c>
      <c r="K1315" s="49" t="s">
        <v>2650</v>
      </c>
      <c r="L1315" s="45"/>
      <c r="M1315" s="3"/>
    </row>
    <row r="1316" spans="1:13" ht="25.5" x14ac:dyDescent="0.25">
      <c r="A1316" s="46" t="s">
        <v>2863</v>
      </c>
      <c r="B1316" s="46" t="s">
        <v>13</v>
      </c>
      <c r="C1316" s="46" t="s">
        <v>14</v>
      </c>
      <c r="D1316" s="47">
        <v>5769</v>
      </c>
      <c r="E1316" s="46" t="s">
        <v>2864</v>
      </c>
      <c r="F1316" s="48">
        <v>40133</v>
      </c>
      <c r="G1316" s="48">
        <v>40313</v>
      </c>
      <c r="H1316" s="46" t="s">
        <v>2039</v>
      </c>
      <c r="I1316" s="45">
        <v>9375</v>
      </c>
      <c r="J1316" s="45">
        <v>9375</v>
      </c>
      <c r="K1316" s="49" t="s">
        <v>2650</v>
      </c>
      <c r="L1316" s="45"/>
      <c r="M1316" s="3"/>
    </row>
    <row r="1317" spans="1:13" ht="63.75" x14ac:dyDescent="0.25">
      <c r="A1317" s="46" t="s">
        <v>2865</v>
      </c>
      <c r="B1317" s="46" t="s">
        <v>13</v>
      </c>
      <c r="C1317" s="46" t="s">
        <v>14</v>
      </c>
      <c r="D1317" s="47">
        <v>5770</v>
      </c>
      <c r="E1317" s="50" t="s">
        <v>2866</v>
      </c>
      <c r="F1317" s="48">
        <v>39332</v>
      </c>
      <c r="G1317" s="48">
        <v>39828</v>
      </c>
      <c r="H1317" s="46" t="s">
        <v>2039</v>
      </c>
      <c r="I1317" s="45">
        <v>81170.399999999994</v>
      </c>
      <c r="J1317" s="45">
        <v>81170.399999999994</v>
      </c>
      <c r="K1317" s="49" t="s">
        <v>2650</v>
      </c>
      <c r="L1317" s="45"/>
      <c r="M1317" s="3"/>
    </row>
    <row r="1318" spans="1:13" ht="25.5" x14ac:dyDescent="0.25">
      <c r="A1318" s="46" t="s">
        <v>2867</v>
      </c>
      <c r="B1318" s="46" t="s">
        <v>13</v>
      </c>
      <c r="C1318" s="46" t="s">
        <v>14</v>
      </c>
      <c r="D1318" s="47">
        <v>5778</v>
      </c>
      <c r="E1318" s="46" t="s">
        <v>2868</v>
      </c>
      <c r="F1318" s="48">
        <v>39426</v>
      </c>
      <c r="G1318" s="48">
        <v>39895</v>
      </c>
      <c r="H1318" s="46" t="s">
        <v>2039</v>
      </c>
      <c r="I1318" s="45">
        <v>61726.29</v>
      </c>
      <c r="J1318" s="45">
        <v>61726.29</v>
      </c>
      <c r="K1318" s="49" t="s">
        <v>2650</v>
      </c>
      <c r="L1318" s="45"/>
      <c r="M1318" s="3"/>
    </row>
    <row r="1319" spans="1:13" ht="25.5" x14ac:dyDescent="0.25">
      <c r="A1319" s="46" t="s">
        <v>2869</v>
      </c>
      <c r="B1319" s="46" t="s">
        <v>13</v>
      </c>
      <c r="C1319" s="46" t="s">
        <v>14</v>
      </c>
      <c r="D1319" s="47">
        <v>5795</v>
      </c>
      <c r="E1319" s="46" t="s">
        <v>2870</v>
      </c>
      <c r="F1319" s="48">
        <v>39387</v>
      </c>
      <c r="G1319" s="48">
        <v>39994</v>
      </c>
      <c r="H1319" s="46" t="s">
        <v>2039</v>
      </c>
      <c r="I1319" s="45">
        <v>80709.95</v>
      </c>
      <c r="J1319" s="45">
        <v>80709.95</v>
      </c>
      <c r="K1319" s="49" t="s">
        <v>2650</v>
      </c>
      <c r="L1319" s="45"/>
      <c r="M1319" s="3"/>
    </row>
    <row r="1320" spans="1:13" ht="25.5" x14ac:dyDescent="0.25">
      <c r="A1320" s="46" t="s">
        <v>2871</v>
      </c>
      <c r="B1320" s="46" t="s">
        <v>13</v>
      </c>
      <c r="C1320" s="46" t="s">
        <v>14</v>
      </c>
      <c r="D1320" s="47">
        <v>5798</v>
      </c>
      <c r="E1320" s="46" t="s">
        <v>2872</v>
      </c>
      <c r="F1320" s="48">
        <v>39753</v>
      </c>
      <c r="G1320" s="48">
        <v>40116</v>
      </c>
      <c r="H1320" s="46" t="s">
        <v>2039</v>
      </c>
      <c r="I1320" s="45">
        <v>80241.210000000006</v>
      </c>
      <c r="J1320" s="45">
        <v>80241.210000000006</v>
      </c>
      <c r="K1320" s="49" t="s">
        <v>2650</v>
      </c>
      <c r="L1320" s="45"/>
      <c r="M1320" s="3"/>
    </row>
    <row r="1321" spans="1:13" ht="38.25" x14ac:dyDescent="0.25">
      <c r="A1321" s="46" t="s">
        <v>2873</v>
      </c>
      <c r="B1321" s="46" t="s">
        <v>13</v>
      </c>
      <c r="C1321" s="46" t="s">
        <v>14</v>
      </c>
      <c r="D1321" s="47">
        <v>5800</v>
      </c>
      <c r="E1321" s="46" t="s">
        <v>2874</v>
      </c>
      <c r="F1321" s="48">
        <v>39814</v>
      </c>
      <c r="G1321" s="48">
        <v>40178</v>
      </c>
      <c r="H1321" s="46" t="s">
        <v>2039</v>
      </c>
      <c r="I1321" s="45">
        <v>83433.72</v>
      </c>
      <c r="J1321" s="45">
        <v>83433.72</v>
      </c>
      <c r="K1321" s="49" t="s">
        <v>2650</v>
      </c>
      <c r="L1321" s="45"/>
      <c r="M1321" s="3"/>
    </row>
    <row r="1322" spans="1:13" ht="25.5" x14ac:dyDescent="0.25">
      <c r="A1322" s="46" t="s">
        <v>2875</v>
      </c>
      <c r="B1322" s="46" t="s">
        <v>13</v>
      </c>
      <c r="C1322" s="46" t="s">
        <v>14</v>
      </c>
      <c r="D1322" s="47">
        <v>5803</v>
      </c>
      <c r="E1322" s="46" t="s">
        <v>2876</v>
      </c>
      <c r="F1322" s="48">
        <v>39845</v>
      </c>
      <c r="G1322" s="48">
        <v>40209</v>
      </c>
      <c r="H1322" s="46" t="s">
        <v>2039</v>
      </c>
      <c r="I1322" s="45">
        <v>73421.41</v>
      </c>
      <c r="J1322" s="45">
        <v>73421.41</v>
      </c>
      <c r="K1322" s="49" t="s">
        <v>2650</v>
      </c>
      <c r="L1322" s="45"/>
      <c r="M1322" s="3"/>
    </row>
    <row r="1323" spans="1:13" ht="25.5" x14ac:dyDescent="0.25">
      <c r="A1323" s="46" t="s">
        <v>2877</v>
      </c>
      <c r="B1323" s="46" t="s">
        <v>13</v>
      </c>
      <c r="C1323" s="46" t="s">
        <v>14</v>
      </c>
      <c r="D1323" s="47">
        <v>5805</v>
      </c>
      <c r="E1323" s="46" t="s">
        <v>2878</v>
      </c>
      <c r="F1323" s="48">
        <v>39818</v>
      </c>
      <c r="G1323" s="48">
        <v>40183</v>
      </c>
      <c r="H1323" s="46" t="s">
        <v>2039</v>
      </c>
      <c r="I1323" s="45">
        <v>107344.48</v>
      </c>
      <c r="J1323" s="45">
        <v>107344.48</v>
      </c>
      <c r="K1323" s="49" t="s">
        <v>2650</v>
      </c>
      <c r="L1323" s="45"/>
      <c r="M1323" s="3"/>
    </row>
    <row r="1324" spans="1:13" ht="38.25" x14ac:dyDescent="0.25">
      <c r="A1324" s="46" t="s">
        <v>2879</v>
      </c>
      <c r="B1324" s="46" t="s">
        <v>13</v>
      </c>
      <c r="C1324" s="46" t="s">
        <v>14</v>
      </c>
      <c r="D1324" s="47">
        <v>5809</v>
      </c>
      <c r="E1324" s="46" t="s">
        <v>2880</v>
      </c>
      <c r="F1324" s="48">
        <v>39845</v>
      </c>
      <c r="G1324" s="48">
        <v>40268</v>
      </c>
      <c r="H1324" s="46" t="s">
        <v>2039</v>
      </c>
      <c r="I1324" s="45">
        <v>78200.91</v>
      </c>
      <c r="J1324" s="45">
        <v>78200.91</v>
      </c>
      <c r="K1324" s="49" t="s">
        <v>2650</v>
      </c>
      <c r="L1324" s="45"/>
      <c r="M1324" s="3"/>
    </row>
    <row r="1325" spans="1:13" ht="38.25" x14ac:dyDescent="0.25">
      <c r="A1325" s="46" t="s">
        <v>2881</v>
      </c>
      <c r="B1325" s="46" t="s">
        <v>13</v>
      </c>
      <c r="C1325" s="46" t="s">
        <v>14</v>
      </c>
      <c r="D1325" s="47">
        <v>5811</v>
      </c>
      <c r="E1325" s="46" t="s">
        <v>2882</v>
      </c>
      <c r="F1325" s="48">
        <v>40087</v>
      </c>
      <c r="G1325" s="48">
        <v>40862</v>
      </c>
      <c r="H1325" s="46" t="s">
        <v>2039</v>
      </c>
      <c r="I1325" s="45">
        <v>43305.62</v>
      </c>
      <c r="J1325" s="45">
        <v>43305.62</v>
      </c>
      <c r="K1325" s="49" t="s">
        <v>2650</v>
      </c>
      <c r="L1325" s="45"/>
      <c r="M1325" s="3"/>
    </row>
    <row r="1326" spans="1:13" ht="38.25" x14ac:dyDescent="0.25">
      <c r="A1326" s="46" t="s">
        <v>2883</v>
      </c>
      <c r="B1326" s="46" t="s">
        <v>13</v>
      </c>
      <c r="C1326" s="46" t="s">
        <v>14</v>
      </c>
      <c r="D1326" s="47">
        <v>5812</v>
      </c>
      <c r="E1326" s="46" t="s">
        <v>2884</v>
      </c>
      <c r="F1326" s="48">
        <v>40098</v>
      </c>
      <c r="G1326" s="48">
        <v>40535</v>
      </c>
      <c r="H1326" s="46" t="s">
        <v>2039</v>
      </c>
      <c r="I1326" s="45">
        <v>94171.5</v>
      </c>
      <c r="J1326" s="55">
        <v>94171.5</v>
      </c>
      <c r="K1326" s="49" t="s">
        <v>2650</v>
      </c>
      <c r="L1326" s="45"/>
      <c r="M1326" s="3"/>
    </row>
    <row r="1327" spans="1:13" ht="38.25" x14ac:dyDescent="0.25">
      <c r="A1327" s="46" t="s">
        <v>2885</v>
      </c>
      <c r="B1327" s="46" t="s">
        <v>13</v>
      </c>
      <c r="C1327" s="46" t="s">
        <v>14</v>
      </c>
      <c r="D1327" s="47">
        <v>5814</v>
      </c>
      <c r="E1327" s="46" t="s">
        <v>2886</v>
      </c>
      <c r="F1327" s="48">
        <v>39264</v>
      </c>
      <c r="G1327" s="48">
        <v>39752</v>
      </c>
      <c r="H1327" s="46" t="s">
        <v>2039</v>
      </c>
      <c r="I1327" s="45">
        <v>69528.350000000006</v>
      </c>
      <c r="J1327" s="45">
        <v>69528.350000000006</v>
      </c>
      <c r="K1327" s="49" t="s">
        <v>2650</v>
      </c>
      <c r="L1327" s="45"/>
      <c r="M1327" s="3"/>
    </row>
    <row r="1328" spans="1:13" ht="51" x14ac:dyDescent="0.25">
      <c r="A1328" s="46" t="s">
        <v>2887</v>
      </c>
      <c r="B1328" s="46" t="s">
        <v>13</v>
      </c>
      <c r="C1328" s="46" t="s">
        <v>14</v>
      </c>
      <c r="D1328" s="47">
        <v>5815</v>
      </c>
      <c r="E1328" s="50" t="s">
        <v>2888</v>
      </c>
      <c r="F1328" s="48">
        <v>39187</v>
      </c>
      <c r="G1328" s="48">
        <v>39782</v>
      </c>
      <c r="H1328" s="46" t="s">
        <v>2039</v>
      </c>
      <c r="I1328" s="45">
        <v>57079.83</v>
      </c>
      <c r="J1328" s="45">
        <v>57079.83</v>
      </c>
      <c r="K1328" s="49" t="s">
        <v>2650</v>
      </c>
      <c r="L1328" s="45"/>
      <c r="M1328" s="3"/>
    </row>
    <row r="1329" spans="1:13" ht="25.5" x14ac:dyDescent="0.25">
      <c r="A1329" s="46" t="s">
        <v>2889</v>
      </c>
      <c r="B1329" s="46" t="s">
        <v>13</v>
      </c>
      <c r="C1329" s="46" t="s">
        <v>14</v>
      </c>
      <c r="D1329" s="47">
        <v>5816</v>
      </c>
      <c r="E1329" s="46" t="s">
        <v>2890</v>
      </c>
      <c r="F1329" s="48">
        <v>39356</v>
      </c>
      <c r="G1329" s="48">
        <v>40574</v>
      </c>
      <c r="H1329" s="46" t="s">
        <v>2039</v>
      </c>
      <c r="I1329" s="45">
        <v>265575.08</v>
      </c>
      <c r="J1329" s="45">
        <v>265575.08</v>
      </c>
      <c r="K1329" s="49" t="s">
        <v>2650</v>
      </c>
      <c r="L1329" s="45"/>
      <c r="M1329" s="3"/>
    </row>
    <row r="1330" spans="1:13" ht="38.25" x14ac:dyDescent="0.25">
      <c r="A1330" s="46" t="s">
        <v>2867</v>
      </c>
      <c r="B1330" s="46" t="s">
        <v>13</v>
      </c>
      <c r="C1330" s="46" t="s">
        <v>14</v>
      </c>
      <c r="D1330" s="47">
        <v>5817</v>
      </c>
      <c r="E1330" s="46" t="s">
        <v>2891</v>
      </c>
      <c r="F1330" s="48">
        <v>39988</v>
      </c>
      <c r="G1330" s="48">
        <v>41090</v>
      </c>
      <c r="H1330" s="46" t="s">
        <v>2039</v>
      </c>
      <c r="I1330" s="45">
        <f>276906.03+66820.94</f>
        <v>343726.97000000003</v>
      </c>
      <c r="J1330" s="45">
        <f>276906.03+66820.94</f>
        <v>343726.97000000003</v>
      </c>
      <c r="K1330" s="49" t="s">
        <v>2650</v>
      </c>
      <c r="L1330" s="45"/>
      <c r="M1330" s="3"/>
    </row>
    <row r="1331" spans="1:13" ht="51" x14ac:dyDescent="0.25">
      <c r="A1331" s="46" t="s">
        <v>2892</v>
      </c>
      <c r="B1331" s="46" t="s">
        <v>13</v>
      </c>
      <c r="C1331" s="46" t="s">
        <v>14</v>
      </c>
      <c r="D1331" s="47">
        <v>5818</v>
      </c>
      <c r="E1331" s="50" t="s">
        <v>2893</v>
      </c>
      <c r="F1331" s="48">
        <v>40118</v>
      </c>
      <c r="G1331" s="48">
        <v>41577</v>
      </c>
      <c r="H1331" s="46" t="s">
        <v>2039</v>
      </c>
      <c r="I1331" s="45">
        <f>199745.59+68522.32</f>
        <v>268267.91000000003</v>
      </c>
      <c r="J1331" s="45">
        <f>199745.59+68522.32</f>
        <v>268267.91000000003</v>
      </c>
      <c r="K1331" s="49" t="s">
        <v>2650</v>
      </c>
      <c r="L1331" s="45"/>
      <c r="M1331" s="3"/>
    </row>
    <row r="1332" spans="1:13" ht="51" x14ac:dyDescent="0.25">
      <c r="A1332" s="46" t="s">
        <v>2894</v>
      </c>
      <c r="B1332" s="46" t="s">
        <v>13</v>
      </c>
      <c r="C1332" s="46" t="s">
        <v>14</v>
      </c>
      <c r="D1332" s="47">
        <v>5819</v>
      </c>
      <c r="E1332" s="50" t="s">
        <v>2895</v>
      </c>
      <c r="F1332" s="48">
        <v>39295</v>
      </c>
      <c r="G1332" s="48">
        <v>40497</v>
      </c>
      <c r="H1332" s="46" t="s">
        <v>2039</v>
      </c>
      <c r="I1332" s="45">
        <v>326100.7</v>
      </c>
      <c r="J1332" s="45">
        <v>326100.7</v>
      </c>
      <c r="K1332" s="49" t="s">
        <v>2650</v>
      </c>
      <c r="L1332" s="45"/>
      <c r="M1332" s="3"/>
    </row>
    <row r="1333" spans="1:13" ht="38.25" x14ac:dyDescent="0.25">
      <c r="A1333" s="46" t="s">
        <v>2896</v>
      </c>
      <c r="B1333" s="46" t="s">
        <v>13</v>
      </c>
      <c r="C1333" s="46" t="s">
        <v>14</v>
      </c>
      <c r="D1333" s="47">
        <v>5858</v>
      </c>
      <c r="E1333" s="46" t="s">
        <v>2897</v>
      </c>
      <c r="F1333" s="48">
        <v>39995</v>
      </c>
      <c r="G1333" s="48">
        <v>40451</v>
      </c>
      <c r="H1333" s="46" t="s">
        <v>2039</v>
      </c>
      <c r="I1333" s="45">
        <v>83556</v>
      </c>
      <c r="J1333" s="45">
        <v>83556</v>
      </c>
      <c r="K1333" s="49" t="s">
        <v>2650</v>
      </c>
      <c r="L1333" s="45"/>
      <c r="M1333" s="3"/>
    </row>
    <row r="1334" spans="1:13" ht="51" x14ac:dyDescent="0.25">
      <c r="A1334" s="46" t="s">
        <v>2898</v>
      </c>
      <c r="B1334" s="46" t="s">
        <v>13</v>
      </c>
      <c r="C1334" s="46" t="s">
        <v>14</v>
      </c>
      <c r="D1334" s="47">
        <v>5859</v>
      </c>
      <c r="E1334" s="50" t="s">
        <v>2899</v>
      </c>
      <c r="F1334" s="48">
        <v>39934</v>
      </c>
      <c r="G1334" s="48">
        <v>40847</v>
      </c>
      <c r="H1334" s="46" t="s">
        <v>2039</v>
      </c>
      <c r="I1334" s="45">
        <f>321686.44-1605.76</f>
        <v>320080.68</v>
      </c>
      <c r="J1334" s="45">
        <f>321686.44-1605.76</f>
        <v>320080.68</v>
      </c>
      <c r="K1334" s="49" t="s">
        <v>2650</v>
      </c>
      <c r="L1334" s="45"/>
      <c r="M1334" s="3"/>
    </row>
    <row r="1335" spans="1:13" x14ac:dyDescent="0.25">
      <c r="A1335" s="46" t="s">
        <v>2900</v>
      </c>
      <c r="B1335" s="46" t="s">
        <v>13</v>
      </c>
      <c r="C1335" s="46" t="s">
        <v>14</v>
      </c>
      <c r="D1335" s="47">
        <v>5974</v>
      </c>
      <c r="E1335" s="46" t="s">
        <v>2900</v>
      </c>
      <c r="F1335" s="48">
        <v>39873</v>
      </c>
      <c r="G1335" s="48">
        <v>40388</v>
      </c>
      <c r="H1335" s="46" t="s">
        <v>2039</v>
      </c>
      <c r="I1335" s="45">
        <v>58337.919999999998</v>
      </c>
      <c r="J1335" s="45">
        <v>58337.919999999998</v>
      </c>
      <c r="K1335" s="49" t="s">
        <v>2650</v>
      </c>
      <c r="L1335" s="45"/>
      <c r="M1335" s="3"/>
    </row>
    <row r="1336" spans="1:13" x14ac:dyDescent="0.25">
      <c r="A1336" s="46" t="s">
        <v>2901</v>
      </c>
      <c r="B1336" s="46" t="s">
        <v>13</v>
      </c>
      <c r="C1336" s="46" t="s">
        <v>14</v>
      </c>
      <c r="D1336" s="47">
        <v>5975</v>
      </c>
      <c r="E1336" s="46" t="s">
        <v>2901</v>
      </c>
      <c r="F1336" s="48">
        <v>39995</v>
      </c>
      <c r="G1336" s="48">
        <v>40330</v>
      </c>
      <c r="H1336" s="46" t="s">
        <v>2039</v>
      </c>
      <c r="I1336" s="45">
        <v>21866.19</v>
      </c>
      <c r="J1336" s="45">
        <v>21866.19</v>
      </c>
      <c r="K1336" s="49" t="s">
        <v>2650</v>
      </c>
      <c r="L1336" s="45"/>
      <c r="M1336" s="3"/>
    </row>
    <row r="1337" spans="1:13" x14ac:dyDescent="0.25">
      <c r="A1337" s="46" t="s">
        <v>2902</v>
      </c>
      <c r="B1337" s="46" t="s">
        <v>13</v>
      </c>
      <c r="C1337" s="46" t="s">
        <v>14</v>
      </c>
      <c r="D1337" s="47">
        <v>5976</v>
      </c>
      <c r="E1337" s="46" t="s">
        <v>2903</v>
      </c>
      <c r="F1337" s="48">
        <v>39539</v>
      </c>
      <c r="G1337" s="48">
        <v>39872</v>
      </c>
      <c r="H1337" s="46" t="s">
        <v>2039</v>
      </c>
      <c r="I1337" s="45">
        <v>38678.49</v>
      </c>
      <c r="J1337" s="45">
        <v>38678.49</v>
      </c>
      <c r="K1337" s="49" t="s">
        <v>2650</v>
      </c>
      <c r="L1337" s="45"/>
      <c r="M1337" s="3"/>
    </row>
    <row r="1338" spans="1:13" ht="25.5" x14ac:dyDescent="0.25">
      <c r="A1338" s="46" t="s">
        <v>2904</v>
      </c>
      <c r="B1338" s="46" t="s">
        <v>13</v>
      </c>
      <c r="C1338" s="46" t="s">
        <v>14</v>
      </c>
      <c r="D1338" s="47">
        <v>5978</v>
      </c>
      <c r="E1338" s="46" t="s">
        <v>2905</v>
      </c>
      <c r="F1338" s="48">
        <v>39617</v>
      </c>
      <c r="G1338" s="48">
        <v>40214</v>
      </c>
      <c r="H1338" s="46" t="s">
        <v>2039</v>
      </c>
      <c r="I1338" s="45">
        <v>77001.87</v>
      </c>
      <c r="J1338" s="45">
        <v>77001.87</v>
      </c>
      <c r="K1338" s="49" t="s">
        <v>2650</v>
      </c>
      <c r="L1338" s="45"/>
      <c r="M1338" s="3"/>
    </row>
    <row r="1339" spans="1:13" x14ac:dyDescent="0.25">
      <c r="A1339" s="46" t="s">
        <v>2906</v>
      </c>
      <c r="B1339" s="46" t="s">
        <v>13</v>
      </c>
      <c r="C1339" s="46" t="s">
        <v>14</v>
      </c>
      <c r="D1339" s="47">
        <v>5979</v>
      </c>
      <c r="E1339" s="46" t="s">
        <v>2907</v>
      </c>
      <c r="F1339" s="48">
        <v>39618</v>
      </c>
      <c r="G1339" s="48">
        <v>40329</v>
      </c>
      <c r="H1339" s="46" t="s">
        <v>2039</v>
      </c>
      <c r="I1339" s="45">
        <v>58114.720000000001</v>
      </c>
      <c r="J1339" s="45">
        <v>58114.720000000001</v>
      </c>
      <c r="K1339" s="49" t="s">
        <v>2650</v>
      </c>
      <c r="L1339" s="45"/>
      <c r="M1339" s="3"/>
    </row>
    <row r="1340" spans="1:13" x14ac:dyDescent="0.25">
      <c r="A1340" s="46" t="s">
        <v>2908</v>
      </c>
      <c r="B1340" s="46" t="s">
        <v>13</v>
      </c>
      <c r="C1340" s="46" t="s">
        <v>14</v>
      </c>
      <c r="D1340" s="47">
        <v>5980</v>
      </c>
      <c r="E1340" s="46" t="s">
        <v>2909</v>
      </c>
      <c r="F1340" s="48">
        <v>39722</v>
      </c>
      <c r="G1340" s="48">
        <v>40268</v>
      </c>
      <c r="H1340" s="46" t="s">
        <v>2039</v>
      </c>
      <c r="I1340" s="45">
        <v>64302.44</v>
      </c>
      <c r="J1340" s="45">
        <v>64302.44</v>
      </c>
      <c r="K1340" s="49" t="s">
        <v>2650</v>
      </c>
      <c r="L1340" s="45"/>
      <c r="M1340" s="3"/>
    </row>
    <row r="1341" spans="1:13" x14ac:dyDescent="0.25">
      <c r="A1341" s="46" t="s">
        <v>2910</v>
      </c>
      <c r="B1341" s="46" t="s">
        <v>13</v>
      </c>
      <c r="C1341" s="46" t="s">
        <v>14</v>
      </c>
      <c r="D1341" s="47">
        <v>5982</v>
      </c>
      <c r="E1341" s="46" t="s">
        <v>2911</v>
      </c>
      <c r="F1341" s="48">
        <v>39845</v>
      </c>
      <c r="G1341" s="48">
        <v>40295</v>
      </c>
      <c r="H1341" s="46" t="s">
        <v>2039</v>
      </c>
      <c r="I1341" s="45">
        <v>55319.69</v>
      </c>
      <c r="J1341" s="45">
        <v>55319.35</v>
      </c>
      <c r="K1341" s="49" t="s">
        <v>2650</v>
      </c>
      <c r="L1341" s="45"/>
      <c r="M1341" s="3"/>
    </row>
    <row r="1342" spans="1:13" x14ac:dyDescent="0.25">
      <c r="A1342" s="46" t="s">
        <v>2912</v>
      </c>
      <c r="B1342" s="46" t="s">
        <v>13</v>
      </c>
      <c r="C1342" s="46" t="s">
        <v>14</v>
      </c>
      <c r="D1342" s="47">
        <v>5983</v>
      </c>
      <c r="E1342" s="46" t="s">
        <v>2913</v>
      </c>
      <c r="F1342" s="48">
        <v>40087</v>
      </c>
      <c r="G1342" s="48">
        <v>40451</v>
      </c>
      <c r="H1342" s="46" t="s">
        <v>2039</v>
      </c>
      <c r="I1342" s="45">
        <v>76970.11</v>
      </c>
      <c r="J1342" s="45">
        <v>76970.11</v>
      </c>
      <c r="K1342" s="49" t="s">
        <v>2650</v>
      </c>
      <c r="L1342" s="45"/>
      <c r="M1342" s="3"/>
    </row>
    <row r="1343" spans="1:13" x14ac:dyDescent="0.25">
      <c r="A1343" s="46" t="s">
        <v>2914</v>
      </c>
      <c r="B1343" s="46" t="s">
        <v>13</v>
      </c>
      <c r="C1343" s="46" t="s">
        <v>14</v>
      </c>
      <c r="D1343" s="47">
        <v>5984</v>
      </c>
      <c r="E1343" s="46" t="s">
        <v>2914</v>
      </c>
      <c r="F1343" s="48">
        <v>39265</v>
      </c>
      <c r="G1343" s="48">
        <v>39660</v>
      </c>
      <c r="H1343" s="46" t="s">
        <v>2039</v>
      </c>
      <c r="I1343" s="45">
        <v>67890.429999999993</v>
      </c>
      <c r="J1343" s="45">
        <v>67890.429999999993</v>
      </c>
      <c r="K1343" s="49" t="s">
        <v>2650</v>
      </c>
      <c r="L1343" s="45"/>
      <c r="M1343" s="3"/>
    </row>
    <row r="1344" spans="1:13" x14ac:dyDescent="0.25">
      <c r="A1344" s="46" t="s">
        <v>2915</v>
      </c>
      <c r="B1344" s="46" t="s">
        <v>13</v>
      </c>
      <c r="C1344" s="46" t="s">
        <v>14</v>
      </c>
      <c r="D1344" s="47">
        <v>5985</v>
      </c>
      <c r="E1344" s="46" t="s">
        <v>2916</v>
      </c>
      <c r="F1344" s="48">
        <v>39356</v>
      </c>
      <c r="G1344" s="48">
        <v>40018</v>
      </c>
      <c r="H1344" s="46" t="s">
        <v>2039</v>
      </c>
      <c r="I1344" s="45">
        <v>63467.4</v>
      </c>
      <c r="J1344" s="45">
        <v>63467.4</v>
      </c>
      <c r="K1344" s="49" t="s">
        <v>2650</v>
      </c>
      <c r="L1344" s="45"/>
      <c r="M1344" s="3"/>
    </row>
    <row r="1345" spans="1:13" x14ac:dyDescent="0.25">
      <c r="A1345" s="46" t="s">
        <v>2917</v>
      </c>
      <c r="B1345" s="46" t="s">
        <v>13</v>
      </c>
      <c r="C1345" s="46" t="s">
        <v>14</v>
      </c>
      <c r="D1345" s="47">
        <v>5986</v>
      </c>
      <c r="E1345" s="46" t="s">
        <v>2918</v>
      </c>
      <c r="F1345" s="48">
        <v>39426</v>
      </c>
      <c r="G1345" s="48">
        <v>40055</v>
      </c>
      <c r="H1345" s="46" t="s">
        <v>2039</v>
      </c>
      <c r="I1345" s="45">
        <v>51207.19</v>
      </c>
      <c r="J1345" s="45">
        <v>51207.19</v>
      </c>
      <c r="K1345" s="49" t="s">
        <v>2650</v>
      </c>
      <c r="L1345" s="45"/>
      <c r="M1345" s="3"/>
    </row>
    <row r="1346" spans="1:13" x14ac:dyDescent="0.25">
      <c r="A1346" s="46" t="s">
        <v>2919</v>
      </c>
      <c r="B1346" s="46" t="s">
        <v>13</v>
      </c>
      <c r="C1346" s="46" t="s">
        <v>14</v>
      </c>
      <c r="D1346" s="47">
        <v>5987</v>
      </c>
      <c r="E1346" s="46" t="s">
        <v>2920</v>
      </c>
      <c r="F1346" s="48">
        <v>39727</v>
      </c>
      <c r="G1346" s="48">
        <v>40144</v>
      </c>
      <c r="H1346" s="46" t="s">
        <v>2039</v>
      </c>
      <c r="I1346" s="45">
        <v>37091.870000000003</v>
      </c>
      <c r="J1346" s="45">
        <v>37091.870000000003</v>
      </c>
      <c r="K1346" s="49" t="s">
        <v>2650</v>
      </c>
      <c r="L1346" s="45"/>
      <c r="M1346" s="3"/>
    </row>
    <row r="1347" spans="1:13" ht="25.5" x14ac:dyDescent="0.25">
      <c r="A1347" s="46" t="s">
        <v>2921</v>
      </c>
      <c r="B1347" s="46" t="s">
        <v>13</v>
      </c>
      <c r="C1347" s="46" t="s">
        <v>14</v>
      </c>
      <c r="D1347" s="47">
        <v>5989</v>
      </c>
      <c r="E1347" s="46" t="s">
        <v>2922</v>
      </c>
      <c r="F1347" s="48">
        <v>40087</v>
      </c>
      <c r="G1347" s="48">
        <v>40451</v>
      </c>
      <c r="H1347" s="46" t="s">
        <v>2039</v>
      </c>
      <c r="I1347" s="45">
        <v>40373.26</v>
      </c>
      <c r="J1347" s="45">
        <v>40373.26</v>
      </c>
      <c r="K1347" s="49" t="s">
        <v>2650</v>
      </c>
      <c r="L1347" s="45"/>
      <c r="M1347" s="3"/>
    </row>
    <row r="1348" spans="1:13" x14ac:dyDescent="0.25">
      <c r="A1348" s="46" t="s">
        <v>2923</v>
      </c>
      <c r="B1348" s="46" t="s">
        <v>13</v>
      </c>
      <c r="C1348" s="46" t="s">
        <v>14</v>
      </c>
      <c r="D1348" s="47">
        <v>5990</v>
      </c>
      <c r="E1348" s="46" t="s">
        <v>2924</v>
      </c>
      <c r="F1348" s="48">
        <v>40026</v>
      </c>
      <c r="G1348" s="48">
        <v>40329</v>
      </c>
      <c r="H1348" s="46" t="s">
        <v>2039</v>
      </c>
      <c r="I1348" s="45">
        <v>68106.28</v>
      </c>
      <c r="J1348" s="45">
        <v>68106.28</v>
      </c>
      <c r="K1348" s="49" t="s">
        <v>2650</v>
      </c>
      <c r="L1348" s="45"/>
      <c r="M1348" s="3"/>
    </row>
    <row r="1349" spans="1:13" x14ac:dyDescent="0.25">
      <c r="A1349" s="46" t="s">
        <v>2925</v>
      </c>
      <c r="B1349" s="46" t="s">
        <v>13</v>
      </c>
      <c r="C1349" s="46" t="s">
        <v>14</v>
      </c>
      <c r="D1349" s="47">
        <v>5991</v>
      </c>
      <c r="E1349" s="46" t="s">
        <v>2926</v>
      </c>
      <c r="F1349" s="48">
        <v>39454</v>
      </c>
      <c r="G1349" s="48">
        <v>40365</v>
      </c>
      <c r="H1349" s="46" t="s">
        <v>2039</v>
      </c>
      <c r="I1349" s="45">
        <v>380919.67</v>
      </c>
      <c r="J1349" s="45">
        <v>380919.67</v>
      </c>
      <c r="K1349" s="49" t="s">
        <v>2650</v>
      </c>
      <c r="L1349" s="45"/>
      <c r="M1349" s="3"/>
    </row>
    <row r="1350" spans="1:13" x14ac:dyDescent="0.25">
      <c r="A1350" s="46" t="s">
        <v>2927</v>
      </c>
      <c r="B1350" s="46" t="s">
        <v>13</v>
      </c>
      <c r="C1350" s="46" t="s">
        <v>14</v>
      </c>
      <c r="D1350" s="47">
        <v>5992</v>
      </c>
      <c r="E1350" s="46" t="s">
        <v>2928</v>
      </c>
      <c r="F1350" s="48">
        <v>39508</v>
      </c>
      <c r="G1350" s="48">
        <v>40602</v>
      </c>
      <c r="H1350" s="46" t="s">
        <v>2039</v>
      </c>
      <c r="I1350" s="45">
        <v>211369.09</v>
      </c>
      <c r="J1350" s="45">
        <v>463638.92</v>
      </c>
      <c r="K1350" s="49" t="s">
        <v>2650</v>
      </c>
      <c r="L1350" s="45"/>
      <c r="M1350" s="3"/>
    </row>
    <row r="1351" spans="1:13" x14ac:dyDescent="0.25">
      <c r="A1351" s="46" t="s">
        <v>2929</v>
      </c>
      <c r="B1351" s="46" t="s">
        <v>13</v>
      </c>
      <c r="C1351" s="46" t="s">
        <v>14</v>
      </c>
      <c r="D1351" s="47">
        <v>5993</v>
      </c>
      <c r="E1351" s="46" t="s">
        <v>2930</v>
      </c>
      <c r="F1351" s="48">
        <v>40087</v>
      </c>
      <c r="G1351" s="48">
        <v>40633</v>
      </c>
      <c r="H1351" s="46" t="s">
        <v>2039</v>
      </c>
      <c r="I1351" s="45">
        <f>367803+69483.09</f>
        <v>437286.08999999997</v>
      </c>
      <c r="J1351" s="45">
        <f>211369.09+69483.09</f>
        <v>280852.18</v>
      </c>
      <c r="K1351" s="49" t="s">
        <v>2650</v>
      </c>
      <c r="L1351" s="45"/>
      <c r="M1351" s="3"/>
    </row>
    <row r="1352" spans="1:13" ht="38.25" x14ac:dyDescent="0.25">
      <c r="A1352" s="46" t="s">
        <v>2931</v>
      </c>
      <c r="B1352" s="46" t="s">
        <v>13</v>
      </c>
      <c r="C1352" s="46" t="s">
        <v>14</v>
      </c>
      <c r="D1352" s="47">
        <v>6197</v>
      </c>
      <c r="E1352" s="46" t="s">
        <v>2932</v>
      </c>
      <c r="F1352" s="48">
        <v>39814</v>
      </c>
      <c r="G1352" s="48">
        <v>40178</v>
      </c>
      <c r="H1352" s="46" t="s">
        <v>2039</v>
      </c>
      <c r="I1352" s="45">
        <v>106443.02</v>
      </c>
      <c r="J1352" s="45">
        <v>106443.02</v>
      </c>
      <c r="K1352" s="49" t="s">
        <v>2650</v>
      </c>
      <c r="L1352" s="45"/>
      <c r="M1352" s="3"/>
    </row>
    <row r="1353" spans="1:13" ht="38.25" x14ac:dyDescent="0.25">
      <c r="A1353" s="46" t="s">
        <v>2933</v>
      </c>
      <c r="B1353" s="46" t="s">
        <v>13</v>
      </c>
      <c r="C1353" s="46" t="s">
        <v>14</v>
      </c>
      <c r="D1353" s="47">
        <v>6199</v>
      </c>
      <c r="E1353" s="46" t="s">
        <v>2934</v>
      </c>
      <c r="F1353" s="48">
        <v>40026</v>
      </c>
      <c r="G1353" s="48">
        <v>40209</v>
      </c>
      <c r="H1353" s="46" t="s">
        <v>2039</v>
      </c>
      <c r="I1353" s="45">
        <v>28690.5</v>
      </c>
      <c r="J1353" s="45">
        <v>28690.5</v>
      </c>
      <c r="K1353" s="49" t="s">
        <v>2650</v>
      </c>
      <c r="L1353" s="45"/>
      <c r="M1353" s="3"/>
    </row>
    <row r="1354" spans="1:13" ht="25.5" x14ac:dyDescent="0.25">
      <c r="A1354" s="46" t="s">
        <v>2935</v>
      </c>
      <c r="B1354" s="46" t="s">
        <v>13</v>
      </c>
      <c r="C1354" s="46" t="s">
        <v>14</v>
      </c>
      <c r="D1354" s="47">
        <v>6200</v>
      </c>
      <c r="E1354" s="46" t="s">
        <v>2936</v>
      </c>
      <c r="F1354" s="48">
        <v>40071</v>
      </c>
      <c r="G1354" s="48">
        <v>40359</v>
      </c>
      <c r="H1354" s="46" t="s">
        <v>2039</v>
      </c>
      <c r="I1354" s="45">
        <v>37432.699999999997</v>
      </c>
      <c r="J1354" s="45">
        <v>37432.699999999997</v>
      </c>
      <c r="K1354" s="49" t="s">
        <v>2650</v>
      </c>
      <c r="L1354" s="45"/>
      <c r="M1354" s="3"/>
    </row>
    <row r="1355" spans="1:13" ht="25.5" x14ac:dyDescent="0.25">
      <c r="A1355" s="46" t="s">
        <v>2937</v>
      </c>
      <c r="B1355" s="46" t="s">
        <v>13</v>
      </c>
      <c r="C1355" s="46" t="s">
        <v>14</v>
      </c>
      <c r="D1355" s="47">
        <v>6201</v>
      </c>
      <c r="E1355" s="46" t="s">
        <v>2938</v>
      </c>
      <c r="F1355" s="48">
        <v>39203</v>
      </c>
      <c r="G1355" s="48">
        <v>39599</v>
      </c>
      <c r="H1355" s="46" t="s">
        <v>2039</v>
      </c>
      <c r="I1355" s="45">
        <v>57101.78</v>
      </c>
      <c r="J1355" s="45">
        <v>57101.78</v>
      </c>
      <c r="K1355" s="49" t="s">
        <v>2650</v>
      </c>
      <c r="L1355" s="45"/>
      <c r="M1355" s="3"/>
    </row>
    <row r="1356" spans="1:13" ht="38.25" x14ac:dyDescent="0.25">
      <c r="A1356" s="46" t="s">
        <v>2939</v>
      </c>
      <c r="B1356" s="46" t="s">
        <v>13</v>
      </c>
      <c r="C1356" s="46" t="s">
        <v>14</v>
      </c>
      <c r="D1356" s="47">
        <v>6202</v>
      </c>
      <c r="E1356" s="46" t="s">
        <v>2940</v>
      </c>
      <c r="F1356" s="48">
        <v>39326</v>
      </c>
      <c r="G1356" s="48">
        <v>39878</v>
      </c>
      <c r="H1356" s="46" t="s">
        <v>2039</v>
      </c>
      <c r="I1356" s="45">
        <v>94932.3</v>
      </c>
      <c r="J1356" s="45">
        <v>94932.3</v>
      </c>
      <c r="K1356" s="49" t="s">
        <v>2650</v>
      </c>
      <c r="L1356" s="45"/>
      <c r="M1356" s="3"/>
    </row>
    <row r="1357" spans="1:13" ht="38.25" x14ac:dyDescent="0.25">
      <c r="A1357" s="46" t="s">
        <v>2941</v>
      </c>
      <c r="B1357" s="46" t="s">
        <v>13</v>
      </c>
      <c r="C1357" s="46" t="s">
        <v>14</v>
      </c>
      <c r="D1357" s="47">
        <v>6203</v>
      </c>
      <c r="E1357" s="46" t="s">
        <v>2942</v>
      </c>
      <c r="F1357" s="48">
        <v>39508</v>
      </c>
      <c r="G1357" s="48">
        <v>39994</v>
      </c>
      <c r="H1357" s="46" t="s">
        <v>2039</v>
      </c>
      <c r="I1357" s="45">
        <v>75777.789999999994</v>
      </c>
      <c r="J1357" s="45">
        <v>75777.789999999994</v>
      </c>
      <c r="K1357" s="49" t="s">
        <v>2650</v>
      </c>
      <c r="L1357" s="45"/>
      <c r="M1357" s="3"/>
    </row>
    <row r="1358" spans="1:13" ht="38.25" x14ac:dyDescent="0.25">
      <c r="A1358" s="46" t="s">
        <v>2943</v>
      </c>
      <c r="B1358" s="46" t="s">
        <v>13</v>
      </c>
      <c r="C1358" s="46" t="s">
        <v>14</v>
      </c>
      <c r="D1358" s="47">
        <v>6205</v>
      </c>
      <c r="E1358" s="46" t="s">
        <v>2944</v>
      </c>
      <c r="F1358" s="48">
        <v>39539</v>
      </c>
      <c r="G1358" s="48">
        <v>40178</v>
      </c>
      <c r="H1358" s="46" t="s">
        <v>2039</v>
      </c>
      <c r="I1358" s="45">
        <v>36130.19</v>
      </c>
      <c r="J1358" s="45">
        <v>36130.19</v>
      </c>
      <c r="K1358" s="49" t="s">
        <v>2650</v>
      </c>
      <c r="L1358" s="45"/>
      <c r="M1358" s="3"/>
    </row>
    <row r="1359" spans="1:13" ht="25.5" x14ac:dyDescent="0.25">
      <c r="A1359" s="46" t="s">
        <v>2945</v>
      </c>
      <c r="B1359" s="46" t="s">
        <v>13</v>
      </c>
      <c r="C1359" s="46" t="s">
        <v>14</v>
      </c>
      <c r="D1359" s="47">
        <v>6206</v>
      </c>
      <c r="E1359" s="46" t="s">
        <v>2946</v>
      </c>
      <c r="F1359" s="48">
        <v>39426</v>
      </c>
      <c r="G1359" s="48">
        <v>39762</v>
      </c>
      <c r="H1359" s="46" t="s">
        <v>2039</v>
      </c>
      <c r="I1359" s="45">
        <v>48759.49</v>
      </c>
      <c r="J1359" s="45">
        <v>48759.49</v>
      </c>
      <c r="K1359" s="49" t="s">
        <v>2650</v>
      </c>
      <c r="L1359" s="45"/>
      <c r="M1359" s="3"/>
    </row>
    <row r="1360" spans="1:13" ht="25.5" x14ac:dyDescent="0.25">
      <c r="A1360" s="46" t="s">
        <v>2947</v>
      </c>
      <c r="B1360" s="46" t="s">
        <v>13</v>
      </c>
      <c r="C1360" s="46" t="s">
        <v>14</v>
      </c>
      <c r="D1360" s="47">
        <v>6207</v>
      </c>
      <c r="E1360" s="46" t="s">
        <v>2948</v>
      </c>
      <c r="F1360" s="48">
        <v>39508</v>
      </c>
      <c r="G1360" s="48">
        <v>39871</v>
      </c>
      <c r="H1360" s="46" t="s">
        <v>2039</v>
      </c>
      <c r="I1360" s="45">
        <v>78618</v>
      </c>
      <c r="J1360" s="45">
        <v>78618</v>
      </c>
      <c r="K1360" s="49" t="s">
        <v>2650</v>
      </c>
      <c r="L1360" s="45"/>
      <c r="M1360" s="3"/>
    </row>
    <row r="1361" spans="1:13" ht="38.25" x14ac:dyDescent="0.25">
      <c r="A1361" s="46" t="s">
        <v>2949</v>
      </c>
      <c r="B1361" s="46" t="s">
        <v>13</v>
      </c>
      <c r="C1361" s="46" t="s">
        <v>14</v>
      </c>
      <c r="D1361" s="47">
        <v>6208</v>
      </c>
      <c r="E1361" s="46" t="s">
        <v>2950</v>
      </c>
      <c r="F1361" s="48">
        <v>39569</v>
      </c>
      <c r="G1361" s="48">
        <v>39933</v>
      </c>
      <c r="H1361" s="46" t="s">
        <v>2039</v>
      </c>
      <c r="I1361" s="45">
        <v>77461.259999999995</v>
      </c>
      <c r="J1361" s="45">
        <v>77461.259999999995</v>
      </c>
      <c r="K1361" s="49" t="s">
        <v>2650</v>
      </c>
      <c r="L1361" s="45"/>
      <c r="M1361" s="3"/>
    </row>
    <row r="1362" spans="1:13" ht="25.5" x14ac:dyDescent="0.25">
      <c r="A1362" s="46" t="s">
        <v>2951</v>
      </c>
      <c r="B1362" s="46" t="s">
        <v>13</v>
      </c>
      <c r="C1362" s="46" t="s">
        <v>14</v>
      </c>
      <c r="D1362" s="47">
        <v>6209</v>
      </c>
      <c r="E1362" s="46" t="s">
        <v>2952</v>
      </c>
      <c r="F1362" s="48">
        <v>39426</v>
      </c>
      <c r="G1362" s="48">
        <v>39974</v>
      </c>
      <c r="H1362" s="46" t="s">
        <v>2039</v>
      </c>
      <c r="I1362" s="45">
        <v>61999.48</v>
      </c>
      <c r="J1362" s="45">
        <v>61999.48</v>
      </c>
      <c r="K1362" s="49" t="s">
        <v>2650</v>
      </c>
      <c r="L1362" s="45"/>
      <c r="M1362" s="3"/>
    </row>
    <row r="1363" spans="1:13" ht="25.5" x14ac:dyDescent="0.25">
      <c r="A1363" s="46" t="s">
        <v>2953</v>
      </c>
      <c r="B1363" s="46" t="s">
        <v>13</v>
      </c>
      <c r="C1363" s="46" t="s">
        <v>14</v>
      </c>
      <c r="D1363" s="47">
        <v>6210</v>
      </c>
      <c r="E1363" s="46" t="s">
        <v>2954</v>
      </c>
      <c r="F1363" s="48">
        <v>39508</v>
      </c>
      <c r="G1363" s="48">
        <v>39872</v>
      </c>
      <c r="H1363" s="46" t="s">
        <v>2039</v>
      </c>
      <c r="I1363" s="45">
        <v>76284.259999999995</v>
      </c>
      <c r="J1363" s="45">
        <v>76284.259999999995</v>
      </c>
      <c r="K1363" s="49" t="s">
        <v>2650</v>
      </c>
      <c r="L1363" s="45"/>
      <c r="M1363" s="3"/>
    </row>
    <row r="1364" spans="1:13" ht="38.25" x14ac:dyDescent="0.25">
      <c r="A1364" s="46" t="s">
        <v>2955</v>
      </c>
      <c r="B1364" s="46" t="s">
        <v>13</v>
      </c>
      <c r="C1364" s="46" t="s">
        <v>14</v>
      </c>
      <c r="D1364" s="47">
        <v>6211</v>
      </c>
      <c r="E1364" s="46" t="s">
        <v>2956</v>
      </c>
      <c r="F1364" s="48">
        <v>39645</v>
      </c>
      <c r="G1364" s="48">
        <v>40009</v>
      </c>
      <c r="H1364" s="46" t="s">
        <v>2039</v>
      </c>
      <c r="I1364" s="45">
        <v>74822.13</v>
      </c>
      <c r="J1364" s="45">
        <v>74822.13</v>
      </c>
      <c r="K1364" s="49" t="s">
        <v>2650</v>
      </c>
      <c r="L1364" s="45"/>
      <c r="M1364" s="3"/>
    </row>
    <row r="1365" spans="1:13" ht="38.25" x14ac:dyDescent="0.25">
      <c r="A1365" s="46" t="s">
        <v>2957</v>
      </c>
      <c r="B1365" s="46" t="s">
        <v>13</v>
      </c>
      <c r="C1365" s="46" t="s">
        <v>14</v>
      </c>
      <c r="D1365" s="47">
        <v>6212</v>
      </c>
      <c r="E1365" s="46" t="s">
        <v>2958</v>
      </c>
      <c r="F1365" s="48">
        <v>39783</v>
      </c>
      <c r="G1365" s="48">
        <v>40178</v>
      </c>
      <c r="H1365" s="46" t="s">
        <v>2039</v>
      </c>
      <c r="I1365" s="45">
        <v>55305.01</v>
      </c>
      <c r="J1365" s="45">
        <v>55305.01</v>
      </c>
      <c r="K1365" s="49" t="s">
        <v>2650</v>
      </c>
      <c r="L1365" s="45"/>
      <c r="M1365" s="3"/>
    </row>
    <row r="1366" spans="1:13" ht="38.25" x14ac:dyDescent="0.25">
      <c r="A1366" s="46" t="s">
        <v>2959</v>
      </c>
      <c r="B1366" s="46" t="s">
        <v>13</v>
      </c>
      <c r="C1366" s="46" t="s">
        <v>14</v>
      </c>
      <c r="D1366" s="47">
        <v>6213</v>
      </c>
      <c r="E1366" s="46" t="s">
        <v>2960</v>
      </c>
      <c r="F1366" s="48">
        <v>39755</v>
      </c>
      <c r="G1366" s="48">
        <v>40116</v>
      </c>
      <c r="H1366" s="46" t="s">
        <v>2039</v>
      </c>
      <c r="I1366" s="45">
        <v>68245.14</v>
      </c>
      <c r="J1366" s="45">
        <v>68245.14</v>
      </c>
      <c r="K1366" s="49" t="s">
        <v>2650</v>
      </c>
      <c r="L1366" s="45"/>
      <c r="M1366" s="3"/>
    </row>
    <row r="1367" spans="1:13" ht="25.5" x14ac:dyDescent="0.25">
      <c r="A1367" s="46" t="s">
        <v>2961</v>
      </c>
      <c r="B1367" s="46" t="s">
        <v>13</v>
      </c>
      <c r="C1367" s="46" t="s">
        <v>14</v>
      </c>
      <c r="D1367" s="47">
        <v>6215</v>
      </c>
      <c r="E1367" s="46" t="s">
        <v>2962</v>
      </c>
      <c r="F1367" s="48">
        <v>39722</v>
      </c>
      <c r="G1367" s="48">
        <v>40154</v>
      </c>
      <c r="H1367" s="46" t="s">
        <v>2039</v>
      </c>
      <c r="I1367" s="45">
        <v>80792.81</v>
      </c>
      <c r="J1367" s="45">
        <v>80792.81</v>
      </c>
      <c r="K1367" s="49" t="s">
        <v>2650</v>
      </c>
      <c r="L1367" s="45"/>
      <c r="M1367" s="3"/>
    </row>
    <row r="1368" spans="1:13" ht="38.25" x14ac:dyDescent="0.25">
      <c r="A1368" s="46" t="s">
        <v>2963</v>
      </c>
      <c r="B1368" s="46" t="s">
        <v>13</v>
      </c>
      <c r="C1368" s="46" t="s">
        <v>14</v>
      </c>
      <c r="D1368" s="47">
        <v>6216</v>
      </c>
      <c r="E1368" s="46" t="s">
        <v>2964</v>
      </c>
      <c r="F1368" s="48">
        <v>39817</v>
      </c>
      <c r="G1368" s="48">
        <v>40209</v>
      </c>
      <c r="H1368" s="46" t="s">
        <v>2039</v>
      </c>
      <c r="I1368" s="45">
        <v>70523.27</v>
      </c>
      <c r="J1368" s="45">
        <v>70523.27</v>
      </c>
      <c r="K1368" s="49" t="s">
        <v>2650</v>
      </c>
      <c r="L1368" s="45"/>
      <c r="M1368" s="3"/>
    </row>
    <row r="1369" spans="1:13" ht="25.5" x14ac:dyDescent="0.25">
      <c r="A1369" s="46" t="s">
        <v>2965</v>
      </c>
      <c r="B1369" s="46" t="s">
        <v>13</v>
      </c>
      <c r="C1369" s="46" t="s">
        <v>14</v>
      </c>
      <c r="D1369" s="47">
        <v>6217</v>
      </c>
      <c r="E1369" s="46" t="s">
        <v>2966</v>
      </c>
      <c r="F1369" s="48">
        <v>39783</v>
      </c>
      <c r="G1369" s="48">
        <v>40339</v>
      </c>
      <c r="H1369" s="46" t="s">
        <v>2039</v>
      </c>
      <c r="I1369" s="45">
        <v>87119.64</v>
      </c>
      <c r="J1369" s="45">
        <v>87119.64</v>
      </c>
      <c r="K1369" s="49" t="s">
        <v>2650</v>
      </c>
      <c r="L1369" s="45"/>
      <c r="M1369" s="3"/>
    </row>
    <row r="1370" spans="1:13" ht="38.25" x14ac:dyDescent="0.25">
      <c r="A1370" s="46" t="s">
        <v>2967</v>
      </c>
      <c r="B1370" s="46" t="s">
        <v>13</v>
      </c>
      <c r="C1370" s="46" t="s">
        <v>14</v>
      </c>
      <c r="D1370" s="47">
        <v>6218</v>
      </c>
      <c r="E1370" s="46" t="s">
        <v>2968</v>
      </c>
      <c r="F1370" s="48">
        <v>39891</v>
      </c>
      <c r="G1370" s="48">
        <v>40298</v>
      </c>
      <c r="H1370" s="46" t="s">
        <v>2039</v>
      </c>
      <c r="I1370" s="45">
        <v>58359.82</v>
      </c>
      <c r="J1370" s="45">
        <v>58359.82</v>
      </c>
      <c r="K1370" s="49" t="s">
        <v>2650</v>
      </c>
      <c r="L1370" s="45"/>
      <c r="M1370" s="3"/>
    </row>
    <row r="1371" spans="1:13" ht="25.5" x14ac:dyDescent="0.25">
      <c r="A1371" s="46" t="s">
        <v>2969</v>
      </c>
      <c r="B1371" s="46" t="s">
        <v>13</v>
      </c>
      <c r="C1371" s="46" t="s">
        <v>14</v>
      </c>
      <c r="D1371" s="47">
        <v>6219</v>
      </c>
      <c r="E1371" s="46" t="s">
        <v>2970</v>
      </c>
      <c r="F1371" s="48">
        <v>39934</v>
      </c>
      <c r="G1371" s="48">
        <v>40421</v>
      </c>
      <c r="H1371" s="46" t="s">
        <v>2039</v>
      </c>
      <c r="I1371" s="45">
        <v>41276.68</v>
      </c>
      <c r="J1371" s="45">
        <v>41276.68</v>
      </c>
      <c r="K1371" s="49" t="s">
        <v>2650</v>
      </c>
      <c r="L1371" s="45"/>
      <c r="M1371" s="3"/>
    </row>
    <row r="1372" spans="1:13" ht="25.5" x14ac:dyDescent="0.25">
      <c r="A1372" s="46" t="s">
        <v>2971</v>
      </c>
      <c r="B1372" s="46" t="s">
        <v>13</v>
      </c>
      <c r="C1372" s="46" t="s">
        <v>14</v>
      </c>
      <c r="D1372" s="47">
        <v>6220</v>
      </c>
      <c r="E1372" s="46" t="s">
        <v>2972</v>
      </c>
      <c r="F1372" s="48">
        <v>40057</v>
      </c>
      <c r="G1372" s="48">
        <v>40513</v>
      </c>
      <c r="H1372" s="46" t="s">
        <v>2039</v>
      </c>
      <c r="I1372" s="45">
        <v>41897.85</v>
      </c>
      <c r="J1372" s="45">
        <v>41897.85</v>
      </c>
      <c r="K1372" s="49" t="s">
        <v>2650</v>
      </c>
      <c r="L1372" s="45"/>
      <c r="M1372" s="3"/>
    </row>
    <row r="1373" spans="1:13" ht="25.5" x14ac:dyDescent="0.25">
      <c r="A1373" s="46" t="s">
        <v>2973</v>
      </c>
      <c r="B1373" s="46" t="s">
        <v>13</v>
      </c>
      <c r="C1373" s="46" t="s">
        <v>14</v>
      </c>
      <c r="D1373" s="47">
        <v>6221</v>
      </c>
      <c r="E1373" s="46" t="s">
        <v>2974</v>
      </c>
      <c r="F1373" s="48">
        <v>39934</v>
      </c>
      <c r="G1373" s="48">
        <v>40390</v>
      </c>
      <c r="H1373" s="46" t="s">
        <v>2039</v>
      </c>
      <c r="I1373" s="45">
        <v>89044.25</v>
      </c>
      <c r="J1373" s="45">
        <v>89044.25</v>
      </c>
      <c r="K1373" s="49" t="s">
        <v>2650</v>
      </c>
      <c r="L1373" s="45"/>
      <c r="M1373" s="3"/>
    </row>
    <row r="1374" spans="1:13" ht="38.25" x14ac:dyDescent="0.25">
      <c r="A1374" s="46" t="s">
        <v>2975</v>
      </c>
      <c r="B1374" s="46" t="s">
        <v>13</v>
      </c>
      <c r="C1374" s="46" t="s">
        <v>14</v>
      </c>
      <c r="D1374" s="47">
        <v>6222</v>
      </c>
      <c r="E1374" s="46" t="s">
        <v>2976</v>
      </c>
      <c r="F1374" s="48"/>
      <c r="G1374" s="48"/>
      <c r="H1374" s="46" t="s">
        <v>2039</v>
      </c>
      <c r="I1374" s="45">
        <v>30.32</v>
      </c>
      <c r="J1374" s="45">
        <v>30.32</v>
      </c>
      <c r="K1374" s="49" t="s">
        <v>2650</v>
      </c>
      <c r="L1374" s="45"/>
      <c r="M1374" s="3"/>
    </row>
    <row r="1375" spans="1:13" ht="25.5" x14ac:dyDescent="0.25">
      <c r="A1375" s="46" t="s">
        <v>2977</v>
      </c>
      <c r="B1375" s="46" t="s">
        <v>13</v>
      </c>
      <c r="C1375" s="46" t="s">
        <v>14</v>
      </c>
      <c r="D1375" s="47">
        <v>6223</v>
      </c>
      <c r="E1375" s="46" t="s">
        <v>2978</v>
      </c>
      <c r="F1375" s="48">
        <v>40071</v>
      </c>
      <c r="G1375" s="48">
        <v>40435</v>
      </c>
      <c r="H1375" s="46" t="s">
        <v>2039</v>
      </c>
      <c r="I1375" s="45">
        <v>68357.17</v>
      </c>
      <c r="J1375" s="45">
        <v>20119.669999999998</v>
      </c>
      <c r="K1375" s="49" t="s">
        <v>2650</v>
      </c>
      <c r="L1375" s="45"/>
      <c r="M1375" s="3"/>
    </row>
    <row r="1376" spans="1:13" ht="25.5" x14ac:dyDescent="0.25">
      <c r="A1376" s="46" t="s">
        <v>2979</v>
      </c>
      <c r="B1376" s="46" t="s">
        <v>13</v>
      </c>
      <c r="C1376" s="46" t="s">
        <v>14</v>
      </c>
      <c r="D1376" s="47">
        <v>6224</v>
      </c>
      <c r="E1376" s="46" t="s">
        <v>2980</v>
      </c>
      <c r="F1376" s="48">
        <v>40057</v>
      </c>
      <c r="G1376" s="48">
        <v>40497</v>
      </c>
      <c r="H1376" s="46" t="s">
        <v>2039</v>
      </c>
      <c r="I1376" s="45">
        <v>44166.21</v>
      </c>
      <c r="J1376" s="45">
        <v>68357.17</v>
      </c>
      <c r="K1376" s="49" t="s">
        <v>2650</v>
      </c>
      <c r="L1376" s="45"/>
      <c r="M1376" s="3"/>
    </row>
    <row r="1377" spans="1:13" ht="38.25" x14ac:dyDescent="0.25">
      <c r="A1377" s="46" t="s">
        <v>2981</v>
      </c>
      <c r="B1377" s="46" t="s">
        <v>13</v>
      </c>
      <c r="C1377" s="46" t="s">
        <v>14</v>
      </c>
      <c r="D1377" s="47">
        <v>6225</v>
      </c>
      <c r="E1377" s="46" t="s">
        <v>2982</v>
      </c>
      <c r="F1377" s="48">
        <v>40140</v>
      </c>
      <c r="G1377" s="48">
        <v>40504</v>
      </c>
      <c r="H1377" s="46" t="s">
        <v>2039</v>
      </c>
      <c r="I1377" s="45">
        <v>45478.35</v>
      </c>
      <c r="J1377" s="45">
        <v>45478.35</v>
      </c>
      <c r="K1377" s="49" t="s">
        <v>2650</v>
      </c>
      <c r="L1377" s="45"/>
      <c r="M1377" s="3"/>
    </row>
    <row r="1378" spans="1:13" ht="38.25" x14ac:dyDescent="0.25">
      <c r="A1378" s="46" t="s">
        <v>2983</v>
      </c>
      <c r="B1378" s="46" t="s">
        <v>13</v>
      </c>
      <c r="C1378" s="46" t="s">
        <v>14</v>
      </c>
      <c r="D1378" s="47">
        <v>6226</v>
      </c>
      <c r="E1378" s="46" t="s">
        <v>2984</v>
      </c>
      <c r="F1378" s="48"/>
      <c r="G1378" s="48"/>
      <c r="H1378" s="46" t="s">
        <v>2039</v>
      </c>
      <c r="I1378" s="45">
        <v>9014.1</v>
      </c>
      <c r="J1378" s="45">
        <v>9014.1</v>
      </c>
      <c r="K1378" s="49" t="s">
        <v>2650</v>
      </c>
      <c r="L1378" s="45"/>
      <c r="M1378" s="3"/>
    </row>
    <row r="1379" spans="1:13" ht="38.25" x14ac:dyDescent="0.25">
      <c r="A1379" s="46" t="s">
        <v>2985</v>
      </c>
      <c r="B1379" s="46" t="s">
        <v>13</v>
      </c>
      <c r="C1379" s="46" t="s">
        <v>14</v>
      </c>
      <c r="D1379" s="47">
        <v>6227</v>
      </c>
      <c r="E1379" s="46" t="s">
        <v>2986</v>
      </c>
      <c r="F1379" s="48">
        <v>40148</v>
      </c>
      <c r="G1379" s="48">
        <v>40512</v>
      </c>
      <c r="H1379" s="46" t="s">
        <v>2039</v>
      </c>
      <c r="I1379" s="45">
        <v>44201.25</v>
      </c>
      <c r="J1379" s="45">
        <v>44201.25</v>
      </c>
      <c r="K1379" s="49" t="s">
        <v>2650</v>
      </c>
      <c r="L1379" s="45"/>
      <c r="M1379" s="3"/>
    </row>
    <row r="1380" spans="1:13" ht="25.5" x14ac:dyDescent="0.25">
      <c r="A1380" s="46" t="s">
        <v>2987</v>
      </c>
      <c r="B1380" s="46" t="s">
        <v>13</v>
      </c>
      <c r="C1380" s="46" t="s">
        <v>14</v>
      </c>
      <c r="D1380" s="47">
        <v>6228</v>
      </c>
      <c r="E1380" s="46" t="s">
        <v>2988</v>
      </c>
      <c r="F1380" s="48">
        <v>40118</v>
      </c>
      <c r="G1380" s="48">
        <v>40663</v>
      </c>
      <c r="H1380" s="46" t="s">
        <v>2039</v>
      </c>
      <c r="I1380" s="45">
        <v>46460.72</v>
      </c>
      <c r="J1380" s="45">
        <v>46460.72</v>
      </c>
      <c r="K1380" s="49" t="s">
        <v>2650</v>
      </c>
      <c r="L1380" s="45"/>
      <c r="M1380" s="3"/>
    </row>
    <row r="1381" spans="1:13" ht="25.5" x14ac:dyDescent="0.25">
      <c r="A1381" s="46" t="s">
        <v>2989</v>
      </c>
      <c r="B1381" s="46" t="s">
        <v>13</v>
      </c>
      <c r="C1381" s="46" t="s">
        <v>14</v>
      </c>
      <c r="D1381" s="47">
        <v>6229</v>
      </c>
      <c r="E1381" s="46" t="s">
        <v>2990</v>
      </c>
      <c r="F1381" s="48">
        <v>40148</v>
      </c>
      <c r="G1381" s="48">
        <v>40602</v>
      </c>
      <c r="H1381" s="46" t="s">
        <v>2039</v>
      </c>
      <c r="I1381" s="45">
        <v>57704.59</v>
      </c>
      <c r="J1381" s="45">
        <v>57704.59</v>
      </c>
      <c r="K1381" s="49" t="s">
        <v>2650</v>
      </c>
      <c r="L1381" s="45"/>
      <c r="M1381" s="3"/>
    </row>
    <row r="1382" spans="1:13" ht="25.5" x14ac:dyDescent="0.25">
      <c r="A1382" s="46" t="s">
        <v>2991</v>
      </c>
      <c r="B1382" s="46" t="s">
        <v>13</v>
      </c>
      <c r="C1382" s="46" t="s">
        <v>14</v>
      </c>
      <c r="D1382" s="47">
        <v>6230</v>
      </c>
      <c r="E1382" s="46" t="s">
        <v>2992</v>
      </c>
      <c r="F1382" s="48">
        <v>39234</v>
      </c>
      <c r="G1382" s="48">
        <v>39660</v>
      </c>
      <c r="H1382" s="46" t="s">
        <v>2039</v>
      </c>
      <c r="I1382" s="45">
        <v>54002.19</v>
      </c>
      <c r="J1382" s="45">
        <v>54002.19</v>
      </c>
      <c r="K1382" s="49" t="s">
        <v>2650</v>
      </c>
      <c r="L1382" s="45"/>
      <c r="M1382" s="3"/>
    </row>
    <row r="1383" spans="1:13" ht="25.5" x14ac:dyDescent="0.25">
      <c r="A1383" s="46" t="s">
        <v>2993</v>
      </c>
      <c r="B1383" s="46" t="s">
        <v>13</v>
      </c>
      <c r="C1383" s="46" t="s">
        <v>14</v>
      </c>
      <c r="D1383" s="47">
        <v>6231</v>
      </c>
      <c r="E1383" s="46" t="s">
        <v>2994</v>
      </c>
      <c r="F1383" s="48">
        <v>39188</v>
      </c>
      <c r="G1383" s="48">
        <v>39645</v>
      </c>
      <c r="H1383" s="46" t="s">
        <v>2039</v>
      </c>
      <c r="I1383" s="45">
        <v>83112.990000000005</v>
      </c>
      <c r="J1383" s="45">
        <v>83112.990000000005</v>
      </c>
      <c r="K1383" s="49" t="s">
        <v>2650</v>
      </c>
      <c r="L1383" s="45"/>
      <c r="M1383" s="3"/>
    </row>
    <row r="1384" spans="1:13" ht="38.25" x14ac:dyDescent="0.25">
      <c r="A1384" s="46" t="s">
        <v>2995</v>
      </c>
      <c r="B1384" s="46" t="s">
        <v>13</v>
      </c>
      <c r="C1384" s="46" t="s">
        <v>14</v>
      </c>
      <c r="D1384" s="47">
        <v>6232</v>
      </c>
      <c r="E1384" s="46" t="s">
        <v>2996</v>
      </c>
      <c r="F1384" s="48">
        <v>39356</v>
      </c>
      <c r="G1384" s="48">
        <v>39721</v>
      </c>
      <c r="H1384" s="46" t="s">
        <v>2039</v>
      </c>
      <c r="I1384" s="45">
        <v>73701.08</v>
      </c>
      <c r="J1384" s="45">
        <v>73701.08</v>
      </c>
      <c r="K1384" s="49" t="s">
        <v>2650</v>
      </c>
      <c r="L1384" s="45"/>
      <c r="M1384" s="3"/>
    </row>
    <row r="1385" spans="1:13" ht="25.5" x14ac:dyDescent="0.25">
      <c r="A1385" s="46" t="s">
        <v>2997</v>
      </c>
      <c r="B1385" s="46" t="s">
        <v>13</v>
      </c>
      <c r="C1385" s="46" t="s">
        <v>14</v>
      </c>
      <c r="D1385" s="47">
        <v>6233</v>
      </c>
      <c r="E1385" s="46" t="s">
        <v>2998</v>
      </c>
      <c r="F1385" s="48">
        <v>39387</v>
      </c>
      <c r="G1385" s="48">
        <v>39752</v>
      </c>
      <c r="H1385" s="46" t="s">
        <v>2039</v>
      </c>
      <c r="I1385" s="45">
        <v>84084.38</v>
      </c>
      <c r="J1385" s="45">
        <v>84084.38</v>
      </c>
      <c r="K1385" s="49" t="s">
        <v>2650</v>
      </c>
      <c r="L1385" s="45"/>
      <c r="M1385" s="3"/>
    </row>
    <row r="1386" spans="1:13" ht="25.5" x14ac:dyDescent="0.25">
      <c r="A1386" s="46" t="s">
        <v>2999</v>
      </c>
      <c r="B1386" s="46" t="s">
        <v>13</v>
      </c>
      <c r="C1386" s="46" t="s">
        <v>14</v>
      </c>
      <c r="D1386" s="47">
        <v>6234</v>
      </c>
      <c r="E1386" s="46" t="s">
        <v>3000</v>
      </c>
      <c r="F1386" s="48">
        <v>39454</v>
      </c>
      <c r="G1386" s="48">
        <v>39820</v>
      </c>
      <c r="H1386" s="46" t="s">
        <v>2039</v>
      </c>
      <c r="I1386" s="45">
        <v>54684.28</v>
      </c>
      <c r="J1386" s="45">
        <v>54684.28</v>
      </c>
      <c r="K1386" s="49" t="s">
        <v>2650</v>
      </c>
      <c r="L1386" s="45"/>
      <c r="M1386" s="3"/>
    </row>
    <row r="1387" spans="1:13" ht="25.5" x14ac:dyDescent="0.25">
      <c r="A1387" s="46" t="s">
        <v>3001</v>
      </c>
      <c r="B1387" s="46" t="s">
        <v>13</v>
      </c>
      <c r="C1387" s="46" t="s">
        <v>14</v>
      </c>
      <c r="D1387" s="47">
        <v>6235</v>
      </c>
      <c r="E1387" s="46" t="s">
        <v>3002</v>
      </c>
      <c r="F1387" s="48">
        <v>39482</v>
      </c>
      <c r="G1387" s="48">
        <v>39844</v>
      </c>
      <c r="H1387" s="46" t="s">
        <v>2039</v>
      </c>
      <c r="I1387" s="45">
        <v>68656.210000000006</v>
      </c>
      <c r="J1387" s="45">
        <v>68656.210000000006</v>
      </c>
      <c r="K1387" s="49" t="s">
        <v>2650</v>
      </c>
      <c r="L1387" s="45"/>
      <c r="M1387" s="3"/>
    </row>
    <row r="1388" spans="1:13" ht="38.25" x14ac:dyDescent="0.25">
      <c r="A1388" s="46" t="s">
        <v>3003</v>
      </c>
      <c r="B1388" s="46" t="s">
        <v>13</v>
      </c>
      <c r="C1388" s="46" t="s">
        <v>14</v>
      </c>
      <c r="D1388" s="47">
        <v>6236</v>
      </c>
      <c r="E1388" s="46" t="s">
        <v>3004</v>
      </c>
      <c r="F1388" s="48">
        <v>39569</v>
      </c>
      <c r="G1388" s="48">
        <v>39912</v>
      </c>
      <c r="H1388" s="46" t="s">
        <v>2039</v>
      </c>
      <c r="I1388" s="45">
        <v>81968.88</v>
      </c>
      <c r="J1388" s="45">
        <v>81968.88</v>
      </c>
      <c r="K1388" s="49" t="s">
        <v>2650</v>
      </c>
      <c r="L1388" s="45"/>
      <c r="M1388" s="3"/>
    </row>
    <row r="1389" spans="1:13" ht="25.5" x14ac:dyDescent="0.25">
      <c r="A1389" s="46" t="s">
        <v>3005</v>
      </c>
      <c r="B1389" s="46" t="s">
        <v>13</v>
      </c>
      <c r="C1389" s="46" t="s">
        <v>14</v>
      </c>
      <c r="D1389" s="47">
        <v>6237</v>
      </c>
      <c r="E1389" s="46" t="s">
        <v>3006</v>
      </c>
      <c r="F1389" s="48">
        <v>39326</v>
      </c>
      <c r="G1389" s="48">
        <v>40602</v>
      </c>
      <c r="H1389" s="46" t="s">
        <v>2039</v>
      </c>
      <c r="I1389" s="45">
        <v>256400.92</v>
      </c>
      <c r="J1389" s="45">
        <v>256400.92</v>
      </c>
      <c r="K1389" s="49" t="s">
        <v>2650</v>
      </c>
      <c r="L1389" s="45"/>
      <c r="M1389" s="3"/>
    </row>
    <row r="1390" spans="1:13" ht="25.5" x14ac:dyDescent="0.25">
      <c r="A1390" s="46" t="s">
        <v>3007</v>
      </c>
      <c r="B1390" s="46" t="s">
        <v>13</v>
      </c>
      <c r="C1390" s="46" t="s">
        <v>14</v>
      </c>
      <c r="D1390" s="47">
        <v>6238</v>
      </c>
      <c r="E1390" s="46" t="s">
        <v>3008</v>
      </c>
      <c r="F1390" s="48">
        <v>39630</v>
      </c>
      <c r="G1390" s="48">
        <v>40724</v>
      </c>
      <c r="H1390" s="46" t="s">
        <v>2039</v>
      </c>
      <c r="I1390" s="45">
        <v>170386</v>
      </c>
      <c r="J1390" s="45">
        <v>170386</v>
      </c>
      <c r="K1390" s="49" t="s">
        <v>2650</v>
      </c>
      <c r="L1390" s="45"/>
      <c r="M1390" s="3"/>
    </row>
    <row r="1391" spans="1:13" ht="38.25" x14ac:dyDescent="0.25">
      <c r="A1391" s="46" t="s">
        <v>3009</v>
      </c>
      <c r="B1391" s="46" t="s">
        <v>13</v>
      </c>
      <c r="C1391" s="46" t="s">
        <v>14</v>
      </c>
      <c r="D1391" s="47">
        <v>6239</v>
      </c>
      <c r="E1391" s="46" t="s">
        <v>3010</v>
      </c>
      <c r="F1391" s="48">
        <v>39722</v>
      </c>
      <c r="G1391" s="48">
        <v>40451</v>
      </c>
      <c r="H1391" s="46" t="s">
        <v>2039</v>
      </c>
      <c r="I1391" s="45">
        <v>231276.28</v>
      </c>
      <c r="J1391" s="45">
        <v>231276.28</v>
      </c>
      <c r="K1391" s="49" t="s">
        <v>2650</v>
      </c>
      <c r="L1391" s="45"/>
      <c r="M1391" s="3"/>
    </row>
    <row r="1392" spans="1:13" ht="38.25" x14ac:dyDescent="0.25">
      <c r="A1392" s="46" t="s">
        <v>3011</v>
      </c>
      <c r="B1392" s="46" t="s">
        <v>13</v>
      </c>
      <c r="C1392" s="46" t="s">
        <v>14</v>
      </c>
      <c r="D1392" s="47">
        <v>6240</v>
      </c>
      <c r="E1392" s="46" t="s">
        <v>3012</v>
      </c>
      <c r="F1392" s="48">
        <v>39722</v>
      </c>
      <c r="G1392" s="48">
        <v>40451</v>
      </c>
      <c r="H1392" s="46" t="s">
        <v>2039</v>
      </c>
      <c r="I1392" s="45">
        <v>324311.53999999998</v>
      </c>
      <c r="J1392" s="45">
        <v>324311.53999999998</v>
      </c>
      <c r="K1392" s="49" t="s">
        <v>2650</v>
      </c>
      <c r="L1392" s="45"/>
      <c r="M1392" s="3"/>
    </row>
    <row r="1393" spans="1:13" ht="25.5" x14ac:dyDescent="0.25">
      <c r="A1393" s="46" t="s">
        <v>3013</v>
      </c>
      <c r="B1393" s="46" t="s">
        <v>13</v>
      </c>
      <c r="C1393" s="46" t="s">
        <v>14</v>
      </c>
      <c r="D1393" s="47">
        <v>6241</v>
      </c>
      <c r="E1393" s="46" t="s">
        <v>3014</v>
      </c>
      <c r="F1393" s="48">
        <v>39845</v>
      </c>
      <c r="G1393" s="48">
        <v>40939</v>
      </c>
      <c r="H1393" s="46" t="s">
        <v>2039</v>
      </c>
      <c r="I1393" s="45">
        <v>246766.16</v>
      </c>
      <c r="J1393" s="45">
        <v>246766.16</v>
      </c>
      <c r="K1393" s="49" t="s">
        <v>2650</v>
      </c>
      <c r="L1393" s="45"/>
      <c r="M1393" s="3"/>
    </row>
    <row r="1394" spans="1:13" ht="25.5" x14ac:dyDescent="0.25">
      <c r="A1394" s="46" t="s">
        <v>3015</v>
      </c>
      <c r="B1394" s="46" t="s">
        <v>13</v>
      </c>
      <c r="C1394" s="46" t="s">
        <v>14</v>
      </c>
      <c r="D1394" s="47">
        <v>6242</v>
      </c>
      <c r="E1394" s="46" t="s">
        <v>3016</v>
      </c>
      <c r="F1394" s="48">
        <v>40118</v>
      </c>
      <c r="G1394" s="48">
        <v>40907</v>
      </c>
      <c r="H1394" s="46" t="s">
        <v>2039</v>
      </c>
      <c r="I1394" s="45">
        <f>226402.58+30130.43</f>
        <v>256533.00999999998</v>
      </c>
      <c r="J1394" s="45">
        <f>226402.58+30130.43</f>
        <v>256533.00999999998</v>
      </c>
      <c r="K1394" s="49" t="s">
        <v>2650</v>
      </c>
      <c r="L1394" s="45"/>
      <c r="M1394" s="3"/>
    </row>
    <row r="1395" spans="1:13" ht="38.25" x14ac:dyDescent="0.25">
      <c r="A1395" s="46" t="s">
        <v>3017</v>
      </c>
      <c r="B1395" s="46" t="s">
        <v>13</v>
      </c>
      <c r="C1395" s="46" t="s">
        <v>14</v>
      </c>
      <c r="D1395" s="47">
        <v>6243</v>
      </c>
      <c r="E1395" s="46" t="s">
        <v>3018</v>
      </c>
      <c r="F1395" s="48">
        <v>40057</v>
      </c>
      <c r="G1395" s="48">
        <v>40848</v>
      </c>
      <c r="H1395" s="46" t="s">
        <v>2039</v>
      </c>
      <c r="I1395" s="45">
        <f>272030.31+15774.31</f>
        <v>287804.62</v>
      </c>
      <c r="J1395" s="45">
        <f>272030.31+15774.31</f>
        <v>287804.62</v>
      </c>
      <c r="K1395" s="49" t="s">
        <v>2650</v>
      </c>
      <c r="L1395" s="45"/>
      <c r="M1395" s="3"/>
    </row>
    <row r="1396" spans="1:13" x14ac:dyDescent="0.25">
      <c r="A1396" s="46" t="s">
        <v>3019</v>
      </c>
      <c r="B1396" s="46" t="s">
        <v>13</v>
      </c>
      <c r="C1396" s="46" t="s">
        <v>14</v>
      </c>
      <c r="D1396" s="47">
        <v>6516</v>
      </c>
      <c r="E1396" s="46" t="s">
        <v>3020</v>
      </c>
      <c r="F1396" s="48">
        <v>39326</v>
      </c>
      <c r="G1396" s="48">
        <v>40515</v>
      </c>
      <c r="H1396" s="46" t="s">
        <v>2039</v>
      </c>
      <c r="I1396" s="45">
        <v>38433.82</v>
      </c>
      <c r="J1396" s="45">
        <v>38433.82</v>
      </c>
      <c r="K1396" s="49" t="s">
        <v>2650</v>
      </c>
      <c r="L1396" s="45"/>
      <c r="M1396" s="3"/>
    </row>
    <row r="1397" spans="1:13" x14ac:dyDescent="0.25">
      <c r="A1397" s="46" t="s">
        <v>3021</v>
      </c>
      <c r="B1397" s="46" t="s">
        <v>13</v>
      </c>
      <c r="C1397" s="46" t="s">
        <v>14</v>
      </c>
      <c r="D1397" s="47">
        <v>6517</v>
      </c>
      <c r="E1397" s="46" t="s">
        <v>3022</v>
      </c>
      <c r="F1397" s="48">
        <v>40269</v>
      </c>
      <c r="G1397" s="48">
        <v>40632</v>
      </c>
      <c r="H1397" s="46" t="s">
        <v>2039</v>
      </c>
      <c r="I1397" s="45">
        <v>63576.7</v>
      </c>
      <c r="J1397" s="45">
        <v>63576.7</v>
      </c>
      <c r="K1397" s="49" t="s">
        <v>2650</v>
      </c>
      <c r="L1397" s="45"/>
      <c r="M1397" s="3"/>
    </row>
    <row r="1398" spans="1:13" x14ac:dyDescent="0.25">
      <c r="A1398" s="46" t="s">
        <v>3023</v>
      </c>
      <c r="B1398" s="46" t="s">
        <v>13</v>
      </c>
      <c r="C1398" s="46" t="s">
        <v>14</v>
      </c>
      <c r="D1398" s="47">
        <v>6518</v>
      </c>
      <c r="E1398" s="46" t="s">
        <v>3024</v>
      </c>
      <c r="F1398" s="48">
        <v>40269</v>
      </c>
      <c r="G1398" s="48">
        <v>40663</v>
      </c>
      <c r="H1398" s="46" t="s">
        <v>2039</v>
      </c>
      <c r="I1398" s="45">
        <v>49577.79</v>
      </c>
      <c r="J1398" s="45">
        <v>49577.79</v>
      </c>
      <c r="K1398" s="49" t="s">
        <v>2650</v>
      </c>
      <c r="L1398" s="45"/>
      <c r="M1398" s="3"/>
    </row>
    <row r="1399" spans="1:13" ht="25.5" x14ac:dyDescent="0.25">
      <c r="A1399" s="46" t="s">
        <v>3025</v>
      </c>
      <c r="B1399" s="46" t="s">
        <v>13</v>
      </c>
      <c r="C1399" s="46" t="s">
        <v>14</v>
      </c>
      <c r="D1399" s="47">
        <v>6544</v>
      </c>
      <c r="E1399" s="46" t="s">
        <v>3026</v>
      </c>
      <c r="F1399" s="48">
        <v>40269</v>
      </c>
      <c r="G1399" s="48">
        <v>40663</v>
      </c>
      <c r="H1399" s="46" t="s">
        <v>2039</v>
      </c>
      <c r="I1399" s="45">
        <v>58840.03</v>
      </c>
      <c r="J1399" s="45">
        <v>56840.03</v>
      </c>
      <c r="K1399" s="49" t="s">
        <v>2650</v>
      </c>
      <c r="L1399" s="45"/>
      <c r="M1399" s="3"/>
    </row>
    <row r="1400" spans="1:13" ht="25.5" x14ac:dyDescent="0.25">
      <c r="A1400" s="46" t="s">
        <v>3027</v>
      </c>
      <c r="B1400" s="46" t="s">
        <v>13</v>
      </c>
      <c r="C1400" s="46" t="s">
        <v>14</v>
      </c>
      <c r="D1400" s="47">
        <v>6545</v>
      </c>
      <c r="E1400" s="46" t="s">
        <v>3028</v>
      </c>
      <c r="F1400" s="48">
        <v>40269</v>
      </c>
      <c r="G1400" s="48">
        <v>40663</v>
      </c>
      <c r="H1400" s="46" t="s">
        <v>2039</v>
      </c>
      <c r="I1400" s="45">
        <f>98056.5+17054.16</f>
        <v>115110.66</v>
      </c>
      <c r="J1400" s="45">
        <f>98056.55+17054.16</f>
        <v>115110.71</v>
      </c>
      <c r="K1400" s="49" t="s">
        <v>2650</v>
      </c>
      <c r="L1400" s="45"/>
      <c r="M1400" s="3"/>
    </row>
    <row r="1401" spans="1:13" ht="25.5" x14ac:dyDescent="0.25">
      <c r="A1401" s="46" t="s">
        <v>3029</v>
      </c>
      <c r="B1401" s="46" t="s">
        <v>13</v>
      </c>
      <c r="C1401" s="46" t="s">
        <v>14</v>
      </c>
      <c r="D1401" s="47">
        <v>8483</v>
      </c>
      <c r="E1401" s="46" t="s">
        <v>3030</v>
      </c>
      <c r="F1401" s="48">
        <v>40299</v>
      </c>
      <c r="G1401" s="48">
        <v>41394</v>
      </c>
      <c r="H1401" s="46" t="s">
        <v>2039</v>
      </c>
      <c r="I1401" s="45">
        <f>113641.45+38913.64</f>
        <v>152555.09</v>
      </c>
      <c r="J1401" s="45">
        <f>113641.45+38913.64</f>
        <v>152555.09</v>
      </c>
      <c r="K1401" s="49" t="s">
        <v>2650</v>
      </c>
      <c r="L1401" s="45"/>
      <c r="M1401" s="3"/>
    </row>
    <row r="1402" spans="1:13" x14ac:dyDescent="0.25">
      <c r="A1402" s="46" t="s">
        <v>3031</v>
      </c>
      <c r="B1402" s="46" t="s">
        <v>13</v>
      </c>
      <c r="C1402" s="46" t="s">
        <v>14</v>
      </c>
      <c r="D1402" s="47">
        <v>8484</v>
      </c>
      <c r="E1402" s="46" t="s">
        <v>3032</v>
      </c>
      <c r="F1402" s="48">
        <v>40238</v>
      </c>
      <c r="G1402" s="48">
        <v>40516</v>
      </c>
      <c r="H1402" s="46" t="s">
        <v>2039</v>
      </c>
      <c r="I1402" s="45">
        <v>54316.71</v>
      </c>
      <c r="J1402" s="45">
        <v>54316.71</v>
      </c>
      <c r="K1402" s="49" t="s">
        <v>2650</v>
      </c>
      <c r="L1402" s="45"/>
      <c r="M1402" s="3"/>
    </row>
    <row r="1403" spans="1:13" x14ac:dyDescent="0.25">
      <c r="A1403" s="46" t="s">
        <v>3033</v>
      </c>
      <c r="B1403" s="46" t="s">
        <v>13</v>
      </c>
      <c r="C1403" s="46" t="s">
        <v>14</v>
      </c>
      <c r="D1403" s="47">
        <v>11196</v>
      </c>
      <c r="E1403" s="46" t="s">
        <v>3034</v>
      </c>
      <c r="F1403" s="48">
        <v>40575</v>
      </c>
      <c r="G1403" s="48">
        <v>41222</v>
      </c>
      <c r="H1403" s="46" t="s">
        <v>2039</v>
      </c>
      <c r="I1403" s="45">
        <f>79703.62+145003.85</f>
        <v>224707.47</v>
      </c>
      <c r="J1403" s="45">
        <f>79703.62+145003.85</f>
        <v>224707.47</v>
      </c>
      <c r="K1403" s="49" t="s">
        <v>2650</v>
      </c>
      <c r="L1403" s="45"/>
      <c r="M1403" s="3"/>
    </row>
    <row r="1404" spans="1:13" ht="25.5" x14ac:dyDescent="0.25">
      <c r="A1404" s="46" t="s">
        <v>3035</v>
      </c>
      <c r="B1404" s="46" t="s">
        <v>13</v>
      </c>
      <c r="C1404" s="46" t="s">
        <v>14</v>
      </c>
      <c r="D1404" s="47">
        <v>11197</v>
      </c>
      <c r="E1404" s="46" t="s">
        <v>3036</v>
      </c>
      <c r="F1404" s="48">
        <v>40575</v>
      </c>
      <c r="G1404" s="48">
        <v>41075</v>
      </c>
      <c r="H1404" s="46" t="s">
        <v>2039</v>
      </c>
      <c r="I1404" s="45">
        <v>38601.65</v>
      </c>
      <c r="J1404" s="45">
        <v>38601.65</v>
      </c>
      <c r="K1404" s="49" t="s">
        <v>2650</v>
      </c>
      <c r="L1404" s="45"/>
      <c r="M1404" s="3"/>
    </row>
    <row r="1405" spans="1:13" ht="25.5" x14ac:dyDescent="0.25">
      <c r="A1405" s="46" t="s">
        <v>3037</v>
      </c>
      <c r="B1405" s="46" t="s">
        <v>13</v>
      </c>
      <c r="C1405" s="46" t="s">
        <v>14</v>
      </c>
      <c r="D1405" s="47">
        <v>11198</v>
      </c>
      <c r="E1405" s="46" t="s">
        <v>3038</v>
      </c>
      <c r="F1405" s="48">
        <v>40787</v>
      </c>
      <c r="G1405" s="48">
        <v>41184</v>
      </c>
      <c r="H1405" s="46" t="s">
        <v>2039</v>
      </c>
      <c r="I1405" s="45">
        <f>10568.16+53464.79</f>
        <v>64032.95</v>
      </c>
      <c r="J1405" s="45">
        <f>10568.16+53464.79</f>
        <v>64032.95</v>
      </c>
      <c r="K1405" s="49" t="s">
        <v>2650</v>
      </c>
      <c r="L1405" s="45"/>
      <c r="M1405" s="3"/>
    </row>
    <row r="1406" spans="1:13" ht="38.25" x14ac:dyDescent="0.25">
      <c r="A1406" s="46" t="s">
        <v>3039</v>
      </c>
      <c r="B1406" s="46" t="s">
        <v>13</v>
      </c>
      <c r="C1406" s="46" t="s">
        <v>14</v>
      </c>
      <c r="D1406" s="47">
        <v>11256</v>
      </c>
      <c r="E1406" s="46" t="s">
        <v>3039</v>
      </c>
      <c r="F1406" s="48">
        <v>40623</v>
      </c>
      <c r="G1406" s="48">
        <v>41049</v>
      </c>
      <c r="H1406" s="46" t="s">
        <v>2039</v>
      </c>
      <c r="I1406" s="45">
        <f>52809.52+39314.69</f>
        <v>92124.209999999992</v>
      </c>
      <c r="J1406" s="45">
        <f>52809.52+39314.69</f>
        <v>92124.209999999992</v>
      </c>
      <c r="K1406" s="49" t="s">
        <v>2650</v>
      </c>
      <c r="L1406" s="45"/>
      <c r="M1406" s="3"/>
    </row>
    <row r="1407" spans="1:13" ht="38.25" x14ac:dyDescent="0.25">
      <c r="A1407" s="46" t="s">
        <v>3040</v>
      </c>
      <c r="B1407" s="46" t="s">
        <v>13</v>
      </c>
      <c r="C1407" s="46" t="s">
        <v>14</v>
      </c>
      <c r="D1407" s="47">
        <v>11257</v>
      </c>
      <c r="E1407" s="46" t="s">
        <v>3040</v>
      </c>
      <c r="F1407" s="48">
        <v>40623</v>
      </c>
      <c r="G1407" s="48">
        <v>41049</v>
      </c>
      <c r="H1407" s="46" t="s">
        <v>2039</v>
      </c>
      <c r="I1407" s="45">
        <f>50882.82+25622.94</f>
        <v>76505.759999999995</v>
      </c>
      <c r="J1407" s="45">
        <f>50882.82+25622.94</f>
        <v>76505.759999999995</v>
      </c>
      <c r="K1407" s="49" t="s">
        <v>2650</v>
      </c>
      <c r="L1407" s="45"/>
      <c r="M1407" s="3"/>
    </row>
    <row r="1408" spans="1:13" ht="38.25" x14ac:dyDescent="0.25">
      <c r="A1408" s="46" t="s">
        <v>3041</v>
      </c>
      <c r="B1408" s="46" t="s">
        <v>13</v>
      </c>
      <c r="C1408" s="46" t="s">
        <v>14</v>
      </c>
      <c r="D1408" s="47">
        <v>11258</v>
      </c>
      <c r="E1408" s="46" t="s">
        <v>3041</v>
      </c>
      <c r="F1408" s="48">
        <v>40623</v>
      </c>
      <c r="G1408" s="48">
        <v>41049</v>
      </c>
      <c r="H1408" s="46" t="s">
        <v>2039</v>
      </c>
      <c r="I1408" s="45">
        <f>50261.14+29691.59</f>
        <v>79952.73</v>
      </c>
      <c r="J1408" s="45">
        <f>50261.14+23691.59</f>
        <v>73952.73</v>
      </c>
      <c r="K1408" s="49" t="s">
        <v>2650</v>
      </c>
      <c r="L1408" s="45"/>
      <c r="M1408" s="3"/>
    </row>
    <row r="1409" spans="1:60" x14ac:dyDescent="0.25">
      <c r="A1409" s="46" t="s">
        <v>3042</v>
      </c>
      <c r="B1409" s="46" t="s">
        <v>13</v>
      </c>
      <c r="C1409" s="46" t="s">
        <v>14</v>
      </c>
      <c r="D1409" s="47">
        <v>11259</v>
      </c>
      <c r="E1409" s="46" t="s">
        <v>3042</v>
      </c>
      <c r="F1409" s="48">
        <v>40623</v>
      </c>
      <c r="G1409" s="48">
        <v>41049</v>
      </c>
      <c r="H1409" s="46" t="s">
        <v>2039</v>
      </c>
      <c r="I1409" s="45">
        <v>27867.88</v>
      </c>
      <c r="J1409" s="45">
        <v>27867.88</v>
      </c>
      <c r="K1409" s="49" t="s">
        <v>2650</v>
      </c>
      <c r="L1409" s="45"/>
      <c r="M1409" s="3"/>
    </row>
    <row r="1410" spans="1:60" ht="25.5" x14ac:dyDescent="0.25">
      <c r="A1410" s="46" t="s">
        <v>3043</v>
      </c>
      <c r="B1410" s="46" t="s">
        <v>13</v>
      </c>
      <c r="C1410" s="46" t="s">
        <v>14</v>
      </c>
      <c r="D1410" s="47">
        <v>11260</v>
      </c>
      <c r="E1410" s="46" t="s">
        <v>3043</v>
      </c>
      <c r="F1410" s="48">
        <v>40623</v>
      </c>
      <c r="G1410" s="48">
        <v>41049</v>
      </c>
      <c r="H1410" s="46" t="s">
        <v>2039</v>
      </c>
      <c r="I1410" s="45">
        <f>19380.14+55339.52</f>
        <v>74719.66</v>
      </c>
      <c r="J1410" s="45">
        <f>19380.14+55339.52</f>
        <v>74719.66</v>
      </c>
      <c r="K1410" s="49" t="s">
        <v>2650</v>
      </c>
      <c r="L1410" s="45"/>
      <c r="M1410" s="3"/>
    </row>
    <row r="1411" spans="1:60" ht="25.5" x14ac:dyDescent="0.25">
      <c r="A1411" s="46" t="s">
        <v>3044</v>
      </c>
      <c r="B1411" s="46" t="s">
        <v>13</v>
      </c>
      <c r="C1411" s="46" t="s">
        <v>14</v>
      </c>
      <c r="D1411" s="47">
        <v>11261</v>
      </c>
      <c r="E1411" s="46" t="s">
        <v>3044</v>
      </c>
      <c r="F1411" s="48">
        <v>40623</v>
      </c>
      <c r="G1411" s="48">
        <v>41049</v>
      </c>
      <c r="H1411" s="46" t="s">
        <v>2039</v>
      </c>
      <c r="I1411" s="45">
        <f>33143.61+35673.28</f>
        <v>68816.89</v>
      </c>
      <c r="J1411" s="45">
        <f>33143.61+35673.28</f>
        <v>68816.89</v>
      </c>
      <c r="K1411" s="49" t="s">
        <v>2650</v>
      </c>
      <c r="L1411" s="45"/>
      <c r="M1411" s="3"/>
    </row>
    <row r="1412" spans="1:60" ht="25.5" x14ac:dyDescent="0.25">
      <c r="A1412" s="46" t="s">
        <v>3045</v>
      </c>
      <c r="B1412" s="46" t="s">
        <v>13</v>
      </c>
      <c r="C1412" s="46" t="s">
        <v>14</v>
      </c>
      <c r="D1412" s="47">
        <v>11265</v>
      </c>
      <c r="E1412" s="46" t="s">
        <v>3045</v>
      </c>
      <c r="F1412" s="48">
        <v>40623</v>
      </c>
      <c r="G1412" s="48">
        <v>41049</v>
      </c>
      <c r="H1412" s="46" t="s">
        <v>2039</v>
      </c>
      <c r="I1412" s="45">
        <f>17799.2+32380.44</f>
        <v>50179.64</v>
      </c>
      <c r="J1412" s="45">
        <f>17799.2+32380.44</f>
        <v>50179.64</v>
      </c>
      <c r="K1412" s="49" t="s">
        <v>2650</v>
      </c>
      <c r="L1412" s="45"/>
      <c r="M1412" s="3"/>
    </row>
    <row r="1413" spans="1:60" ht="25.5" x14ac:dyDescent="0.25">
      <c r="A1413" s="46" t="s">
        <v>3046</v>
      </c>
      <c r="B1413" s="46" t="s">
        <v>13</v>
      </c>
      <c r="C1413" s="46" t="s">
        <v>14</v>
      </c>
      <c r="D1413" s="47">
        <v>11266</v>
      </c>
      <c r="E1413" s="46" t="s">
        <v>3046</v>
      </c>
      <c r="F1413" s="48">
        <v>40623</v>
      </c>
      <c r="G1413" s="48">
        <v>41049</v>
      </c>
      <c r="H1413" s="46" t="s">
        <v>2039</v>
      </c>
      <c r="I1413" s="45">
        <f>8172.9+1177.76</f>
        <v>9350.66</v>
      </c>
      <c r="J1413" s="45">
        <f>8172.9+1177.76</f>
        <v>9350.66</v>
      </c>
      <c r="K1413" s="49" t="s">
        <v>2650</v>
      </c>
      <c r="L1413" s="45"/>
      <c r="M1413" s="3"/>
    </row>
    <row r="1414" spans="1:60" ht="38.25" x14ac:dyDescent="0.25">
      <c r="A1414" s="46" t="s">
        <v>3047</v>
      </c>
      <c r="B1414" s="46" t="s">
        <v>13</v>
      </c>
      <c r="C1414" s="46" t="s">
        <v>14</v>
      </c>
      <c r="D1414" s="47">
        <v>11267</v>
      </c>
      <c r="E1414" s="46" t="s">
        <v>3047</v>
      </c>
      <c r="F1414" s="48">
        <v>40623</v>
      </c>
      <c r="G1414" s="48">
        <v>41049</v>
      </c>
      <c r="H1414" s="46" t="s">
        <v>2039</v>
      </c>
      <c r="I1414" s="45">
        <v>987.57</v>
      </c>
      <c r="J1414" s="45">
        <v>987.57</v>
      </c>
      <c r="K1414" s="49" t="s">
        <v>2650</v>
      </c>
      <c r="L1414" s="45"/>
      <c r="M1414" s="3"/>
    </row>
    <row r="1415" spans="1:60" ht="25.5" x14ac:dyDescent="0.25">
      <c r="A1415" s="46" t="s">
        <v>11416</v>
      </c>
      <c r="B1415" s="61" t="s">
        <v>13</v>
      </c>
      <c r="C1415" s="61" t="s">
        <v>14</v>
      </c>
      <c r="D1415" s="62">
        <v>11268</v>
      </c>
      <c r="E1415" s="46" t="s">
        <v>11417</v>
      </c>
      <c r="F1415" s="63">
        <v>40817</v>
      </c>
      <c r="G1415" s="63">
        <v>41274</v>
      </c>
      <c r="H1415" s="46" t="s">
        <v>2039</v>
      </c>
      <c r="I1415" s="64">
        <v>30639.360000000001</v>
      </c>
      <c r="J1415" s="64">
        <v>30639.360000000001</v>
      </c>
      <c r="K1415" s="65" t="s">
        <v>2650</v>
      </c>
      <c r="L1415" s="6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row>
    <row r="1416" spans="1:60" ht="25.5" x14ac:dyDescent="0.25">
      <c r="A1416" s="46" t="s">
        <v>11418</v>
      </c>
      <c r="B1416" s="61" t="s">
        <v>13</v>
      </c>
      <c r="C1416" s="61" t="s">
        <v>14</v>
      </c>
      <c r="D1416" s="62">
        <v>11269</v>
      </c>
      <c r="E1416" s="46" t="s">
        <v>11419</v>
      </c>
      <c r="F1416" s="63">
        <v>40878</v>
      </c>
      <c r="G1416" s="63">
        <v>41333</v>
      </c>
      <c r="H1416" s="46" t="s">
        <v>2039</v>
      </c>
      <c r="I1416" s="64">
        <v>37261.870000000003</v>
      </c>
      <c r="J1416" s="64">
        <v>37261.870000000003</v>
      </c>
      <c r="K1416" s="65" t="s">
        <v>2650</v>
      </c>
      <c r="L1416" s="6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row>
    <row r="1417" spans="1:60" x14ac:dyDescent="0.25">
      <c r="A1417" s="46" t="s">
        <v>11420</v>
      </c>
      <c r="B1417" s="61" t="s">
        <v>13</v>
      </c>
      <c r="C1417" s="61" t="s">
        <v>14</v>
      </c>
      <c r="D1417" s="62">
        <v>11271</v>
      </c>
      <c r="E1417" s="46" t="s">
        <v>11421</v>
      </c>
      <c r="F1417" s="63">
        <v>40909</v>
      </c>
      <c r="G1417" s="63">
        <v>41275</v>
      </c>
      <c r="H1417" s="46" t="s">
        <v>2039</v>
      </c>
      <c r="I1417" s="64">
        <v>61505.72</v>
      </c>
      <c r="J1417" s="64">
        <v>61505.72</v>
      </c>
      <c r="K1417" s="65" t="s">
        <v>2650</v>
      </c>
      <c r="L1417" s="6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row>
    <row r="1418" spans="1:60" ht="38.25" x14ac:dyDescent="0.25">
      <c r="A1418" s="46" t="s">
        <v>11422</v>
      </c>
      <c r="B1418" s="61" t="s">
        <v>13</v>
      </c>
      <c r="C1418" s="61" t="s">
        <v>14</v>
      </c>
      <c r="D1418" s="62">
        <v>11272</v>
      </c>
      <c r="E1418" s="46" t="s">
        <v>11423</v>
      </c>
      <c r="F1418" s="63">
        <v>40940</v>
      </c>
      <c r="G1418" s="63">
        <v>41365</v>
      </c>
      <c r="H1418" s="46" t="s">
        <v>2039</v>
      </c>
      <c r="I1418" s="64">
        <v>55808.97</v>
      </c>
      <c r="J1418" s="64">
        <v>55808.97</v>
      </c>
      <c r="K1418" s="65" t="s">
        <v>2650</v>
      </c>
      <c r="L1418" s="6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row>
    <row r="1419" spans="1:60" ht="38.25" x14ac:dyDescent="0.25">
      <c r="A1419" s="46" t="s">
        <v>11424</v>
      </c>
      <c r="B1419" s="61" t="s">
        <v>13</v>
      </c>
      <c r="C1419" s="61" t="s">
        <v>14</v>
      </c>
      <c r="D1419" s="62">
        <v>11274</v>
      </c>
      <c r="E1419" s="46" t="s">
        <v>11425</v>
      </c>
      <c r="F1419" s="63">
        <v>40878</v>
      </c>
      <c r="G1419" s="63">
        <v>41275</v>
      </c>
      <c r="H1419" s="46" t="s">
        <v>2039</v>
      </c>
      <c r="I1419" s="64">
        <v>12037.82</v>
      </c>
      <c r="J1419" s="64">
        <v>12037.82</v>
      </c>
      <c r="K1419" s="65" t="s">
        <v>2650</v>
      </c>
      <c r="L1419" s="6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row>
    <row r="1420" spans="1:60" x14ac:dyDescent="0.25">
      <c r="A1420" s="46" t="s">
        <v>11426</v>
      </c>
      <c r="B1420" s="61" t="s">
        <v>13</v>
      </c>
      <c r="C1420" s="61" t="s">
        <v>14</v>
      </c>
      <c r="D1420" s="62">
        <v>11276</v>
      </c>
      <c r="E1420" s="46" t="s">
        <v>11427</v>
      </c>
      <c r="F1420" s="63">
        <v>40940</v>
      </c>
      <c r="G1420" s="63">
        <v>41243</v>
      </c>
      <c r="H1420" s="46" t="s">
        <v>2039</v>
      </c>
      <c r="I1420" s="64">
        <v>36577.33</v>
      </c>
      <c r="J1420" s="64">
        <v>36577.33</v>
      </c>
      <c r="K1420" s="65" t="s">
        <v>2650</v>
      </c>
      <c r="L1420" s="6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row>
    <row r="1421" spans="1:60" ht="25.5" x14ac:dyDescent="0.25">
      <c r="A1421" s="46" t="s">
        <v>3048</v>
      </c>
      <c r="B1421" s="46" t="s">
        <v>13</v>
      </c>
      <c r="C1421" s="46" t="s">
        <v>14</v>
      </c>
      <c r="D1421" s="47">
        <v>11363</v>
      </c>
      <c r="E1421" s="46" t="s">
        <v>3048</v>
      </c>
      <c r="F1421" s="48">
        <v>40603</v>
      </c>
      <c r="G1421" s="48">
        <v>40968</v>
      </c>
      <c r="H1421" s="46" t="s">
        <v>2039</v>
      </c>
      <c r="I1421" s="45">
        <f>70074.28+9652</f>
        <v>79726.28</v>
      </c>
      <c r="J1421" s="45">
        <f>70074.28+9652</f>
        <v>79726.28</v>
      </c>
      <c r="K1421" s="49" t="s">
        <v>2650</v>
      </c>
      <c r="L1421" s="45"/>
      <c r="M1421" s="3"/>
    </row>
    <row r="1422" spans="1:60" ht="25.5" x14ac:dyDescent="0.25">
      <c r="A1422" s="46" t="s">
        <v>3049</v>
      </c>
      <c r="B1422" s="46" t="s">
        <v>13</v>
      </c>
      <c r="C1422" s="46" t="s">
        <v>14</v>
      </c>
      <c r="D1422" s="47">
        <v>11364</v>
      </c>
      <c r="E1422" s="46" t="s">
        <v>3049</v>
      </c>
      <c r="F1422" s="48">
        <v>40664</v>
      </c>
      <c r="G1422" s="48">
        <v>41029</v>
      </c>
      <c r="H1422" s="46" t="s">
        <v>2039</v>
      </c>
      <c r="I1422" s="45">
        <f>50652.66+63689.81</f>
        <v>114342.47</v>
      </c>
      <c r="J1422" s="45">
        <f>50642.66+63689.81</f>
        <v>114332.47</v>
      </c>
      <c r="K1422" s="49" t="s">
        <v>2650</v>
      </c>
      <c r="L1422" s="45"/>
      <c r="M1422" s="3"/>
    </row>
    <row r="1423" spans="1:60" ht="25.5" x14ac:dyDescent="0.25">
      <c r="A1423" s="46" t="s">
        <v>3050</v>
      </c>
      <c r="B1423" s="46" t="s">
        <v>13</v>
      </c>
      <c r="C1423" s="46" t="s">
        <v>14</v>
      </c>
      <c r="D1423" s="47">
        <v>11365</v>
      </c>
      <c r="E1423" s="46" t="s">
        <v>3051</v>
      </c>
      <c r="F1423" s="48">
        <v>40575</v>
      </c>
      <c r="G1423" s="48">
        <v>40999</v>
      </c>
      <c r="H1423" s="46" t="s">
        <v>2039</v>
      </c>
      <c r="I1423" s="45">
        <v>44140.2</v>
      </c>
      <c r="J1423" s="45">
        <v>44140.2</v>
      </c>
      <c r="K1423" s="49" t="s">
        <v>2650</v>
      </c>
      <c r="L1423" s="45"/>
      <c r="M1423" s="3"/>
    </row>
    <row r="1424" spans="1:60" x14ac:dyDescent="0.25">
      <c r="A1424" s="46" t="s">
        <v>3052</v>
      </c>
      <c r="B1424" s="46" t="s">
        <v>13</v>
      </c>
      <c r="C1424" s="46" t="s">
        <v>14</v>
      </c>
      <c r="D1424" s="57">
        <v>11366</v>
      </c>
      <c r="E1424" s="46" t="s">
        <v>3052</v>
      </c>
      <c r="F1424" s="48">
        <v>40787</v>
      </c>
      <c r="G1424" s="48">
        <v>40908</v>
      </c>
      <c r="H1424" s="46" t="s">
        <v>2039</v>
      </c>
      <c r="I1424" s="45">
        <f>25308.15+117508.81</f>
        <v>142816.95999999999</v>
      </c>
      <c r="J1424" s="45">
        <f>25308.15+117508.81</f>
        <v>142816.95999999999</v>
      </c>
      <c r="K1424" s="49" t="s">
        <v>2650</v>
      </c>
      <c r="L1424" s="45"/>
      <c r="M1424" s="3"/>
    </row>
    <row r="1425" spans="1:60" ht="25.5" x14ac:dyDescent="0.25">
      <c r="A1425" s="46" t="s">
        <v>3053</v>
      </c>
      <c r="B1425" s="46" t="s">
        <v>13</v>
      </c>
      <c r="C1425" s="46" t="s">
        <v>14</v>
      </c>
      <c r="D1425" s="57">
        <v>11367</v>
      </c>
      <c r="E1425" s="46" t="s">
        <v>3053</v>
      </c>
      <c r="F1425" s="48">
        <v>40756</v>
      </c>
      <c r="G1425" s="48">
        <v>40908</v>
      </c>
      <c r="H1425" s="46" t="s">
        <v>2039</v>
      </c>
      <c r="I1425" s="45">
        <f>17136.19+40541.39</f>
        <v>57677.58</v>
      </c>
      <c r="J1425" s="45">
        <f>17136.19+40541.39</f>
        <v>57677.58</v>
      </c>
      <c r="K1425" s="49" t="s">
        <v>2650</v>
      </c>
      <c r="L1425" s="45"/>
      <c r="M1425" s="3"/>
    </row>
    <row r="1426" spans="1:60" ht="38.25" x14ac:dyDescent="0.25">
      <c r="A1426" s="46" t="s">
        <v>3054</v>
      </c>
      <c r="B1426" s="46" t="s">
        <v>13</v>
      </c>
      <c r="C1426" s="46" t="s">
        <v>14</v>
      </c>
      <c r="D1426" s="57">
        <v>11368</v>
      </c>
      <c r="E1426" s="46" t="s">
        <v>3054</v>
      </c>
      <c r="F1426" s="48">
        <v>40695</v>
      </c>
      <c r="G1426" s="48">
        <v>40908</v>
      </c>
      <c r="H1426" s="46" t="s">
        <v>2039</v>
      </c>
      <c r="I1426" s="45">
        <f>14302.12+77506.9</f>
        <v>91809.01999999999</v>
      </c>
      <c r="J1426" s="45">
        <f>14302.12+77506.9</f>
        <v>91809.01999999999</v>
      </c>
      <c r="K1426" s="49" t="s">
        <v>2650</v>
      </c>
      <c r="L1426" s="45"/>
      <c r="M1426" s="3"/>
    </row>
    <row r="1427" spans="1:60" ht="38.25" x14ac:dyDescent="0.25">
      <c r="A1427" s="46" t="s">
        <v>3055</v>
      </c>
      <c r="B1427" s="46" t="s">
        <v>13</v>
      </c>
      <c r="C1427" s="46" t="s">
        <v>14</v>
      </c>
      <c r="D1427" s="57">
        <v>11369</v>
      </c>
      <c r="E1427" s="46" t="s">
        <v>3055</v>
      </c>
      <c r="F1427" s="48">
        <v>40634</v>
      </c>
      <c r="G1427" s="48">
        <v>40908</v>
      </c>
      <c r="H1427" s="46" t="s">
        <v>2039</v>
      </c>
      <c r="I1427" s="45">
        <f>841.25+60952</f>
        <v>61793.25</v>
      </c>
      <c r="J1427" s="45">
        <f>841.25+60952</f>
        <v>61793.25</v>
      </c>
      <c r="K1427" s="49" t="s">
        <v>2650</v>
      </c>
      <c r="L1427" s="46"/>
    </row>
    <row r="1428" spans="1:60" ht="25.5" x14ac:dyDescent="0.25">
      <c r="A1428" s="46" t="s">
        <v>3056</v>
      </c>
      <c r="B1428" s="46" t="s">
        <v>13</v>
      </c>
      <c r="C1428" s="46" t="s">
        <v>14</v>
      </c>
      <c r="D1428" s="47">
        <v>11579</v>
      </c>
      <c r="E1428" s="46" t="s">
        <v>3057</v>
      </c>
      <c r="F1428" s="48">
        <v>40544</v>
      </c>
      <c r="G1428" s="48">
        <v>40908</v>
      </c>
      <c r="H1428" s="46" t="s">
        <v>2039</v>
      </c>
      <c r="I1428" s="45">
        <f>72689.2-5.02</f>
        <v>72684.179999999993</v>
      </c>
      <c r="J1428" s="45">
        <f>72689.2-5.02</f>
        <v>72684.179999999993</v>
      </c>
      <c r="K1428" s="49" t="s">
        <v>2650</v>
      </c>
      <c r="L1428" s="45"/>
      <c r="M1428" s="3"/>
    </row>
    <row r="1429" spans="1:60" ht="25.5" x14ac:dyDescent="0.25">
      <c r="A1429" s="46" t="s">
        <v>3058</v>
      </c>
      <c r="B1429" s="46" t="s">
        <v>13</v>
      </c>
      <c r="C1429" s="46" t="s">
        <v>14</v>
      </c>
      <c r="D1429" s="47">
        <v>11580</v>
      </c>
      <c r="E1429" s="46" t="s">
        <v>3059</v>
      </c>
      <c r="F1429" s="48">
        <v>40634</v>
      </c>
      <c r="G1429" s="48">
        <v>40999</v>
      </c>
      <c r="H1429" s="46" t="s">
        <v>2039</v>
      </c>
      <c r="I1429" s="45">
        <f>63162+16953.98</f>
        <v>80115.98</v>
      </c>
      <c r="J1429" s="45">
        <f>27741.11+16953.98</f>
        <v>44695.09</v>
      </c>
      <c r="K1429" s="49" t="s">
        <v>2650</v>
      </c>
      <c r="L1429" s="45"/>
      <c r="M1429" s="3"/>
    </row>
    <row r="1430" spans="1:60" ht="38.25" x14ac:dyDescent="0.25">
      <c r="A1430" s="46" t="s">
        <v>3060</v>
      </c>
      <c r="B1430" s="46" t="s">
        <v>13</v>
      </c>
      <c r="C1430" s="46" t="s">
        <v>14</v>
      </c>
      <c r="D1430" s="47">
        <v>11581</v>
      </c>
      <c r="E1430" s="46" t="s">
        <v>3061</v>
      </c>
      <c r="F1430" s="48">
        <v>40664</v>
      </c>
      <c r="G1430" s="48">
        <v>41213</v>
      </c>
      <c r="H1430" s="46" t="s">
        <v>2039</v>
      </c>
      <c r="I1430" s="45">
        <f>9995.43+70270.5</f>
        <v>80265.929999999993</v>
      </c>
      <c r="J1430" s="45">
        <f>9995.43+70270.5</f>
        <v>80265.929999999993</v>
      </c>
      <c r="K1430" s="49" t="s">
        <v>2650</v>
      </c>
      <c r="L1430" s="45"/>
      <c r="M1430" s="3"/>
    </row>
    <row r="1431" spans="1:60" ht="25.5" x14ac:dyDescent="0.25">
      <c r="A1431" s="46" t="s">
        <v>3062</v>
      </c>
      <c r="B1431" s="46" t="s">
        <v>13</v>
      </c>
      <c r="C1431" s="46" t="s">
        <v>14</v>
      </c>
      <c r="D1431" s="47">
        <v>11582</v>
      </c>
      <c r="E1431" s="46" t="s">
        <v>3063</v>
      </c>
      <c r="F1431" s="48">
        <v>40786</v>
      </c>
      <c r="G1431" s="48">
        <v>41394</v>
      </c>
      <c r="H1431" s="46" t="s">
        <v>2039</v>
      </c>
      <c r="I1431" s="45">
        <f>29282.96+134081.83</f>
        <v>163364.78999999998</v>
      </c>
      <c r="J1431" s="45">
        <f>29282.96+134081.83</f>
        <v>163364.78999999998</v>
      </c>
      <c r="K1431" s="49" t="s">
        <v>2650</v>
      </c>
      <c r="L1431" s="45"/>
      <c r="M1431" s="3"/>
    </row>
    <row r="1432" spans="1:60" ht="38.25" x14ac:dyDescent="0.25">
      <c r="A1432" s="46" t="s">
        <v>3064</v>
      </c>
      <c r="B1432" s="46" t="s">
        <v>13</v>
      </c>
      <c r="C1432" s="46" t="s">
        <v>14</v>
      </c>
      <c r="D1432" s="47">
        <v>11583</v>
      </c>
      <c r="E1432" s="46" t="s">
        <v>3065</v>
      </c>
      <c r="F1432" s="48">
        <v>40787</v>
      </c>
      <c r="G1432" s="48">
        <v>41455</v>
      </c>
      <c r="H1432" s="46" t="s">
        <v>2039</v>
      </c>
      <c r="I1432" s="45">
        <f>6118.69+106683.89</f>
        <v>112802.58</v>
      </c>
      <c r="J1432" s="45">
        <f>6118.69+106683.89</f>
        <v>112802.58</v>
      </c>
      <c r="K1432" s="49" t="s">
        <v>2650</v>
      </c>
      <c r="L1432" s="46"/>
    </row>
    <row r="1433" spans="1:60" ht="38.25" x14ac:dyDescent="0.25">
      <c r="A1433" s="46" t="s">
        <v>3066</v>
      </c>
      <c r="B1433" s="46" t="s">
        <v>13</v>
      </c>
      <c r="C1433" s="46" t="s">
        <v>14</v>
      </c>
      <c r="D1433" s="47">
        <v>12005</v>
      </c>
      <c r="E1433" s="46" t="s">
        <v>3067</v>
      </c>
      <c r="F1433" s="48">
        <v>40805</v>
      </c>
      <c r="G1433" s="48">
        <v>40895</v>
      </c>
      <c r="H1433" s="46" t="s">
        <v>2039</v>
      </c>
      <c r="I1433" s="45">
        <v>9000</v>
      </c>
      <c r="J1433" s="45">
        <v>9000</v>
      </c>
      <c r="K1433" s="49" t="s">
        <v>2650</v>
      </c>
      <c r="L1433" s="45"/>
      <c r="M1433" s="3"/>
    </row>
    <row r="1434" spans="1:60" ht="25.5" x14ac:dyDescent="0.25">
      <c r="A1434" s="46" t="s">
        <v>11428</v>
      </c>
      <c r="B1434" s="61" t="s">
        <v>13</v>
      </c>
      <c r="C1434" s="61" t="s">
        <v>14</v>
      </c>
      <c r="D1434" s="62">
        <v>12918</v>
      </c>
      <c r="E1434" s="46" t="s">
        <v>11428</v>
      </c>
      <c r="F1434" s="63">
        <v>40756</v>
      </c>
      <c r="G1434" s="63">
        <v>41487</v>
      </c>
      <c r="H1434" s="46" t="s">
        <v>2039</v>
      </c>
      <c r="I1434" s="64">
        <v>96665.48</v>
      </c>
      <c r="J1434" s="64">
        <v>96665.48</v>
      </c>
      <c r="K1434" s="65" t="s">
        <v>2650</v>
      </c>
      <c r="L1434" s="6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row>
    <row r="1435" spans="1:60" ht="38.25" x14ac:dyDescent="0.25">
      <c r="A1435" s="46" t="s">
        <v>11429</v>
      </c>
      <c r="B1435" s="61" t="s">
        <v>13</v>
      </c>
      <c r="C1435" s="61" t="s">
        <v>14</v>
      </c>
      <c r="D1435" s="62">
        <v>12919</v>
      </c>
      <c r="E1435" s="46" t="s">
        <v>11430</v>
      </c>
      <c r="F1435" s="63">
        <v>40787</v>
      </c>
      <c r="G1435" s="63">
        <v>42218</v>
      </c>
      <c r="H1435" s="46" t="s">
        <v>2039</v>
      </c>
      <c r="I1435" s="64">
        <v>64350.55</v>
      </c>
      <c r="J1435" s="64">
        <v>64350.55</v>
      </c>
      <c r="K1435" s="65" t="s">
        <v>2650</v>
      </c>
      <c r="L1435" s="6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row>
    <row r="1436" spans="1:60" ht="25.5" x14ac:dyDescent="0.25">
      <c r="A1436" s="46" t="s">
        <v>11431</v>
      </c>
      <c r="B1436" s="61" t="s">
        <v>13</v>
      </c>
      <c r="C1436" s="61" t="s">
        <v>14</v>
      </c>
      <c r="D1436" s="62">
        <v>12920</v>
      </c>
      <c r="E1436" s="46" t="s">
        <v>11431</v>
      </c>
      <c r="F1436" s="63">
        <v>40878</v>
      </c>
      <c r="G1436" s="63">
        <v>41852</v>
      </c>
      <c r="H1436" s="46" t="s">
        <v>2039</v>
      </c>
      <c r="I1436" s="64">
        <v>103749.68</v>
      </c>
      <c r="J1436" s="64">
        <v>103749.68</v>
      </c>
      <c r="K1436" s="65" t="s">
        <v>2650</v>
      </c>
      <c r="L1436" s="6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row>
    <row r="1437" spans="1:60" ht="25.5" x14ac:dyDescent="0.25">
      <c r="A1437" s="46" t="s">
        <v>11432</v>
      </c>
      <c r="B1437" s="61" t="s">
        <v>13</v>
      </c>
      <c r="C1437" s="61" t="s">
        <v>14</v>
      </c>
      <c r="D1437" s="62">
        <v>12921</v>
      </c>
      <c r="E1437" s="46" t="s">
        <v>11432</v>
      </c>
      <c r="F1437" s="63">
        <v>40861</v>
      </c>
      <c r="G1437" s="63">
        <v>41227</v>
      </c>
      <c r="H1437" s="46" t="s">
        <v>2039</v>
      </c>
      <c r="I1437" s="64">
        <v>50402.05</v>
      </c>
      <c r="J1437" s="64">
        <v>50402.05</v>
      </c>
      <c r="K1437" s="65" t="s">
        <v>2650</v>
      </c>
      <c r="L1437" s="6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row>
    <row r="1438" spans="1:60" ht="38.25" x14ac:dyDescent="0.25">
      <c r="A1438" s="46" t="s">
        <v>11433</v>
      </c>
      <c r="B1438" s="61" t="s">
        <v>13</v>
      </c>
      <c r="C1438" s="61" t="s">
        <v>14</v>
      </c>
      <c r="D1438" s="62">
        <v>12922</v>
      </c>
      <c r="E1438" s="46" t="s">
        <v>11434</v>
      </c>
      <c r="F1438" s="63">
        <v>40940</v>
      </c>
      <c r="G1438" s="63">
        <v>41882</v>
      </c>
      <c r="H1438" s="46" t="s">
        <v>2039</v>
      </c>
      <c r="I1438" s="64">
        <v>48595.93</v>
      </c>
      <c r="J1438" s="64">
        <v>48595.93</v>
      </c>
      <c r="K1438" s="65" t="s">
        <v>2650</v>
      </c>
      <c r="L1438" s="6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row>
    <row r="1439" spans="1:60" ht="38.25" x14ac:dyDescent="0.25">
      <c r="A1439" s="46" t="s">
        <v>11435</v>
      </c>
      <c r="B1439" s="61" t="s">
        <v>13</v>
      </c>
      <c r="C1439" s="61" t="s">
        <v>14</v>
      </c>
      <c r="D1439" s="62">
        <v>12923</v>
      </c>
      <c r="E1439" s="46" t="s">
        <v>11436</v>
      </c>
      <c r="F1439" s="63">
        <v>40924</v>
      </c>
      <c r="G1439" s="63">
        <v>41836</v>
      </c>
      <c r="H1439" s="46" t="s">
        <v>2039</v>
      </c>
      <c r="I1439" s="64">
        <v>28240.62</v>
      </c>
      <c r="J1439" s="64">
        <v>28240.62</v>
      </c>
      <c r="K1439" s="65" t="s">
        <v>2650</v>
      </c>
      <c r="L1439" s="6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row>
    <row r="1440" spans="1:60" ht="38.25" x14ac:dyDescent="0.25">
      <c r="A1440" s="46" t="s">
        <v>11437</v>
      </c>
      <c r="B1440" s="61" t="s">
        <v>13</v>
      </c>
      <c r="C1440" s="61" t="s">
        <v>14</v>
      </c>
      <c r="D1440" s="62">
        <v>12924</v>
      </c>
      <c r="E1440" s="46" t="s">
        <v>11438</v>
      </c>
      <c r="F1440" s="63">
        <v>41153</v>
      </c>
      <c r="G1440" s="63">
        <v>42154</v>
      </c>
      <c r="H1440" s="46" t="s">
        <v>2039</v>
      </c>
      <c r="I1440" s="64">
        <v>13913.45</v>
      </c>
      <c r="J1440" s="64">
        <v>13913.45</v>
      </c>
      <c r="K1440" s="65" t="s">
        <v>2650</v>
      </c>
      <c r="L1440" s="6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row>
    <row r="1441" spans="1:60" ht="38.25" x14ac:dyDescent="0.25">
      <c r="A1441" s="46" t="s">
        <v>11439</v>
      </c>
      <c r="B1441" s="61" t="s">
        <v>13</v>
      </c>
      <c r="C1441" s="61" t="s">
        <v>14</v>
      </c>
      <c r="D1441" s="62">
        <v>12925</v>
      </c>
      <c r="E1441" s="46" t="s">
        <v>11440</v>
      </c>
      <c r="F1441" s="63">
        <v>41106</v>
      </c>
      <c r="G1441" s="63">
        <v>41851</v>
      </c>
      <c r="H1441" s="46" t="s">
        <v>2039</v>
      </c>
      <c r="I1441" s="64">
        <v>37301.83</v>
      </c>
      <c r="J1441" s="64">
        <v>37301.83</v>
      </c>
      <c r="K1441" s="65" t="s">
        <v>2650</v>
      </c>
      <c r="L1441" s="6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row>
    <row r="1442" spans="1:60" ht="38.25" x14ac:dyDescent="0.25">
      <c r="A1442" s="46" t="s">
        <v>11441</v>
      </c>
      <c r="B1442" s="61" t="s">
        <v>13</v>
      </c>
      <c r="C1442" s="61" t="s">
        <v>14</v>
      </c>
      <c r="D1442" s="62">
        <v>12926</v>
      </c>
      <c r="E1442" s="46" t="s">
        <v>11442</v>
      </c>
      <c r="F1442" s="63">
        <v>41091</v>
      </c>
      <c r="G1442" s="63">
        <v>41881</v>
      </c>
      <c r="H1442" s="46" t="s">
        <v>2039</v>
      </c>
      <c r="I1442" s="64">
        <v>27509</v>
      </c>
      <c r="J1442" s="64">
        <v>27509</v>
      </c>
      <c r="K1442" s="65" t="s">
        <v>2650</v>
      </c>
      <c r="L1442" s="6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row>
    <row r="1443" spans="1:60" ht="38.25" x14ac:dyDescent="0.25">
      <c r="A1443" s="46" t="s">
        <v>11443</v>
      </c>
      <c r="B1443" s="61" t="s">
        <v>13</v>
      </c>
      <c r="C1443" s="61" t="s">
        <v>14</v>
      </c>
      <c r="D1443" s="62">
        <v>12927</v>
      </c>
      <c r="E1443" s="46" t="s">
        <v>11443</v>
      </c>
      <c r="F1443" s="63">
        <v>41091</v>
      </c>
      <c r="G1443" s="63">
        <v>41578</v>
      </c>
      <c r="H1443" s="46" t="s">
        <v>2039</v>
      </c>
      <c r="I1443" s="64">
        <v>17013.55</v>
      </c>
      <c r="J1443" s="64">
        <v>17013.55</v>
      </c>
      <c r="K1443" s="65" t="s">
        <v>2650</v>
      </c>
      <c r="L1443" s="6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row>
    <row r="1444" spans="1:60" ht="38.25" x14ac:dyDescent="0.25">
      <c r="A1444" s="46" t="s">
        <v>11444</v>
      </c>
      <c r="B1444" s="61" t="s">
        <v>13</v>
      </c>
      <c r="C1444" s="61" t="s">
        <v>14</v>
      </c>
      <c r="D1444" s="62">
        <v>12928</v>
      </c>
      <c r="E1444" s="46" t="s">
        <v>11445</v>
      </c>
      <c r="F1444" s="63">
        <v>41092</v>
      </c>
      <c r="G1444" s="63">
        <v>41549</v>
      </c>
      <c r="H1444" s="46" t="s">
        <v>2039</v>
      </c>
      <c r="I1444" s="64">
        <v>16728.810000000001</v>
      </c>
      <c r="J1444" s="64">
        <v>16728.810000000001</v>
      </c>
      <c r="K1444" s="65" t="s">
        <v>2650</v>
      </c>
      <c r="L1444" s="6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row>
    <row r="1445" spans="1:60" x14ac:dyDescent="0.25">
      <c r="A1445" s="46" t="s">
        <v>11446</v>
      </c>
      <c r="B1445" s="61" t="s">
        <v>13</v>
      </c>
      <c r="C1445" s="61" t="s">
        <v>14</v>
      </c>
      <c r="D1445" s="62">
        <v>12929</v>
      </c>
      <c r="E1445" s="46" t="s">
        <v>11446</v>
      </c>
      <c r="F1445" s="63">
        <v>41122</v>
      </c>
      <c r="G1445" s="63">
        <v>41486</v>
      </c>
      <c r="H1445" s="46" t="s">
        <v>2039</v>
      </c>
      <c r="I1445" s="64">
        <v>19719.419999999998</v>
      </c>
      <c r="J1445" s="64">
        <v>19719.419999999998</v>
      </c>
      <c r="K1445" s="65" t="s">
        <v>2650</v>
      </c>
      <c r="L1445" s="6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row>
    <row r="1446" spans="1:60" ht="38.25" x14ac:dyDescent="0.25">
      <c r="A1446" s="46" t="s">
        <v>11447</v>
      </c>
      <c r="B1446" s="61" t="s">
        <v>13</v>
      </c>
      <c r="C1446" s="61" t="s">
        <v>14</v>
      </c>
      <c r="D1446" s="62">
        <v>12930</v>
      </c>
      <c r="E1446" s="46" t="s">
        <v>11447</v>
      </c>
      <c r="F1446" s="63">
        <v>41153</v>
      </c>
      <c r="G1446" s="63">
        <v>41698</v>
      </c>
      <c r="H1446" s="46" t="s">
        <v>2039</v>
      </c>
      <c r="I1446" s="64">
        <v>6962.04</v>
      </c>
      <c r="J1446" s="64">
        <v>6962.04</v>
      </c>
      <c r="K1446" s="65" t="s">
        <v>2650</v>
      </c>
      <c r="L1446" s="6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row>
    <row r="1447" spans="1:60" ht="25.5" x14ac:dyDescent="0.25">
      <c r="A1447" s="46" t="s">
        <v>11448</v>
      </c>
      <c r="B1447" s="61" t="s">
        <v>13</v>
      </c>
      <c r="C1447" s="61" t="s">
        <v>14</v>
      </c>
      <c r="D1447" s="62">
        <v>12931</v>
      </c>
      <c r="E1447" s="46" t="s">
        <v>11448</v>
      </c>
      <c r="F1447" s="63">
        <v>41197</v>
      </c>
      <c r="G1447" s="63">
        <v>41274</v>
      </c>
      <c r="H1447" s="46" t="s">
        <v>2039</v>
      </c>
      <c r="I1447" s="64">
        <v>13121.95</v>
      </c>
      <c r="J1447" s="64">
        <v>13121.95</v>
      </c>
      <c r="K1447" s="65" t="s">
        <v>2650</v>
      </c>
      <c r="L1447" s="6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row>
    <row r="1448" spans="1:60" ht="25.5" x14ac:dyDescent="0.25">
      <c r="A1448" s="46" t="s">
        <v>11449</v>
      </c>
      <c r="B1448" s="61" t="s">
        <v>13</v>
      </c>
      <c r="C1448" s="61" t="s">
        <v>14</v>
      </c>
      <c r="D1448" s="62">
        <v>12958</v>
      </c>
      <c r="E1448" s="46" t="s">
        <v>11449</v>
      </c>
      <c r="F1448" s="63">
        <v>40756</v>
      </c>
      <c r="G1448" s="63">
        <v>41364</v>
      </c>
      <c r="H1448" s="46" t="s">
        <v>2039</v>
      </c>
      <c r="I1448" s="64">
        <v>55536.5</v>
      </c>
      <c r="J1448" s="64">
        <v>55536.5</v>
      </c>
      <c r="K1448" s="65" t="s">
        <v>2650</v>
      </c>
      <c r="L1448" s="6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row>
    <row r="1449" spans="1:60" ht="25.5" x14ac:dyDescent="0.25">
      <c r="A1449" s="46" t="s">
        <v>11450</v>
      </c>
      <c r="B1449" s="61" t="s">
        <v>13</v>
      </c>
      <c r="C1449" s="61" t="s">
        <v>14</v>
      </c>
      <c r="D1449" s="62">
        <v>12959</v>
      </c>
      <c r="E1449" s="46" t="s">
        <v>11450</v>
      </c>
      <c r="F1449" s="63">
        <v>40787</v>
      </c>
      <c r="G1449" s="63">
        <v>41944</v>
      </c>
      <c r="H1449" s="46" t="s">
        <v>2039</v>
      </c>
      <c r="I1449" s="64">
        <v>43743.29</v>
      </c>
      <c r="J1449" s="64">
        <v>43743.29</v>
      </c>
      <c r="K1449" s="65" t="s">
        <v>2650</v>
      </c>
      <c r="L1449" s="6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row>
    <row r="1450" spans="1:60" ht="25.5" x14ac:dyDescent="0.25">
      <c r="A1450" s="46" t="s">
        <v>11451</v>
      </c>
      <c r="B1450" s="61" t="s">
        <v>13</v>
      </c>
      <c r="C1450" s="61" t="s">
        <v>14</v>
      </c>
      <c r="D1450" s="62">
        <v>12960</v>
      </c>
      <c r="E1450" s="46" t="s">
        <v>11451</v>
      </c>
      <c r="F1450" s="63">
        <v>40787</v>
      </c>
      <c r="G1450" s="63">
        <v>41534</v>
      </c>
      <c r="H1450" s="46" t="s">
        <v>2039</v>
      </c>
      <c r="I1450" s="64">
        <v>13936.04</v>
      </c>
      <c r="J1450" s="64">
        <v>13936.04</v>
      </c>
      <c r="K1450" s="65" t="s">
        <v>2650</v>
      </c>
      <c r="L1450" s="6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row>
    <row r="1451" spans="1:60" ht="25.5" x14ac:dyDescent="0.25">
      <c r="A1451" s="46" t="s">
        <v>11452</v>
      </c>
      <c r="B1451" s="61" t="s">
        <v>13</v>
      </c>
      <c r="C1451" s="61" t="s">
        <v>14</v>
      </c>
      <c r="D1451" s="62">
        <v>12961</v>
      </c>
      <c r="E1451" s="46" t="s">
        <v>11452</v>
      </c>
      <c r="F1451" s="63">
        <v>40756</v>
      </c>
      <c r="G1451" s="63">
        <v>41122</v>
      </c>
      <c r="H1451" s="46" t="s">
        <v>2039</v>
      </c>
      <c r="I1451" s="64">
        <v>52127.47</v>
      </c>
      <c r="J1451" s="64">
        <v>52127.47</v>
      </c>
      <c r="K1451" s="65" t="s">
        <v>2650</v>
      </c>
      <c r="L1451" s="6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row>
    <row r="1452" spans="1:60" ht="25.5" x14ac:dyDescent="0.25">
      <c r="A1452" s="46" t="s">
        <v>11453</v>
      </c>
      <c r="B1452" s="61" t="s">
        <v>13</v>
      </c>
      <c r="C1452" s="61" t="s">
        <v>14</v>
      </c>
      <c r="D1452" s="62">
        <v>12962</v>
      </c>
      <c r="E1452" s="46" t="s">
        <v>11453</v>
      </c>
      <c r="F1452" s="63">
        <v>40938</v>
      </c>
      <c r="G1452" s="63">
        <v>41397</v>
      </c>
      <c r="H1452" s="46" t="s">
        <v>2039</v>
      </c>
      <c r="I1452" s="64">
        <v>32001.17</v>
      </c>
      <c r="J1452" s="64">
        <v>32001.17</v>
      </c>
      <c r="K1452" s="65" t="s">
        <v>2650</v>
      </c>
      <c r="L1452" s="6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row>
    <row r="1453" spans="1:60" ht="25.5" x14ac:dyDescent="0.25">
      <c r="A1453" s="46" t="s">
        <v>11454</v>
      </c>
      <c r="B1453" s="61" t="s">
        <v>13</v>
      </c>
      <c r="C1453" s="61" t="s">
        <v>14</v>
      </c>
      <c r="D1453" s="62">
        <v>12963</v>
      </c>
      <c r="E1453" s="46" t="s">
        <v>11454</v>
      </c>
      <c r="F1453" s="63">
        <v>40924</v>
      </c>
      <c r="G1453" s="63">
        <v>41655</v>
      </c>
      <c r="H1453" s="46" t="s">
        <v>2039</v>
      </c>
      <c r="I1453" s="64">
        <v>132930.60999999999</v>
      </c>
      <c r="J1453" s="64">
        <v>132930.60999999999</v>
      </c>
      <c r="K1453" s="65" t="s">
        <v>2650</v>
      </c>
      <c r="L1453" s="6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row>
    <row r="1454" spans="1:60" x14ac:dyDescent="0.25">
      <c r="A1454" s="46" t="s">
        <v>11455</v>
      </c>
      <c r="B1454" s="61" t="s">
        <v>13</v>
      </c>
      <c r="C1454" s="61" t="s">
        <v>14</v>
      </c>
      <c r="D1454" s="62">
        <v>12964</v>
      </c>
      <c r="E1454" s="46" t="s">
        <v>11455</v>
      </c>
      <c r="F1454" s="63">
        <v>40909</v>
      </c>
      <c r="G1454" s="63">
        <v>41275</v>
      </c>
      <c r="H1454" s="46" t="s">
        <v>2039</v>
      </c>
      <c r="I1454" s="64">
        <v>79075.45</v>
      </c>
      <c r="J1454" s="64">
        <v>79075.45</v>
      </c>
      <c r="K1454" s="65" t="s">
        <v>2650</v>
      </c>
      <c r="L1454" s="6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row>
    <row r="1455" spans="1:60" ht="38.25" x14ac:dyDescent="0.25">
      <c r="A1455" s="46" t="s">
        <v>11456</v>
      </c>
      <c r="B1455" s="61" t="s">
        <v>13</v>
      </c>
      <c r="C1455" s="61" t="s">
        <v>14</v>
      </c>
      <c r="D1455" s="62">
        <v>12965</v>
      </c>
      <c r="E1455" s="46" t="s">
        <v>11456</v>
      </c>
      <c r="F1455" s="63">
        <v>40909</v>
      </c>
      <c r="G1455" s="63">
        <v>41670</v>
      </c>
      <c r="H1455" s="46" t="s">
        <v>2039</v>
      </c>
      <c r="I1455" s="64">
        <v>62473.99</v>
      </c>
      <c r="J1455" s="64">
        <v>62473.99</v>
      </c>
      <c r="K1455" s="65" t="s">
        <v>2650</v>
      </c>
      <c r="L1455" s="6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row>
    <row r="1456" spans="1:60" x14ac:dyDescent="0.25">
      <c r="A1456" s="46" t="s">
        <v>11457</v>
      </c>
      <c r="B1456" s="61" t="s">
        <v>13</v>
      </c>
      <c r="C1456" s="61" t="s">
        <v>14</v>
      </c>
      <c r="D1456" s="62">
        <v>12966</v>
      </c>
      <c r="E1456" s="46" t="s">
        <v>11457</v>
      </c>
      <c r="F1456" s="63">
        <v>40909</v>
      </c>
      <c r="G1456" s="63">
        <v>41425</v>
      </c>
      <c r="H1456" s="46" t="s">
        <v>2039</v>
      </c>
      <c r="I1456" s="64">
        <v>48075.72</v>
      </c>
      <c r="J1456" s="64">
        <v>48075.72</v>
      </c>
      <c r="K1456" s="65" t="s">
        <v>2650</v>
      </c>
      <c r="L1456" s="6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row>
    <row r="1457" spans="1:60" ht="25.5" x14ac:dyDescent="0.25">
      <c r="A1457" s="46" t="s">
        <v>11458</v>
      </c>
      <c r="B1457" s="61" t="s">
        <v>13</v>
      </c>
      <c r="C1457" s="61" t="s">
        <v>14</v>
      </c>
      <c r="D1457" s="62">
        <v>12967</v>
      </c>
      <c r="E1457" s="46" t="s">
        <v>11458</v>
      </c>
      <c r="F1457" s="63">
        <v>40940</v>
      </c>
      <c r="G1457" s="63">
        <v>41394</v>
      </c>
      <c r="H1457" s="46" t="s">
        <v>2039</v>
      </c>
      <c r="I1457" s="64">
        <v>103683.4</v>
      </c>
      <c r="J1457" s="64">
        <v>103683.4</v>
      </c>
      <c r="K1457" s="65" t="s">
        <v>2650</v>
      </c>
      <c r="L1457" s="6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row>
    <row r="1458" spans="1:60" x14ac:dyDescent="0.25">
      <c r="A1458" s="46" t="s">
        <v>11459</v>
      </c>
      <c r="B1458" s="61" t="s">
        <v>13</v>
      </c>
      <c r="C1458" s="61" t="s">
        <v>14</v>
      </c>
      <c r="D1458" s="62">
        <v>12968</v>
      </c>
      <c r="E1458" s="46" t="s">
        <v>11459</v>
      </c>
      <c r="F1458" s="63">
        <v>40969</v>
      </c>
      <c r="G1458" s="63">
        <v>41883</v>
      </c>
      <c r="H1458" s="46" t="s">
        <v>2039</v>
      </c>
      <c r="I1458" s="64">
        <v>18193.259999999998</v>
      </c>
      <c r="J1458" s="64">
        <v>18193.259999999998</v>
      </c>
      <c r="K1458" s="65" t="s">
        <v>2650</v>
      </c>
      <c r="L1458" s="6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row>
    <row r="1459" spans="1:60" ht="25.5" x14ac:dyDescent="0.25">
      <c r="A1459" s="46" t="s">
        <v>11460</v>
      </c>
      <c r="B1459" s="61" t="s">
        <v>13</v>
      </c>
      <c r="C1459" s="61" t="s">
        <v>14</v>
      </c>
      <c r="D1459" s="62">
        <v>12969</v>
      </c>
      <c r="E1459" s="46" t="s">
        <v>11460</v>
      </c>
      <c r="F1459" s="63">
        <v>41061</v>
      </c>
      <c r="G1459" s="63">
        <v>41426</v>
      </c>
      <c r="H1459" s="46" t="s">
        <v>2039</v>
      </c>
      <c r="I1459" s="64">
        <v>31641.88</v>
      </c>
      <c r="J1459" s="64">
        <v>31641.88</v>
      </c>
      <c r="K1459" s="65" t="s">
        <v>2650</v>
      </c>
      <c r="L1459" s="6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row>
    <row r="1460" spans="1:60" x14ac:dyDescent="0.25">
      <c r="A1460" s="46" t="s">
        <v>11461</v>
      </c>
      <c r="B1460" s="61" t="s">
        <v>13</v>
      </c>
      <c r="C1460" s="61" t="s">
        <v>14</v>
      </c>
      <c r="D1460" s="62">
        <v>12970</v>
      </c>
      <c r="E1460" s="46" t="s">
        <v>11461</v>
      </c>
      <c r="F1460" s="63">
        <v>41054</v>
      </c>
      <c r="G1460" s="63">
        <v>41419</v>
      </c>
      <c r="H1460" s="46" t="s">
        <v>2039</v>
      </c>
      <c r="I1460" s="64">
        <v>45989.77</v>
      </c>
      <c r="J1460" s="64">
        <v>45989.77</v>
      </c>
      <c r="K1460" s="65" t="s">
        <v>2650</v>
      </c>
      <c r="L1460" s="6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row>
    <row r="1461" spans="1:60" ht="25.5" x14ac:dyDescent="0.25">
      <c r="A1461" s="46" t="s">
        <v>11462</v>
      </c>
      <c r="B1461" s="61" t="s">
        <v>13</v>
      </c>
      <c r="C1461" s="61" t="s">
        <v>14</v>
      </c>
      <c r="D1461" s="62">
        <v>12971</v>
      </c>
      <c r="E1461" s="46" t="s">
        <v>11462</v>
      </c>
      <c r="F1461" s="63">
        <v>41091</v>
      </c>
      <c r="G1461" s="63">
        <v>41456</v>
      </c>
      <c r="H1461" s="46" t="s">
        <v>2039</v>
      </c>
      <c r="I1461" s="64">
        <v>81394.289999999994</v>
      </c>
      <c r="J1461" s="64">
        <v>81394.289999999994</v>
      </c>
      <c r="K1461" s="65" t="s">
        <v>2650</v>
      </c>
      <c r="L1461" s="6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row>
    <row r="1462" spans="1:60" ht="25.5" x14ac:dyDescent="0.25">
      <c r="A1462" s="46" t="s">
        <v>11463</v>
      </c>
      <c r="B1462" s="61" t="s">
        <v>13</v>
      </c>
      <c r="C1462" s="61" t="s">
        <v>14</v>
      </c>
      <c r="D1462" s="62">
        <v>12972</v>
      </c>
      <c r="E1462" s="46" t="s">
        <v>11463</v>
      </c>
      <c r="F1462" s="63">
        <v>41061</v>
      </c>
      <c r="G1462" s="63">
        <v>41426</v>
      </c>
      <c r="H1462" s="46" t="s">
        <v>2039</v>
      </c>
      <c r="I1462" s="64">
        <v>29619.66</v>
      </c>
      <c r="J1462" s="64">
        <v>29619.66</v>
      </c>
      <c r="K1462" s="65" t="s">
        <v>2650</v>
      </c>
      <c r="L1462" s="6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row>
    <row r="1463" spans="1:60" ht="25.5" x14ac:dyDescent="0.25">
      <c r="A1463" s="46" t="s">
        <v>11464</v>
      </c>
      <c r="B1463" s="61" t="s">
        <v>13</v>
      </c>
      <c r="C1463" s="61" t="s">
        <v>14</v>
      </c>
      <c r="D1463" s="62">
        <v>12973</v>
      </c>
      <c r="E1463" s="46" t="s">
        <v>11464</v>
      </c>
      <c r="F1463" s="63">
        <v>41122</v>
      </c>
      <c r="G1463" s="63">
        <v>41487</v>
      </c>
      <c r="H1463" s="46" t="s">
        <v>2039</v>
      </c>
      <c r="I1463" s="64">
        <v>12794.41</v>
      </c>
      <c r="J1463" s="64">
        <v>12794.41</v>
      </c>
      <c r="K1463" s="65" t="s">
        <v>2650</v>
      </c>
      <c r="L1463" s="6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row>
    <row r="1464" spans="1:60" ht="25.5" x14ac:dyDescent="0.25">
      <c r="A1464" s="46" t="s">
        <v>11465</v>
      </c>
      <c r="B1464" s="61" t="s">
        <v>13</v>
      </c>
      <c r="C1464" s="61" t="s">
        <v>14</v>
      </c>
      <c r="D1464" s="62">
        <v>12974</v>
      </c>
      <c r="E1464" s="46" t="s">
        <v>11465</v>
      </c>
      <c r="F1464" s="63">
        <v>41091</v>
      </c>
      <c r="G1464" s="63">
        <v>41685</v>
      </c>
      <c r="H1464" s="46" t="s">
        <v>2039</v>
      </c>
      <c r="I1464" s="64">
        <v>8878.6</v>
      </c>
      <c r="J1464" s="64">
        <v>8878.6</v>
      </c>
      <c r="K1464" s="65" t="s">
        <v>2650</v>
      </c>
      <c r="L1464" s="6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row>
    <row r="1465" spans="1:60" x14ac:dyDescent="0.25">
      <c r="A1465" s="46" t="s">
        <v>11466</v>
      </c>
      <c r="B1465" s="61" t="s">
        <v>13</v>
      </c>
      <c r="C1465" s="61" t="s">
        <v>14</v>
      </c>
      <c r="D1465" s="62">
        <v>12975</v>
      </c>
      <c r="E1465" s="46" t="s">
        <v>11466</v>
      </c>
      <c r="F1465" s="63">
        <v>41183</v>
      </c>
      <c r="G1465" s="63">
        <v>41365</v>
      </c>
      <c r="H1465" s="46" t="s">
        <v>2039</v>
      </c>
      <c r="I1465" s="64">
        <v>22024.01</v>
      </c>
      <c r="J1465" s="64">
        <v>22024.01</v>
      </c>
      <c r="K1465" s="65" t="s">
        <v>2650</v>
      </c>
      <c r="L1465" s="6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row>
    <row r="1466" spans="1:60" ht="25.5" x14ac:dyDescent="0.25">
      <c r="A1466" s="46" t="s">
        <v>11467</v>
      </c>
      <c r="B1466" s="61" t="s">
        <v>13</v>
      </c>
      <c r="C1466" s="61" t="s">
        <v>14</v>
      </c>
      <c r="D1466" s="62">
        <v>12976</v>
      </c>
      <c r="E1466" s="46" t="s">
        <v>11467</v>
      </c>
      <c r="F1466" s="63">
        <v>41176</v>
      </c>
      <c r="G1466" s="63">
        <v>41906</v>
      </c>
      <c r="H1466" s="46" t="s">
        <v>2039</v>
      </c>
      <c r="I1466" s="64">
        <v>12729.57</v>
      </c>
      <c r="J1466" s="64">
        <v>12729.57</v>
      </c>
      <c r="K1466" s="65" t="s">
        <v>2650</v>
      </c>
      <c r="L1466" s="6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row>
    <row r="1467" spans="1:60" ht="25.5" x14ac:dyDescent="0.25">
      <c r="A1467" s="46" t="s">
        <v>11468</v>
      </c>
      <c r="B1467" s="61" t="s">
        <v>13</v>
      </c>
      <c r="C1467" s="61" t="s">
        <v>14</v>
      </c>
      <c r="D1467" s="62">
        <v>12977</v>
      </c>
      <c r="E1467" s="46" t="s">
        <v>11468</v>
      </c>
      <c r="F1467" s="63">
        <v>41183</v>
      </c>
      <c r="G1467" s="63">
        <v>41730</v>
      </c>
      <c r="H1467" s="46" t="s">
        <v>2039</v>
      </c>
      <c r="I1467" s="64">
        <v>131.72999999999999</v>
      </c>
      <c r="J1467" s="64">
        <v>131.72999999999999</v>
      </c>
      <c r="K1467" s="65" t="s">
        <v>2650</v>
      </c>
      <c r="L1467" s="6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row>
    <row r="1468" spans="1:60" x14ac:dyDescent="0.25">
      <c r="A1468" s="46" t="s">
        <v>11496</v>
      </c>
      <c r="B1468" s="61" t="s">
        <v>13</v>
      </c>
      <c r="C1468" s="61" t="s">
        <v>14</v>
      </c>
      <c r="D1468" s="62">
        <v>13035</v>
      </c>
      <c r="E1468" s="46" t="s">
        <v>11497</v>
      </c>
      <c r="F1468" s="63">
        <v>41153</v>
      </c>
      <c r="G1468" s="63">
        <v>41699</v>
      </c>
      <c r="H1468" s="46" t="s">
        <v>2039</v>
      </c>
      <c r="I1468" s="64">
        <v>177.58</v>
      </c>
      <c r="J1468" s="64">
        <v>177.58</v>
      </c>
      <c r="K1468" s="65" t="s">
        <v>2650</v>
      </c>
      <c r="L1468" s="6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row>
    <row r="1469" spans="1:60" x14ac:dyDescent="0.25">
      <c r="A1469" s="46" t="s">
        <v>11498</v>
      </c>
      <c r="B1469" s="61" t="s">
        <v>13</v>
      </c>
      <c r="C1469" s="61" t="s">
        <v>14</v>
      </c>
      <c r="D1469" s="62">
        <v>13036</v>
      </c>
      <c r="E1469" s="46" t="s">
        <v>11499</v>
      </c>
      <c r="F1469" s="63">
        <v>41085</v>
      </c>
      <c r="G1469" s="63">
        <v>41388</v>
      </c>
      <c r="H1469" s="46" t="s">
        <v>2039</v>
      </c>
      <c r="I1469" s="64">
        <v>3135.92</v>
      </c>
      <c r="J1469" s="64">
        <v>3135.92</v>
      </c>
      <c r="K1469" s="65" t="s">
        <v>2650</v>
      </c>
      <c r="L1469" s="6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row>
    <row r="1470" spans="1:60" ht="25.5" x14ac:dyDescent="0.25">
      <c r="A1470" s="46" t="s">
        <v>11500</v>
      </c>
      <c r="B1470" s="61" t="s">
        <v>13</v>
      </c>
      <c r="C1470" s="61" t="s">
        <v>14</v>
      </c>
      <c r="D1470" s="62">
        <v>13037</v>
      </c>
      <c r="E1470" s="46" t="s">
        <v>11501</v>
      </c>
      <c r="F1470" s="63">
        <v>41153</v>
      </c>
      <c r="G1470" s="63">
        <v>42154</v>
      </c>
      <c r="H1470" s="46" t="s">
        <v>2039</v>
      </c>
      <c r="I1470" s="64">
        <v>572.52</v>
      </c>
      <c r="J1470" s="64">
        <v>572.52</v>
      </c>
      <c r="K1470" s="65" t="s">
        <v>2650</v>
      </c>
      <c r="L1470" s="61"/>
      <c r="M1470" s="23"/>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row>
    <row r="1471" spans="1:60" x14ac:dyDescent="0.25">
      <c r="A1471" s="46" t="s">
        <v>11502</v>
      </c>
      <c r="B1471" s="61" t="s">
        <v>13</v>
      </c>
      <c r="C1471" s="61" t="s">
        <v>14</v>
      </c>
      <c r="D1471" s="62">
        <v>13038</v>
      </c>
      <c r="E1471" s="46" t="s">
        <v>11503</v>
      </c>
      <c r="F1471" s="63">
        <v>40909</v>
      </c>
      <c r="G1471" s="63">
        <v>41425</v>
      </c>
      <c r="H1471" s="46" t="s">
        <v>2039</v>
      </c>
      <c r="I1471" s="64">
        <v>128063.97</v>
      </c>
      <c r="J1471" s="64">
        <v>128063.97</v>
      </c>
      <c r="K1471" s="65" t="s">
        <v>2650</v>
      </c>
      <c r="L1471" s="61"/>
      <c r="M1471" s="23"/>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row>
    <row r="1472" spans="1:60" ht="25.5" x14ac:dyDescent="0.25">
      <c r="A1472" s="46" t="s">
        <v>11504</v>
      </c>
      <c r="B1472" s="61" t="s">
        <v>13</v>
      </c>
      <c r="C1472" s="61" t="s">
        <v>14</v>
      </c>
      <c r="D1472" s="62">
        <v>13039</v>
      </c>
      <c r="E1472" s="46" t="s">
        <v>11505</v>
      </c>
      <c r="F1472" s="63">
        <v>40756</v>
      </c>
      <c r="G1472" s="63">
        <v>41228</v>
      </c>
      <c r="H1472" s="46" t="s">
        <v>2039</v>
      </c>
      <c r="I1472" s="64">
        <v>35459.339999999997</v>
      </c>
      <c r="J1472" s="64">
        <v>35459.339999999997</v>
      </c>
      <c r="K1472" s="65" t="s">
        <v>2650</v>
      </c>
      <c r="L1472" s="6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row>
    <row r="1473" spans="1:60" ht="38.25" x14ac:dyDescent="0.25">
      <c r="A1473" s="46" t="s">
        <v>11441</v>
      </c>
      <c r="B1473" s="61" t="s">
        <v>13</v>
      </c>
      <c r="C1473" s="61" t="s">
        <v>14</v>
      </c>
      <c r="D1473" s="62">
        <v>13051</v>
      </c>
      <c r="E1473" s="46" t="s">
        <v>11612</v>
      </c>
      <c r="F1473" s="63">
        <v>41091</v>
      </c>
      <c r="G1473" s="63">
        <v>41881</v>
      </c>
      <c r="H1473" s="46" t="s">
        <v>2039</v>
      </c>
      <c r="I1473" s="64">
        <v>5829.04</v>
      </c>
      <c r="J1473" s="64">
        <v>5829.04</v>
      </c>
      <c r="K1473" s="65" t="s">
        <v>2650</v>
      </c>
      <c r="L1473" s="6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row>
    <row r="1474" spans="1:60" ht="38.25" x14ac:dyDescent="0.25">
      <c r="A1474" s="46" t="s">
        <v>11388</v>
      </c>
      <c r="B1474" s="61" t="s">
        <v>13</v>
      </c>
      <c r="C1474" s="61" t="s">
        <v>14</v>
      </c>
      <c r="D1474" s="62">
        <v>13052</v>
      </c>
      <c r="E1474" s="46" t="s">
        <v>11389</v>
      </c>
      <c r="F1474" s="63">
        <v>41122</v>
      </c>
      <c r="G1474" s="63">
        <v>41486</v>
      </c>
      <c r="H1474" s="46" t="s">
        <v>2039</v>
      </c>
      <c r="I1474" s="64">
        <v>14615.23</v>
      </c>
      <c r="J1474" s="64">
        <v>14615.23</v>
      </c>
      <c r="K1474" s="65" t="s">
        <v>2650</v>
      </c>
      <c r="L1474" s="6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row>
    <row r="1475" spans="1:60" x14ac:dyDescent="0.25">
      <c r="A1475" s="46" t="s">
        <v>11390</v>
      </c>
      <c r="B1475" s="61" t="s">
        <v>13</v>
      </c>
      <c r="C1475" s="61" t="s">
        <v>14</v>
      </c>
      <c r="D1475" s="62">
        <v>13054</v>
      </c>
      <c r="E1475" s="46" t="s">
        <v>11390</v>
      </c>
      <c r="F1475" s="63">
        <v>41187</v>
      </c>
      <c r="G1475" s="63">
        <v>41551</v>
      </c>
      <c r="H1475" s="46" t="s">
        <v>2039</v>
      </c>
      <c r="I1475" s="64">
        <v>15218.92</v>
      </c>
      <c r="J1475" s="64">
        <v>15217.15</v>
      </c>
      <c r="K1475" s="65" t="s">
        <v>2650</v>
      </c>
      <c r="L1475" s="61"/>
      <c r="M1475" s="21"/>
      <c r="N1475" s="80"/>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row>
    <row r="1476" spans="1:60" x14ac:dyDescent="0.25">
      <c r="A1476" s="46" t="s">
        <v>11391</v>
      </c>
      <c r="B1476" s="61" t="s">
        <v>13</v>
      </c>
      <c r="C1476" s="61" t="s">
        <v>14</v>
      </c>
      <c r="D1476" s="62">
        <v>13055</v>
      </c>
      <c r="E1476" s="46" t="s">
        <v>11391</v>
      </c>
      <c r="F1476" s="63">
        <v>41074</v>
      </c>
      <c r="G1476" s="63">
        <v>41121</v>
      </c>
      <c r="H1476" s="46" t="s">
        <v>2039</v>
      </c>
      <c r="I1476" s="64">
        <v>13000</v>
      </c>
      <c r="J1476" s="64">
        <v>13000</v>
      </c>
      <c r="K1476" s="65" t="s">
        <v>2650</v>
      </c>
      <c r="L1476" s="6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row>
    <row r="1477" spans="1:60" x14ac:dyDescent="0.25">
      <c r="A1477" s="46" t="s">
        <v>11613</v>
      </c>
      <c r="B1477" s="61" t="s">
        <v>13</v>
      </c>
      <c r="C1477" s="61" t="s">
        <v>14</v>
      </c>
      <c r="D1477" s="62">
        <v>13056</v>
      </c>
      <c r="E1477" s="46" t="s">
        <v>11613</v>
      </c>
      <c r="F1477" s="63">
        <v>41214</v>
      </c>
      <c r="G1477" s="63">
        <v>41547</v>
      </c>
      <c r="H1477" s="46" t="s">
        <v>2039</v>
      </c>
      <c r="I1477" s="64">
        <v>16432.79</v>
      </c>
      <c r="J1477" s="64">
        <v>16432.79</v>
      </c>
      <c r="K1477" s="65" t="s">
        <v>2650</v>
      </c>
      <c r="L1477" s="6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row>
    <row r="1478" spans="1:60" ht="25.5" x14ac:dyDescent="0.25">
      <c r="A1478" s="46" t="s">
        <v>11392</v>
      </c>
      <c r="B1478" s="61" t="s">
        <v>13</v>
      </c>
      <c r="C1478" s="61" t="s">
        <v>14</v>
      </c>
      <c r="D1478" s="62">
        <v>13057</v>
      </c>
      <c r="E1478" s="46" t="s">
        <v>11392</v>
      </c>
      <c r="F1478" s="63">
        <v>41155</v>
      </c>
      <c r="G1478" s="63">
        <v>41516</v>
      </c>
      <c r="H1478" s="46" t="s">
        <v>2039</v>
      </c>
      <c r="I1478" s="64">
        <v>10296.56</v>
      </c>
      <c r="J1478" s="64">
        <v>10296.56</v>
      </c>
      <c r="K1478" s="65" t="s">
        <v>2650</v>
      </c>
      <c r="L1478" s="6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row>
    <row r="1479" spans="1:60" ht="25.5" x14ac:dyDescent="0.25">
      <c r="A1479" s="46" t="s">
        <v>11393</v>
      </c>
      <c r="B1479" s="61" t="s">
        <v>13</v>
      </c>
      <c r="C1479" s="61" t="s">
        <v>14</v>
      </c>
      <c r="D1479" s="62">
        <v>13059</v>
      </c>
      <c r="E1479" s="46" t="s">
        <v>11393</v>
      </c>
      <c r="F1479" s="63">
        <v>41000</v>
      </c>
      <c r="G1479" s="63">
        <v>41364</v>
      </c>
      <c r="H1479" s="46" t="s">
        <v>2039</v>
      </c>
      <c r="I1479" s="64">
        <v>17693.09</v>
      </c>
      <c r="J1479" s="64">
        <v>17693.09</v>
      </c>
      <c r="K1479" s="65" t="s">
        <v>2650</v>
      </c>
      <c r="L1479" s="6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row>
    <row r="1480" spans="1:60" ht="25.5" x14ac:dyDescent="0.25">
      <c r="A1480" s="46" t="s">
        <v>11394</v>
      </c>
      <c r="B1480" s="61" t="s">
        <v>13</v>
      </c>
      <c r="C1480" s="61" t="s">
        <v>14</v>
      </c>
      <c r="D1480" s="62">
        <v>13062</v>
      </c>
      <c r="E1480" s="46" t="s">
        <v>11394</v>
      </c>
      <c r="F1480" s="63">
        <v>41169</v>
      </c>
      <c r="G1480" s="63">
        <v>42095</v>
      </c>
      <c r="H1480" s="46" t="s">
        <v>2039</v>
      </c>
      <c r="I1480" s="64">
        <v>10510.36</v>
      </c>
      <c r="J1480" s="64">
        <v>10510.36</v>
      </c>
      <c r="K1480" s="65" t="s">
        <v>2650</v>
      </c>
      <c r="L1480" s="6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row>
    <row r="1481" spans="1:60" ht="25.5" x14ac:dyDescent="0.25">
      <c r="A1481" s="46" t="s">
        <v>3068</v>
      </c>
      <c r="B1481" s="46" t="s">
        <v>13</v>
      </c>
      <c r="C1481" s="46" t="s">
        <v>14</v>
      </c>
      <c r="D1481" s="47">
        <v>9464</v>
      </c>
      <c r="E1481" s="46" t="s">
        <v>3069</v>
      </c>
      <c r="F1481" s="48">
        <v>40081</v>
      </c>
      <c r="G1481" s="48">
        <v>40177</v>
      </c>
      <c r="H1481" s="46" t="s">
        <v>389</v>
      </c>
      <c r="I1481" s="45">
        <v>110709</v>
      </c>
      <c r="J1481" s="45">
        <v>25971.57</v>
      </c>
      <c r="K1481" s="49" t="s">
        <v>2650</v>
      </c>
      <c r="L1481" s="45"/>
      <c r="M1481" s="3"/>
    </row>
    <row r="1482" spans="1:60" x14ac:dyDescent="0.25">
      <c r="A1482" s="46" t="s">
        <v>3070</v>
      </c>
      <c r="B1482" s="46" t="s">
        <v>13</v>
      </c>
      <c r="C1482" s="46" t="s">
        <v>14</v>
      </c>
      <c r="D1482" s="47">
        <v>9466</v>
      </c>
      <c r="E1482" s="46" t="s">
        <v>3071</v>
      </c>
      <c r="F1482" s="48">
        <v>40065</v>
      </c>
      <c r="G1482" s="48">
        <v>40170</v>
      </c>
      <c r="H1482" s="46" t="s">
        <v>389</v>
      </c>
      <c r="I1482" s="45">
        <v>110709</v>
      </c>
      <c r="J1482" s="45">
        <v>35242</v>
      </c>
      <c r="K1482" s="49" t="s">
        <v>2650</v>
      </c>
      <c r="L1482" s="45"/>
      <c r="M1482" s="3"/>
    </row>
    <row r="1483" spans="1:60" ht="25.5" x14ac:dyDescent="0.25">
      <c r="A1483" s="46" t="s">
        <v>3072</v>
      </c>
      <c r="B1483" s="46" t="s">
        <v>13</v>
      </c>
      <c r="C1483" s="46" t="s">
        <v>14</v>
      </c>
      <c r="D1483" s="47">
        <v>9470</v>
      </c>
      <c r="E1483" s="46" t="s">
        <v>3073</v>
      </c>
      <c r="F1483" s="48">
        <v>40085</v>
      </c>
      <c r="G1483" s="48">
        <v>40170</v>
      </c>
      <c r="H1483" s="46" t="s">
        <v>389</v>
      </c>
      <c r="I1483" s="45">
        <v>110709</v>
      </c>
      <c r="J1483" s="45">
        <v>39900</v>
      </c>
      <c r="K1483" s="49" t="s">
        <v>2650</v>
      </c>
      <c r="L1483" s="45"/>
      <c r="M1483" s="3"/>
    </row>
    <row r="1484" spans="1:60" x14ac:dyDescent="0.25">
      <c r="A1484" s="46" t="s">
        <v>3074</v>
      </c>
      <c r="B1484" s="46" t="s">
        <v>13</v>
      </c>
      <c r="C1484" s="46" t="s">
        <v>14</v>
      </c>
      <c r="D1484" s="47">
        <v>9477</v>
      </c>
      <c r="E1484" s="46" t="s">
        <v>3075</v>
      </c>
      <c r="F1484" s="48">
        <v>40099</v>
      </c>
      <c r="G1484" s="48">
        <v>40158</v>
      </c>
      <c r="H1484" s="46" t="s">
        <v>389</v>
      </c>
      <c r="I1484" s="45">
        <v>110709</v>
      </c>
      <c r="J1484" s="45">
        <v>38901.11</v>
      </c>
      <c r="K1484" s="49" t="s">
        <v>2650</v>
      </c>
      <c r="L1484" s="45"/>
      <c r="M1484" s="3"/>
    </row>
    <row r="1485" spans="1:60" x14ac:dyDescent="0.25">
      <c r="A1485" s="46" t="s">
        <v>3076</v>
      </c>
      <c r="B1485" s="46" t="s">
        <v>13</v>
      </c>
      <c r="C1485" s="46" t="s">
        <v>14</v>
      </c>
      <c r="D1485" s="47">
        <v>9478</v>
      </c>
      <c r="E1485" s="46" t="s">
        <v>3077</v>
      </c>
      <c r="F1485" s="48">
        <v>40086</v>
      </c>
      <c r="G1485" s="48">
        <v>40164</v>
      </c>
      <c r="H1485" s="46" t="s">
        <v>389</v>
      </c>
      <c r="I1485" s="45">
        <v>110709</v>
      </c>
      <c r="J1485" s="45">
        <v>8171.95</v>
      </c>
      <c r="K1485" s="49" t="s">
        <v>2650</v>
      </c>
      <c r="L1485" s="45"/>
      <c r="M1485" s="3"/>
    </row>
    <row r="1486" spans="1:60" x14ac:dyDescent="0.25">
      <c r="A1486" s="46" t="s">
        <v>3078</v>
      </c>
      <c r="B1486" s="46" t="s">
        <v>13</v>
      </c>
      <c r="C1486" s="46" t="s">
        <v>14</v>
      </c>
      <c r="D1486" s="47">
        <v>9490</v>
      </c>
      <c r="E1486" s="46" t="s">
        <v>3079</v>
      </c>
      <c r="F1486" s="48">
        <v>40099</v>
      </c>
      <c r="G1486" s="48">
        <v>40158</v>
      </c>
      <c r="H1486" s="46" t="s">
        <v>389</v>
      </c>
      <c r="I1486" s="45">
        <v>110709</v>
      </c>
      <c r="J1486" s="45">
        <v>60082.75</v>
      </c>
      <c r="K1486" s="49" t="s">
        <v>2650</v>
      </c>
      <c r="L1486" s="45"/>
      <c r="M1486" s="3"/>
    </row>
    <row r="1487" spans="1:60" x14ac:dyDescent="0.25">
      <c r="A1487" s="46" t="s">
        <v>3080</v>
      </c>
      <c r="B1487" s="46" t="s">
        <v>13</v>
      </c>
      <c r="C1487" s="46" t="s">
        <v>14</v>
      </c>
      <c r="D1487" s="47">
        <v>9492</v>
      </c>
      <c r="E1487" s="46" t="s">
        <v>3081</v>
      </c>
      <c r="F1487" s="48">
        <v>40099</v>
      </c>
      <c r="G1487" s="48">
        <v>40165</v>
      </c>
      <c r="H1487" s="46" t="s">
        <v>389</v>
      </c>
      <c r="I1487" s="45">
        <v>110709</v>
      </c>
      <c r="J1487" s="45">
        <v>72606.63</v>
      </c>
      <c r="K1487" s="49" t="s">
        <v>2650</v>
      </c>
      <c r="L1487" s="45"/>
      <c r="M1487" s="3"/>
    </row>
    <row r="1488" spans="1:60" ht="25.5" x14ac:dyDescent="0.25">
      <c r="A1488" s="46" t="s">
        <v>3082</v>
      </c>
      <c r="B1488" s="46" t="s">
        <v>13</v>
      </c>
      <c r="C1488" s="46" t="s">
        <v>14</v>
      </c>
      <c r="D1488" s="47">
        <v>9863</v>
      </c>
      <c r="E1488" s="46" t="s">
        <v>3083</v>
      </c>
      <c r="F1488" s="48">
        <v>41106</v>
      </c>
      <c r="G1488" s="48">
        <v>41632</v>
      </c>
      <c r="H1488" s="46" t="s">
        <v>392</v>
      </c>
      <c r="I1488" s="45">
        <v>491000</v>
      </c>
      <c r="J1488" s="45">
        <v>168000</v>
      </c>
      <c r="K1488" s="49" t="s">
        <v>2650</v>
      </c>
      <c r="L1488" s="45"/>
      <c r="M1488" s="3"/>
    </row>
    <row r="1489" spans="1:60" ht="25.5" x14ac:dyDescent="0.25">
      <c r="A1489" s="46" t="s">
        <v>3084</v>
      </c>
      <c r="B1489" s="46" t="s">
        <v>13</v>
      </c>
      <c r="C1489" s="46" t="s">
        <v>14</v>
      </c>
      <c r="D1489" s="47">
        <v>9867</v>
      </c>
      <c r="E1489" s="46" t="s">
        <v>3085</v>
      </c>
      <c r="F1489" s="48">
        <v>40774</v>
      </c>
      <c r="G1489" s="48">
        <v>40900</v>
      </c>
      <c r="H1489" s="46" t="s">
        <v>392</v>
      </c>
      <c r="I1489" s="45">
        <v>930000</v>
      </c>
      <c r="J1489" s="45">
        <v>268228.11</v>
      </c>
      <c r="K1489" s="49" t="s">
        <v>2650</v>
      </c>
      <c r="L1489" s="45"/>
      <c r="M1489" s="3"/>
    </row>
    <row r="1490" spans="1:60" ht="38.25" x14ac:dyDescent="0.25">
      <c r="A1490" s="46" t="s">
        <v>2034</v>
      </c>
      <c r="B1490" s="46" t="s">
        <v>13</v>
      </c>
      <c r="C1490" s="46" t="s">
        <v>14</v>
      </c>
      <c r="D1490" s="47">
        <v>9880</v>
      </c>
      <c r="E1490" s="50" t="s">
        <v>3086</v>
      </c>
      <c r="F1490" s="48">
        <v>41106</v>
      </c>
      <c r="G1490" s="48">
        <v>41297</v>
      </c>
      <c r="H1490" s="46" t="s">
        <v>392</v>
      </c>
      <c r="I1490" s="45">
        <v>1250010.44</v>
      </c>
      <c r="J1490" s="45">
        <v>250002</v>
      </c>
      <c r="K1490" s="49" t="s">
        <v>2650</v>
      </c>
      <c r="L1490" s="45"/>
      <c r="M1490" s="3"/>
    </row>
    <row r="1491" spans="1:60" ht="25.5" x14ac:dyDescent="0.25">
      <c r="A1491" s="46" t="s">
        <v>2648</v>
      </c>
      <c r="B1491" s="46" t="s">
        <v>13</v>
      </c>
      <c r="C1491" s="46" t="s">
        <v>14</v>
      </c>
      <c r="D1491" s="47">
        <v>9899</v>
      </c>
      <c r="E1491" s="46" t="s">
        <v>3087</v>
      </c>
      <c r="F1491" s="48">
        <v>40792</v>
      </c>
      <c r="G1491" s="48">
        <v>40897</v>
      </c>
      <c r="H1491" s="46" t="s">
        <v>392</v>
      </c>
      <c r="I1491" s="45">
        <v>568854.35</v>
      </c>
      <c r="J1491" s="45">
        <v>56885.440000000002</v>
      </c>
      <c r="K1491" s="49" t="s">
        <v>2650</v>
      </c>
      <c r="L1491" s="45"/>
      <c r="M1491" s="3"/>
    </row>
    <row r="1492" spans="1:60" ht="25.5" x14ac:dyDescent="0.25">
      <c r="A1492" s="46" t="s">
        <v>3088</v>
      </c>
      <c r="B1492" s="46" t="s">
        <v>13</v>
      </c>
      <c r="C1492" s="46" t="s">
        <v>14</v>
      </c>
      <c r="D1492" s="47">
        <v>10015</v>
      </c>
      <c r="E1492" s="46" t="s">
        <v>3089</v>
      </c>
      <c r="F1492" s="48">
        <v>41142</v>
      </c>
      <c r="G1492" s="48">
        <v>41250</v>
      </c>
      <c r="H1492" s="46" t="s">
        <v>392</v>
      </c>
      <c r="I1492" s="45">
        <v>148752.72</v>
      </c>
      <c r="J1492" s="45">
        <v>52063.45</v>
      </c>
      <c r="K1492" s="49" t="s">
        <v>2650</v>
      </c>
      <c r="L1492" s="45"/>
      <c r="M1492" s="3"/>
    </row>
    <row r="1493" spans="1:60" ht="25.5" x14ac:dyDescent="0.25">
      <c r="A1493" s="46" t="s">
        <v>3090</v>
      </c>
      <c r="B1493" s="46" t="s">
        <v>13</v>
      </c>
      <c r="C1493" s="46" t="s">
        <v>14</v>
      </c>
      <c r="D1493" s="47">
        <v>10019</v>
      </c>
      <c r="E1493" s="46" t="s">
        <v>3091</v>
      </c>
      <c r="F1493" s="48">
        <v>41134</v>
      </c>
      <c r="G1493" s="48">
        <v>41381</v>
      </c>
      <c r="H1493" s="46" t="s">
        <v>392</v>
      </c>
      <c r="I1493" s="45">
        <v>266478.57</v>
      </c>
      <c r="J1493" s="45">
        <v>53295.72</v>
      </c>
      <c r="K1493" s="49" t="s">
        <v>2650</v>
      </c>
      <c r="L1493" s="45"/>
      <c r="M1493" s="3"/>
    </row>
    <row r="1494" spans="1:60" ht="25.5" x14ac:dyDescent="0.25">
      <c r="A1494" s="46" t="s">
        <v>3092</v>
      </c>
      <c r="B1494" s="46" t="s">
        <v>13</v>
      </c>
      <c r="C1494" s="46" t="s">
        <v>14</v>
      </c>
      <c r="D1494" s="47">
        <v>10023</v>
      </c>
      <c r="E1494" s="46" t="s">
        <v>3093</v>
      </c>
      <c r="F1494" s="48">
        <v>40422</v>
      </c>
      <c r="G1494" s="48">
        <v>40513</v>
      </c>
      <c r="H1494" s="46" t="s">
        <v>392</v>
      </c>
      <c r="I1494" s="45">
        <v>84687</v>
      </c>
      <c r="J1494" s="45">
        <v>29640.45</v>
      </c>
      <c r="K1494" s="49" t="s">
        <v>2650</v>
      </c>
      <c r="L1494" s="45"/>
      <c r="M1494" s="3"/>
    </row>
    <row r="1495" spans="1:60" ht="25.5" x14ac:dyDescent="0.25">
      <c r="A1495" s="46" t="s">
        <v>3094</v>
      </c>
      <c r="B1495" s="46" t="s">
        <v>13</v>
      </c>
      <c r="C1495" s="46" t="s">
        <v>14</v>
      </c>
      <c r="D1495" s="47">
        <v>10030</v>
      </c>
      <c r="E1495" s="46" t="s">
        <v>3095</v>
      </c>
      <c r="F1495" s="48">
        <v>40448</v>
      </c>
      <c r="G1495" s="48">
        <v>40522</v>
      </c>
      <c r="H1495" s="46" t="s">
        <v>392</v>
      </c>
      <c r="I1495" s="45">
        <v>196319</v>
      </c>
      <c r="J1495" s="45">
        <v>49079.75</v>
      </c>
      <c r="K1495" s="49" t="s">
        <v>2650</v>
      </c>
      <c r="L1495" s="45"/>
      <c r="M1495" s="3"/>
    </row>
    <row r="1496" spans="1:60" ht="25.5" x14ac:dyDescent="0.25">
      <c r="A1496" s="46" t="s">
        <v>2034</v>
      </c>
      <c r="B1496" s="46" t="s">
        <v>13</v>
      </c>
      <c r="C1496" s="46" t="s">
        <v>14</v>
      </c>
      <c r="D1496" s="47">
        <v>10036</v>
      </c>
      <c r="E1496" s="46" t="s">
        <v>3096</v>
      </c>
      <c r="F1496" s="48">
        <v>40394</v>
      </c>
      <c r="G1496" s="48">
        <v>40583</v>
      </c>
      <c r="H1496" s="46" t="s">
        <v>392</v>
      </c>
      <c r="I1496" s="45">
        <v>830192.47</v>
      </c>
      <c r="J1496" s="45">
        <v>290567.37</v>
      </c>
      <c r="K1496" s="49" t="s">
        <v>2650</v>
      </c>
      <c r="L1496" s="45"/>
      <c r="M1496" s="3"/>
    </row>
    <row r="1497" spans="1:60" ht="15" x14ac:dyDescent="0.25">
      <c r="A1497" s="46" t="s">
        <v>7449</v>
      </c>
      <c r="B1497" s="46" t="s">
        <v>13</v>
      </c>
      <c r="C1497" s="46" t="s">
        <v>14</v>
      </c>
      <c r="D1497" s="47">
        <v>10060</v>
      </c>
      <c r="E1497" s="46" t="s">
        <v>7450</v>
      </c>
      <c r="F1497" s="48">
        <v>40128</v>
      </c>
      <c r="G1497" s="48">
        <v>40673</v>
      </c>
      <c r="H1497" s="46" t="s">
        <v>16</v>
      </c>
      <c r="I1497" s="45">
        <v>158780</v>
      </c>
      <c r="J1497" s="45">
        <v>42000</v>
      </c>
      <c r="K1497" s="49" t="s">
        <v>2650</v>
      </c>
      <c r="L1497" s="67"/>
      <c r="M1497" s="81"/>
    </row>
    <row r="1498" spans="1:60" ht="38.25" x14ac:dyDescent="0.25">
      <c r="A1498" s="46" t="s">
        <v>3097</v>
      </c>
      <c r="B1498" s="46" t="s">
        <v>13</v>
      </c>
      <c r="C1498" s="46" t="s">
        <v>14</v>
      </c>
      <c r="D1498" s="47">
        <v>10075</v>
      </c>
      <c r="E1498" s="46" t="s">
        <v>3098</v>
      </c>
      <c r="F1498" s="48">
        <v>40812</v>
      </c>
      <c r="G1498" s="48">
        <v>40897</v>
      </c>
      <c r="H1498" s="46" t="s">
        <v>392</v>
      </c>
      <c r="I1498" s="45">
        <v>82981</v>
      </c>
      <c r="J1498" s="45">
        <v>24894.3</v>
      </c>
      <c r="K1498" s="49" t="s">
        <v>2650</v>
      </c>
      <c r="L1498" s="45"/>
      <c r="M1498" s="3"/>
    </row>
    <row r="1499" spans="1:60" ht="25.5" x14ac:dyDescent="0.25">
      <c r="A1499" s="46" t="s">
        <v>3074</v>
      </c>
      <c r="B1499" s="46" t="s">
        <v>13</v>
      </c>
      <c r="C1499" s="46" t="s">
        <v>14</v>
      </c>
      <c r="D1499" s="47">
        <v>10151</v>
      </c>
      <c r="E1499" s="46" t="s">
        <v>3099</v>
      </c>
      <c r="F1499" s="48">
        <v>40766</v>
      </c>
      <c r="G1499" s="48">
        <v>40897</v>
      </c>
      <c r="H1499" s="46" t="s">
        <v>392</v>
      </c>
      <c r="I1499" s="45">
        <v>153568.17000000001</v>
      </c>
      <c r="J1499" s="45">
        <v>53748.86</v>
      </c>
      <c r="K1499" s="49" t="s">
        <v>2650</v>
      </c>
      <c r="L1499" s="45"/>
      <c r="M1499" s="3"/>
    </row>
    <row r="1500" spans="1:60" ht="25.5" x14ac:dyDescent="0.25">
      <c r="A1500" s="46" t="s">
        <v>3100</v>
      </c>
      <c r="B1500" s="46" t="s">
        <v>13</v>
      </c>
      <c r="C1500" s="46" t="s">
        <v>14</v>
      </c>
      <c r="D1500" s="47">
        <v>10184</v>
      </c>
      <c r="E1500" s="46" t="s">
        <v>3101</v>
      </c>
      <c r="F1500" s="48">
        <v>41129</v>
      </c>
      <c r="G1500" s="48">
        <v>41250</v>
      </c>
      <c r="H1500" s="46" t="s">
        <v>392</v>
      </c>
      <c r="I1500" s="45">
        <v>164118</v>
      </c>
      <c r="J1500" s="45">
        <v>57441.37</v>
      </c>
      <c r="K1500" s="49" t="s">
        <v>2650</v>
      </c>
      <c r="L1500" s="45"/>
      <c r="M1500" s="3"/>
    </row>
    <row r="1501" spans="1:60" ht="25.5" x14ac:dyDescent="0.25">
      <c r="A1501" s="46" t="s">
        <v>3072</v>
      </c>
      <c r="B1501" s="46" t="s">
        <v>13</v>
      </c>
      <c r="C1501" s="46" t="s">
        <v>14</v>
      </c>
      <c r="D1501" s="47">
        <v>10202</v>
      </c>
      <c r="E1501" s="46" t="s">
        <v>3102</v>
      </c>
      <c r="F1501" s="48">
        <v>40751</v>
      </c>
      <c r="G1501" s="48">
        <v>40897</v>
      </c>
      <c r="H1501" s="46" t="s">
        <v>392</v>
      </c>
      <c r="I1501" s="45">
        <v>212542.32</v>
      </c>
      <c r="J1501" s="45">
        <v>74389.81</v>
      </c>
      <c r="K1501" s="49" t="s">
        <v>2650</v>
      </c>
      <c r="L1501" s="45"/>
      <c r="M1501" s="3"/>
    </row>
    <row r="1502" spans="1:60" ht="38.25" x14ac:dyDescent="0.25">
      <c r="A1502" s="46" t="s">
        <v>3103</v>
      </c>
      <c r="B1502" s="46" t="s">
        <v>13</v>
      </c>
      <c r="C1502" s="46" t="s">
        <v>14</v>
      </c>
      <c r="D1502" s="47">
        <v>10212</v>
      </c>
      <c r="E1502" s="50" t="s">
        <v>3104</v>
      </c>
      <c r="F1502" s="48">
        <v>41134</v>
      </c>
      <c r="G1502" s="48">
        <v>41271</v>
      </c>
      <c r="H1502" s="46" t="s">
        <v>392</v>
      </c>
      <c r="I1502" s="45">
        <v>160810.57999999999</v>
      </c>
      <c r="J1502" s="45">
        <v>56283.7</v>
      </c>
      <c r="K1502" s="49" t="s">
        <v>2650</v>
      </c>
      <c r="L1502" s="45"/>
      <c r="M1502" s="3"/>
    </row>
    <row r="1503" spans="1:60" ht="25.5" x14ac:dyDescent="0.25">
      <c r="A1503" s="46" t="s">
        <v>3105</v>
      </c>
      <c r="B1503" s="46" t="s">
        <v>13</v>
      </c>
      <c r="C1503" s="46" t="s">
        <v>14</v>
      </c>
      <c r="D1503" s="47">
        <v>8225</v>
      </c>
      <c r="E1503" s="46" t="s">
        <v>3106</v>
      </c>
      <c r="F1503" s="48">
        <v>40105</v>
      </c>
      <c r="G1503" s="48">
        <v>41274</v>
      </c>
      <c r="H1503" s="46" t="s">
        <v>2195</v>
      </c>
      <c r="I1503" s="45">
        <v>4800000</v>
      </c>
      <c r="J1503" s="45">
        <v>4192862.26</v>
      </c>
      <c r="K1503" s="49" t="s">
        <v>2650</v>
      </c>
      <c r="L1503" s="45"/>
      <c r="M1503" s="3"/>
    </row>
    <row r="1504" spans="1:60" ht="63.75" x14ac:dyDescent="0.25">
      <c r="A1504" s="56" t="s">
        <v>3560</v>
      </c>
      <c r="B1504" s="56" t="s">
        <v>13</v>
      </c>
      <c r="C1504" s="46" t="s">
        <v>14</v>
      </c>
      <c r="D1504" s="57">
        <v>3336</v>
      </c>
      <c r="E1504" s="68" t="s">
        <v>3561</v>
      </c>
      <c r="F1504" s="58">
        <v>39083</v>
      </c>
      <c r="G1504" s="58">
        <v>42369</v>
      </c>
      <c r="H1504" s="56" t="s">
        <v>2593</v>
      </c>
      <c r="I1504" s="55">
        <v>1766947.16</v>
      </c>
      <c r="J1504" s="55">
        <v>1766947.16</v>
      </c>
      <c r="K1504" s="69" t="s">
        <v>2650</v>
      </c>
      <c r="L1504" s="55"/>
      <c r="M1504" s="12"/>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row>
    <row r="1505" spans="1:60" x14ac:dyDescent="0.25">
      <c r="A1505" s="56" t="s">
        <v>3562</v>
      </c>
      <c r="B1505" s="56" t="s">
        <v>13</v>
      </c>
      <c r="C1505" s="46" t="s">
        <v>14</v>
      </c>
      <c r="D1505" s="57">
        <v>3378</v>
      </c>
      <c r="E1505" s="56" t="s">
        <v>3563</v>
      </c>
      <c r="F1505" s="58">
        <v>38205</v>
      </c>
      <c r="G1505" s="58">
        <v>39813</v>
      </c>
      <c r="H1505" s="56" t="s">
        <v>2593</v>
      </c>
      <c r="I1505" s="55">
        <f>2580208-499125</f>
        <v>2081083</v>
      </c>
      <c r="J1505" s="55">
        <f>2580208-499125</f>
        <v>2081083</v>
      </c>
      <c r="K1505" s="69" t="s">
        <v>2650</v>
      </c>
      <c r="L1505" s="55"/>
      <c r="M1505" s="12"/>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row>
    <row r="1506" spans="1:60" ht="38.25" x14ac:dyDescent="0.25">
      <c r="A1506" s="56" t="s">
        <v>3564</v>
      </c>
      <c r="B1506" s="56" t="s">
        <v>13</v>
      </c>
      <c r="C1506" s="46" t="s">
        <v>14</v>
      </c>
      <c r="D1506" s="57">
        <v>3472</v>
      </c>
      <c r="E1506" s="68" t="s">
        <v>2597</v>
      </c>
      <c r="F1506" s="58">
        <v>39083</v>
      </c>
      <c r="G1506" s="58">
        <v>42369</v>
      </c>
      <c r="H1506" s="56" t="s">
        <v>2593</v>
      </c>
      <c r="I1506" s="55">
        <v>939369.34</v>
      </c>
      <c r="J1506" s="55">
        <v>939369.34</v>
      </c>
      <c r="K1506" s="69" t="s">
        <v>2650</v>
      </c>
      <c r="L1506" s="55"/>
      <c r="M1506" s="12"/>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row>
    <row r="1507" spans="1:60" ht="38.25" x14ac:dyDescent="0.25">
      <c r="A1507" s="56" t="s">
        <v>3565</v>
      </c>
      <c r="B1507" s="56" t="s">
        <v>13</v>
      </c>
      <c r="C1507" s="46" t="s">
        <v>14</v>
      </c>
      <c r="D1507" s="57">
        <v>3473</v>
      </c>
      <c r="E1507" s="68" t="s">
        <v>3566</v>
      </c>
      <c r="F1507" s="58">
        <v>39083</v>
      </c>
      <c r="G1507" s="58">
        <v>42369</v>
      </c>
      <c r="H1507" s="56" t="s">
        <v>2593</v>
      </c>
      <c r="I1507" s="55">
        <v>837774.5</v>
      </c>
      <c r="J1507" s="55">
        <v>837774.5</v>
      </c>
      <c r="K1507" s="69" t="s">
        <v>2650</v>
      </c>
      <c r="L1507" s="55"/>
      <c r="M1507" s="12"/>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row>
    <row r="1508" spans="1:60" ht="38.25" x14ac:dyDescent="0.25">
      <c r="A1508" s="56" t="s">
        <v>3567</v>
      </c>
      <c r="B1508" s="56" t="s">
        <v>13</v>
      </c>
      <c r="C1508" s="46" t="s">
        <v>14</v>
      </c>
      <c r="D1508" s="57">
        <v>3474</v>
      </c>
      <c r="E1508" s="68" t="s">
        <v>2597</v>
      </c>
      <c r="F1508" s="58">
        <v>39083</v>
      </c>
      <c r="G1508" s="58">
        <v>42369</v>
      </c>
      <c r="H1508" s="56" t="s">
        <v>2593</v>
      </c>
      <c r="I1508" s="55">
        <v>1511928.55</v>
      </c>
      <c r="J1508" s="55">
        <v>1511928.55</v>
      </c>
      <c r="K1508" s="69" t="s">
        <v>2650</v>
      </c>
      <c r="L1508" s="55"/>
      <c r="M1508" s="12"/>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row>
    <row r="1509" spans="1:60" ht="38.25" x14ac:dyDescent="0.25">
      <c r="A1509" s="56" t="s">
        <v>3568</v>
      </c>
      <c r="B1509" s="56" t="s">
        <v>13</v>
      </c>
      <c r="C1509" s="46" t="s">
        <v>14</v>
      </c>
      <c r="D1509" s="57">
        <v>3475</v>
      </c>
      <c r="E1509" s="56" t="s">
        <v>2615</v>
      </c>
      <c r="F1509" s="58">
        <v>39083</v>
      </c>
      <c r="G1509" s="58">
        <v>42369</v>
      </c>
      <c r="H1509" s="56" t="s">
        <v>2593</v>
      </c>
      <c r="I1509" s="55">
        <v>2082121.1</v>
      </c>
      <c r="J1509" s="55">
        <v>2082121.1</v>
      </c>
      <c r="K1509" s="69" t="s">
        <v>2650</v>
      </c>
      <c r="L1509" s="55"/>
      <c r="M1509" s="12"/>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row>
    <row r="1510" spans="1:60" ht="63.75" x14ac:dyDescent="0.25">
      <c r="A1510" s="56" t="s">
        <v>3569</v>
      </c>
      <c r="B1510" s="56" t="s">
        <v>13</v>
      </c>
      <c r="C1510" s="46" t="s">
        <v>14</v>
      </c>
      <c r="D1510" s="57">
        <v>3971</v>
      </c>
      <c r="E1510" s="68" t="s">
        <v>3570</v>
      </c>
      <c r="F1510" s="58">
        <v>39083</v>
      </c>
      <c r="G1510" s="58">
        <v>42369</v>
      </c>
      <c r="H1510" s="56" t="s">
        <v>2593</v>
      </c>
      <c r="I1510" s="55">
        <v>552006.53</v>
      </c>
      <c r="J1510" s="55">
        <v>552006.53</v>
      </c>
      <c r="K1510" s="69" t="s">
        <v>2650</v>
      </c>
      <c r="L1510" s="55"/>
      <c r="M1510" s="12"/>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row>
    <row r="1511" spans="1:60" ht="51" x14ac:dyDescent="0.25">
      <c r="A1511" s="56" t="s">
        <v>3571</v>
      </c>
      <c r="B1511" s="56" t="s">
        <v>13</v>
      </c>
      <c r="C1511" s="46" t="s">
        <v>14</v>
      </c>
      <c r="D1511" s="57">
        <v>3972</v>
      </c>
      <c r="E1511" s="68" t="s">
        <v>3572</v>
      </c>
      <c r="F1511" s="58">
        <v>39083</v>
      </c>
      <c r="G1511" s="58">
        <v>42369</v>
      </c>
      <c r="H1511" s="56" t="s">
        <v>2593</v>
      </c>
      <c r="I1511" s="55">
        <v>639850.02</v>
      </c>
      <c r="J1511" s="55">
        <v>639850.02</v>
      </c>
      <c r="K1511" s="69" t="s">
        <v>2650</v>
      </c>
      <c r="L1511" s="55"/>
      <c r="M1511" s="12"/>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row>
    <row r="1512" spans="1:60" ht="25.5" x14ac:dyDescent="0.25">
      <c r="A1512" s="56" t="s">
        <v>3573</v>
      </c>
      <c r="B1512" s="56" t="s">
        <v>13</v>
      </c>
      <c r="C1512" s="46" t="s">
        <v>14</v>
      </c>
      <c r="D1512" s="57">
        <v>3996</v>
      </c>
      <c r="E1512" s="56" t="s">
        <v>3574</v>
      </c>
      <c r="F1512" s="58">
        <v>39083</v>
      </c>
      <c r="G1512" s="58">
        <v>42369</v>
      </c>
      <c r="H1512" s="56" t="s">
        <v>2593</v>
      </c>
      <c r="I1512" s="55">
        <v>286320.56</v>
      </c>
      <c r="J1512" s="55">
        <v>286320.56</v>
      </c>
      <c r="K1512" s="69" t="s">
        <v>2650</v>
      </c>
      <c r="L1512" s="55"/>
      <c r="M1512" s="12"/>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row>
    <row r="1513" spans="1:60" ht="38.25" x14ac:dyDescent="0.25">
      <c r="A1513" s="56" t="s">
        <v>3575</v>
      </c>
      <c r="B1513" s="56" t="s">
        <v>13</v>
      </c>
      <c r="C1513" s="46" t="s">
        <v>14</v>
      </c>
      <c r="D1513" s="57">
        <v>3997</v>
      </c>
      <c r="E1513" s="68" t="s">
        <v>2597</v>
      </c>
      <c r="F1513" s="58">
        <v>39083</v>
      </c>
      <c r="G1513" s="58">
        <v>42369</v>
      </c>
      <c r="H1513" s="56" t="s">
        <v>2593</v>
      </c>
      <c r="I1513" s="55">
        <v>1917371.46</v>
      </c>
      <c r="J1513" s="55">
        <v>1917371.46</v>
      </c>
      <c r="K1513" s="69" t="s">
        <v>2650</v>
      </c>
      <c r="L1513" s="55"/>
      <c r="M1513" s="12"/>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AY1513" s="9"/>
      <c r="AZ1513" s="9"/>
      <c r="BA1513" s="9"/>
      <c r="BB1513" s="9"/>
      <c r="BC1513" s="9"/>
      <c r="BD1513" s="9"/>
      <c r="BE1513" s="9"/>
      <c r="BF1513" s="9"/>
      <c r="BG1513" s="9"/>
      <c r="BH1513" s="9"/>
    </row>
    <row r="1514" spans="1:60" ht="76.5" x14ac:dyDescent="0.25">
      <c r="A1514" s="56" t="s">
        <v>3576</v>
      </c>
      <c r="B1514" s="56" t="s">
        <v>13</v>
      </c>
      <c r="C1514" s="46" t="s">
        <v>14</v>
      </c>
      <c r="D1514" s="57">
        <v>4236</v>
      </c>
      <c r="E1514" s="68" t="s">
        <v>3577</v>
      </c>
      <c r="F1514" s="58">
        <v>39083</v>
      </c>
      <c r="G1514" s="58">
        <v>42369</v>
      </c>
      <c r="H1514" s="56" t="s">
        <v>2593</v>
      </c>
      <c r="I1514" s="55">
        <v>181423.3</v>
      </c>
      <c r="J1514" s="55">
        <v>181423.3</v>
      </c>
      <c r="K1514" s="69" t="s">
        <v>2650</v>
      </c>
      <c r="L1514" s="55"/>
      <c r="M1514" s="12"/>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c r="AS1514" s="9"/>
      <c r="AT1514" s="9"/>
      <c r="AU1514" s="9"/>
      <c r="AV1514" s="9"/>
      <c r="AW1514" s="9"/>
      <c r="AX1514" s="9"/>
      <c r="AY1514" s="9"/>
      <c r="AZ1514" s="9"/>
      <c r="BA1514" s="9"/>
      <c r="BB1514" s="9"/>
      <c r="BC1514" s="9"/>
      <c r="BD1514" s="9"/>
      <c r="BE1514" s="9"/>
      <c r="BF1514" s="9"/>
      <c r="BG1514" s="9"/>
      <c r="BH1514" s="9"/>
    </row>
    <row r="1515" spans="1:60" ht="38.25" x14ac:dyDescent="0.25">
      <c r="A1515" s="56" t="s">
        <v>3579</v>
      </c>
      <c r="B1515" s="56" t="s">
        <v>13</v>
      </c>
      <c r="C1515" s="46" t="s">
        <v>14</v>
      </c>
      <c r="D1515" s="57">
        <v>10240</v>
      </c>
      <c r="E1515" s="56" t="s">
        <v>3580</v>
      </c>
      <c r="F1515" s="58">
        <v>40533</v>
      </c>
      <c r="G1515" s="58">
        <v>42825</v>
      </c>
      <c r="H1515" s="56" t="s">
        <v>2593</v>
      </c>
      <c r="I1515" s="55">
        <f>723381.23+27642.2</f>
        <v>751023.42999999993</v>
      </c>
      <c r="J1515" s="55">
        <f>723381.23+27642.2</f>
        <v>751023.42999999993</v>
      </c>
      <c r="K1515" s="69" t="s">
        <v>2650</v>
      </c>
      <c r="L1515" s="55"/>
      <c r="M1515" s="12"/>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c r="AS1515" s="9"/>
      <c r="AT1515" s="9"/>
      <c r="AU1515" s="9"/>
      <c r="AV1515" s="9"/>
      <c r="AW1515" s="9"/>
      <c r="AX1515" s="9"/>
      <c r="AY1515" s="9"/>
      <c r="AZ1515" s="9"/>
      <c r="BA1515" s="9"/>
      <c r="BB1515" s="9"/>
      <c r="BC1515" s="9"/>
      <c r="BD1515" s="9"/>
      <c r="BE1515" s="9"/>
      <c r="BF1515" s="9"/>
      <c r="BG1515" s="9"/>
      <c r="BH1515" s="9"/>
    </row>
    <row r="1516" spans="1:60" ht="63.75" x14ac:dyDescent="0.25">
      <c r="A1516" s="56" t="s">
        <v>3581</v>
      </c>
      <c r="B1516" s="56" t="s">
        <v>13</v>
      </c>
      <c r="C1516" s="46" t="s">
        <v>14</v>
      </c>
      <c r="D1516" s="57">
        <v>10241</v>
      </c>
      <c r="E1516" s="68" t="s">
        <v>3582</v>
      </c>
      <c r="F1516" s="58">
        <v>40533</v>
      </c>
      <c r="G1516" s="58">
        <v>43465</v>
      </c>
      <c r="H1516" s="56" t="s">
        <v>2593</v>
      </c>
      <c r="I1516" s="55">
        <f>1880096.31+489648.89</f>
        <v>2369745.2000000002</v>
      </c>
      <c r="J1516" s="55">
        <f>1880096.31+489648.89</f>
        <v>2369745.2000000002</v>
      </c>
      <c r="K1516" s="69" t="s">
        <v>2650</v>
      </c>
      <c r="L1516" s="46"/>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c r="AS1516" s="9"/>
      <c r="AT1516" s="9"/>
      <c r="AU1516" s="9"/>
      <c r="AV1516" s="9"/>
      <c r="AW1516" s="9"/>
      <c r="AX1516" s="9"/>
      <c r="AY1516" s="9"/>
      <c r="AZ1516" s="9"/>
      <c r="BA1516" s="9"/>
      <c r="BB1516" s="9"/>
      <c r="BC1516" s="9"/>
      <c r="BD1516" s="9"/>
      <c r="BE1516" s="9"/>
      <c r="BF1516" s="9"/>
      <c r="BG1516" s="9"/>
      <c r="BH1516" s="9"/>
    </row>
    <row r="1517" spans="1:60" ht="76.5" x14ac:dyDescent="0.25">
      <c r="A1517" s="46" t="s">
        <v>3583</v>
      </c>
      <c r="B1517" s="56" t="s">
        <v>13</v>
      </c>
      <c r="C1517" s="46" t="s">
        <v>14</v>
      </c>
      <c r="D1517" s="47">
        <v>12014</v>
      </c>
      <c r="E1517" s="50" t="s">
        <v>3584</v>
      </c>
      <c r="F1517" s="48">
        <v>41264</v>
      </c>
      <c r="G1517" s="48">
        <v>42825</v>
      </c>
      <c r="H1517" s="56" t="s">
        <v>2593</v>
      </c>
      <c r="I1517" s="45">
        <f>3579276.91+6496571.91</f>
        <v>10075848.82</v>
      </c>
      <c r="J1517" s="45">
        <v>10075848.82</v>
      </c>
      <c r="K1517" s="49" t="s">
        <v>2650</v>
      </c>
      <c r="L1517" s="55"/>
      <c r="M1517" s="12"/>
    </row>
    <row r="1518" spans="1:60" ht="51" x14ac:dyDescent="0.25">
      <c r="A1518" s="56" t="s">
        <v>3578</v>
      </c>
      <c r="B1518" s="56" t="s">
        <v>13</v>
      </c>
      <c r="C1518" s="46" t="s">
        <v>14</v>
      </c>
      <c r="D1518" s="57">
        <v>4329</v>
      </c>
      <c r="E1518" s="68" t="s">
        <v>3572</v>
      </c>
      <c r="F1518" s="58">
        <v>39083</v>
      </c>
      <c r="G1518" s="58">
        <v>42369</v>
      </c>
      <c r="H1518" s="56" t="s">
        <v>2593</v>
      </c>
      <c r="I1518" s="55">
        <v>222371.13</v>
      </c>
      <c r="J1518" s="55">
        <v>222371.13</v>
      </c>
      <c r="K1518" s="69" t="s">
        <v>2650</v>
      </c>
      <c r="L1518" s="55"/>
      <c r="M1518" s="12"/>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c r="AS1518" s="9"/>
      <c r="AT1518" s="9"/>
      <c r="AU1518" s="9"/>
      <c r="AV1518" s="9"/>
      <c r="AW1518" s="9"/>
      <c r="AX1518" s="9"/>
      <c r="AY1518" s="9"/>
      <c r="AZ1518" s="9"/>
      <c r="BA1518" s="9"/>
      <c r="BB1518" s="9"/>
      <c r="BC1518" s="9"/>
      <c r="BD1518" s="9"/>
      <c r="BE1518" s="9"/>
      <c r="BF1518" s="9"/>
      <c r="BG1518" s="9"/>
      <c r="BH1518" s="9"/>
    </row>
    <row r="1519" spans="1:60" ht="51" x14ac:dyDescent="0.25">
      <c r="A1519" s="46" t="s">
        <v>3585</v>
      </c>
      <c r="B1519" s="46" t="s">
        <v>13</v>
      </c>
      <c r="C1519" s="46" t="s">
        <v>14</v>
      </c>
      <c r="D1519" s="57">
        <v>12011</v>
      </c>
      <c r="E1519" s="50" t="s">
        <v>3586</v>
      </c>
      <c r="F1519" s="48">
        <v>40544</v>
      </c>
      <c r="G1519" s="48">
        <v>42825</v>
      </c>
      <c r="H1519" s="46" t="s">
        <v>3587</v>
      </c>
      <c r="I1519" s="45">
        <f>2476000+413654.9</f>
        <v>2889654.9</v>
      </c>
      <c r="J1519" s="45">
        <f>890536.82+413654.9</f>
        <v>1304191.72</v>
      </c>
      <c r="K1519" s="49" t="s">
        <v>2650</v>
      </c>
      <c r="L1519" s="45"/>
      <c r="M1519" s="3"/>
    </row>
    <row r="1520" spans="1:60" ht="51" x14ac:dyDescent="0.25">
      <c r="A1520" s="46" t="s">
        <v>3588</v>
      </c>
      <c r="B1520" s="46" t="s">
        <v>13</v>
      </c>
      <c r="C1520" s="46" t="s">
        <v>14</v>
      </c>
      <c r="D1520" s="57">
        <v>12056</v>
      </c>
      <c r="E1520" s="50" t="s">
        <v>3589</v>
      </c>
      <c r="F1520" s="48">
        <v>40544</v>
      </c>
      <c r="G1520" s="48">
        <v>42825</v>
      </c>
      <c r="H1520" s="46" t="s">
        <v>3587</v>
      </c>
      <c r="I1520" s="45">
        <f>6828000+380010.28</f>
        <v>7208010.2800000003</v>
      </c>
      <c r="J1520" s="45">
        <f>983394.96+380010.28</f>
        <v>1363405.24</v>
      </c>
      <c r="K1520" s="49" t="s">
        <v>2650</v>
      </c>
      <c r="L1520" s="45"/>
      <c r="M1520" s="3"/>
    </row>
    <row r="1521" spans="1:60" ht="63.75" x14ac:dyDescent="0.25">
      <c r="A1521" s="46" t="s">
        <v>3590</v>
      </c>
      <c r="B1521" s="46" t="s">
        <v>13</v>
      </c>
      <c r="C1521" s="46" t="s">
        <v>14</v>
      </c>
      <c r="D1521" s="57">
        <v>12057</v>
      </c>
      <c r="E1521" s="50" t="s">
        <v>3591</v>
      </c>
      <c r="F1521" s="48">
        <v>40544</v>
      </c>
      <c r="G1521" s="48">
        <v>42825</v>
      </c>
      <c r="H1521" s="46" t="s">
        <v>3587</v>
      </c>
      <c r="I1521" s="45">
        <f>2968000+303249.4</f>
        <v>3271249.4</v>
      </c>
      <c r="J1521" s="45">
        <f>1032857.84+303249.4</f>
        <v>1336107.24</v>
      </c>
      <c r="K1521" s="49" t="s">
        <v>2650</v>
      </c>
      <c r="L1521" s="45"/>
      <c r="M1521" s="3"/>
    </row>
    <row r="1522" spans="1:60" ht="51" x14ac:dyDescent="0.25">
      <c r="A1522" s="46" t="s">
        <v>3592</v>
      </c>
      <c r="B1522" s="46" t="s">
        <v>13</v>
      </c>
      <c r="C1522" s="46" t="s">
        <v>14</v>
      </c>
      <c r="D1522" s="57">
        <v>12058</v>
      </c>
      <c r="E1522" s="50" t="s">
        <v>3593</v>
      </c>
      <c r="F1522" s="48">
        <v>40544</v>
      </c>
      <c r="G1522" s="48">
        <v>42825</v>
      </c>
      <c r="H1522" s="46" t="s">
        <v>3587</v>
      </c>
      <c r="I1522" s="45">
        <f>2854000+333942.87</f>
        <v>3187942.87</v>
      </c>
      <c r="J1522" s="45">
        <f>907775.82+333942.87</f>
        <v>1241718.69</v>
      </c>
      <c r="K1522" s="49" t="s">
        <v>2650</v>
      </c>
      <c r="L1522" s="45"/>
      <c r="M1522" s="3"/>
    </row>
    <row r="1523" spans="1:60" ht="38.25" x14ac:dyDescent="0.25">
      <c r="A1523" s="46" t="s">
        <v>11542</v>
      </c>
      <c r="B1523" s="61" t="s">
        <v>13</v>
      </c>
      <c r="C1523" s="46" t="s">
        <v>14</v>
      </c>
      <c r="D1523" s="62">
        <v>12989</v>
      </c>
      <c r="E1523" s="46" t="s">
        <v>11543</v>
      </c>
      <c r="F1523" s="63">
        <v>40544</v>
      </c>
      <c r="G1523" s="63">
        <v>42825</v>
      </c>
      <c r="H1523" s="46" t="s">
        <v>3587</v>
      </c>
      <c r="I1523" s="64">
        <v>467198.79</v>
      </c>
      <c r="J1523" s="64">
        <v>467198.79</v>
      </c>
      <c r="K1523" s="65" t="s">
        <v>2650</v>
      </c>
      <c r="L1523" s="6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row>
    <row r="1524" spans="1:60" ht="38.25" x14ac:dyDescent="0.25">
      <c r="A1524" s="46" t="s">
        <v>11544</v>
      </c>
      <c r="B1524" s="61" t="s">
        <v>13</v>
      </c>
      <c r="C1524" s="46" t="s">
        <v>14</v>
      </c>
      <c r="D1524" s="62">
        <v>12990</v>
      </c>
      <c r="E1524" s="46" t="s">
        <v>11531</v>
      </c>
      <c r="F1524" s="63">
        <v>40544</v>
      </c>
      <c r="G1524" s="63">
        <v>42825</v>
      </c>
      <c r="H1524" s="46" t="s">
        <v>3587</v>
      </c>
      <c r="I1524" s="64">
        <v>219961.53</v>
      </c>
      <c r="J1524" s="64">
        <v>219961.53</v>
      </c>
      <c r="K1524" s="65" t="s">
        <v>2650</v>
      </c>
      <c r="L1524" s="6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row>
    <row r="1525" spans="1:60" ht="51" x14ac:dyDescent="0.25">
      <c r="A1525" s="46" t="s">
        <v>11545</v>
      </c>
      <c r="B1525" s="61" t="s">
        <v>13</v>
      </c>
      <c r="C1525" s="46" t="s">
        <v>14</v>
      </c>
      <c r="D1525" s="62">
        <v>12991</v>
      </c>
      <c r="E1525" s="46" t="s">
        <v>11546</v>
      </c>
      <c r="F1525" s="63">
        <v>40544</v>
      </c>
      <c r="G1525" s="63">
        <v>42825</v>
      </c>
      <c r="H1525" s="46" t="s">
        <v>3587</v>
      </c>
      <c r="I1525" s="64">
        <v>96728.86</v>
      </c>
      <c r="J1525" s="64">
        <v>96728.86</v>
      </c>
      <c r="K1525" s="65" t="s">
        <v>2650</v>
      </c>
      <c r="L1525" s="6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row>
    <row r="1526" spans="1:60" ht="38.25" x14ac:dyDescent="0.25">
      <c r="A1526" s="46" t="s">
        <v>11547</v>
      </c>
      <c r="B1526" s="61" t="s">
        <v>13</v>
      </c>
      <c r="C1526" s="46" t="s">
        <v>14</v>
      </c>
      <c r="D1526" s="62">
        <v>12992</v>
      </c>
      <c r="E1526" s="46" t="s">
        <v>11548</v>
      </c>
      <c r="F1526" s="63">
        <v>40544</v>
      </c>
      <c r="G1526" s="63">
        <v>42825</v>
      </c>
      <c r="H1526" s="46" t="s">
        <v>3587</v>
      </c>
      <c r="I1526" s="64">
        <v>179349.01</v>
      </c>
      <c r="J1526" s="64">
        <v>179349.01</v>
      </c>
      <c r="K1526" s="65" t="s">
        <v>2650</v>
      </c>
      <c r="L1526" s="6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row>
    <row r="1527" spans="1:60" ht="38.25" x14ac:dyDescent="0.25">
      <c r="A1527" s="46" t="s">
        <v>11549</v>
      </c>
      <c r="B1527" s="61" t="s">
        <v>13</v>
      </c>
      <c r="C1527" s="46" t="s">
        <v>14</v>
      </c>
      <c r="D1527" s="62">
        <v>12997</v>
      </c>
      <c r="E1527" s="46" t="s">
        <v>11550</v>
      </c>
      <c r="F1527" s="63">
        <v>40544</v>
      </c>
      <c r="G1527" s="63">
        <v>42825</v>
      </c>
      <c r="H1527" s="46" t="s">
        <v>3587</v>
      </c>
      <c r="I1527" s="64">
        <v>899549.2</v>
      </c>
      <c r="J1527" s="64">
        <v>899549.2</v>
      </c>
      <c r="K1527" s="65" t="s">
        <v>2650</v>
      </c>
      <c r="L1527" s="6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row>
    <row r="1528" spans="1:60" ht="38.25" x14ac:dyDescent="0.25">
      <c r="A1528" s="46" t="s">
        <v>11551</v>
      </c>
      <c r="B1528" s="61" t="s">
        <v>13</v>
      </c>
      <c r="C1528" s="61" t="s">
        <v>14</v>
      </c>
      <c r="D1528" s="62">
        <v>12998</v>
      </c>
      <c r="E1528" s="46" t="s">
        <v>11552</v>
      </c>
      <c r="F1528" s="63">
        <v>40544</v>
      </c>
      <c r="G1528" s="63">
        <v>42825</v>
      </c>
      <c r="H1528" s="46" t="s">
        <v>3587</v>
      </c>
      <c r="I1528" s="64">
        <v>236001.02</v>
      </c>
      <c r="J1528" s="64">
        <v>236001.02</v>
      </c>
      <c r="K1528" s="65" t="s">
        <v>2650</v>
      </c>
      <c r="L1528" s="6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row>
    <row r="1529" spans="1:60" ht="51" x14ac:dyDescent="0.25">
      <c r="A1529" s="46" t="s">
        <v>11553</v>
      </c>
      <c r="B1529" s="61" t="s">
        <v>13</v>
      </c>
      <c r="C1529" s="61" t="s">
        <v>14</v>
      </c>
      <c r="D1529" s="62">
        <v>12999</v>
      </c>
      <c r="E1529" s="46" t="s">
        <v>11554</v>
      </c>
      <c r="F1529" s="63">
        <v>40544</v>
      </c>
      <c r="G1529" s="63">
        <v>42825</v>
      </c>
      <c r="H1529" s="46" t="s">
        <v>3587</v>
      </c>
      <c r="I1529" s="64">
        <v>121472.11</v>
      </c>
      <c r="J1529" s="64">
        <v>121472.11</v>
      </c>
      <c r="K1529" s="65" t="s">
        <v>2650</v>
      </c>
      <c r="L1529" s="6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row>
    <row r="1530" spans="1:60" ht="38.25" x14ac:dyDescent="0.25">
      <c r="A1530" s="46" t="s">
        <v>11555</v>
      </c>
      <c r="B1530" s="61" t="s">
        <v>13</v>
      </c>
      <c r="C1530" s="61" t="s">
        <v>14</v>
      </c>
      <c r="D1530" s="62">
        <v>13000</v>
      </c>
      <c r="E1530" s="46" t="s">
        <v>11539</v>
      </c>
      <c r="F1530" s="63">
        <v>40544</v>
      </c>
      <c r="G1530" s="63">
        <v>42825</v>
      </c>
      <c r="H1530" s="46" t="s">
        <v>3587</v>
      </c>
      <c r="I1530" s="64">
        <v>589682.52</v>
      </c>
      <c r="J1530" s="64">
        <v>589682.52</v>
      </c>
      <c r="K1530" s="65" t="s">
        <v>2650</v>
      </c>
      <c r="L1530" s="6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row>
    <row r="1531" spans="1:60" ht="51" x14ac:dyDescent="0.25">
      <c r="A1531" s="46" t="s">
        <v>11556</v>
      </c>
      <c r="B1531" s="61" t="s">
        <v>13</v>
      </c>
      <c r="C1531" s="61" t="s">
        <v>14</v>
      </c>
      <c r="D1531" s="62">
        <v>13001</v>
      </c>
      <c r="E1531" s="46" t="s">
        <v>11557</v>
      </c>
      <c r="F1531" s="63">
        <v>40544</v>
      </c>
      <c r="G1531" s="63">
        <v>42825</v>
      </c>
      <c r="H1531" s="46" t="s">
        <v>3587</v>
      </c>
      <c r="I1531" s="64">
        <v>27538</v>
      </c>
      <c r="J1531" s="64">
        <v>27538</v>
      </c>
      <c r="K1531" s="65" t="s">
        <v>2650</v>
      </c>
      <c r="L1531" s="6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row>
    <row r="1532" spans="1:60" ht="63.75" x14ac:dyDescent="0.25">
      <c r="A1532" s="46" t="s">
        <v>11558</v>
      </c>
      <c r="B1532" s="61" t="s">
        <v>13</v>
      </c>
      <c r="C1532" s="61" t="s">
        <v>14</v>
      </c>
      <c r="D1532" s="62">
        <v>13002</v>
      </c>
      <c r="E1532" s="46" t="s">
        <v>11559</v>
      </c>
      <c r="F1532" s="63">
        <v>40544</v>
      </c>
      <c r="G1532" s="63">
        <v>42825</v>
      </c>
      <c r="H1532" s="46" t="s">
        <v>3587</v>
      </c>
      <c r="I1532" s="64">
        <v>357749.35</v>
      </c>
      <c r="J1532" s="64">
        <v>357749.35</v>
      </c>
      <c r="K1532" s="65" t="s">
        <v>2650</v>
      </c>
      <c r="L1532" s="6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row>
    <row r="1533" spans="1:60" ht="38.25" x14ac:dyDescent="0.25">
      <c r="A1533" s="46" t="s">
        <v>11560</v>
      </c>
      <c r="B1533" s="61" t="s">
        <v>13</v>
      </c>
      <c r="C1533" s="61" t="s">
        <v>14</v>
      </c>
      <c r="D1533" s="62">
        <v>13003</v>
      </c>
      <c r="E1533" s="46" t="s">
        <v>11561</v>
      </c>
      <c r="F1533" s="63">
        <v>40544</v>
      </c>
      <c r="G1533" s="63">
        <v>42825</v>
      </c>
      <c r="H1533" s="46" t="s">
        <v>3587</v>
      </c>
      <c r="I1533" s="64">
        <v>757826.64</v>
      </c>
      <c r="J1533" s="64">
        <v>757826.64</v>
      </c>
      <c r="K1533" s="65" t="s">
        <v>2650</v>
      </c>
      <c r="L1533" s="6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row>
    <row r="1534" spans="1:60" ht="38.25" x14ac:dyDescent="0.25">
      <c r="A1534" s="46" t="s">
        <v>11562</v>
      </c>
      <c r="B1534" s="61" t="s">
        <v>13</v>
      </c>
      <c r="C1534" s="61" t="s">
        <v>14</v>
      </c>
      <c r="D1534" s="62">
        <v>13004</v>
      </c>
      <c r="E1534" s="46" t="s">
        <v>11563</v>
      </c>
      <c r="F1534" s="63">
        <v>40544</v>
      </c>
      <c r="G1534" s="63">
        <v>42825</v>
      </c>
      <c r="H1534" s="46" t="s">
        <v>3587</v>
      </c>
      <c r="I1534" s="64">
        <v>571573.51</v>
      </c>
      <c r="J1534" s="64">
        <v>571573.51</v>
      </c>
      <c r="K1534" s="65" t="s">
        <v>2650</v>
      </c>
      <c r="L1534" s="6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row>
    <row r="1535" spans="1:60" ht="63.75" x14ac:dyDescent="0.25">
      <c r="A1535" s="46" t="s">
        <v>11564</v>
      </c>
      <c r="B1535" s="61" t="s">
        <v>13</v>
      </c>
      <c r="C1535" s="61" t="s">
        <v>14</v>
      </c>
      <c r="D1535" s="62">
        <v>13005</v>
      </c>
      <c r="E1535" s="46" t="s">
        <v>11533</v>
      </c>
      <c r="F1535" s="63">
        <v>40544</v>
      </c>
      <c r="G1535" s="63">
        <v>42825</v>
      </c>
      <c r="H1535" s="46" t="s">
        <v>3587</v>
      </c>
      <c r="I1535" s="64">
        <v>563346.48</v>
      </c>
      <c r="J1535" s="64">
        <v>563346.48</v>
      </c>
      <c r="K1535" s="65" t="s">
        <v>2650</v>
      </c>
      <c r="L1535" s="6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row>
    <row r="1536" spans="1:60" ht="38.25" x14ac:dyDescent="0.25">
      <c r="A1536" s="46" t="s">
        <v>11565</v>
      </c>
      <c r="B1536" s="61" t="s">
        <v>13</v>
      </c>
      <c r="C1536" s="61" t="s">
        <v>14</v>
      </c>
      <c r="D1536" s="62">
        <v>13006</v>
      </c>
      <c r="E1536" s="46" t="s">
        <v>11566</v>
      </c>
      <c r="F1536" s="63">
        <v>40544</v>
      </c>
      <c r="G1536" s="63">
        <v>42825</v>
      </c>
      <c r="H1536" s="46" t="s">
        <v>3587</v>
      </c>
      <c r="I1536" s="64">
        <v>395089.39</v>
      </c>
      <c r="J1536" s="64">
        <v>395089.39</v>
      </c>
      <c r="K1536" s="65" t="s">
        <v>2650</v>
      </c>
      <c r="L1536" s="6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row>
    <row r="1537" spans="1:60" ht="63.75" x14ac:dyDescent="0.25">
      <c r="A1537" s="46" t="s">
        <v>11567</v>
      </c>
      <c r="B1537" s="61" t="s">
        <v>13</v>
      </c>
      <c r="C1537" s="61" t="s">
        <v>14</v>
      </c>
      <c r="D1537" s="62">
        <v>13007</v>
      </c>
      <c r="E1537" s="46" t="s">
        <v>11568</v>
      </c>
      <c r="F1537" s="63">
        <v>40544</v>
      </c>
      <c r="G1537" s="63">
        <v>42825</v>
      </c>
      <c r="H1537" s="46" t="s">
        <v>3587</v>
      </c>
      <c r="I1537" s="64">
        <v>434409.1</v>
      </c>
      <c r="J1537" s="64">
        <v>434409.1</v>
      </c>
      <c r="K1537" s="65" t="s">
        <v>2650</v>
      </c>
      <c r="L1537" s="6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row>
    <row r="1538" spans="1:60" x14ac:dyDescent="0.25">
      <c r="A1538" s="46" t="s">
        <v>3594</v>
      </c>
      <c r="B1538" s="46" t="s">
        <v>13</v>
      </c>
      <c r="C1538" s="46" t="s">
        <v>14</v>
      </c>
      <c r="D1538" s="47">
        <v>9473</v>
      </c>
      <c r="E1538" s="46" t="s">
        <v>3595</v>
      </c>
      <c r="F1538" s="48">
        <v>40037</v>
      </c>
      <c r="G1538" s="48">
        <v>40388</v>
      </c>
      <c r="H1538" s="46" t="s">
        <v>2027</v>
      </c>
      <c r="I1538" s="45">
        <v>40475</v>
      </c>
      <c r="J1538" s="45">
        <v>9000</v>
      </c>
      <c r="K1538" s="49" t="s">
        <v>2650</v>
      </c>
      <c r="L1538" s="45"/>
      <c r="M1538" s="3"/>
    </row>
    <row r="1539" spans="1:60" x14ac:dyDescent="0.25">
      <c r="A1539" s="46" t="s">
        <v>3596</v>
      </c>
      <c r="B1539" s="46" t="s">
        <v>13</v>
      </c>
      <c r="C1539" s="46" t="s">
        <v>14</v>
      </c>
      <c r="D1539" s="47">
        <v>9474</v>
      </c>
      <c r="E1539" s="46" t="s">
        <v>3597</v>
      </c>
      <c r="F1539" s="48">
        <v>40092</v>
      </c>
      <c r="G1539" s="48">
        <v>40359</v>
      </c>
      <c r="H1539" s="46" t="s">
        <v>2027</v>
      </c>
      <c r="I1539" s="45">
        <v>40475</v>
      </c>
      <c r="J1539" s="45">
        <v>16190</v>
      </c>
      <c r="K1539" s="49" t="s">
        <v>2650</v>
      </c>
      <c r="L1539" s="45"/>
      <c r="M1539" s="3"/>
    </row>
    <row r="1540" spans="1:60" ht="51" x14ac:dyDescent="0.25">
      <c r="A1540" s="46" t="s">
        <v>3598</v>
      </c>
      <c r="B1540" s="46" t="s">
        <v>13</v>
      </c>
      <c r="C1540" s="46" t="s">
        <v>14</v>
      </c>
      <c r="D1540" s="47">
        <v>10194</v>
      </c>
      <c r="E1540" s="50" t="s">
        <v>3599</v>
      </c>
      <c r="F1540" s="48">
        <v>40470</v>
      </c>
      <c r="G1540" s="48">
        <v>40868</v>
      </c>
      <c r="H1540" s="46" t="s">
        <v>2027</v>
      </c>
      <c r="I1540" s="45">
        <v>82594.740000000005</v>
      </c>
      <c r="J1540" s="45">
        <v>37167.629999999997</v>
      </c>
      <c r="K1540" s="49" t="s">
        <v>2650</v>
      </c>
      <c r="L1540" s="45"/>
      <c r="M1540" s="3"/>
    </row>
    <row r="1541" spans="1:60" ht="76.5" x14ac:dyDescent="0.25">
      <c r="A1541" s="46" t="s">
        <v>3600</v>
      </c>
      <c r="B1541" s="46" t="s">
        <v>13</v>
      </c>
      <c r="C1541" s="46" t="s">
        <v>14</v>
      </c>
      <c r="D1541" s="47">
        <v>3337</v>
      </c>
      <c r="E1541" s="50" t="s">
        <v>3601</v>
      </c>
      <c r="F1541" s="48">
        <v>39083</v>
      </c>
      <c r="G1541" s="48">
        <v>42339</v>
      </c>
      <c r="H1541" s="46" t="s">
        <v>2637</v>
      </c>
      <c r="I1541" s="45">
        <v>363695.06</v>
      </c>
      <c r="J1541" s="45">
        <v>363697.06</v>
      </c>
      <c r="K1541" s="49" t="s">
        <v>2650</v>
      </c>
      <c r="L1541" s="45"/>
      <c r="M1541" s="3"/>
    </row>
    <row r="1542" spans="1:60" ht="76.5" x14ac:dyDescent="0.25">
      <c r="A1542" s="46" t="s">
        <v>3602</v>
      </c>
      <c r="B1542" s="46" t="s">
        <v>13</v>
      </c>
      <c r="C1542" s="46" t="s">
        <v>14</v>
      </c>
      <c r="D1542" s="47">
        <v>3440</v>
      </c>
      <c r="E1542" s="50" t="s">
        <v>3603</v>
      </c>
      <c r="F1542" s="48">
        <v>39083</v>
      </c>
      <c r="G1542" s="48">
        <v>42369</v>
      </c>
      <c r="H1542" s="46" t="s">
        <v>2637</v>
      </c>
      <c r="I1542" s="45">
        <v>166555.54999999999</v>
      </c>
      <c r="J1542" s="45">
        <v>166555.54999999999</v>
      </c>
      <c r="K1542" s="49" t="s">
        <v>2650</v>
      </c>
      <c r="L1542" s="45"/>
      <c r="M1542" s="3"/>
    </row>
    <row r="1543" spans="1:60" ht="76.5" x14ac:dyDescent="0.25">
      <c r="A1543" s="46" t="s">
        <v>3604</v>
      </c>
      <c r="B1543" s="46" t="s">
        <v>13</v>
      </c>
      <c r="C1543" s="46" t="s">
        <v>14</v>
      </c>
      <c r="D1543" s="47">
        <v>3455</v>
      </c>
      <c r="E1543" s="50" t="s">
        <v>3605</v>
      </c>
      <c r="F1543" s="48">
        <v>39083</v>
      </c>
      <c r="G1543" s="48">
        <v>42369</v>
      </c>
      <c r="H1543" s="46" t="s">
        <v>2637</v>
      </c>
      <c r="I1543" s="45">
        <v>1614059.46</v>
      </c>
      <c r="J1543" s="45">
        <v>1614057.46</v>
      </c>
      <c r="K1543" s="49" t="s">
        <v>2650</v>
      </c>
      <c r="L1543" s="45"/>
      <c r="M1543" s="3"/>
    </row>
    <row r="1544" spans="1:60" ht="76.5" x14ac:dyDescent="0.25">
      <c r="A1544" s="46" t="s">
        <v>3606</v>
      </c>
      <c r="B1544" s="46" t="s">
        <v>13</v>
      </c>
      <c r="C1544" s="46" t="s">
        <v>14</v>
      </c>
      <c r="D1544" s="47">
        <v>4323</v>
      </c>
      <c r="E1544" s="50" t="s">
        <v>3607</v>
      </c>
      <c r="F1544" s="48">
        <v>39083</v>
      </c>
      <c r="G1544" s="48">
        <v>42369</v>
      </c>
      <c r="H1544" s="46" t="s">
        <v>2637</v>
      </c>
      <c r="I1544" s="45">
        <v>5071204.1500000004</v>
      </c>
      <c r="J1544" s="45">
        <v>5071204.1500000004</v>
      </c>
      <c r="K1544" s="49" t="s">
        <v>2650</v>
      </c>
      <c r="L1544" s="45"/>
      <c r="M1544" s="3"/>
    </row>
    <row r="1545" spans="1:60" x14ac:dyDescent="0.2">
      <c r="A1545" s="46" t="s">
        <v>3612</v>
      </c>
      <c r="B1545" s="46" t="s">
        <v>13</v>
      </c>
      <c r="C1545" s="46" t="s">
        <v>14</v>
      </c>
      <c r="D1545" s="47">
        <v>3910</v>
      </c>
      <c r="E1545" s="46" t="s">
        <v>3613</v>
      </c>
      <c r="F1545" s="48">
        <v>39464</v>
      </c>
      <c r="G1545" s="48">
        <v>40330</v>
      </c>
      <c r="H1545" s="46" t="s">
        <v>16</v>
      </c>
      <c r="I1545" s="45">
        <v>279547.06</v>
      </c>
      <c r="J1545" s="45">
        <v>52296.4</v>
      </c>
      <c r="K1545" s="88" t="s">
        <v>11651</v>
      </c>
      <c r="L1545" s="45"/>
      <c r="M1545" s="3"/>
    </row>
    <row r="1546" spans="1:60" ht="38.25" x14ac:dyDescent="0.2">
      <c r="A1546" s="46" t="s">
        <v>2670</v>
      </c>
      <c r="B1546" s="46" t="s">
        <v>13</v>
      </c>
      <c r="C1546" s="46" t="s">
        <v>14</v>
      </c>
      <c r="D1546" s="47">
        <v>4174</v>
      </c>
      <c r="E1546" s="46" t="s">
        <v>3615</v>
      </c>
      <c r="F1546" s="48">
        <v>39847</v>
      </c>
      <c r="G1546" s="48">
        <v>39933</v>
      </c>
      <c r="H1546" s="46" t="s">
        <v>16</v>
      </c>
      <c r="I1546" s="45">
        <v>22243</v>
      </c>
      <c r="J1546" s="45">
        <v>6673</v>
      </c>
      <c r="K1546" s="88" t="s">
        <v>11651</v>
      </c>
      <c r="L1546" s="45"/>
      <c r="M1546" s="3"/>
    </row>
    <row r="1547" spans="1:60" ht="38.25" x14ac:dyDescent="0.2">
      <c r="A1547" s="46" t="s">
        <v>3616</v>
      </c>
      <c r="B1547" s="46" t="s">
        <v>13</v>
      </c>
      <c r="C1547" s="46" t="s">
        <v>14</v>
      </c>
      <c r="D1547" s="47">
        <v>4184</v>
      </c>
      <c r="E1547" s="46" t="s">
        <v>3617</v>
      </c>
      <c r="F1547" s="48">
        <v>39961</v>
      </c>
      <c r="G1547" s="48">
        <v>40269</v>
      </c>
      <c r="H1547" s="46" t="s">
        <v>16</v>
      </c>
      <c r="I1547" s="45">
        <v>60258</v>
      </c>
      <c r="J1547" s="45">
        <v>14400</v>
      </c>
      <c r="K1547" s="88" t="s">
        <v>11651</v>
      </c>
      <c r="L1547" s="45"/>
      <c r="M1547" s="3"/>
    </row>
    <row r="1548" spans="1:60" ht="25.5" x14ac:dyDescent="0.2">
      <c r="A1548" s="46" t="s">
        <v>3618</v>
      </c>
      <c r="B1548" s="46" t="s">
        <v>13</v>
      </c>
      <c r="C1548" s="46" t="s">
        <v>14</v>
      </c>
      <c r="D1548" s="47">
        <v>4190</v>
      </c>
      <c r="E1548" s="46" t="s">
        <v>3619</v>
      </c>
      <c r="F1548" s="48">
        <v>39966</v>
      </c>
      <c r="G1548" s="48">
        <v>40332</v>
      </c>
      <c r="H1548" s="46" t="s">
        <v>16</v>
      </c>
      <c r="I1548" s="45">
        <v>8500</v>
      </c>
      <c r="J1548" s="45">
        <v>3400</v>
      </c>
      <c r="K1548" s="88" t="s">
        <v>11651</v>
      </c>
      <c r="L1548" s="45"/>
      <c r="M1548" s="3"/>
    </row>
    <row r="1549" spans="1:60" x14ac:dyDescent="0.2">
      <c r="A1549" s="46" t="s">
        <v>3620</v>
      </c>
      <c r="B1549" s="46" t="s">
        <v>13</v>
      </c>
      <c r="C1549" s="46" t="s">
        <v>14</v>
      </c>
      <c r="D1549" s="47">
        <v>4191</v>
      </c>
      <c r="E1549" s="46" t="s">
        <v>3621</v>
      </c>
      <c r="F1549" s="48">
        <v>39522</v>
      </c>
      <c r="G1549" s="48">
        <v>39805</v>
      </c>
      <c r="H1549" s="46" t="s">
        <v>16</v>
      </c>
      <c r="I1549" s="45">
        <v>75000</v>
      </c>
      <c r="J1549" s="45">
        <v>18588.169999999998</v>
      </c>
      <c r="K1549" s="88" t="s">
        <v>11651</v>
      </c>
      <c r="L1549" s="45"/>
      <c r="M1549" s="3"/>
    </row>
    <row r="1550" spans="1:60" x14ac:dyDescent="0.2">
      <c r="A1550" s="46" t="s">
        <v>3622</v>
      </c>
      <c r="B1550" s="46" t="s">
        <v>13</v>
      </c>
      <c r="C1550" s="46" t="s">
        <v>14</v>
      </c>
      <c r="D1550" s="47">
        <v>9948</v>
      </c>
      <c r="E1550" s="46" t="s">
        <v>3623</v>
      </c>
      <c r="F1550" s="48">
        <v>40197</v>
      </c>
      <c r="G1550" s="48">
        <v>40613</v>
      </c>
      <c r="H1550" s="46" t="s">
        <v>16</v>
      </c>
      <c r="I1550" s="45">
        <v>13000</v>
      </c>
      <c r="J1550" s="45">
        <v>3900</v>
      </c>
      <c r="K1550" s="88" t="s">
        <v>11651</v>
      </c>
      <c r="L1550" s="45"/>
      <c r="M1550" s="3"/>
    </row>
    <row r="1551" spans="1:60" x14ac:dyDescent="0.2">
      <c r="A1551" s="46" t="s">
        <v>3624</v>
      </c>
      <c r="B1551" s="46" t="s">
        <v>13</v>
      </c>
      <c r="C1551" s="46" t="s">
        <v>14</v>
      </c>
      <c r="D1551" s="47">
        <v>9950</v>
      </c>
      <c r="E1551" s="46" t="s">
        <v>3625</v>
      </c>
      <c r="F1551" s="48">
        <v>40534</v>
      </c>
      <c r="G1551" s="48">
        <v>40709</v>
      </c>
      <c r="H1551" s="46" t="s">
        <v>16</v>
      </c>
      <c r="I1551" s="45">
        <v>8634.36</v>
      </c>
      <c r="J1551" s="45">
        <v>2590.31</v>
      </c>
      <c r="K1551" s="88" t="s">
        <v>11651</v>
      </c>
      <c r="L1551" s="45"/>
      <c r="M1551" s="3"/>
    </row>
    <row r="1552" spans="1:60" x14ac:dyDescent="0.2">
      <c r="A1552" s="46" t="s">
        <v>3626</v>
      </c>
      <c r="B1552" s="46" t="s">
        <v>13</v>
      </c>
      <c r="C1552" s="46" t="s">
        <v>14</v>
      </c>
      <c r="D1552" s="47">
        <v>10055</v>
      </c>
      <c r="E1552" s="46" t="s">
        <v>3627</v>
      </c>
      <c r="F1552" s="48">
        <v>40353</v>
      </c>
      <c r="G1552" s="48">
        <v>40570</v>
      </c>
      <c r="H1552" s="46" t="s">
        <v>16</v>
      </c>
      <c r="I1552" s="45">
        <v>11650</v>
      </c>
      <c r="J1552" s="45">
        <v>3495</v>
      </c>
      <c r="K1552" s="88" t="s">
        <v>11651</v>
      </c>
      <c r="L1552" s="45"/>
      <c r="M1552" s="3"/>
    </row>
    <row r="1553" spans="1:60" x14ac:dyDescent="0.2">
      <c r="A1553" s="46" t="s">
        <v>3628</v>
      </c>
      <c r="B1553" s="46" t="s">
        <v>13</v>
      </c>
      <c r="C1553" s="46" t="s">
        <v>14</v>
      </c>
      <c r="D1553" s="47">
        <v>10158</v>
      </c>
      <c r="E1553" s="46" t="s">
        <v>3629</v>
      </c>
      <c r="F1553" s="48">
        <v>40240</v>
      </c>
      <c r="G1553" s="48">
        <v>40533</v>
      </c>
      <c r="H1553" s="46" t="s">
        <v>16</v>
      </c>
      <c r="I1553" s="45">
        <v>57414</v>
      </c>
      <c r="J1553" s="45">
        <v>15210</v>
      </c>
      <c r="K1553" s="88" t="s">
        <v>11651</v>
      </c>
      <c r="L1553" s="45"/>
      <c r="M1553" s="3"/>
    </row>
    <row r="1554" spans="1:60" x14ac:dyDescent="0.2">
      <c r="A1554" s="46" t="s">
        <v>3630</v>
      </c>
      <c r="B1554" s="46" t="s">
        <v>13</v>
      </c>
      <c r="C1554" s="46" t="s">
        <v>14</v>
      </c>
      <c r="D1554" s="47">
        <v>10226</v>
      </c>
      <c r="E1554" s="46" t="s">
        <v>3631</v>
      </c>
      <c r="F1554" s="48">
        <v>40470</v>
      </c>
      <c r="G1554" s="48">
        <v>40570</v>
      </c>
      <c r="H1554" s="46" t="s">
        <v>16</v>
      </c>
      <c r="I1554" s="45">
        <v>8850</v>
      </c>
      <c r="J1554" s="45">
        <v>2655</v>
      </c>
      <c r="K1554" s="88" t="s">
        <v>11651</v>
      </c>
      <c r="L1554" s="45"/>
      <c r="M1554" s="3"/>
    </row>
    <row r="1555" spans="1:60" ht="51" x14ac:dyDescent="0.2">
      <c r="A1555" s="56" t="s">
        <v>4010</v>
      </c>
      <c r="B1555" s="56" t="s">
        <v>13</v>
      </c>
      <c r="C1555" s="46" t="s">
        <v>14</v>
      </c>
      <c r="D1555" s="57">
        <v>3696</v>
      </c>
      <c r="E1555" s="68" t="s">
        <v>3572</v>
      </c>
      <c r="F1555" s="58">
        <v>39083</v>
      </c>
      <c r="G1555" s="58">
        <v>42369</v>
      </c>
      <c r="H1555" s="56" t="s">
        <v>2593</v>
      </c>
      <c r="I1555" s="55">
        <v>1078541.95</v>
      </c>
      <c r="J1555" s="55">
        <v>1078541.95</v>
      </c>
      <c r="K1555" s="88" t="s">
        <v>11651</v>
      </c>
      <c r="L1555" s="55"/>
      <c r="M1555" s="12"/>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c r="AS1555" s="9"/>
      <c r="AT1555" s="9"/>
      <c r="AU1555" s="9"/>
      <c r="AV1555" s="9"/>
      <c r="AW1555" s="9"/>
      <c r="AX1555" s="9"/>
      <c r="AY1555" s="9"/>
      <c r="AZ1555" s="9"/>
      <c r="BA1555" s="9"/>
      <c r="BB1555" s="9"/>
      <c r="BC1555" s="9"/>
      <c r="BD1555" s="9"/>
      <c r="BE1555" s="9"/>
      <c r="BF1555" s="9"/>
      <c r="BG1555" s="9"/>
      <c r="BH1555" s="9"/>
    </row>
    <row r="1556" spans="1:60" ht="25.5" x14ac:dyDescent="0.2">
      <c r="A1556" s="56" t="s">
        <v>4011</v>
      </c>
      <c r="B1556" s="56" t="s">
        <v>13</v>
      </c>
      <c r="C1556" s="46" t="s">
        <v>14</v>
      </c>
      <c r="D1556" s="57">
        <v>3713</v>
      </c>
      <c r="E1556" s="56" t="s">
        <v>4012</v>
      </c>
      <c r="F1556" s="58">
        <v>39083</v>
      </c>
      <c r="G1556" s="58">
        <v>42369</v>
      </c>
      <c r="H1556" s="56" t="s">
        <v>2593</v>
      </c>
      <c r="I1556" s="55">
        <v>8740.98</v>
      </c>
      <c r="J1556" s="55">
        <v>8740.98</v>
      </c>
      <c r="K1556" s="88" t="s">
        <v>11651</v>
      </c>
      <c r="L1556" s="55"/>
      <c r="M1556" s="12"/>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c r="AX1556" s="9"/>
      <c r="AY1556" s="9"/>
      <c r="AZ1556" s="9"/>
      <c r="BA1556" s="9"/>
      <c r="BB1556" s="9"/>
      <c r="BC1556" s="9"/>
      <c r="BD1556" s="9"/>
      <c r="BE1556" s="9"/>
      <c r="BF1556" s="9"/>
      <c r="BG1556" s="9"/>
      <c r="BH1556" s="9"/>
    </row>
    <row r="1557" spans="1:60" ht="25.5" x14ac:dyDescent="0.2">
      <c r="A1557" s="56" t="s">
        <v>4013</v>
      </c>
      <c r="B1557" s="56" t="s">
        <v>13</v>
      </c>
      <c r="C1557" s="46" t="s">
        <v>14</v>
      </c>
      <c r="D1557" s="57">
        <v>4212</v>
      </c>
      <c r="E1557" s="56" t="s">
        <v>2615</v>
      </c>
      <c r="F1557" s="58">
        <v>39083</v>
      </c>
      <c r="G1557" s="58">
        <v>42369</v>
      </c>
      <c r="H1557" s="56" t="s">
        <v>2593</v>
      </c>
      <c r="I1557" s="55">
        <v>30590.65</v>
      </c>
      <c r="J1557" s="55">
        <v>30590.65</v>
      </c>
      <c r="K1557" s="88" t="s">
        <v>11651</v>
      </c>
      <c r="L1557" s="55"/>
      <c r="M1557" s="12"/>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c r="AR1557" s="9"/>
      <c r="AS1557" s="9"/>
      <c r="AT1557" s="9"/>
      <c r="AU1557" s="9"/>
      <c r="AV1557" s="9"/>
      <c r="AW1557" s="9"/>
      <c r="AX1557" s="9"/>
      <c r="AY1557" s="9"/>
      <c r="AZ1557" s="9"/>
      <c r="BA1557" s="9"/>
      <c r="BB1557" s="9"/>
      <c r="BC1557" s="9"/>
      <c r="BD1557" s="9"/>
      <c r="BE1557" s="9"/>
      <c r="BF1557" s="9"/>
      <c r="BG1557" s="9"/>
      <c r="BH1557" s="9"/>
    </row>
    <row r="1558" spans="1:60" ht="63.75" x14ac:dyDescent="0.2">
      <c r="A1558" s="56" t="s">
        <v>4014</v>
      </c>
      <c r="B1558" s="56" t="s">
        <v>13</v>
      </c>
      <c r="C1558" s="46" t="s">
        <v>14</v>
      </c>
      <c r="D1558" s="57">
        <v>4213</v>
      </c>
      <c r="E1558" s="68" t="s">
        <v>4015</v>
      </c>
      <c r="F1558" s="58">
        <v>39083</v>
      </c>
      <c r="G1558" s="58">
        <v>42369</v>
      </c>
      <c r="H1558" s="56" t="s">
        <v>2593</v>
      </c>
      <c r="I1558" s="55">
        <v>515471.59</v>
      </c>
      <c r="J1558" s="55">
        <v>515471.59</v>
      </c>
      <c r="K1558" s="88" t="s">
        <v>11651</v>
      </c>
      <c r="L1558" s="55"/>
      <c r="M1558" s="12"/>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c r="AS1558" s="9"/>
      <c r="AT1558" s="9"/>
      <c r="AU1558" s="9"/>
      <c r="AV1558" s="9"/>
      <c r="AW1558" s="9"/>
      <c r="AX1558" s="9"/>
      <c r="AY1558" s="9"/>
      <c r="AZ1558" s="9"/>
      <c r="BA1558" s="9"/>
      <c r="BB1558" s="9"/>
      <c r="BC1558" s="9"/>
      <c r="BD1558" s="9"/>
      <c r="BE1558" s="9"/>
      <c r="BF1558" s="9"/>
      <c r="BG1558" s="9"/>
      <c r="BH1558" s="9"/>
    </row>
    <row r="1559" spans="1:60" ht="38.25" x14ac:dyDescent="0.2">
      <c r="A1559" s="56" t="s">
        <v>4016</v>
      </c>
      <c r="B1559" s="56" t="s">
        <v>13</v>
      </c>
      <c r="C1559" s="46" t="s">
        <v>14</v>
      </c>
      <c r="D1559" s="57">
        <v>4214</v>
      </c>
      <c r="E1559" s="68" t="s">
        <v>2597</v>
      </c>
      <c r="F1559" s="58">
        <v>39083</v>
      </c>
      <c r="G1559" s="58">
        <v>42369</v>
      </c>
      <c r="H1559" s="56" t="s">
        <v>2593</v>
      </c>
      <c r="I1559" s="55">
        <v>249333.83</v>
      </c>
      <c r="J1559" s="55">
        <v>249333.83</v>
      </c>
      <c r="K1559" s="88" t="s">
        <v>11651</v>
      </c>
      <c r="L1559" s="55"/>
      <c r="M1559" s="12"/>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c r="AR1559" s="9"/>
      <c r="AS1559" s="9"/>
      <c r="AT1559" s="9"/>
      <c r="AU1559" s="9"/>
      <c r="AV1559" s="9"/>
      <c r="AW1559" s="9"/>
      <c r="AX1559" s="9"/>
      <c r="AY1559" s="9"/>
      <c r="AZ1559" s="9"/>
      <c r="BA1559" s="9"/>
      <c r="BB1559" s="9"/>
      <c r="BC1559" s="9"/>
      <c r="BD1559" s="9"/>
      <c r="BE1559" s="9"/>
      <c r="BF1559" s="9"/>
      <c r="BG1559" s="9"/>
      <c r="BH1559" s="9"/>
    </row>
    <row r="1560" spans="1:60" ht="63.75" x14ac:dyDescent="0.2">
      <c r="A1560" s="56" t="s">
        <v>4017</v>
      </c>
      <c r="B1560" s="56" t="s">
        <v>13</v>
      </c>
      <c r="C1560" s="46" t="s">
        <v>14</v>
      </c>
      <c r="D1560" s="57">
        <v>4335</v>
      </c>
      <c r="E1560" s="68" t="s">
        <v>3561</v>
      </c>
      <c r="F1560" s="58">
        <v>39083</v>
      </c>
      <c r="G1560" s="58">
        <v>42369</v>
      </c>
      <c r="H1560" s="56" t="s">
        <v>2593</v>
      </c>
      <c r="I1560" s="55">
        <v>125417.72</v>
      </c>
      <c r="J1560" s="55">
        <v>125417.72</v>
      </c>
      <c r="K1560" s="88" t="s">
        <v>11651</v>
      </c>
      <c r="L1560" s="45"/>
      <c r="M1560" s="3"/>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c r="AR1560" s="9"/>
      <c r="AS1560" s="9"/>
      <c r="AT1560" s="9"/>
      <c r="AU1560" s="9"/>
      <c r="AV1560" s="9"/>
      <c r="AW1560" s="9"/>
      <c r="AX1560" s="9"/>
      <c r="AY1560" s="9"/>
      <c r="AZ1560" s="9"/>
      <c r="BA1560" s="9"/>
      <c r="BB1560" s="9"/>
      <c r="BC1560" s="9"/>
      <c r="BD1560" s="9"/>
      <c r="BE1560" s="9"/>
      <c r="BF1560" s="9"/>
      <c r="BG1560" s="9"/>
      <c r="BH1560" s="9"/>
    </row>
    <row r="1561" spans="1:60" ht="51" x14ac:dyDescent="0.2">
      <c r="A1561" s="46" t="s">
        <v>4018</v>
      </c>
      <c r="B1561" s="56" t="s">
        <v>13</v>
      </c>
      <c r="C1561" s="46" t="s">
        <v>14</v>
      </c>
      <c r="D1561" s="57">
        <v>12055</v>
      </c>
      <c r="E1561" s="46" t="s">
        <v>4019</v>
      </c>
      <c r="F1561" s="48">
        <v>40533</v>
      </c>
      <c r="G1561" s="48">
        <v>42825</v>
      </c>
      <c r="H1561" s="56" t="s">
        <v>2593</v>
      </c>
      <c r="I1561" s="55">
        <f>286708.21+38613.07</f>
        <v>325321.28000000003</v>
      </c>
      <c r="J1561" s="55">
        <f>286708.21+38613.07</f>
        <v>325321.28000000003</v>
      </c>
      <c r="K1561" s="88" t="s">
        <v>11651</v>
      </c>
      <c r="L1561" s="46"/>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c r="AR1561" s="9"/>
      <c r="AS1561" s="9"/>
      <c r="AT1561" s="9"/>
      <c r="AU1561" s="9"/>
      <c r="AV1561" s="9"/>
      <c r="AW1561" s="9"/>
      <c r="AX1561" s="9"/>
      <c r="AY1561" s="9"/>
      <c r="AZ1561" s="9"/>
      <c r="BA1561" s="9"/>
      <c r="BB1561" s="9"/>
      <c r="BC1561" s="9"/>
      <c r="BD1561" s="9"/>
      <c r="BE1561" s="9"/>
      <c r="BF1561" s="9"/>
      <c r="BG1561" s="9"/>
      <c r="BH1561" s="9"/>
    </row>
    <row r="1562" spans="1:60" ht="25.5" x14ac:dyDescent="0.2">
      <c r="A1562" s="46" t="s">
        <v>11569</v>
      </c>
      <c r="B1562" s="61" t="s">
        <v>13</v>
      </c>
      <c r="C1562" s="46" t="s">
        <v>14</v>
      </c>
      <c r="D1562" s="62">
        <v>13180</v>
      </c>
      <c r="E1562" s="46" t="s">
        <v>11570</v>
      </c>
      <c r="F1562" s="63">
        <v>40533</v>
      </c>
      <c r="G1562" s="63">
        <v>43100</v>
      </c>
      <c r="H1562" s="56" t="s">
        <v>2593</v>
      </c>
      <c r="I1562" s="64">
        <v>87299.08</v>
      </c>
      <c r="J1562" s="64">
        <v>87299.08</v>
      </c>
      <c r="K1562" s="88" t="s">
        <v>11651</v>
      </c>
      <c r="L1562" s="6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row>
    <row r="1563" spans="1:60" ht="25.5" x14ac:dyDescent="0.2">
      <c r="A1563" s="46" t="s">
        <v>4020</v>
      </c>
      <c r="B1563" s="46" t="s">
        <v>13</v>
      </c>
      <c r="C1563" s="46" t="s">
        <v>14</v>
      </c>
      <c r="D1563" s="47">
        <v>12075</v>
      </c>
      <c r="E1563" s="46" t="s">
        <v>4021</v>
      </c>
      <c r="F1563" s="48">
        <v>40533</v>
      </c>
      <c r="G1563" s="48">
        <v>42825</v>
      </c>
      <c r="H1563" s="56" t="s">
        <v>2593</v>
      </c>
      <c r="I1563" s="45">
        <f>1564112.38+1249452.18</f>
        <v>2813564.5599999996</v>
      </c>
      <c r="J1563" s="45">
        <f>1249452.18+1564112.38</f>
        <v>2813564.5599999996</v>
      </c>
      <c r="K1563" s="88" t="s">
        <v>11651</v>
      </c>
      <c r="L1563" s="45"/>
      <c r="M1563" s="3"/>
    </row>
    <row r="1564" spans="1:60" ht="25.5" x14ac:dyDescent="0.2">
      <c r="A1564" s="46" t="s">
        <v>4022</v>
      </c>
      <c r="B1564" s="46" t="s">
        <v>13</v>
      </c>
      <c r="C1564" s="46" t="s">
        <v>14</v>
      </c>
      <c r="D1564" s="47">
        <v>12007</v>
      </c>
      <c r="E1564" s="46" t="s">
        <v>4023</v>
      </c>
      <c r="F1564" s="48">
        <v>40544</v>
      </c>
      <c r="G1564" s="48">
        <v>42825</v>
      </c>
      <c r="H1564" s="46" t="s">
        <v>3587</v>
      </c>
      <c r="I1564" s="45">
        <f>6210000+704467.84</f>
        <v>6914467.8399999999</v>
      </c>
      <c r="J1564" s="45">
        <f>1712224.55+704467.84</f>
        <v>2416692.39</v>
      </c>
      <c r="K1564" s="88" t="s">
        <v>11651</v>
      </c>
      <c r="L1564" s="45"/>
      <c r="M1564" s="3"/>
    </row>
    <row r="1565" spans="1:60" s="21" customFormat="1" ht="76.5" x14ac:dyDescent="0.2">
      <c r="A1565" s="46" t="s">
        <v>4024</v>
      </c>
      <c r="B1565" s="46" t="s">
        <v>13</v>
      </c>
      <c r="C1565" s="46" t="s">
        <v>14</v>
      </c>
      <c r="D1565" s="47">
        <v>12008</v>
      </c>
      <c r="E1565" s="50" t="s">
        <v>4025</v>
      </c>
      <c r="F1565" s="48">
        <v>40544</v>
      </c>
      <c r="G1565" s="48">
        <v>42825</v>
      </c>
      <c r="H1565" s="46" t="s">
        <v>3587</v>
      </c>
      <c r="I1565" s="45">
        <f>2699000+340864.76</f>
        <v>3039864.76</v>
      </c>
      <c r="J1565" s="45">
        <f>881618.99+340864.76</f>
        <v>1222483.75</v>
      </c>
      <c r="K1565" s="88" t="s">
        <v>11651</v>
      </c>
      <c r="L1565" s="45"/>
      <c r="M1565" s="3"/>
      <c r="N1565" s="3"/>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row>
    <row r="1566" spans="1:60" s="21" customFormat="1" ht="63.75" x14ac:dyDescent="0.2">
      <c r="A1566" s="46" t="s">
        <v>11571</v>
      </c>
      <c r="B1566" s="61" t="s">
        <v>13</v>
      </c>
      <c r="C1566" s="46" t="s">
        <v>14</v>
      </c>
      <c r="D1566" s="62">
        <v>13018</v>
      </c>
      <c r="E1566" s="46" t="s">
        <v>11572</v>
      </c>
      <c r="F1566" s="63">
        <v>40544</v>
      </c>
      <c r="G1566" s="63">
        <v>42825</v>
      </c>
      <c r="H1566" s="46" t="s">
        <v>3587</v>
      </c>
      <c r="I1566" s="64">
        <v>756827</v>
      </c>
      <c r="J1566" s="64">
        <v>756827</v>
      </c>
      <c r="K1566" s="88" t="s">
        <v>11651</v>
      </c>
      <c r="L1566" s="61"/>
    </row>
    <row r="1567" spans="1:60" s="21" customFormat="1" ht="38.25" x14ac:dyDescent="0.2">
      <c r="A1567" s="46" t="s">
        <v>11573</v>
      </c>
      <c r="B1567" s="61" t="s">
        <v>13</v>
      </c>
      <c r="C1567" s="61" t="s">
        <v>14</v>
      </c>
      <c r="D1567" s="62">
        <v>13019</v>
      </c>
      <c r="E1567" s="46" t="s">
        <v>11574</v>
      </c>
      <c r="F1567" s="63">
        <v>40544</v>
      </c>
      <c r="G1567" s="63">
        <v>42825</v>
      </c>
      <c r="H1567" s="46" t="s">
        <v>3587</v>
      </c>
      <c r="I1567" s="64">
        <v>573958.46</v>
      </c>
      <c r="J1567" s="64">
        <v>573958.46</v>
      </c>
      <c r="K1567" s="88" t="s">
        <v>11651</v>
      </c>
      <c r="L1567" s="61"/>
    </row>
    <row r="1568" spans="1:60" s="21" customFormat="1" ht="51" x14ac:dyDescent="0.2">
      <c r="A1568" s="46" t="s">
        <v>11575</v>
      </c>
      <c r="B1568" s="61" t="s">
        <v>13</v>
      </c>
      <c r="C1568" s="61" t="s">
        <v>14</v>
      </c>
      <c r="D1568" s="62">
        <v>13020</v>
      </c>
      <c r="E1568" s="46" t="s">
        <v>11576</v>
      </c>
      <c r="F1568" s="63">
        <v>40544</v>
      </c>
      <c r="G1568" s="63">
        <v>42825</v>
      </c>
      <c r="H1568" s="46" t="s">
        <v>3587</v>
      </c>
      <c r="I1568" s="64">
        <v>395785.8</v>
      </c>
      <c r="J1568" s="64">
        <v>395785.8</v>
      </c>
      <c r="K1568" s="88" t="s">
        <v>11651</v>
      </c>
      <c r="L1568" s="61"/>
    </row>
    <row r="1569" spans="1:60" s="21" customFormat="1" ht="63.75" x14ac:dyDescent="0.2">
      <c r="A1569" s="46" t="s">
        <v>11577</v>
      </c>
      <c r="B1569" s="61" t="s">
        <v>13</v>
      </c>
      <c r="C1569" s="61" t="s">
        <v>14</v>
      </c>
      <c r="D1569" s="62">
        <v>13021</v>
      </c>
      <c r="E1569" s="46" t="s">
        <v>11578</v>
      </c>
      <c r="F1569" s="63">
        <v>40544</v>
      </c>
      <c r="G1569" s="63">
        <v>42825</v>
      </c>
      <c r="H1569" s="46" t="s">
        <v>3587</v>
      </c>
      <c r="I1569" s="64">
        <v>382778.96</v>
      </c>
      <c r="J1569" s="64">
        <v>382778.96</v>
      </c>
      <c r="K1569" s="88" t="s">
        <v>11651</v>
      </c>
      <c r="L1569" s="61"/>
    </row>
    <row r="1570" spans="1:60" s="21" customFormat="1" ht="63.75" x14ac:dyDescent="0.2">
      <c r="A1570" s="46" t="s">
        <v>11579</v>
      </c>
      <c r="B1570" s="61" t="s">
        <v>13</v>
      </c>
      <c r="C1570" s="61" t="s">
        <v>14</v>
      </c>
      <c r="D1570" s="62">
        <v>13022</v>
      </c>
      <c r="E1570" s="46" t="s">
        <v>11580</v>
      </c>
      <c r="F1570" s="63">
        <v>40544</v>
      </c>
      <c r="G1570" s="63">
        <v>42825</v>
      </c>
      <c r="H1570" s="46" t="s">
        <v>3587</v>
      </c>
      <c r="I1570" s="64">
        <v>613288.05000000005</v>
      </c>
      <c r="J1570" s="64">
        <v>613288.05000000005</v>
      </c>
      <c r="K1570" s="88" t="s">
        <v>11651</v>
      </c>
      <c r="L1570" s="61"/>
    </row>
    <row r="1571" spans="1:60" s="21" customFormat="1" ht="51" x14ac:dyDescent="0.2">
      <c r="A1571" s="46" t="s">
        <v>11581</v>
      </c>
      <c r="B1571" s="61" t="s">
        <v>13</v>
      </c>
      <c r="C1571" s="61" t="s">
        <v>14</v>
      </c>
      <c r="D1571" s="62">
        <v>13023</v>
      </c>
      <c r="E1571" s="46" t="s">
        <v>11582</v>
      </c>
      <c r="F1571" s="63">
        <v>40544</v>
      </c>
      <c r="G1571" s="63">
        <v>42825</v>
      </c>
      <c r="H1571" s="46" t="s">
        <v>3587</v>
      </c>
      <c r="I1571" s="64">
        <v>1460204.7</v>
      </c>
      <c r="J1571" s="64">
        <v>1460204.7</v>
      </c>
      <c r="K1571" s="88" t="s">
        <v>11651</v>
      </c>
      <c r="L1571" s="61"/>
    </row>
    <row r="1572" spans="1:60" s="21" customFormat="1" ht="63.75" x14ac:dyDescent="0.2">
      <c r="A1572" s="46" t="s">
        <v>11583</v>
      </c>
      <c r="B1572" s="61" t="s">
        <v>13</v>
      </c>
      <c r="C1572" s="61" t="s">
        <v>14</v>
      </c>
      <c r="D1572" s="62">
        <v>13024</v>
      </c>
      <c r="E1572" s="46" t="s">
        <v>11568</v>
      </c>
      <c r="F1572" s="63">
        <v>40544</v>
      </c>
      <c r="G1572" s="63">
        <v>42825</v>
      </c>
      <c r="H1572" s="46" t="s">
        <v>3587</v>
      </c>
      <c r="I1572" s="64">
        <v>374066.04</v>
      </c>
      <c r="J1572" s="64">
        <v>374066.04</v>
      </c>
      <c r="K1572" s="88" t="s">
        <v>11651</v>
      </c>
      <c r="L1572" s="61"/>
    </row>
    <row r="1573" spans="1:60" s="21" customFormat="1" ht="38.25" x14ac:dyDescent="0.2">
      <c r="A1573" s="46" t="s">
        <v>11584</v>
      </c>
      <c r="B1573" s="61" t="s">
        <v>13</v>
      </c>
      <c r="C1573" s="61" t="s">
        <v>14</v>
      </c>
      <c r="D1573" s="62">
        <v>13025</v>
      </c>
      <c r="E1573" s="46" t="s">
        <v>11585</v>
      </c>
      <c r="F1573" s="63">
        <v>40544</v>
      </c>
      <c r="G1573" s="63">
        <v>42825</v>
      </c>
      <c r="H1573" s="46" t="s">
        <v>3587</v>
      </c>
      <c r="I1573" s="64">
        <v>589931.88</v>
      </c>
      <c r="J1573" s="64">
        <v>589931.88</v>
      </c>
      <c r="K1573" s="88" t="s">
        <v>11651</v>
      </c>
      <c r="L1573" s="61"/>
    </row>
    <row r="1574" spans="1:60" s="21" customFormat="1" ht="63.75" x14ac:dyDescent="0.2">
      <c r="A1574" s="46" t="s">
        <v>11586</v>
      </c>
      <c r="B1574" s="61" t="s">
        <v>13</v>
      </c>
      <c r="C1574" s="61" t="s">
        <v>14</v>
      </c>
      <c r="D1574" s="62">
        <v>13026</v>
      </c>
      <c r="E1574" s="46" t="s">
        <v>11587</v>
      </c>
      <c r="F1574" s="63">
        <v>40544</v>
      </c>
      <c r="G1574" s="63">
        <v>42825</v>
      </c>
      <c r="H1574" s="46" t="s">
        <v>3587</v>
      </c>
      <c r="I1574" s="64">
        <v>444894.89</v>
      </c>
      <c r="J1574" s="64">
        <v>444894.89</v>
      </c>
      <c r="K1574" s="88" t="s">
        <v>11651</v>
      </c>
      <c r="L1574" s="61"/>
    </row>
    <row r="1575" spans="1:60" s="21" customFormat="1" ht="38.25" x14ac:dyDescent="0.2">
      <c r="A1575" s="46" t="s">
        <v>11588</v>
      </c>
      <c r="B1575" s="61" t="s">
        <v>13</v>
      </c>
      <c r="C1575" s="61" t="s">
        <v>14</v>
      </c>
      <c r="D1575" s="62">
        <v>13027</v>
      </c>
      <c r="E1575" s="46" t="s">
        <v>11539</v>
      </c>
      <c r="F1575" s="63">
        <v>40544</v>
      </c>
      <c r="G1575" s="63">
        <v>42825</v>
      </c>
      <c r="H1575" s="46" t="s">
        <v>3587</v>
      </c>
      <c r="I1575" s="64">
        <v>305437.81</v>
      </c>
      <c r="J1575" s="64">
        <v>305437.81</v>
      </c>
      <c r="K1575" s="88" t="s">
        <v>11651</v>
      </c>
      <c r="L1575" s="61"/>
    </row>
    <row r="1576" spans="1:60" s="21" customFormat="1" ht="38.25" x14ac:dyDescent="0.2">
      <c r="A1576" s="46" t="s">
        <v>4026</v>
      </c>
      <c r="B1576" s="46" t="s">
        <v>13</v>
      </c>
      <c r="C1576" s="46" t="s">
        <v>14</v>
      </c>
      <c r="D1576" s="47">
        <v>10224</v>
      </c>
      <c r="E1576" s="46" t="s">
        <v>4027</v>
      </c>
      <c r="F1576" s="48">
        <v>40015</v>
      </c>
      <c r="G1576" s="48">
        <v>40815</v>
      </c>
      <c r="H1576" s="46" t="s">
        <v>2027</v>
      </c>
      <c r="I1576" s="45">
        <v>69097.100000000006</v>
      </c>
      <c r="J1576" s="45">
        <v>31093.7</v>
      </c>
      <c r="K1576" s="88" t="s">
        <v>11651</v>
      </c>
      <c r="L1576" s="46"/>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row>
    <row r="1577" spans="1:60" ht="38.25" x14ac:dyDescent="0.2">
      <c r="A1577" s="46" t="s">
        <v>4028</v>
      </c>
      <c r="B1577" s="46" t="s">
        <v>13</v>
      </c>
      <c r="C1577" s="46" t="s">
        <v>14</v>
      </c>
      <c r="D1577" s="47">
        <v>3717</v>
      </c>
      <c r="E1577" s="46" t="s">
        <v>4029</v>
      </c>
      <c r="F1577" s="48">
        <v>39083</v>
      </c>
      <c r="G1577" s="48">
        <v>42369</v>
      </c>
      <c r="H1577" s="46" t="s">
        <v>2637</v>
      </c>
      <c r="I1577" s="45">
        <v>5433207.2199999997</v>
      </c>
      <c r="J1577" s="45">
        <v>5433207.2199999997</v>
      </c>
      <c r="K1577" s="88" t="s">
        <v>11651</v>
      </c>
      <c r="L1577" s="45"/>
      <c r="M1577" s="3"/>
    </row>
    <row r="1578" spans="1:60" ht="38.25" x14ac:dyDescent="0.25">
      <c r="A1578" s="46" t="s">
        <v>4033</v>
      </c>
      <c r="B1578" s="46" t="s">
        <v>13</v>
      </c>
      <c r="C1578" s="46" t="s">
        <v>14</v>
      </c>
      <c r="D1578" s="47">
        <v>3924</v>
      </c>
      <c r="E1578" s="50" t="s">
        <v>4034</v>
      </c>
      <c r="F1578" s="48">
        <v>39615</v>
      </c>
      <c r="G1578" s="48">
        <v>40165</v>
      </c>
      <c r="H1578" s="46" t="s">
        <v>16</v>
      </c>
      <c r="I1578" s="45">
        <v>177000</v>
      </c>
      <c r="J1578" s="45">
        <v>53100</v>
      </c>
      <c r="K1578" s="49" t="s">
        <v>4035</v>
      </c>
      <c r="L1578" s="45"/>
      <c r="M1578" s="3"/>
    </row>
    <row r="1579" spans="1:60" ht="25.5" x14ac:dyDescent="0.25">
      <c r="A1579" s="46" t="s">
        <v>4036</v>
      </c>
      <c r="B1579" s="46" t="s">
        <v>13</v>
      </c>
      <c r="C1579" s="46" t="s">
        <v>14</v>
      </c>
      <c r="D1579" s="47">
        <v>4169</v>
      </c>
      <c r="E1579" s="46" t="s">
        <v>4037</v>
      </c>
      <c r="F1579" s="48">
        <v>39521</v>
      </c>
      <c r="G1579" s="48">
        <v>39537</v>
      </c>
      <c r="H1579" s="46" t="s">
        <v>16</v>
      </c>
      <c r="I1579" s="45">
        <v>84570</v>
      </c>
      <c r="J1579" s="45">
        <v>25371</v>
      </c>
      <c r="K1579" s="49" t="s">
        <v>4035</v>
      </c>
      <c r="L1579" s="45"/>
      <c r="M1579" s="3"/>
    </row>
    <row r="1580" spans="1:60" x14ac:dyDescent="0.25">
      <c r="A1580" s="46" t="s">
        <v>4038</v>
      </c>
      <c r="B1580" s="46" t="s">
        <v>13</v>
      </c>
      <c r="C1580" s="46" t="s">
        <v>14</v>
      </c>
      <c r="D1580" s="47">
        <v>4171</v>
      </c>
      <c r="E1580" s="46" t="s">
        <v>4039</v>
      </c>
      <c r="F1580" s="48">
        <v>39331</v>
      </c>
      <c r="G1580" s="48">
        <v>39570</v>
      </c>
      <c r="H1580" s="46" t="s">
        <v>16</v>
      </c>
      <c r="I1580" s="45">
        <v>24000</v>
      </c>
      <c r="J1580" s="45">
        <v>7200</v>
      </c>
      <c r="K1580" s="49" t="s">
        <v>4035</v>
      </c>
      <c r="L1580" s="45"/>
      <c r="M1580" s="3"/>
    </row>
    <row r="1581" spans="1:60" x14ac:dyDescent="0.25">
      <c r="A1581" s="46" t="s">
        <v>4040</v>
      </c>
      <c r="B1581" s="46" t="s">
        <v>13</v>
      </c>
      <c r="C1581" s="46" t="s">
        <v>14</v>
      </c>
      <c r="D1581" s="47">
        <v>4180</v>
      </c>
      <c r="E1581" s="46" t="s">
        <v>4041</v>
      </c>
      <c r="F1581" s="48">
        <v>39873</v>
      </c>
      <c r="G1581" s="48">
        <v>40025</v>
      </c>
      <c r="H1581" s="46" t="s">
        <v>16</v>
      </c>
      <c r="I1581" s="45">
        <v>137500</v>
      </c>
      <c r="J1581" s="45">
        <v>41250</v>
      </c>
      <c r="K1581" s="49" t="s">
        <v>4035</v>
      </c>
      <c r="L1581" s="45"/>
      <c r="M1581" s="3"/>
    </row>
    <row r="1582" spans="1:60" x14ac:dyDescent="0.25">
      <c r="A1582" s="46" t="s">
        <v>4042</v>
      </c>
      <c r="B1582" s="46" t="s">
        <v>13</v>
      </c>
      <c r="C1582" s="46" t="s">
        <v>14</v>
      </c>
      <c r="D1582" s="47">
        <v>4182</v>
      </c>
      <c r="E1582" s="46" t="s">
        <v>4043</v>
      </c>
      <c r="F1582" s="48">
        <v>39330</v>
      </c>
      <c r="G1582" s="48">
        <v>39631</v>
      </c>
      <c r="H1582" s="46" t="s">
        <v>16</v>
      </c>
      <c r="I1582" s="45">
        <v>12667</v>
      </c>
      <c r="J1582" s="45">
        <v>310.5</v>
      </c>
      <c r="K1582" s="49" t="s">
        <v>4035</v>
      </c>
      <c r="L1582" s="45"/>
      <c r="M1582" s="3"/>
    </row>
    <row r="1583" spans="1:60" ht="38.25" x14ac:dyDescent="0.25">
      <c r="A1583" s="46" t="s">
        <v>4044</v>
      </c>
      <c r="B1583" s="46" t="s">
        <v>13</v>
      </c>
      <c r="C1583" s="46" t="s">
        <v>14</v>
      </c>
      <c r="D1583" s="47">
        <v>4188</v>
      </c>
      <c r="E1583" s="46" t="s">
        <v>4045</v>
      </c>
      <c r="F1583" s="48">
        <v>39514</v>
      </c>
      <c r="G1583" s="48">
        <v>39566</v>
      </c>
      <c r="H1583" s="46" t="s">
        <v>16</v>
      </c>
      <c r="I1583" s="45">
        <v>63000</v>
      </c>
      <c r="J1583" s="45">
        <v>18765</v>
      </c>
      <c r="K1583" s="49" t="s">
        <v>4035</v>
      </c>
      <c r="L1583" s="45"/>
      <c r="M1583" s="3"/>
    </row>
    <row r="1584" spans="1:60" x14ac:dyDescent="0.25">
      <c r="A1584" s="46" t="s">
        <v>4046</v>
      </c>
      <c r="B1584" s="46" t="s">
        <v>13</v>
      </c>
      <c r="C1584" s="46" t="s">
        <v>14</v>
      </c>
      <c r="D1584" s="47">
        <v>4189</v>
      </c>
      <c r="E1584" s="46" t="s">
        <v>4047</v>
      </c>
      <c r="F1584" s="48">
        <v>39380</v>
      </c>
      <c r="G1584" s="48">
        <v>39903</v>
      </c>
      <c r="H1584" s="46" t="s">
        <v>16</v>
      </c>
      <c r="I1584" s="45">
        <v>38793</v>
      </c>
      <c r="J1584" s="45">
        <v>8099.04</v>
      </c>
      <c r="K1584" s="49" t="s">
        <v>4035</v>
      </c>
      <c r="L1584" s="45"/>
      <c r="M1584" s="3"/>
    </row>
    <row r="1585" spans="1:60" x14ac:dyDescent="0.25">
      <c r="A1585" s="46" t="s">
        <v>4048</v>
      </c>
      <c r="B1585" s="46" t="s">
        <v>13</v>
      </c>
      <c r="C1585" s="46" t="s">
        <v>14</v>
      </c>
      <c r="D1585" s="47">
        <v>9857</v>
      </c>
      <c r="E1585" s="46" t="s">
        <v>4049</v>
      </c>
      <c r="F1585" s="48">
        <v>40017</v>
      </c>
      <c r="G1585" s="48">
        <v>40364</v>
      </c>
      <c r="H1585" s="46" t="s">
        <v>16</v>
      </c>
      <c r="I1585" s="45">
        <v>26500</v>
      </c>
      <c r="J1585" s="45">
        <v>7950</v>
      </c>
      <c r="K1585" s="49" t="s">
        <v>4035</v>
      </c>
      <c r="L1585" s="45"/>
      <c r="M1585" s="3"/>
    </row>
    <row r="1586" spans="1:60" x14ac:dyDescent="0.25">
      <c r="A1586" s="46" t="s">
        <v>4048</v>
      </c>
      <c r="B1586" s="46" t="s">
        <v>13</v>
      </c>
      <c r="C1586" s="46" t="s">
        <v>14</v>
      </c>
      <c r="D1586" s="47">
        <v>9868</v>
      </c>
      <c r="E1586" s="46" t="s">
        <v>4050</v>
      </c>
      <c r="F1586" s="48">
        <v>40017</v>
      </c>
      <c r="G1586" s="48">
        <v>40364</v>
      </c>
      <c r="H1586" s="46" t="s">
        <v>16</v>
      </c>
      <c r="I1586" s="45">
        <v>12980</v>
      </c>
      <c r="J1586" s="45">
        <v>3567.3</v>
      </c>
      <c r="K1586" s="49" t="s">
        <v>4035</v>
      </c>
      <c r="L1586" s="45"/>
      <c r="M1586" s="3"/>
    </row>
    <row r="1587" spans="1:60" ht="76.5" x14ac:dyDescent="0.25">
      <c r="A1587" s="46" t="s">
        <v>4051</v>
      </c>
      <c r="B1587" s="46" t="s">
        <v>13</v>
      </c>
      <c r="C1587" s="46" t="s">
        <v>14</v>
      </c>
      <c r="D1587" s="47">
        <v>6189</v>
      </c>
      <c r="E1587" s="50" t="s">
        <v>4052</v>
      </c>
      <c r="F1587" s="48">
        <v>39845</v>
      </c>
      <c r="G1587" s="48">
        <v>40390</v>
      </c>
      <c r="H1587" s="46" t="s">
        <v>2039</v>
      </c>
      <c r="I1587" s="45">
        <v>77192.56</v>
      </c>
      <c r="J1587" s="45">
        <v>77192.56</v>
      </c>
      <c r="K1587" s="49" t="s">
        <v>4035</v>
      </c>
      <c r="L1587" s="45"/>
      <c r="M1587" s="3"/>
    </row>
    <row r="1588" spans="1:60" ht="76.5" x14ac:dyDescent="0.25">
      <c r="A1588" s="46" t="s">
        <v>4053</v>
      </c>
      <c r="B1588" s="46" t="s">
        <v>13</v>
      </c>
      <c r="C1588" s="46" t="s">
        <v>14</v>
      </c>
      <c r="D1588" s="47">
        <v>11090</v>
      </c>
      <c r="E1588" s="50" t="s">
        <v>4054</v>
      </c>
      <c r="F1588" s="48">
        <v>40695</v>
      </c>
      <c r="G1588" s="48">
        <v>41060</v>
      </c>
      <c r="H1588" s="46" t="s">
        <v>2039</v>
      </c>
      <c r="I1588" s="45">
        <v>11266.22</v>
      </c>
      <c r="J1588" s="45">
        <v>11266.22</v>
      </c>
      <c r="K1588" s="49" t="s">
        <v>4035</v>
      </c>
      <c r="L1588" s="45"/>
      <c r="M1588" s="3"/>
    </row>
    <row r="1589" spans="1:60" x14ac:dyDescent="0.25">
      <c r="A1589" s="46" t="s">
        <v>4055</v>
      </c>
      <c r="B1589" s="46" t="s">
        <v>13</v>
      </c>
      <c r="C1589" s="46" t="s">
        <v>14</v>
      </c>
      <c r="D1589" s="47">
        <v>9856</v>
      </c>
      <c r="E1589" s="46" t="s">
        <v>4056</v>
      </c>
      <c r="F1589" s="48">
        <v>40394</v>
      </c>
      <c r="G1589" s="48">
        <v>40536</v>
      </c>
      <c r="H1589" s="46" t="s">
        <v>392</v>
      </c>
      <c r="I1589" s="45">
        <v>1464985.39</v>
      </c>
      <c r="J1589" s="45">
        <v>500000</v>
      </c>
      <c r="K1589" s="49" t="s">
        <v>4035</v>
      </c>
      <c r="L1589" s="45"/>
      <c r="M1589" s="3"/>
    </row>
    <row r="1590" spans="1:60" ht="38.25" x14ac:dyDescent="0.25">
      <c r="A1590" s="46" t="s">
        <v>4057</v>
      </c>
      <c r="B1590" s="46" t="s">
        <v>13</v>
      </c>
      <c r="C1590" s="46" t="s">
        <v>14</v>
      </c>
      <c r="D1590" s="47">
        <v>9898</v>
      </c>
      <c r="E1590" s="46" t="s">
        <v>4058</v>
      </c>
      <c r="F1590" s="48">
        <v>40844</v>
      </c>
      <c r="G1590" s="48">
        <v>40897</v>
      </c>
      <c r="H1590" s="46" t="s">
        <v>392</v>
      </c>
      <c r="I1590" s="45">
        <v>53815.5</v>
      </c>
      <c r="J1590" s="45">
        <v>18835.43</v>
      </c>
      <c r="K1590" s="49" t="s">
        <v>4035</v>
      </c>
      <c r="L1590" s="45"/>
      <c r="M1590" s="3"/>
    </row>
    <row r="1591" spans="1:60" ht="25.5" x14ac:dyDescent="0.25">
      <c r="A1591" s="46" t="s">
        <v>4059</v>
      </c>
      <c r="B1591" s="46" t="s">
        <v>13</v>
      </c>
      <c r="C1591" s="46" t="s">
        <v>14</v>
      </c>
      <c r="D1591" s="47">
        <v>10039</v>
      </c>
      <c r="E1591" s="46" t="s">
        <v>4060</v>
      </c>
      <c r="F1591" s="48">
        <v>40828</v>
      </c>
      <c r="G1591" s="48">
        <v>40897</v>
      </c>
      <c r="H1591" s="46" t="s">
        <v>392</v>
      </c>
      <c r="I1591" s="45">
        <v>87622.55</v>
      </c>
      <c r="J1591" s="45">
        <v>30667.89</v>
      </c>
      <c r="K1591" s="49" t="s">
        <v>4035</v>
      </c>
      <c r="L1591" s="45"/>
      <c r="M1591" s="3"/>
    </row>
    <row r="1592" spans="1:60" ht="25.5" x14ac:dyDescent="0.25">
      <c r="A1592" s="46" t="s">
        <v>4067</v>
      </c>
      <c r="B1592" s="46" t="s">
        <v>13</v>
      </c>
      <c r="C1592" s="46" t="s">
        <v>14</v>
      </c>
      <c r="D1592" s="47">
        <v>2057</v>
      </c>
      <c r="E1592" s="46" t="s">
        <v>4068</v>
      </c>
      <c r="F1592" s="48">
        <v>39083</v>
      </c>
      <c r="G1592" s="46"/>
      <c r="H1592" s="46" t="s">
        <v>40</v>
      </c>
      <c r="I1592" s="45">
        <f>167928.13+14558.57</f>
        <v>182486.7</v>
      </c>
      <c r="J1592" s="45">
        <f>135665.63+14558.57</f>
        <v>150224.20000000001</v>
      </c>
      <c r="K1592" s="49" t="s">
        <v>4035</v>
      </c>
      <c r="L1592" s="45"/>
      <c r="M1592" s="3"/>
    </row>
    <row r="1593" spans="1:60" x14ac:dyDescent="0.25">
      <c r="A1593" s="46" t="s">
        <v>4071</v>
      </c>
      <c r="B1593" s="46" t="s">
        <v>13</v>
      </c>
      <c r="C1593" s="46" t="s">
        <v>14</v>
      </c>
      <c r="D1593" s="47">
        <v>2501</v>
      </c>
      <c r="E1593" s="46" t="s">
        <v>4072</v>
      </c>
      <c r="F1593" s="48">
        <v>39083</v>
      </c>
      <c r="G1593" s="46"/>
      <c r="H1593" s="46" t="s">
        <v>40</v>
      </c>
      <c r="I1593" s="45">
        <f>380494.92+58246.74</f>
        <v>438741.66</v>
      </c>
      <c r="J1593" s="45">
        <f>172815.38+58246.74</f>
        <v>231062.12</v>
      </c>
      <c r="K1593" s="49" t="s">
        <v>4035</v>
      </c>
      <c r="L1593" s="45"/>
      <c r="M1593" s="3"/>
    </row>
    <row r="1594" spans="1:60" x14ac:dyDescent="0.25">
      <c r="A1594" s="46" t="s">
        <v>4084</v>
      </c>
      <c r="B1594" s="46" t="s">
        <v>13</v>
      </c>
      <c r="C1594" s="46" t="s">
        <v>14</v>
      </c>
      <c r="D1594" s="47">
        <v>2525</v>
      </c>
      <c r="E1594" s="46" t="s">
        <v>4085</v>
      </c>
      <c r="F1594" s="48">
        <v>39083</v>
      </c>
      <c r="G1594" s="46"/>
      <c r="H1594" s="46" t="s">
        <v>40</v>
      </c>
      <c r="I1594" s="45">
        <f>257020.21+16707.27</f>
        <v>273727.48</v>
      </c>
      <c r="J1594" s="45">
        <f>143071.44+16707.27</f>
        <v>159778.71</v>
      </c>
      <c r="K1594" s="49" t="s">
        <v>4035</v>
      </c>
      <c r="L1594" s="45"/>
      <c r="M1594" s="3"/>
    </row>
    <row r="1595" spans="1:60" ht="25.5" x14ac:dyDescent="0.25">
      <c r="A1595" s="46" t="s">
        <v>4311</v>
      </c>
      <c r="B1595" s="46" t="s">
        <v>13</v>
      </c>
      <c r="C1595" s="46" t="s">
        <v>14</v>
      </c>
      <c r="D1595" s="47">
        <v>3784</v>
      </c>
      <c r="E1595" s="46" t="s">
        <v>4312</v>
      </c>
      <c r="F1595" s="48">
        <v>39717</v>
      </c>
      <c r="G1595" s="48">
        <v>40085</v>
      </c>
      <c r="H1595" s="46" t="s">
        <v>2027</v>
      </c>
      <c r="I1595" s="45">
        <v>40475</v>
      </c>
      <c r="J1595" s="45">
        <v>73462.5</v>
      </c>
      <c r="K1595" s="49" t="s">
        <v>4035</v>
      </c>
      <c r="L1595" s="45"/>
      <c r="M1595" s="3"/>
    </row>
    <row r="1596" spans="1:60" ht="76.5" x14ac:dyDescent="0.25">
      <c r="A1596" s="46" t="s">
        <v>4313</v>
      </c>
      <c r="B1596" s="46" t="s">
        <v>13</v>
      </c>
      <c r="C1596" s="46" t="s">
        <v>14</v>
      </c>
      <c r="D1596" s="47">
        <v>10192</v>
      </c>
      <c r="E1596" s="50" t="s">
        <v>4314</v>
      </c>
      <c r="F1596" s="48">
        <v>40359</v>
      </c>
      <c r="G1596" s="48">
        <v>40877</v>
      </c>
      <c r="H1596" s="46" t="s">
        <v>2027</v>
      </c>
      <c r="I1596" s="45">
        <v>107618.39</v>
      </c>
      <c r="J1596" s="45">
        <v>48428.28</v>
      </c>
      <c r="K1596" s="49" t="s">
        <v>4035</v>
      </c>
      <c r="L1596" s="45"/>
      <c r="M1596" s="3"/>
    </row>
    <row r="1597" spans="1:60" ht="38.25" x14ac:dyDescent="0.25">
      <c r="A1597" s="46" t="s">
        <v>4316</v>
      </c>
      <c r="B1597" s="46" t="s">
        <v>13</v>
      </c>
      <c r="C1597" s="46" t="s">
        <v>14</v>
      </c>
      <c r="D1597" s="47">
        <v>4410</v>
      </c>
      <c r="E1597" s="46" t="s">
        <v>4317</v>
      </c>
      <c r="F1597" s="48">
        <v>39553</v>
      </c>
      <c r="G1597" s="48">
        <v>41274</v>
      </c>
      <c r="H1597" s="46" t="s">
        <v>2032</v>
      </c>
      <c r="I1597" s="45">
        <v>1100915.46</v>
      </c>
      <c r="J1597" s="45">
        <v>1100915.43</v>
      </c>
      <c r="K1597" s="49" t="s">
        <v>4318</v>
      </c>
      <c r="L1597" s="45"/>
      <c r="M1597" s="3"/>
    </row>
    <row r="1598" spans="1:60" ht="51" x14ac:dyDescent="0.25">
      <c r="A1598" s="46" t="s">
        <v>11469</v>
      </c>
      <c r="B1598" s="61" t="s">
        <v>13</v>
      </c>
      <c r="C1598" s="61" t="s">
        <v>14</v>
      </c>
      <c r="D1598" s="62">
        <v>6538</v>
      </c>
      <c r="E1598" s="46" t="s">
        <v>11470</v>
      </c>
      <c r="F1598" s="63">
        <v>40544</v>
      </c>
      <c r="G1598" s="63">
        <v>41274</v>
      </c>
      <c r="H1598" s="46" t="s">
        <v>2032</v>
      </c>
      <c r="I1598" s="64">
        <v>157008.82</v>
      </c>
      <c r="J1598" s="64">
        <v>157008.82</v>
      </c>
      <c r="K1598" s="65" t="s">
        <v>4318</v>
      </c>
      <c r="L1598" s="6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row>
    <row r="1599" spans="1:60" ht="38.25" x14ac:dyDescent="0.25">
      <c r="A1599" s="46" t="s">
        <v>4319</v>
      </c>
      <c r="B1599" s="46" t="s">
        <v>13</v>
      </c>
      <c r="C1599" s="46" t="s">
        <v>14</v>
      </c>
      <c r="D1599" s="47">
        <v>3897</v>
      </c>
      <c r="E1599" s="50" t="s">
        <v>4320</v>
      </c>
      <c r="F1599" s="48">
        <v>39955</v>
      </c>
      <c r="G1599" s="48">
        <v>40140</v>
      </c>
      <c r="H1599" s="46" t="s">
        <v>16</v>
      </c>
      <c r="I1599" s="45">
        <v>28500</v>
      </c>
      <c r="J1599" s="45">
        <v>11400</v>
      </c>
      <c r="K1599" s="49" t="s">
        <v>4318</v>
      </c>
      <c r="L1599" s="45"/>
      <c r="M1599" s="3"/>
    </row>
    <row r="1600" spans="1:60" ht="25.5" x14ac:dyDescent="0.25">
      <c r="A1600" s="46" t="s">
        <v>4321</v>
      </c>
      <c r="B1600" s="46" t="s">
        <v>13</v>
      </c>
      <c r="C1600" s="46" t="s">
        <v>14</v>
      </c>
      <c r="D1600" s="47">
        <v>3898</v>
      </c>
      <c r="E1600" s="46" t="s">
        <v>4322</v>
      </c>
      <c r="F1600" s="48">
        <v>39360</v>
      </c>
      <c r="G1600" s="48">
        <v>39507</v>
      </c>
      <c r="H1600" s="46" t="s">
        <v>16</v>
      </c>
      <c r="I1600" s="45">
        <v>11850</v>
      </c>
      <c r="J1600" s="45">
        <v>4740</v>
      </c>
      <c r="K1600" s="49" t="s">
        <v>4318</v>
      </c>
      <c r="L1600" s="45"/>
      <c r="M1600" s="3"/>
    </row>
    <row r="1601" spans="1:13" x14ac:dyDescent="0.25">
      <c r="A1601" s="46" t="s">
        <v>4323</v>
      </c>
      <c r="B1601" s="46" t="s">
        <v>13</v>
      </c>
      <c r="C1601" s="46" t="s">
        <v>14</v>
      </c>
      <c r="D1601" s="47">
        <v>4078</v>
      </c>
      <c r="E1601" s="46" t="s">
        <v>4324</v>
      </c>
      <c r="F1601" s="48">
        <v>39671</v>
      </c>
      <c r="G1601" s="48">
        <v>40025</v>
      </c>
      <c r="H1601" s="46" t="s">
        <v>16</v>
      </c>
      <c r="I1601" s="45">
        <v>8631</v>
      </c>
      <c r="J1601" s="45">
        <v>13500</v>
      </c>
      <c r="K1601" s="49" t="s">
        <v>4318</v>
      </c>
      <c r="L1601" s="45"/>
      <c r="M1601" s="3"/>
    </row>
    <row r="1602" spans="1:13" ht="38.25" x14ac:dyDescent="0.25">
      <c r="A1602" s="46" t="s">
        <v>4325</v>
      </c>
      <c r="B1602" s="46" t="s">
        <v>13</v>
      </c>
      <c r="C1602" s="46" t="s">
        <v>14</v>
      </c>
      <c r="D1602" s="47">
        <v>4079</v>
      </c>
      <c r="E1602" s="50" t="s">
        <v>4326</v>
      </c>
      <c r="F1602" s="48">
        <v>39464</v>
      </c>
      <c r="G1602" s="48">
        <v>39538</v>
      </c>
      <c r="H1602" s="46" t="s">
        <v>16</v>
      </c>
      <c r="I1602" s="45">
        <v>15680</v>
      </c>
      <c r="J1602" s="45">
        <v>4704</v>
      </c>
      <c r="K1602" s="49" t="s">
        <v>4318</v>
      </c>
      <c r="L1602" s="45"/>
      <c r="M1602" s="3"/>
    </row>
    <row r="1603" spans="1:13" x14ac:dyDescent="0.25">
      <c r="A1603" s="46" t="s">
        <v>4327</v>
      </c>
      <c r="B1603" s="46" t="s">
        <v>13</v>
      </c>
      <c r="C1603" s="46" t="s">
        <v>14</v>
      </c>
      <c r="D1603" s="47">
        <v>4080</v>
      </c>
      <c r="E1603" s="46" t="s">
        <v>4328</v>
      </c>
      <c r="F1603" s="48">
        <v>39966</v>
      </c>
      <c r="G1603" s="48">
        <v>40217</v>
      </c>
      <c r="H1603" s="46" t="s">
        <v>16</v>
      </c>
      <c r="I1603" s="45">
        <v>7424.59</v>
      </c>
      <c r="J1603" s="45">
        <v>2227.38</v>
      </c>
      <c r="K1603" s="49" t="s">
        <v>4318</v>
      </c>
      <c r="L1603" s="45"/>
      <c r="M1603" s="3"/>
    </row>
    <row r="1604" spans="1:13" ht="38.25" x14ac:dyDescent="0.25">
      <c r="A1604" s="46" t="s">
        <v>4329</v>
      </c>
      <c r="B1604" s="46" t="s">
        <v>13</v>
      </c>
      <c r="C1604" s="46" t="s">
        <v>14</v>
      </c>
      <c r="D1604" s="47">
        <v>4081</v>
      </c>
      <c r="E1604" s="50" t="s">
        <v>4330</v>
      </c>
      <c r="F1604" s="48">
        <v>39671</v>
      </c>
      <c r="G1604" s="48">
        <v>39791</v>
      </c>
      <c r="H1604" s="46" t="s">
        <v>16</v>
      </c>
      <c r="I1604" s="45">
        <v>8631</v>
      </c>
      <c r="J1604" s="45">
        <v>2341.85</v>
      </c>
      <c r="K1604" s="49" t="s">
        <v>4318</v>
      </c>
      <c r="L1604" s="45"/>
      <c r="M1604" s="3"/>
    </row>
    <row r="1605" spans="1:13" ht="25.5" x14ac:dyDescent="0.25">
      <c r="A1605" s="46" t="s">
        <v>4331</v>
      </c>
      <c r="B1605" s="46" t="s">
        <v>13</v>
      </c>
      <c r="C1605" s="46" t="s">
        <v>14</v>
      </c>
      <c r="D1605" s="47">
        <v>4082</v>
      </c>
      <c r="E1605" s="46" t="s">
        <v>4332</v>
      </c>
      <c r="F1605" s="48">
        <v>39616</v>
      </c>
      <c r="G1605" s="48">
        <v>39721</v>
      </c>
      <c r="H1605" s="46" t="s">
        <v>16</v>
      </c>
      <c r="I1605" s="45">
        <v>8631</v>
      </c>
      <c r="J1605" s="45">
        <v>2763.14</v>
      </c>
      <c r="K1605" s="49" t="s">
        <v>4318</v>
      </c>
      <c r="L1605" s="45"/>
      <c r="M1605" s="3"/>
    </row>
    <row r="1606" spans="1:13" x14ac:dyDescent="0.25">
      <c r="A1606" s="46" t="s">
        <v>4333</v>
      </c>
      <c r="B1606" s="46" t="s">
        <v>13</v>
      </c>
      <c r="C1606" s="46" t="s">
        <v>14</v>
      </c>
      <c r="D1606" s="47">
        <v>4083</v>
      </c>
      <c r="E1606" s="46" t="s">
        <v>4334</v>
      </c>
      <c r="F1606" s="48">
        <v>39415</v>
      </c>
      <c r="G1606" s="48">
        <v>39672</v>
      </c>
      <c r="H1606" s="46" t="s">
        <v>16</v>
      </c>
      <c r="I1606" s="45">
        <v>13696</v>
      </c>
      <c r="J1606" s="45">
        <v>3033.6</v>
      </c>
      <c r="K1606" s="49" t="s">
        <v>4318</v>
      </c>
      <c r="L1606" s="45"/>
      <c r="M1606" s="3"/>
    </row>
    <row r="1607" spans="1:13" ht="25.5" x14ac:dyDescent="0.25">
      <c r="A1607" s="46" t="s">
        <v>4335</v>
      </c>
      <c r="B1607" s="46" t="s">
        <v>13</v>
      </c>
      <c r="C1607" s="46" t="s">
        <v>14</v>
      </c>
      <c r="D1607" s="47">
        <v>4085</v>
      </c>
      <c r="E1607" s="46" t="s">
        <v>4336</v>
      </c>
      <c r="F1607" s="48">
        <v>39671</v>
      </c>
      <c r="G1607" s="48">
        <v>39812</v>
      </c>
      <c r="H1607" s="46" t="s">
        <v>16</v>
      </c>
      <c r="I1607" s="45">
        <v>8631</v>
      </c>
      <c r="J1607" s="45">
        <v>2606</v>
      </c>
      <c r="K1607" s="49" t="s">
        <v>4318</v>
      </c>
      <c r="L1607" s="45"/>
      <c r="M1607" s="3"/>
    </row>
    <row r="1608" spans="1:13" ht="25.5" x14ac:dyDescent="0.25">
      <c r="A1608" s="46" t="s">
        <v>4337</v>
      </c>
      <c r="B1608" s="46" t="s">
        <v>13</v>
      </c>
      <c r="C1608" s="46" t="s">
        <v>14</v>
      </c>
      <c r="D1608" s="47">
        <v>4087</v>
      </c>
      <c r="E1608" s="46" t="s">
        <v>4338</v>
      </c>
      <c r="F1608" s="48">
        <v>39770</v>
      </c>
      <c r="G1608" s="48">
        <v>39962</v>
      </c>
      <c r="H1608" s="46" t="s">
        <v>16</v>
      </c>
      <c r="I1608" s="45">
        <v>8631</v>
      </c>
      <c r="J1608" s="45">
        <v>8220</v>
      </c>
      <c r="K1608" s="49" t="s">
        <v>4318</v>
      </c>
      <c r="L1608" s="45"/>
      <c r="M1608" s="3"/>
    </row>
    <row r="1609" spans="1:13" ht="38.25" x14ac:dyDescent="0.25">
      <c r="A1609" s="46" t="s">
        <v>4339</v>
      </c>
      <c r="B1609" s="46" t="s">
        <v>13</v>
      </c>
      <c r="C1609" s="46" t="s">
        <v>14</v>
      </c>
      <c r="D1609" s="47">
        <v>4090</v>
      </c>
      <c r="E1609" s="46" t="s">
        <v>4340</v>
      </c>
      <c r="F1609" s="48">
        <v>39659</v>
      </c>
      <c r="G1609" s="48">
        <v>39752</v>
      </c>
      <c r="H1609" s="46" t="s">
        <v>16</v>
      </c>
      <c r="I1609" s="45">
        <v>19305</v>
      </c>
      <c r="J1609" s="45">
        <v>4487.3900000000003</v>
      </c>
      <c r="K1609" s="49" t="s">
        <v>4318</v>
      </c>
      <c r="L1609" s="45"/>
      <c r="M1609" s="3"/>
    </row>
    <row r="1610" spans="1:13" ht="25.5" x14ac:dyDescent="0.25">
      <c r="A1610" s="46" t="s">
        <v>4341</v>
      </c>
      <c r="B1610" s="46" t="s">
        <v>13</v>
      </c>
      <c r="C1610" s="46" t="s">
        <v>14</v>
      </c>
      <c r="D1610" s="47">
        <v>4093</v>
      </c>
      <c r="E1610" s="46" t="s">
        <v>4342</v>
      </c>
      <c r="F1610" s="48">
        <v>39792</v>
      </c>
      <c r="G1610" s="48">
        <v>40116</v>
      </c>
      <c r="H1610" s="46" t="s">
        <v>16</v>
      </c>
      <c r="I1610" s="45">
        <v>8350</v>
      </c>
      <c r="J1610" s="45">
        <v>3340</v>
      </c>
      <c r="K1610" s="49" t="s">
        <v>4318</v>
      </c>
      <c r="L1610" s="45"/>
      <c r="M1610" s="3"/>
    </row>
    <row r="1611" spans="1:13" ht="38.25" x14ac:dyDescent="0.25">
      <c r="A1611" s="46" t="s">
        <v>4343</v>
      </c>
      <c r="B1611" s="46" t="s">
        <v>13</v>
      </c>
      <c r="C1611" s="46" t="s">
        <v>14</v>
      </c>
      <c r="D1611" s="47">
        <v>4097</v>
      </c>
      <c r="E1611" s="46" t="s">
        <v>4344</v>
      </c>
      <c r="F1611" s="48">
        <v>39328</v>
      </c>
      <c r="G1611" s="48">
        <v>39721</v>
      </c>
      <c r="H1611" s="46" t="s">
        <v>16</v>
      </c>
      <c r="I1611" s="45">
        <v>30502</v>
      </c>
      <c r="J1611" s="45">
        <v>9150</v>
      </c>
      <c r="K1611" s="49" t="s">
        <v>4318</v>
      </c>
      <c r="L1611" s="45"/>
      <c r="M1611" s="3"/>
    </row>
    <row r="1612" spans="1:13" ht="38.25" x14ac:dyDescent="0.25">
      <c r="A1612" s="46" t="s">
        <v>4345</v>
      </c>
      <c r="B1612" s="46" t="s">
        <v>13</v>
      </c>
      <c r="C1612" s="46" t="s">
        <v>14</v>
      </c>
      <c r="D1612" s="47">
        <v>4100</v>
      </c>
      <c r="E1612" s="46" t="s">
        <v>4346</v>
      </c>
      <c r="F1612" s="48">
        <v>39406</v>
      </c>
      <c r="G1612" s="48">
        <v>39538</v>
      </c>
      <c r="H1612" s="46" t="s">
        <v>16</v>
      </c>
      <c r="I1612" s="45">
        <v>147500</v>
      </c>
      <c r="J1612" s="45">
        <v>31500</v>
      </c>
      <c r="K1612" s="49" t="s">
        <v>4318</v>
      </c>
      <c r="L1612" s="45"/>
      <c r="M1612" s="3"/>
    </row>
    <row r="1613" spans="1:13" ht="38.25" x14ac:dyDescent="0.25">
      <c r="A1613" s="46" t="s">
        <v>4327</v>
      </c>
      <c r="B1613" s="46" t="s">
        <v>13</v>
      </c>
      <c r="C1613" s="46" t="s">
        <v>14</v>
      </c>
      <c r="D1613" s="47">
        <v>4103</v>
      </c>
      <c r="E1613" s="50" t="s">
        <v>4347</v>
      </c>
      <c r="F1613" s="48">
        <v>39847</v>
      </c>
      <c r="G1613" s="48">
        <v>39933</v>
      </c>
      <c r="H1613" s="46" t="s">
        <v>16</v>
      </c>
      <c r="I1613" s="45">
        <v>1500</v>
      </c>
      <c r="J1613" s="45">
        <v>493.83</v>
      </c>
      <c r="K1613" s="49" t="s">
        <v>4318</v>
      </c>
      <c r="L1613" s="45"/>
      <c r="M1613" s="3"/>
    </row>
    <row r="1614" spans="1:13" x14ac:dyDescent="0.25">
      <c r="A1614" s="46" t="s">
        <v>4348</v>
      </c>
      <c r="B1614" s="46" t="s">
        <v>13</v>
      </c>
      <c r="C1614" s="46" t="s">
        <v>14</v>
      </c>
      <c r="D1614" s="47">
        <v>4106</v>
      </c>
      <c r="E1614" s="46" t="s">
        <v>4349</v>
      </c>
      <c r="F1614" s="48">
        <v>39821</v>
      </c>
      <c r="G1614" s="48">
        <v>40221</v>
      </c>
      <c r="H1614" s="46" t="s">
        <v>16</v>
      </c>
      <c r="I1614" s="45">
        <v>6174.4</v>
      </c>
      <c r="J1614" s="45">
        <v>1950</v>
      </c>
      <c r="K1614" s="49" t="s">
        <v>4318</v>
      </c>
      <c r="L1614" s="45"/>
      <c r="M1614" s="3"/>
    </row>
    <row r="1615" spans="1:13" x14ac:dyDescent="0.25">
      <c r="A1615" s="46" t="s">
        <v>4350</v>
      </c>
      <c r="B1615" s="46" t="s">
        <v>13</v>
      </c>
      <c r="C1615" s="46" t="s">
        <v>14</v>
      </c>
      <c r="D1615" s="47">
        <v>9890</v>
      </c>
      <c r="E1615" s="46" t="s">
        <v>4351</v>
      </c>
      <c r="F1615" s="48">
        <v>40319</v>
      </c>
      <c r="G1615" s="48">
        <v>40508</v>
      </c>
      <c r="H1615" s="46" t="s">
        <v>16</v>
      </c>
      <c r="I1615" s="45">
        <v>11453.74</v>
      </c>
      <c r="J1615" s="45">
        <v>2606.4</v>
      </c>
      <c r="K1615" s="49" t="s">
        <v>4318</v>
      </c>
      <c r="L1615" s="45"/>
      <c r="M1615" s="3"/>
    </row>
    <row r="1616" spans="1:13" x14ac:dyDescent="0.25">
      <c r="A1616" s="46" t="s">
        <v>4352</v>
      </c>
      <c r="B1616" s="46" t="s">
        <v>13</v>
      </c>
      <c r="C1616" s="46" t="s">
        <v>14</v>
      </c>
      <c r="D1616" s="47">
        <v>9918</v>
      </c>
      <c r="E1616" s="46" t="s">
        <v>4353</v>
      </c>
      <c r="F1616" s="48">
        <v>40289</v>
      </c>
      <c r="G1616" s="48">
        <v>40483</v>
      </c>
      <c r="H1616" s="46" t="s">
        <v>16</v>
      </c>
      <c r="I1616" s="45">
        <v>7062.98</v>
      </c>
      <c r="J1616" s="45">
        <v>2118.89</v>
      </c>
      <c r="K1616" s="49" t="s">
        <v>4318</v>
      </c>
      <c r="L1616" s="45"/>
      <c r="M1616" s="3"/>
    </row>
    <row r="1617" spans="1:13" x14ac:dyDescent="0.25">
      <c r="A1617" s="46" t="s">
        <v>4354</v>
      </c>
      <c r="B1617" s="46" t="s">
        <v>13</v>
      </c>
      <c r="C1617" s="46" t="s">
        <v>14</v>
      </c>
      <c r="D1617" s="47">
        <v>9973</v>
      </c>
      <c r="E1617" s="46" t="s">
        <v>4355</v>
      </c>
      <c r="F1617" s="48">
        <v>40493</v>
      </c>
      <c r="G1617" s="48">
        <v>40695</v>
      </c>
      <c r="H1617" s="46" t="s">
        <v>16</v>
      </c>
      <c r="I1617" s="45">
        <v>20000</v>
      </c>
      <c r="J1617" s="45">
        <v>8000</v>
      </c>
      <c r="K1617" s="49" t="s">
        <v>4318</v>
      </c>
      <c r="L1617" s="45"/>
      <c r="M1617" s="3"/>
    </row>
    <row r="1618" spans="1:13" x14ac:dyDescent="0.25">
      <c r="A1618" s="46" t="s">
        <v>4356</v>
      </c>
      <c r="B1618" s="46" t="s">
        <v>13</v>
      </c>
      <c r="C1618" s="46" t="s">
        <v>14</v>
      </c>
      <c r="D1618" s="47">
        <v>9986</v>
      </c>
      <c r="E1618" s="46" t="s">
        <v>4357</v>
      </c>
      <c r="F1618" s="48">
        <v>40526</v>
      </c>
      <c r="G1618" s="48">
        <v>40693</v>
      </c>
      <c r="H1618" s="46" t="s">
        <v>16</v>
      </c>
      <c r="I1618" s="45">
        <v>46077.13</v>
      </c>
      <c r="J1618" s="45">
        <v>13200</v>
      </c>
      <c r="K1618" s="49" t="s">
        <v>4318</v>
      </c>
      <c r="L1618" s="45"/>
      <c r="M1618" s="3"/>
    </row>
    <row r="1619" spans="1:13" x14ac:dyDescent="0.25">
      <c r="A1619" s="46" t="s">
        <v>4358</v>
      </c>
      <c r="B1619" s="46" t="s">
        <v>13</v>
      </c>
      <c r="C1619" s="46" t="s">
        <v>14</v>
      </c>
      <c r="D1619" s="47">
        <v>10000</v>
      </c>
      <c r="E1619" s="46" t="s">
        <v>4359</v>
      </c>
      <c r="F1619" s="48">
        <v>40129</v>
      </c>
      <c r="G1619" s="48">
        <v>40364</v>
      </c>
      <c r="H1619" s="46" t="s">
        <v>16</v>
      </c>
      <c r="I1619" s="45">
        <v>13920.7</v>
      </c>
      <c r="J1619" s="45">
        <v>3632.64</v>
      </c>
      <c r="K1619" s="49" t="s">
        <v>4318</v>
      </c>
      <c r="L1619" s="45"/>
      <c r="M1619" s="3"/>
    </row>
    <row r="1620" spans="1:13" x14ac:dyDescent="0.25">
      <c r="A1620" s="46" t="s">
        <v>4360</v>
      </c>
      <c r="B1620" s="46" t="s">
        <v>13</v>
      </c>
      <c r="C1620" s="46" t="s">
        <v>14</v>
      </c>
      <c r="D1620" s="47">
        <v>10056</v>
      </c>
      <c r="E1620" s="46" t="s">
        <v>4361</v>
      </c>
      <c r="F1620" s="48">
        <v>40455</v>
      </c>
      <c r="G1620" s="48">
        <v>40570</v>
      </c>
      <c r="H1620" s="46" t="s">
        <v>16</v>
      </c>
      <c r="I1620" s="45">
        <v>9436</v>
      </c>
      <c r="J1620" s="45">
        <v>2830.8</v>
      </c>
      <c r="K1620" s="49" t="s">
        <v>4318</v>
      </c>
      <c r="L1620" s="45"/>
      <c r="M1620" s="3"/>
    </row>
    <row r="1621" spans="1:13" x14ac:dyDescent="0.25">
      <c r="A1621" s="46" t="s">
        <v>4339</v>
      </c>
      <c r="B1621" s="46" t="s">
        <v>13</v>
      </c>
      <c r="C1621" s="46" t="s">
        <v>14</v>
      </c>
      <c r="D1621" s="47">
        <v>10161</v>
      </c>
      <c r="E1621" s="46" t="s">
        <v>4362</v>
      </c>
      <c r="F1621" s="48">
        <v>40526</v>
      </c>
      <c r="G1621" s="48">
        <v>40693</v>
      </c>
      <c r="H1621" s="46" t="s">
        <v>16</v>
      </c>
      <c r="I1621" s="45">
        <v>36000</v>
      </c>
      <c r="J1621" s="45">
        <v>10725</v>
      </c>
      <c r="K1621" s="49" t="s">
        <v>4318</v>
      </c>
      <c r="L1621" s="46"/>
      <c r="M1621" s="3"/>
    </row>
    <row r="1622" spans="1:13" x14ac:dyDescent="0.25">
      <c r="A1622" s="46" t="s">
        <v>4363</v>
      </c>
      <c r="B1622" s="46" t="s">
        <v>13</v>
      </c>
      <c r="C1622" s="46" t="s">
        <v>14</v>
      </c>
      <c r="D1622" s="47">
        <v>9500</v>
      </c>
      <c r="E1622" s="46" t="s">
        <v>4364</v>
      </c>
      <c r="F1622" s="48">
        <v>39731</v>
      </c>
      <c r="G1622" s="48">
        <v>40154</v>
      </c>
      <c r="H1622" s="46" t="s">
        <v>389</v>
      </c>
      <c r="I1622" s="45">
        <v>19200</v>
      </c>
      <c r="J1622" s="45">
        <v>7000</v>
      </c>
      <c r="K1622" s="49" t="s">
        <v>4318</v>
      </c>
      <c r="L1622" s="45"/>
      <c r="M1622" s="3"/>
    </row>
    <row r="1623" spans="1:13" x14ac:dyDescent="0.25">
      <c r="A1623" s="46" t="s">
        <v>4365</v>
      </c>
      <c r="B1623" s="46" t="s">
        <v>13</v>
      </c>
      <c r="C1623" s="46" t="s">
        <v>14</v>
      </c>
      <c r="D1623" s="47">
        <v>10223</v>
      </c>
      <c r="E1623" s="46" t="s">
        <v>4366</v>
      </c>
      <c r="F1623" s="48">
        <v>41142</v>
      </c>
      <c r="G1623" s="48">
        <v>41267</v>
      </c>
      <c r="H1623" s="46" t="s">
        <v>392</v>
      </c>
      <c r="I1623" s="45">
        <v>392117.85</v>
      </c>
      <c r="J1623" s="45">
        <v>117635.36</v>
      </c>
      <c r="K1623" s="49" t="s">
        <v>4318</v>
      </c>
      <c r="L1623" s="45"/>
      <c r="M1623" s="3"/>
    </row>
    <row r="1624" spans="1:13" ht="25.5" x14ac:dyDescent="0.25">
      <c r="A1624" s="46" t="s">
        <v>4519</v>
      </c>
      <c r="B1624" s="46" t="s">
        <v>13</v>
      </c>
      <c r="C1624" s="46" t="s">
        <v>14</v>
      </c>
      <c r="D1624" s="47">
        <v>7210</v>
      </c>
      <c r="E1624" s="46" t="s">
        <v>4520</v>
      </c>
      <c r="F1624" s="48">
        <v>40448</v>
      </c>
      <c r="G1624" s="48">
        <v>40716</v>
      </c>
      <c r="H1624" s="46" t="s">
        <v>40</v>
      </c>
      <c r="I1624" s="45">
        <v>7500</v>
      </c>
      <c r="J1624" s="45">
        <v>7500</v>
      </c>
      <c r="K1624" s="49" t="s">
        <v>4318</v>
      </c>
      <c r="L1624" s="45"/>
      <c r="M1624" s="3"/>
    </row>
    <row r="1625" spans="1:13" ht="38.25" x14ac:dyDescent="0.25">
      <c r="A1625" s="46" t="s">
        <v>4662</v>
      </c>
      <c r="B1625" s="46" t="s">
        <v>13</v>
      </c>
      <c r="C1625" s="46" t="s">
        <v>14</v>
      </c>
      <c r="D1625" s="47">
        <v>3360</v>
      </c>
      <c r="E1625" s="46" t="s">
        <v>4663</v>
      </c>
      <c r="F1625" s="48">
        <v>39083</v>
      </c>
      <c r="G1625" s="48">
        <v>42369</v>
      </c>
      <c r="H1625" s="46" t="s">
        <v>2637</v>
      </c>
      <c r="I1625" s="45">
        <v>26998.73</v>
      </c>
      <c r="J1625" s="45">
        <v>26998.73</v>
      </c>
      <c r="K1625" s="49" t="s">
        <v>4318</v>
      </c>
      <c r="L1625" s="45"/>
      <c r="M1625" s="3"/>
    </row>
    <row r="1626" spans="1:13" x14ac:dyDescent="0.25">
      <c r="A1626" s="46" t="s">
        <v>4665</v>
      </c>
      <c r="B1626" s="46" t="s">
        <v>13</v>
      </c>
      <c r="C1626" s="46" t="s">
        <v>14</v>
      </c>
      <c r="D1626" s="47">
        <v>3937</v>
      </c>
      <c r="E1626" s="46" t="s">
        <v>4666</v>
      </c>
      <c r="F1626" s="48">
        <v>39843</v>
      </c>
      <c r="G1626" s="48">
        <v>40451</v>
      </c>
      <c r="H1626" s="46" t="s">
        <v>16</v>
      </c>
      <c r="I1626" s="45">
        <v>999000</v>
      </c>
      <c r="J1626" s="45">
        <v>194805</v>
      </c>
      <c r="K1626" s="49" t="s">
        <v>4667</v>
      </c>
      <c r="L1626" s="45"/>
      <c r="M1626" s="3"/>
    </row>
    <row r="1627" spans="1:13" x14ac:dyDescent="0.25">
      <c r="A1627" s="46" t="s">
        <v>4668</v>
      </c>
      <c r="B1627" s="46" t="s">
        <v>13</v>
      </c>
      <c r="C1627" s="46" t="s">
        <v>14</v>
      </c>
      <c r="D1627" s="47">
        <v>4040</v>
      </c>
      <c r="E1627" s="46" t="s">
        <v>4669</v>
      </c>
      <c r="F1627" s="48">
        <v>39406</v>
      </c>
      <c r="G1627" s="48">
        <v>39538</v>
      </c>
      <c r="H1627" s="46" t="s">
        <v>16</v>
      </c>
      <c r="I1627" s="45">
        <v>15420</v>
      </c>
      <c r="J1627" s="45">
        <v>3247</v>
      </c>
      <c r="K1627" s="49" t="s">
        <v>4667</v>
      </c>
      <c r="L1627" s="45"/>
      <c r="M1627" s="3"/>
    </row>
    <row r="1628" spans="1:13" ht="25.5" x14ac:dyDescent="0.25">
      <c r="A1628" s="46" t="s">
        <v>4670</v>
      </c>
      <c r="B1628" s="46" t="s">
        <v>13</v>
      </c>
      <c r="C1628" s="46" t="s">
        <v>14</v>
      </c>
      <c r="D1628" s="47">
        <v>4042</v>
      </c>
      <c r="E1628" s="46" t="s">
        <v>4671</v>
      </c>
      <c r="F1628" s="48">
        <v>39972</v>
      </c>
      <c r="G1628" s="48">
        <v>40256</v>
      </c>
      <c r="H1628" s="46" t="s">
        <v>16</v>
      </c>
      <c r="I1628" s="45">
        <v>6900</v>
      </c>
      <c r="J1628" s="45">
        <v>2070</v>
      </c>
      <c r="K1628" s="49" t="s">
        <v>4667</v>
      </c>
      <c r="L1628" s="45"/>
      <c r="M1628" s="3"/>
    </row>
    <row r="1629" spans="1:13" ht="25.5" x14ac:dyDescent="0.25">
      <c r="A1629" s="46" t="s">
        <v>4672</v>
      </c>
      <c r="B1629" s="46" t="s">
        <v>13</v>
      </c>
      <c r="C1629" s="46" t="s">
        <v>14</v>
      </c>
      <c r="D1629" s="47">
        <v>4059</v>
      </c>
      <c r="E1629" s="46" t="s">
        <v>4673</v>
      </c>
      <c r="F1629" s="48">
        <v>39874</v>
      </c>
      <c r="G1629" s="48">
        <v>40053</v>
      </c>
      <c r="H1629" s="46" t="s">
        <v>16</v>
      </c>
      <c r="I1629" s="45">
        <v>6274</v>
      </c>
      <c r="J1629" s="45">
        <v>1882</v>
      </c>
      <c r="K1629" s="49" t="s">
        <v>4667</v>
      </c>
      <c r="L1629" s="45"/>
      <c r="M1629" s="3"/>
    </row>
    <row r="1630" spans="1:13" ht="38.25" x14ac:dyDescent="0.25">
      <c r="A1630" s="46" t="s">
        <v>4674</v>
      </c>
      <c r="B1630" s="46" t="s">
        <v>13</v>
      </c>
      <c r="C1630" s="46" t="s">
        <v>14</v>
      </c>
      <c r="D1630" s="47">
        <v>4061</v>
      </c>
      <c r="E1630" s="46" t="s">
        <v>4675</v>
      </c>
      <c r="F1630" s="48">
        <v>39735</v>
      </c>
      <c r="G1630" s="48">
        <v>39871</v>
      </c>
      <c r="H1630" s="46" t="s">
        <v>16</v>
      </c>
      <c r="I1630" s="45">
        <v>13392</v>
      </c>
      <c r="J1630" s="45">
        <v>4018</v>
      </c>
      <c r="K1630" s="49" t="s">
        <v>4667</v>
      </c>
      <c r="L1630" s="45"/>
      <c r="M1630" s="3"/>
    </row>
    <row r="1631" spans="1:13" x14ac:dyDescent="0.25">
      <c r="A1631" s="46" t="s">
        <v>4676</v>
      </c>
      <c r="B1631" s="46" t="s">
        <v>13</v>
      </c>
      <c r="C1631" s="46" t="s">
        <v>14</v>
      </c>
      <c r="D1631" s="47">
        <v>4062</v>
      </c>
      <c r="E1631" s="46" t="s">
        <v>4677</v>
      </c>
      <c r="F1631" s="48">
        <v>39507</v>
      </c>
      <c r="G1631" s="48">
        <v>39903</v>
      </c>
      <c r="H1631" s="46" t="s">
        <v>16</v>
      </c>
      <c r="I1631" s="45">
        <v>110000</v>
      </c>
      <c r="J1631" s="45">
        <v>31623.3</v>
      </c>
      <c r="K1631" s="49" t="s">
        <v>4667</v>
      </c>
      <c r="L1631" s="45"/>
      <c r="M1631" s="3"/>
    </row>
    <row r="1632" spans="1:13" ht="38.25" x14ac:dyDescent="0.25">
      <c r="A1632" s="46" t="s">
        <v>4678</v>
      </c>
      <c r="B1632" s="46" t="s">
        <v>13</v>
      </c>
      <c r="C1632" s="46" t="s">
        <v>14</v>
      </c>
      <c r="D1632" s="47">
        <v>4064</v>
      </c>
      <c r="E1632" s="50" t="s">
        <v>4679</v>
      </c>
      <c r="F1632" s="48">
        <v>39545</v>
      </c>
      <c r="G1632" s="48">
        <v>40087</v>
      </c>
      <c r="H1632" s="46" t="s">
        <v>16</v>
      </c>
      <c r="I1632" s="45">
        <v>105000</v>
      </c>
      <c r="J1632" s="45">
        <v>30023.84</v>
      </c>
      <c r="K1632" s="49" t="s">
        <v>4667</v>
      </c>
      <c r="L1632" s="45"/>
      <c r="M1632" s="3"/>
    </row>
    <row r="1633" spans="1:13" x14ac:dyDescent="0.25">
      <c r="A1633" s="46" t="s">
        <v>4680</v>
      </c>
      <c r="B1633" s="46" t="s">
        <v>13</v>
      </c>
      <c r="C1633" s="46" t="s">
        <v>14</v>
      </c>
      <c r="D1633" s="47">
        <v>4065</v>
      </c>
      <c r="E1633" s="46" t="s">
        <v>4681</v>
      </c>
      <c r="F1633" s="48">
        <v>39507</v>
      </c>
      <c r="G1633" s="48">
        <v>39689</v>
      </c>
      <c r="H1633" s="46" t="s">
        <v>16</v>
      </c>
      <c r="I1633" s="45">
        <v>21447</v>
      </c>
      <c r="J1633" s="45">
        <v>4671.8100000000004</v>
      </c>
      <c r="K1633" s="49" t="s">
        <v>4667</v>
      </c>
      <c r="L1633" s="45"/>
      <c r="M1633" s="3"/>
    </row>
    <row r="1634" spans="1:13" x14ac:dyDescent="0.25">
      <c r="A1634" s="46" t="s">
        <v>4682</v>
      </c>
      <c r="B1634" s="46" t="s">
        <v>13</v>
      </c>
      <c r="C1634" s="46" t="s">
        <v>14</v>
      </c>
      <c r="D1634" s="47">
        <v>4069</v>
      </c>
      <c r="E1634" s="46" t="s">
        <v>4683</v>
      </c>
      <c r="F1634" s="48">
        <v>39759</v>
      </c>
      <c r="G1634" s="48">
        <v>39871</v>
      </c>
      <c r="H1634" s="46" t="s">
        <v>16</v>
      </c>
      <c r="I1634" s="45">
        <v>14400</v>
      </c>
      <c r="J1634" s="45">
        <v>4320</v>
      </c>
      <c r="K1634" s="49" t="s">
        <v>4667</v>
      </c>
      <c r="L1634" s="45"/>
      <c r="M1634" s="3"/>
    </row>
    <row r="1635" spans="1:13" x14ac:dyDescent="0.25">
      <c r="A1635" s="46" t="s">
        <v>4676</v>
      </c>
      <c r="B1635" s="46" t="s">
        <v>13</v>
      </c>
      <c r="C1635" s="46" t="s">
        <v>14</v>
      </c>
      <c r="D1635" s="47">
        <v>4071</v>
      </c>
      <c r="E1635" s="46" t="s">
        <v>4684</v>
      </c>
      <c r="F1635" s="48">
        <v>39507</v>
      </c>
      <c r="G1635" s="48">
        <v>39903</v>
      </c>
      <c r="H1635" s="46" t="s">
        <v>16</v>
      </c>
      <c r="I1635" s="45">
        <v>17600</v>
      </c>
      <c r="J1635" s="45">
        <v>5280</v>
      </c>
      <c r="K1635" s="49" t="s">
        <v>4667</v>
      </c>
      <c r="L1635" s="45"/>
      <c r="M1635" s="3"/>
    </row>
    <row r="1636" spans="1:13" ht="25.5" x14ac:dyDescent="0.25">
      <c r="A1636" s="46" t="s">
        <v>4685</v>
      </c>
      <c r="B1636" s="46" t="s">
        <v>13</v>
      </c>
      <c r="C1636" s="46" t="s">
        <v>14</v>
      </c>
      <c r="D1636" s="47">
        <v>4073</v>
      </c>
      <c r="E1636" s="46" t="s">
        <v>4686</v>
      </c>
      <c r="F1636" s="48">
        <v>39966</v>
      </c>
      <c r="G1636" s="48">
        <v>40162</v>
      </c>
      <c r="H1636" s="46" t="s">
        <v>16</v>
      </c>
      <c r="I1636" s="45">
        <v>26000</v>
      </c>
      <c r="J1636" s="45">
        <v>7800</v>
      </c>
      <c r="K1636" s="49" t="s">
        <v>4667</v>
      </c>
      <c r="L1636" s="45"/>
      <c r="M1636" s="3"/>
    </row>
    <row r="1637" spans="1:13" ht="38.25" x14ac:dyDescent="0.25">
      <c r="A1637" s="46" t="s">
        <v>4687</v>
      </c>
      <c r="B1637" s="46" t="s">
        <v>13</v>
      </c>
      <c r="C1637" s="46" t="s">
        <v>14</v>
      </c>
      <c r="D1637" s="47">
        <v>4077</v>
      </c>
      <c r="E1637" s="50" t="s">
        <v>4688</v>
      </c>
      <c r="F1637" s="48">
        <v>39415</v>
      </c>
      <c r="G1637" s="48">
        <v>39752</v>
      </c>
      <c r="H1637" s="46" t="s">
        <v>16</v>
      </c>
      <c r="I1637" s="45">
        <v>50000</v>
      </c>
      <c r="J1637" s="45">
        <v>14681</v>
      </c>
      <c r="K1637" s="49" t="s">
        <v>4667</v>
      </c>
      <c r="L1637" s="45"/>
      <c r="M1637" s="3"/>
    </row>
    <row r="1638" spans="1:13" x14ac:dyDescent="0.25">
      <c r="A1638" s="46" t="s">
        <v>4689</v>
      </c>
      <c r="B1638" s="46" t="s">
        <v>13</v>
      </c>
      <c r="C1638" s="46" t="s">
        <v>14</v>
      </c>
      <c r="D1638" s="47">
        <v>9879</v>
      </c>
      <c r="E1638" s="46" t="s">
        <v>4690</v>
      </c>
      <c r="F1638" s="48">
        <v>40318</v>
      </c>
      <c r="G1638" s="48">
        <v>40466</v>
      </c>
      <c r="H1638" s="46" t="s">
        <v>16</v>
      </c>
      <c r="I1638" s="45">
        <v>70444</v>
      </c>
      <c r="J1638" s="45">
        <v>20310</v>
      </c>
      <c r="K1638" s="49" t="s">
        <v>4667</v>
      </c>
      <c r="L1638" s="45"/>
      <c r="M1638" s="3"/>
    </row>
    <row r="1639" spans="1:13" ht="25.5" x14ac:dyDescent="0.25">
      <c r="A1639" s="46" t="s">
        <v>4691</v>
      </c>
      <c r="B1639" s="46" t="s">
        <v>13</v>
      </c>
      <c r="C1639" s="46" t="s">
        <v>14</v>
      </c>
      <c r="D1639" s="47">
        <v>9888</v>
      </c>
      <c r="E1639" s="46" t="s">
        <v>4692</v>
      </c>
      <c r="F1639" s="48">
        <v>40221</v>
      </c>
      <c r="G1639" s="48">
        <v>40332</v>
      </c>
      <c r="H1639" s="46" t="s">
        <v>16</v>
      </c>
      <c r="I1639" s="45">
        <v>9500</v>
      </c>
      <c r="J1639" s="45">
        <v>3800</v>
      </c>
      <c r="K1639" s="49" t="s">
        <v>4667</v>
      </c>
      <c r="L1639" s="45"/>
      <c r="M1639" s="3"/>
    </row>
    <row r="1640" spans="1:13" x14ac:dyDescent="0.25">
      <c r="A1640" s="46" t="s">
        <v>4693</v>
      </c>
      <c r="B1640" s="46" t="s">
        <v>13</v>
      </c>
      <c r="C1640" s="46" t="s">
        <v>14</v>
      </c>
      <c r="D1640" s="47">
        <v>9982</v>
      </c>
      <c r="E1640" s="46" t="s">
        <v>4694</v>
      </c>
      <c r="F1640" s="48">
        <v>40071</v>
      </c>
      <c r="G1640" s="48">
        <v>40269</v>
      </c>
      <c r="H1640" s="46" t="s">
        <v>16</v>
      </c>
      <c r="I1640" s="45">
        <v>12200</v>
      </c>
      <c r="J1640" s="45">
        <v>3660</v>
      </c>
      <c r="K1640" s="49" t="s">
        <v>4667</v>
      </c>
      <c r="L1640" s="45"/>
      <c r="M1640" s="3"/>
    </row>
    <row r="1641" spans="1:13" x14ac:dyDescent="0.25">
      <c r="A1641" s="46" t="s">
        <v>4695</v>
      </c>
      <c r="B1641" s="46" t="s">
        <v>13</v>
      </c>
      <c r="C1641" s="46" t="s">
        <v>14</v>
      </c>
      <c r="D1641" s="47">
        <v>10059</v>
      </c>
      <c r="E1641" s="46" t="s">
        <v>4696</v>
      </c>
      <c r="F1641" s="48">
        <v>40500</v>
      </c>
      <c r="G1641" s="48">
        <v>40570</v>
      </c>
      <c r="H1641" s="46" t="s">
        <v>16</v>
      </c>
      <c r="I1641" s="45">
        <v>11240</v>
      </c>
      <c r="J1641" s="45">
        <v>3372</v>
      </c>
      <c r="K1641" s="49" t="s">
        <v>4667</v>
      </c>
      <c r="L1641" s="45"/>
      <c r="M1641" s="3"/>
    </row>
    <row r="1642" spans="1:13" x14ac:dyDescent="0.25">
      <c r="A1642" s="46" t="s">
        <v>4697</v>
      </c>
      <c r="B1642" s="46" t="s">
        <v>13</v>
      </c>
      <c r="C1642" s="46" t="s">
        <v>14</v>
      </c>
      <c r="D1642" s="47">
        <v>10171</v>
      </c>
      <c r="E1642" s="46" t="s">
        <v>4698</v>
      </c>
      <c r="F1642" s="48">
        <v>39415</v>
      </c>
      <c r="G1642" s="48">
        <v>40221</v>
      </c>
      <c r="H1642" s="46" t="s">
        <v>16</v>
      </c>
      <c r="I1642" s="45">
        <v>26431.72</v>
      </c>
      <c r="J1642" s="45">
        <v>7929.52</v>
      </c>
      <c r="K1642" s="49" t="s">
        <v>4667</v>
      </c>
      <c r="L1642" s="45"/>
      <c r="M1642" s="3"/>
    </row>
    <row r="1643" spans="1:13" ht="38.25" x14ac:dyDescent="0.25">
      <c r="A1643" s="46" t="s">
        <v>4699</v>
      </c>
      <c r="B1643" s="46" t="s">
        <v>13</v>
      </c>
      <c r="C1643" s="46" t="s">
        <v>14</v>
      </c>
      <c r="D1643" s="47">
        <v>4400</v>
      </c>
      <c r="E1643" s="46" t="s">
        <v>4700</v>
      </c>
      <c r="F1643" s="48">
        <v>39508</v>
      </c>
      <c r="G1643" s="48">
        <v>40074</v>
      </c>
      <c r="H1643" s="46" t="s">
        <v>2039</v>
      </c>
      <c r="I1643" s="45">
        <v>51494.720000000001</v>
      </c>
      <c r="J1643" s="45">
        <v>51494.720000000001</v>
      </c>
      <c r="K1643" s="49" t="s">
        <v>4667</v>
      </c>
      <c r="L1643" s="45"/>
      <c r="M1643" s="3"/>
    </row>
    <row r="1644" spans="1:13" ht="38.25" x14ac:dyDescent="0.25">
      <c r="A1644" s="46" t="s">
        <v>4701</v>
      </c>
      <c r="B1644" s="46" t="s">
        <v>13</v>
      </c>
      <c r="C1644" s="46" t="s">
        <v>14</v>
      </c>
      <c r="D1644" s="47">
        <v>5699</v>
      </c>
      <c r="E1644" s="46" t="s">
        <v>4702</v>
      </c>
      <c r="F1644" s="48">
        <v>39479</v>
      </c>
      <c r="G1644" s="48">
        <v>40390</v>
      </c>
      <c r="H1644" s="46" t="s">
        <v>2039</v>
      </c>
      <c r="I1644" s="45">
        <v>37387.93</v>
      </c>
      <c r="J1644" s="45">
        <v>37387.93</v>
      </c>
      <c r="K1644" s="49" t="s">
        <v>4667</v>
      </c>
      <c r="L1644" s="45"/>
      <c r="M1644" s="3"/>
    </row>
    <row r="1645" spans="1:13" ht="25.5" x14ac:dyDescent="0.25">
      <c r="A1645" s="46" t="s">
        <v>4703</v>
      </c>
      <c r="B1645" s="46" t="s">
        <v>13</v>
      </c>
      <c r="C1645" s="46" t="s">
        <v>14</v>
      </c>
      <c r="D1645" s="47">
        <v>5700</v>
      </c>
      <c r="E1645" s="46" t="s">
        <v>4704</v>
      </c>
      <c r="F1645" s="48">
        <v>39722</v>
      </c>
      <c r="G1645" s="48">
        <v>40086</v>
      </c>
      <c r="H1645" s="46" t="s">
        <v>2039</v>
      </c>
      <c r="I1645" s="45">
        <f>68774.76-96.47</f>
        <v>68678.289999999994</v>
      </c>
      <c r="J1645" s="45">
        <f>68774.76-96.47</f>
        <v>68678.289999999994</v>
      </c>
      <c r="K1645" s="49" t="s">
        <v>4667</v>
      </c>
      <c r="L1645" s="45"/>
      <c r="M1645" s="3"/>
    </row>
    <row r="1646" spans="1:13" ht="25.5" x14ac:dyDescent="0.25">
      <c r="A1646" s="46" t="s">
        <v>4705</v>
      </c>
      <c r="B1646" s="46" t="s">
        <v>13</v>
      </c>
      <c r="C1646" s="46" t="s">
        <v>14</v>
      </c>
      <c r="D1646" s="47">
        <v>5701</v>
      </c>
      <c r="E1646" s="46" t="s">
        <v>4706</v>
      </c>
      <c r="F1646" s="48">
        <v>39569</v>
      </c>
      <c r="G1646" s="48">
        <v>40117</v>
      </c>
      <c r="H1646" s="46" t="s">
        <v>2039</v>
      </c>
      <c r="I1646" s="45">
        <f>93598.75-59.02</f>
        <v>93539.73</v>
      </c>
      <c r="J1646" s="45">
        <f>93598.75-59.02</f>
        <v>93539.73</v>
      </c>
      <c r="K1646" s="49" t="s">
        <v>4667</v>
      </c>
      <c r="L1646" s="45"/>
      <c r="M1646" s="3"/>
    </row>
    <row r="1647" spans="1:13" ht="25.5" x14ac:dyDescent="0.25">
      <c r="A1647" s="46" t="s">
        <v>4707</v>
      </c>
      <c r="B1647" s="46" t="s">
        <v>13</v>
      </c>
      <c r="C1647" s="46" t="s">
        <v>14</v>
      </c>
      <c r="D1647" s="47">
        <v>5702</v>
      </c>
      <c r="E1647" s="46" t="s">
        <v>4708</v>
      </c>
      <c r="F1647" s="48">
        <v>39814</v>
      </c>
      <c r="G1647" s="48">
        <v>40268</v>
      </c>
      <c r="H1647" s="46" t="s">
        <v>2039</v>
      </c>
      <c r="I1647" s="45">
        <v>58461.98</v>
      </c>
      <c r="J1647" s="45">
        <v>58461.98</v>
      </c>
      <c r="K1647" s="49" t="s">
        <v>4667</v>
      </c>
      <c r="L1647" s="45"/>
      <c r="M1647" s="3"/>
    </row>
    <row r="1648" spans="1:13" ht="38.25" x14ac:dyDescent="0.25">
      <c r="A1648" s="46" t="s">
        <v>4709</v>
      </c>
      <c r="B1648" s="46" t="s">
        <v>13</v>
      </c>
      <c r="C1648" s="46" t="s">
        <v>14</v>
      </c>
      <c r="D1648" s="47">
        <v>5703</v>
      </c>
      <c r="E1648" s="46" t="s">
        <v>4710</v>
      </c>
      <c r="F1648" s="48">
        <v>39814</v>
      </c>
      <c r="G1648" s="48">
        <v>40178</v>
      </c>
      <c r="H1648" s="46" t="s">
        <v>2039</v>
      </c>
      <c r="I1648" s="45">
        <v>69342.06</v>
      </c>
      <c r="J1648" s="45">
        <v>69342.06</v>
      </c>
      <c r="K1648" s="49" t="s">
        <v>4667</v>
      </c>
      <c r="L1648" s="45"/>
      <c r="M1648" s="3"/>
    </row>
    <row r="1649" spans="1:13" ht="25.5" x14ac:dyDescent="0.25">
      <c r="A1649" s="46" t="s">
        <v>4711</v>
      </c>
      <c r="B1649" s="46" t="s">
        <v>13</v>
      </c>
      <c r="C1649" s="46" t="s">
        <v>14</v>
      </c>
      <c r="D1649" s="47">
        <v>5704</v>
      </c>
      <c r="E1649" s="46" t="s">
        <v>4711</v>
      </c>
      <c r="F1649" s="48">
        <v>39995</v>
      </c>
      <c r="G1649" s="48">
        <v>40421</v>
      </c>
      <c r="H1649" s="46" t="s">
        <v>2039</v>
      </c>
      <c r="I1649" s="45">
        <v>50013.15</v>
      </c>
      <c r="J1649" s="45">
        <v>50013.15</v>
      </c>
      <c r="K1649" s="49" t="s">
        <v>4667</v>
      </c>
      <c r="L1649" s="45"/>
      <c r="M1649" s="3"/>
    </row>
    <row r="1650" spans="1:13" ht="25.5" x14ac:dyDescent="0.25">
      <c r="A1650" s="46" t="s">
        <v>4712</v>
      </c>
      <c r="B1650" s="46" t="s">
        <v>13</v>
      </c>
      <c r="C1650" s="46" t="s">
        <v>14</v>
      </c>
      <c r="D1650" s="47">
        <v>5705</v>
      </c>
      <c r="E1650" s="46" t="s">
        <v>4713</v>
      </c>
      <c r="F1650" s="48">
        <v>40057</v>
      </c>
      <c r="G1650" s="48">
        <v>40421</v>
      </c>
      <c r="H1650" s="46" t="s">
        <v>2039</v>
      </c>
      <c r="I1650" s="45">
        <f>62571.9-2.17</f>
        <v>62569.73</v>
      </c>
      <c r="J1650" s="45">
        <f>62571.9-2.17</f>
        <v>62569.73</v>
      </c>
      <c r="K1650" s="49" t="s">
        <v>4667</v>
      </c>
      <c r="L1650" s="45"/>
      <c r="M1650" s="3"/>
    </row>
    <row r="1651" spans="1:13" ht="38.25" x14ac:dyDescent="0.25">
      <c r="A1651" s="46" t="s">
        <v>4714</v>
      </c>
      <c r="B1651" s="46" t="s">
        <v>13</v>
      </c>
      <c r="C1651" s="46" t="s">
        <v>14</v>
      </c>
      <c r="D1651" s="47">
        <v>5706</v>
      </c>
      <c r="E1651" s="46" t="s">
        <v>4715</v>
      </c>
      <c r="F1651" s="48">
        <v>40118</v>
      </c>
      <c r="G1651" s="48">
        <v>40482</v>
      </c>
      <c r="H1651" s="46" t="s">
        <v>2039</v>
      </c>
      <c r="I1651" s="45">
        <v>8938.7999999999993</v>
      </c>
      <c r="J1651" s="45">
        <v>8938.7999999999993</v>
      </c>
      <c r="K1651" s="49" t="s">
        <v>4667</v>
      </c>
      <c r="L1651" s="45"/>
      <c r="M1651" s="3"/>
    </row>
    <row r="1652" spans="1:13" ht="25.5" x14ac:dyDescent="0.25">
      <c r="A1652" s="46" t="s">
        <v>4716</v>
      </c>
      <c r="B1652" s="46" t="s">
        <v>13</v>
      </c>
      <c r="C1652" s="46" t="s">
        <v>14</v>
      </c>
      <c r="D1652" s="47">
        <v>5707</v>
      </c>
      <c r="E1652" s="46" t="s">
        <v>4716</v>
      </c>
      <c r="F1652" s="48">
        <v>40087</v>
      </c>
      <c r="G1652" s="48">
        <v>40451</v>
      </c>
      <c r="H1652" s="46" t="s">
        <v>2039</v>
      </c>
      <c r="I1652" s="45">
        <f>28554.51-19.65</f>
        <v>28534.859999999997</v>
      </c>
      <c r="J1652" s="45">
        <f>28554.51-19.65</f>
        <v>28534.859999999997</v>
      </c>
      <c r="K1652" s="49" t="s">
        <v>4667</v>
      </c>
      <c r="L1652" s="45"/>
      <c r="M1652" s="3"/>
    </row>
    <row r="1653" spans="1:13" ht="38.25" x14ac:dyDescent="0.25">
      <c r="A1653" s="46" t="s">
        <v>4717</v>
      </c>
      <c r="B1653" s="46" t="s">
        <v>13</v>
      </c>
      <c r="C1653" s="46" t="s">
        <v>14</v>
      </c>
      <c r="D1653" s="47">
        <v>5708</v>
      </c>
      <c r="E1653" s="46" t="s">
        <v>4718</v>
      </c>
      <c r="F1653" s="48">
        <v>39295</v>
      </c>
      <c r="G1653" s="48">
        <v>39691</v>
      </c>
      <c r="H1653" s="46" t="s">
        <v>2039</v>
      </c>
      <c r="I1653" s="45">
        <v>75816.160000000003</v>
      </c>
      <c r="J1653" s="45">
        <v>75816.160000000003</v>
      </c>
      <c r="K1653" s="49" t="s">
        <v>4667</v>
      </c>
      <c r="L1653" s="45"/>
      <c r="M1653" s="3"/>
    </row>
    <row r="1654" spans="1:13" ht="38.25" x14ac:dyDescent="0.25">
      <c r="A1654" s="46" t="s">
        <v>4719</v>
      </c>
      <c r="B1654" s="46" t="s">
        <v>13</v>
      </c>
      <c r="C1654" s="46" t="s">
        <v>14</v>
      </c>
      <c r="D1654" s="47">
        <v>5709</v>
      </c>
      <c r="E1654" s="46" t="s">
        <v>4720</v>
      </c>
      <c r="F1654" s="48">
        <v>39349</v>
      </c>
      <c r="G1654" s="48">
        <v>39714</v>
      </c>
      <c r="H1654" s="46" t="s">
        <v>2039</v>
      </c>
      <c r="I1654" s="45">
        <v>62573.93</v>
      </c>
      <c r="J1654" s="45">
        <v>62573.93</v>
      </c>
      <c r="K1654" s="49" t="s">
        <v>4667</v>
      </c>
      <c r="L1654" s="45"/>
      <c r="M1654" s="3"/>
    </row>
    <row r="1655" spans="1:13" ht="25.5" x14ac:dyDescent="0.25">
      <c r="A1655" s="46" t="s">
        <v>4721</v>
      </c>
      <c r="B1655" s="46" t="s">
        <v>13</v>
      </c>
      <c r="C1655" s="46" t="s">
        <v>14</v>
      </c>
      <c r="D1655" s="47">
        <v>5710</v>
      </c>
      <c r="E1655" s="46" t="s">
        <v>4722</v>
      </c>
      <c r="F1655" s="48">
        <v>39332</v>
      </c>
      <c r="G1655" s="48">
        <v>39727</v>
      </c>
      <c r="H1655" s="46" t="s">
        <v>2039</v>
      </c>
      <c r="I1655" s="45">
        <f>58302.56-62.93</f>
        <v>58239.63</v>
      </c>
      <c r="J1655" s="45">
        <f>58302.56-62.93</f>
        <v>58239.63</v>
      </c>
      <c r="K1655" s="49" t="s">
        <v>4667</v>
      </c>
      <c r="L1655" s="45"/>
      <c r="M1655" s="3"/>
    </row>
    <row r="1656" spans="1:13" ht="38.25" x14ac:dyDescent="0.25">
      <c r="A1656" s="46" t="s">
        <v>4723</v>
      </c>
      <c r="B1656" s="46" t="s">
        <v>13</v>
      </c>
      <c r="C1656" s="46" t="s">
        <v>14</v>
      </c>
      <c r="D1656" s="47">
        <v>5711</v>
      </c>
      <c r="E1656" s="46" t="s">
        <v>4724</v>
      </c>
      <c r="F1656" s="48">
        <v>39478</v>
      </c>
      <c r="G1656" s="48">
        <v>39833</v>
      </c>
      <c r="H1656" s="46" t="s">
        <v>2039</v>
      </c>
      <c r="I1656" s="45">
        <v>63060.9</v>
      </c>
      <c r="J1656" s="45">
        <v>63060.9</v>
      </c>
      <c r="K1656" s="49" t="s">
        <v>4667</v>
      </c>
      <c r="L1656" s="45"/>
      <c r="M1656" s="3"/>
    </row>
    <row r="1657" spans="1:13" ht="38.25" x14ac:dyDescent="0.25">
      <c r="A1657" s="46" t="s">
        <v>4725</v>
      </c>
      <c r="B1657" s="46" t="s">
        <v>13</v>
      </c>
      <c r="C1657" s="46" t="s">
        <v>14</v>
      </c>
      <c r="D1657" s="47">
        <v>5712</v>
      </c>
      <c r="E1657" s="46" t="s">
        <v>4726</v>
      </c>
      <c r="F1657" s="48">
        <v>39265</v>
      </c>
      <c r="G1657" s="48">
        <v>39753</v>
      </c>
      <c r="H1657" s="46" t="s">
        <v>2039</v>
      </c>
      <c r="I1657" s="45">
        <f>88423.18-97.26</f>
        <v>88325.92</v>
      </c>
      <c r="J1657" s="45">
        <f>88423.18-97.26</f>
        <v>88325.92</v>
      </c>
      <c r="K1657" s="49" t="s">
        <v>4667</v>
      </c>
      <c r="L1657" s="45"/>
      <c r="M1657" s="3"/>
    </row>
    <row r="1658" spans="1:13" ht="38.25" x14ac:dyDescent="0.25">
      <c r="A1658" s="46" t="s">
        <v>4727</v>
      </c>
      <c r="B1658" s="46" t="s">
        <v>13</v>
      </c>
      <c r="C1658" s="46" t="s">
        <v>14</v>
      </c>
      <c r="D1658" s="47">
        <v>5713</v>
      </c>
      <c r="E1658" s="46" t="s">
        <v>4728</v>
      </c>
      <c r="F1658" s="48">
        <v>39569</v>
      </c>
      <c r="G1658" s="48">
        <v>40298</v>
      </c>
      <c r="H1658" s="46" t="s">
        <v>2039</v>
      </c>
      <c r="I1658" s="45">
        <f>303578.6-150.05</f>
        <v>303428.55</v>
      </c>
      <c r="J1658" s="45">
        <f>303578.6-150.05</f>
        <v>303428.55</v>
      </c>
      <c r="K1658" s="49" t="s">
        <v>4667</v>
      </c>
      <c r="L1658" s="45"/>
      <c r="M1658" s="3"/>
    </row>
    <row r="1659" spans="1:13" ht="38.25" x14ac:dyDescent="0.25">
      <c r="A1659" s="46" t="s">
        <v>4729</v>
      </c>
      <c r="B1659" s="46" t="s">
        <v>13</v>
      </c>
      <c r="C1659" s="46" t="s">
        <v>14</v>
      </c>
      <c r="D1659" s="47">
        <v>5714</v>
      </c>
      <c r="E1659" s="46" t="s">
        <v>4730</v>
      </c>
      <c r="F1659" s="48">
        <v>39722</v>
      </c>
      <c r="G1659" s="48">
        <v>40908</v>
      </c>
      <c r="H1659" s="46" t="s">
        <v>2039</v>
      </c>
      <c r="I1659" s="45">
        <v>263856.71999999997</v>
      </c>
      <c r="J1659" s="45">
        <v>263856.71999999997</v>
      </c>
      <c r="K1659" s="49" t="s">
        <v>4667</v>
      </c>
      <c r="L1659" s="45"/>
      <c r="M1659" s="3"/>
    </row>
    <row r="1660" spans="1:13" ht="38.25" x14ac:dyDescent="0.25">
      <c r="A1660" s="46" t="s">
        <v>4731</v>
      </c>
      <c r="B1660" s="46" t="s">
        <v>13</v>
      </c>
      <c r="C1660" s="46" t="s">
        <v>14</v>
      </c>
      <c r="D1660" s="47">
        <v>5715</v>
      </c>
      <c r="E1660" s="46" t="s">
        <v>4732</v>
      </c>
      <c r="F1660" s="48">
        <v>39661</v>
      </c>
      <c r="G1660" s="48">
        <v>40390</v>
      </c>
      <c r="H1660" s="46" t="s">
        <v>2039</v>
      </c>
      <c r="I1660" s="45">
        <f>208037.27-64.74</f>
        <v>207972.53</v>
      </c>
      <c r="J1660" s="45">
        <f>208037.27-64.74</f>
        <v>207972.53</v>
      </c>
      <c r="K1660" s="49" t="s">
        <v>4667</v>
      </c>
      <c r="L1660" s="45"/>
      <c r="M1660" s="3"/>
    </row>
    <row r="1661" spans="1:13" ht="38.25" x14ac:dyDescent="0.25">
      <c r="A1661" s="46" t="s">
        <v>4733</v>
      </c>
      <c r="B1661" s="46" t="s">
        <v>13</v>
      </c>
      <c r="C1661" s="46" t="s">
        <v>14</v>
      </c>
      <c r="D1661" s="47">
        <v>5716</v>
      </c>
      <c r="E1661" s="46" t="s">
        <v>4734</v>
      </c>
      <c r="F1661" s="48">
        <v>39814</v>
      </c>
      <c r="G1661" s="48">
        <v>40544</v>
      </c>
      <c r="H1661" s="46" t="s">
        <v>2039</v>
      </c>
      <c r="I1661" s="45">
        <v>181247.05</v>
      </c>
      <c r="J1661" s="45">
        <v>181247.05</v>
      </c>
      <c r="K1661" s="49" t="s">
        <v>4667</v>
      </c>
      <c r="L1661" s="45"/>
      <c r="M1661" s="3"/>
    </row>
    <row r="1662" spans="1:13" ht="38.25" x14ac:dyDescent="0.25">
      <c r="A1662" s="46" t="s">
        <v>4735</v>
      </c>
      <c r="B1662" s="46" t="s">
        <v>13</v>
      </c>
      <c r="C1662" s="46" t="s">
        <v>14</v>
      </c>
      <c r="D1662" s="47">
        <v>5717</v>
      </c>
      <c r="E1662" s="46" t="s">
        <v>4736</v>
      </c>
      <c r="F1662" s="48">
        <v>39904</v>
      </c>
      <c r="G1662" s="48">
        <v>41000</v>
      </c>
      <c r="H1662" s="46" t="s">
        <v>2039</v>
      </c>
      <c r="I1662" s="45">
        <v>391909</v>
      </c>
      <c r="J1662" s="45">
        <v>224776.95999999999</v>
      </c>
      <c r="K1662" s="49" t="s">
        <v>4667</v>
      </c>
      <c r="L1662" s="45"/>
      <c r="M1662" s="3"/>
    </row>
    <row r="1663" spans="1:13" ht="25.5" x14ac:dyDescent="0.25">
      <c r="A1663" s="46" t="s">
        <v>4737</v>
      </c>
      <c r="B1663" s="46" t="s">
        <v>13</v>
      </c>
      <c r="C1663" s="46" t="s">
        <v>14</v>
      </c>
      <c r="D1663" s="47">
        <v>5718</v>
      </c>
      <c r="E1663" s="46" t="s">
        <v>4738</v>
      </c>
      <c r="F1663" s="48">
        <v>40179</v>
      </c>
      <c r="G1663" s="48">
        <v>40999</v>
      </c>
      <c r="H1663" s="46" t="s">
        <v>2039</v>
      </c>
      <c r="I1663" s="45">
        <v>351212</v>
      </c>
      <c r="J1663" s="45">
        <v>123816.99</v>
      </c>
      <c r="K1663" s="49" t="s">
        <v>4667</v>
      </c>
      <c r="L1663" s="45"/>
      <c r="M1663" s="3"/>
    </row>
    <row r="1664" spans="1:13" ht="25.5" x14ac:dyDescent="0.25">
      <c r="A1664" s="46" t="s">
        <v>4739</v>
      </c>
      <c r="B1664" s="46" t="s">
        <v>13</v>
      </c>
      <c r="C1664" s="46" t="s">
        <v>14</v>
      </c>
      <c r="D1664" s="47">
        <v>6522</v>
      </c>
      <c r="E1664" s="46" t="s">
        <v>4740</v>
      </c>
      <c r="F1664" s="48">
        <v>39814</v>
      </c>
      <c r="G1664" s="48">
        <v>40544</v>
      </c>
      <c r="H1664" s="46" t="s">
        <v>2039</v>
      </c>
      <c r="I1664" s="45">
        <f>404050-180.76</f>
        <v>403869.24</v>
      </c>
      <c r="J1664" s="45">
        <f>152951.47-180.76</f>
        <v>152770.71</v>
      </c>
      <c r="K1664" s="49" t="s">
        <v>4667</v>
      </c>
      <c r="L1664" s="45"/>
      <c r="M1664" s="3"/>
    </row>
    <row r="1665" spans="1:60" ht="38.25" x14ac:dyDescent="0.25">
      <c r="A1665" s="46" t="s">
        <v>4741</v>
      </c>
      <c r="B1665" s="46" t="s">
        <v>13</v>
      </c>
      <c r="C1665" s="46" t="s">
        <v>14</v>
      </c>
      <c r="D1665" s="47">
        <v>6523</v>
      </c>
      <c r="E1665" s="46" t="s">
        <v>4742</v>
      </c>
      <c r="F1665" s="48">
        <v>39661</v>
      </c>
      <c r="G1665" s="48">
        <v>40490</v>
      </c>
      <c r="H1665" s="46" t="s">
        <v>2039</v>
      </c>
      <c r="I1665" s="45">
        <v>362945</v>
      </c>
      <c r="J1665" s="45">
        <v>29177.48</v>
      </c>
      <c r="K1665" s="49" t="s">
        <v>4667</v>
      </c>
      <c r="L1665" s="45"/>
      <c r="M1665" s="3"/>
    </row>
    <row r="1666" spans="1:60" ht="38.25" x14ac:dyDescent="0.25">
      <c r="A1666" s="46" t="s">
        <v>4743</v>
      </c>
      <c r="B1666" s="46" t="s">
        <v>13</v>
      </c>
      <c r="C1666" s="46" t="s">
        <v>14</v>
      </c>
      <c r="D1666" s="47">
        <v>6525</v>
      </c>
      <c r="E1666" s="46" t="s">
        <v>4744</v>
      </c>
      <c r="F1666" s="48">
        <v>39569</v>
      </c>
      <c r="G1666" s="48">
        <v>40298</v>
      </c>
      <c r="H1666" s="46" t="s">
        <v>2039</v>
      </c>
      <c r="I1666" s="45">
        <v>434007</v>
      </c>
      <c r="J1666" s="45">
        <v>61353.27</v>
      </c>
      <c r="K1666" s="49" t="s">
        <v>4667</v>
      </c>
      <c r="L1666" s="45"/>
      <c r="M1666" s="3"/>
    </row>
    <row r="1667" spans="1:60" ht="38.25" x14ac:dyDescent="0.25">
      <c r="A1667" s="46" t="s">
        <v>4745</v>
      </c>
      <c r="B1667" s="46" t="s">
        <v>13</v>
      </c>
      <c r="C1667" s="46" t="s">
        <v>14</v>
      </c>
      <c r="D1667" s="47">
        <v>6526</v>
      </c>
      <c r="E1667" s="46" t="s">
        <v>4746</v>
      </c>
      <c r="F1667" s="48">
        <v>40360</v>
      </c>
      <c r="G1667" s="48">
        <v>40724</v>
      </c>
      <c r="H1667" s="46" t="s">
        <v>2039</v>
      </c>
      <c r="I1667" s="45">
        <v>88606</v>
      </c>
      <c r="J1667" s="45">
        <v>95159.29</v>
      </c>
      <c r="K1667" s="49" t="s">
        <v>4667</v>
      </c>
      <c r="L1667" s="45"/>
      <c r="M1667" s="3"/>
    </row>
    <row r="1668" spans="1:60" ht="51" x14ac:dyDescent="0.25">
      <c r="A1668" s="46" t="s">
        <v>4747</v>
      </c>
      <c r="B1668" s="46" t="s">
        <v>13</v>
      </c>
      <c r="C1668" s="46" t="s">
        <v>14</v>
      </c>
      <c r="D1668" s="47">
        <v>6527</v>
      </c>
      <c r="E1668" s="50" t="s">
        <v>4748</v>
      </c>
      <c r="F1668" s="48">
        <v>40087</v>
      </c>
      <c r="G1668" s="48">
        <v>40512</v>
      </c>
      <c r="H1668" s="46" t="s">
        <v>2039</v>
      </c>
      <c r="I1668" s="45">
        <v>92151</v>
      </c>
      <c r="J1668" s="45">
        <v>46169.68</v>
      </c>
      <c r="K1668" s="49" t="s">
        <v>4667</v>
      </c>
      <c r="L1668" s="45"/>
      <c r="M1668" s="3"/>
    </row>
    <row r="1669" spans="1:60" ht="38.25" x14ac:dyDescent="0.25">
      <c r="A1669" s="46" t="s">
        <v>4749</v>
      </c>
      <c r="B1669" s="46" t="s">
        <v>13</v>
      </c>
      <c r="C1669" s="46" t="s">
        <v>14</v>
      </c>
      <c r="D1669" s="47">
        <v>6528</v>
      </c>
      <c r="E1669" s="46" t="s">
        <v>4750</v>
      </c>
      <c r="F1669" s="48">
        <v>40118</v>
      </c>
      <c r="G1669" s="48">
        <v>40543</v>
      </c>
      <c r="H1669" s="46" t="s">
        <v>2039</v>
      </c>
      <c r="I1669" s="45">
        <v>103734</v>
      </c>
      <c r="J1669" s="45">
        <v>60818.28</v>
      </c>
      <c r="K1669" s="49" t="s">
        <v>4667</v>
      </c>
      <c r="L1669" s="45"/>
      <c r="M1669" s="3"/>
    </row>
    <row r="1670" spans="1:60" ht="38.25" x14ac:dyDescent="0.25">
      <c r="A1670" s="46" t="s">
        <v>4751</v>
      </c>
      <c r="B1670" s="46" t="s">
        <v>13</v>
      </c>
      <c r="C1670" s="46" t="s">
        <v>14</v>
      </c>
      <c r="D1670" s="47">
        <v>6530</v>
      </c>
      <c r="E1670" s="46" t="s">
        <v>4752</v>
      </c>
      <c r="F1670" s="48">
        <v>39995</v>
      </c>
      <c r="G1670" s="48">
        <v>40421</v>
      </c>
      <c r="H1670" s="46" t="s">
        <v>2039</v>
      </c>
      <c r="I1670" s="45">
        <v>99581</v>
      </c>
      <c r="J1670" s="45">
        <v>32923.64</v>
      </c>
      <c r="K1670" s="49" t="s">
        <v>4667</v>
      </c>
      <c r="L1670" s="45"/>
      <c r="M1670" s="3"/>
    </row>
    <row r="1671" spans="1:60" ht="25.5" x14ac:dyDescent="0.25">
      <c r="A1671" s="46" t="s">
        <v>4753</v>
      </c>
      <c r="B1671" s="46" t="s">
        <v>13</v>
      </c>
      <c r="C1671" s="46" t="s">
        <v>14</v>
      </c>
      <c r="D1671" s="47">
        <v>6531</v>
      </c>
      <c r="E1671" s="46" t="s">
        <v>4754</v>
      </c>
      <c r="F1671" s="48">
        <v>39814</v>
      </c>
      <c r="G1671" s="48">
        <v>40268</v>
      </c>
      <c r="H1671" s="46" t="s">
        <v>2039</v>
      </c>
      <c r="I1671" s="45">
        <v>88746</v>
      </c>
      <c r="J1671" s="45">
        <v>1361.23</v>
      </c>
      <c r="K1671" s="49" t="s">
        <v>4667</v>
      </c>
      <c r="L1671" s="45"/>
      <c r="M1671" s="3"/>
    </row>
    <row r="1672" spans="1:60" ht="38.25" x14ac:dyDescent="0.25">
      <c r="A1672" s="46" t="s">
        <v>4755</v>
      </c>
      <c r="B1672" s="46" t="s">
        <v>13</v>
      </c>
      <c r="C1672" s="46" t="s">
        <v>14</v>
      </c>
      <c r="D1672" s="47">
        <v>11231</v>
      </c>
      <c r="E1672" s="46" t="s">
        <v>4756</v>
      </c>
      <c r="F1672" s="48">
        <v>40756</v>
      </c>
      <c r="G1672" s="48">
        <v>40877</v>
      </c>
      <c r="H1672" s="46" t="s">
        <v>2039</v>
      </c>
      <c r="I1672" s="45">
        <v>13000</v>
      </c>
      <c r="J1672" s="45">
        <v>9191.4</v>
      </c>
      <c r="K1672" s="49" t="s">
        <v>4667</v>
      </c>
      <c r="L1672" s="45"/>
      <c r="M1672" s="3"/>
    </row>
    <row r="1673" spans="1:60" ht="51" x14ac:dyDescent="0.25">
      <c r="A1673" s="46" t="s">
        <v>4757</v>
      </c>
      <c r="B1673" s="46" t="s">
        <v>13</v>
      </c>
      <c r="C1673" s="46" t="s">
        <v>14</v>
      </c>
      <c r="D1673" s="47">
        <v>11232</v>
      </c>
      <c r="E1673" s="50" t="s">
        <v>4758</v>
      </c>
      <c r="F1673" s="48">
        <v>40725</v>
      </c>
      <c r="G1673" s="48">
        <v>40967</v>
      </c>
      <c r="H1673" s="46" t="s">
        <v>2039</v>
      </c>
      <c r="I1673" s="45">
        <f>88338+106187.71</f>
        <v>194525.71000000002</v>
      </c>
      <c r="J1673" s="45">
        <f>21267.07+106187.71</f>
        <v>127454.78</v>
      </c>
      <c r="K1673" s="49" t="s">
        <v>4667</v>
      </c>
      <c r="L1673" s="45"/>
      <c r="M1673" s="3"/>
    </row>
    <row r="1674" spans="1:60" ht="25.5" x14ac:dyDescent="0.25">
      <c r="A1674" s="46" t="s">
        <v>4759</v>
      </c>
      <c r="B1674" s="46" t="s">
        <v>13</v>
      </c>
      <c r="C1674" s="46" t="s">
        <v>14</v>
      </c>
      <c r="D1674" s="47">
        <v>11233</v>
      </c>
      <c r="E1674" s="46" t="s">
        <v>4760</v>
      </c>
      <c r="F1674" s="48">
        <v>40544</v>
      </c>
      <c r="G1674" s="48">
        <v>40999</v>
      </c>
      <c r="H1674" s="46" t="s">
        <v>2039</v>
      </c>
      <c r="I1674" s="45">
        <f>142899+20901.57</f>
        <v>163800.57</v>
      </c>
      <c r="J1674" s="45">
        <f>118550.39+20901.57</f>
        <v>139451.96</v>
      </c>
      <c r="K1674" s="49" t="s">
        <v>4667</v>
      </c>
      <c r="L1674" s="45"/>
      <c r="M1674" s="3"/>
    </row>
    <row r="1675" spans="1:60" ht="38.25" x14ac:dyDescent="0.25">
      <c r="A1675" s="46" t="s">
        <v>4761</v>
      </c>
      <c r="B1675" s="46" t="s">
        <v>13</v>
      </c>
      <c r="C1675" s="46" t="s">
        <v>14</v>
      </c>
      <c r="D1675" s="47">
        <v>11234</v>
      </c>
      <c r="E1675" s="46" t="s">
        <v>4762</v>
      </c>
      <c r="F1675" s="48">
        <v>40603</v>
      </c>
      <c r="G1675" s="48">
        <v>40967</v>
      </c>
      <c r="H1675" s="46" t="s">
        <v>2039</v>
      </c>
      <c r="I1675" s="45">
        <f>149967+60465.06</f>
        <v>210432.06</v>
      </c>
      <c r="J1675" s="45">
        <f>88382.88+60465.06</f>
        <v>148847.94</v>
      </c>
      <c r="K1675" s="49" t="s">
        <v>4667</v>
      </c>
      <c r="L1675" s="45"/>
      <c r="M1675" s="3"/>
    </row>
    <row r="1676" spans="1:60" ht="38.25" x14ac:dyDescent="0.25">
      <c r="A1676" s="46" t="s">
        <v>11395</v>
      </c>
      <c r="B1676" s="61" t="s">
        <v>13</v>
      </c>
      <c r="C1676" s="61" t="s">
        <v>14</v>
      </c>
      <c r="D1676" s="62">
        <v>12934</v>
      </c>
      <c r="E1676" s="46" t="s">
        <v>11396</v>
      </c>
      <c r="F1676" s="63">
        <v>41127</v>
      </c>
      <c r="G1676" s="63">
        <v>41182</v>
      </c>
      <c r="H1676" s="46" t="s">
        <v>2039</v>
      </c>
      <c r="I1676" s="64">
        <v>14600.1</v>
      </c>
      <c r="J1676" s="64">
        <v>14600.1</v>
      </c>
      <c r="K1676" s="65" t="s">
        <v>4667</v>
      </c>
      <c r="L1676" s="6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row>
    <row r="1677" spans="1:60" ht="51" x14ac:dyDescent="0.25">
      <c r="A1677" s="46" t="s">
        <v>11397</v>
      </c>
      <c r="B1677" s="61" t="s">
        <v>13</v>
      </c>
      <c r="C1677" s="61" t="s">
        <v>14</v>
      </c>
      <c r="D1677" s="62">
        <v>12937</v>
      </c>
      <c r="E1677" s="46" t="s">
        <v>11398</v>
      </c>
      <c r="F1677" s="63">
        <v>41183</v>
      </c>
      <c r="G1677" s="63">
        <v>41274</v>
      </c>
      <c r="H1677" s="46" t="s">
        <v>2039</v>
      </c>
      <c r="I1677" s="64">
        <v>11313.45</v>
      </c>
      <c r="J1677" s="64">
        <v>11313.45</v>
      </c>
      <c r="K1677" s="65" t="s">
        <v>4667</v>
      </c>
      <c r="L1677" s="6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row>
    <row r="1678" spans="1:60" ht="63.75" x14ac:dyDescent="0.25">
      <c r="A1678" s="46" t="s">
        <v>11399</v>
      </c>
      <c r="B1678" s="61" t="s">
        <v>13</v>
      </c>
      <c r="C1678" s="61" t="s">
        <v>14</v>
      </c>
      <c r="D1678" s="62">
        <v>12938</v>
      </c>
      <c r="E1678" s="46" t="s">
        <v>11400</v>
      </c>
      <c r="F1678" s="63">
        <v>41153</v>
      </c>
      <c r="G1678" s="63">
        <v>41944</v>
      </c>
      <c r="H1678" s="46" t="s">
        <v>2039</v>
      </c>
      <c r="I1678" s="64">
        <v>16281.01</v>
      </c>
      <c r="J1678" s="64">
        <v>16281.01</v>
      </c>
      <c r="K1678" s="65" t="s">
        <v>4667</v>
      </c>
      <c r="L1678" s="6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row>
    <row r="1679" spans="1:60" x14ac:dyDescent="0.25">
      <c r="A1679" s="46" t="s">
        <v>4763</v>
      </c>
      <c r="B1679" s="46" t="s">
        <v>13</v>
      </c>
      <c r="C1679" s="46" t="s">
        <v>14</v>
      </c>
      <c r="D1679" s="47">
        <v>9485</v>
      </c>
      <c r="E1679" s="46" t="s">
        <v>4764</v>
      </c>
      <c r="F1679" s="48">
        <v>40126</v>
      </c>
      <c r="G1679" s="48">
        <v>40213</v>
      </c>
      <c r="H1679" s="46" t="s">
        <v>389</v>
      </c>
      <c r="I1679" s="45">
        <v>110709</v>
      </c>
      <c r="J1679" s="45">
        <v>31333.05</v>
      </c>
      <c r="K1679" s="49" t="s">
        <v>4667</v>
      </c>
      <c r="L1679" s="45"/>
      <c r="M1679" s="3"/>
    </row>
    <row r="1680" spans="1:60" x14ac:dyDescent="0.25">
      <c r="A1680" s="46" t="s">
        <v>4765</v>
      </c>
      <c r="B1680" s="46" t="s">
        <v>13</v>
      </c>
      <c r="C1680" s="46" t="s">
        <v>14</v>
      </c>
      <c r="D1680" s="47">
        <v>9498</v>
      </c>
      <c r="E1680" s="46" t="s">
        <v>4766</v>
      </c>
      <c r="F1680" s="48">
        <v>39423</v>
      </c>
      <c r="G1680" s="48">
        <v>39932</v>
      </c>
      <c r="H1680" s="46" t="s">
        <v>389</v>
      </c>
      <c r="I1680" s="45">
        <v>110709</v>
      </c>
      <c r="J1680" s="45">
        <v>29716.04</v>
      </c>
      <c r="K1680" s="49" t="s">
        <v>4667</v>
      </c>
      <c r="L1680" s="45"/>
      <c r="M1680" s="3"/>
    </row>
    <row r="1681" spans="1:60" ht="51" x14ac:dyDescent="0.25">
      <c r="A1681" s="46" t="s">
        <v>4665</v>
      </c>
      <c r="B1681" s="46" t="s">
        <v>13</v>
      </c>
      <c r="C1681" s="46" t="s">
        <v>14</v>
      </c>
      <c r="D1681" s="47">
        <v>9910</v>
      </c>
      <c r="E1681" s="50" t="s">
        <v>4767</v>
      </c>
      <c r="F1681" s="48">
        <v>40836</v>
      </c>
      <c r="G1681" s="48">
        <v>41073</v>
      </c>
      <c r="H1681" s="46" t="s">
        <v>392</v>
      </c>
      <c r="I1681" s="45">
        <v>271404.71999999997</v>
      </c>
      <c r="J1681" s="45">
        <v>54280.94</v>
      </c>
      <c r="K1681" s="49" t="s">
        <v>4667</v>
      </c>
      <c r="L1681" s="45"/>
      <c r="M1681" s="3"/>
    </row>
    <row r="1682" spans="1:60" ht="25.5" x14ac:dyDescent="0.25">
      <c r="A1682" s="46" t="s">
        <v>4768</v>
      </c>
      <c r="B1682" s="46" t="s">
        <v>13</v>
      </c>
      <c r="C1682" s="46" t="s">
        <v>14</v>
      </c>
      <c r="D1682" s="47">
        <v>10021</v>
      </c>
      <c r="E1682" s="46" t="s">
        <v>4769</v>
      </c>
      <c r="F1682" s="48">
        <v>40448</v>
      </c>
      <c r="G1682" s="48">
        <v>40535</v>
      </c>
      <c r="H1682" s="46" t="s">
        <v>392</v>
      </c>
      <c r="I1682" s="45">
        <v>203400</v>
      </c>
      <c r="J1682" s="45">
        <v>50850</v>
      </c>
      <c r="K1682" s="49" t="s">
        <v>4667</v>
      </c>
      <c r="L1682" s="45"/>
      <c r="M1682" s="3"/>
    </row>
    <row r="1683" spans="1:60" ht="25.5" x14ac:dyDescent="0.25">
      <c r="A1683" s="46" t="s">
        <v>4770</v>
      </c>
      <c r="B1683" s="46" t="s">
        <v>13</v>
      </c>
      <c r="C1683" s="46" t="s">
        <v>14</v>
      </c>
      <c r="D1683" s="47">
        <v>10071</v>
      </c>
      <c r="E1683" s="46" t="s">
        <v>4771</v>
      </c>
      <c r="F1683" s="48">
        <v>40448</v>
      </c>
      <c r="G1683" s="48">
        <v>40542</v>
      </c>
      <c r="H1683" s="46" t="s">
        <v>392</v>
      </c>
      <c r="I1683" s="45">
        <v>264244.5</v>
      </c>
      <c r="J1683" s="45">
        <v>51081.93</v>
      </c>
      <c r="K1683" s="49" t="s">
        <v>4667</v>
      </c>
      <c r="L1683" s="45"/>
      <c r="M1683" s="3"/>
    </row>
    <row r="1684" spans="1:60" ht="25.5" x14ac:dyDescent="0.25">
      <c r="A1684" s="46" t="s">
        <v>4772</v>
      </c>
      <c r="B1684" s="46" t="s">
        <v>13</v>
      </c>
      <c r="C1684" s="46" t="s">
        <v>14</v>
      </c>
      <c r="D1684" s="47">
        <v>10153</v>
      </c>
      <c r="E1684" s="46" t="s">
        <v>4773</v>
      </c>
      <c r="F1684" s="48">
        <v>40792</v>
      </c>
      <c r="G1684" s="48">
        <v>40900</v>
      </c>
      <c r="H1684" s="46" t="s">
        <v>392</v>
      </c>
      <c r="I1684" s="45">
        <v>884174.47</v>
      </c>
      <c r="J1684" s="45">
        <v>176834.89</v>
      </c>
      <c r="K1684" s="49" t="s">
        <v>4667</v>
      </c>
      <c r="L1684" s="45"/>
      <c r="M1684" s="3"/>
    </row>
    <row r="1685" spans="1:60" ht="25.5" x14ac:dyDescent="0.25">
      <c r="A1685" s="46" t="s">
        <v>4774</v>
      </c>
      <c r="B1685" s="46" t="s">
        <v>13</v>
      </c>
      <c r="C1685" s="46" t="s">
        <v>14</v>
      </c>
      <c r="D1685" s="47">
        <v>10176</v>
      </c>
      <c r="E1685" s="46" t="s">
        <v>4775</v>
      </c>
      <c r="F1685" s="48">
        <v>41129</v>
      </c>
      <c r="G1685" s="48">
        <v>41527</v>
      </c>
      <c r="H1685" s="46" t="s">
        <v>392</v>
      </c>
      <c r="I1685" s="45">
        <v>702679.4</v>
      </c>
      <c r="J1685" s="45">
        <v>210803.83</v>
      </c>
      <c r="K1685" s="49" t="s">
        <v>4667</v>
      </c>
      <c r="L1685" s="45"/>
      <c r="M1685" s="3"/>
    </row>
    <row r="1686" spans="1:60" x14ac:dyDescent="0.25">
      <c r="A1686" s="46" t="s">
        <v>4776</v>
      </c>
      <c r="B1686" s="46" t="s">
        <v>13</v>
      </c>
      <c r="C1686" s="46" t="s">
        <v>14</v>
      </c>
      <c r="D1686" s="47">
        <v>10200</v>
      </c>
      <c r="E1686" s="46" t="s">
        <v>4777</v>
      </c>
      <c r="F1686" s="48">
        <v>41136</v>
      </c>
      <c r="G1686" s="48">
        <v>41271</v>
      </c>
      <c r="H1686" s="46" t="s">
        <v>392</v>
      </c>
      <c r="I1686" s="45">
        <v>84997.34</v>
      </c>
      <c r="J1686" s="45">
        <v>12749.6</v>
      </c>
      <c r="K1686" s="49" t="s">
        <v>4667</v>
      </c>
      <c r="L1686" s="45"/>
      <c r="M1686" s="3"/>
    </row>
    <row r="1687" spans="1:60" ht="51" x14ac:dyDescent="0.25">
      <c r="A1687" s="46" t="s">
        <v>4778</v>
      </c>
      <c r="B1687" s="46" t="s">
        <v>13</v>
      </c>
      <c r="C1687" s="46" t="s">
        <v>14</v>
      </c>
      <c r="D1687" s="47">
        <v>10206</v>
      </c>
      <c r="E1687" s="50" t="s">
        <v>4779</v>
      </c>
      <c r="F1687" s="48">
        <v>41106</v>
      </c>
      <c r="G1687" s="48">
        <v>41267</v>
      </c>
      <c r="H1687" s="46" t="s">
        <v>392</v>
      </c>
      <c r="I1687" s="45">
        <v>214665.56</v>
      </c>
      <c r="J1687" s="45">
        <v>32199.83</v>
      </c>
      <c r="K1687" s="49" t="s">
        <v>4667</v>
      </c>
      <c r="L1687" s="45"/>
      <c r="M1687" s="3"/>
    </row>
    <row r="1688" spans="1:60" ht="51" x14ac:dyDescent="0.25">
      <c r="A1688" s="46" t="s">
        <v>4780</v>
      </c>
      <c r="B1688" s="46" t="s">
        <v>13</v>
      </c>
      <c r="C1688" s="46" t="s">
        <v>14</v>
      </c>
      <c r="D1688" s="47">
        <v>10217</v>
      </c>
      <c r="E1688" s="50" t="s">
        <v>4781</v>
      </c>
      <c r="F1688" s="48">
        <v>40394</v>
      </c>
      <c r="G1688" s="48">
        <v>40533</v>
      </c>
      <c r="H1688" s="46" t="s">
        <v>392</v>
      </c>
      <c r="I1688" s="45">
        <v>1305146.96</v>
      </c>
      <c r="J1688" s="45">
        <v>456801.44</v>
      </c>
      <c r="K1688" s="49" t="s">
        <v>4667</v>
      </c>
      <c r="L1688" s="45"/>
      <c r="M1688" s="3"/>
    </row>
    <row r="1689" spans="1:60" ht="25.5" x14ac:dyDescent="0.25">
      <c r="A1689" s="56" t="s">
        <v>5012</v>
      </c>
      <c r="B1689" s="56" t="s">
        <v>13</v>
      </c>
      <c r="C1689" s="46" t="s">
        <v>14</v>
      </c>
      <c r="D1689" s="57">
        <v>4327</v>
      </c>
      <c r="E1689" s="56" t="s">
        <v>3574</v>
      </c>
      <c r="F1689" s="58">
        <v>39083</v>
      </c>
      <c r="G1689" s="58">
        <v>42369</v>
      </c>
      <c r="H1689" s="56" t="s">
        <v>2593</v>
      </c>
      <c r="I1689" s="55">
        <v>230866.73</v>
      </c>
      <c r="J1689" s="55">
        <v>230866.73</v>
      </c>
      <c r="K1689" s="69" t="s">
        <v>4667</v>
      </c>
      <c r="L1689" s="55"/>
      <c r="M1689" s="12"/>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c r="AO1689" s="9"/>
      <c r="AP1689" s="9"/>
      <c r="AQ1689" s="9"/>
      <c r="AR1689" s="9"/>
      <c r="AS1689" s="9"/>
      <c r="AT1689" s="9"/>
      <c r="AU1689" s="9"/>
      <c r="AV1689" s="9"/>
      <c r="AW1689" s="9"/>
      <c r="AX1689" s="9"/>
      <c r="AY1689" s="9"/>
      <c r="AZ1689" s="9"/>
      <c r="BA1689" s="9"/>
      <c r="BB1689" s="9"/>
      <c r="BC1689" s="9"/>
      <c r="BD1689" s="9"/>
      <c r="BE1689" s="9"/>
      <c r="BF1689" s="9"/>
      <c r="BG1689" s="9"/>
      <c r="BH1689" s="9"/>
    </row>
    <row r="1690" spans="1:60" ht="38.25" x14ac:dyDescent="0.25">
      <c r="A1690" s="56" t="s">
        <v>5013</v>
      </c>
      <c r="B1690" s="56" t="s">
        <v>13</v>
      </c>
      <c r="C1690" s="46" t="s">
        <v>14</v>
      </c>
      <c r="D1690" s="57">
        <v>4328</v>
      </c>
      <c r="E1690" s="68" t="s">
        <v>5014</v>
      </c>
      <c r="F1690" s="58">
        <v>39083</v>
      </c>
      <c r="G1690" s="58">
        <v>42369</v>
      </c>
      <c r="H1690" s="56" t="s">
        <v>2593</v>
      </c>
      <c r="I1690" s="55">
        <v>230866.73</v>
      </c>
      <c r="J1690" s="55">
        <v>230866.73</v>
      </c>
      <c r="K1690" s="69" t="s">
        <v>4667</v>
      </c>
      <c r="L1690" s="55"/>
      <c r="M1690" s="12"/>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c r="AS1690" s="9"/>
      <c r="AT1690" s="9"/>
      <c r="AU1690" s="9"/>
      <c r="AV1690" s="9"/>
      <c r="AW1690" s="9"/>
      <c r="AX1690" s="9"/>
      <c r="AY1690" s="9"/>
      <c r="AZ1690" s="9"/>
      <c r="BA1690" s="9"/>
      <c r="BB1690" s="9"/>
      <c r="BC1690" s="9"/>
      <c r="BD1690" s="9"/>
      <c r="BE1690" s="9"/>
      <c r="BF1690" s="9"/>
      <c r="BG1690" s="9"/>
      <c r="BH1690" s="9"/>
    </row>
    <row r="1691" spans="1:60" ht="51" x14ac:dyDescent="0.25">
      <c r="A1691" s="46" t="s">
        <v>11589</v>
      </c>
      <c r="B1691" s="61" t="s">
        <v>13</v>
      </c>
      <c r="C1691" s="61" t="s">
        <v>14</v>
      </c>
      <c r="D1691" s="62">
        <v>13032</v>
      </c>
      <c r="E1691" s="46" t="s">
        <v>11590</v>
      </c>
      <c r="F1691" s="63">
        <v>40544</v>
      </c>
      <c r="G1691" s="63">
        <v>43100</v>
      </c>
      <c r="H1691" s="56" t="s">
        <v>2593</v>
      </c>
      <c r="I1691" s="64">
        <v>2776456.61</v>
      </c>
      <c r="J1691" s="64">
        <v>2776456.61</v>
      </c>
      <c r="K1691" s="65" t="s">
        <v>4667</v>
      </c>
      <c r="L1691" s="6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row>
    <row r="1692" spans="1:60" ht="38.25" x14ac:dyDescent="0.25">
      <c r="A1692" s="46" t="s">
        <v>11591</v>
      </c>
      <c r="B1692" s="61" t="s">
        <v>13</v>
      </c>
      <c r="C1692" s="61" t="s">
        <v>14</v>
      </c>
      <c r="D1692" s="62">
        <v>12993</v>
      </c>
      <c r="E1692" s="46" t="s">
        <v>11550</v>
      </c>
      <c r="F1692" s="63">
        <v>40544</v>
      </c>
      <c r="G1692" s="63">
        <v>42825</v>
      </c>
      <c r="H1692" s="56" t="s">
        <v>3587</v>
      </c>
      <c r="I1692" s="64">
        <v>653329.65</v>
      </c>
      <c r="J1692" s="64">
        <v>653329.65</v>
      </c>
      <c r="K1692" s="65" t="s">
        <v>4667</v>
      </c>
      <c r="L1692" s="6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row>
    <row r="1693" spans="1:60" ht="51" x14ac:dyDescent="0.25">
      <c r="A1693" s="46" t="s">
        <v>11592</v>
      </c>
      <c r="B1693" s="61" t="s">
        <v>13</v>
      </c>
      <c r="C1693" s="61" t="s">
        <v>14</v>
      </c>
      <c r="D1693" s="62">
        <v>12994</v>
      </c>
      <c r="E1693" s="46" t="s">
        <v>11593</v>
      </c>
      <c r="F1693" s="63">
        <v>40544</v>
      </c>
      <c r="G1693" s="63">
        <v>42825</v>
      </c>
      <c r="H1693" s="56" t="s">
        <v>3587</v>
      </c>
      <c r="I1693" s="64">
        <v>195886.26</v>
      </c>
      <c r="J1693" s="64">
        <v>195886.26</v>
      </c>
      <c r="K1693" s="65" t="s">
        <v>4667</v>
      </c>
      <c r="L1693" s="6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row>
    <row r="1694" spans="1:60" ht="38.25" x14ac:dyDescent="0.25">
      <c r="A1694" s="46" t="s">
        <v>11594</v>
      </c>
      <c r="B1694" s="61" t="s">
        <v>13</v>
      </c>
      <c r="C1694" s="61" t="s">
        <v>14</v>
      </c>
      <c r="D1694" s="62">
        <v>12995</v>
      </c>
      <c r="E1694" s="46" t="s">
        <v>11539</v>
      </c>
      <c r="F1694" s="63">
        <v>40544</v>
      </c>
      <c r="G1694" s="63">
        <v>42825</v>
      </c>
      <c r="H1694" s="56" t="s">
        <v>3587</v>
      </c>
      <c r="I1694" s="64">
        <v>239887.68</v>
      </c>
      <c r="J1694" s="64">
        <v>239887.68</v>
      </c>
      <c r="K1694" s="65" t="s">
        <v>4667</v>
      </c>
      <c r="L1694" s="6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row>
    <row r="1695" spans="1:60" ht="38.25" x14ac:dyDescent="0.25">
      <c r="A1695" s="46" t="s">
        <v>11595</v>
      </c>
      <c r="B1695" s="61" t="s">
        <v>13</v>
      </c>
      <c r="C1695" s="61" t="s">
        <v>14</v>
      </c>
      <c r="D1695" s="62">
        <v>12996</v>
      </c>
      <c r="E1695" s="46" t="s">
        <v>11563</v>
      </c>
      <c r="F1695" s="63">
        <v>40544</v>
      </c>
      <c r="G1695" s="63">
        <v>42825</v>
      </c>
      <c r="H1695" s="56" t="s">
        <v>3587</v>
      </c>
      <c r="I1695" s="64">
        <v>624346.85</v>
      </c>
      <c r="J1695" s="64">
        <v>624346.85</v>
      </c>
      <c r="K1695" s="65" t="s">
        <v>4667</v>
      </c>
      <c r="L1695" s="6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row>
    <row r="1696" spans="1:60" ht="38.25" x14ac:dyDescent="0.25">
      <c r="A1696" s="46" t="s">
        <v>5016</v>
      </c>
      <c r="B1696" s="46" t="s">
        <v>13</v>
      </c>
      <c r="C1696" s="46" t="s">
        <v>14</v>
      </c>
      <c r="D1696" s="47">
        <v>4004</v>
      </c>
      <c r="E1696" s="46" t="s">
        <v>5017</v>
      </c>
      <c r="F1696" s="48">
        <v>39479</v>
      </c>
      <c r="G1696" s="48">
        <v>39537</v>
      </c>
      <c r="H1696" s="46" t="s">
        <v>16</v>
      </c>
      <c r="I1696" s="45">
        <v>15600</v>
      </c>
      <c r="J1696" s="45">
        <v>3900</v>
      </c>
      <c r="K1696" s="49" t="s">
        <v>5018</v>
      </c>
      <c r="L1696" s="45"/>
      <c r="M1696" s="3"/>
    </row>
    <row r="1697" spans="1:13" ht="25.5" x14ac:dyDescent="0.25">
      <c r="A1697" s="46" t="s">
        <v>5019</v>
      </c>
      <c r="B1697" s="46" t="s">
        <v>13</v>
      </c>
      <c r="C1697" s="46" t="s">
        <v>14</v>
      </c>
      <c r="D1697" s="47">
        <v>4005</v>
      </c>
      <c r="E1697" s="46" t="s">
        <v>5020</v>
      </c>
      <c r="F1697" s="48">
        <v>39406</v>
      </c>
      <c r="G1697" s="48">
        <v>39689</v>
      </c>
      <c r="H1697" s="46" t="s">
        <v>16</v>
      </c>
      <c r="I1697" s="45">
        <v>30000</v>
      </c>
      <c r="J1697" s="45">
        <v>9000</v>
      </c>
      <c r="K1697" s="49" t="s">
        <v>5018</v>
      </c>
      <c r="L1697" s="45"/>
      <c r="M1697" s="3"/>
    </row>
    <row r="1698" spans="1:13" x14ac:dyDescent="0.25">
      <c r="A1698" s="46" t="s">
        <v>5021</v>
      </c>
      <c r="B1698" s="46" t="s">
        <v>13</v>
      </c>
      <c r="C1698" s="46" t="s">
        <v>14</v>
      </c>
      <c r="D1698" s="47">
        <v>4006</v>
      </c>
      <c r="E1698" s="46" t="s">
        <v>5022</v>
      </c>
      <c r="F1698" s="48">
        <v>39370</v>
      </c>
      <c r="G1698" s="48">
        <v>39689</v>
      </c>
      <c r="H1698" s="46" t="s">
        <v>16</v>
      </c>
      <c r="I1698" s="45">
        <v>85500</v>
      </c>
      <c r="J1698" s="45">
        <v>21112.5</v>
      </c>
      <c r="K1698" s="49" t="s">
        <v>5018</v>
      </c>
      <c r="L1698" s="45"/>
      <c r="M1698" s="3"/>
    </row>
    <row r="1699" spans="1:13" x14ac:dyDescent="0.25">
      <c r="A1699" s="46" t="s">
        <v>5023</v>
      </c>
      <c r="B1699" s="46" t="s">
        <v>13</v>
      </c>
      <c r="C1699" s="46" t="s">
        <v>14</v>
      </c>
      <c r="D1699" s="47">
        <v>4007</v>
      </c>
      <c r="E1699" s="46" t="s">
        <v>5024</v>
      </c>
      <c r="F1699" s="48">
        <v>39342</v>
      </c>
      <c r="G1699" s="48">
        <v>39476</v>
      </c>
      <c r="H1699" s="46" t="s">
        <v>16</v>
      </c>
      <c r="I1699" s="45">
        <v>32500</v>
      </c>
      <c r="J1699" s="45">
        <v>7297.5</v>
      </c>
      <c r="K1699" s="49" t="s">
        <v>5018</v>
      </c>
      <c r="L1699" s="45"/>
      <c r="M1699" s="3"/>
    </row>
    <row r="1700" spans="1:13" x14ac:dyDescent="0.25">
      <c r="A1700" s="46" t="s">
        <v>5025</v>
      </c>
      <c r="B1700" s="46" t="s">
        <v>13</v>
      </c>
      <c r="C1700" s="46" t="s">
        <v>14</v>
      </c>
      <c r="D1700" s="47">
        <v>4008</v>
      </c>
      <c r="E1700" s="46" t="s">
        <v>5024</v>
      </c>
      <c r="F1700" s="48">
        <v>39330</v>
      </c>
      <c r="G1700" s="48">
        <v>39507</v>
      </c>
      <c r="H1700" s="46" t="s">
        <v>16</v>
      </c>
      <c r="I1700" s="45">
        <v>32500</v>
      </c>
      <c r="J1700" s="45">
        <v>7192.5</v>
      </c>
      <c r="K1700" s="49" t="s">
        <v>5018</v>
      </c>
      <c r="L1700" s="45"/>
      <c r="M1700" s="3"/>
    </row>
    <row r="1701" spans="1:13" x14ac:dyDescent="0.25">
      <c r="A1701" s="46" t="s">
        <v>5026</v>
      </c>
      <c r="B1701" s="46" t="s">
        <v>13</v>
      </c>
      <c r="C1701" s="46" t="s">
        <v>14</v>
      </c>
      <c r="D1701" s="47">
        <v>4012</v>
      </c>
      <c r="E1701" s="46" t="s">
        <v>5027</v>
      </c>
      <c r="F1701" s="48">
        <v>39183</v>
      </c>
      <c r="G1701" s="48">
        <v>39290</v>
      </c>
      <c r="H1701" s="46" t="s">
        <v>16</v>
      </c>
      <c r="I1701" s="45">
        <v>71410</v>
      </c>
      <c r="J1701" s="45">
        <v>21423</v>
      </c>
      <c r="K1701" s="49" t="s">
        <v>5018</v>
      </c>
      <c r="L1701" s="45"/>
      <c r="M1701" s="3"/>
    </row>
    <row r="1702" spans="1:13" ht="25.5" x14ac:dyDescent="0.25">
      <c r="A1702" s="46" t="s">
        <v>5023</v>
      </c>
      <c r="B1702" s="46" t="s">
        <v>13</v>
      </c>
      <c r="C1702" s="46" t="s">
        <v>14</v>
      </c>
      <c r="D1702" s="47">
        <v>4013</v>
      </c>
      <c r="E1702" s="46" t="s">
        <v>5028</v>
      </c>
      <c r="F1702" s="48">
        <v>39342</v>
      </c>
      <c r="G1702" s="48">
        <v>39476</v>
      </c>
      <c r="H1702" s="46" t="s">
        <v>16</v>
      </c>
      <c r="I1702" s="45">
        <v>3200</v>
      </c>
      <c r="J1702" s="45">
        <v>960</v>
      </c>
      <c r="K1702" s="49" t="s">
        <v>5018</v>
      </c>
      <c r="L1702" s="45"/>
      <c r="M1702" s="3"/>
    </row>
    <row r="1703" spans="1:13" ht="38.25" x14ac:dyDescent="0.25">
      <c r="A1703" s="46" t="s">
        <v>5029</v>
      </c>
      <c r="B1703" s="46" t="s">
        <v>13</v>
      </c>
      <c r="C1703" s="46" t="s">
        <v>14</v>
      </c>
      <c r="D1703" s="47">
        <v>4014</v>
      </c>
      <c r="E1703" s="46" t="s">
        <v>5030</v>
      </c>
      <c r="F1703" s="48">
        <v>39507</v>
      </c>
      <c r="G1703" s="48">
        <v>39689</v>
      </c>
      <c r="H1703" s="46" t="s">
        <v>16</v>
      </c>
      <c r="I1703" s="45">
        <v>4556</v>
      </c>
      <c r="J1703" s="45">
        <v>1367</v>
      </c>
      <c r="K1703" s="49" t="s">
        <v>5018</v>
      </c>
      <c r="L1703" s="45"/>
      <c r="M1703" s="3"/>
    </row>
    <row r="1704" spans="1:13" x14ac:dyDescent="0.25">
      <c r="A1704" s="46" t="s">
        <v>5019</v>
      </c>
      <c r="B1704" s="46" t="s">
        <v>13</v>
      </c>
      <c r="C1704" s="46" t="s">
        <v>14</v>
      </c>
      <c r="D1704" s="47">
        <v>4015</v>
      </c>
      <c r="E1704" s="46" t="s">
        <v>5031</v>
      </c>
      <c r="F1704" s="48">
        <v>39821</v>
      </c>
      <c r="G1704" s="48">
        <v>39903</v>
      </c>
      <c r="H1704" s="46" t="s">
        <v>16</v>
      </c>
      <c r="I1704" s="45">
        <v>7500</v>
      </c>
      <c r="J1704" s="45">
        <v>2250</v>
      </c>
      <c r="K1704" s="49" t="s">
        <v>5018</v>
      </c>
      <c r="L1704" s="45"/>
      <c r="M1704" s="3"/>
    </row>
    <row r="1705" spans="1:13" x14ac:dyDescent="0.25">
      <c r="A1705" s="46" t="s">
        <v>5032</v>
      </c>
      <c r="B1705" s="46" t="s">
        <v>13</v>
      </c>
      <c r="C1705" s="46" t="s">
        <v>14</v>
      </c>
      <c r="D1705" s="47">
        <v>4017</v>
      </c>
      <c r="E1705" s="46" t="s">
        <v>5024</v>
      </c>
      <c r="F1705" s="48">
        <v>39342</v>
      </c>
      <c r="G1705" s="48">
        <v>39791</v>
      </c>
      <c r="H1705" s="46" t="s">
        <v>16</v>
      </c>
      <c r="I1705" s="45">
        <v>32500</v>
      </c>
      <c r="J1705" s="45">
        <v>9750</v>
      </c>
      <c r="K1705" s="49" t="s">
        <v>5018</v>
      </c>
      <c r="L1705" s="45"/>
      <c r="M1705" s="3"/>
    </row>
    <row r="1706" spans="1:13" x14ac:dyDescent="0.25">
      <c r="A1706" s="46" t="s">
        <v>5033</v>
      </c>
      <c r="B1706" s="46" t="s">
        <v>13</v>
      </c>
      <c r="C1706" s="46" t="s">
        <v>14</v>
      </c>
      <c r="D1706" s="47">
        <v>4018</v>
      </c>
      <c r="E1706" s="46" t="s">
        <v>5034</v>
      </c>
      <c r="F1706" s="48">
        <v>39357</v>
      </c>
      <c r="G1706" s="48">
        <v>39721</v>
      </c>
      <c r="H1706" s="46" t="s">
        <v>16</v>
      </c>
      <c r="I1706" s="45">
        <v>100000</v>
      </c>
      <c r="J1706" s="45">
        <v>30000</v>
      </c>
      <c r="K1706" s="49" t="s">
        <v>5018</v>
      </c>
      <c r="L1706" s="45"/>
      <c r="M1706" s="3"/>
    </row>
    <row r="1707" spans="1:13" ht="38.25" x14ac:dyDescent="0.25">
      <c r="A1707" s="46" t="s">
        <v>5035</v>
      </c>
      <c r="B1707" s="46" t="s">
        <v>13</v>
      </c>
      <c r="C1707" s="46" t="s">
        <v>14</v>
      </c>
      <c r="D1707" s="47">
        <v>4019</v>
      </c>
      <c r="E1707" s="46" t="s">
        <v>5036</v>
      </c>
      <c r="F1707" s="48">
        <v>39415</v>
      </c>
      <c r="G1707" s="48">
        <v>39660</v>
      </c>
      <c r="H1707" s="46" t="s">
        <v>16</v>
      </c>
      <c r="I1707" s="45">
        <v>20614</v>
      </c>
      <c r="J1707" s="45">
        <v>6184</v>
      </c>
      <c r="K1707" s="49" t="s">
        <v>5018</v>
      </c>
      <c r="L1707" s="45"/>
      <c r="M1707" s="3"/>
    </row>
    <row r="1708" spans="1:13" ht="25.5" x14ac:dyDescent="0.25">
      <c r="A1708" s="46" t="s">
        <v>5037</v>
      </c>
      <c r="B1708" s="46" t="s">
        <v>13</v>
      </c>
      <c r="C1708" s="46" t="s">
        <v>14</v>
      </c>
      <c r="D1708" s="47">
        <v>4020</v>
      </c>
      <c r="E1708" s="46" t="s">
        <v>5038</v>
      </c>
      <c r="F1708" s="48">
        <v>39332</v>
      </c>
      <c r="G1708" s="48">
        <v>39569</v>
      </c>
      <c r="H1708" s="46" t="s">
        <v>16</v>
      </c>
      <c r="I1708" s="45">
        <v>874745</v>
      </c>
      <c r="J1708" s="45">
        <v>189528</v>
      </c>
      <c r="K1708" s="49" t="s">
        <v>5018</v>
      </c>
      <c r="L1708" s="45"/>
      <c r="M1708" s="3"/>
    </row>
    <row r="1709" spans="1:13" x14ac:dyDescent="0.25">
      <c r="A1709" s="46" t="s">
        <v>5039</v>
      </c>
      <c r="B1709" s="46" t="s">
        <v>13</v>
      </c>
      <c r="C1709" s="46" t="s">
        <v>14</v>
      </c>
      <c r="D1709" s="47">
        <v>4021</v>
      </c>
      <c r="E1709" s="46" t="s">
        <v>5040</v>
      </c>
      <c r="F1709" s="48">
        <v>39671</v>
      </c>
      <c r="G1709" s="48">
        <v>39752</v>
      </c>
      <c r="H1709" s="46" t="s">
        <v>16</v>
      </c>
      <c r="I1709" s="45">
        <v>55000</v>
      </c>
      <c r="J1709" s="45">
        <v>16500</v>
      </c>
      <c r="K1709" s="49" t="s">
        <v>5018</v>
      </c>
      <c r="L1709" s="45"/>
      <c r="M1709" s="3"/>
    </row>
    <row r="1710" spans="1:13" x14ac:dyDescent="0.25">
      <c r="A1710" s="46" t="s">
        <v>5041</v>
      </c>
      <c r="B1710" s="46" t="s">
        <v>13</v>
      </c>
      <c r="C1710" s="46" t="s">
        <v>14</v>
      </c>
      <c r="D1710" s="47">
        <v>4022</v>
      </c>
      <c r="E1710" s="46" t="s">
        <v>5042</v>
      </c>
      <c r="F1710" s="48">
        <v>39825</v>
      </c>
      <c r="G1710" s="48">
        <v>40140</v>
      </c>
      <c r="H1710" s="46" t="s">
        <v>16</v>
      </c>
      <c r="I1710" s="45">
        <v>27648</v>
      </c>
      <c r="J1710" s="45">
        <v>8106.61</v>
      </c>
      <c r="K1710" s="49" t="s">
        <v>5018</v>
      </c>
      <c r="L1710" s="45"/>
      <c r="M1710" s="3"/>
    </row>
    <row r="1711" spans="1:13" x14ac:dyDescent="0.25">
      <c r="A1711" s="46" t="s">
        <v>5043</v>
      </c>
      <c r="B1711" s="46" t="s">
        <v>13</v>
      </c>
      <c r="C1711" s="46" t="s">
        <v>14</v>
      </c>
      <c r="D1711" s="47">
        <v>4023</v>
      </c>
      <c r="E1711" s="46" t="s">
        <v>5044</v>
      </c>
      <c r="F1711" s="48">
        <v>40017</v>
      </c>
      <c r="G1711" s="48">
        <v>40170</v>
      </c>
      <c r="H1711" s="46" t="s">
        <v>16</v>
      </c>
      <c r="I1711" s="45">
        <v>4466</v>
      </c>
      <c r="J1711" s="45">
        <v>1340</v>
      </c>
      <c r="K1711" s="49" t="s">
        <v>5018</v>
      </c>
      <c r="L1711" s="45"/>
      <c r="M1711" s="3"/>
    </row>
    <row r="1712" spans="1:13" ht="25.5" x14ac:dyDescent="0.25">
      <c r="A1712" s="46" t="s">
        <v>5045</v>
      </c>
      <c r="B1712" s="46" t="s">
        <v>13</v>
      </c>
      <c r="C1712" s="46" t="s">
        <v>14</v>
      </c>
      <c r="D1712" s="47">
        <v>4025</v>
      </c>
      <c r="E1712" s="46" t="s">
        <v>5046</v>
      </c>
      <c r="F1712" s="48">
        <v>39770</v>
      </c>
      <c r="G1712" s="48">
        <v>39871</v>
      </c>
      <c r="H1712" s="46" t="s">
        <v>16</v>
      </c>
      <c r="I1712" s="45">
        <v>14400</v>
      </c>
      <c r="J1712" s="45">
        <v>4320</v>
      </c>
      <c r="K1712" s="49" t="s">
        <v>5018</v>
      </c>
      <c r="L1712" s="45"/>
      <c r="M1712" s="3"/>
    </row>
    <row r="1713" spans="1:13" ht="38.25" x14ac:dyDescent="0.25">
      <c r="A1713" s="46" t="s">
        <v>5035</v>
      </c>
      <c r="B1713" s="46" t="s">
        <v>13</v>
      </c>
      <c r="C1713" s="46" t="s">
        <v>14</v>
      </c>
      <c r="D1713" s="47">
        <v>4026</v>
      </c>
      <c r="E1713" s="46" t="s">
        <v>5047</v>
      </c>
      <c r="F1713" s="48">
        <v>39415</v>
      </c>
      <c r="G1713" s="48">
        <v>39660</v>
      </c>
      <c r="H1713" s="46" t="s">
        <v>16</v>
      </c>
      <c r="I1713" s="45">
        <v>8025</v>
      </c>
      <c r="J1713" s="45">
        <v>2408</v>
      </c>
      <c r="K1713" s="49" t="s">
        <v>5018</v>
      </c>
      <c r="L1713" s="45"/>
      <c r="M1713" s="3"/>
    </row>
    <row r="1714" spans="1:13" x14ac:dyDescent="0.25">
      <c r="A1714" s="46" t="s">
        <v>5032</v>
      </c>
      <c r="B1714" s="46" t="s">
        <v>13</v>
      </c>
      <c r="C1714" s="46" t="s">
        <v>14</v>
      </c>
      <c r="D1714" s="47">
        <v>4028</v>
      </c>
      <c r="E1714" s="46" t="s">
        <v>5048</v>
      </c>
      <c r="F1714" s="48">
        <v>39352</v>
      </c>
      <c r="G1714" s="48">
        <v>39791</v>
      </c>
      <c r="H1714" s="46" t="s">
        <v>16</v>
      </c>
      <c r="I1714" s="45">
        <v>4800</v>
      </c>
      <c r="J1714" s="45">
        <v>1440</v>
      </c>
      <c r="K1714" s="49" t="s">
        <v>5018</v>
      </c>
      <c r="L1714" s="45"/>
      <c r="M1714" s="3"/>
    </row>
    <row r="1715" spans="1:13" ht="25.5" x14ac:dyDescent="0.25">
      <c r="A1715" s="46" t="s">
        <v>5049</v>
      </c>
      <c r="B1715" s="46" t="s">
        <v>13</v>
      </c>
      <c r="C1715" s="46" t="s">
        <v>14</v>
      </c>
      <c r="D1715" s="47">
        <v>4032</v>
      </c>
      <c r="E1715" s="46" t="s">
        <v>5050</v>
      </c>
      <c r="F1715" s="48">
        <v>39825</v>
      </c>
      <c r="G1715" s="48">
        <v>39903</v>
      </c>
      <c r="H1715" s="46" t="s">
        <v>16</v>
      </c>
      <c r="I1715" s="45">
        <v>5200</v>
      </c>
      <c r="J1715" s="45">
        <v>1560</v>
      </c>
      <c r="K1715" s="49" t="s">
        <v>5018</v>
      </c>
      <c r="L1715" s="45"/>
      <c r="M1715" s="3"/>
    </row>
    <row r="1716" spans="1:13" ht="25.5" x14ac:dyDescent="0.25">
      <c r="A1716" s="46" t="s">
        <v>4685</v>
      </c>
      <c r="B1716" s="46" t="s">
        <v>13</v>
      </c>
      <c r="C1716" s="46" t="s">
        <v>14</v>
      </c>
      <c r="D1716" s="47">
        <v>4034</v>
      </c>
      <c r="E1716" s="46" t="s">
        <v>5051</v>
      </c>
      <c r="F1716" s="48">
        <v>39972</v>
      </c>
      <c r="G1716" s="48">
        <v>40162</v>
      </c>
      <c r="H1716" s="46" t="s">
        <v>16</v>
      </c>
      <c r="I1716" s="45">
        <v>16000</v>
      </c>
      <c r="J1716" s="45">
        <v>4800</v>
      </c>
      <c r="K1716" s="49" t="s">
        <v>5018</v>
      </c>
      <c r="L1716" s="45"/>
      <c r="M1716" s="3"/>
    </row>
    <row r="1717" spans="1:13" x14ac:dyDescent="0.25">
      <c r="A1717" s="46" t="s">
        <v>5052</v>
      </c>
      <c r="B1717" s="46" t="s">
        <v>13</v>
      </c>
      <c r="C1717" s="46" t="s">
        <v>14</v>
      </c>
      <c r="D1717" s="47">
        <v>9467</v>
      </c>
      <c r="E1717" s="46" t="s">
        <v>5053</v>
      </c>
      <c r="F1717" s="48">
        <v>39406</v>
      </c>
      <c r="G1717" s="48">
        <v>39660</v>
      </c>
      <c r="H1717" s="46" t="s">
        <v>16</v>
      </c>
      <c r="I1717" s="45">
        <v>35375</v>
      </c>
      <c r="J1717" s="45">
        <v>10613</v>
      </c>
      <c r="K1717" s="49" t="s">
        <v>5018</v>
      </c>
      <c r="L1717" s="45"/>
      <c r="M1717" s="3"/>
    </row>
    <row r="1718" spans="1:13" x14ac:dyDescent="0.25">
      <c r="A1718" s="46" t="s">
        <v>5054</v>
      </c>
      <c r="B1718" s="46" t="s">
        <v>13</v>
      </c>
      <c r="C1718" s="46" t="s">
        <v>14</v>
      </c>
      <c r="D1718" s="47">
        <v>9884</v>
      </c>
      <c r="E1718" s="46" t="s">
        <v>5055</v>
      </c>
      <c r="F1718" s="48">
        <v>40289</v>
      </c>
      <c r="G1718" s="48">
        <v>40466</v>
      </c>
      <c r="H1718" s="46" t="s">
        <v>16</v>
      </c>
      <c r="I1718" s="45">
        <v>4845.8100000000004</v>
      </c>
      <c r="J1718" s="45">
        <v>1453.74</v>
      </c>
      <c r="K1718" s="49" t="s">
        <v>5018</v>
      </c>
      <c r="L1718" s="45"/>
      <c r="M1718" s="3"/>
    </row>
    <row r="1719" spans="1:13" ht="25.5" x14ac:dyDescent="0.25">
      <c r="A1719" s="46" t="s">
        <v>5056</v>
      </c>
      <c r="B1719" s="46" t="s">
        <v>13</v>
      </c>
      <c r="C1719" s="46" t="s">
        <v>14</v>
      </c>
      <c r="D1719" s="47">
        <v>9895</v>
      </c>
      <c r="E1719" s="46" t="s">
        <v>5057</v>
      </c>
      <c r="F1719" s="48">
        <v>40504</v>
      </c>
      <c r="G1719" s="48">
        <v>40598</v>
      </c>
      <c r="H1719" s="46" t="s">
        <v>16</v>
      </c>
      <c r="I1719" s="45">
        <v>33000</v>
      </c>
      <c r="J1719" s="45">
        <v>13200</v>
      </c>
      <c r="K1719" s="49" t="s">
        <v>5018</v>
      </c>
      <c r="L1719" s="45"/>
      <c r="M1719" s="3"/>
    </row>
    <row r="1720" spans="1:13" x14ac:dyDescent="0.25">
      <c r="A1720" s="46" t="s">
        <v>5058</v>
      </c>
      <c r="B1720" s="46" t="s">
        <v>13</v>
      </c>
      <c r="C1720" s="46" t="s">
        <v>14</v>
      </c>
      <c r="D1720" s="47">
        <v>9944</v>
      </c>
      <c r="E1720" s="46" t="s">
        <v>5059</v>
      </c>
      <c r="F1720" s="48">
        <v>40204</v>
      </c>
      <c r="G1720" s="48">
        <v>40364</v>
      </c>
      <c r="H1720" s="46" t="s">
        <v>16</v>
      </c>
      <c r="I1720" s="45">
        <v>67700</v>
      </c>
      <c r="J1720" s="45">
        <v>20190</v>
      </c>
      <c r="K1720" s="49" t="s">
        <v>5018</v>
      </c>
      <c r="L1720" s="45"/>
      <c r="M1720" s="3"/>
    </row>
    <row r="1721" spans="1:13" x14ac:dyDescent="0.25">
      <c r="A1721" s="46" t="s">
        <v>5060</v>
      </c>
      <c r="B1721" s="46" t="s">
        <v>13</v>
      </c>
      <c r="C1721" s="46" t="s">
        <v>14</v>
      </c>
      <c r="D1721" s="47">
        <v>9953</v>
      </c>
      <c r="E1721" s="46" t="s">
        <v>5061</v>
      </c>
      <c r="F1721" s="48">
        <v>40486</v>
      </c>
      <c r="G1721" s="48">
        <v>40598</v>
      </c>
      <c r="H1721" s="46" t="s">
        <v>16</v>
      </c>
      <c r="I1721" s="45">
        <v>5500</v>
      </c>
      <c r="J1721" s="45">
        <v>1248</v>
      </c>
      <c r="K1721" s="49" t="s">
        <v>5018</v>
      </c>
      <c r="L1721" s="45"/>
      <c r="M1721" s="3"/>
    </row>
    <row r="1722" spans="1:13" x14ac:dyDescent="0.25">
      <c r="A1722" s="46" t="s">
        <v>5062</v>
      </c>
      <c r="B1722" s="46" t="s">
        <v>13</v>
      </c>
      <c r="C1722" s="46" t="s">
        <v>14</v>
      </c>
      <c r="D1722" s="47">
        <v>9957</v>
      </c>
      <c r="E1722" s="46" t="s">
        <v>5063</v>
      </c>
      <c r="F1722" s="48">
        <v>40526</v>
      </c>
      <c r="G1722" s="48">
        <v>40673</v>
      </c>
      <c r="H1722" s="46" t="s">
        <v>16</v>
      </c>
      <c r="I1722" s="45">
        <v>9226.43</v>
      </c>
      <c r="J1722" s="45">
        <v>2597.7600000000002</v>
      </c>
      <c r="K1722" s="49" t="s">
        <v>5018</v>
      </c>
      <c r="L1722" s="45"/>
      <c r="M1722" s="3"/>
    </row>
    <row r="1723" spans="1:13" x14ac:dyDescent="0.25">
      <c r="A1723" s="46" t="s">
        <v>5064</v>
      </c>
      <c r="B1723" s="46" t="s">
        <v>13</v>
      </c>
      <c r="C1723" s="46" t="s">
        <v>14</v>
      </c>
      <c r="D1723" s="47">
        <v>9993</v>
      </c>
      <c r="E1723" s="46" t="s">
        <v>5065</v>
      </c>
      <c r="F1723" s="48">
        <v>40424</v>
      </c>
      <c r="G1723" s="48">
        <v>40583</v>
      </c>
      <c r="H1723" s="46" t="s">
        <v>16</v>
      </c>
      <c r="I1723" s="45">
        <v>13204.41</v>
      </c>
      <c r="J1723" s="45">
        <v>3961.32</v>
      </c>
      <c r="K1723" s="49" t="s">
        <v>5018</v>
      </c>
      <c r="L1723" s="45"/>
      <c r="M1723" s="3"/>
    </row>
    <row r="1724" spans="1:13" ht="63.75" x14ac:dyDescent="0.25">
      <c r="A1724" s="46" t="s">
        <v>5066</v>
      </c>
      <c r="B1724" s="46" t="s">
        <v>13</v>
      </c>
      <c r="C1724" s="46" t="s">
        <v>14</v>
      </c>
      <c r="D1724" s="47">
        <v>10032</v>
      </c>
      <c r="E1724" s="50" t="s">
        <v>5067</v>
      </c>
      <c r="F1724" s="48">
        <v>40428</v>
      </c>
      <c r="G1724" s="48">
        <v>40535</v>
      </c>
      <c r="H1724" s="46" t="s">
        <v>392</v>
      </c>
      <c r="I1724" s="45">
        <v>264000</v>
      </c>
      <c r="J1724" s="45">
        <v>66000</v>
      </c>
      <c r="K1724" s="49" t="s">
        <v>5018</v>
      </c>
      <c r="L1724" s="45"/>
      <c r="M1724" s="3"/>
    </row>
    <row r="1725" spans="1:13" x14ac:dyDescent="0.25">
      <c r="A1725" s="46" t="s">
        <v>5679</v>
      </c>
      <c r="B1725" s="46" t="s">
        <v>13</v>
      </c>
      <c r="C1725" s="46" t="s">
        <v>14</v>
      </c>
      <c r="D1725" s="47">
        <v>10660</v>
      </c>
      <c r="E1725" s="46" t="s">
        <v>5680</v>
      </c>
      <c r="F1725" s="48">
        <v>40995</v>
      </c>
      <c r="G1725" s="48">
        <v>41274</v>
      </c>
      <c r="H1725" s="46" t="s">
        <v>40</v>
      </c>
      <c r="I1725" s="45">
        <v>40000</v>
      </c>
      <c r="J1725" s="45">
        <v>20000</v>
      </c>
      <c r="K1725" s="49" t="s">
        <v>5018</v>
      </c>
      <c r="L1725" s="45"/>
      <c r="M1725" s="3"/>
    </row>
    <row r="1726" spans="1:13" x14ac:dyDescent="0.25">
      <c r="A1726" s="46" t="s">
        <v>10747</v>
      </c>
      <c r="B1726" s="46" t="s">
        <v>13</v>
      </c>
      <c r="C1726" s="46" t="s">
        <v>14</v>
      </c>
      <c r="D1726" s="47">
        <v>12188</v>
      </c>
      <c r="E1726" s="46" t="s">
        <v>10748</v>
      </c>
      <c r="F1726" s="48">
        <v>41176</v>
      </c>
      <c r="G1726" s="48">
        <v>41639</v>
      </c>
      <c r="H1726" s="46" t="s">
        <v>651</v>
      </c>
      <c r="I1726" s="45">
        <v>7870.12</v>
      </c>
      <c r="J1726" s="45">
        <v>3935.06</v>
      </c>
      <c r="K1726" s="49" t="s">
        <v>5018</v>
      </c>
      <c r="L1726" s="46"/>
    </row>
    <row r="1727" spans="1:13" x14ac:dyDescent="0.25">
      <c r="A1727" s="46" t="s">
        <v>10757</v>
      </c>
      <c r="B1727" s="46" t="s">
        <v>13</v>
      </c>
      <c r="C1727" s="46" t="s">
        <v>14</v>
      </c>
      <c r="D1727" s="47">
        <v>12263</v>
      </c>
      <c r="E1727" s="46" t="s">
        <v>10758</v>
      </c>
      <c r="F1727" s="48">
        <v>41372</v>
      </c>
      <c r="G1727" s="48">
        <v>41639</v>
      </c>
      <c r="H1727" s="46" t="s">
        <v>651</v>
      </c>
      <c r="I1727" s="45">
        <v>49965.96</v>
      </c>
      <c r="J1727" s="45">
        <v>42795.48</v>
      </c>
      <c r="K1727" s="49" t="s">
        <v>5018</v>
      </c>
      <c r="L1727" s="46"/>
    </row>
    <row r="1728" spans="1:13" ht="38.25" x14ac:dyDescent="0.25">
      <c r="A1728" s="46" t="s">
        <v>5813</v>
      </c>
      <c r="B1728" s="46" t="s">
        <v>13</v>
      </c>
      <c r="C1728" s="46" t="s">
        <v>14</v>
      </c>
      <c r="D1728" s="47">
        <v>4432</v>
      </c>
      <c r="E1728" s="46" t="s">
        <v>5814</v>
      </c>
      <c r="F1728" s="48">
        <v>39234</v>
      </c>
      <c r="G1728" s="48">
        <v>40544</v>
      </c>
      <c r="H1728" s="46" t="s">
        <v>2032</v>
      </c>
      <c r="I1728" s="45">
        <v>805197.84</v>
      </c>
      <c r="J1728" s="45">
        <v>805197.84</v>
      </c>
      <c r="K1728" s="49" t="s">
        <v>5815</v>
      </c>
      <c r="L1728" s="45"/>
      <c r="M1728" s="3"/>
    </row>
    <row r="1729" spans="1:13" ht="38.25" x14ac:dyDescent="0.25">
      <c r="A1729" s="46" t="s">
        <v>5816</v>
      </c>
      <c r="B1729" s="46" t="s">
        <v>13</v>
      </c>
      <c r="C1729" s="46" t="s">
        <v>14</v>
      </c>
      <c r="D1729" s="47">
        <v>5080</v>
      </c>
      <c r="E1729" s="46" t="s">
        <v>5817</v>
      </c>
      <c r="F1729" s="48">
        <v>39203</v>
      </c>
      <c r="G1729" s="48">
        <v>39660</v>
      </c>
      <c r="H1729" s="46" t="s">
        <v>2039</v>
      </c>
      <c r="I1729" s="45">
        <v>44252.46</v>
      </c>
      <c r="J1729" s="45">
        <v>44252.46</v>
      </c>
      <c r="K1729" s="49" t="s">
        <v>5815</v>
      </c>
      <c r="L1729" s="45"/>
      <c r="M1729" s="3"/>
    </row>
    <row r="1730" spans="1:13" ht="38.25" x14ac:dyDescent="0.25">
      <c r="A1730" s="46" t="s">
        <v>5818</v>
      </c>
      <c r="B1730" s="46" t="s">
        <v>13</v>
      </c>
      <c r="C1730" s="46" t="s">
        <v>14</v>
      </c>
      <c r="D1730" s="47">
        <v>5082</v>
      </c>
      <c r="E1730" s="46" t="s">
        <v>5819</v>
      </c>
      <c r="F1730" s="48">
        <v>39265</v>
      </c>
      <c r="G1730" s="48">
        <v>39933</v>
      </c>
      <c r="H1730" s="46" t="s">
        <v>2039</v>
      </c>
      <c r="I1730" s="45">
        <v>69172</v>
      </c>
      <c r="J1730" s="45">
        <v>69172</v>
      </c>
      <c r="K1730" s="49" t="s">
        <v>5815</v>
      </c>
      <c r="L1730" s="45"/>
      <c r="M1730" s="3"/>
    </row>
    <row r="1731" spans="1:13" ht="38.25" x14ac:dyDescent="0.25">
      <c r="A1731" s="46" t="s">
        <v>5820</v>
      </c>
      <c r="B1731" s="46" t="s">
        <v>13</v>
      </c>
      <c r="C1731" s="46" t="s">
        <v>14</v>
      </c>
      <c r="D1731" s="47">
        <v>5083</v>
      </c>
      <c r="E1731" s="46" t="s">
        <v>5821</v>
      </c>
      <c r="F1731" s="48">
        <v>39448</v>
      </c>
      <c r="G1731" s="48">
        <v>39903</v>
      </c>
      <c r="H1731" s="46" t="s">
        <v>2039</v>
      </c>
      <c r="I1731" s="45">
        <v>78606.820000000007</v>
      </c>
      <c r="J1731" s="45">
        <v>78606.820000000007</v>
      </c>
      <c r="K1731" s="49" t="s">
        <v>5815</v>
      </c>
      <c r="L1731" s="45"/>
      <c r="M1731" s="3"/>
    </row>
    <row r="1732" spans="1:13" ht="25.5" x14ac:dyDescent="0.25">
      <c r="A1732" s="46" t="s">
        <v>5822</v>
      </c>
      <c r="B1732" s="46" t="s">
        <v>13</v>
      </c>
      <c r="C1732" s="46" t="s">
        <v>14</v>
      </c>
      <c r="D1732" s="47">
        <v>5085</v>
      </c>
      <c r="E1732" s="46" t="s">
        <v>5823</v>
      </c>
      <c r="F1732" s="48">
        <v>39661</v>
      </c>
      <c r="G1732" s="48">
        <v>40512</v>
      </c>
      <c r="H1732" s="46" t="s">
        <v>2039</v>
      </c>
      <c r="I1732" s="45">
        <v>68643.81</v>
      </c>
      <c r="J1732" s="45">
        <v>68643.81</v>
      </c>
      <c r="K1732" s="49" t="s">
        <v>5815</v>
      </c>
      <c r="L1732" s="45"/>
      <c r="M1732" s="3"/>
    </row>
    <row r="1733" spans="1:13" ht="63.75" x14ac:dyDescent="0.25">
      <c r="A1733" s="46" t="s">
        <v>5824</v>
      </c>
      <c r="B1733" s="46" t="s">
        <v>13</v>
      </c>
      <c r="C1733" s="46" t="s">
        <v>14</v>
      </c>
      <c r="D1733" s="47">
        <v>5087</v>
      </c>
      <c r="E1733" s="50" t="s">
        <v>5825</v>
      </c>
      <c r="F1733" s="48">
        <v>39448</v>
      </c>
      <c r="G1733" s="48">
        <v>39933</v>
      </c>
      <c r="H1733" s="46" t="s">
        <v>2039</v>
      </c>
      <c r="I1733" s="45">
        <v>70380.95</v>
      </c>
      <c r="J1733" s="45">
        <v>70380.95</v>
      </c>
      <c r="K1733" s="49" t="s">
        <v>5815</v>
      </c>
      <c r="L1733" s="45"/>
      <c r="M1733" s="3"/>
    </row>
    <row r="1734" spans="1:13" ht="25.5" x14ac:dyDescent="0.25">
      <c r="A1734" s="46" t="s">
        <v>5826</v>
      </c>
      <c r="B1734" s="46" t="s">
        <v>13</v>
      </c>
      <c r="C1734" s="46" t="s">
        <v>14</v>
      </c>
      <c r="D1734" s="47">
        <v>5092</v>
      </c>
      <c r="E1734" s="46" t="s">
        <v>5827</v>
      </c>
      <c r="F1734" s="48">
        <v>39356</v>
      </c>
      <c r="G1734" s="48">
        <v>39722</v>
      </c>
      <c r="H1734" s="46" t="s">
        <v>2039</v>
      </c>
      <c r="I1734" s="45">
        <v>68129.69</v>
      </c>
      <c r="J1734" s="45">
        <v>68129.69</v>
      </c>
      <c r="K1734" s="49" t="s">
        <v>5815</v>
      </c>
      <c r="L1734" s="45"/>
      <c r="M1734" s="3"/>
    </row>
    <row r="1735" spans="1:13" ht="38.25" x14ac:dyDescent="0.25">
      <c r="A1735" s="46" t="s">
        <v>5828</v>
      </c>
      <c r="B1735" s="46" t="s">
        <v>13</v>
      </c>
      <c r="C1735" s="46" t="s">
        <v>14</v>
      </c>
      <c r="D1735" s="47">
        <v>5094</v>
      </c>
      <c r="E1735" s="46" t="s">
        <v>5829</v>
      </c>
      <c r="F1735" s="48">
        <v>39356</v>
      </c>
      <c r="G1735" s="48">
        <v>39721</v>
      </c>
      <c r="H1735" s="46" t="s">
        <v>2039</v>
      </c>
      <c r="I1735" s="45">
        <v>75325.58</v>
      </c>
      <c r="J1735" s="45">
        <v>75325.58</v>
      </c>
      <c r="K1735" s="49" t="s">
        <v>5815</v>
      </c>
      <c r="L1735" s="45"/>
      <c r="M1735" s="3"/>
    </row>
    <row r="1736" spans="1:13" ht="76.5" x14ac:dyDescent="0.25">
      <c r="A1736" s="46" t="s">
        <v>5830</v>
      </c>
      <c r="B1736" s="46" t="s">
        <v>13</v>
      </c>
      <c r="C1736" s="46" t="s">
        <v>14</v>
      </c>
      <c r="D1736" s="47">
        <v>5095</v>
      </c>
      <c r="E1736" s="50" t="s">
        <v>5831</v>
      </c>
      <c r="F1736" s="48">
        <v>39448</v>
      </c>
      <c r="G1736" s="48">
        <v>39994</v>
      </c>
      <c r="H1736" s="46" t="s">
        <v>2039</v>
      </c>
      <c r="I1736" s="45">
        <v>68001.710000000006</v>
      </c>
      <c r="J1736" s="45">
        <v>68001.710000000006</v>
      </c>
      <c r="K1736" s="49" t="s">
        <v>5815</v>
      </c>
      <c r="L1736" s="45"/>
      <c r="M1736" s="3"/>
    </row>
    <row r="1737" spans="1:13" ht="38.25" x14ac:dyDescent="0.25">
      <c r="A1737" s="46" t="s">
        <v>5832</v>
      </c>
      <c r="B1737" s="46" t="s">
        <v>13</v>
      </c>
      <c r="C1737" s="46" t="s">
        <v>14</v>
      </c>
      <c r="D1737" s="47">
        <v>5096</v>
      </c>
      <c r="E1737" s="46" t="s">
        <v>5833</v>
      </c>
      <c r="F1737" s="48">
        <v>39417</v>
      </c>
      <c r="G1737" s="48">
        <v>39782</v>
      </c>
      <c r="H1737" s="46" t="s">
        <v>2039</v>
      </c>
      <c r="I1737" s="45">
        <v>88268.23</v>
      </c>
      <c r="J1737" s="45">
        <v>88268.23</v>
      </c>
      <c r="K1737" s="49" t="s">
        <v>5815</v>
      </c>
      <c r="L1737" s="45"/>
      <c r="M1737" s="3"/>
    </row>
    <row r="1738" spans="1:13" ht="51" x14ac:dyDescent="0.25">
      <c r="A1738" s="46" t="s">
        <v>5834</v>
      </c>
      <c r="B1738" s="46" t="s">
        <v>13</v>
      </c>
      <c r="C1738" s="46" t="s">
        <v>14</v>
      </c>
      <c r="D1738" s="47">
        <v>5099</v>
      </c>
      <c r="E1738" s="50" t="s">
        <v>5835</v>
      </c>
      <c r="F1738" s="48">
        <v>39814</v>
      </c>
      <c r="G1738" s="48">
        <v>40862</v>
      </c>
      <c r="H1738" s="46" t="s">
        <v>2039</v>
      </c>
      <c r="I1738" s="45">
        <v>74204.86</v>
      </c>
      <c r="J1738" s="45">
        <v>74204.86</v>
      </c>
      <c r="K1738" s="49" t="s">
        <v>5815</v>
      </c>
      <c r="L1738" s="45"/>
      <c r="M1738" s="3"/>
    </row>
    <row r="1739" spans="1:13" ht="25.5" x14ac:dyDescent="0.25">
      <c r="A1739" s="46" t="s">
        <v>5836</v>
      </c>
      <c r="B1739" s="46" t="s">
        <v>13</v>
      </c>
      <c r="C1739" s="46" t="s">
        <v>14</v>
      </c>
      <c r="D1739" s="47">
        <v>5101</v>
      </c>
      <c r="E1739" s="46" t="s">
        <v>5837</v>
      </c>
      <c r="F1739" s="48">
        <v>39814</v>
      </c>
      <c r="G1739" s="48">
        <v>40178</v>
      </c>
      <c r="H1739" s="46" t="s">
        <v>2039</v>
      </c>
      <c r="I1739" s="45">
        <v>83308.98</v>
      </c>
      <c r="J1739" s="45">
        <v>83308.98</v>
      </c>
      <c r="K1739" s="49" t="s">
        <v>5815</v>
      </c>
      <c r="L1739" s="45"/>
      <c r="M1739" s="3"/>
    </row>
    <row r="1740" spans="1:13" ht="25.5" x14ac:dyDescent="0.25">
      <c r="A1740" s="46" t="s">
        <v>5838</v>
      </c>
      <c r="B1740" s="46" t="s">
        <v>13</v>
      </c>
      <c r="C1740" s="46" t="s">
        <v>14</v>
      </c>
      <c r="D1740" s="47">
        <v>5104</v>
      </c>
      <c r="E1740" s="46" t="s">
        <v>5839</v>
      </c>
      <c r="F1740" s="48">
        <v>39265</v>
      </c>
      <c r="G1740" s="48">
        <v>39777</v>
      </c>
      <c r="H1740" s="46" t="s">
        <v>2039</v>
      </c>
      <c r="I1740" s="45">
        <v>51861.37</v>
      </c>
      <c r="J1740" s="45">
        <v>51861.37</v>
      </c>
      <c r="K1740" s="49" t="s">
        <v>5815</v>
      </c>
      <c r="L1740" s="45"/>
      <c r="M1740" s="3"/>
    </row>
    <row r="1741" spans="1:13" ht="25.5" x14ac:dyDescent="0.25">
      <c r="A1741" s="46" t="s">
        <v>5840</v>
      </c>
      <c r="B1741" s="46" t="s">
        <v>13</v>
      </c>
      <c r="C1741" s="46" t="s">
        <v>14</v>
      </c>
      <c r="D1741" s="47">
        <v>5106</v>
      </c>
      <c r="E1741" s="46" t="s">
        <v>5841</v>
      </c>
      <c r="F1741" s="48">
        <v>39326</v>
      </c>
      <c r="G1741" s="48">
        <v>40574</v>
      </c>
      <c r="H1741" s="46" t="s">
        <v>2039</v>
      </c>
      <c r="I1741" s="45">
        <v>127395.6</v>
      </c>
      <c r="J1741" s="45">
        <v>127395.6</v>
      </c>
      <c r="K1741" s="49" t="s">
        <v>5815</v>
      </c>
      <c r="L1741" s="45"/>
      <c r="M1741" s="3"/>
    </row>
    <row r="1742" spans="1:13" x14ac:dyDescent="0.25">
      <c r="A1742" s="46" t="s">
        <v>5842</v>
      </c>
      <c r="B1742" s="46" t="s">
        <v>13</v>
      </c>
      <c r="C1742" s="46" t="s">
        <v>14</v>
      </c>
      <c r="D1742" s="47">
        <v>5109</v>
      </c>
      <c r="E1742" s="46" t="s">
        <v>5843</v>
      </c>
      <c r="F1742" s="48">
        <v>39479</v>
      </c>
      <c r="G1742" s="48">
        <v>39964</v>
      </c>
      <c r="H1742" s="46" t="s">
        <v>2039</v>
      </c>
      <c r="I1742" s="45">
        <v>91549.42</v>
      </c>
      <c r="J1742" s="45">
        <v>91549.42</v>
      </c>
      <c r="K1742" s="49" t="s">
        <v>5815</v>
      </c>
      <c r="L1742" s="45"/>
      <c r="M1742" s="3"/>
    </row>
    <row r="1743" spans="1:13" ht="25.5" x14ac:dyDescent="0.25">
      <c r="A1743" s="46" t="s">
        <v>5844</v>
      </c>
      <c r="B1743" s="46" t="s">
        <v>13</v>
      </c>
      <c r="C1743" s="46" t="s">
        <v>14</v>
      </c>
      <c r="D1743" s="47">
        <v>5111</v>
      </c>
      <c r="E1743" s="46" t="s">
        <v>5845</v>
      </c>
      <c r="F1743" s="48">
        <v>39783</v>
      </c>
      <c r="G1743" s="48">
        <v>39994</v>
      </c>
      <c r="H1743" s="46" t="s">
        <v>2039</v>
      </c>
      <c r="I1743" s="45">
        <v>94355.199999999997</v>
      </c>
      <c r="J1743" s="45">
        <v>94355.199999999997</v>
      </c>
      <c r="K1743" s="49" t="s">
        <v>5815</v>
      </c>
      <c r="L1743" s="45"/>
      <c r="M1743" s="3"/>
    </row>
    <row r="1744" spans="1:13" ht="25.5" x14ac:dyDescent="0.25">
      <c r="A1744" s="46" t="s">
        <v>5846</v>
      </c>
      <c r="B1744" s="46" t="s">
        <v>13</v>
      </c>
      <c r="C1744" s="46" t="s">
        <v>14</v>
      </c>
      <c r="D1744" s="47">
        <v>5115</v>
      </c>
      <c r="E1744" s="46" t="s">
        <v>5847</v>
      </c>
      <c r="F1744" s="48">
        <v>39706</v>
      </c>
      <c r="G1744" s="48">
        <v>40070</v>
      </c>
      <c r="H1744" s="46" t="s">
        <v>2039</v>
      </c>
      <c r="I1744" s="45">
        <v>3520.02</v>
      </c>
      <c r="J1744" s="45">
        <v>3520.02</v>
      </c>
      <c r="K1744" s="49" t="s">
        <v>5815</v>
      </c>
      <c r="L1744" s="45"/>
      <c r="M1744" s="3"/>
    </row>
    <row r="1745" spans="1:13" ht="38.25" x14ac:dyDescent="0.25">
      <c r="A1745" s="46" t="s">
        <v>5848</v>
      </c>
      <c r="B1745" s="46" t="s">
        <v>13</v>
      </c>
      <c r="C1745" s="46" t="s">
        <v>14</v>
      </c>
      <c r="D1745" s="47">
        <v>5216</v>
      </c>
      <c r="E1745" s="46" t="s">
        <v>5849</v>
      </c>
      <c r="F1745" s="48">
        <v>39722</v>
      </c>
      <c r="G1745" s="48">
        <v>40086</v>
      </c>
      <c r="H1745" s="46" t="s">
        <v>2039</v>
      </c>
      <c r="I1745" s="45">
        <v>55894.18</v>
      </c>
      <c r="J1745" s="45">
        <v>55894.18</v>
      </c>
      <c r="K1745" s="49" t="s">
        <v>5815</v>
      </c>
      <c r="L1745" s="45"/>
      <c r="M1745" s="3"/>
    </row>
    <row r="1746" spans="1:13" ht="25.5" x14ac:dyDescent="0.25">
      <c r="A1746" s="46" t="s">
        <v>5850</v>
      </c>
      <c r="B1746" s="46" t="s">
        <v>13</v>
      </c>
      <c r="C1746" s="46" t="s">
        <v>14</v>
      </c>
      <c r="D1746" s="47">
        <v>6146</v>
      </c>
      <c r="E1746" s="46" t="s">
        <v>5851</v>
      </c>
      <c r="F1746" s="48">
        <v>39419</v>
      </c>
      <c r="G1746" s="48">
        <v>39782</v>
      </c>
      <c r="H1746" s="46" t="s">
        <v>2039</v>
      </c>
      <c r="I1746" s="45">
        <v>90000</v>
      </c>
      <c r="J1746" s="45">
        <v>66094.3</v>
      </c>
      <c r="K1746" s="49" t="s">
        <v>5815</v>
      </c>
      <c r="L1746" s="45"/>
      <c r="M1746" s="3"/>
    </row>
    <row r="1747" spans="1:13" ht="25.5" x14ac:dyDescent="0.25">
      <c r="A1747" s="46" t="s">
        <v>5852</v>
      </c>
      <c r="B1747" s="46" t="s">
        <v>13</v>
      </c>
      <c r="C1747" s="46" t="s">
        <v>14</v>
      </c>
      <c r="D1747" s="47">
        <v>6148</v>
      </c>
      <c r="E1747" s="46" t="s">
        <v>5853</v>
      </c>
      <c r="F1747" s="48">
        <v>39814</v>
      </c>
      <c r="G1747" s="48">
        <v>40786</v>
      </c>
      <c r="H1747" s="46" t="s">
        <v>2039</v>
      </c>
      <c r="I1747" s="45">
        <f>384229+17192.44</f>
        <v>401421.44</v>
      </c>
      <c r="J1747" s="45">
        <f>252603.92+17192.44</f>
        <v>269796.36</v>
      </c>
      <c r="K1747" s="49" t="s">
        <v>5815</v>
      </c>
      <c r="L1747" s="45"/>
      <c r="M1747" s="3"/>
    </row>
    <row r="1748" spans="1:13" ht="25.5" x14ac:dyDescent="0.25">
      <c r="A1748" s="46" t="s">
        <v>5854</v>
      </c>
      <c r="B1748" s="46" t="s">
        <v>13</v>
      </c>
      <c r="C1748" s="46" t="s">
        <v>14</v>
      </c>
      <c r="D1748" s="47">
        <v>6179</v>
      </c>
      <c r="E1748" s="46" t="s">
        <v>5855</v>
      </c>
      <c r="F1748" s="48">
        <v>39660</v>
      </c>
      <c r="G1748" s="48">
        <v>40497</v>
      </c>
      <c r="H1748" s="46" t="s">
        <v>2039</v>
      </c>
      <c r="I1748" s="45">
        <v>177084.45</v>
      </c>
      <c r="J1748" s="45">
        <v>177084.45</v>
      </c>
      <c r="K1748" s="49" t="s">
        <v>5815</v>
      </c>
      <c r="L1748" s="45"/>
      <c r="M1748" s="3"/>
    </row>
    <row r="1749" spans="1:13" ht="25.5" x14ac:dyDescent="0.25">
      <c r="A1749" s="46" t="s">
        <v>5856</v>
      </c>
      <c r="B1749" s="46" t="s">
        <v>13</v>
      </c>
      <c r="C1749" s="46" t="s">
        <v>14</v>
      </c>
      <c r="D1749" s="47">
        <v>6541</v>
      </c>
      <c r="E1749" s="46" t="s">
        <v>5857</v>
      </c>
      <c r="F1749" s="48">
        <v>40357</v>
      </c>
      <c r="G1749" s="48">
        <v>40862</v>
      </c>
      <c r="H1749" s="46" t="s">
        <v>2039</v>
      </c>
      <c r="I1749" s="45">
        <f>91669+63524.16</f>
        <v>155193.16</v>
      </c>
      <c r="J1749" s="45">
        <f>559.39+63524.16</f>
        <v>64083.55</v>
      </c>
      <c r="K1749" s="49" t="s">
        <v>5815</v>
      </c>
      <c r="L1749" s="45"/>
      <c r="M1749" s="3"/>
    </row>
    <row r="1750" spans="1:13" ht="25.5" x14ac:dyDescent="0.25">
      <c r="A1750" s="46" t="s">
        <v>5858</v>
      </c>
      <c r="B1750" s="46" t="s">
        <v>13</v>
      </c>
      <c r="C1750" s="46" t="s">
        <v>14</v>
      </c>
      <c r="D1750" s="47">
        <v>8454</v>
      </c>
      <c r="E1750" s="46" t="s">
        <v>5858</v>
      </c>
      <c r="F1750" s="48">
        <v>40035</v>
      </c>
      <c r="G1750" s="48">
        <v>40497</v>
      </c>
      <c r="H1750" s="46" t="s">
        <v>2039</v>
      </c>
      <c r="I1750" s="45">
        <v>70340.63</v>
      </c>
      <c r="J1750" s="45">
        <v>70340.63</v>
      </c>
      <c r="K1750" s="49" t="s">
        <v>5815</v>
      </c>
      <c r="L1750" s="45"/>
      <c r="M1750" s="3"/>
    </row>
    <row r="1751" spans="1:13" ht="38.25" x14ac:dyDescent="0.25">
      <c r="A1751" s="46" t="s">
        <v>5859</v>
      </c>
      <c r="B1751" s="46" t="s">
        <v>13</v>
      </c>
      <c r="C1751" s="46" t="s">
        <v>14</v>
      </c>
      <c r="D1751" s="47">
        <v>8455</v>
      </c>
      <c r="E1751" s="46" t="s">
        <v>5860</v>
      </c>
      <c r="F1751" s="48">
        <v>39934</v>
      </c>
      <c r="G1751" s="48">
        <v>40299</v>
      </c>
      <c r="H1751" s="46" t="s">
        <v>2039</v>
      </c>
      <c r="I1751" s="45">
        <v>80717.83</v>
      </c>
      <c r="J1751" s="45">
        <v>80717.83</v>
      </c>
      <c r="K1751" s="49" t="s">
        <v>5815</v>
      </c>
      <c r="L1751" s="45"/>
      <c r="M1751" s="3"/>
    </row>
    <row r="1752" spans="1:13" ht="38.25" x14ac:dyDescent="0.25">
      <c r="A1752" s="46" t="s">
        <v>5861</v>
      </c>
      <c r="B1752" s="46" t="s">
        <v>13</v>
      </c>
      <c r="C1752" s="46" t="s">
        <v>14</v>
      </c>
      <c r="D1752" s="47">
        <v>8456</v>
      </c>
      <c r="E1752" s="46" t="s">
        <v>5862</v>
      </c>
      <c r="F1752" s="48">
        <v>39845</v>
      </c>
      <c r="G1752" s="48">
        <v>40940</v>
      </c>
      <c r="H1752" s="46" t="s">
        <v>2039</v>
      </c>
      <c r="I1752" s="45">
        <v>1357.26</v>
      </c>
      <c r="J1752" s="45">
        <v>1357.26</v>
      </c>
      <c r="K1752" s="49" t="s">
        <v>5815</v>
      </c>
      <c r="L1752" s="45"/>
      <c r="M1752" s="3"/>
    </row>
    <row r="1753" spans="1:13" ht="38.25" x14ac:dyDescent="0.25">
      <c r="A1753" s="46" t="s">
        <v>5863</v>
      </c>
      <c r="B1753" s="46" t="s">
        <v>13</v>
      </c>
      <c r="C1753" s="46" t="s">
        <v>14</v>
      </c>
      <c r="D1753" s="47">
        <v>8457</v>
      </c>
      <c r="E1753" s="46" t="s">
        <v>5864</v>
      </c>
      <c r="F1753" s="48">
        <v>39539</v>
      </c>
      <c r="G1753" s="48">
        <v>40512</v>
      </c>
      <c r="H1753" s="46" t="s">
        <v>2039</v>
      </c>
      <c r="I1753" s="45">
        <v>126865.51</v>
      </c>
      <c r="J1753" s="45">
        <v>126865.51</v>
      </c>
      <c r="K1753" s="49" t="s">
        <v>5815</v>
      </c>
      <c r="L1753" s="45"/>
      <c r="M1753" s="3"/>
    </row>
    <row r="1754" spans="1:13" ht="25.5" x14ac:dyDescent="0.25">
      <c r="A1754" s="46" t="s">
        <v>5865</v>
      </c>
      <c r="B1754" s="46" t="s">
        <v>13</v>
      </c>
      <c r="C1754" s="46" t="s">
        <v>14</v>
      </c>
      <c r="D1754" s="47">
        <v>8458</v>
      </c>
      <c r="E1754" s="46" t="s">
        <v>5866</v>
      </c>
      <c r="F1754" s="48">
        <v>39539</v>
      </c>
      <c r="G1754" s="48">
        <v>40501</v>
      </c>
      <c r="H1754" s="46" t="s">
        <v>2039</v>
      </c>
      <c r="I1754" s="45">
        <v>266528.65000000002</v>
      </c>
      <c r="J1754" s="45">
        <v>266528.65000000002</v>
      </c>
      <c r="K1754" s="49" t="s">
        <v>5815</v>
      </c>
      <c r="L1754" s="45"/>
      <c r="M1754" s="3"/>
    </row>
    <row r="1755" spans="1:13" ht="63.75" x14ac:dyDescent="0.25">
      <c r="A1755" s="46" t="s">
        <v>5867</v>
      </c>
      <c r="B1755" s="46" t="s">
        <v>13</v>
      </c>
      <c r="C1755" s="46" t="s">
        <v>14</v>
      </c>
      <c r="D1755" s="47">
        <v>8459</v>
      </c>
      <c r="E1755" s="50" t="s">
        <v>5868</v>
      </c>
      <c r="F1755" s="48">
        <v>39295</v>
      </c>
      <c r="G1755" s="48">
        <v>40329</v>
      </c>
      <c r="H1755" s="46" t="s">
        <v>2039</v>
      </c>
      <c r="I1755" s="45">
        <v>272772.27</v>
      </c>
      <c r="J1755" s="45">
        <v>272772.27</v>
      </c>
      <c r="K1755" s="49" t="s">
        <v>5815</v>
      </c>
      <c r="L1755" s="45"/>
      <c r="M1755" s="3"/>
    </row>
    <row r="1756" spans="1:13" ht="25.5" x14ac:dyDescent="0.25">
      <c r="A1756" s="46" t="s">
        <v>5869</v>
      </c>
      <c r="B1756" s="46" t="s">
        <v>13</v>
      </c>
      <c r="C1756" s="46" t="s">
        <v>14</v>
      </c>
      <c r="D1756" s="47">
        <v>8460</v>
      </c>
      <c r="E1756" s="46" t="s">
        <v>5870</v>
      </c>
      <c r="F1756" s="48">
        <v>39356</v>
      </c>
      <c r="G1756" s="48">
        <v>40359</v>
      </c>
      <c r="H1756" s="46" t="s">
        <v>2039</v>
      </c>
      <c r="I1756" s="45">
        <v>315153.74</v>
      </c>
      <c r="J1756" s="45">
        <v>315153.74</v>
      </c>
      <c r="K1756" s="49" t="s">
        <v>5815</v>
      </c>
      <c r="L1756" s="45"/>
      <c r="M1756" s="3"/>
    </row>
    <row r="1757" spans="1:13" ht="25.5" x14ac:dyDescent="0.25">
      <c r="A1757" s="46" t="s">
        <v>5871</v>
      </c>
      <c r="B1757" s="46" t="s">
        <v>13</v>
      </c>
      <c r="C1757" s="46" t="s">
        <v>14</v>
      </c>
      <c r="D1757" s="47">
        <v>8461</v>
      </c>
      <c r="E1757" s="46" t="s">
        <v>5872</v>
      </c>
      <c r="F1757" s="48">
        <v>39995</v>
      </c>
      <c r="G1757" s="48">
        <v>41060</v>
      </c>
      <c r="H1757" s="46" t="s">
        <v>2039</v>
      </c>
      <c r="I1757" s="45">
        <v>156930.79</v>
      </c>
      <c r="J1757" s="45">
        <v>156930.79</v>
      </c>
      <c r="K1757" s="49" t="s">
        <v>5815</v>
      </c>
      <c r="L1757" s="45"/>
      <c r="M1757" s="3"/>
    </row>
    <row r="1758" spans="1:13" ht="51" x14ac:dyDescent="0.25">
      <c r="A1758" s="46" t="s">
        <v>5873</v>
      </c>
      <c r="B1758" s="46" t="s">
        <v>13</v>
      </c>
      <c r="C1758" s="46" t="s">
        <v>14</v>
      </c>
      <c r="D1758" s="47">
        <v>11521</v>
      </c>
      <c r="E1758" s="50" t="s">
        <v>5874</v>
      </c>
      <c r="F1758" s="48">
        <v>39814</v>
      </c>
      <c r="G1758" s="48">
        <v>40847</v>
      </c>
      <c r="H1758" s="46" t="s">
        <v>2039</v>
      </c>
      <c r="I1758" s="45">
        <v>119982.48</v>
      </c>
      <c r="J1758" s="45">
        <v>119982.48</v>
      </c>
      <c r="K1758" s="49" t="s">
        <v>5815</v>
      </c>
      <c r="L1758" s="45"/>
      <c r="M1758" s="3"/>
    </row>
    <row r="1759" spans="1:13" ht="38.25" x14ac:dyDescent="0.25">
      <c r="A1759" s="46" t="s">
        <v>5875</v>
      </c>
      <c r="B1759" s="46" t="s">
        <v>13</v>
      </c>
      <c r="C1759" s="46" t="s">
        <v>14</v>
      </c>
      <c r="D1759" s="47">
        <v>11522</v>
      </c>
      <c r="E1759" s="46" t="s">
        <v>5876</v>
      </c>
      <c r="F1759" s="48">
        <v>40553</v>
      </c>
      <c r="G1759" s="48">
        <v>40968</v>
      </c>
      <c r="H1759" s="46" t="s">
        <v>2039</v>
      </c>
      <c r="I1759" s="45">
        <v>60468.79</v>
      </c>
      <c r="J1759" s="45">
        <v>60468.79</v>
      </c>
      <c r="K1759" s="49" t="s">
        <v>5815</v>
      </c>
      <c r="L1759" s="45"/>
      <c r="M1759" s="3"/>
    </row>
    <row r="1760" spans="1:13" ht="25.5" x14ac:dyDescent="0.25">
      <c r="A1760" s="46" t="s">
        <v>5877</v>
      </c>
      <c r="B1760" s="46" t="s">
        <v>13</v>
      </c>
      <c r="C1760" s="46" t="s">
        <v>14</v>
      </c>
      <c r="D1760" s="47">
        <v>11523</v>
      </c>
      <c r="E1760" s="46" t="s">
        <v>5878</v>
      </c>
      <c r="F1760" s="48">
        <v>39995</v>
      </c>
      <c r="G1760" s="48">
        <v>41228</v>
      </c>
      <c r="H1760" s="46" t="s">
        <v>2039</v>
      </c>
      <c r="I1760" s="45">
        <v>102624.44</v>
      </c>
      <c r="J1760" s="45">
        <v>102624.44</v>
      </c>
      <c r="K1760" s="49" t="s">
        <v>5815</v>
      </c>
      <c r="L1760" s="45"/>
      <c r="M1760" s="3"/>
    </row>
    <row r="1761" spans="1:60" ht="38.25" x14ac:dyDescent="0.25">
      <c r="A1761" s="46" t="s">
        <v>5861</v>
      </c>
      <c r="B1761" s="46" t="s">
        <v>13</v>
      </c>
      <c r="C1761" s="46" t="s">
        <v>14</v>
      </c>
      <c r="D1761" s="47">
        <v>11524</v>
      </c>
      <c r="E1761" s="46" t="s">
        <v>5879</v>
      </c>
      <c r="F1761" s="48">
        <v>39845</v>
      </c>
      <c r="G1761" s="48">
        <v>40939</v>
      </c>
      <c r="H1761" s="46" t="s">
        <v>2039</v>
      </c>
      <c r="I1761" s="45">
        <v>59551.17</v>
      </c>
      <c r="J1761" s="45">
        <v>59551.17</v>
      </c>
      <c r="K1761" s="49" t="s">
        <v>5815</v>
      </c>
      <c r="L1761" s="45"/>
      <c r="M1761" s="3"/>
    </row>
    <row r="1762" spans="1:60" ht="38.25" x14ac:dyDescent="0.25">
      <c r="A1762" s="46" t="s">
        <v>11471</v>
      </c>
      <c r="B1762" s="61" t="s">
        <v>13</v>
      </c>
      <c r="C1762" s="61" t="s">
        <v>14</v>
      </c>
      <c r="D1762" s="62">
        <v>12940</v>
      </c>
      <c r="E1762" s="46" t="s">
        <v>11472</v>
      </c>
      <c r="F1762" s="63">
        <v>40940</v>
      </c>
      <c r="G1762" s="63">
        <v>41456</v>
      </c>
      <c r="H1762" s="46" t="s">
        <v>2039</v>
      </c>
      <c r="I1762" s="64">
        <v>46371.25</v>
      </c>
      <c r="J1762" s="64">
        <v>46371.25</v>
      </c>
      <c r="K1762" s="65" t="s">
        <v>5815</v>
      </c>
      <c r="L1762" s="6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row>
    <row r="1763" spans="1:60" ht="51" x14ac:dyDescent="0.25">
      <c r="A1763" s="46" t="s">
        <v>11474</v>
      </c>
      <c r="B1763" s="61" t="s">
        <v>13</v>
      </c>
      <c r="C1763" s="61" t="s">
        <v>14</v>
      </c>
      <c r="D1763" s="62">
        <v>13041</v>
      </c>
      <c r="E1763" s="46" t="s">
        <v>11475</v>
      </c>
      <c r="F1763" s="63">
        <v>40909</v>
      </c>
      <c r="G1763" s="63">
        <v>41090</v>
      </c>
      <c r="H1763" s="46" t="s">
        <v>2039</v>
      </c>
      <c r="I1763" s="64">
        <v>14791.1</v>
      </c>
      <c r="J1763" s="64">
        <v>14791.1</v>
      </c>
      <c r="K1763" s="65" t="s">
        <v>5815</v>
      </c>
      <c r="L1763" s="6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row>
    <row r="1764" spans="1:60" ht="25.5" x14ac:dyDescent="0.25">
      <c r="A1764" s="46" t="s">
        <v>11476</v>
      </c>
      <c r="B1764" s="61" t="s">
        <v>13</v>
      </c>
      <c r="C1764" s="61" t="s">
        <v>14</v>
      </c>
      <c r="D1764" s="62">
        <v>13042</v>
      </c>
      <c r="E1764" s="46" t="s">
        <v>11477</v>
      </c>
      <c r="F1764" s="63">
        <v>41030</v>
      </c>
      <c r="G1764" s="63">
        <v>41159</v>
      </c>
      <c r="H1764" s="46" t="s">
        <v>2039</v>
      </c>
      <c r="I1764" s="64">
        <v>3799.43</v>
      </c>
      <c r="J1764" s="64">
        <v>3799.43</v>
      </c>
      <c r="K1764" s="65" t="s">
        <v>5815</v>
      </c>
      <c r="L1764" s="6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row>
    <row r="1765" spans="1:60" ht="38.25" x14ac:dyDescent="0.25">
      <c r="A1765" s="46" t="s">
        <v>11478</v>
      </c>
      <c r="B1765" s="61" t="s">
        <v>13</v>
      </c>
      <c r="C1765" s="61" t="s">
        <v>14</v>
      </c>
      <c r="D1765" s="62">
        <v>13043</v>
      </c>
      <c r="E1765" s="46" t="s">
        <v>11479</v>
      </c>
      <c r="F1765" s="63">
        <v>40969</v>
      </c>
      <c r="G1765" s="63">
        <v>41882</v>
      </c>
      <c r="H1765" s="46" t="s">
        <v>2039</v>
      </c>
      <c r="I1765" s="64">
        <v>47900.13</v>
      </c>
      <c r="J1765" s="64">
        <v>47900.13</v>
      </c>
      <c r="K1765" s="65" t="s">
        <v>5815</v>
      </c>
      <c r="L1765" s="6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row>
    <row r="1766" spans="1:60" ht="25.5" x14ac:dyDescent="0.25">
      <c r="A1766" s="46" t="s">
        <v>11480</v>
      </c>
      <c r="B1766" s="61" t="s">
        <v>13</v>
      </c>
      <c r="C1766" s="61" t="s">
        <v>14</v>
      </c>
      <c r="D1766" s="62">
        <v>13044</v>
      </c>
      <c r="E1766" s="46" t="s">
        <v>11481</v>
      </c>
      <c r="F1766" s="63">
        <v>41141</v>
      </c>
      <c r="G1766" s="63">
        <v>41333</v>
      </c>
      <c r="H1766" s="46" t="s">
        <v>2039</v>
      </c>
      <c r="I1766" s="64">
        <v>697.8</v>
      </c>
      <c r="J1766" s="64">
        <v>697.8</v>
      </c>
      <c r="K1766" s="65" t="s">
        <v>5815</v>
      </c>
      <c r="L1766" s="6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row>
    <row r="1767" spans="1:60" ht="38.25" x14ac:dyDescent="0.25">
      <c r="A1767" s="46" t="s">
        <v>11482</v>
      </c>
      <c r="B1767" s="61" t="s">
        <v>13</v>
      </c>
      <c r="C1767" s="61" t="s">
        <v>14</v>
      </c>
      <c r="D1767" s="62">
        <v>13045</v>
      </c>
      <c r="E1767" s="46" t="s">
        <v>11483</v>
      </c>
      <c r="F1767" s="63">
        <v>40940</v>
      </c>
      <c r="G1767" s="63">
        <v>42110</v>
      </c>
      <c r="H1767" s="46" t="s">
        <v>2039</v>
      </c>
      <c r="I1767" s="64">
        <v>0</v>
      </c>
      <c r="J1767" s="64">
        <v>0</v>
      </c>
      <c r="K1767" s="65" t="s">
        <v>5815</v>
      </c>
      <c r="L1767" s="6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row>
    <row r="1768" spans="1:60" ht="38.25" x14ac:dyDescent="0.25">
      <c r="A1768" s="46" t="s">
        <v>11484</v>
      </c>
      <c r="B1768" s="61" t="s">
        <v>13</v>
      </c>
      <c r="C1768" s="61" t="s">
        <v>14</v>
      </c>
      <c r="D1768" s="62">
        <v>13046</v>
      </c>
      <c r="E1768" s="46" t="s">
        <v>11485</v>
      </c>
      <c r="F1768" s="63">
        <v>41091</v>
      </c>
      <c r="G1768" s="63">
        <v>42124</v>
      </c>
      <c r="H1768" s="46" t="s">
        <v>2039</v>
      </c>
      <c r="I1768" s="64">
        <v>9252.56</v>
      </c>
      <c r="J1768" s="64">
        <v>9252.56</v>
      </c>
      <c r="K1768" s="65" t="s">
        <v>5815</v>
      </c>
      <c r="L1768" s="6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row>
    <row r="1769" spans="1:60" ht="25.5" x14ac:dyDescent="0.25">
      <c r="A1769" s="46" t="s">
        <v>11486</v>
      </c>
      <c r="B1769" s="61" t="s">
        <v>13</v>
      </c>
      <c r="C1769" s="61" t="s">
        <v>14</v>
      </c>
      <c r="D1769" s="62">
        <v>13047</v>
      </c>
      <c r="E1769" s="46" t="s">
        <v>11487</v>
      </c>
      <c r="F1769" s="63">
        <v>40909</v>
      </c>
      <c r="G1769" s="63">
        <v>41517</v>
      </c>
      <c r="H1769" s="46" t="s">
        <v>2039</v>
      </c>
      <c r="I1769" s="64">
        <v>62059.45</v>
      </c>
      <c r="J1769" s="64">
        <v>62059.45</v>
      </c>
      <c r="K1769" s="65" t="s">
        <v>5815</v>
      </c>
      <c r="L1769" s="6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row>
    <row r="1770" spans="1:60" x14ac:dyDescent="0.25">
      <c r="A1770" s="46" t="s">
        <v>11488</v>
      </c>
      <c r="B1770" s="61" t="s">
        <v>13</v>
      </c>
      <c r="C1770" s="61" t="s">
        <v>14</v>
      </c>
      <c r="D1770" s="62">
        <v>13048</v>
      </c>
      <c r="E1770" s="46" t="s">
        <v>11489</v>
      </c>
      <c r="F1770" s="63">
        <v>41155</v>
      </c>
      <c r="G1770" s="63">
        <v>41243</v>
      </c>
      <c r="H1770" s="46" t="s">
        <v>2039</v>
      </c>
      <c r="I1770" s="64">
        <v>2549.42</v>
      </c>
      <c r="J1770" s="64">
        <v>2549.42</v>
      </c>
      <c r="K1770" s="65" t="s">
        <v>5815</v>
      </c>
      <c r="L1770" s="6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row>
    <row r="1771" spans="1:60" x14ac:dyDescent="0.25">
      <c r="A1771" s="46" t="s">
        <v>11490</v>
      </c>
      <c r="B1771" s="61" t="s">
        <v>13</v>
      </c>
      <c r="C1771" s="61" t="s">
        <v>14</v>
      </c>
      <c r="D1771" s="62">
        <v>13049</v>
      </c>
      <c r="E1771" s="46" t="s">
        <v>11490</v>
      </c>
      <c r="F1771" s="63">
        <v>41061</v>
      </c>
      <c r="G1771" s="63">
        <v>41152</v>
      </c>
      <c r="H1771" s="46" t="s">
        <v>2039</v>
      </c>
      <c r="I1771" s="64">
        <v>11980.21</v>
      </c>
      <c r="J1771" s="64">
        <v>11980.21</v>
      </c>
      <c r="K1771" s="65" t="s">
        <v>5815</v>
      </c>
      <c r="L1771" s="6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row>
    <row r="1772" spans="1:60" x14ac:dyDescent="0.25">
      <c r="A1772" s="46" t="s">
        <v>11491</v>
      </c>
      <c r="B1772" s="61" t="s">
        <v>13</v>
      </c>
      <c r="C1772" s="61" t="s">
        <v>14</v>
      </c>
      <c r="D1772" s="62">
        <v>13050</v>
      </c>
      <c r="E1772" s="46" t="s">
        <v>11491</v>
      </c>
      <c r="F1772" s="63">
        <v>40911</v>
      </c>
      <c r="G1772" s="63">
        <v>41060</v>
      </c>
      <c r="H1772" s="46" t="s">
        <v>2039</v>
      </c>
      <c r="I1772" s="64">
        <v>14500</v>
      </c>
      <c r="J1772" s="64">
        <v>14500</v>
      </c>
      <c r="K1772" s="65" t="s">
        <v>5815</v>
      </c>
      <c r="L1772" s="6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row>
    <row r="1773" spans="1:60" ht="51" x14ac:dyDescent="0.25">
      <c r="A1773" s="46" t="s">
        <v>5880</v>
      </c>
      <c r="B1773" s="46" t="s">
        <v>13</v>
      </c>
      <c r="C1773" s="46" t="s">
        <v>14</v>
      </c>
      <c r="D1773" s="47">
        <v>10204</v>
      </c>
      <c r="E1773" s="50" t="s">
        <v>5881</v>
      </c>
      <c r="F1773" s="48">
        <v>41106</v>
      </c>
      <c r="G1773" s="48">
        <v>41548</v>
      </c>
      <c r="H1773" s="46" t="s">
        <v>392</v>
      </c>
      <c r="I1773" s="45">
        <v>1166484.56</v>
      </c>
      <c r="J1773" s="45">
        <v>348991.35</v>
      </c>
      <c r="K1773" s="49" t="s">
        <v>5815</v>
      </c>
      <c r="L1773" s="45"/>
      <c r="M1773" s="3"/>
    </row>
    <row r="1774" spans="1:60" ht="51" x14ac:dyDescent="0.25">
      <c r="A1774" s="46" t="s">
        <v>5882</v>
      </c>
      <c r="B1774" s="46" t="s">
        <v>13</v>
      </c>
      <c r="C1774" s="46" t="s">
        <v>14</v>
      </c>
      <c r="D1774" s="47">
        <v>8032</v>
      </c>
      <c r="E1774" s="50" t="s">
        <v>5883</v>
      </c>
      <c r="F1774" s="48">
        <v>39782</v>
      </c>
      <c r="G1774" s="48">
        <v>41274</v>
      </c>
      <c r="H1774" s="46" t="s">
        <v>2195</v>
      </c>
      <c r="I1774" s="45">
        <v>6000000</v>
      </c>
      <c r="J1774" s="45">
        <v>6000000.0099999998</v>
      </c>
      <c r="K1774" s="49" t="s">
        <v>5815</v>
      </c>
      <c r="L1774" s="45"/>
      <c r="M1774" s="3"/>
    </row>
    <row r="1775" spans="1:60" ht="38.25" x14ac:dyDescent="0.25">
      <c r="A1775" s="56" t="s">
        <v>6166</v>
      </c>
      <c r="B1775" s="56" t="s">
        <v>13</v>
      </c>
      <c r="C1775" s="46" t="s">
        <v>14</v>
      </c>
      <c r="D1775" s="57">
        <v>4340</v>
      </c>
      <c r="E1775" s="68" t="s">
        <v>2597</v>
      </c>
      <c r="F1775" s="58">
        <v>39083</v>
      </c>
      <c r="G1775" s="58">
        <v>42369</v>
      </c>
      <c r="H1775" s="56" t="s">
        <v>2593</v>
      </c>
      <c r="I1775" s="55">
        <v>1678222.98</v>
      </c>
      <c r="J1775" s="55">
        <v>1678222.98</v>
      </c>
      <c r="K1775" s="69" t="s">
        <v>5815</v>
      </c>
      <c r="L1775" s="55"/>
      <c r="M1775" s="12"/>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c r="AQ1775" s="9"/>
      <c r="AR1775" s="9"/>
      <c r="AS1775" s="9"/>
      <c r="AT1775" s="9"/>
      <c r="AU1775" s="9"/>
      <c r="AV1775" s="9"/>
      <c r="AW1775" s="9"/>
      <c r="AX1775" s="9"/>
      <c r="AY1775" s="9"/>
      <c r="AZ1775" s="9"/>
      <c r="BA1775" s="9"/>
      <c r="BB1775" s="9"/>
      <c r="BC1775" s="9"/>
      <c r="BD1775" s="9"/>
      <c r="BE1775" s="9"/>
      <c r="BF1775" s="9"/>
      <c r="BG1775" s="9"/>
      <c r="BH1775" s="9"/>
    </row>
    <row r="1776" spans="1:60" ht="51" x14ac:dyDescent="0.25">
      <c r="A1776" s="56" t="s">
        <v>6167</v>
      </c>
      <c r="B1776" s="56" t="s">
        <v>13</v>
      </c>
      <c r="C1776" s="46" t="s">
        <v>14</v>
      </c>
      <c r="D1776" s="57">
        <v>4341</v>
      </c>
      <c r="E1776" s="68" t="s">
        <v>2621</v>
      </c>
      <c r="F1776" s="58">
        <v>39083</v>
      </c>
      <c r="G1776" s="58">
        <v>42369</v>
      </c>
      <c r="H1776" s="56" t="s">
        <v>2593</v>
      </c>
      <c r="I1776" s="55">
        <v>104278.41</v>
      </c>
      <c r="J1776" s="55">
        <v>104278.41</v>
      </c>
      <c r="K1776" s="69" t="s">
        <v>5815</v>
      </c>
      <c r="L1776" s="55"/>
      <c r="M1776" s="12"/>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c r="AQ1776" s="9"/>
      <c r="AR1776" s="9"/>
      <c r="AS1776" s="9"/>
      <c r="AT1776" s="9"/>
      <c r="AU1776" s="9"/>
      <c r="AV1776" s="9"/>
      <c r="AW1776" s="9"/>
      <c r="AX1776" s="9"/>
      <c r="AY1776" s="9"/>
      <c r="AZ1776" s="9"/>
      <c r="BA1776" s="9"/>
      <c r="BB1776" s="9"/>
      <c r="BC1776" s="9"/>
      <c r="BD1776" s="9"/>
      <c r="BE1776" s="9"/>
      <c r="BF1776" s="9"/>
      <c r="BG1776" s="9"/>
      <c r="BH1776" s="9"/>
    </row>
    <row r="1777" spans="1:60" ht="63.75" x14ac:dyDescent="0.25">
      <c r="A1777" s="56" t="s">
        <v>6168</v>
      </c>
      <c r="B1777" s="56" t="s">
        <v>13</v>
      </c>
      <c r="C1777" s="46" t="s">
        <v>14</v>
      </c>
      <c r="D1777" s="57">
        <v>10243</v>
      </c>
      <c r="E1777" s="68" t="s">
        <v>6169</v>
      </c>
      <c r="F1777" s="58">
        <v>40533</v>
      </c>
      <c r="G1777" s="58">
        <v>42825</v>
      </c>
      <c r="H1777" s="56" t="s">
        <v>2593</v>
      </c>
      <c r="I1777" s="55">
        <f>1823008.29+5074958.19</f>
        <v>6897966.4800000004</v>
      </c>
      <c r="J1777" s="55">
        <f>1823008.29+5074958.79</f>
        <v>6897967.0800000001</v>
      </c>
      <c r="K1777" s="69" t="s">
        <v>5815</v>
      </c>
      <c r="L1777" s="55"/>
      <c r="M1777" s="12"/>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c r="AQ1777" s="9"/>
      <c r="AR1777" s="9"/>
      <c r="AS1777" s="9"/>
      <c r="AT1777" s="9"/>
      <c r="AU1777" s="9"/>
      <c r="AV1777" s="9"/>
      <c r="AW1777" s="9"/>
      <c r="AX1777" s="9"/>
      <c r="AY1777" s="9"/>
      <c r="AZ1777" s="9"/>
      <c r="BA1777" s="9"/>
      <c r="BB1777" s="9"/>
      <c r="BC1777" s="9"/>
      <c r="BD1777" s="9"/>
      <c r="BE1777" s="9"/>
      <c r="BF1777" s="9"/>
      <c r="BG1777" s="9"/>
      <c r="BH1777" s="9"/>
    </row>
    <row r="1778" spans="1:60" ht="76.5" x14ac:dyDescent="0.25">
      <c r="A1778" s="46" t="s">
        <v>11596</v>
      </c>
      <c r="B1778" s="61" t="s">
        <v>13</v>
      </c>
      <c r="C1778" s="46" t="s">
        <v>14</v>
      </c>
      <c r="D1778" s="62">
        <v>13028</v>
      </c>
      <c r="E1778" s="46" t="s">
        <v>11597</v>
      </c>
      <c r="F1778" s="63">
        <v>40544</v>
      </c>
      <c r="G1778" s="63">
        <v>42825</v>
      </c>
      <c r="H1778" s="56" t="s">
        <v>3587</v>
      </c>
      <c r="I1778" s="64">
        <v>328657.3</v>
      </c>
      <c r="J1778" s="64">
        <v>328657.3</v>
      </c>
      <c r="K1778" s="65" t="s">
        <v>5815</v>
      </c>
      <c r="L1778" s="6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row>
    <row r="1779" spans="1:60" ht="38.25" x14ac:dyDescent="0.25">
      <c r="A1779" s="46" t="s">
        <v>11598</v>
      </c>
      <c r="B1779" s="61" t="s">
        <v>13</v>
      </c>
      <c r="C1779" s="46" t="s">
        <v>14</v>
      </c>
      <c r="D1779" s="62">
        <v>13029</v>
      </c>
      <c r="E1779" s="46" t="s">
        <v>11561</v>
      </c>
      <c r="F1779" s="63">
        <v>40544</v>
      </c>
      <c r="G1779" s="63">
        <v>42825</v>
      </c>
      <c r="H1779" s="56" t="s">
        <v>3587</v>
      </c>
      <c r="I1779" s="64">
        <v>338891.14</v>
      </c>
      <c r="J1779" s="64">
        <v>338891.14</v>
      </c>
      <c r="K1779" s="65" t="s">
        <v>5815</v>
      </c>
      <c r="L1779" s="6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row>
    <row r="1780" spans="1:60" ht="38.25" x14ac:dyDescent="0.25">
      <c r="A1780" s="46" t="s">
        <v>11599</v>
      </c>
      <c r="B1780" s="61" t="s">
        <v>13</v>
      </c>
      <c r="C1780" s="46" t="s">
        <v>14</v>
      </c>
      <c r="D1780" s="62">
        <v>13030</v>
      </c>
      <c r="E1780" s="46" t="s">
        <v>11600</v>
      </c>
      <c r="F1780" s="63">
        <v>40544</v>
      </c>
      <c r="G1780" s="63">
        <v>42825</v>
      </c>
      <c r="H1780" s="56" t="s">
        <v>3587</v>
      </c>
      <c r="I1780" s="64">
        <v>212776.85</v>
      </c>
      <c r="J1780" s="64">
        <v>212776.85</v>
      </c>
      <c r="K1780" s="65" t="s">
        <v>5815</v>
      </c>
      <c r="L1780" s="6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row>
    <row r="1781" spans="1:60" ht="63.75" x14ac:dyDescent="0.25">
      <c r="A1781" s="46" t="s">
        <v>11601</v>
      </c>
      <c r="B1781" s="61" t="s">
        <v>13</v>
      </c>
      <c r="C1781" s="46" t="s">
        <v>14</v>
      </c>
      <c r="D1781" s="62">
        <v>13031</v>
      </c>
      <c r="E1781" s="46" t="s">
        <v>11602</v>
      </c>
      <c r="F1781" s="63">
        <v>40544</v>
      </c>
      <c r="G1781" s="63">
        <v>42825</v>
      </c>
      <c r="H1781" s="56" t="s">
        <v>3587</v>
      </c>
      <c r="I1781" s="64">
        <v>159929.25</v>
      </c>
      <c r="J1781" s="64">
        <v>159929.25</v>
      </c>
      <c r="K1781" s="65" t="s">
        <v>5815</v>
      </c>
      <c r="L1781" s="6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row>
    <row r="1782" spans="1:60" ht="63.75" x14ac:dyDescent="0.25">
      <c r="A1782" s="46" t="s">
        <v>6170</v>
      </c>
      <c r="B1782" s="46" t="s">
        <v>13</v>
      </c>
      <c r="C1782" s="46" t="s">
        <v>14</v>
      </c>
      <c r="D1782" s="47">
        <v>3489</v>
      </c>
      <c r="E1782" s="50" t="s">
        <v>6171</v>
      </c>
      <c r="F1782" s="48">
        <v>39083</v>
      </c>
      <c r="G1782" s="48">
        <v>42369</v>
      </c>
      <c r="H1782" s="46" t="s">
        <v>2637</v>
      </c>
      <c r="I1782" s="45">
        <v>2006284.17</v>
      </c>
      <c r="J1782" s="45">
        <v>2006284.17</v>
      </c>
      <c r="K1782" s="49" t="s">
        <v>5815</v>
      </c>
      <c r="L1782" s="45"/>
      <c r="M1782" s="3"/>
    </row>
    <row r="1783" spans="1:60" ht="51" x14ac:dyDescent="0.25">
      <c r="A1783" s="46" t="s">
        <v>6172</v>
      </c>
      <c r="B1783" s="46" t="s">
        <v>13</v>
      </c>
      <c r="C1783" s="46" t="s">
        <v>14</v>
      </c>
      <c r="D1783" s="47">
        <v>4209</v>
      </c>
      <c r="E1783" s="50" t="s">
        <v>6173</v>
      </c>
      <c r="F1783" s="48">
        <v>39083</v>
      </c>
      <c r="G1783" s="48">
        <v>42369</v>
      </c>
      <c r="H1783" s="46" t="s">
        <v>2637</v>
      </c>
      <c r="I1783" s="45">
        <v>287644.53999999998</v>
      </c>
      <c r="J1783" s="45">
        <v>287644.53999999998</v>
      </c>
      <c r="K1783" s="49" t="s">
        <v>5815</v>
      </c>
      <c r="L1783" s="45"/>
      <c r="M1783" s="3"/>
    </row>
    <row r="1784" spans="1:60" ht="38.25" x14ac:dyDescent="0.25">
      <c r="A1784" s="46" t="s">
        <v>6174</v>
      </c>
      <c r="B1784" s="46" t="s">
        <v>13</v>
      </c>
      <c r="C1784" s="46" t="s">
        <v>14</v>
      </c>
      <c r="D1784" s="47">
        <v>10165</v>
      </c>
      <c r="E1784" s="46" t="s">
        <v>6175</v>
      </c>
      <c r="F1784" s="48">
        <v>40969</v>
      </c>
      <c r="G1784" s="48">
        <v>43100</v>
      </c>
      <c r="H1784" s="46" t="s">
        <v>6176</v>
      </c>
      <c r="I1784" s="79">
        <v>2328543.4300000002</v>
      </c>
      <c r="J1784" s="79">
        <v>2975682.71</v>
      </c>
      <c r="K1784" s="49" t="s">
        <v>5815</v>
      </c>
      <c r="L1784" s="46"/>
      <c r="M1784" s="3"/>
    </row>
    <row r="1785" spans="1:60" ht="25.5" x14ac:dyDescent="0.25">
      <c r="A1785" s="46" t="s">
        <v>6180</v>
      </c>
      <c r="B1785" s="46" t="s">
        <v>13</v>
      </c>
      <c r="C1785" s="46" t="s">
        <v>14</v>
      </c>
      <c r="D1785" s="47">
        <v>3893</v>
      </c>
      <c r="E1785" s="46" t="s">
        <v>6181</v>
      </c>
      <c r="F1785" s="48">
        <v>39961</v>
      </c>
      <c r="G1785" s="48">
        <v>40158</v>
      </c>
      <c r="H1785" s="46" t="s">
        <v>16</v>
      </c>
      <c r="I1785" s="45">
        <v>5660</v>
      </c>
      <c r="J1785" s="45">
        <v>1698</v>
      </c>
      <c r="K1785" s="49" t="s">
        <v>6182</v>
      </c>
      <c r="L1785" s="45"/>
      <c r="M1785" s="3"/>
    </row>
    <row r="1786" spans="1:60" x14ac:dyDescent="0.25">
      <c r="A1786" s="46" t="s">
        <v>6183</v>
      </c>
      <c r="B1786" s="46" t="s">
        <v>13</v>
      </c>
      <c r="C1786" s="46" t="s">
        <v>14</v>
      </c>
      <c r="D1786" s="47">
        <v>3983</v>
      </c>
      <c r="E1786" s="46" t="s">
        <v>6184</v>
      </c>
      <c r="F1786" s="48">
        <v>40003</v>
      </c>
      <c r="G1786" s="48">
        <v>40162</v>
      </c>
      <c r="H1786" s="46" t="s">
        <v>16</v>
      </c>
      <c r="I1786" s="45">
        <v>4160</v>
      </c>
      <c r="J1786" s="45">
        <v>1012.8</v>
      </c>
      <c r="K1786" s="49" t="s">
        <v>6182</v>
      </c>
      <c r="L1786" s="45"/>
      <c r="M1786" s="3"/>
    </row>
    <row r="1787" spans="1:60" ht="25.5" x14ac:dyDescent="0.25">
      <c r="A1787" s="46" t="s">
        <v>6185</v>
      </c>
      <c r="B1787" s="46" t="s">
        <v>13</v>
      </c>
      <c r="C1787" s="46" t="s">
        <v>14</v>
      </c>
      <c r="D1787" s="47">
        <v>3984</v>
      </c>
      <c r="E1787" s="46" t="s">
        <v>6186</v>
      </c>
      <c r="F1787" s="48">
        <v>39671</v>
      </c>
      <c r="G1787" s="48">
        <v>39805</v>
      </c>
      <c r="H1787" s="46" t="s">
        <v>16</v>
      </c>
      <c r="I1787" s="45">
        <v>21520</v>
      </c>
      <c r="J1787" s="45">
        <v>4467.4799999999996</v>
      </c>
      <c r="K1787" s="49" t="s">
        <v>6182</v>
      </c>
      <c r="L1787" s="45"/>
      <c r="M1787" s="3"/>
    </row>
    <row r="1788" spans="1:60" x14ac:dyDescent="0.25">
      <c r="A1788" s="46" t="s">
        <v>6187</v>
      </c>
      <c r="B1788" s="46" t="s">
        <v>13</v>
      </c>
      <c r="C1788" s="46" t="s">
        <v>14</v>
      </c>
      <c r="D1788" s="47">
        <v>3986</v>
      </c>
      <c r="E1788" s="46" t="s">
        <v>6188</v>
      </c>
      <c r="F1788" s="48">
        <v>39568</v>
      </c>
      <c r="G1788" s="48">
        <v>39871</v>
      </c>
      <c r="H1788" s="46" t="s">
        <v>16</v>
      </c>
      <c r="I1788" s="45">
        <v>7151</v>
      </c>
      <c r="J1788" s="45">
        <v>1890</v>
      </c>
      <c r="K1788" s="49" t="s">
        <v>6182</v>
      </c>
      <c r="L1788" s="45"/>
      <c r="M1788" s="3"/>
    </row>
    <row r="1789" spans="1:60" ht="25.5" x14ac:dyDescent="0.25">
      <c r="A1789" s="46" t="s">
        <v>6189</v>
      </c>
      <c r="B1789" s="46" t="s">
        <v>13</v>
      </c>
      <c r="C1789" s="46" t="s">
        <v>14</v>
      </c>
      <c r="D1789" s="47">
        <v>3987</v>
      </c>
      <c r="E1789" s="46" t="s">
        <v>6190</v>
      </c>
      <c r="F1789" s="48">
        <v>39415</v>
      </c>
      <c r="G1789" s="48">
        <v>39660</v>
      </c>
      <c r="H1789" s="46" t="s">
        <v>16</v>
      </c>
      <c r="I1789" s="45">
        <v>49368</v>
      </c>
      <c r="J1789" s="45">
        <v>12000</v>
      </c>
      <c r="K1789" s="49" t="s">
        <v>6182</v>
      </c>
      <c r="L1789" s="45"/>
      <c r="M1789" s="3"/>
    </row>
    <row r="1790" spans="1:60" x14ac:dyDescent="0.25">
      <c r="A1790" s="46" t="s">
        <v>6191</v>
      </c>
      <c r="B1790" s="46" t="s">
        <v>13</v>
      </c>
      <c r="C1790" s="46" t="s">
        <v>14</v>
      </c>
      <c r="D1790" s="47">
        <v>3988</v>
      </c>
      <c r="E1790" s="46" t="s">
        <v>6192</v>
      </c>
      <c r="F1790" s="48">
        <v>39455</v>
      </c>
      <c r="G1790" s="48">
        <v>39538</v>
      </c>
      <c r="H1790" s="46" t="s">
        <v>16</v>
      </c>
      <c r="I1790" s="45">
        <v>32685</v>
      </c>
      <c r="J1790" s="45">
        <v>9805</v>
      </c>
      <c r="K1790" s="49" t="s">
        <v>6182</v>
      </c>
      <c r="L1790" s="45"/>
      <c r="M1790" s="3"/>
    </row>
    <row r="1791" spans="1:60" ht="38.25" x14ac:dyDescent="0.25">
      <c r="A1791" s="46" t="s">
        <v>6193</v>
      </c>
      <c r="B1791" s="46" t="s">
        <v>13</v>
      </c>
      <c r="C1791" s="46" t="s">
        <v>14</v>
      </c>
      <c r="D1791" s="47">
        <v>3998</v>
      </c>
      <c r="E1791" s="46" t="s">
        <v>6194</v>
      </c>
      <c r="F1791" s="48">
        <v>39352</v>
      </c>
      <c r="G1791" s="48">
        <v>39538</v>
      </c>
      <c r="H1791" s="46" t="s">
        <v>16</v>
      </c>
      <c r="I1791" s="45">
        <v>75000</v>
      </c>
      <c r="J1791" s="45">
        <v>17190.82</v>
      </c>
      <c r="K1791" s="49" t="s">
        <v>6182</v>
      </c>
      <c r="L1791" s="45"/>
      <c r="M1791" s="3"/>
    </row>
    <row r="1792" spans="1:60" ht="51" x14ac:dyDescent="0.25">
      <c r="A1792" s="46" t="s">
        <v>6195</v>
      </c>
      <c r="B1792" s="46" t="s">
        <v>13</v>
      </c>
      <c r="C1792" s="46" t="s">
        <v>14</v>
      </c>
      <c r="D1792" s="47">
        <v>3999</v>
      </c>
      <c r="E1792" s="50" t="s">
        <v>6196</v>
      </c>
      <c r="F1792" s="48">
        <v>39694</v>
      </c>
      <c r="G1792" s="48">
        <v>39752</v>
      </c>
      <c r="H1792" s="46" t="s">
        <v>16</v>
      </c>
      <c r="I1792" s="45">
        <v>12632</v>
      </c>
      <c r="J1792" s="45">
        <v>3790</v>
      </c>
      <c r="K1792" s="49" t="s">
        <v>6182</v>
      </c>
      <c r="L1792" s="45"/>
      <c r="M1792" s="3"/>
    </row>
    <row r="1793" spans="1:60" ht="25.5" x14ac:dyDescent="0.25">
      <c r="A1793" s="46" t="s">
        <v>6197</v>
      </c>
      <c r="B1793" s="46" t="s">
        <v>13</v>
      </c>
      <c r="C1793" s="46" t="s">
        <v>14</v>
      </c>
      <c r="D1793" s="47">
        <v>4000</v>
      </c>
      <c r="E1793" s="46" t="s">
        <v>6198</v>
      </c>
      <c r="F1793" s="48">
        <v>39972</v>
      </c>
      <c r="G1793" s="48">
        <v>40309</v>
      </c>
      <c r="H1793" s="46" t="s">
        <v>16</v>
      </c>
      <c r="I1793" s="45">
        <v>9124.35</v>
      </c>
      <c r="J1793" s="45">
        <v>2737.31</v>
      </c>
      <c r="K1793" s="49" t="s">
        <v>6182</v>
      </c>
      <c r="L1793" s="45"/>
      <c r="M1793" s="3"/>
    </row>
    <row r="1794" spans="1:60" ht="38.25" x14ac:dyDescent="0.25">
      <c r="A1794" s="46" t="s">
        <v>6199</v>
      </c>
      <c r="B1794" s="46" t="s">
        <v>13</v>
      </c>
      <c r="C1794" s="46" t="s">
        <v>14</v>
      </c>
      <c r="D1794" s="47">
        <v>4002</v>
      </c>
      <c r="E1794" s="46" t="s">
        <v>6200</v>
      </c>
      <c r="F1794" s="48">
        <v>39562</v>
      </c>
      <c r="G1794" s="48">
        <v>39871</v>
      </c>
      <c r="H1794" s="46" t="s">
        <v>16</v>
      </c>
      <c r="I1794" s="45">
        <v>17200</v>
      </c>
      <c r="J1794" s="45">
        <v>5160</v>
      </c>
      <c r="K1794" s="49" t="s">
        <v>6182</v>
      </c>
      <c r="L1794" s="45"/>
      <c r="M1794" s="3"/>
    </row>
    <row r="1795" spans="1:60" x14ac:dyDescent="0.25">
      <c r="A1795" s="46" t="s">
        <v>6201</v>
      </c>
      <c r="B1795" s="46" t="s">
        <v>13</v>
      </c>
      <c r="C1795" s="46" t="s">
        <v>14</v>
      </c>
      <c r="D1795" s="47">
        <v>4003</v>
      </c>
      <c r="E1795" s="46" t="s">
        <v>6202</v>
      </c>
      <c r="F1795" s="48">
        <v>39206</v>
      </c>
      <c r="G1795" s="48">
        <v>39752</v>
      </c>
      <c r="H1795" s="46" t="s">
        <v>16</v>
      </c>
      <c r="I1795" s="45">
        <v>12500</v>
      </c>
      <c r="J1795" s="45">
        <v>1800</v>
      </c>
      <c r="K1795" s="49" t="s">
        <v>6182</v>
      </c>
      <c r="L1795" s="45"/>
      <c r="M1795" s="3"/>
    </row>
    <row r="1796" spans="1:60" ht="38.25" x14ac:dyDescent="0.25">
      <c r="A1796" s="46" t="s">
        <v>6203</v>
      </c>
      <c r="B1796" s="46" t="s">
        <v>13</v>
      </c>
      <c r="C1796" s="46" t="s">
        <v>14</v>
      </c>
      <c r="D1796" s="47">
        <v>4117</v>
      </c>
      <c r="E1796" s="50" t="s">
        <v>6204</v>
      </c>
      <c r="F1796" s="48">
        <v>39173</v>
      </c>
      <c r="G1796" s="48">
        <v>39293</v>
      </c>
      <c r="H1796" s="46" t="s">
        <v>16</v>
      </c>
      <c r="I1796" s="45">
        <v>305000</v>
      </c>
      <c r="J1796" s="45">
        <v>91500</v>
      </c>
      <c r="K1796" s="49" t="s">
        <v>6182</v>
      </c>
      <c r="L1796" s="45"/>
      <c r="M1796" s="3"/>
    </row>
    <row r="1797" spans="1:60" ht="25.5" x14ac:dyDescent="0.25">
      <c r="A1797" s="46" t="s">
        <v>6205</v>
      </c>
      <c r="B1797" s="46" t="s">
        <v>13</v>
      </c>
      <c r="C1797" s="46" t="s">
        <v>14</v>
      </c>
      <c r="D1797" s="47">
        <v>4119</v>
      </c>
      <c r="E1797" s="46" t="s">
        <v>6206</v>
      </c>
      <c r="F1797" s="48">
        <v>39661</v>
      </c>
      <c r="G1797" s="48">
        <v>39903</v>
      </c>
      <c r="H1797" s="46" t="s">
        <v>16</v>
      </c>
      <c r="I1797" s="45">
        <v>178676.4</v>
      </c>
      <c r="J1797" s="45">
        <v>30756.38</v>
      </c>
      <c r="K1797" s="49" t="s">
        <v>6182</v>
      </c>
      <c r="L1797" s="45"/>
      <c r="M1797" s="3"/>
    </row>
    <row r="1798" spans="1:60" x14ac:dyDescent="0.25">
      <c r="A1798" s="46" t="s">
        <v>6207</v>
      </c>
      <c r="B1798" s="46" t="s">
        <v>13</v>
      </c>
      <c r="C1798" s="46" t="s">
        <v>14</v>
      </c>
      <c r="D1798" s="47">
        <v>10003</v>
      </c>
      <c r="E1798" s="46" t="s">
        <v>6208</v>
      </c>
      <c r="F1798" s="48">
        <v>40262</v>
      </c>
      <c r="G1798" s="48">
        <v>40508</v>
      </c>
      <c r="H1798" s="46" t="s">
        <v>16</v>
      </c>
      <c r="I1798" s="45">
        <v>12879.43</v>
      </c>
      <c r="J1798" s="45">
        <v>3840</v>
      </c>
      <c r="K1798" s="49" t="s">
        <v>6182</v>
      </c>
      <c r="L1798" s="45"/>
      <c r="M1798" s="3"/>
    </row>
    <row r="1799" spans="1:60" x14ac:dyDescent="0.25">
      <c r="A1799" s="46" t="s">
        <v>6209</v>
      </c>
      <c r="B1799" s="46" t="s">
        <v>13</v>
      </c>
      <c r="C1799" s="46" t="s">
        <v>14</v>
      </c>
      <c r="D1799" s="47">
        <v>10063</v>
      </c>
      <c r="E1799" s="46" t="s">
        <v>6210</v>
      </c>
      <c r="F1799" s="48">
        <v>40448</v>
      </c>
      <c r="G1799" s="48">
        <v>40626</v>
      </c>
      <c r="H1799" s="46" t="s">
        <v>16</v>
      </c>
      <c r="I1799" s="45">
        <v>17538.82</v>
      </c>
      <c r="J1799" s="45">
        <v>4969.8</v>
      </c>
      <c r="K1799" s="49" t="s">
        <v>6182</v>
      </c>
      <c r="L1799" s="45"/>
      <c r="M1799" s="3"/>
    </row>
    <row r="1800" spans="1:60" x14ac:dyDescent="0.25">
      <c r="A1800" s="46" t="s">
        <v>6211</v>
      </c>
      <c r="B1800" s="46" t="s">
        <v>13</v>
      </c>
      <c r="C1800" s="46" t="s">
        <v>14</v>
      </c>
      <c r="D1800" s="47">
        <v>10135</v>
      </c>
      <c r="E1800" s="46" t="s">
        <v>6212</v>
      </c>
      <c r="F1800" s="48">
        <v>40473</v>
      </c>
      <c r="G1800" s="48">
        <v>40533</v>
      </c>
      <c r="H1800" s="46" t="s">
        <v>16</v>
      </c>
      <c r="I1800" s="45">
        <v>85070</v>
      </c>
      <c r="J1800" s="45">
        <v>20160</v>
      </c>
      <c r="K1800" s="49" t="s">
        <v>6182</v>
      </c>
      <c r="L1800" s="45"/>
      <c r="M1800" s="3"/>
    </row>
    <row r="1801" spans="1:60" s="21" customFormat="1" x14ac:dyDescent="0.25">
      <c r="A1801" s="46" t="s">
        <v>6213</v>
      </c>
      <c r="B1801" s="46" t="s">
        <v>13</v>
      </c>
      <c r="C1801" s="46" t="s">
        <v>14</v>
      </c>
      <c r="D1801" s="47">
        <v>10170</v>
      </c>
      <c r="E1801" s="46" t="s">
        <v>6214</v>
      </c>
      <c r="F1801" s="48">
        <v>40346</v>
      </c>
      <c r="G1801" s="48">
        <v>40522</v>
      </c>
      <c r="H1801" s="46" t="s">
        <v>16</v>
      </c>
      <c r="I1801" s="45">
        <v>438850</v>
      </c>
      <c r="J1801" s="45">
        <v>105324</v>
      </c>
      <c r="K1801" s="49" t="s">
        <v>6182</v>
      </c>
      <c r="L1801" s="45"/>
      <c r="M1801" s="3"/>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row>
    <row r="1802" spans="1:60" s="21" customFormat="1" ht="25.5" x14ac:dyDescent="0.25">
      <c r="A1802" s="46" t="s">
        <v>6215</v>
      </c>
      <c r="B1802" s="46" t="s">
        <v>13</v>
      </c>
      <c r="C1802" s="46" t="s">
        <v>14</v>
      </c>
      <c r="D1802" s="47">
        <v>9461</v>
      </c>
      <c r="E1802" s="46" t="s">
        <v>6216</v>
      </c>
      <c r="F1802" s="48">
        <v>39378</v>
      </c>
      <c r="G1802" s="48">
        <v>39430</v>
      </c>
      <c r="H1802" s="46" t="s">
        <v>389</v>
      </c>
      <c r="I1802" s="45">
        <v>141560</v>
      </c>
      <c r="J1802" s="45">
        <v>56624</v>
      </c>
      <c r="K1802" s="49" t="s">
        <v>6182</v>
      </c>
      <c r="L1802" s="45"/>
      <c r="M1802" s="3"/>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row>
    <row r="1803" spans="1:60" s="21" customFormat="1" ht="51" x14ac:dyDescent="0.25">
      <c r="A1803" s="46" t="s">
        <v>6217</v>
      </c>
      <c r="B1803" s="46" t="s">
        <v>13</v>
      </c>
      <c r="C1803" s="46" t="s">
        <v>14</v>
      </c>
      <c r="D1803" s="47">
        <v>10006</v>
      </c>
      <c r="E1803" s="50" t="s">
        <v>6218</v>
      </c>
      <c r="F1803" s="48">
        <v>41116</v>
      </c>
      <c r="G1803" s="48">
        <v>41254</v>
      </c>
      <c r="H1803" s="46" t="s">
        <v>389</v>
      </c>
      <c r="I1803" s="45">
        <v>411241.96</v>
      </c>
      <c r="J1803" s="45">
        <v>95956.46</v>
      </c>
      <c r="K1803" s="49" t="s">
        <v>6182</v>
      </c>
      <c r="L1803" s="45"/>
      <c r="M1803" s="3"/>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row>
    <row r="1804" spans="1:60" s="21" customFormat="1" x14ac:dyDescent="0.25">
      <c r="A1804" s="46" t="s">
        <v>10889</v>
      </c>
      <c r="B1804" s="46" t="s">
        <v>13</v>
      </c>
      <c r="C1804" s="46" t="s">
        <v>14</v>
      </c>
      <c r="D1804" s="47">
        <v>12634</v>
      </c>
      <c r="E1804" s="46" t="s">
        <v>10890</v>
      </c>
      <c r="F1804" s="48">
        <v>41572</v>
      </c>
      <c r="G1804" s="48">
        <v>41624</v>
      </c>
      <c r="H1804" s="46" t="s">
        <v>651</v>
      </c>
      <c r="I1804" s="45">
        <v>40000</v>
      </c>
      <c r="J1804" s="45">
        <v>20000</v>
      </c>
      <c r="K1804" s="49" t="s">
        <v>6182</v>
      </c>
      <c r="L1804" s="46"/>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row>
    <row r="1805" spans="1:60" s="21" customFormat="1" x14ac:dyDescent="0.25">
      <c r="A1805" s="46" t="s">
        <v>10952</v>
      </c>
      <c r="B1805" s="46" t="s">
        <v>13</v>
      </c>
      <c r="C1805" s="46" t="s">
        <v>14</v>
      </c>
      <c r="D1805" s="47">
        <v>12635</v>
      </c>
      <c r="E1805" s="46" t="s">
        <v>10953</v>
      </c>
      <c r="F1805" s="48">
        <v>41569</v>
      </c>
      <c r="G1805" s="46"/>
      <c r="H1805" s="46" t="s">
        <v>651</v>
      </c>
      <c r="I1805" s="45">
        <v>10208</v>
      </c>
      <c r="J1805" s="45">
        <v>5104</v>
      </c>
      <c r="K1805" s="49" t="s">
        <v>6182</v>
      </c>
      <c r="L1805" s="46"/>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row>
    <row r="1806" spans="1:60" s="21" customFormat="1" ht="25.5" x14ac:dyDescent="0.25">
      <c r="A1806" s="46" t="s">
        <v>10954</v>
      </c>
      <c r="B1806" s="46" t="s">
        <v>13</v>
      </c>
      <c r="C1806" s="46" t="s">
        <v>14</v>
      </c>
      <c r="D1806" s="47">
        <v>12636</v>
      </c>
      <c r="E1806" s="46" t="s">
        <v>10955</v>
      </c>
      <c r="F1806" s="48">
        <v>41533</v>
      </c>
      <c r="G1806" s="46"/>
      <c r="H1806" s="46" t="s">
        <v>651</v>
      </c>
      <c r="I1806" s="45">
        <v>3750</v>
      </c>
      <c r="J1806" s="45">
        <v>3750</v>
      </c>
      <c r="K1806" s="49" t="s">
        <v>6182</v>
      </c>
      <c r="L1806" s="46"/>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row>
    <row r="1807" spans="1:60" x14ac:dyDescent="0.25">
      <c r="A1807" s="46" t="s">
        <v>10964</v>
      </c>
      <c r="B1807" s="46" t="s">
        <v>13</v>
      </c>
      <c r="C1807" s="46" t="s">
        <v>14</v>
      </c>
      <c r="D1807" s="47">
        <v>12641</v>
      </c>
      <c r="E1807" s="46" t="s">
        <v>10965</v>
      </c>
      <c r="F1807" s="48">
        <v>41533</v>
      </c>
      <c r="G1807" s="46"/>
      <c r="H1807" s="46" t="s">
        <v>651</v>
      </c>
      <c r="I1807" s="45">
        <v>109298.72</v>
      </c>
      <c r="J1807" s="45">
        <v>54649.36</v>
      </c>
      <c r="K1807" s="49" t="s">
        <v>6182</v>
      </c>
      <c r="L1807" s="46"/>
    </row>
    <row r="1808" spans="1:60" x14ac:dyDescent="0.25">
      <c r="A1808" s="46" t="s">
        <v>6718</v>
      </c>
      <c r="B1808" s="46" t="s">
        <v>13</v>
      </c>
      <c r="C1808" s="46" t="s">
        <v>14</v>
      </c>
      <c r="D1808" s="47">
        <v>3935</v>
      </c>
      <c r="E1808" s="46" t="s">
        <v>6719</v>
      </c>
      <c r="F1808" s="48">
        <v>39616</v>
      </c>
      <c r="G1808" s="48">
        <v>39903</v>
      </c>
      <c r="H1808" s="46" t="s">
        <v>16</v>
      </c>
      <c r="I1808" s="45">
        <v>75000</v>
      </c>
      <c r="J1808" s="45">
        <v>22500</v>
      </c>
      <c r="K1808" s="49" t="s">
        <v>6720</v>
      </c>
      <c r="L1808" s="45"/>
      <c r="M1808" s="3"/>
    </row>
    <row r="1809" spans="1:60" ht="25.5" x14ac:dyDescent="0.25">
      <c r="A1809" s="46" t="s">
        <v>6721</v>
      </c>
      <c r="B1809" s="46" t="s">
        <v>13</v>
      </c>
      <c r="C1809" s="46" t="s">
        <v>14</v>
      </c>
      <c r="D1809" s="47">
        <v>3939</v>
      </c>
      <c r="E1809" s="46" t="s">
        <v>6722</v>
      </c>
      <c r="F1809" s="48">
        <v>39821</v>
      </c>
      <c r="G1809" s="48">
        <v>39994</v>
      </c>
      <c r="H1809" s="46" t="s">
        <v>16</v>
      </c>
      <c r="I1809" s="45">
        <v>5198</v>
      </c>
      <c r="J1809" s="45">
        <v>846</v>
      </c>
      <c r="K1809" s="49" t="s">
        <v>6720</v>
      </c>
      <c r="L1809" s="45"/>
      <c r="M1809" s="3"/>
    </row>
    <row r="1810" spans="1:60" x14ac:dyDescent="0.25">
      <c r="A1810" s="46" t="s">
        <v>6723</v>
      </c>
      <c r="B1810" s="46" t="s">
        <v>13</v>
      </c>
      <c r="C1810" s="46" t="s">
        <v>14</v>
      </c>
      <c r="D1810" s="47">
        <v>3940</v>
      </c>
      <c r="E1810" s="46" t="s">
        <v>6724</v>
      </c>
      <c r="F1810" s="48">
        <v>39415</v>
      </c>
      <c r="G1810" s="48">
        <v>39752</v>
      </c>
      <c r="H1810" s="46" t="s">
        <v>16</v>
      </c>
      <c r="I1810" s="45">
        <v>10750</v>
      </c>
      <c r="J1810" s="45">
        <v>4300</v>
      </c>
      <c r="K1810" s="49" t="s">
        <v>6720</v>
      </c>
      <c r="L1810" s="45"/>
      <c r="M1810" s="3"/>
    </row>
    <row r="1811" spans="1:60" ht="25.5" x14ac:dyDescent="0.25">
      <c r="A1811" s="46" t="s">
        <v>6725</v>
      </c>
      <c r="B1811" s="46" t="s">
        <v>13</v>
      </c>
      <c r="C1811" s="46" t="s">
        <v>14</v>
      </c>
      <c r="D1811" s="47">
        <v>3942</v>
      </c>
      <c r="E1811" s="46" t="s">
        <v>6726</v>
      </c>
      <c r="F1811" s="48">
        <v>39156</v>
      </c>
      <c r="G1811" s="48">
        <v>39187</v>
      </c>
      <c r="H1811" s="46" t="s">
        <v>16</v>
      </c>
      <c r="I1811" s="45">
        <v>27685</v>
      </c>
      <c r="J1811" s="45">
        <v>6980.68</v>
      </c>
      <c r="K1811" s="49" t="s">
        <v>6720</v>
      </c>
      <c r="L1811" s="45"/>
      <c r="M1811" s="3"/>
    </row>
    <row r="1812" spans="1:60" ht="25.5" x14ac:dyDescent="0.25">
      <c r="A1812" s="46" t="s">
        <v>6727</v>
      </c>
      <c r="B1812" s="46" t="s">
        <v>13</v>
      </c>
      <c r="C1812" s="46" t="s">
        <v>14</v>
      </c>
      <c r="D1812" s="47">
        <v>3978</v>
      </c>
      <c r="E1812" s="46" t="s">
        <v>6728</v>
      </c>
      <c r="F1812" s="48">
        <v>39792</v>
      </c>
      <c r="G1812" s="48">
        <v>39990</v>
      </c>
      <c r="H1812" s="46" t="s">
        <v>16</v>
      </c>
      <c r="I1812" s="45">
        <v>9800</v>
      </c>
      <c r="J1812" s="45">
        <v>2590.2800000000002</v>
      </c>
      <c r="K1812" s="49" t="s">
        <v>6720</v>
      </c>
      <c r="L1812" s="45"/>
      <c r="M1812" s="3"/>
    </row>
    <row r="1813" spans="1:60" ht="25.5" x14ac:dyDescent="0.25">
      <c r="A1813" s="46" t="s">
        <v>6729</v>
      </c>
      <c r="B1813" s="46" t="s">
        <v>13</v>
      </c>
      <c r="C1813" s="46" t="s">
        <v>14</v>
      </c>
      <c r="D1813" s="47">
        <v>3979</v>
      </c>
      <c r="E1813" s="46" t="s">
        <v>6730</v>
      </c>
      <c r="F1813" s="48">
        <v>39596</v>
      </c>
      <c r="G1813" s="48">
        <v>39660</v>
      </c>
      <c r="H1813" s="46" t="s">
        <v>16</v>
      </c>
      <c r="I1813" s="45">
        <v>6644</v>
      </c>
      <c r="J1813" s="45">
        <v>1693.17</v>
      </c>
      <c r="K1813" s="49" t="s">
        <v>6720</v>
      </c>
      <c r="L1813" s="45"/>
      <c r="M1813" s="3"/>
    </row>
    <row r="1814" spans="1:60" ht="38.25" x14ac:dyDescent="0.25">
      <c r="A1814" s="46" t="s">
        <v>6731</v>
      </c>
      <c r="B1814" s="46" t="s">
        <v>13</v>
      </c>
      <c r="C1814" s="46" t="s">
        <v>14</v>
      </c>
      <c r="D1814" s="47">
        <v>3981</v>
      </c>
      <c r="E1814" s="46" t="s">
        <v>6732</v>
      </c>
      <c r="F1814" s="48">
        <v>39128</v>
      </c>
      <c r="G1814" s="48">
        <v>39476</v>
      </c>
      <c r="H1814" s="46" t="s">
        <v>16</v>
      </c>
      <c r="I1814" s="45">
        <v>53537</v>
      </c>
      <c r="J1814" s="45">
        <v>13855.18</v>
      </c>
      <c r="K1814" s="49" t="s">
        <v>6720</v>
      </c>
      <c r="L1814" s="45"/>
      <c r="M1814" s="3"/>
    </row>
    <row r="1815" spans="1:60" ht="25.5" x14ac:dyDescent="0.25">
      <c r="A1815" s="46" t="s">
        <v>6733</v>
      </c>
      <c r="B1815" s="46" t="s">
        <v>13</v>
      </c>
      <c r="C1815" s="46" t="s">
        <v>14</v>
      </c>
      <c r="D1815" s="47">
        <v>4225</v>
      </c>
      <c r="E1815" s="46" t="s">
        <v>6734</v>
      </c>
      <c r="F1815" s="48">
        <v>39370</v>
      </c>
      <c r="G1815" s="48">
        <v>40330</v>
      </c>
      <c r="H1815" s="46" t="s">
        <v>16</v>
      </c>
      <c r="I1815" s="45">
        <v>150305</v>
      </c>
      <c r="J1815" s="45">
        <v>20744.099999999999</v>
      </c>
      <c r="K1815" s="49" t="s">
        <v>6720</v>
      </c>
      <c r="L1815" s="45"/>
      <c r="M1815" s="3"/>
    </row>
    <row r="1816" spans="1:60" x14ac:dyDescent="0.25">
      <c r="A1816" s="46" t="s">
        <v>6735</v>
      </c>
      <c r="B1816" s="46" t="s">
        <v>13</v>
      </c>
      <c r="C1816" s="46" t="s">
        <v>14</v>
      </c>
      <c r="D1816" s="47">
        <v>9876</v>
      </c>
      <c r="E1816" s="46" t="s">
        <v>6736</v>
      </c>
      <c r="F1816" s="48">
        <v>40289</v>
      </c>
      <c r="G1816" s="48">
        <v>40533</v>
      </c>
      <c r="H1816" s="46" t="s">
        <v>16</v>
      </c>
      <c r="I1816" s="45">
        <v>21080.04</v>
      </c>
      <c r="J1816" s="45">
        <v>5611</v>
      </c>
      <c r="K1816" s="49" t="s">
        <v>6720</v>
      </c>
      <c r="L1816" s="45"/>
      <c r="M1816" s="3"/>
    </row>
    <row r="1817" spans="1:60" x14ac:dyDescent="0.25">
      <c r="A1817" s="46" t="s">
        <v>6737</v>
      </c>
      <c r="B1817" s="46" t="s">
        <v>13</v>
      </c>
      <c r="C1817" s="46" t="s">
        <v>14</v>
      </c>
      <c r="D1817" s="47">
        <v>9941</v>
      </c>
      <c r="E1817" s="46" t="s">
        <v>6738</v>
      </c>
      <c r="F1817" s="48">
        <v>40197</v>
      </c>
      <c r="G1817" s="48">
        <v>40332</v>
      </c>
      <c r="H1817" s="46" t="s">
        <v>16</v>
      </c>
      <c r="I1817" s="45">
        <v>25250</v>
      </c>
      <c r="J1817" s="45">
        <v>7346</v>
      </c>
      <c r="K1817" s="49" t="s">
        <v>6720</v>
      </c>
      <c r="L1817" s="45"/>
      <c r="M1817" s="3"/>
    </row>
    <row r="1818" spans="1:60" ht="25.5" x14ac:dyDescent="0.25">
      <c r="A1818" s="46" t="s">
        <v>6739</v>
      </c>
      <c r="B1818" s="46" t="s">
        <v>13</v>
      </c>
      <c r="C1818" s="46" t="s">
        <v>14</v>
      </c>
      <c r="D1818" s="47">
        <v>10041</v>
      </c>
      <c r="E1818" s="46" t="s">
        <v>6740</v>
      </c>
      <c r="F1818" s="48">
        <v>40017</v>
      </c>
      <c r="G1818" s="48">
        <v>40253</v>
      </c>
      <c r="H1818" s="46" t="s">
        <v>16</v>
      </c>
      <c r="I1818" s="45">
        <v>9800</v>
      </c>
      <c r="J1818" s="45">
        <v>3920</v>
      </c>
      <c r="K1818" s="49" t="s">
        <v>6720</v>
      </c>
      <c r="L1818" s="45"/>
      <c r="M1818" s="3"/>
    </row>
    <row r="1819" spans="1:60" ht="25.5" x14ac:dyDescent="0.25">
      <c r="A1819" s="46" t="s">
        <v>6741</v>
      </c>
      <c r="B1819" s="46" t="s">
        <v>13</v>
      </c>
      <c r="C1819" s="46" t="s">
        <v>14</v>
      </c>
      <c r="D1819" s="47">
        <v>9866</v>
      </c>
      <c r="E1819" s="46" t="s">
        <v>6742</v>
      </c>
      <c r="F1819" s="48">
        <v>41103</v>
      </c>
      <c r="G1819" s="48">
        <v>41267</v>
      </c>
      <c r="H1819" s="46" t="s">
        <v>392</v>
      </c>
      <c r="I1819" s="45">
        <v>287254.67</v>
      </c>
      <c r="J1819" s="45">
        <v>57451</v>
      </c>
      <c r="K1819" s="49" t="s">
        <v>6720</v>
      </c>
      <c r="L1819" s="45"/>
      <c r="M1819" s="3"/>
    </row>
    <row r="1820" spans="1:60" s="21" customFormat="1" ht="38.25" x14ac:dyDescent="0.25">
      <c r="A1820" s="46" t="s">
        <v>6743</v>
      </c>
      <c r="B1820" s="46" t="s">
        <v>13</v>
      </c>
      <c r="C1820" s="46" t="s">
        <v>14</v>
      </c>
      <c r="D1820" s="47">
        <v>10072</v>
      </c>
      <c r="E1820" s="46" t="s">
        <v>6744</v>
      </c>
      <c r="F1820" s="48">
        <v>41129</v>
      </c>
      <c r="G1820" s="48">
        <v>41340</v>
      </c>
      <c r="H1820" s="46" t="s">
        <v>392</v>
      </c>
      <c r="I1820" s="45">
        <v>450640</v>
      </c>
      <c r="J1820" s="45">
        <v>122351.95</v>
      </c>
      <c r="K1820" s="49" t="s">
        <v>6720</v>
      </c>
      <c r="L1820" s="45"/>
      <c r="M1820" s="3"/>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row>
    <row r="1821" spans="1:60" s="21" customFormat="1" ht="25.5" x14ac:dyDescent="0.25">
      <c r="A1821" s="46" t="s">
        <v>6745</v>
      </c>
      <c r="B1821" s="46" t="s">
        <v>13</v>
      </c>
      <c r="C1821" s="46" t="s">
        <v>14</v>
      </c>
      <c r="D1821" s="47">
        <v>10173</v>
      </c>
      <c r="E1821" s="46" t="s">
        <v>6746</v>
      </c>
      <c r="F1821" s="48">
        <v>41136</v>
      </c>
      <c r="G1821" s="48">
        <v>41254</v>
      </c>
      <c r="H1821" s="46" t="s">
        <v>392</v>
      </c>
      <c r="I1821" s="45">
        <v>59302.62</v>
      </c>
      <c r="J1821" s="45">
        <v>20755.919999999998</v>
      </c>
      <c r="K1821" s="49" t="s">
        <v>6720</v>
      </c>
      <c r="L1821" s="45"/>
      <c r="M1821" s="3"/>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row>
    <row r="1822" spans="1:60" s="21" customFormat="1" ht="25.5" x14ac:dyDescent="0.25">
      <c r="A1822" s="46" t="s">
        <v>6747</v>
      </c>
      <c r="B1822" s="46" t="s">
        <v>13</v>
      </c>
      <c r="C1822" s="46" t="s">
        <v>14</v>
      </c>
      <c r="D1822" s="47">
        <v>10189</v>
      </c>
      <c r="E1822" s="46" t="s">
        <v>6748</v>
      </c>
      <c r="F1822" s="48">
        <v>41106</v>
      </c>
      <c r="G1822" s="48">
        <v>41256</v>
      </c>
      <c r="H1822" s="46" t="s">
        <v>392</v>
      </c>
      <c r="I1822" s="45">
        <v>201505</v>
      </c>
      <c r="J1822" s="45">
        <v>70526.75</v>
      </c>
      <c r="K1822" s="49" t="s">
        <v>6720</v>
      </c>
      <c r="L1822" s="45"/>
      <c r="M1822" s="3"/>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row>
    <row r="1823" spans="1:60" s="21" customFormat="1" ht="38.25" x14ac:dyDescent="0.25">
      <c r="A1823" s="46" t="s">
        <v>6749</v>
      </c>
      <c r="B1823" s="46" t="s">
        <v>13</v>
      </c>
      <c r="C1823" s="46" t="s">
        <v>14</v>
      </c>
      <c r="D1823" s="47">
        <v>10190</v>
      </c>
      <c r="E1823" s="46" t="s">
        <v>6750</v>
      </c>
      <c r="F1823" s="48">
        <v>40785</v>
      </c>
      <c r="G1823" s="48">
        <v>40886</v>
      </c>
      <c r="H1823" s="46" t="s">
        <v>392</v>
      </c>
      <c r="I1823" s="45">
        <v>126949.54</v>
      </c>
      <c r="J1823" s="45">
        <v>44432.34</v>
      </c>
      <c r="K1823" s="49" t="s">
        <v>6720</v>
      </c>
      <c r="L1823" s="45"/>
      <c r="M1823" s="3"/>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row>
    <row r="1824" spans="1:60" s="21" customFormat="1" x14ac:dyDescent="0.25">
      <c r="A1824" s="46" t="s">
        <v>6851</v>
      </c>
      <c r="B1824" s="46" t="s">
        <v>13</v>
      </c>
      <c r="C1824" s="46" t="s">
        <v>14</v>
      </c>
      <c r="D1824" s="47">
        <v>3308</v>
      </c>
      <c r="E1824" s="46" t="s">
        <v>6852</v>
      </c>
      <c r="F1824" s="48">
        <v>39448</v>
      </c>
      <c r="G1824" s="48">
        <v>39813</v>
      </c>
      <c r="H1824" s="46" t="s">
        <v>40</v>
      </c>
      <c r="I1824" s="45">
        <v>3475.5</v>
      </c>
      <c r="J1824" s="45">
        <v>2415.5</v>
      </c>
      <c r="K1824" s="49" t="s">
        <v>6720</v>
      </c>
      <c r="L1824" s="45"/>
      <c r="M1824" s="3"/>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row>
    <row r="1825" spans="1:60" s="21" customFormat="1" ht="25.5" x14ac:dyDescent="0.25">
      <c r="A1825" s="46" t="s">
        <v>11043</v>
      </c>
      <c r="B1825" s="46" t="s">
        <v>13</v>
      </c>
      <c r="C1825" s="46" t="s">
        <v>14</v>
      </c>
      <c r="D1825" s="47">
        <v>12445</v>
      </c>
      <c r="E1825" s="46" t="s">
        <v>11044</v>
      </c>
      <c r="F1825" s="48">
        <v>41323</v>
      </c>
      <c r="G1825" s="48">
        <v>41639</v>
      </c>
      <c r="H1825" s="46" t="s">
        <v>651</v>
      </c>
      <c r="I1825" s="45">
        <v>45000</v>
      </c>
      <c r="J1825" s="45">
        <v>45000</v>
      </c>
      <c r="K1825" s="49" t="s">
        <v>6720</v>
      </c>
      <c r="L1825" s="46"/>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row>
    <row r="1826" spans="1:60" s="21" customFormat="1" ht="38.25" x14ac:dyDescent="0.25">
      <c r="A1826" s="46" t="s">
        <v>7097</v>
      </c>
      <c r="B1826" s="46" t="s">
        <v>13</v>
      </c>
      <c r="C1826" s="46" t="s">
        <v>14</v>
      </c>
      <c r="D1826" s="47">
        <v>10191</v>
      </c>
      <c r="E1826" s="46" t="s">
        <v>7098</v>
      </c>
      <c r="F1826" s="48">
        <v>40059</v>
      </c>
      <c r="G1826" s="48">
        <v>40451</v>
      </c>
      <c r="H1826" s="46" t="s">
        <v>2027</v>
      </c>
      <c r="I1826" s="45">
        <v>9633</v>
      </c>
      <c r="J1826" s="45">
        <v>9633</v>
      </c>
      <c r="K1826" s="49" t="s">
        <v>6720</v>
      </c>
      <c r="L1826" s="45"/>
      <c r="M1826" s="3"/>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row>
    <row r="1827" spans="1:60" s="21" customFormat="1" ht="38.25" x14ac:dyDescent="0.25">
      <c r="A1827" s="46" t="s">
        <v>7100</v>
      </c>
      <c r="B1827" s="46" t="s">
        <v>13</v>
      </c>
      <c r="C1827" s="46" t="s">
        <v>14</v>
      </c>
      <c r="D1827" s="47">
        <v>3882</v>
      </c>
      <c r="E1827" s="50" t="s">
        <v>7101</v>
      </c>
      <c r="F1827" s="48">
        <v>39415</v>
      </c>
      <c r="G1827" s="48">
        <v>39689</v>
      </c>
      <c r="H1827" s="46" t="s">
        <v>16</v>
      </c>
      <c r="I1827" s="45">
        <v>26915</v>
      </c>
      <c r="J1827" s="45">
        <v>8075</v>
      </c>
      <c r="K1827" s="49" t="s">
        <v>7102</v>
      </c>
      <c r="L1827" s="45"/>
      <c r="M1827" s="3"/>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row>
    <row r="1828" spans="1:60" s="21" customFormat="1" x14ac:dyDescent="0.25">
      <c r="A1828" s="46" t="s">
        <v>7103</v>
      </c>
      <c r="B1828" s="46" t="s">
        <v>13</v>
      </c>
      <c r="C1828" s="46" t="s">
        <v>14</v>
      </c>
      <c r="D1828" s="47">
        <v>3901</v>
      </c>
      <c r="E1828" s="46" t="s">
        <v>7104</v>
      </c>
      <c r="F1828" s="48">
        <v>39671</v>
      </c>
      <c r="G1828" s="48">
        <v>39962</v>
      </c>
      <c r="H1828" s="46" t="s">
        <v>16</v>
      </c>
      <c r="I1828" s="45">
        <v>17376</v>
      </c>
      <c r="J1828" s="45">
        <v>5213</v>
      </c>
      <c r="K1828" s="49" t="s">
        <v>7102</v>
      </c>
      <c r="L1828" s="45"/>
      <c r="M1828" s="3"/>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row>
    <row r="1829" spans="1:60" s="21" customFormat="1" x14ac:dyDescent="0.25">
      <c r="A1829" s="46" t="s">
        <v>7105</v>
      </c>
      <c r="B1829" s="46" t="s">
        <v>13</v>
      </c>
      <c r="C1829" s="46" t="s">
        <v>14</v>
      </c>
      <c r="D1829" s="47">
        <v>3913</v>
      </c>
      <c r="E1829" s="46" t="s">
        <v>7106</v>
      </c>
      <c r="F1829" s="48">
        <v>39759</v>
      </c>
      <c r="G1829" s="48">
        <v>39903</v>
      </c>
      <c r="H1829" s="46" t="s">
        <v>16</v>
      </c>
      <c r="I1829" s="45">
        <v>8520</v>
      </c>
      <c r="J1829" s="45">
        <v>2556</v>
      </c>
      <c r="K1829" s="49" t="s">
        <v>7102</v>
      </c>
      <c r="L1829" s="45"/>
      <c r="M1829" s="3"/>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row>
    <row r="1830" spans="1:60" s="21" customFormat="1" ht="38.25" x14ac:dyDescent="0.25">
      <c r="A1830" s="46" t="s">
        <v>7107</v>
      </c>
      <c r="B1830" s="46" t="s">
        <v>13</v>
      </c>
      <c r="C1830" s="46" t="s">
        <v>14</v>
      </c>
      <c r="D1830" s="47">
        <v>3914</v>
      </c>
      <c r="E1830" s="50" t="s">
        <v>7108</v>
      </c>
      <c r="F1830" s="48">
        <v>39507</v>
      </c>
      <c r="G1830" s="48">
        <v>39962</v>
      </c>
      <c r="H1830" s="46" t="s">
        <v>16</v>
      </c>
      <c r="I1830" s="45">
        <v>42633</v>
      </c>
      <c r="J1830" s="45">
        <v>12382.2</v>
      </c>
      <c r="K1830" s="49" t="s">
        <v>7102</v>
      </c>
      <c r="L1830" s="45"/>
      <c r="M1830" s="3"/>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row>
    <row r="1831" spans="1:60" s="21" customFormat="1" x14ac:dyDescent="0.25">
      <c r="A1831" s="46" t="s">
        <v>7109</v>
      </c>
      <c r="B1831" s="46" t="s">
        <v>13</v>
      </c>
      <c r="C1831" s="46" t="s">
        <v>14</v>
      </c>
      <c r="D1831" s="47">
        <v>3915</v>
      </c>
      <c r="E1831" s="46" t="s">
        <v>7110</v>
      </c>
      <c r="F1831" s="48">
        <v>39783</v>
      </c>
      <c r="G1831" s="48">
        <v>39933</v>
      </c>
      <c r="H1831" s="46" t="s">
        <v>16</v>
      </c>
      <c r="I1831" s="45">
        <v>69237</v>
      </c>
      <c r="J1831" s="45">
        <v>20055.509999999998</v>
      </c>
      <c r="K1831" s="49" t="s">
        <v>7102</v>
      </c>
      <c r="L1831" s="45"/>
      <c r="M1831" s="3"/>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row>
    <row r="1832" spans="1:60" s="21" customFormat="1" ht="38.25" x14ac:dyDescent="0.25">
      <c r="A1832" s="46" t="s">
        <v>7111</v>
      </c>
      <c r="B1832" s="46" t="s">
        <v>13</v>
      </c>
      <c r="C1832" s="46" t="s">
        <v>14</v>
      </c>
      <c r="D1832" s="47">
        <v>4123</v>
      </c>
      <c r="E1832" s="50" t="s">
        <v>7112</v>
      </c>
      <c r="F1832" s="48">
        <v>39580</v>
      </c>
      <c r="G1832" s="48">
        <v>39721</v>
      </c>
      <c r="H1832" s="46" t="s">
        <v>16</v>
      </c>
      <c r="I1832" s="45">
        <v>28000</v>
      </c>
      <c r="J1832" s="45">
        <v>11008</v>
      </c>
      <c r="K1832" s="49" t="s">
        <v>7102</v>
      </c>
      <c r="L1832" s="45"/>
      <c r="M1832" s="3"/>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row>
    <row r="1833" spans="1:60" s="21" customFormat="1" x14ac:dyDescent="0.25">
      <c r="A1833" s="46" t="s">
        <v>7113</v>
      </c>
      <c r="B1833" s="46" t="s">
        <v>13</v>
      </c>
      <c r="C1833" s="46" t="s">
        <v>14</v>
      </c>
      <c r="D1833" s="47">
        <v>9987</v>
      </c>
      <c r="E1833" s="46" t="s">
        <v>7114</v>
      </c>
      <c r="F1833" s="48">
        <v>40071</v>
      </c>
      <c r="G1833" s="48">
        <v>40364</v>
      </c>
      <c r="H1833" s="46" t="s">
        <v>16</v>
      </c>
      <c r="I1833" s="45">
        <v>18372.009999999998</v>
      </c>
      <c r="J1833" s="45">
        <v>5511.6</v>
      </c>
      <c r="K1833" s="49" t="s">
        <v>7102</v>
      </c>
      <c r="L1833" s="45"/>
      <c r="M1833" s="3"/>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row>
    <row r="1834" spans="1:60" s="21" customFormat="1" x14ac:dyDescent="0.25">
      <c r="A1834" s="46" t="s">
        <v>7115</v>
      </c>
      <c r="B1834" s="46" t="s">
        <v>13</v>
      </c>
      <c r="C1834" s="46" t="s">
        <v>14</v>
      </c>
      <c r="D1834" s="47">
        <v>10179</v>
      </c>
      <c r="E1834" s="46" t="s">
        <v>7116</v>
      </c>
      <c r="F1834" s="48">
        <v>40800</v>
      </c>
      <c r="G1834" s="48">
        <v>40897</v>
      </c>
      <c r="H1834" s="46" t="s">
        <v>392</v>
      </c>
      <c r="I1834" s="45">
        <v>140348</v>
      </c>
      <c r="J1834" s="45">
        <v>28070</v>
      </c>
      <c r="K1834" s="49" t="s">
        <v>7102</v>
      </c>
      <c r="L1834" s="45"/>
      <c r="M1834" s="3"/>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row>
    <row r="1835" spans="1:60" s="21" customFormat="1" ht="38.25" x14ac:dyDescent="0.25">
      <c r="A1835" s="46" t="s">
        <v>7391</v>
      </c>
      <c r="B1835" s="46" t="s">
        <v>13</v>
      </c>
      <c r="C1835" s="46" t="s">
        <v>14</v>
      </c>
      <c r="D1835" s="47">
        <v>9203</v>
      </c>
      <c r="E1835" s="46" t="s">
        <v>7392</v>
      </c>
      <c r="F1835" s="48">
        <v>40776</v>
      </c>
      <c r="G1835" s="48">
        <v>40776</v>
      </c>
      <c r="H1835" s="46" t="s">
        <v>40</v>
      </c>
      <c r="I1835" s="45">
        <v>500</v>
      </c>
      <c r="J1835" s="45">
        <v>500</v>
      </c>
      <c r="K1835" s="49" t="s">
        <v>7102</v>
      </c>
      <c r="L1835" s="45"/>
      <c r="M1835" s="3"/>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row>
    <row r="1836" spans="1:60" s="21" customFormat="1" ht="51" x14ac:dyDescent="0.25">
      <c r="A1836" s="46" t="s">
        <v>7429</v>
      </c>
      <c r="B1836" s="46" t="s">
        <v>13</v>
      </c>
      <c r="C1836" s="46" t="s">
        <v>14</v>
      </c>
      <c r="D1836" s="47">
        <v>10968</v>
      </c>
      <c r="E1836" s="50" t="s">
        <v>7430</v>
      </c>
      <c r="F1836" s="48">
        <v>40909</v>
      </c>
      <c r="G1836" s="48">
        <v>41639</v>
      </c>
      <c r="H1836" s="46" t="s">
        <v>40</v>
      </c>
      <c r="I1836" s="45">
        <f>18473.26+12323.31</f>
        <v>30796.57</v>
      </c>
      <c r="J1836" s="45">
        <f>5149.95+12323.31</f>
        <v>17473.259999999998</v>
      </c>
      <c r="K1836" s="49" t="s">
        <v>7102</v>
      </c>
      <c r="L1836" s="45"/>
      <c r="M1836" s="3"/>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row>
    <row r="1837" spans="1:60" s="21" customFormat="1" ht="25.5" x14ac:dyDescent="0.25">
      <c r="A1837" s="46" t="s">
        <v>7435</v>
      </c>
      <c r="B1837" s="46" t="s">
        <v>13</v>
      </c>
      <c r="C1837" s="46" t="s">
        <v>14</v>
      </c>
      <c r="D1837" s="47">
        <v>10995</v>
      </c>
      <c r="E1837" s="46" t="s">
        <v>7436</v>
      </c>
      <c r="F1837" s="48">
        <v>40910</v>
      </c>
      <c r="G1837" s="48">
        <v>41639</v>
      </c>
      <c r="H1837" s="46" t="s">
        <v>40</v>
      </c>
      <c r="I1837" s="45">
        <f>2860+860</f>
        <v>3720</v>
      </c>
      <c r="J1837" s="45">
        <f>1000+430</f>
        <v>1430</v>
      </c>
      <c r="K1837" s="49" t="s">
        <v>7102</v>
      </c>
      <c r="L1837" s="45"/>
      <c r="M1837" s="3"/>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row>
    <row r="1838" spans="1:60" s="21" customFormat="1" ht="25.5" x14ac:dyDescent="0.25">
      <c r="A1838" s="46" t="s">
        <v>11384</v>
      </c>
      <c r="B1838" s="46" t="s">
        <v>13</v>
      </c>
      <c r="C1838" s="46" t="s">
        <v>14</v>
      </c>
      <c r="D1838" s="47">
        <v>12415</v>
      </c>
      <c r="E1838" s="46" t="s">
        <v>11385</v>
      </c>
      <c r="F1838" s="48">
        <v>41312</v>
      </c>
      <c r="G1838" s="48">
        <v>41589</v>
      </c>
      <c r="H1838" s="46" t="s">
        <v>651</v>
      </c>
      <c r="I1838" s="45">
        <v>10000</v>
      </c>
      <c r="J1838" s="45">
        <v>5000</v>
      </c>
      <c r="K1838" s="49" t="s">
        <v>7102</v>
      </c>
      <c r="L1838" s="46"/>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row>
    <row r="1839" spans="1:60" s="21" customFormat="1" x14ac:dyDescent="0.25">
      <c r="A1839" s="46" t="s">
        <v>11382</v>
      </c>
      <c r="B1839" s="46" t="s">
        <v>13</v>
      </c>
      <c r="C1839" s="46" t="s">
        <v>14</v>
      </c>
      <c r="D1839" s="47">
        <v>12436</v>
      </c>
      <c r="E1839" s="46" t="s">
        <v>11383</v>
      </c>
      <c r="F1839" s="48">
        <v>41597</v>
      </c>
      <c r="G1839" s="48">
        <v>41628</v>
      </c>
      <c r="H1839" s="46" t="s">
        <v>651</v>
      </c>
      <c r="I1839" s="45">
        <v>15500</v>
      </c>
      <c r="J1839" s="45">
        <v>7750</v>
      </c>
      <c r="K1839" s="49" t="s">
        <v>7102</v>
      </c>
      <c r="L1839" s="46"/>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row>
    <row r="1840" spans="1:60" s="21" customFormat="1" x14ac:dyDescent="0.25">
      <c r="A1840" s="46" t="s">
        <v>7437</v>
      </c>
      <c r="B1840" s="46" t="s">
        <v>13</v>
      </c>
      <c r="C1840" s="46" t="s">
        <v>14</v>
      </c>
      <c r="D1840" s="47">
        <v>9496</v>
      </c>
      <c r="E1840" s="46" t="s">
        <v>7438</v>
      </c>
      <c r="F1840" s="48">
        <v>40115</v>
      </c>
      <c r="G1840" s="48">
        <v>40529</v>
      </c>
      <c r="H1840" s="46" t="s">
        <v>2027</v>
      </c>
      <c r="I1840" s="45">
        <v>40475</v>
      </c>
      <c r="J1840" s="45">
        <v>60040</v>
      </c>
      <c r="K1840" s="49" t="s">
        <v>7102</v>
      </c>
      <c r="L1840" s="45"/>
      <c r="M1840" s="3"/>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row>
    <row r="1841" spans="1:60" s="21" customFormat="1" ht="63.75" x14ac:dyDescent="0.25">
      <c r="A1841" s="46" t="s">
        <v>7454</v>
      </c>
      <c r="B1841" s="46" t="s">
        <v>13</v>
      </c>
      <c r="C1841" s="46" t="s">
        <v>14</v>
      </c>
      <c r="D1841" s="47">
        <v>4403</v>
      </c>
      <c r="E1841" s="50" t="s">
        <v>7455</v>
      </c>
      <c r="F1841" s="48">
        <v>38717</v>
      </c>
      <c r="G1841" s="48">
        <v>41383</v>
      </c>
      <c r="H1841" s="46" t="s">
        <v>2032</v>
      </c>
      <c r="I1841" s="45">
        <f>863461.52+93169.31</f>
        <v>956630.83000000007</v>
      </c>
      <c r="J1841" s="45">
        <f>863461.52+93169.31</f>
        <v>956630.83000000007</v>
      </c>
      <c r="K1841" s="49" t="s">
        <v>7456</v>
      </c>
      <c r="L1841" s="45"/>
      <c r="M1841" s="3"/>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row>
    <row r="1842" spans="1:60" s="21" customFormat="1" x14ac:dyDescent="0.25">
      <c r="A1842" s="46" t="s">
        <v>7457</v>
      </c>
      <c r="B1842" s="46" t="s">
        <v>13</v>
      </c>
      <c r="C1842" s="46" t="s">
        <v>14</v>
      </c>
      <c r="D1842" s="47">
        <v>3909</v>
      </c>
      <c r="E1842" s="46" t="s">
        <v>7458</v>
      </c>
      <c r="F1842" s="48">
        <v>39545</v>
      </c>
      <c r="G1842" s="48">
        <v>39598</v>
      </c>
      <c r="H1842" s="46" t="s">
        <v>16</v>
      </c>
      <c r="I1842" s="45">
        <v>52051.3</v>
      </c>
      <c r="J1842" s="55">
        <v>16000</v>
      </c>
      <c r="K1842" s="49" t="s">
        <v>7456</v>
      </c>
      <c r="L1842" s="45"/>
      <c r="M1842" s="3"/>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row>
    <row r="1843" spans="1:60" s="21" customFormat="1" x14ac:dyDescent="0.25">
      <c r="A1843" s="46" t="s">
        <v>7459</v>
      </c>
      <c r="B1843" s="46" t="s">
        <v>13</v>
      </c>
      <c r="C1843" s="46" t="s">
        <v>14</v>
      </c>
      <c r="D1843" s="47">
        <v>3911</v>
      </c>
      <c r="E1843" s="46" t="s">
        <v>7460</v>
      </c>
      <c r="F1843" s="48">
        <v>39400</v>
      </c>
      <c r="G1843" s="48">
        <v>39990</v>
      </c>
      <c r="H1843" s="46" t="s">
        <v>16</v>
      </c>
      <c r="I1843" s="45">
        <v>156085</v>
      </c>
      <c r="J1843" s="45">
        <v>46826</v>
      </c>
      <c r="K1843" s="49" t="s">
        <v>7456</v>
      </c>
      <c r="L1843" s="45"/>
      <c r="M1843" s="3"/>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row>
    <row r="1844" spans="1:60" s="21" customFormat="1" x14ac:dyDescent="0.25">
      <c r="A1844" s="46" t="s">
        <v>7461</v>
      </c>
      <c r="B1844" s="46" t="s">
        <v>13</v>
      </c>
      <c r="C1844" s="46" t="s">
        <v>14</v>
      </c>
      <c r="D1844" s="47">
        <v>3929</v>
      </c>
      <c r="E1844" s="46" t="s">
        <v>7462</v>
      </c>
      <c r="F1844" s="48">
        <v>39241</v>
      </c>
      <c r="G1844" s="48">
        <v>40270</v>
      </c>
      <c r="H1844" s="46" t="s">
        <v>16</v>
      </c>
      <c r="I1844" s="45">
        <v>116750.25</v>
      </c>
      <c r="J1844" s="45">
        <v>35338.550000000003</v>
      </c>
      <c r="K1844" s="49" t="s">
        <v>7456</v>
      </c>
      <c r="L1844" s="45"/>
      <c r="M1844" s="3"/>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row>
    <row r="1845" spans="1:60" s="21" customFormat="1" x14ac:dyDescent="0.25">
      <c r="A1845" s="56" t="s">
        <v>7463</v>
      </c>
      <c r="B1845" s="56" t="s">
        <v>13</v>
      </c>
      <c r="C1845" s="56" t="s">
        <v>14</v>
      </c>
      <c r="D1845" s="57">
        <v>3933</v>
      </c>
      <c r="E1845" s="56" t="s">
        <v>7464</v>
      </c>
      <c r="F1845" s="58">
        <v>39966</v>
      </c>
      <c r="G1845" s="58">
        <v>40177</v>
      </c>
      <c r="H1845" s="46" t="s">
        <v>16</v>
      </c>
      <c r="I1845" s="55">
        <v>50000</v>
      </c>
      <c r="J1845" s="55">
        <v>15000</v>
      </c>
      <c r="K1845" s="49" t="s">
        <v>7456</v>
      </c>
      <c r="L1845" s="45"/>
      <c r="M1845" s="3"/>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row>
    <row r="1846" spans="1:60" s="21" customFormat="1" x14ac:dyDescent="0.25">
      <c r="A1846" s="56" t="s">
        <v>7465</v>
      </c>
      <c r="B1846" s="56" t="s">
        <v>13</v>
      </c>
      <c r="C1846" s="56" t="s">
        <v>14</v>
      </c>
      <c r="D1846" s="57">
        <v>3934</v>
      </c>
      <c r="E1846" s="56" t="s">
        <v>7466</v>
      </c>
      <c r="F1846" s="58">
        <v>39493</v>
      </c>
      <c r="G1846" s="58">
        <v>39660</v>
      </c>
      <c r="H1846" s="46" t="s">
        <v>16</v>
      </c>
      <c r="I1846" s="55">
        <v>4800</v>
      </c>
      <c r="J1846" s="55">
        <v>1440</v>
      </c>
      <c r="K1846" s="49" t="s">
        <v>7456</v>
      </c>
      <c r="L1846" s="45"/>
      <c r="M1846" s="3"/>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row>
    <row r="1847" spans="1:60" s="21" customFormat="1" x14ac:dyDescent="0.25">
      <c r="A1847" s="46" t="s">
        <v>7467</v>
      </c>
      <c r="B1847" s="46" t="s">
        <v>13</v>
      </c>
      <c r="C1847" s="46" t="s">
        <v>14</v>
      </c>
      <c r="D1847" s="47">
        <v>4173</v>
      </c>
      <c r="E1847" s="46" t="s">
        <v>7468</v>
      </c>
      <c r="F1847" s="48">
        <v>39847</v>
      </c>
      <c r="G1847" s="48">
        <v>40025</v>
      </c>
      <c r="H1847" s="46" t="s">
        <v>16</v>
      </c>
      <c r="I1847" s="45">
        <v>1700</v>
      </c>
      <c r="J1847" s="45">
        <v>680</v>
      </c>
      <c r="K1847" s="49" t="s">
        <v>7456</v>
      </c>
      <c r="L1847" s="45"/>
      <c r="M1847" s="3"/>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row>
    <row r="1848" spans="1:60" s="21" customFormat="1" x14ac:dyDescent="0.25">
      <c r="A1848" s="46" t="s">
        <v>7469</v>
      </c>
      <c r="B1848" s="46" t="s">
        <v>13</v>
      </c>
      <c r="C1848" s="46" t="s">
        <v>14</v>
      </c>
      <c r="D1848" s="47">
        <v>4193</v>
      </c>
      <c r="E1848" s="46" t="s">
        <v>7470</v>
      </c>
      <c r="F1848" s="48">
        <v>39342</v>
      </c>
      <c r="G1848" s="48">
        <v>39476</v>
      </c>
      <c r="H1848" s="46" t="s">
        <v>16</v>
      </c>
      <c r="I1848" s="45">
        <v>135000</v>
      </c>
      <c r="J1848" s="45">
        <v>40500</v>
      </c>
      <c r="K1848" s="49" t="s">
        <v>7456</v>
      </c>
      <c r="L1848" s="45"/>
      <c r="M1848" s="3"/>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row>
    <row r="1849" spans="1:60" s="21" customFormat="1" ht="25.5" x14ac:dyDescent="0.25">
      <c r="A1849" s="46" t="s">
        <v>7471</v>
      </c>
      <c r="B1849" s="46" t="s">
        <v>13</v>
      </c>
      <c r="C1849" s="46" t="s">
        <v>14</v>
      </c>
      <c r="D1849" s="47">
        <v>4194</v>
      </c>
      <c r="E1849" s="46" t="s">
        <v>7472</v>
      </c>
      <c r="F1849" s="48">
        <v>39330</v>
      </c>
      <c r="G1849" s="48">
        <v>40025</v>
      </c>
      <c r="H1849" s="46" t="s">
        <v>16</v>
      </c>
      <c r="I1849" s="45">
        <v>22000</v>
      </c>
      <c r="J1849" s="45">
        <v>5280</v>
      </c>
      <c r="K1849" s="49" t="s">
        <v>7456</v>
      </c>
      <c r="L1849" s="45"/>
      <c r="M1849" s="3"/>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row>
    <row r="1850" spans="1:60" s="21" customFormat="1" x14ac:dyDescent="0.25">
      <c r="A1850" s="46" t="s">
        <v>7473</v>
      </c>
      <c r="B1850" s="46" t="s">
        <v>13</v>
      </c>
      <c r="C1850" s="46" t="s">
        <v>14</v>
      </c>
      <c r="D1850" s="47">
        <v>4204</v>
      </c>
      <c r="E1850" s="46" t="s">
        <v>7474</v>
      </c>
      <c r="F1850" s="48">
        <v>39568</v>
      </c>
      <c r="G1850" s="48">
        <v>39776</v>
      </c>
      <c r="H1850" s="46" t="s">
        <v>16</v>
      </c>
      <c r="I1850" s="45">
        <v>3800</v>
      </c>
      <c r="J1850" s="45">
        <v>1000</v>
      </c>
      <c r="K1850" s="49" t="s">
        <v>7456</v>
      </c>
      <c r="L1850" s="45"/>
      <c r="M1850" s="3"/>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row>
    <row r="1851" spans="1:60" s="21" customFormat="1" x14ac:dyDescent="0.25">
      <c r="A1851" s="46" t="s">
        <v>3618</v>
      </c>
      <c r="B1851" s="46" t="s">
        <v>13</v>
      </c>
      <c r="C1851" s="46" t="s">
        <v>14</v>
      </c>
      <c r="D1851" s="47">
        <v>9882</v>
      </c>
      <c r="E1851" s="46" t="s">
        <v>7475</v>
      </c>
      <c r="F1851" s="48">
        <v>40240</v>
      </c>
      <c r="G1851" s="48">
        <v>40532</v>
      </c>
      <c r="H1851" s="46" t="s">
        <v>16</v>
      </c>
      <c r="I1851" s="45">
        <v>35569.53</v>
      </c>
      <c r="J1851" s="45">
        <v>10670</v>
      </c>
      <c r="K1851" s="49" t="s">
        <v>7456</v>
      </c>
      <c r="L1851" s="45"/>
      <c r="M1851" s="3"/>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row>
    <row r="1852" spans="1:60" s="21" customFormat="1" x14ac:dyDescent="0.25">
      <c r="A1852" s="46" t="s">
        <v>7476</v>
      </c>
      <c r="B1852" s="46" t="s">
        <v>13</v>
      </c>
      <c r="C1852" s="46" t="s">
        <v>14</v>
      </c>
      <c r="D1852" s="47">
        <v>9937</v>
      </c>
      <c r="E1852" s="46" t="s">
        <v>7477</v>
      </c>
      <c r="F1852" s="48">
        <v>40424</v>
      </c>
      <c r="G1852" s="48">
        <v>40598</v>
      </c>
      <c r="H1852" s="46" t="s">
        <v>16</v>
      </c>
      <c r="I1852" s="45">
        <v>12456</v>
      </c>
      <c r="J1852" s="45">
        <v>3736.8</v>
      </c>
      <c r="K1852" s="49" t="s">
        <v>7456</v>
      </c>
      <c r="L1852" s="45"/>
      <c r="M1852" s="3"/>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row>
    <row r="1853" spans="1:60" s="21" customFormat="1" ht="25.5" x14ac:dyDescent="0.25">
      <c r="A1853" s="46" t="s">
        <v>7478</v>
      </c>
      <c r="B1853" s="46" t="s">
        <v>13</v>
      </c>
      <c r="C1853" s="46" t="s">
        <v>14</v>
      </c>
      <c r="D1853" s="47">
        <v>4393</v>
      </c>
      <c r="E1853" s="46" t="s">
        <v>7479</v>
      </c>
      <c r="F1853" s="48">
        <v>40118</v>
      </c>
      <c r="G1853" s="48">
        <v>40595</v>
      </c>
      <c r="H1853" s="46" t="s">
        <v>2039</v>
      </c>
      <c r="I1853" s="45">
        <v>48979.44</v>
      </c>
      <c r="J1853" s="45">
        <v>48979.44</v>
      </c>
      <c r="K1853" s="49" t="s">
        <v>7456</v>
      </c>
      <c r="L1853" s="45"/>
      <c r="M1853" s="3"/>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row>
    <row r="1854" spans="1:60" s="21" customFormat="1" ht="25.5" x14ac:dyDescent="0.25">
      <c r="A1854" s="46" t="s">
        <v>7480</v>
      </c>
      <c r="B1854" s="46" t="s">
        <v>13</v>
      </c>
      <c r="C1854" s="46" t="s">
        <v>14</v>
      </c>
      <c r="D1854" s="47">
        <v>4395</v>
      </c>
      <c r="E1854" s="46" t="s">
        <v>7481</v>
      </c>
      <c r="F1854" s="48">
        <v>39783</v>
      </c>
      <c r="G1854" s="48">
        <v>40268</v>
      </c>
      <c r="H1854" s="46" t="s">
        <v>2039</v>
      </c>
      <c r="I1854" s="45">
        <v>82983</v>
      </c>
      <c r="J1854" s="45">
        <v>82856.87</v>
      </c>
      <c r="K1854" s="49" t="s">
        <v>7456</v>
      </c>
      <c r="L1854" s="45"/>
      <c r="M1854" s="3"/>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row>
    <row r="1855" spans="1:60" s="21" customFormat="1" ht="25.5" x14ac:dyDescent="0.25">
      <c r="A1855" s="46" t="s">
        <v>7482</v>
      </c>
      <c r="B1855" s="46" t="s">
        <v>13</v>
      </c>
      <c r="C1855" s="46" t="s">
        <v>14</v>
      </c>
      <c r="D1855" s="47">
        <v>11511</v>
      </c>
      <c r="E1855" s="46" t="s">
        <v>7483</v>
      </c>
      <c r="F1855" s="48">
        <v>40817</v>
      </c>
      <c r="G1855" s="48">
        <v>42004</v>
      </c>
      <c r="H1855" s="46" t="s">
        <v>2039</v>
      </c>
      <c r="I1855" s="45">
        <f>9041.39+38354.3</f>
        <v>47395.69</v>
      </c>
      <c r="J1855" s="45">
        <f>9041.39+38354.3</f>
        <v>47395.69</v>
      </c>
      <c r="K1855" s="49" t="s">
        <v>7456</v>
      </c>
      <c r="L1855" s="45"/>
      <c r="M1855" s="3"/>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row>
    <row r="1856" spans="1:60" s="21" customFormat="1" ht="38.25" x14ac:dyDescent="0.25">
      <c r="A1856" s="46" t="s">
        <v>7484</v>
      </c>
      <c r="B1856" s="46" t="s">
        <v>13</v>
      </c>
      <c r="C1856" s="46" t="s">
        <v>14</v>
      </c>
      <c r="D1856" s="47">
        <v>9860</v>
      </c>
      <c r="E1856" s="46" t="s">
        <v>7485</v>
      </c>
      <c r="F1856" s="48">
        <v>40785</v>
      </c>
      <c r="G1856" s="48">
        <v>40900</v>
      </c>
      <c r="H1856" s="46" t="s">
        <v>392</v>
      </c>
      <c r="I1856" s="45">
        <v>704468</v>
      </c>
      <c r="J1856" s="45">
        <v>176117</v>
      </c>
      <c r="K1856" s="49" t="s">
        <v>7456</v>
      </c>
      <c r="L1856" s="45"/>
      <c r="M1856" s="3"/>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row>
    <row r="1857" spans="1:60" s="21" customFormat="1" ht="25.5" x14ac:dyDescent="0.25">
      <c r="A1857" s="46" t="s">
        <v>7486</v>
      </c>
      <c r="B1857" s="46" t="s">
        <v>13</v>
      </c>
      <c r="C1857" s="46" t="s">
        <v>14</v>
      </c>
      <c r="D1857" s="47">
        <v>9861</v>
      </c>
      <c r="E1857" s="46" t="s">
        <v>7487</v>
      </c>
      <c r="F1857" s="48">
        <v>41137</v>
      </c>
      <c r="G1857" s="48">
        <v>41246</v>
      </c>
      <c r="H1857" s="46" t="s">
        <v>392</v>
      </c>
      <c r="I1857" s="45">
        <v>34161.800000000003</v>
      </c>
      <c r="J1857" s="45">
        <v>11956.63</v>
      </c>
      <c r="K1857" s="49" t="s">
        <v>7456</v>
      </c>
      <c r="L1857" s="45"/>
      <c r="M1857" s="3"/>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row>
    <row r="1858" spans="1:60" s="21" customFormat="1" x14ac:dyDescent="0.25">
      <c r="A1858" s="46" t="s">
        <v>7488</v>
      </c>
      <c r="B1858" s="46" t="s">
        <v>13</v>
      </c>
      <c r="C1858" s="46" t="s">
        <v>14</v>
      </c>
      <c r="D1858" s="47">
        <v>9869</v>
      </c>
      <c r="E1858" s="46" t="s">
        <v>7489</v>
      </c>
      <c r="F1858" s="48">
        <v>40766</v>
      </c>
      <c r="G1858" s="48">
        <v>40897</v>
      </c>
      <c r="H1858" s="46" t="s">
        <v>392</v>
      </c>
      <c r="I1858" s="45">
        <v>194657</v>
      </c>
      <c r="J1858" s="45">
        <v>68129.95</v>
      </c>
      <c r="K1858" s="49" t="s">
        <v>7456</v>
      </c>
      <c r="L1858" s="45"/>
      <c r="M1858" s="3"/>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row>
    <row r="1859" spans="1:60" s="21" customFormat="1" ht="38.25" x14ac:dyDescent="0.25">
      <c r="A1859" s="46" t="s">
        <v>7488</v>
      </c>
      <c r="B1859" s="46" t="s">
        <v>13</v>
      </c>
      <c r="C1859" s="46" t="s">
        <v>14</v>
      </c>
      <c r="D1859" s="47">
        <v>9901</v>
      </c>
      <c r="E1859" s="46" t="s">
        <v>7490</v>
      </c>
      <c r="F1859" s="48">
        <v>40394</v>
      </c>
      <c r="G1859" s="48">
        <v>40512</v>
      </c>
      <c r="H1859" s="46" t="s">
        <v>392</v>
      </c>
      <c r="I1859" s="45">
        <v>286458.03999999998</v>
      </c>
      <c r="J1859" s="45">
        <v>100260.3</v>
      </c>
      <c r="K1859" s="49" t="s">
        <v>7456</v>
      </c>
      <c r="L1859" s="45"/>
      <c r="M1859" s="3"/>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row>
    <row r="1860" spans="1:60" s="21" customFormat="1" ht="25.5" x14ac:dyDescent="0.25">
      <c r="A1860" s="46" t="s">
        <v>7491</v>
      </c>
      <c r="B1860" s="46" t="s">
        <v>13</v>
      </c>
      <c r="C1860" s="46" t="s">
        <v>14</v>
      </c>
      <c r="D1860" s="47">
        <v>9907</v>
      </c>
      <c r="E1860" s="46" t="s">
        <v>7492</v>
      </c>
      <c r="F1860" s="48">
        <v>40749</v>
      </c>
      <c r="G1860" s="48">
        <v>40897</v>
      </c>
      <c r="H1860" s="46" t="s">
        <v>392</v>
      </c>
      <c r="I1860" s="45">
        <v>197704.02</v>
      </c>
      <c r="J1860" s="45">
        <v>69196.41</v>
      </c>
      <c r="K1860" s="49" t="s">
        <v>7456</v>
      </c>
      <c r="L1860" s="45"/>
      <c r="M1860" s="3"/>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row>
    <row r="1861" spans="1:60" s="21" customFormat="1" ht="38.25" x14ac:dyDescent="0.25">
      <c r="A1861" s="46" t="s">
        <v>7493</v>
      </c>
      <c r="B1861" s="46" t="s">
        <v>13</v>
      </c>
      <c r="C1861" s="46" t="s">
        <v>14</v>
      </c>
      <c r="D1861" s="47">
        <v>9916</v>
      </c>
      <c r="E1861" s="46" t="s">
        <v>7494</v>
      </c>
      <c r="F1861" s="48">
        <v>40406</v>
      </c>
      <c r="G1861" s="48">
        <v>40554</v>
      </c>
      <c r="H1861" s="46" t="s">
        <v>392</v>
      </c>
      <c r="I1861" s="45">
        <v>14650</v>
      </c>
      <c r="J1861" s="45">
        <v>3000</v>
      </c>
      <c r="K1861" s="49" t="s">
        <v>7456</v>
      </c>
      <c r="L1861" s="45"/>
      <c r="M1861" s="3"/>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row>
    <row r="1862" spans="1:60" s="21" customFormat="1" ht="25.5" x14ac:dyDescent="0.25">
      <c r="A1862" s="46" t="s">
        <v>2034</v>
      </c>
      <c r="B1862" s="46" t="s">
        <v>13</v>
      </c>
      <c r="C1862" s="46" t="s">
        <v>14</v>
      </c>
      <c r="D1862" s="47">
        <v>10149</v>
      </c>
      <c r="E1862" s="46" t="s">
        <v>7495</v>
      </c>
      <c r="F1862" s="48">
        <v>40861</v>
      </c>
      <c r="G1862" s="48">
        <v>40870</v>
      </c>
      <c r="H1862" s="46" t="s">
        <v>392</v>
      </c>
      <c r="I1862" s="45">
        <v>1188619.33</v>
      </c>
      <c r="J1862" s="45">
        <v>106975.76</v>
      </c>
      <c r="K1862" s="49" t="s">
        <v>7456</v>
      </c>
      <c r="L1862" s="45"/>
      <c r="M1862" s="3"/>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row>
    <row r="1863" spans="1:60" s="21" customFormat="1" x14ac:dyDescent="0.25">
      <c r="A1863" s="46" t="s">
        <v>3072</v>
      </c>
      <c r="B1863" s="46" t="s">
        <v>13</v>
      </c>
      <c r="C1863" s="46" t="s">
        <v>14</v>
      </c>
      <c r="D1863" s="47">
        <v>10154</v>
      </c>
      <c r="E1863" s="46" t="s">
        <v>7496</v>
      </c>
      <c r="F1863" s="48">
        <v>40749</v>
      </c>
      <c r="G1863" s="48">
        <v>40897</v>
      </c>
      <c r="H1863" s="46" t="s">
        <v>392</v>
      </c>
      <c r="I1863" s="45">
        <v>141062.91</v>
      </c>
      <c r="J1863" s="45">
        <v>49372.02</v>
      </c>
      <c r="K1863" s="49" t="s">
        <v>7456</v>
      </c>
      <c r="L1863" s="45"/>
      <c r="M1863" s="3"/>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row>
    <row r="1864" spans="1:60" s="21" customFormat="1" ht="38.25" x14ac:dyDescent="0.25">
      <c r="A1864" s="46" t="s">
        <v>7493</v>
      </c>
      <c r="B1864" s="46" t="s">
        <v>13</v>
      </c>
      <c r="C1864" s="46" t="s">
        <v>14</v>
      </c>
      <c r="D1864" s="47">
        <v>10221</v>
      </c>
      <c r="E1864" s="50" t="s">
        <v>7497</v>
      </c>
      <c r="F1864" s="48">
        <v>41107</v>
      </c>
      <c r="G1864" s="48">
        <v>41501</v>
      </c>
      <c r="H1864" s="46" t="s">
        <v>392</v>
      </c>
      <c r="I1864" s="45">
        <v>332659.28999999998</v>
      </c>
      <c r="J1864" s="45">
        <v>116430.75</v>
      </c>
      <c r="K1864" s="49" t="s">
        <v>7456</v>
      </c>
      <c r="L1864" s="45"/>
      <c r="M1864" s="3"/>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row>
    <row r="1865" spans="1:60" s="21" customFormat="1" x14ac:dyDescent="0.25">
      <c r="A1865" s="46" t="s">
        <v>7535</v>
      </c>
      <c r="B1865" s="46" t="s">
        <v>13</v>
      </c>
      <c r="C1865" s="46" t="s">
        <v>14</v>
      </c>
      <c r="D1865" s="47">
        <v>716</v>
      </c>
      <c r="E1865" s="46" t="s">
        <v>7536</v>
      </c>
      <c r="F1865" s="48">
        <v>39206</v>
      </c>
      <c r="G1865" s="48">
        <v>39302</v>
      </c>
      <c r="H1865" s="46" t="s">
        <v>40</v>
      </c>
      <c r="I1865" s="45">
        <v>2080</v>
      </c>
      <c r="J1865" s="45">
        <v>2080</v>
      </c>
      <c r="K1865" s="49" t="s">
        <v>7456</v>
      </c>
      <c r="L1865" s="45"/>
      <c r="M1865" s="3"/>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row>
    <row r="1866" spans="1:60" s="21" customFormat="1" x14ac:dyDescent="0.25">
      <c r="A1866" s="46" t="s">
        <v>5884</v>
      </c>
      <c r="B1866" s="46" t="s">
        <v>13</v>
      </c>
      <c r="C1866" s="46" t="s">
        <v>14</v>
      </c>
      <c r="D1866" s="47">
        <v>724</v>
      </c>
      <c r="E1866" s="46" t="s">
        <v>7545</v>
      </c>
      <c r="F1866" s="48">
        <v>39157</v>
      </c>
      <c r="G1866" s="48">
        <v>39336</v>
      </c>
      <c r="H1866" s="46" t="s">
        <v>40</v>
      </c>
      <c r="I1866" s="45">
        <v>35259</v>
      </c>
      <c r="J1866" s="45">
        <v>35259.120000000003</v>
      </c>
      <c r="K1866" s="49" t="s">
        <v>7456</v>
      </c>
      <c r="L1866" s="45"/>
      <c r="M1866" s="3"/>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row>
    <row r="1867" spans="1:60" x14ac:dyDescent="0.25">
      <c r="A1867" s="46" t="s">
        <v>7546</v>
      </c>
      <c r="B1867" s="46" t="s">
        <v>13</v>
      </c>
      <c r="C1867" s="46" t="s">
        <v>14</v>
      </c>
      <c r="D1867" s="47">
        <v>726</v>
      </c>
      <c r="E1867" s="46" t="s">
        <v>7547</v>
      </c>
      <c r="F1867" s="48">
        <v>39176</v>
      </c>
      <c r="G1867" s="48">
        <v>39206</v>
      </c>
      <c r="H1867" s="46" t="s">
        <v>40</v>
      </c>
      <c r="I1867" s="45">
        <v>4347</v>
      </c>
      <c r="J1867" s="45">
        <v>4347</v>
      </c>
      <c r="K1867" s="49" t="s">
        <v>7456</v>
      </c>
      <c r="L1867" s="45"/>
      <c r="M1867" s="3"/>
    </row>
    <row r="1868" spans="1:60" x14ac:dyDescent="0.25">
      <c r="A1868" s="46" t="s">
        <v>7550</v>
      </c>
      <c r="B1868" s="46" t="s">
        <v>13</v>
      </c>
      <c r="C1868" s="46" t="s">
        <v>14</v>
      </c>
      <c r="D1868" s="47">
        <v>759</v>
      </c>
      <c r="E1868" s="46" t="s">
        <v>7551</v>
      </c>
      <c r="F1868" s="48">
        <v>39266</v>
      </c>
      <c r="G1868" s="48">
        <v>39308</v>
      </c>
      <c r="H1868" s="46" t="s">
        <v>40</v>
      </c>
      <c r="I1868" s="45">
        <v>1992</v>
      </c>
      <c r="J1868" s="45">
        <v>1992.2</v>
      </c>
      <c r="K1868" s="49" t="s">
        <v>7456</v>
      </c>
      <c r="L1868" s="45"/>
      <c r="M1868" s="3"/>
    </row>
    <row r="1869" spans="1:60" x14ac:dyDescent="0.25">
      <c r="A1869" s="46" t="s">
        <v>7552</v>
      </c>
      <c r="B1869" s="46" t="s">
        <v>13</v>
      </c>
      <c r="C1869" s="46" t="s">
        <v>14</v>
      </c>
      <c r="D1869" s="47">
        <v>760</v>
      </c>
      <c r="E1869" s="46" t="s">
        <v>7553</v>
      </c>
      <c r="F1869" s="48">
        <v>39099</v>
      </c>
      <c r="G1869" s="48">
        <v>39099</v>
      </c>
      <c r="H1869" s="46" t="s">
        <v>40</v>
      </c>
      <c r="I1869" s="45">
        <v>3905.75</v>
      </c>
      <c r="J1869" s="45">
        <v>1771</v>
      </c>
      <c r="K1869" s="49" t="s">
        <v>7456</v>
      </c>
      <c r="L1869" s="45"/>
      <c r="M1869" s="3"/>
    </row>
    <row r="1870" spans="1:60" x14ac:dyDescent="0.25">
      <c r="A1870" s="46" t="s">
        <v>7556</v>
      </c>
      <c r="B1870" s="46" t="s">
        <v>13</v>
      </c>
      <c r="C1870" s="46" t="s">
        <v>14</v>
      </c>
      <c r="D1870" s="47">
        <v>1094</v>
      </c>
      <c r="E1870" s="46" t="s">
        <v>7557</v>
      </c>
      <c r="F1870" s="48">
        <v>39216</v>
      </c>
      <c r="G1870" s="48">
        <v>39335</v>
      </c>
      <c r="H1870" s="46" t="s">
        <v>40</v>
      </c>
      <c r="I1870" s="45">
        <v>1344</v>
      </c>
      <c r="J1870" s="45">
        <v>1344</v>
      </c>
      <c r="K1870" s="49" t="s">
        <v>7456</v>
      </c>
      <c r="L1870" s="45"/>
      <c r="M1870" s="3"/>
    </row>
    <row r="1871" spans="1:60" x14ac:dyDescent="0.25">
      <c r="A1871" s="46" t="s">
        <v>7930</v>
      </c>
      <c r="B1871" s="46" t="s">
        <v>13</v>
      </c>
      <c r="C1871" s="46" t="s">
        <v>14</v>
      </c>
      <c r="D1871" s="47">
        <v>10193</v>
      </c>
      <c r="E1871" s="46" t="s">
        <v>7931</v>
      </c>
      <c r="F1871" s="48">
        <v>40909</v>
      </c>
      <c r="G1871" s="48">
        <v>41274</v>
      </c>
      <c r="H1871" s="46" t="s">
        <v>2027</v>
      </c>
      <c r="I1871" s="45">
        <v>38849.589999999997</v>
      </c>
      <c r="J1871" s="45">
        <v>38849.589999999997</v>
      </c>
      <c r="K1871" s="49" t="s">
        <v>7456</v>
      </c>
      <c r="L1871" s="45"/>
      <c r="M1871" s="3"/>
    </row>
    <row r="1872" spans="1:60" ht="76.5" x14ac:dyDescent="0.25">
      <c r="A1872" s="46" t="s">
        <v>7932</v>
      </c>
      <c r="B1872" s="46" t="s">
        <v>13</v>
      </c>
      <c r="C1872" s="46" t="s">
        <v>14</v>
      </c>
      <c r="D1872" s="47">
        <v>10208</v>
      </c>
      <c r="E1872" s="46" t="s">
        <v>7933</v>
      </c>
      <c r="F1872" s="48">
        <v>40909</v>
      </c>
      <c r="G1872" s="48">
        <v>41274</v>
      </c>
      <c r="H1872" s="46" t="s">
        <v>2027</v>
      </c>
      <c r="I1872" s="45">
        <v>5437.02</v>
      </c>
      <c r="J1872" s="45">
        <v>5437.02</v>
      </c>
      <c r="K1872" s="49" t="s">
        <v>7456</v>
      </c>
      <c r="L1872" s="45"/>
      <c r="M1872" s="3"/>
    </row>
    <row r="1873" spans="1:60" ht="76.5" x14ac:dyDescent="0.25">
      <c r="A1873" s="56" t="s">
        <v>7934</v>
      </c>
      <c r="B1873" s="46" t="s">
        <v>13</v>
      </c>
      <c r="C1873" s="46" t="s">
        <v>14</v>
      </c>
      <c r="D1873" s="57">
        <v>4138</v>
      </c>
      <c r="E1873" s="68" t="s">
        <v>7935</v>
      </c>
      <c r="F1873" s="58">
        <v>39083</v>
      </c>
      <c r="G1873" s="58">
        <v>42369</v>
      </c>
      <c r="H1873" s="56" t="s">
        <v>2593</v>
      </c>
      <c r="I1873" s="55">
        <v>5340557.5599999996</v>
      </c>
      <c r="J1873" s="55">
        <v>5340557.5599999996</v>
      </c>
      <c r="K1873" s="69" t="s">
        <v>7456</v>
      </c>
      <c r="L1873" s="55"/>
      <c r="M1873" s="12"/>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row>
    <row r="1874" spans="1:60" ht="76.5" x14ac:dyDescent="0.25">
      <c r="A1874" s="46" t="s">
        <v>7936</v>
      </c>
      <c r="B1874" s="46" t="s">
        <v>13</v>
      </c>
      <c r="C1874" s="46" t="s">
        <v>14</v>
      </c>
      <c r="D1874" s="47">
        <v>3789</v>
      </c>
      <c r="E1874" s="50" t="s">
        <v>7937</v>
      </c>
      <c r="F1874" s="48">
        <v>39083</v>
      </c>
      <c r="G1874" s="48">
        <v>42369</v>
      </c>
      <c r="H1874" s="46" t="s">
        <v>2637</v>
      </c>
      <c r="I1874" s="45">
        <v>260000</v>
      </c>
      <c r="J1874" s="45">
        <v>260000</v>
      </c>
      <c r="K1874" s="49" t="s">
        <v>7456</v>
      </c>
      <c r="L1874" s="45"/>
      <c r="M1874" s="3"/>
      <c r="N1874" s="3"/>
    </row>
    <row r="1875" spans="1:60" ht="25.5" x14ac:dyDescent="0.25">
      <c r="A1875" s="46" t="s">
        <v>7939</v>
      </c>
      <c r="B1875" s="46" t="s">
        <v>13</v>
      </c>
      <c r="C1875" s="46" t="s">
        <v>14</v>
      </c>
      <c r="D1875" s="47">
        <v>3916</v>
      </c>
      <c r="E1875" s="46" t="s">
        <v>7940</v>
      </c>
      <c r="F1875" s="48">
        <v>39757</v>
      </c>
      <c r="G1875" s="48">
        <v>39876</v>
      </c>
      <c r="H1875" s="46" t="s">
        <v>16</v>
      </c>
      <c r="I1875" s="45">
        <v>2500</v>
      </c>
      <c r="J1875" s="45">
        <v>881.06</v>
      </c>
      <c r="K1875" s="49" t="s">
        <v>7941</v>
      </c>
      <c r="L1875" s="45"/>
      <c r="M1875" s="3"/>
    </row>
    <row r="1876" spans="1:60" x14ac:dyDescent="0.25">
      <c r="A1876" s="46" t="s">
        <v>7942</v>
      </c>
      <c r="B1876" s="46" t="s">
        <v>13</v>
      </c>
      <c r="C1876" s="46" t="s">
        <v>14</v>
      </c>
      <c r="D1876" s="47">
        <v>4121</v>
      </c>
      <c r="E1876" s="46" t="s">
        <v>7943</v>
      </c>
      <c r="F1876" s="48">
        <v>39738</v>
      </c>
      <c r="G1876" s="48">
        <v>40424</v>
      </c>
      <c r="H1876" s="46" t="s">
        <v>16</v>
      </c>
      <c r="I1876" s="45">
        <v>320375.53999999998</v>
      </c>
      <c r="J1876" s="45">
        <v>274607.61</v>
      </c>
      <c r="K1876" s="49" t="s">
        <v>7941</v>
      </c>
      <c r="L1876" s="45"/>
      <c r="M1876" s="3"/>
    </row>
    <row r="1877" spans="1:60" ht="25.5" x14ac:dyDescent="0.25">
      <c r="A1877" s="46" t="s">
        <v>7944</v>
      </c>
      <c r="B1877" s="46" t="s">
        <v>13</v>
      </c>
      <c r="C1877" s="46" t="s">
        <v>14</v>
      </c>
      <c r="D1877" s="47">
        <v>4124</v>
      </c>
      <c r="E1877" s="46" t="s">
        <v>7945</v>
      </c>
      <c r="F1877" s="48">
        <v>39580</v>
      </c>
      <c r="G1877" s="48">
        <v>40141</v>
      </c>
      <c r="H1877" s="46" t="s">
        <v>16</v>
      </c>
      <c r="I1877" s="45">
        <v>112500</v>
      </c>
      <c r="J1877" s="45">
        <v>33750</v>
      </c>
      <c r="K1877" s="49" t="s">
        <v>7941</v>
      </c>
      <c r="L1877" s="45"/>
      <c r="M1877" s="3"/>
    </row>
    <row r="1878" spans="1:60" ht="38.25" x14ac:dyDescent="0.25">
      <c r="A1878" s="46" t="s">
        <v>7946</v>
      </c>
      <c r="B1878" s="46" t="s">
        <v>13</v>
      </c>
      <c r="C1878" s="46" t="s">
        <v>14</v>
      </c>
      <c r="D1878" s="47">
        <v>4125</v>
      </c>
      <c r="E1878" s="50" t="s">
        <v>7947</v>
      </c>
      <c r="F1878" s="48">
        <v>39801</v>
      </c>
      <c r="G1878" s="48">
        <v>40535</v>
      </c>
      <c r="H1878" s="46" t="s">
        <v>16</v>
      </c>
      <c r="I1878" s="45">
        <v>987349.61</v>
      </c>
      <c r="J1878" s="45">
        <v>192533.17</v>
      </c>
      <c r="K1878" s="49" t="s">
        <v>7941</v>
      </c>
      <c r="L1878" s="45"/>
      <c r="M1878" s="3"/>
    </row>
    <row r="1879" spans="1:60" x14ac:dyDescent="0.25">
      <c r="A1879" s="46" t="s">
        <v>7948</v>
      </c>
      <c r="B1879" s="46" t="s">
        <v>13</v>
      </c>
      <c r="C1879" s="46" t="s">
        <v>14</v>
      </c>
      <c r="D1879" s="47">
        <v>10045</v>
      </c>
      <c r="E1879" s="46" t="s">
        <v>7949</v>
      </c>
      <c r="F1879" s="48">
        <v>40470</v>
      </c>
      <c r="G1879" s="48">
        <v>40533</v>
      </c>
      <c r="H1879" s="46" t="s">
        <v>16</v>
      </c>
      <c r="I1879" s="45">
        <v>75880</v>
      </c>
      <c r="J1879" s="45">
        <v>22500</v>
      </c>
      <c r="K1879" s="49" t="s">
        <v>7941</v>
      </c>
      <c r="L1879" s="45"/>
      <c r="M1879" s="3"/>
    </row>
    <row r="1880" spans="1:60" x14ac:dyDescent="0.25">
      <c r="A1880" s="46" t="s">
        <v>7113</v>
      </c>
      <c r="B1880" s="46" t="s">
        <v>13</v>
      </c>
      <c r="C1880" s="46" t="s">
        <v>14</v>
      </c>
      <c r="D1880" s="47">
        <v>10051</v>
      </c>
      <c r="E1880" s="46" t="s">
        <v>7950</v>
      </c>
      <c r="F1880" s="48">
        <v>40071</v>
      </c>
      <c r="G1880" s="48">
        <v>40269</v>
      </c>
      <c r="H1880" s="46" t="s">
        <v>16</v>
      </c>
      <c r="I1880" s="45">
        <v>6428.12</v>
      </c>
      <c r="J1880" s="45">
        <v>960</v>
      </c>
      <c r="K1880" s="49" t="s">
        <v>7941</v>
      </c>
      <c r="L1880" s="45"/>
      <c r="M1880" s="3"/>
    </row>
    <row r="1881" spans="1:60" x14ac:dyDescent="0.25">
      <c r="A1881" s="46" t="s">
        <v>7951</v>
      </c>
      <c r="B1881" s="46" t="s">
        <v>13</v>
      </c>
      <c r="C1881" s="46" t="s">
        <v>14</v>
      </c>
      <c r="D1881" s="47">
        <v>10069</v>
      </c>
      <c r="E1881" s="46" t="s">
        <v>7952</v>
      </c>
      <c r="F1881" s="48">
        <v>40812</v>
      </c>
      <c r="G1881" s="48">
        <v>40897</v>
      </c>
      <c r="H1881" s="46" t="s">
        <v>392</v>
      </c>
      <c r="I1881" s="45">
        <v>76967</v>
      </c>
      <c r="J1881" s="45">
        <v>26938</v>
      </c>
      <c r="K1881" s="49" t="s">
        <v>7941</v>
      </c>
      <c r="L1881" s="45"/>
      <c r="M1881" s="3"/>
    </row>
    <row r="1882" spans="1:60" ht="25.5" x14ac:dyDescent="0.25">
      <c r="A1882" s="46" t="s">
        <v>7953</v>
      </c>
      <c r="B1882" s="46" t="s">
        <v>13</v>
      </c>
      <c r="C1882" s="46" t="s">
        <v>14</v>
      </c>
      <c r="D1882" s="47">
        <v>10185</v>
      </c>
      <c r="E1882" s="46" t="s">
        <v>7954</v>
      </c>
      <c r="F1882" s="48">
        <v>41107</v>
      </c>
      <c r="G1882" s="48">
        <v>41528</v>
      </c>
      <c r="H1882" s="46" t="s">
        <v>392</v>
      </c>
      <c r="I1882" s="45">
        <v>1428500</v>
      </c>
      <c r="J1882" s="45">
        <v>449977.5</v>
      </c>
      <c r="K1882" s="49" t="s">
        <v>7941</v>
      </c>
      <c r="L1882" s="45"/>
      <c r="M1882" s="3"/>
    </row>
    <row r="1883" spans="1:60" x14ac:dyDescent="0.25">
      <c r="A1883" s="46" t="s">
        <v>7965</v>
      </c>
      <c r="B1883" s="46" t="s">
        <v>13</v>
      </c>
      <c r="C1883" s="46" t="s">
        <v>14</v>
      </c>
      <c r="D1883" s="47">
        <v>1923</v>
      </c>
      <c r="E1883" s="46" t="s">
        <v>7966</v>
      </c>
      <c r="F1883" s="48">
        <v>39114</v>
      </c>
      <c r="G1883" s="48">
        <v>41639</v>
      </c>
      <c r="H1883" s="46" t="s">
        <v>40</v>
      </c>
      <c r="I1883" s="45">
        <f>985+320</f>
        <v>1305</v>
      </c>
      <c r="J1883" s="45">
        <v>715</v>
      </c>
      <c r="K1883" s="49" t="s">
        <v>7941</v>
      </c>
      <c r="L1883" s="45"/>
      <c r="M1883" s="3"/>
    </row>
    <row r="1884" spans="1:60" x14ac:dyDescent="0.25">
      <c r="A1884" s="46" t="s">
        <v>8333</v>
      </c>
      <c r="B1884" s="46" t="s">
        <v>13</v>
      </c>
      <c r="C1884" s="46" t="s">
        <v>14</v>
      </c>
      <c r="D1884" s="47">
        <v>10618</v>
      </c>
      <c r="E1884" s="46" t="s">
        <v>8334</v>
      </c>
      <c r="F1884" s="48">
        <v>40909</v>
      </c>
      <c r="G1884" s="48">
        <v>41273</v>
      </c>
      <c r="H1884" s="46" t="s">
        <v>40</v>
      </c>
      <c r="I1884" s="45">
        <f>3171.47+211</f>
        <v>3382.47</v>
      </c>
      <c r="J1884" s="45">
        <f>1510.47+211</f>
        <v>1721.47</v>
      </c>
      <c r="K1884" s="49" t="s">
        <v>7941</v>
      </c>
      <c r="L1884" s="45"/>
      <c r="M1884" s="3"/>
    </row>
    <row r="1885" spans="1:60" ht="25.5" x14ac:dyDescent="0.25">
      <c r="A1885" s="46" t="s">
        <v>8346</v>
      </c>
      <c r="B1885" s="46" t="s">
        <v>13</v>
      </c>
      <c r="C1885" s="46" t="s">
        <v>14</v>
      </c>
      <c r="D1885" s="47">
        <v>4941</v>
      </c>
      <c r="E1885" s="46" t="s">
        <v>8347</v>
      </c>
      <c r="F1885" s="48">
        <v>39639</v>
      </c>
      <c r="G1885" s="48">
        <v>41152</v>
      </c>
      <c r="H1885" s="46" t="s">
        <v>2032</v>
      </c>
      <c r="I1885" s="45">
        <f>553409.56+190866.34</f>
        <v>744275.9</v>
      </c>
      <c r="J1885" s="45">
        <f>553409.56+190866.34</f>
        <v>744275.9</v>
      </c>
      <c r="K1885" s="49" t="s">
        <v>8348</v>
      </c>
      <c r="L1885" s="45"/>
      <c r="M1885" s="3"/>
    </row>
    <row r="1886" spans="1:60" ht="38.25" x14ac:dyDescent="0.25">
      <c r="A1886" s="46" t="s">
        <v>11516</v>
      </c>
      <c r="B1886" s="61" t="s">
        <v>13</v>
      </c>
      <c r="C1886" s="61" t="s">
        <v>14</v>
      </c>
      <c r="D1886" s="62">
        <v>11573</v>
      </c>
      <c r="E1886" s="46" t="s">
        <v>11517</v>
      </c>
      <c r="F1886" s="63">
        <v>40787</v>
      </c>
      <c r="G1886" s="63">
        <v>41152</v>
      </c>
      <c r="H1886" s="46" t="s">
        <v>2032</v>
      </c>
      <c r="I1886" s="64">
        <v>91652.98</v>
      </c>
      <c r="J1886" s="64">
        <v>91652.98</v>
      </c>
      <c r="K1886" s="49" t="s">
        <v>8348</v>
      </c>
      <c r="L1886" s="6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row>
    <row r="1887" spans="1:60" ht="25.5" x14ac:dyDescent="0.25">
      <c r="A1887" s="46" t="s">
        <v>8349</v>
      </c>
      <c r="B1887" s="46" t="s">
        <v>13</v>
      </c>
      <c r="C1887" s="46" t="s">
        <v>14</v>
      </c>
      <c r="D1887" s="47">
        <v>3875</v>
      </c>
      <c r="E1887" s="46" t="s">
        <v>8350</v>
      </c>
      <c r="F1887" s="48">
        <v>39455</v>
      </c>
      <c r="G1887" s="48">
        <v>39752</v>
      </c>
      <c r="H1887" s="46" t="s">
        <v>16</v>
      </c>
      <c r="I1887" s="45">
        <v>74400</v>
      </c>
      <c r="J1887" s="45">
        <v>22320</v>
      </c>
      <c r="K1887" s="49" t="s">
        <v>8348</v>
      </c>
      <c r="L1887" s="45"/>
      <c r="M1887" s="3"/>
    </row>
    <row r="1888" spans="1:60" x14ac:dyDescent="0.25">
      <c r="A1888" s="46" t="s">
        <v>8351</v>
      </c>
      <c r="B1888" s="46" t="s">
        <v>13</v>
      </c>
      <c r="C1888" s="46" t="s">
        <v>14</v>
      </c>
      <c r="D1888" s="47">
        <v>3880</v>
      </c>
      <c r="E1888" s="46" t="s">
        <v>8352</v>
      </c>
      <c r="F1888" s="48">
        <v>39596</v>
      </c>
      <c r="G1888" s="48">
        <v>40087</v>
      </c>
      <c r="H1888" s="46" t="s">
        <v>16</v>
      </c>
      <c r="I1888" s="45">
        <v>10800</v>
      </c>
      <c r="J1888" s="45">
        <v>2385</v>
      </c>
      <c r="K1888" s="49" t="s">
        <v>8348</v>
      </c>
      <c r="L1888" s="45"/>
      <c r="M1888" s="3"/>
    </row>
    <row r="1889" spans="1:13" x14ac:dyDescent="0.25">
      <c r="A1889" s="46" t="s">
        <v>8353</v>
      </c>
      <c r="B1889" s="46" t="s">
        <v>13</v>
      </c>
      <c r="C1889" s="46" t="s">
        <v>14</v>
      </c>
      <c r="D1889" s="47">
        <v>3881</v>
      </c>
      <c r="E1889" s="46" t="s">
        <v>8354</v>
      </c>
      <c r="F1889" s="48">
        <v>39860</v>
      </c>
      <c r="G1889" s="48">
        <v>40332</v>
      </c>
      <c r="H1889" s="46" t="s">
        <v>16</v>
      </c>
      <c r="I1889" s="45">
        <v>213300</v>
      </c>
      <c r="J1889" s="45">
        <v>63000</v>
      </c>
      <c r="K1889" s="49" t="s">
        <v>8348</v>
      </c>
      <c r="L1889" s="45"/>
      <c r="M1889" s="3"/>
    </row>
    <row r="1890" spans="1:13" x14ac:dyDescent="0.25">
      <c r="A1890" s="46" t="s">
        <v>8355</v>
      </c>
      <c r="B1890" s="46" t="s">
        <v>13</v>
      </c>
      <c r="C1890" s="46" t="s">
        <v>14</v>
      </c>
      <c r="D1890" s="47">
        <v>4129</v>
      </c>
      <c r="E1890" s="46" t="s">
        <v>8356</v>
      </c>
      <c r="F1890" s="48">
        <v>39514</v>
      </c>
      <c r="G1890" s="48">
        <v>40256</v>
      </c>
      <c r="H1890" s="46" t="s">
        <v>16</v>
      </c>
      <c r="I1890" s="45">
        <v>149400</v>
      </c>
      <c r="J1890" s="45">
        <v>29133</v>
      </c>
      <c r="K1890" s="49" t="s">
        <v>8348</v>
      </c>
      <c r="L1890" s="45"/>
      <c r="M1890" s="3"/>
    </row>
    <row r="1891" spans="1:13" x14ac:dyDescent="0.25">
      <c r="A1891" s="46" t="s">
        <v>8357</v>
      </c>
      <c r="B1891" s="46" t="s">
        <v>13</v>
      </c>
      <c r="C1891" s="46" t="s">
        <v>14</v>
      </c>
      <c r="D1891" s="47">
        <v>4404</v>
      </c>
      <c r="E1891" s="46" t="s">
        <v>8358</v>
      </c>
      <c r="F1891" s="48">
        <v>39326</v>
      </c>
      <c r="G1891" s="48">
        <v>40056</v>
      </c>
      <c r="H1891" s="46" t="s">
        <v>2039</v>
      </c>
      <c r="I1891" s="45">
        <v>105063.41</v>
      </c>
      <c r="J1891" s="45">
        <v>105063.41</v>
      </c>
      <c r="K1891" s="49" t="s">
        <v>8348</v>
      </c>
      <c r="L1891" s="45"/>
      <c r="M1891" s="3"/>
    </row>
    <row r="1892" spans="1:13" x14ac:dyDescent="0.25">
      <c r="A1892" s="46" t="s">
        <v>8359</v>
      </c>
      <c r="B1892" s="46" t="s">
        <v>13</v>
      </c>
      <c r="C1892" s="46" t="s">
        <v>14</v>
      </c>
      <c r="D1892" s="47">
        <v>4408</v>
      </c>
      <c r="E1892" s="46" t="s">
        <v>8360</v>
      </c>
      <c r="F1892" s="48">
        <v>39601</v>
      </c>
      <c r="G1892" s="48">
        <v>39965</v>
      </c>
      <c r="H1892" s="46" t="s">
        <v>2039</v>
      </c>
      <c r="I1892" s="45">
        <v>87903.98</v>
      </c>
      <c r="J1892" s="45">
        <v>87903.98</v>
      </c>
      <c r="K1892" s="49" t="s">
        <v>8348</v>
      </c>
      <c r="L1892" s="45"/>
      <c r="M1892" s="3"/>
    </row>
    <row r="1893" spans="1:13" x14ac:dyDescent="0.25">
      <c r="A1893" s="46" t="s">
        <v>8361</v>
      </c>
      <c r="B1893" s="46" t="s">
        <v>13</v>
      </c>
      <c r="C1893" s="46" t="s">
        <v>14</v>
      </c>
      <c r="D1893" s="47">
        <v>4938</v>
      </c>
      <c r="E1893" s="46" t="s">
        <v>8361</v>
      </c>
      <c r="F1893" s="48">
        <v>39753</v>
      </c>
      <c r="G1893" s="48">
        <v>40162</v>
      </c>
      <c r="H1893" s="46" t="s">
        <v>2039</v>
      </c>
      <c r="I1893" s="45">
        <v>55523.43</v>
      </c>
      <c r="J1893" s="45">
        <v>55523.43</v>
      </c>
      <c r="K1893" s="49" t="s">
        <v>8348</v>
      </c>
      <c r="L1893" s="45"/>
      <c r="M1893" s="3"/>
    </row>
    <row r="1894" spans="1:13" ht="25.5" x14ac:dyDescent="0.25">
      <c r="A1894" s="46" t="s">
        <v>8362</v>
      </c>
      <c r="B1894" s="46" t="s">
        <v>13</v>
      </c>
      <c r="C1894" s="46" t="s">
        <v>14</v>
      </c>
      <c r="D1894" s="47">
        <v>4943</v>
      </c>
      <c r="E1894" s="46" t="s">
        <v>8363</v>
      </c>
      <c r="F1894" s="48">
        <v>39934</v>
      </c>
      <c r="G1894" s="48">
        <v>40497</v>
      </c>
      <c r="H1894" s="46" t="s">
        <v>2039</v>
      </c>
      <c r="I1894" s="45">
        <v>74611.740000000005</v>
      </c>
      <c r="J1894" s="45">
        <v>74611.740000000005</v>
      </c>
      <c r="K1894" s="49" t="s">
        <v>8348</v>
      </c>
      <c r="L1894" s="45"/>
      <c r="M1894" s="3"/>
    </row>
    <row r="1895" spans="1:13" x14ac:dyDescent="0.25">
      <c r="A1895" s="46" t="s">
        <v>8364</v>
      </c>
      <c r="B1895" s="46" t="s">
        <v>13</v>
      </c>
      <c r="C1895" s="46" t="s">
        <v>14</v>
      </c>
      <c r="D1895" s="47">
        <v>4944</v>
      </c>
      <c r="E1895" s="46" t="s">
        <v>8364</v>
      </c>
      <c r="F1895" s="48">
        <v>39965</v>
      </c>
      <c r="G1895" s="48">
        <v>40329</v>
      </c>
      <c r="H1895" s="46" t="s">
        <v>2039</v>
      </c>
      <c r="I1895" s="45">
        <v>97950.81</v>
      </c>
      <c r="J1895" s="45">
        <v>97950.81</v>
      </c>
      <c r="K1895" s="49" t="s">
        <v>8348</v>
      </c>
      <c r="L1895" s="45"/>
      <c r="M1895" s="3"/>
    </row>
    <row r="1896" spans="1:13" ht="25.5" x14ac:dyDescent="0.25">
      <c r="A1896" s="46" t="s">
        <v>8365</v>
      </c>
      <c r="B1896" s="46" t="s">
        <v>13</v>
      </c>
      <c r="C1896" s="46" t="s">
        <v>14</v>
      </c>
      <c r="D1896" s="47">
        <v>4945</v>
      </c>
      <c r="E1896" s="46" t="s">
        <v>8366</v>
      </c>
      <c r="F1896" s="48">
        <v>40148</v>
      </c>
      <c r="G1896" s="48">
        <v>40512</v>
      </c>
      <c r="H1896" s="46" t="s">
        <v>2039</v>
      </c>
      <c r="I1896" s="45">
        <v>79500.23</v>
      </c>
      <c r="J1896" s="45">
        <v>79500.23</v>
      </c>
      <c r="K1896" s="49" t="s">
        <v>8348</v>
      </c>
      <c r="L1896" s="45"/>
      <c r="M1896" s="3"/>
    </row>
    <row r="1897" spans="1:13" x14ac:dyDescent="0.25">
      <c r="A1897" s="46" t="s">
        <v>8367</v>
      </c>
      <c r="B1897" s="46" t="s">
        <v>13</v>
      </c>
      <c r="C1897" s="46" t="s">
        <v>14</v>
      </c>
      <c r="D1897" s="47">
        <v>4947</v>
      </c>
      <c r="E1897" s="46" t="s">
        <v>8368</v>
      </c>
      <c r="F1897" s="48">
        <v>40087</v>
      </c>
      <c r="G1897" s="48">
        <v>40451</v>
      </c>
      <c r="H1897" s="46" t="s">
        <v>2039</v>
      </c>
      <c r="I1897" s="45">
        <v>76105.240000000005</v>
      </c>
      <c r="J1897" s="45">
        <v>76105.240000000005</v>
      </c>
      <c r="K1897" s="49" t="s">
        <v>8348</v>
      </c>
      <c r="L1897" s="45"/>
      <c r="M1897" s="3"/>
    </row>
    <row r="1898" spans="1:13" ht="25.5" x14ac:dyDescent="0.25">
      <c r="A1898" s="46" t="s">
        <v>8369</v>
      </c>
      <c r="B1898" s="46" t="s">
        <v>13</v>
      </c>
      <c r="C1898" s="46" t="s">
        <v>14</v>
      </c>
      <c r="D1898" s="47">
        <v>4948</v>
      </c>
      <c r="E1898" s="46" t="s">
        <v>8370</v>
      </c>
      <c r="F1898" s="48">
        <v>40087</v>
      </c>
      <c r="G1898" s="48">
        <v>40451</v>
      </c>
      <c r="H1898" s="46" t="s">
        <v>2039</v>
      </c>
      <c r="I1898" s="45">
        <v>84311.99</v>
      </c>
      <c r="J1898" s="45">
        <v>84311.99</v>
      </c>
      <c r="K1898" s="49" t="s">
        <v>8348</v>
      </c>
      <c r="L1898" s="45"/>
      <c r="M1898" s="3"/>
    </row>
    <row r="1899" spans="1:13" x14ac:dyDescent="0.25">
      <c r="A1899" s="46" t="s">
        <v>8371</v>
      </c>
      <c r="B1899" s="46" t="s">
        <v>13</v>
      </c>
      <c r="C1899" s="46" t="s">
        <v>14</v>
      </c>
      <c r="D1899" s="47">
        <v>4949</v>
      </c>
      <c r="E1899" s="46" t="s">
        <v>8372</v>
      </c>
      <c r="F1899" s="48">
        <v>39264</v>
      </c>
      <c r="G1899" s="48">
        <v>39629</v>
      </c>
      <c r="H1899" s="46" t="s">
        <v>2039</v>
      </c>
      <c r="I1899" s="45">
        <v>91668.32</v>
      </c>
      <c r="J1899" s="45">
        <v>91668.32</v>
      </c>
      <c r="K1899" s="49" t="s">
        <v>8348</v>
      </c>
      <c r="L1899" s="45"/>
      <c r="M1899" s="3"/>
    </row>
    <row r="1900" spans="1:13" x14ac:dyDescent="0.25">
      <c r="A1900" s="46" t="s">
        <v>8373</v>
      </c>
      <c r="B1900" s="46" t="s">
        <v>13</v>
      </c>
      <c r="C1900" s="46" t="s">
        <v>14</v>
      </c>
      <c r="D1900" s="47">
        <v>4951</v>
      </c>
      <c r="E1900" s="46" t="s">
        <v>8374</v>
      </c>
      <c r="F1900" s="48">
        <v>39234</v>
      </c>
      <c r="G1900" s="48">
        <v>39813</v>
      </c>
      <c r="H1900" s="46" t="s">
        <v>2039</v>
      </c>
      <c r="I1900" s="45">
        <v>85184.86</v>
      </c>
      <c r="J1900" s="45">
        <v>85184.86</v>
      </c>
      <c r="K1900" s="49" t="s">
        <v>8348</v>
      </c>
      <c r="L1900" s="45"/>
      <c r="M1900" s="3"/>
    </row>
    <row r="1901" spans="1:13" ht="25.5" x14ac:dyDescent="0.25">
      <c r="A1901" s="46" t="s">
        <v>8375</v>
      </c>
      <c r="B1901" s="46" t="s">
        <v>13</v>
      </c>
      <c r="C1901" s="46" t="s">
        <v>14</v>
      </c>
      <c r="D1901" s="47">
        <v>4952</v>
      </c>
      <c r="E1901" s="46" t="s">
        <v>8375</v>
      </c>
      <c r="F1901" s="48">
        <v>39356</v>
      </c>
      <c r="G1901" s="48">
        <v>39844</v>
      </c>
      <c r="H1901" s="46" t="s">
        <v>2039</v>
      </c>
      <c r="I1901" s="45">
        <v>82596.87</v>
      </c>
      <c r="J1901" s="45">
        <v>82596.87</v>
      </c>
      <c r="K1901" s="49" t="s">
        <v>8348</v>
      </c>
      <c r="L1901" s="45"/>
      <c r="M1901" s="3"/>
    </row>
    <row r="1902" spans="1:13" ht="25.5" x14ac:dyDescent="0.25">
      <c r="A1902" s="46" t="s">
        <v>8376</v>
      </c>
      <c r="B1902" s="46" t="s">
        <v>13</v>
      </c>
      <c r="C1902" s="46" t="s">
        <v>14</v>
      </c>
      <c r="D1902" s="47">
        <v>4954</v>
      </c>
      <c r="E1902" s="46" t="s">
        <v>8376</v>
      </c>
      <c r="F1902" s="48">
        <v>39417</v>
      </c>
      <c r="G1902" s="48">
        <v>39782</v>
      </c>
      <c r="H1902" s="46" t="s">
        <v>2039</v>
      </c>
      <c r="I1902" s="45">
        <v>80372.22</v>
      </c>
      <c r="J1902" s="45">
        <v>80372.22</v>
      </c>
      <c r="K1902" s="49" t="s">
        <v>8348</v>
      </c>
      <c r="L1902" s="45"/>
      <c r="M1902" s="3"/>
    </row>
    <row r="1903" spans="1:13" ht="25.5" x14ac:dyDescent="0.25">
      <c r="A1903" s="46" t="s">
        <v>8377</v>
      </c>
      <c r="B1903" s="46" t="s">
        <v>13</v>
      </c>
      <c r="C1903" s="46" t="s">
        <v>14</v>
      </c>
      <c r="D1903" s="47">
        <v>4957</v>
      </c>
      <c r="E1903" s="46" t="s">
        <v>8378</v>
      </c>
      <c r="F1903" s="48">
        <v>39234</v>
      </c>
      <c r="G1903" s="48">
        <v>39964</v>
      </c>
      <c r="H1903" s="46" t="s">
        <v>2039</v>
      </c>
      <c r="I1903" s="45">
        <v>349626</v>
      </c>
      <c r="J1903" s="45">
        <v>349626</v>
      </c>
      <c r="K1903" s="49" t="s">
        <v>8348</v>
      </c>
      <c r="L1903" s="45"/>
      <c r="M1903" s="3"/>
    </row>
    <row r="1904" spans="1:13" x14ac:dyDescent="0.25">
      <c r="A1904" s="46" t="s">
        <v>8379</v>
      </c>
      <c r="B1904" s="46" t="s">
        <v>13</v>
      </c>
      <c r="C1904" s="46" t="s">
        <v>14</v>
      </c>
      <c r="D1904" s="47">
        <v>4960</v>
      </c>
      <c r="E1904" s="46" t="s">
        <v>8380</v>
      </c>
      <c r="F1904" s="48">
        <v>39356</v>
      </c>
      <c r="G1904" s="48">
        <v>40268</v>
      </c>
      <c r="H1904" s="46" t="s">
        <v>2039</v>
      </c>
      <c r="I1904" s="45">
        <v>361788.49</v>
      </c>
      <c r="J1904" s="45">
        <v>361788.49</v>
      </c>
      <c r="K1904" s="49" t="s">
        <v>8348</v>
      </c>
      <c r="L1904" s="45"/>
      <c r="M1904" s="3"/>
    </row>
    <row r="1905" spans="1:60" x14ac:dyDescent="0.25">
      <c r="A1905" s="46" t="s">
        <v>8381</v>
      </c>
      <c r="B1905" s="46" t="s">
        <v>13</v>
      </c>
      <c r="C1905" s="46" t="s">
        <v>14</v>
      </c>
      <c r="D1905" s="47">
        <v>4965</v>
      </c>
      <c r="E1905" s="46" t="s">
        <v>8382</v>
      </c>
      <c r="F1905" s="48">
        <v>39387</v>
      </c>
      <c r="G1905" s="48">
        <v>40117</v>
      </c>
      <c r="H1905" s="46" t="s">
        <v>2039</v>
      </c>
      <c r="I1905" s="45">
        <v>376419.19</v>
      </c>
      <c r="J1905" s="45">
        <v>376419.19</v>
      </c>
      <c r="K1905" s="49" t="s">
        <v>8348</v>
      </c>
      <c r="L1905" s="45"/>
      <c r="M1905" s="3"/>
    </row>
    <row r="1906" spans="1:60" x14ac:dyDescent="0.25">
      <c r="A1906" s="46" t="s">
        <v>8383</v>
      </c>
      <c r="B1906" s="46" t="s">
        <v>13</v>
      </c>
      <c r="C1906" s="46" t="s">
        <v>14</v>
      </c>
      <c r="D1906" s="47">
        <v>4967</v>
      </c>
      <c r="E1906" s="46" t="s">
        <v>8383</v>
      </c>
      <c r="F1906" s="48">
        <v>39448</v>
      </c>
      <c r="G1906" s="48">
        <v>40178</v>
      </c>
      <c r="H1906" s="46" t="s">
        <v>2039</v>
      </c>
      <c r="I1906" s="45">
        <v>405673.49</v>
      </c>
      <c r="J1906" s="45">
        <v>405673.49</v>
      </c>
      <c r="K1906" s="49" t="s">
        <v>8348</v>
      </c>
      <c r="L1906" s="45"/>
      <c r="M1906" s="3"/>
    </row>
    <row r="1907" spans="1:60" x14ac:dyDescent="0.25">
      <c r="A1907" s="46" t="s">
        <v>8384</v>
      </c>
      <c r="B1907" s="46" t="s">
        <v>13</v>
      </c>
      <c r="C1907" s="46" t="s">
        <v>14</v>
      </c>
      <c r="D1907" s="47">
        <v>4969</v>
      </c>
      <c r="E1907" s="46" t="s">
        <v>8385</v>
      </c>
      <c r="F1907" s="48">
        <v>39600</v>
      </c>
      <c r="G1907" s="48">
        <v>40329</v>
      </c>
      <c r="H1907" s="46" t="s">
        <v>2039</v>
      </c>
      <c r="I1907" s="45">
        <v>437740.37</v>
      </c>
      <c r="J1907" s="45">
        <v>437740.37</v>
      </c>
      <c r="K1907" s="49" t="s">
        <v>8348</v>
      </c>
      <c r="L1907" s="45"/>
      <c r="M1907" s="3"/>
    </row>
    <row r="1908" spans="1:60" ht="25.5" x14ac:dyDescent="0.25">
      <c r="A1908" s="46" t="s">
        <v>8386</v>
      </c>
      <c r="B1908" s="46" t="s">
        <v>13</v>
      </c>
      <c r="C1908" s="46" t="s">
        <v>14</v>
      </c>
      <c r="D1908" s="47">
        <v>4978</v>
      </c>
      <c r="E1908" s="46" t="s">
        <v>8387</v>
      </c>
      <c r="F1908" s="48">
        <v>39569</v>
      </c>
      <c r="G1908" s="48">
        <v>40328</v>
      </c>
      <c r="H1908" s="46" t="s">
        <v>2039</v>
      </c>
      <c r="I1908" s="45">
        <v>402810.77</v>
      </c>
      <c r="J1908" s="45">
        <v>402810.77</v>
      </c>
      <c r="K1908" s="49" t="s">
        <v>8348</v>
      </c>
      <c r="L1908" s="45"/>
      <c r="M1908" s="3"/>
    </row>
    <row r="1909" spans="1:60" ht="25.5" x14ac:dyDescent="0.25">
      <c r="A1909" s="46" t="s">
        <v>8388</v>
      </c>
      <c r="B1909" s="46" t="s">
        <v>13</v>
      </c>
      <c r="C1909" s="46" t="s">
        <v>14</v>
      </c>
      <c r="D1909" s="47">
        <v>4982</v>
      </c>
      <c r="E1909" s="46" t="s">
        <v>8389</v>
      </c>
      <c r="F1909" s="48">
        <v>39479</v>
      </c>
      <c r="G1909" s="48">
        <v>40848</v>
      </c>
      <c r="H1909" s="46" t="s">
        <v>2039</v>
      </c>
      <c r="I1909" s="45">
        <v>219145.13</v>
      </c>
      <c r="J1909" s="45">
        <v>219145.13</v>
      </c>
      <c r="K1909" s="49" t="s">
        <v>8348</v>
      </c>
      <c r="L1909" s="45"/>
      <c r="M1909" s="3"/>
    </row>
    <row r="1910" spans="1:60" ht="25.5" x14ac:dyDescent="0.25">
      <c r="A1910" s="46" t="s">
        <v>8390</v>
      </c>
      <c r="B1910" s="46" t="s">
        <v>13</v>
      </c>
      <c r="C1910" s="46" t="s">
        <v>14</v>
      </c>
      <c r="D1910" s="47">
        <v>4985</v>
      </c>
      <c r="E1910" s="46" t="s">
        <v>8390</v>
      </c>
      <c r="F1910" s="48">
        <v>40087</v>
      </c>
      <c r="G1910" s="48">
        <v>40816</v>
      </c>
      <c r="H1910" s="46" t="s">
        <v>2039</v>
      </c>
      <c r="I1910" s="45">
        <v>326011.15000000002</v>
      </c>
      <c r="J1910" s="45">
        <v>326011.15000000002</v>
      </c>
      <c r="K1910" s="49" t="s">
        <v>8348</v>
      </c>
      <c r="L1910" s="45"/>
      <c r="M1910" s="3"/>
    </row>
    <row r="1911" spans="1:60" ht="25.5" x14ac:dyDescent="0.25">
      <c r="A1911" s="46" t="s">
        <v>8391</v>
      </c>
      <c r="B1911" s="46" t="s">
        <v>13</v>
      </c>
      <c r="C1911" s="46" t="s">
        <v>14</v>
      </c>
      <c r="D1911" s="47">
        <v>4987</v>
      </c>
      <c r="E1911" s="46" t="s">
        <v>8391</v>
      </c>
      <c r="F1911" s="48">
        <v>40057</v>
      </c>
      <c r="G1911" s="48">
        <v>40786</v>
      </c>
      <c r="H1911" s="46" t="s">
        <v>2039</v>
      </c>
      <c r="I1911" s="45">
        <v>264707.15000000002</v>
      </c>
      <c r="J1911" s="45">
        <v>264707.15000000002</v>
      </c>
      <c r="K1911" s="49" t="s">
        <v>8348</v>
      </c>
      <c r="L1911" s="45"/>
      <c r="M1911" s="3"/>
    </row>
    <row r="1912" spans="1:60" x14ac:dyDescent="0.25">
      <c r="A1912" s="46" t="s">
        <v>8392</v>
      </c>
      <c r="B1912" s="46" t="s">
        <v>13</v>
      </c>
      <c r="C1912" s="46" t="s">
        <v>14</v>
      </c>
      <c r="D1912" s="47">
        <v>4989</v>
      </c>
      <c r="E1912" s="46" t="s">
        <v>8392</v>
      </c>
      <c r="F1912" s="48">
        <v>40087</v>
      </c>
      <c r="G1912" s="48">
        <v>40816</v>
      </c>
      <c r="H1912" s="46" t="s">
        <v>2039</v>
      </c>
      <c r="I1912" s="45">
        <v>311236.24</v>
      </c>
      <c r="J1912" s="45">
        <v>311236.24</v>
      </c>
      <c r="K1912" s="49" t="s">
        <v>8348</v>
      </c>
      <c r="L1912" s="45"/>
      <c r="M1912" s="3"/>
    </row>
    <row r="1913" spans="1:60" x14ac:dyDescent="0.25">
      <c r="A1913" s="46" t="s">
        <v>8393</v>
      </c>
      <c r="B1913" s="46" t="s">
        <v>13</v>
      </c>
      <c r="C1913" s="46" t="s">
        <v>14</v>
      </c>
      <c r="D1913" s="47">
        <v>4992</v>
      </c>
      <c r="E1913" s="46" t="s">
        <v>8394</v>
      </c>
      <c r="F1913" s="48">
        <v>39295</v>
      </c>
      <c r="G1913" s="48">
        <v>39568</v>
      </c>
      <c r="H1913" s="46" t="s">
        <v>2039</v>
      </c>
      <c r="I1913" s="45">
        <v>89603.5</v>
      </c>
      <c r="J1913" s="45">
        <v>89603.5</v>
      </c>
      <c r="K1913" s="49" t="s">
        <v>8348</v>
      </c>
      <c r="L1913" s="45"/>
      <c r="M1913" s="3"/>
    </row>
    <row r="1914" spans="1:60" ht="25.5" x14ac:dyDescent="0.25">
      <c r="A1914" s="46" t="s">
        <v>8395</v>
      </c>
      <c r="B1914" s="46" t="s">
        <v>13</v>
      </c>
      <c r="C1914" s="46" t="s">
        <v>14</v>
      </c>
      <c r="D1914" s="47">
        <v>6540</v>
      </c>
      <c r="E1914" s="46" t="s">
        <v>8395</v>
      </c>
      <c r="F1914" s="48">
        <v>40360</v>
      </c>
      <c r="G1914" s="48">
        <v>41152</v>
      </c>
      <c r="H1914" s="46" t="s">
        <v>2039</v>
      </c>
      <c r="I1914" s="45">
        <v>172249.73</v>
      </c>
      <c r="J1914" s="45">
        <v>172249.73</v>
      </c>
      <c r="K1914" s="49" t="s">
        <v>8348</v>
      </c>
      <c r="L1914" s="46"/>
    </row>
    <row r="1915" spans="1:60" ht="25.5" x14ac:dyDescent="0.25">
      <c r="A1915" s="46" t="s">
        <v>8396</v>
      </c>
      <c r="B1915" s="46" t="s">
        <v>13</v>
      </c>
      <c r="C1915" s="46" t="s">
        <v>14</v>
      </c>
      <c r="D1915" s="47">
        <v>11574</v>
      </c>
      <c r="E1915" s="46" t="s">
        <v>8397</v>
      </c>
      <c r="F1915" s="48">
        <v>40544</v>
      </c>
      <c r="G1915" s="48">
        <v>40755</v>
      </c>
      <c r="H1915" s="46" t="s">
        <v>2039</v>
      </c>
      <c r="I1915" s="45">
        <v>16553.88</v>
      </c>
      <c r="J1915" s="45">
        <v>16553.88</v>
      </c>
      <c r="K1915" s="49" t="s">
        <v>8348</v>
      </c>
      <c r="L1915" s="45"/>
      <c r="M1915" s="3"/>
    </row>
    <row r="1916" spans="1:60" ht="25.5" x14ac:dyDescent="0.25">
      <c r="A1916" s="46" t="s">
        <v>8398</v>
      </c>
      <c r="B1916" s="46" t="s">
        <v>13</v>
      </c>
      <c r="C1916" s="46" t="s">
        <v>14</v>
      </c>
      <c r="D1916" s="47">
        <v>11575</v>
      </c>
      <c r="E1916" s="46" t="s">
        <v>8399</v>
      </c>
      <c r="F1916" s="48">
        <v>40787</v>
      </c>
      <c r="G1916" s="48">
        <v>40999</v>
      </c>
      <c r="H1916" s="46" t="s">
        <v>2039</v>
      </c>
      <c r="I1916" s="45">
        <f>15424.68+9891.59</f>
        <v>25316.27</v>
      </c>
      <c r="J1916" s="45">
        <f>15424.68+9891.59</f>
        <v>25316.27</v>
      </c>
      <c r="K1916" s="49" t="s">
        <v>8348</v>
      </c>
      <c r="L1916" s="45"/>
      <c r="M1916" s="3"/>
    </row>
    <row r="1917" spans="1:60" ht="25.5" x14ac:dyDescent="0.25">
      <c r="A1917" s="46" t="s">
        <v>11506</v>
      </c>
      <c r="B1917" s="61" t="s">
        <v>13</v>
      </c>
      <c r="C1917" s="61" t="s">
        <v>14</v>
      </c>
      <c r="D1917" s="62">
        <v>12981</v>
      </c>
      <c r="E1917" s="46" t="s">
        <v>11507</v>
      </c>
      <c r="F1917" s="63">
        <v>40909</v>
      </c>
      <c r="G1917" s="63">
        <v>41155</v>
      </c>
      <c r="H1917" s="46" t="s">
        <v>2039</v>
      </c>
      <c r="I1917" s="64">
        <v>47880.95</v>
      </c>
      <c r="J1917" s="64">
        <v>47880.95</v>
      </c>
      <c r="K1917" s="65" t="s">
        <v>8348</v>
      </c>
      <c r="L1917" s="6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row>
    <row r="1918" spans="1:60" ht="25.5" x14ac:dyDescent="0.25">
      <c r="A1918" s="46" t="s">
        <v>11508</v>
      </c>
      <c r="B1918" s="61" t="s">
        <v>13</v>
      </c>
      <c r="C1918" s="61" t="s">
        <v>14</v>
      </c>
      <c r="D1918" s="62">
        <v>12982</v>
      </c>
      <c r="E1918" s="46" t="s">
        <v>11509</v>
      </c>
      <c r="F1918" s="63">
        <v>40878</v>
      </c>
      <c r="G1918" s="63">
        <v>41671</v>
      </c>
      <c r="H1918" s="46" t="s">
        <v>2039</v>
      </c>
      <c r="I1918" s="64">
        <v>155181.32</v>
      </c>
      <c r="J1918" s="64">
        <v>155181.32</v>
      </c>
      <c r="K1918" s="65" t="s">
        <v>8348</v>
      </c>
      <c r="L1918" s="6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row>
    <row r="1919" spans="1:60" ht="25.5" x14ac:dyDescent="0.25">
      <c r="A1919" s="46" t="s">
        <v>11614</v>
      </c>
      <c r="B1919" s="61" t="s">
        <v>13</v>
      </c>
      <c r="C1919" s="61" t="s">
        <v>14</v>
      </c>
      <c r="D1919" s="62">
        <v>12983</v>
      </c>
      <c r="E1919" s="46" t="s">
        <v>11615</v>
      </c>
      <c r="F1919" s="63">
        <v>40911</v>
      </c>
      <c r="G1919" s="63">
        <v>41458</v>
      </c>
      <c r="H1919" s="46" t="s">
        <v>2039</v>
      </c>
      <c r="I1919" s="64">
        <v>101962.43</v>
      </c>
      <c r="J1919" s="64">
        <v>101962.43</v>
      </c>
      <c r="K1919" s="65" t="s">
        <v>8348</v>
      </c>
      <c r="L1919" s="6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row>
    <row r="1920" spans="1:60" ht="25.5" x14ac:dyDescent="0.25">
      <c r="A1920" s="46" t="s">
        <v>11510</v>
      </c>
      <c r="B1920" s="61" t="s">
        <v>13</v>
      </c>
      <c r="C1920" s="61" t="s">
        <v>14</v>
      </c>
      <c r="D1920" s="62">
        <v>12984</v>
      </c>
      <c r="E1920" s="46" t="s">
        <v>11511</v>
      </c>
      <c r="F1920" s="63">
        <v>40909</v>
      </c>
      <c r="G1920" s="63">
        <v>41456</v>
      </c>
      <c r="H1920" s="46" t="s">
        <v>2039</v>
      </c>
      <c r="I1920" s="64">
        <v>60298.38</v>
      </c>
      <c r="J1920" s="64">
        <v>60298.38</v>
      </c>
      <c r="K1920" s="65" t="s">
        <v>8348</v>
      </c>
      <c r="L1920" s="6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row>
    <row r="1921" spans="1:60" ht="38.25" x14ac:dyDescent="0.25">
      <c r="A1921" s="46" t="s">
        <v>11512</v>
      </c>
      <c r="B1921" s="61" t="s">
        <v>13</v>
      </c>
      <c r="C1921" s="61" t="s">
        <v>14</v>
      </c>
      <c r="D1921" s="62">
        <v>12985</v>
      </c>
      <c r="E1921" s="46" t="s">
        <v>11513</v>
      </c>
      <c r="F1921" s="63">
        <v>40909</v>
      </c>
      <c r="G1921" s="63">
        <v>41486</v>
      </c>
      <c r="H1921" s="46" t="s">
        <v>2039</v>
      </c>
      <c r="I1921" s="64">
        <v>58436.5</v>
      </c>
      <c r="J1921" s="64">
        <v>58436.5</v>
      </c>
      <c r="K1921" s="65" t="s">
        <v>8348</v>
      </c>
      <c r="L1921" s="6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row>
    <row r="1922" spans="1:60" ht="25.5" x14ac:dyDescent="0.25">
      <c r="A1922" s="46" t="s">
        <v>11514</v>
      </c>
      <c r="B1922" s="61" t="s">
        <v>13</v>
      </c>
      <c r="C1922" s="61" t="s">
        <v>14</v>
      </c>
      <c r="D1922" s="62">
        <v>12986</v>
      </c>
      <c r="E1922" s="46" t="s">
        <v>11515</v>
      </c>
      <c r="F1922" s="63">
        <v>40878</v>
      </c>
      <c r="G1922" s="63">
        <v>41653</v>
      </c>
      <c r="H1922" s="46" t="s">
        <v>2039</v>
      </c>
      <c r="I1922" s="64">
        <v>35092.6</v>
      </c>
      <c r="J1922" s="64">
        <v>35092.6</v>
      </c>
      <c r="K1922" s="65" t="s">
        <v>8348</v>
      </c>
      <c r="L1922" s="6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row>
    <row r="1923" spans="1:60" ht="38.25" x14ac:dyDescent="0.25">
      <c r="A1923" s="46" t="s">
        <v>11603</v>
      </c>
      <c r="B1923" s="61" t="s">
        <v>13</v>
      </c>
      <c r="C1923" s="61" t="s">
        <v>14</v>
      </c>
      <c r="D1923" s="62">
        <v>13034</v>
      </c>
      <c r="E1923" s="46" t="s">
        <v>11539</v>
      </c>
      <c r="F1923" s="63">
        <v>40544</v>
      </c>
      <c r="G1923" s="63">
        <v>42825</v>
      </c>
      <c r="H1923" s="61" t="s">
        <v>3587</v>
      </c>
      <c r="I1923" s="64">
        <v>295289.2</v>
      </c>
      <c r="J1923" s="64">
        <v>295289.2</v>
      </c>
      <c r="K1923" s="65" t="s">
        <v>8348</v>
      </c>
      <c r="L1923" s="6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row>
    <row r="1924" spans="1:60" ht="76.5" x14ac:dyDescent="0.25">
      <c r="A1924" s="46" t="s">
        <v>8897</v>
      </c>
      <c r="B1924" s="46" t="s">
        <v>13</v>
      </c>
      <c r="C1924" s="61" t="s">
        <v>14</v>
      </c>
      <c r="D1924" s="47">
        <v>3682</v>
      </c>
      <c r="E1924" s="50" t="s">
        <v>8898</v>
      </c>
      <c r="F1924" s="48">
        <v>39083</v>
      </c>
      <c r="G1924" s="48">
        <v>42369</v>
      </c>
      <c r="H1924" s="46" t="s">
        <v>2637</v>
      </c>
      <c r="I1924" s="45">
        <v>432192.81</v>
      </c>
      <c r="J1924" s="45">
        <v>432192.81</v>
      </c>
      <c r="K1924" s="49" t="s">
        <v>8348</v>
      </c>
      <c r="L1924" s="45"/>
      <c r="M1924" s="3"/>
    </row>
    <row r="1925" spans="1:60" ht="63.75" x14ac:dyDescent="0.25">
      <c r="A1925" s="46" t="s">
        <v>8899</v>
      </c>
      <c r="B1925" s="46" t="s">
        <v>13</v>
      </c>
      <c r="C1925" s="61" t="s">
        <v>14</v>
      </c>
      <c r="D1925" s="47">
        <v>6515</v>
      </c>
      <c r="E1925" s="46" t="s">
        <v>8900</v>
      </c>
      <c r="F1925" s="48">
        <v>39083</v>
      </c>
      <c r="G1925" s="48">
        <v>42369</v>
      </c>
      <c r="H1925" s="46" t="s">
        <v>8901</v>
      </c>
      <c r="I1925" s="45">
        <v>4513617.66</v>
      </c>
      <c r="J1925" s="45">
        <v>4513617.66</v>
      </c>
      <c r="K1925" s="49" t="s">
        <v>8348</v>
      </c>
      <c r="L1925" s="45"/>
      <c r="M1925" s="3"/>
    </row>
    <row r="1926" spans="1:60" x14ac:dyDescent="0.25">
      <c r="A1926" s="46" t="s">
        <v>8903</v>
      </c>
      <c r="B1926" s="46" t="s">
        <v>13</v>
      </c>
      <c r="C1926" s="46" t="s">
        <v>14</v>
      </c>
      <c r="D1926" s="47">
        <v>3869</v>
      </c>
      <c r="E1926" s="46" t="s">
        <v>8904</v>
      </c>
      <c r="F1926" s="48">
        <v>40017</v>
      </c>
      <c r="G1926" s="48">
        <v>40269</v>
      </c>
      <c r="H1926" s="46" t="s">
        <v>16</v>
      </c>
      <c r="I1926" s="45">
        <v>14664.59</v>
      </c>
      <c r="J1926" s="45">
        <v>3986.4</v>
      </c>
      <c r="K1926" s="49" t="s">
        <v>8905</v>
      </c>
      <c r="L1926" s="45"/>
      <c r="M1926" s="3"/>
    </row>
    <row r="1927" spans="1:60" ht="25.5" x14ac:dyDescent="0.25">
      <c r="A1927" s="46" t="s">
        <v>8906</v>
      </c>
      <c r="B1927" s="46" t="s">
        <v>13</v>
      </c>
      <c r="C1927" s="46" t="s">
        <v>14</v>
      </c>
      <c r="D1927" s="47">
        <v>3870</v>
      </c>
      <c r="E1927" s="46" t="s">
        <v>8907</v>
      </c>
      <c r="F1927" s="48">
        <v>39694</v>
      </c>
      <c r="G1927" s="48">
        <v>40086</v>
      </c>
      <c r="H1927" s="46" t="s">
        <v>16</v>
      </c>
      <c r="I1927" s="45">
        <v>147400</v>
      </c>
      <c r="J1927" s="45">
        <v>42000</v>
      </c>
      <c r="K1927" s="49" t="s">
        <v>8905</v>
      </c>
      <c r="L1927" s="45"/>
      <c r="M1927" s="3"/>
    </row>
    <row r="1928" spans="1:60" ht="25.5" x14ac:dyDescent="0.25">
      <c r="A1928" s="46" t="s">
        <v>8908</v>
      </c>
      <c r="B1928" s="46" t="s">
        <v>13</v>
      </c>
      <c r="C1928" s="46" t="s">
        <v>14</v>
      </c>
      <c r="D1928" s="47">
        <v>3871</v>
      </c>
      <c r="E1928" s="46" t="s">
        <v>8909</v>
      </c>
      <c r="F1928" s="48">
        <v>39770</v>
      </c>
      <c r="G1928" s="48">
        <v>39871</v>
      </c>
      <c r="H1928" s="46" t="s">
        <v>16</v>
      </c>
      <c r="I1928" s="45">
        <v>4700</v>
      </c>
      <c r="J1928" s="45">
        <v>1410</v>
      </c>
      <c r="K1928" s="49" t="s">
        <v>8905</v>
      </c>
      <c r="L1928" s="45"/>
      <c r="M1928" s="3"/>
    </row>
    <row r="1929" spans="1:60" ht="38.25" x14ac:dyDescent="0.25">
      <c r="A1929" s="46" t="s">
        <v>8910</v>
      </c>
      <c r="B1929" s="46" t="s">
        <v>13</v>
      </c>
      <c r="C1929" s="46" t="s">
        <v>14</v>
      </c>
      <c r="D1929" s="47">
        <v>3872</v>
      </c>
      <c r="E1929" s="46" t="s">
        <v>8911</v>
      </c>
      <c r="F1929" s="48">
        <v>39455</v>
      </c>
      <c r="G1929" s="48">
        <v>39689</v>
      </c>
      <c r="H1929" s="46" t="s">
        <v>16</v>
      </c>
      <c r="I1929" s="45">
        <v>75000</v>
      </c>
      <c r="J1929" s="45">
        <v>22500</v>
      </c>
      <c r="K1929" s="49" t="s">
        <v>8905</v>
      </c>
      <c r="L1929" s="45"/>
      <c r="M1929" s="3"/>
    </row>
    <row r="1930" spans="1:60" x14ac:dyDescent="0.25">
      <c r="A1930" s="46" t="s">
        <v>8912</v>
      </c>
      <c r="B1930" s="46" t="s">
        <v>13</v>
      </c>
      <c r="C1930" s="46" t="s">
        <v>14</v>
      </c>
      <c r="D1930" s="47">
        <v>3873</v>
      </c>
      <c r="E1930" s="46" t="s">
        <v>8913</v>
      </c>
      <c r="F1930" s="48">
        <v>39862</v>
      </c>
      <c r="G1930" s="48">
        <v>40087</v>
      </c>
      <c r="H1930" s="46" t="s">
        <v>16</v>
      </c>
      <c r="I1930" s="45">
        <v>7288</v>
      </c>
      <c r="J1930" s="45">
        <v>2186</v>
      </c>
      <c r="K1930" s="49" t="s">
        <v>8905</v>
      </c>
      <c r="L1930" s="45"/>
      <c r="M1930" s="3"/>
    </row>
    <row r="1931" spans="1:60" ht="25.5" x14ac:dyDescent="0.25">
      <c r="A1931" s="46" t="s">
        <v>8914</v>
      </c>
      <c r="B1931" s="46" t="s">
        <v>13</v>
      </c>
      <c r="C1931" s="46" t="s">
        <v>14</v>
      </c>
      <c r="D1931" s="47">
        <v>3874</v>
      </c>
      <c r="E1931" s="46" t="s">
        <v>8915</v>
      </c>
      <c r="F1931" s="48">
        <v>39694</v>
      </c>
      <c r="G1931" s="48">
        <v>39812</v>
      </c>
      <c r="H1931" s="46" t="s">
        <v>16</v>
      </c>
      <c r="I1931" s="45">
        <v>55000</v>
      </c>
      <c r="J1931" s="45">
        <v>16500</v>
      </c>
      <c r="K1931" s="49" t="s">
        <v>8905</v>
      </c>
      <c r="L1931" s="45"/>
      <c r="M1931" s="3"/>
    </row>
    <row r="1932" spans="1:60" ht="38.25" x14ac:dyDescent="0.25">
      <c r="A1932" s="46" t="s">
        <v>8910</v>
      </c>
      <c r="B1932" s="46" t="s">
        <v>13</v>
      </c>
      <c r="C1932" s="46" t="s">
        <v>14</v>
      </c>
      <c r="D1932" s="47">
        <v>3877</v>
      </c>
      <c r="E1932" s="46" t="s">
        <v>8916</v>
      </c>
      <c r="F1932" s="48">
        <v>39455</v>
      </c>
      <c r="G1932" s="48">
        <v>39689</v>
      </c>
      <c r="H1932" s="46" t="s">
        <v>16</v>
      </c>
      <c r="I1932" s="45">
        <v>17600</v>
      </c>
      <c r="J1932" s="45">
        <v>5280</v>
      </c>
      <c r="K1932" s="49" t="s">
        <v>8905</v>
      </c>
      <c r="L1932" s="45"/>
      <c r="M1932" s="3"/>
    </row>
    <row r="1933" spans="1:60" ht="38.25" x14ac:dyDescent="0.25">
      <c r="A1933" s="46" t="s">
        <v>2648</v>
      </c>
      <c r="B1933" s="46" t="s">
        <v>13</v>
      </c>
      <c r="C1933" s="46" t="s">
        <v>14</v>
      </c>
      <c r="D1933" s="47">
        <v>4130</v>
      </c>
      <c r="E1933" s="50" t="s">
        <v>8917</v>
      </c>
      <c r="F1933" s="48">
        <v>39694</v>
      </c>
      <c r="G1933" s="48">
        <v>40471</v>
      </c>
      <c r="H1933" s="46" t="s">
        <v>16</v>
      </c>
      <c r="I1933" s="45">
        <v>144200</v>
      </c>
      <c r="J1933" s="45">
        <v>28119</v>
      </c>
      <c r="K1933" s="49" t="s">
        <v>8905</v>
      </c>
      <c r="L1933" s="45"/>
      <c r="M1933" s="3"/>
    </row>
    <row r="1934" spans="1:60" x14ac:dyDescent="0.25">
      <c r="A1934" s="46" t="s">
        <v>8918</v>
      </c>
      <c r="B1934" s="46" t="s">
        <v>13</v>
      </c>
      <c r="C1934" s="46" t="s">
        <v>14</v>
      </c>
      <c r="D1934" s="47">
        <v>10053</v>
      </c>
      <c r="E1934" s="46" t="s">
        <v>8919</v>
      </c>
      <c r="F1934" s="48">
        <v>40197</v>
      </c>
      <c r="G1934" s="48">
        <v>40332</v>
      </c>
      <c r="H1934" s="46" t="s">
        <v>16</v>
      </c>
      <c r="I1934" s="45">
        <v>7030.84</v>
      </c>
      <c r="J1934" s="45">
        <v>1824</v>
      </c>
      <c r="K1934" s="49" t="s">
        <v>8905</v>
      </c>
      <c r="L1934" s="46"/>
    </row>
    <row r="1935" spans="1:60" x14ac:dyDescent="0.25">
      <c r="A1935" s="46" t="s">
        <v>8920</v>
      </c>
      <c r="B1935" s="46" t="s">
        <v>13</v>
      </c>
      <c r="C1935" s="46" t="s">
        <v>14</v>
      </c>
      <c r="D1935" s="47">
        <v>10139</v>
      </c>
      <c r="E1935" s="46" t="s">
        <v>8921</v>
      </c>
      <c r="F1935" s="48">
        <v>40364</v>
      </c>
      <c r="G1935" s="48">
        <v>40452</v>
      </c>
      <c r="H1935" s="46" t="s">
        <v>16</v>
      </c>
      <c r="I1935" s="45">
        <v>46058.96</v>
      </c>
      <c r="J1935" s="45">
        <v>13817.69</v>
      </c>
      <c r="K1935" s="49" t="s">
        <v>8905</v>
      </c>
      <c r="L1935" s="45"/>
      <c r="M1935" s="3"/>
    </row>
    <row r="1936" spans="1:60" ht="25.5" x14ac:dyDescent="0.25">
      <c r="A1936" s="46" t="s">
        <v>8922</v>
      </c>
      <c r="B1936" s="46" t="s">
        <v>13</v>
      </c>
      <c r="C1936" s="46" t="s">
        <v>14</v>
      </c>
      <c r="D1936" s="47">
        <v>9460</v>
      </c>
      <c r="E1936" s="46" t="s">
        <v>8923</v>
      </c>
      <c r="F1936" s="48">
        <v>39324</v>
      </c>
      <c r="G1936" s="48">
        <v>39446</v>
      </c>
      <c r="H1936" s="46" t="s">
        <v>389</v>
      </c>
      <c r="I1936" s="45">
        <v>80000</v>
      </c>
      <c r="J1936" s="45">
        <v>14068.54</v>
      </c>
      <c r="K1936" s="49" t="s">
        <v>8905</v>
      </c>
      <c r="L1936" s="45"/>
      <c r="M1936" s="3"/>
    </row>
    <row r="1937" spans="1:13" ht="51" x14ac:dyDescent="0.25">
      <c r="A1937" s="46" t="s">
        <v>7451</v>
      </c>
      <c r="B1937" s="46" t="s">
        <v>13</v>
      </c>
      <c r="C1937" s="46" t="s">
        <v>14</v>
      </c>
      <c r="D1937" s="47">
        <v>9912</v>
      </c>
      <c r="E1937" s="50" t="s">
        <v>7452</v>
      </c>
      <c r="F1937" s="48">
        <v>40794</v>
      </c>
      <c r="G1937" s="48">
        <v>40899</v>
      </c>
      <c r="H1937" s="46" t="s">
        <v>389</v>
      </c>
      <c r="I1937" s="45">
        <v>264932.52</v>
      </c>
      <c r="J1937" s="45">
        <v>52986.5</v>
      </c>
      <c r="K1937" s="49" t="s">
        <v>8905</v>
      </c>
      <c r="L1937" s="45"/>
      <c r="M1937" s="3"/>
    </row>
    <row r="1938" spans="1:13" ht="51" x14ac:dyDescent="0.25">
      <c r="A1938" s="46" t="s">
        <v>8924</v>
      </c>
      <c r="B1938" s="46" t="s">
        <v>13</v>
      </c>
      <c r="C1938" s="46" t="s">
        <v>14</v>
      </c>
      <c r="D1938" s="47">
        <v>9915</v>
      </c>
      <c r="E1938" s="50" t="s">
        <v>8925</v>
      </c>
      <c r="F1938" s="48">
        <v>40836</v>
      </c>
      <c r="G1938" s="48">
        <v>40898</v>
      </c>
      <c r="H1938" s="46" t="s">
        <v>389</v>
      </c>
      <c r="I1938" s="45">
        <v>146924</v>
      </c>
      <c r="J1938" s="45">
        <v>51423.4</v>
      </c>
      <c r="K1938" s="49" t="s">
        <v>8905</v>
      </c>
      <c r="L1938" s="45"/>
      <c r="M1938" s="3"/>
    </row>
    <row r="1939" spans="1:13" ht="38.25" x14ac:dyDescent="0.25">
      <c r="A1939" s="46" t="s">
        <v>8926</v>
      </c>
      <c r="B1939" s="46" t="s">
        <v>13</v>
      </c>
      <c r="C1939" s="46" t="s">
        <v>14</v>
      </c>
      <c r="D1939" s="47">
        <v>10034</v>
      </c>
      <c r="E1939" s="46" t="s">
        <v>8927</v>
      </c>
      <c r="F1939" s="48">
        <v>40394</v>
      </c>
      <c r="G1939" s="48">
        <v>40543</v>
      </c>
      <c r="H1939" s="46" t="s">
        <v>389</v>
      </c>
      <c r="I1939" s="45">
        <v>205751.8</v>
      </c>
      <c r="J1939" s="45">
        <v>72013</v>
      </c>
      <c r="K1939" s="49" t="s">
        <v>8905</v>
      </c>
      <c r="L1939" s="45"/>
      <c r="M1939" s="3"/>
    </row>
    <row r="1940" spans="1:13" ht="25.5" x14ac:dyDescent="0.25">
      <c r="A1940" s="46" t="s">
        <v>8928</v>
      </c>
      <c r="B1940" s="46" t="s">
        <v>13</v>
      </c>
      <c r="C1940" s="46" t="s">
        <v>14</v>
      </c>
      <c r="D1940" s="47">
        <v>10068</v>
      </c>
      <c r="E1940" s="46" t="s">
        <v>8929</v>
      </c>
      <c r="F1940" s="48">
        <v>40757</v>
      </c>
      <c r="G1940" s="48">
        <v>40900</v>
      </c>
      <c r="H1940" s="46" t="s">
        <v>389</v>
      </c>
      <c r="I1940" s="45">
        <v>565199.97</v>
      </c>
      <c r="J1940" s="45">
        <v>183819.99</v>
      </c>
      <c r="K1940" s="49" t="s">
        <v>8905</v>
      </c>
      <c r="L1940" s="45"/>
      <c r="M1940" s="3"/>
    </row>
    <row r="1941" spans="1:13" ht="25.5" x14ac:dyDescent="0.25">
      <c r="A1941" s="46" t="s">
        <v>11376</v>
      </c>
      <c r="B1941" s="46" t="s">
        <v>13</v>
      </c>
      <c r="C1941" s="46" t="s">
        <v>14</v>
      </c>
      <c r="D1941" s="47">
        <v>12613</v>
      </c>
      <c r="E1941" s="46" t="s">
        <v>11377</v>
      </c>
      <c r="F1941" s="48">
        <v>41470</v>
      </c>
      <c r="G1941" s="46"/>
      <c r="H1941" s="46" t="s">
        <v>651</v>
      </c>
      <c r="I1941" s="45">
        <v>675</v>
      </c>
      <c r="J1941" s="45">
        <v>675</v>
      </c>
      <c r="K1941" s="49" t="s">
        <v>8905</v>
      </c>
      <c r="L1941" s="46"/>
    </row>
    <row r="1942" spans="1:13" x14ac:dyDescent="0.25">
      <c r="A1942" s="46" t="s">
        <v>8353</v>
      </c>
      <c r="B1942" s="46" t="s">
        <v>13</v>
      </c>
      <c r="C1942" s="46" t="s">
        <v>14</v>
      </c>
      <c r="D1942" s="47">
        <v>9472</v>
      </c>
      <c r="E1942" s="46" t="s">
        <v>9237</v>
      </c>
      <c r="F1942" s="48">
        <v>40060</v>
      </c>
      <c r="G1942" s="48">
        <v>40532</v>
      </c>
      <c r="H1942" s="46" t="s">
        <v>2027</v>
      </c>
      <c r="I1942" s="45">
        <v>40475</v>
      </c>
      <c r="J1942" s="45">
        <v>73791.600000000006</v>
      </c>
      <c r="K1942" s="49" t="s">
        <v>8905</v>
      </c>
      <c r="L1942" s="45"/>
      <c r="M1942" s="3"/>
    </row>
    <row r="1943" spans="1:13" x14ac:dyDescent="0.25">
      <c r="A1943" s="46" t="s">
        <v>9238</v>
      </c>
      <c r="B1943" s="46" t="s">
        <v>13</v>
      </c>
      <c r="C1943" s="46" t="s">
        <v>14</v>
      </c>
      <c r="D1943" s="47">
        <v>9482</v>
      </c>
      <c r="E1943" s="46" t="s">
        <v>9239</v>
      </c>
      <c r="F1943" s="48">
        <v>40052</v>
      </c>
      <c r="G1943" s="48">
        <v>40505</v>
      </c>
      <c r="H1943" s="46" t="s">
        <v>2027</v>
      </c>
      <c r="I1943" s="45">
        <v>40475</v>
      </c>
      <c r="J1943" s="45">
        <v>13640</v>
      </c>
      <c r="K1943" s="49" t="s">
        <v>8905</v>
      </c>
      <c r="L1943" s="46"/>
      <c r="M1943" s="3"/>
    </row>
    <row r="1944" spans="1:13" ht="25.5" x14ac:dyDescent="0.25">
      <c r="A1944" s="46" t="s">
        <v>9241</v>
      </c>
      <c r="B1944" s="46" t="s">
        <v>13</v>
      </c>
      <c r="C1944" s="46" t="s">
        <v>14</v>
      </c>
      <c r="D1944" s="47">
        <v>3810</v>
      </c>
      <c r="E1944" s="46" t="s">
        <v>9242</v>
      </c>
      <c r="F1944" s="48">
        <v>39545</v>
      </c>
      <c r="G1944" s="48">
        <v>39596</v>
      </c>
      <c r="H1944" s="46" t="s">
        <v>16</v>
      </c>
      <c r="I1944" s="45">
        <v>8493</v>
      </c>
      <c r="J1944" s="45">
        <v>2548</v>
      </c>
      <c r="K1944" s="49" t="s">
        <v>9243</v>
      </c>
      <c r="L1944" s="45"/>
      <c r="M1944" s="3"/>
    </row>
    <row r="1945" spans="1:13" x14ac:dyDescent="0.25">
      <c r="A1945" s="46" t="s">
        <v>9244</v>
      </c>
      <c r="B1945" s="46" t="s">
        <v>13</v>
      </c>
      <c r="C1945" s="46" t="s">
        <v>14</v>
      </c>
      <c r="D1945" s="47">
        <v>3811</v>
      </c>
      <c r="E1945" s="46" t="s">
        <v>9245</v>
      </c>
      <c r="F1945" s="48">
        <v>39477</v>
      </c>
      <c r="G1945" s="48">
        <v>39871</v>
      </c>
      <c r="H1945" s="46" t="s">
        <v>16</v>
      </c>
      <c r="I1945" s="45">
        <v>100000</v>
      </c>
      <c r="J1945" s="45">
        <v>26267.22</v>
      </c>
      <c r="K1945" s="49" t="s">
        <v>9243</v>
      </c>
      <c r="L1945" s="45"/>
      <c r="M1945" s="3"/>
    </row>
    <row r="1946" spans="1:13" x14ac:dyDescent="0.25">
      <c r="A1946" s="46" t="s">
        <v>9246</v>
      </c>
      <c r="B1946" s="46" t="s">
        <v>13</v>
      </c>
      <c r="C1946" s="46" t="s">
        <v>14</v>
      </c>
      <c r="D1946" s="47">
        <v>3813</v>
      </c>
      <c r="E1946" s="46" t="s">
        <v>9247</v>
      </c>
      <c r="F1946" s="48">
        <v>39793</v>
      </c>
      <c r="G1946" s="48">
        <v>39876</v>
      </c>
      <c r="H1946" s="46" t="s">
        <v>16</v>
      </c>
      <c r="I1946" s="45">
        <v>8560</v>
      </c>
      <c r="J1946" s="45">
        <v>2568</v>
      </c>
      <c r="K1946" s="49" t="s">
        <v>9243</v>
      </c>
      <c r="L1946" s="45"/>
      <c r="M1946" s="3"/>
    </row>
    <row r="1947" spans="1:13" x14ac:dyDescent="0.25">
      <c r="A1947" s="46" t="s">
        <v>9248</v>
      </c>
      <c r="B1947" s="46" t="s">
        <v>13</v>
      </c>
      <c r="C1947" s="46" t="s">
        <v>14</v>
      </c>
      <c r="D1947" s="47">
        <v>3817</v>
      </c>
      <c r="E1947" s="46" t="s">
        <v>9249</v>
      </c>
      <c r="F1947" s="48">
        <v>39616</v>
      </c>
      <c r="G1947" s="48">
        <v>39812</v>
      </c>
      <c r="H1947" s="46" t="s">
        <v>16</v>
      </c>
      <c r="I1947" s="45">
        <v>14528</v>
      </c>
      <c r="J1947" s="45">
        <v>4358</v>
      </c>
      <c r="K1947" s="49" t="s">
        <v>9243</v>
      </c>
      <c r="L1947" s="45"/>
      <c r="M1947" s="3"/>
    </row>
    <row r="1948" spans="1:13" ht="38.25" x14ac:dyDescent="0.25">
      <c r="A1948" s="46" t="s">
        <v>9250</v>
      </c>
      <c r="B1948" s="46" t="s">
        <v>13</v>
      </c>
      <c r="C1948" s="46" t="s">
        <v>14</v>
      </c>
      <c r="D1948" s="47">
        <v>3819</v>
      </c>
      <c r="E1948" s="46" t="s">
        <v>9251</v>
      </c>
      <c r="F1948" s="48">
        <v>39197</v>
      </c>
      <c r="G1948" s="48">
        <v>39526</v>
      </c>
      <c r="H1948" s="46" t="s">
        <v>16</v>
      </c>
      <c r="I1948" s="45">
        <v>201064</v>
      </c>
      <c r="J1948" s="45">
        <v>60316</v>
      </c>
      <c r="K1948" s="49" t="s">
        <v>9243</v>
      </c>
      <c r="L1948" s="45"/>
      <c r="M1948" s="3"/>
    </row>
    <row r="1949" spans="1:13" x14ac:dyDescent="0.25">
      <c r="A1949" s="46" t="s">
        <v>9252</v>
      </c>
      <c r="B1949" s="46" t="s">
        <v>13</v>
      </c>
      <c r="C1949" s="46" t="s">
        <v>14</v>
      </c>
      <c r="D1949" s="47">
        <v>3820</v>
      </c>
      <c r="E1949" s="46" t="s">
        <v>9253</v>
      </c>
      <c r="F1949" s="48">
        <v>39709</v>
      </c>
      <c r="G1949" s="48">
        <v>39797</v>
      </c>
      <c r="H1949" s="46" t="s">
        <v>16</v>
      </c>
      <c r="I1949" s="45">
        <v>90588</v>
      </c>
      <c r="J1949" s="45">
        <v>27176</v>
      </c>
      <c r="K1949" s="49" t="s">
        <v>9243</v>
      </c>
      <c r="L1949" s="45"/>
      <c r="M1949" s="3"/>
    </row>
    <row r="1950" spans="1:13" x14ac:dyDescent="0.25">
      <c r="A1950" s="46" t="s">
        <v>9254</v>
      </c>
      <c r="B1950" s="46" t="s">
        <v>13</v>
      </c>
      <c r="C1950" s="46" t="s">
        <v>14</v>
      </c>
      <c r="D1950" s="47">
        <v>3822</v>
      </c>
      <c r="E1950" s="46" t="s">
        <v>9255</v>
      </c>
      <c r="F1950" s="48">
        <v>39562</v>
      </c>
      <c r="G1950" s="48">
        <v>39689</v>
      </c>
      <c r="H1950" s="46" t="s">
        <v>16</v>
      </c>
      <c r="I1950" s="45">
        <v>6321</v>
      </c>
      <c r="J1950" s="45">
        <v>1896</v>
      </c>
      <c r="K1950" s="49" t="s">
        <v>9243</v>
      </c>
      <c r="L1950" s="45"/>
      <c r="M1950" s="3"/>
    </row>
    <row r="1951" spans="1:13" ht="38.25" x14ac:dyDescent="0.25">
      <c r="A1951" s="46" t="s">
        <v>9256</v>
      </c>
      <c r="B1951" s="46" t="s">
        <v>13</v>
      </c>
      <c r="C1951" s="46" t="s">
        <v>14</v>
      </c>
      <c r="D1951" s="47">
        <v>3823</v>
      </c>
      <c r="E1951" s="50" t="s">
        <v>9257</v>
      </c>
      <c r="F1951" s="48">
        <v>39171</v>
      </c>
      <c r="G1951" s="48">
        <v>39293</v>
      </c>
      <c r="H1951" s="46" t="s">
        <v>16</v>
      </c>
      <c r="I1951" s="45">
        <v>201064</v>
      </c>
      <c r="J1951" s="45">
        <v>60316</v>
      </c>
      <c r="K1951" s="49" t="s">
        <v>9243</v>
      </c>
      <c r="L1951" s="45"/>
      <c r="M1951" s="3"/>
    </row>
    <row r="1952" spans="1:13" x14ac:dyDescent="0.25">
      <c r="A1952" s="46" t="s">
        <v>9258</v>
      </c>
      <c r="B1952" s="46" t="s">
        <v>13</v>
      </c>
      <c r="C1952" s="46" t="s">
        <v>14</v>
      </c>
      <c r="D1952" s="47">
        <v>3825</v>
      </c>
      <c r="E1952" s="46" t="s">
        <v>9259</v>
      </c>
      <c r="F1952" s="48">
        <v>39183</v>
      </c>
      <c r="G1952" s="48">
        <v>39538</v>
      </c>
      <c r="H1952" s="46" t="s">
        <v>16</v>
      </c>
      <c r="I1952" s="45">
        <v>191489</v>
      </c>
      <c r="J1952" s="45">
        <v>57447</v>
      </c>
      <c r="K1952" s="49" t="s">
        <v>9243</v>
      </c>
      <c r="L1952" s="45"/>
      <c r="M1952" s="3"/>
    </row>
    <row r="1953" spans="1:13" x14ac:dyDescent="0.25">
      <c r="A1953" s="46" t="s">
        <v>9260</v>
      </c>
      <c r="B1953" s="46" t="s">
        <v>13</v>
      </c>
      <c r="C1953" s="46" t="s">
        <v>14</v>
      </c>
      <c r="D1953" s="47">
        <v>3827</v>
      </c>
      <c r="E1953" s="46" t="s">
        <v>7949</v>
      </c>
      <c r="F1953" s="48">
        <v>39825</v>
      </c>
      <c r="G1953" s="48">
        <v>40162</v>
      </c>
      <c r="H1953" s="46" t="s">
        <v>16</v>
      </c>
      <c r="I1953" s="45">
        <v>100000</v>
      </c>
      <c r="J1953" s="45">
        <v>30000</v>
      </c>
      <c r="K1953" s="49" t="s">
        <v>9243</v>
      </c>
      <c r="L1953" s="45"/>
      <c r="M1953" s="3"/>
    </row>
    <row r="1954" spans="1:13" x14ac:dyDescent="0.25">
      <c r="A1954" s="46" t="s">
        <v>9261</v>
      </c>
      <c r="B1954" s="46" t="s">
        <v>13</v>
      </c>
      <c r="C1954" s="46" t="s">
        <v>14</v>
      </c>
      <c r="D1954" s="47">
        <v>3830</v>
      </c>
      <c r="E1954" s="46" t="s">
        <v>9262</v>
      </c>
      <c r="F1954" s="48">
        <v>39545</v>
      </c>
      <c r="G1954" s="48">
        <v>39752</v>
      </c>
      <c r="H1954" s="46" t="s">
        <v>16</v>
      </c>
      <c r="I1954" s="45">
        <v>16250</v>
      </c>
      <c r="J1954" s="45">
        <v>4875</v>
      </c>
      <c r="K1954" s="49" t="s">
        <v>9243</v>
      </c>
      <c r="L1954" s="45"/>
      <c r="M1954" s="3"/>
    </row>
    <row r="1955" spans="1:13" x14ac:dyDescent="0.25">
      <c r="A1955" s="46" t="s">
        <v>9263</v>
      </c>
      <c r="B1955" s="46" t="s">
        <v>13</v>
      </c>
      <c r="C1955" s="46" t="s">
        <v>14</v>
      </c>
      <c r="D1955" s="47">
        <v>3836</v>
      </c>
      <c r="E1955" s="46" t="s">
        <v>9264</v>
      </c>
      <c r="F1955" s="48">
        <v>39972</v>
      </c>
      <c r="G1955" s="48">
        <v>40140</v>
      </c>
      <c r="H1955" s="46" t="s">
        <v>16</v>
      </c>
      <c r="I1955" s="45">
        <v>4680</v>
      </c>
      <c r="J1955" s="45">
        <v>1404</v>
      </c>
      <c r="K1955" s="49" t="s">
        <v>9243</v>
      </c>
      <c r="L1955" s="45"/>
      <c r="M1955" s="3"/>
    </row>
    <row r="1956" spans="1:13" x14ac:dyDescent="0.25">
      <c r="A1956" s="46" t="s">
        <v>9265</v>
      </c>
      <c r="B1956" s="46" t="s">
        <v>13</v>
      </c>
      <c r="C1956" s="46" t="s">
        <v>14</v>
      </c>
      <c r="D1956" s="47">
        <v>3838</v>
      </c>
      <c r="E1956" s="46" t="s">
        <v>9266</v>
      </c>
      <c r="F1956" s="48">
        <v>39717</v>
      </c>
      <c r="G1956" s="48">
        <v>39843</v>
      </c>
      <c r="H1956" s="46" t="s">
        <v>16</v>
      </c>
      <c r="I1956" s="45">
        <v>12911</v>
      </c>
      <c r="J1956" s="45">
        <v>3412.5</v>
      </c>
      <c r="K1956" s="49" t="s">
        <v>9243</v>
      </c>
      <c r="L1956" s="45"/>
      <c r="M1956" s="3"/>
    </row>
    <row r="1957" spans="1:13" ht="38.25" x14ac:dyDescent="0.25">
      <c r="A1957" s="46" t="s">
        <v>9267</v>
      </c>
      <c r="B1957" s="46" t="s">
        <v>13</v>
      </c>
      <c r="C1957" s="46" t="s">
        <v>14</v>
      </c>
      <c r="D1957" s="47">
        <v>3839</v>
      </c>
      <c r="E1957" s="46" t="s">
        <v>9268</v>
      </c>
      <c r="F1957" s="48">
        <v>39521</v>
      </c>
      <c r="G1957" s="48">
        <v>39660</v>
      </c>
      <c r="H1957" s="46" t="s">
        <v>16</v>
      </c>
      <c r="I1957" s="45">
        <v>280000</v>
      </c>
      <c r="J1957" s="45">
        <v>84000</v>
      </c>
      <c r="K1957" s="49" t="s">
        <v>9243</v>
      </c>
      <c r="L1957" s="45"/>
      <c r="M1957" s="3"/>
    </row>
    <row r="1958" spans="1:13" x14ac:dyDescent="0.25">
      <c r="A1958" s="46" t="s">
        <v>9269</v>
      </c>
      <c r="B1958" s="46" t="s">
        <v>13</v>
      </c>
      <c r="C1958" s="46" t="s">
        <v>14</v>
      </c>
      <c r="D1958" s="47">
        <v>3840</v>
      </c>
      <c r="E1958" s="46" t="s">
        <v>9270</v>
      </c>
      <c r="F1958" s="48">
        <v>39406</v>
      </c>
      <c r="G1958" s="48">
        <v>39721</v>
      </c>
      <c r="H1958" s="46" t="s">
        <v>16</v>
      </c>
      <c r="I1958" s="45">
        <v>16174</v>
      </c>
      <c r="J1958" s="45">
        <v>3090</v>
      </c>
      <c r="K1958" s="49" t="s">
        <v>9243</v>
      </c>
      <c r="L1958" s="45"/>
      <c r="M1958" s="3"/>
    </row>
    <row r="1959" spans="1:13" ht="25.5" x14ac:dyDescent="0.25">
      <c r="A1959" s="46" t="s">
        <v>9271</v>
      </c>
      <c r="B1959" s="46" t="s">
        <v>13</v>
      </c>
      <c r="C1959" s="46" t="s">
        <v>14</v>
      </c>
      <c r="D1959" s="47">
        <v>3842</v>
      </c>
      <c r="E1959" s="46" t="s">
        <v>9272</v>
      </c>
      <c r="F1959" s="48">
        <v>39736</v>
      </c>
      <c r="G1959" s="48">
        <v>39994</v>
      </c>
      <c r="H1959" s="46" t="s">
        <v>16</v>
      </c>
      <c r="I1959" s="45">
        <v>153672</v>
      </c>
      <c r="J1959" s="45">
        <v>43791.13</v>
      </c>
      <c r="K1959" s="49" t="s">
        <v>9243</v>
      </c>
      <c r="L1959" s="45"/>
      <c r="M1959" s="3"/>
    </row>
    <row r="1960" spans="1:13" x14ac:dyDescent="0.25">
      <c r="A1960" s="46" t="s">
        <v>9273</v>
      </c>
      <c r="B1960" s="46" t="s">
        <v>13</v>
      </c>
      <c r="C1960" s="46" t="s">
        <v>14</v>
      </c>
      <c r="D1960" s="47">
        <v>3843</v>
      </c>
      <c r="E1960" s="46" t="s">
        <v>9274</v>
      </c>
      <c r="F1960" s="48">
        <v>39549</v>
      </c>
      <c r="G1960" s="48">
        <v>39797</v>
      </c>
      <c r="H1960" s="46" t="s">
        <v>16</v>
      </c>
      <c r="I1960" s="45">
        <v>225000</v>
      </c>
      <c r="J1960" s="45">
        <v>67500</v>
      </c>
      <c r="K1960" s="49" t="s">
        <v>9243</v>
      </c>
      <c r="L1960" s="45"/>
      <c r="M1960" s="3"/>
    </row>
    <row r="1961" spans="1:13" ht="25.5" x14ac:dyDescent="0.25">
      <c r="A1961" s="46" t="s">
        <v>9275</v>
      </c>
      <c r="B1961" s="46" t="s">
        <v>13</v>
      </c>
      <c r="C1961" s="46" t="s">
        <v>14</v>
      </c>
      <c r="D1961" s="47">
        <v>3847</v>
      </c>
      <c r="E1961" s="46" t="s">
        <v>9276</v>
      </c>
      <c r="F1961" s="48">
        <v>39415</v>
      </c>
      <c r="G1961" s="48">
        <v>39538</v>
      </c>
      <c r="H1961" s="46" t="s">
        <v>16</v>
      </c>
      <c r="I1961" s="45">
        <v>14000</v>
      </c>
      <c r="J1961" s="45">
        <v>4200</v>
      </c>
      <c r="K1961" s="49" t="s">
        <v>9243</v>
      </c>
      <c r="L1961" s="45"/>
      <c r="M1961" s="3"/>
    </row>
    <row r="1962" spans="1:13" x14ac:dyDescent="0.25">
      <c r="A1962" s="46" t="s">
        <v>9277</v>
      </c>
      <c r="B1962" s="46" t="s">
        <v>13</v>
      </c>
      <c r="C1962" s="46" t="s">
        <v>14</v>
      </c>
      <c r="D1962" s="47">
        <v>3852</v>
      </c>
      <c r="E1962" s="46" t="s">
        <v>9278</v>
      </c>
      <c r="F1962" s="48">
        <v>39792</v>
      </c>
      <c r="G1962" s="48">
        <v>39933</v>
      </c>
      <c r="H1962" s="46" t="s">
        <v>16</v>
      </c>
      <c r="I1962" s="45">
        <v>12246</v>
      </c>
      <c r="J1962" s="45">
        <v>3674</v>
      </c>
      <c r="K1962" s="49" t="s">
        <v>9243</v>
      </c>
      <c r="L1962" s="45"/>
      <c r="M1962" s="3"/>
    </row>
    <row r="1963" spans="1:13" x14ac:dyDescent="0.25">
      <c r="A1963" s="46" t="s">
        <v>9279</v>
      </c>
      <c r="B1963" s="46" t="s">
        <v>13</v>
      </c>
      <c r="C1963" s="46" t="s">
        <v>14</v>
      </c>
      <c r="D1963" s="47">
        <v>3855</v>
      </c>
      <c r="E1963" s="46" t="s">
        <v>9280</v>
      </c>
      <c r="F1963" s="48">
        <v>39477</v>
      </c>
      <c r="G1963" s="48">
        <v>39962</v>
      </c>
      <c r="H1963" s="46" t="s">
        <v>16</v>
      </c>
      <c r="I1963" s="45">
        <v>55000</v>
      </c>
      <c r="J1963" s="45">
        <v>16500</v>
      </c>
      <c r="K1963" s="49" t="s">
        <v>9243</v>
      </c>
      <c r="L1963" s="45"/>
      <c r="M1963" s="3"/>
    </row>
    <row r="1964" spans="1:13" ht="25.5" x14ac:dyDescent="0.25">
      <c r="A1964" s="46" t="s">
        <v>9281</v>
      </c>
      <c r="B1964" s="46" t="s">
        <v>13</v>
      </c>
      <c r="C1964" s="46" t="s">
        <v>14</v>
      </c>
      <c r="D1964" s="47">
        <v>3856</v>
      </c>
      <c r="E1964" s="46" t="s">
        <v>9282</v>
      </c>
      <c r="F1964" s="48">
        <v>39330</v>
      </c>
      <c r="G1964" s="48">
        <v>39538</v>
      </c>
      <c r="H1964" s="46" t="s">
        <v>16</v>
      </c>
      <c r="I1964" s="45">
        <v>10000</v>
      </c>
      <c r="J1964" s="45">
        <v>2360</v>
      </c>
      <c r="K1964" s="49" t="s">
        <v>9243</v>
      </c>
      <c r="L1964" s="45"/>
      <c r="M1964" s="3"/>
    </row>
    <row r="1965" spans="1:13" ht="38.25" x14ac:dyDescent="0.25">
      <c r="A1965" s="46" t="s">
        <v>9283</v>
      </c>
      <c r="B1965" s="46" t="s">
        <v>13</v>
      </c>
      <c r="C1965" s="46" t="s">
        <v>14</v>
      </c>
      <c r="D1965" s="47">
        <v>3857</v>
      </c>
      <c r="E1965" s="46" t="s">
        <v>9284</v>
      </c>
      <c r="F1965" s="48">
        <v>39275</v>
      </c>
      <c r="G1965" s="48">
        <v>39386</v>
      </c>
      <c r="H1965" s="46" t="s">
        <v>16</v>
      </c>
      <c r="I1965" s="45">
        <v>1875</v>
      </c>
      <c r="J1965" s="45">
        <v>750</v>
      </c>
      <c r="K1965" s="49" t="s">
        <v>9243</v>
      </c>
      <c r="L1965" s="45"/>
      <c r="M1965" s="3"/>
    </row>
    <row r="1966" spans="1:13" x14ac:dyDescent="0.25">
      <c r="A1966" s="46" t="s">
        <v>9283</v>
      </c>
      <c r="B1966" s="46" t="s">
        <v>13</v>
      </c>
      <c r="C1966" s="46" t="s">
        <v>14</v>
      </c>
      <c r="D1966" s="47">
        <v>3859</v>
      </c>
      <c r="E1966" s="46" t="s">
        <v>9285</v>
      </c>
      <c r="F1966" s="48">
        <v>39477</v>
      </c>
      <c r="G1966" s="48">
        <v>39962</v>
      </c>
      <c r="H1966" s="46" t="s">
        <v>16</v>
      </c>
      <c r="I1966" s="45">
        <v>86940</v>
      </c>
      <c r="J1966" s="45">
        <v>8316</v>
      </c>
      <c r="K1966" s="49" t="s">
        <v>9243</v>
      </c>
      <c r="L1966" s="45"/>
      <c r="M1966" s="3"/>
    </row>
    <row r="1967" spans="1:13" ht="25.5" x14ac:dyDescent="0.25">
      <c r="A1967" s="46" t="s">
        <v>9286</v>
      </c>
      <c r="B1967" s="46" t="s">
        <v>13</v>
      </c>
      <c r="C1967" s="46" t="s">
        <v>14</v>
      </c>
      <c r="D1967" s="47">
        <v>3860</v>
      </c>
      <c r="E1967" s="46" t="s">
        <v>9287</v>
      </c>
      <c r="F1967" s="48">
        <v>39972</v>
      </c>
      <c r="G1967" s="48">
        <v>40221</v>
      </c>
      <c r="H1967" s="46" t="s">
        <v>16</v>
      </c>
      <c r="I1967" s="45">
        <v>13439.65</v>
      </c>
      <c r="J1967" s="45">
        <v>4032</v>
      </c>
      <c r="K1967" s="49" t="s">
        <v>9243</v>
      </c>
      <c r="L1967" s="45"/>
      <c r="M1967" s="3"/>
    </row>
    <row r="1968" spans="1:13" x14ac:dyDescent="0.25">
      <c r="A1968" s="46" t="s">
        <v>9267</v>
      </c>
      <c r="B1968" s="46" t="s">
        <v>13</v>
      </c>
      <c r="C1968" s="46" t="s">
        <v>14</v>
      </c>
      <c r="D1968" s="47">
        <v>3861</v>
      </c>
      <c r="E1968" s="46" t="s">
        <v>9288</v>
      </c>
      <c r="F1968" s="48">
        <v>39770</v>
      </c>
      <c r="G1968" s="48">
        <v>40025</v>
      </c>
      <c r="H1968" s="46" t="s">
        <v>16</v>
      </c>
      <c r="I1968" s="45">
        <v>60000</v>
      </c>
      <c r="J1968" s="45">
        <v>11774.4</v>
      </c>
      <c r="K1968" s="49" t="s">
        <v>9243</v>
      </c>
      <c r="L1968" s="45"/>
      <c r="M1968" s="3"/>
    </row>
    <row r="1969" spans="1:13" ht="25.5" x14ac:dyDescent="0.25">
      <c r="A1969" s="46" t="s">
        <v>9289</v>
      </c>
      <c r="B1969" s="46" t="s">
        <v>13</v>
      </c>
      <c r="C1969" s="46" t="s">
        <v>14</v>
      </c>
      <c r="D1969" s="47">
        <v>3863</v>
      </c>
      <c r="E1969" s="46" t="s">
        <v>9290</v>
      </c>
      <c r="F1969" s="48">
        <v>39477</v>
      </c>
      <c r="G1969" s="48">
        <v>39805</v>
      </c>
      <c r="H1969" s="46" t="s">
        <v>16</v>
      </c>
      <c r="I1969" s="45">
        <v>15800</v>
      </c>
      <c r="J1969" s="45">
        <v>4740</v>
      </c>
      <c r="K1969" s="49" t="s">
        <v>9243</v>
      </c>
      <c r="L1969" s="45"/>
      <c r="M1969" s="3"/>
    </row>
    <row r="1970" spans="1:13" ht="38.25" x14ac:dyDescent="0.25">
      <c r="A1970" s="46" t="s">
        <v>9283</v>
      </c>
      <c r="B1970" s="46" t="s">
        <v>13</v>
      </c>
      <c r="C1970" s="46" t="s">
        <v>14</v>
      </c>
      <c r="D1970" s="47">
        <v>4131</v>
      </c>
      <c r="E1970" s="46" t="s">
        <v>9291</v>
      </c>
      <c r="F1970" s="48">
        <v>39314</v>
      </c>
      <c r="G1970" s="48">
        <v>39342</v>
      </c>
      <c r="H1970" s="46" t="s">
        <v>16</v>
      </c>
      <c r="I1970" s="45">
        <v>4500</v>
      </c>
      <c r="J1970" s="45">
        <v>1800</v>
      </c>
      <c r="K1970" s="49" t="s">
        <v>9243</v>
      </c>
      <c r="L1970" s="45"/>
      <c r="M1970" s="3"/>
    </row>
    <row r="1971" spans="1:13" x14ac:dyDescent="0.25">
      <c r="A1971" s="46" t="s">
        <v>9248</v>
      </c>
      <c r="B1971" s="46" t="s">
        <v>13</v>
      </c>
      <c r="C1971" s="46" t="s">
        <v>14</v>
      </c>
      <c r="D1971" s="47">
        <v>4132</v>
      </c>
      <c r="E1971" s="46" t="s">
        <v>9292</v>
      </c>
      <c r="F1971" s="48">
        <v>39415</v>
      </c>
      <c r="G1971" s="48">
        <v>40087</v>
      </c>
      <c r="H1971" s="46" t="s">
        <v>16</v>
      </c>
      <c r="I1971" s="45">
        <v>27000</v>
      </c>
      <c r="J1971" s="45">
        <v>13800</v>
      </c>
      <c r="K1971" s="49" t="s">
        <v>9243</v>
      </c>
      <c r="L1971" s="45"/>
      <c r="M1971" s="3"/>
    </row>
    <row r="1972" spans="1:13" ht="25.5" x14ac:dyDescent="0.25">
      <c r="A1972" s="46" t="s">
        <v>9293</v>
      </c>
      <c r="B1972" s="46" t="s">
        <v>13</v>
      </c>
      <c r="C1972" s="46" t="s">
        <v>14</v>
      </c>
      <c r="D1972" s="47">
        <v>4133</v>
      </c>
      <c r="E1972" s="46" t="s">
        <v>9294</v>
      </c>
      <c r="F1972" s="48">
        <v>39629</v>
      </c>
      <c r="G1972" s="48">
        <v>40618</v>
      </c>
      <c r="H1972" s="46" t="s">
        <v>16</v>
      </c>
      <c r="I1972" s="45">
        <v>261487</v>
      </c>
      <c r="J1972" s="45">
        <v>33375.360000000001</v>
      </c>
      <c r="K1972" s="49" t="s">
        <v>9243</v>
      </c>
      <c r="L1972" s="45"/>
      <c r="M1972" s="3"/>
    </row>
    <row r="1973" spans="1:13" x14ac:dyDescent="0.25">
      <c r="A1973" s="46" t="s">
        <v>9295</v>
      </c>
      <c r="B1973" s="46" t="s">
        <v>13</v>
      </c>
      <c r="C1973" s="46" t="s">
        <v>14</v>
      </c>
      <c r="D1973" s="47">
        <v>9452</v>
      </c>
      <c r="E1973" s="46" t="s">
        <v>9296</v>
      </c>
      <c r="F1973" s="48">
        <v>40039</v>
      </c>
      <c r="G1973" s="48">
        <v>40177</v>
      </c>
      <c r="H1973" s="46" t="s">
        <v>16</v>
      </c>
      <c r="I1973" s="45">
        <v>73000</v>
      </c>
      <c r="J1973" s="45">
        <v>21900</v>
      </c>
      <c r="K1973" s="49" t="s">
        <v>9243</v>
      </c>
      <c r="L1973" s="45"/>
      <c r="M1973" s="3"/>
    </row>
    <row r="1974" spans="1:13" x14ac:dyDescent="0.25">
      <c r="A1974" s="46" t="s">
        <v>9297</v>
      </c>
      <c r="B1974" s="46" t="s">
        <v>13</v>
      </c>
      <c r="C1974" s="46" t="s">
        <v>14</v>
      </c>
      <c r="D1974" s="47">
        <v>9883</v>
      </c>
      <c r="E1974" s="46" t="s">
        <v>9298</v>
      </c>
      <c r="F1974" s="48">
        <v>40318</v>
      </c>
      <c r="G1974" s="48">
        <v>40364</v>
      </c>
      <c r="H1974" s="46" t="s">
        <v>16</v>
      </c>
      <c r="I1974" s="45">
        <v>31020</v>
      </c>
      <c r="J1974" s="45">
        <v>9306</v>
      </c>
      <c r="K1974" s="49" t="s">
        <v>9243</v>
      </c>
      <c r="L1974" s="45"/>
      <c r="M1974" s="3"/>
    </row>
    <row r="1975" spans="1:13" x14ac:dyDescent="0.25">
      <c r="A1975" s="46" t="s">
        <v>9299</v>
      </c>
      <c r="B1975" s="46" t="s">
        <v>13</v>
      </c>
      <c r="C1975" s="46" t="s">
        <v>14</v>
      </c>
      <c r="D1975" s="47">
        <v>9938</v>
      </c>
      <c r="E1975" s="46" t="s">
        <v>9300</v>
      </c>
      <c r="F1975" s="48">
        <v>40046</v>
      </c>
      <c r="G1975" s="48">
        <v>40452</v>
      </c>
      <c r="H1975" s="46" t="s">
        <v>16</v>
      </c>
      <c r="I1975" s="45">
        <v>9964</v>
      </c>
      <c r="J1975" s="45">
        <v>2989.2</v>
      </c>
      <c r="K1975" s="49" t="s">
        <v>9243</v>
      </c>
      <c r="L1975" s="45"/>
      <c r="M1975" s="3"/>
    </row>
    <row r="1976" spans="1:13" ht="25.5" x14ac:dyDescent="0.25">
      <c r="A1976" s="46" t="s">
        <v>9301</v>
      </c>
      <c r="B1976" s="46" t="s">
        <v>13</v>
      </c>
      <c r="C1976" s="46" t="s">
        <v>14</v>
      </c>
      <c r="D1976" s="47">
        <v>9988</v>
      </c>
      <c r="E1976" s="46" t="s">
        <v>9302</v>
      </c>
      <c r="F1976" s="48">
        <v>40240</v>
      </c>
      <c r="G1976" s="48">
        <v>40532</v>
      </c>
      <c r="H1976" s="46" t="s">
        <v>16</v>
      </c>
      <c r="I1976" s="45">
        <v>16236.07</v>
      </c>
      <c r="J1976" s="45">
        <v>4870.83</v>
      </c>
      <c r="K1976" s="49" t="s">
        <v>9243</v>
      </c>
      <c r="L1976" s="45"/>
      <c r="M1976" s="3"/>
    </row>
    <row r="1977" spans="1:13" ht="38.25" x14ac:dyDescent="0.25">
      <c r="A1977" s="46" t="s">
        <v>9303</v>
      </c>
      <c r="B1977" s="46" t="s">
        <v>13</v>
      </c>
      <c r="C1977" s="46" t="s">
        <v>14</v>
      </c>
      <c r="D1977" s="47">
        <v>10177</v>
      </c>
      <c r="E1977" s="46" t="s">
        <v>9304</v>
      </c>
      <c r="F1977" s="48">
        <v>40849</v>
      </c>
      <c r="G1977" s="48">
        <v>40897</v>
      </c>
      <c r="H1977" s="46" t="s">
        <v>392</v>
      </c>
      <c r="I1977" s="45">
        <v>107693</v>
      </c>
      <c r="J1977" s="45">
        <v>37693</v>
      </c>
      <c r="K1977" s="49" t="s">
        <v>9243</v>
      </c>
      <c r="L1977" s="45"/>
      <c r="M1977" s="3"/>
    </row>
    <row r="1978" spans="1:13" x14ac:dyDescent="0.25">
      <c r="A1978" s="46" t="s">
        <v>9749</v>
      </c>
      <c r="B1978" s="46" t="s">
        <v>13</v>
      </c>
      <c r="C1978" s="46" t="s">
        <v>14</v>
      </c>
      <c r="D1978" s="47">
        <v>3759</v>
      </c>
      <c r="E1978" s="46" t="s">
        <v>9750</v>
      </c>
      <c r="F1978" s="48">
        <v>39150</v>
      </c>
      <c r="G1978" s="48">
        <v>39598</v>
      </c>
      <c r="H1978" s="46" t="s">
        <v>16</v>
      </c>
      <c r="I1978" s="45">
        <v>65712</v>
      </c>
      <c r="J1978" s="45">
        <v>14116.27</v>
      </c>
      <c r="K1978" s="49" t="s">
        <v>9751</v>
      </c>
      <c r="L1978" s="45"/>
      <c r="M1978" s="3"/>
    </row>
    <row r="1979" spans="1:13" x14ac:dyDescent="0.25">
      <c r="A1979" s="46" t="s">
        <v>9752</v>
      </c>
      <c r="B1979" s="46" t="s">
        <v>13</v>
      </c>
      <c r="C1979" s="46" t="s">
        <v>14</v>
      </c>
      <c r="D1979" s="47">
        <v>3770</v>
      </c>
      <c r="E1979" s="46" t="s">
        <v>9753</v>
      </c>
      <c r="F1979" s="48">
        <v>39759</v>
      </c>
      <c r="G1979" s="48">
        <v>39933</v>
      </c>
      <c r="H1979" s="46" t="s">
        <v>16</v>
      </c>
      <c r="I1979" s="45">
        <v>29319</v>
      </c>
      <c r="J1979" s="45">
        <v>6645.27</v>
      </c>
      <c r="K1979" s="49" t="s">
        <v>9751</v>
      </c>
      <c r="L1979" s="45"/>
      <c r="M1979" s="3"/>
    </row>
    <row r="1980" spans="1:13" ht="25.5" x14ac:dyDescent="0.25">
      <c r="A1980" s="46" t="s">
        <v>9754</v>
      </c>
      <c r="B1980" s="46" t="s">
        <v>13</v>
      </c>
      <c r="C1980" s="46" t="s">
        <v>14</v>
      </c>
      <c r="D1980" s="47">
        <v>3777</v>
      </c>
      <c r="E1980" s="46" t="s">
        <v>9755</v>
      </c>
      <c r="F1980" s="48">
        <v>39150</v>
      </c>
      <c r="G1980" s="48">
        <v>39447</v>
      </c>
      <c r="H1980" s="46" t="s">
        <v>16</v>
      </c>
      <c r="I1980" s="45">
        <v>71410</v>
      </c>
      <c r="J1980" s="45">
        <v>21375</v>
      </c>
      <c r="K1980" s="49" t="s">
        <v>9751</v>
      </c>
      <c r="L1980" s="45"/>
      <c r="M1980" s="3"/>
    </row>
    <row r="1981" spans="1:13" ht="38.25" x14ac:dyDescent="0.25">
      <c r="A1981" s="46" t="s">
        <v>9756</v>
      </c>
      <c r="B1981" s="46" t="s">
        <v>13</v>
      </c>
      <c r="C1981" s="46" t="s">
        <v>14</v>
      </c>
      <c r="D1981" s="47">
        <v>3797</v>
      </c>
      <c r="E1981" s="46" t="s">
        <v>9757</v>
      </c>
      <c r="F1981" s="48">
        <v>39770</v>
      </c>
      <c r="G1981" s="48">
        <v>40120</v>
      </c>
      <c r="H1981" s="46" t="s">
        <v>16</v>
      </c>
      <c r="I1981" s="45">
        <v>6546</v>
      </c>
      <c r="J1981" s="45">
        <v>1964</v>
      </c>
      <c r="K1981" s="49" t="s">
        <v>9751</v>
      </c>
      <c r="L1981" s="45"/>
      <c r="M1981" s="3"/>
    </row>
    <row r="1982" spans="1:13" x14ac:dyDescent="0.25">
      <c r="A1982" s="46" t="s">
        <v>9758</v>
      </c>
      <c r="B1982" s="46" t="s">
        <v>13</v>
      </c>
      <c r="C1982" s="46" t="s">
        <v>14</v>
      </c>
      <c r="D1982" s="47">
        <v>3804</v>
      </c>
      <c r="E1982" s="46" t="s">
        <v>9759</v>
      </c>
      <c r="F1982" s="48">
        <v>39961</v>
      </c>
      <c r="G1982" s="48">
        <v>40598</v>
      </c>
      <c r="H1982" s="46" t="s">
        <v>16</v>
      </c>
      <c r="I1982" s="45">
        <v>10500</v>
      </c>
      <c r="J1982" s="45">
        <v>4000</v>
      </c>
      <c r="K1982" s="49" t="s">
        <v>9751</v>
      </c>
      <c r="L1982" s="45"/>
      <c r="M1982" s="3"/>
    </row>
    <row r="1983" spans="1:13" x14ac:dyDescent="0.25">
      <c r="A1983" s="46" t="s">
        <v>9760</v>
      </c>
      <c r="B1983" s="46" t="s">
        <v>13</v>
      </c>
      <c r="C1983" s="46" t="s">
        <v>14</v>
      </c>
      <c r="D1983" s="47">
        <v>3807</v>
      </c>
      <c r="E1983" s="46" t="s">
        <v>9761</v>
      </c>
      <c r="F1983" s="48">
        <v>39709</v>
      </c>
      <c r="G1983" s="48">
        <v>39962</v>
      </c>
      <c r="H1983" s="46" t="s">
        <v>16</v>
      </c>
      <c r="I1983" s="45">
        <v>52000</v>
      </c>
      <c r="J1983" s="45">
        <v>14417.6</v>
      </c>
      <c r="K1983" s="49" t="s">
        <v>9751</v>
      </c>
      <c r="L1983" s="45"/>
      <c r="M1983" s="3"/>
    </row>
    <row r="1984" spans="1:13" ht="38.25" x14ac:dyDescent="0.25">
      <c r="A1984" s="46" t="s">
        <v>9762</v>
      </c>
      <c r="B1984" s="46" t="s">
        <v>13</v>
      </c>
      <c r="C1984" s="46" t="s">
        <v>14</v>
      </c>
      <c r="D1984" s="47">
        <v>3808</v>
      </c>
      <c r="E1984" s="46" t="s">
        <v>9763</v>
      </c>
      <c r="F1984" s="48">
        <v>39671</v>
      </c>
      <c r="G1984" s="48">
        <v>40116</v>
      </c>
      <c r="H1984" s="46" t="s">
        <v>16</v>
      </c>
      <c r="I1984" s="45">
        <v>65000</v>
      </c>
      <c r="J1984" s="45">
        <v>19500</v>
      </c>
      <c r="K1984" s="49" t="s">
        <v>9751</v>
      </c>
      <c r="L1984" s="45"/>
      <c r="M1984" s="3"/>
    </row>
    <row r="1985" spans="1:13" ht="25.5" x14ac:dyDescent="0.25">
      <c r="A1985" s="46" t="s">
        <v>9764</v>
      </c>
      <c r="B1985" s="46" t="s">
        <v>13</v>
      </c>
      <c r="C1985" s="46" t="s">
        <v>14</v>
      </c>
      <c r="D1985" s="47">
        <v>4134</v>
      </c>
      <c r="E1985" s="46" t="s">
        <v>9765</v>
      </c>
      <c r="F1985" s="48">
        <v>39332</v>
      </c>
      <c r="G1985" s="48">
        <v>40170</v>
      </c>
      <c r="H1985" s="46" t="s">
        <v>16</v>
      </c>
      <c r="I1985" s="45">
        <v>183770</v>
      </c>
      <c r="J1985" s="45">
        <v>55131</v>
      </c>
      <c r="K1985" s="49" t="s">
        <v>9751</v>
      </c>
      <c r="L1985" s="45"/>
      <c r="M1985" s="3"/>
    </row>
    <row r="1986" spans="1:13" ht="38.25" x14ac:dyDescent="0.25">
      <c r="A1986" s="46" t="s">
        <v>3620</v>
      </c>
      <c r="B1986" s="46" t="s">
        <v>13</v>
      </c>
      <c r="C1986" s="46" t="s">
        <v>14</v>
      </c>
      <c r="D1986" s="47">
        <v>4135</v>
      </c>
      <c r="E1986" s="50" t="s">
        <v>9766</v>
      </c>
      <c r="F1986" s="48">
        <v>39735</v>
      </c>
      <c r="G1986" s="48">
        <v>40053</v>
      </c>
      <c r="H1986" s="46" t="s">
        <v>16</v>
      </c>
      <c r="I1986" s="45">
        <v>66000</v>
      </c>
      <c r="J1986" s="45">
        <v>7026.13</v>
      </c>
      <c r="K1986" s="49" t="s">
        <v>9751</v>
      </c>
      <c r="L1986" s="45"/>
      <c r="M1986" s="3"/>
    </row>
    <row r="1987" spans="1:13" ht="25.5" x14ac:dyDescent="0.25">
      <c r="A1987" s="46" t="s">
        <v>9767</v>
      </c>
      <c r="B1987" s="46" t="s">
        <v>13</v>
      </c>
      <c r="C1987" s="46" t="s">
        <v>14</v>
      </c>
      <c r="D1987" s="47">
        <v>4136</v>
      </c>
      <c r="E1987" s="46" t="s">
        <v>9768</v>
      </c>
      <c r="F1987" s="48">
        <v>39959</v>
      </c>
      <c r="G1987" s="48">
        <v>40305</v>
      </c>
      <c r="H1987" s="46" t="s">
        <v>16</v>
      </c>
      <c r="I1987" s="45">
        <v>102450</v>
      </c>
      <c r="J1987" s="45">
        <v>19977.75</v>
      </c>
      <c r="K1987" s="49" t="s">
        <v>9751</v>
      </c>
      <c r="L1987" s="45"/>
      <c r="M1987" s="3"/>
    </row>
    <row r="1988" spans="1:13" x14ac:dyDescent="0.25">
      <c r="A1988" s="46" t="s">
        <v>9769</v>
      </c>
      <c r="B1988" s="46" t="s">
        <v>13</v>
      </c>
      <c r="C1988" s="46" t="s">
        <v>14</v>
      </c>
      <c r="D1988" s="47">
        <v>9945</v>
      </c>
      <c r="E1988" s="46" t="s">
        <v>9770</v>
      </c>
      <c r="F1988" s="48">
        <v>40204</v>
      </c>
      <c r="G1988" s="48">
        <v>40508</v>
      </c>
      <c r="H1988" s="46" t="s">
        <v>16</v>
      </c>
      <c r="I1988" s="45">
        <v>50000</v>
      </c>
      <c r="J1988" s="45">
        <v>15000</v>
      </c>
      <c r="K1988" s="49" t="s">
        <v>9751</v>
      </c>
      <c r="L1988" s="45"/>
      <c r="M1988" s="3"/>
    </row>
    <row r="1989" spans="1:13" x14ac:dyDescent="0.25">
      <c r="A1989" s="46" t="s">
        <v>9769</v>
      </c>
      <c r="B1989" s="46" t="s">
        <v>13</v>
      </c>
      <c r="C1989" s="46" t="s">
        <v>14</v>
      </c>
      <c r="D1989" s="47">
        <v>9968</v>
      </c>
      <c r="E1989" s="46" t="s">
        <v>9771</v>
      </c>
      <c r="F1989" s="48">
        <v>40204</v>
      </c>
      <c r="G1989" s="48">
        <v>40508</v>
      </c>
      <c r="H1989" s="46" t="s">
        <v>16</v>
      </c>
      <c r="I1989" s="45">
        <v>15000</v>
      </c>
      <c r="J1989" s="45">
        <v>3100.32</v>
      </c>
      <c r="K1989" s="49" t="s">
        <v>9751</v>
      </c>
      <c r="L1989" s="45"/>
      <c r="M1989" s="3"/>
    </row>
    <row r="1990" spans="1:13" x14ac:dyDescent="0.25">
      <c r="A1990" s="46" t="s">
        <v>9772</v>
      </c>
      <c r="B1990" s="46" t="s">
        <v>13</v>
      </c>
      <c r="C1990" s="46" t="s">
        <v>14</v>
      </c>
      <c r="D1990" s="47">
        <v>10141</v>
      </c>
      <c r="E1990" s="46" t="s">
        <v>9773</v>
      </c>
      <c r="F1990" s="48">
        <v>40526</v>
      </c>
      <c r="G1990" s="48">
        <v>40709</v>
      </c>
      <c r="H1990" s="46" t="s">
        <v>16</v>
      </c>
      <c r="I1990" s="45">
        <v>5800.47</v>
      </c>
      <c r="J1990" s="45">
        <v>1740.14</v>
      </c>
      <c r="K1990" s="49" t="s">
        <v>9751</v>
      </c>
      <c r="L1990" s="45"/>
      <c r="M1990" s="3"/>
    </row>
    <row r="1991" spans="1:13" x14ac:dyDescent="0.25">
      <c r="A1991" s="46" t="s">
        <v>9774</v>
      </c>
      <c r="B1991" s="46" t="s">
        <v>13</v>
      </c>
      <c r="C1991" s="46" t="s">
        <v>14</v>
      </c>
      <c r="D1991" s="47">
        <v>9471</v>
      </c>
      <c r="E1991" s="46" t="s">
        <v>9775</v>
      </c>
      <c r="F1991" s="48">
        <v>40065</v>
      </c>
      <c r="G1991" s="48">
        <v>40170</v>
      </c>
      <c r="H1991" s="46" t="s">
        <v>389</v>
      </c>
      <c r="I1991" s="45">
        <v>36222.050000000003</v>
      </c>
      <c r="J1991" s="45">
        <v>9779.9500000000007</v>
      </c>
      <c r="K1991" s="49" t="s">
        <v>9751</v>
      </c>
      <c r="L1991" s="45"/>
      <c r="M1991" s="3"/>
    </row>
    <row r="1992" spans="1:13" ht="25.5" x14ac:dyDescent="0.25">
      <c r="A1992" s="46" t="s">
        <v>9776</v>
      </c>
      <c r="B1992" s="46" t="s">
        <v>13</v>
      </c>
      <c r="C1992" s="46" t="s">
        <v>14</v>
      </c>
      <c r="D1992" s="47">
        <v>10074</v>
      </c>
      <c r="E1992" s="46" t="s">
        <v>9777</v>
      </c>
      <c r="F1992" s="48">
        <v>40800</v>
      </c>
      <c r="G1992" s="48">
        <v>40886</v>
      </c>
      <c r="H1992" s="46" t="s">
        <v>392</v>
      </c>
      <c r="I1992" s="45">
        <v>25460</v>
      </c>
      <c r="J1992" s="45">
        <v>7637.9</v>
      </c>
      <c r="K1992" s="49" t="s">
        <v>9751</v>
      </c>
      <c r="L1992" s="45"/>
      <c r="M1992" s="3"/>
    </row>
    <row r="1993" spans="1:13" ht="25.5" x14ac:dyDescent="0.25">
      <c r="A1993" s="46" t="s">
        <v>9778</v>
      </c>
      <c r="B1993" s="46" t="s">
        <v>13</v>
      </c>
      <c r="C1993" s="46" t="s">
        <v>14</v>
      </c>
      <c r="D1993" s="47">
        <v>10152</v>
      </c>
      <c r="E1993" s="46" t="s">
        <v>9779</v>
      </c>
      <c r="F1993" s="48">
        <v>40828</v>
      </c>
      <c r="G1993" s="48">
        <v>40897</v>
      </c>
      <c r="H1993" s="46" t="s">
        <v>392</v>
      </c>
      <c r="I1993" s="45">
        <v>219120</v>
      </c>
      <c r="J1993" s="45">
        <v>76692</v>
      </c>
      <c r="K1993" s="49" t="s">
        <v>9751</v>
      </c>
      <c r="L1993" s="45"/>
      <c r="M1993" s="3"/>
    </row>
    <row r="1994" spans="1:13" ht="25.5" x14ac:dyDescent="0.25">
      <c r="A1994" s="46" t="s">
        <v>9780</v>
      </c>
      <c r="B1994" s="46" t="s">
        <v>13</v>
      </c>
      <c r="C1994" s="46" t="s">
        <v>14</v>
      </c>
      <c r="D1994" s="47">
        <v>10183</v>
      </c>
      <c r="E1994" s="46" t="s">
        <v>9781</v>
      </c>
      <c r="F1994" s="48">
        <v>41158</v>
      </c>
      <c r="G1994" s="48">
        <v>41253</v>
      </c>
      <c r="H1994" s="46" t="s">
        <v>392</v>
      </c>
      <c r="I1994" s="45">
        <v>263701</v>
      </c>
      <c r="J1994" s="45">
        <v>92295</v>
      </c>
      <c r="K1994" s="49" t="s">
        <v>9751</v>
      </c>
      <c r="L1994" s="45"/>
      <c r="M1994" s="3"/>
    </row>
    <row r="1995" spans="1:13" ht="51" x14ac:dyDescent="0.25">
      <c r="A1995" s="46" t="s">
        <v>9782</v>
      </c>
      <c r="B1995" s="46" t="s">
        <v>13</v>
      </c>
      <c r="C1995" s="46" t="s">
        <v>14</v>
      </c>
      <c r="D1995" s="47">
        <v>10188</v>
      </c>
      <c r="E1995" s="50" t="s">
        <v>9783</v>
      </c>
      <c r="F1995" s="48">
        <v>40828</v>
      </c>
      <c r="G1995" s="48">
        <v>40900</v>
      </c>
      <c r="H1995" s="46" t="s">
        <v>392</v>
      </c>
      <c r="I1995" s="45">
        <v>148898</v>
      </c>
      <c r="J1995" s="45">
        <v>29779.8</v>
      </c>
      <c r="K1995" s="49" t="s">
        <v>9751</v>
      </c>
      <c r="L1995" s="45"/>
      <c r="M1995" s="3"/>
    </row>
    <row r="1996" spans="1:13" ht="25.5" x14ac:dyDescent="0.25">
      <c r="A1996" s="46" t="s">
        <v>9784</v>
      </c>
      <c r="B1996" s="46" t="s">
        <v>13</v>
      </c>
      <c r="C1996" s="46" t="s">
        <v>14</v>
      </c>
      <c r="D1996" s="47">
        <v>10220</v>
      </c>
      <c r="E1996" s="46" t="s">
        <v>9785</v>
      </c>
      <c r="F1996" s="48">
        <v>40023</v>
      </c>
      <c r="G1996" s="48">
        <v>40239</v>
      </c>
      <c r="H1996" s="46" t="s">
        <v>392</v>
      </c>
      <c r="I1996" s="45">
        <v>11115</v>
      </c>
      <c r="J1996" s="45">
        <v>5557.5</v>
      </c>
      <c r="K1996" s="49" t="s">
        <v>9751</v>
      </c>
      <c r="L1996" s="45"/>
      <c r="M1996" s="3"/>
    </row>
    <row r="1997" spans="1:13" ht="63.75" x14ac:dyDescent="0.25">
      <c r="A1997" s="46" t="s">
        <v>7440</v>
      </c>
      <c r="B1997" s="46" t="s">
        <v>13</v>
      </c>
      <c r="C1997" s="46" t="s">
        <v>14</v>
      </c>
      <c r="D1997" s="47">
        <v>4259</v>
      </c>
      <c r="E1997" s="50" t="s">
        <v>7441</v>
      </c>
      <c r="F1997" s="48">
        <v>39132</v>
      </c>
      <c r="G1997" s="46"/>
      <c r="H1997" s="46" t="s">
        <v>7442</v>
      </c>
      <c r="I1997" s="45">
        <v>38349239.659999996</v>
      </c>
      <c r="J1997" s="45">
        <v>38349239.659999996</v>
      </c>
      <c r="K1997" s="49" t="s">
        <v>7443</v>
      </c>
      <c r="L1997" s="86">
        <f>SUM(J1997)</f>
        <v>38349239.659999996</v>
      </c>
      <c r="M1997" s="3"/>
    </row>
    <row r="1998" spans="1:13" ht="25.5" x14ac:dyDescent="0.25">
      <c r="A1998" s="46" t="s">
        <v>189</v>
      </c>
      <c r="B1998" s="46" t="s">
        <v>11649</v>
      </c>
      <c r="C1998" s="46" t="s">
        <v>14</v>
      </c>
      <c r="D1998" s="47">
        <v>7388</v>
      </c>
      <c r="E1998" s="46" t="s">
        <v>191</v>
      </c>
      <c r="F1998" s="48">
        <v>40284</v>
      </c>
      <c r="G1998" s="48">
        <v>40543</v>
      </c>
      <c r="H1998" s="46" t="s">
        <v>40</v>
      </c>
      <c r="I1998" s="45">
        <v>15000</v>
      </c>
      <c r="J1998" s="45">
        <v>10000</v>
      </c>
      <c r="K1998" s="49" t="s">
        <v>17</v>
      </c>
      <c r="L1998" s="45"/>
      <c r="M1998" s="3"/>
    </row>
    <row r="1999" spans="1:13" ht="25.5" x14ac:dyDescent="0.25">
      <c r="A1999" s="46" t="s">
        <v>192</v>
      </c>
      <c r="B1999" s="46" t="s">
        <v>11649</v>
      </c>
      <c r="C1999" s="46" t="s">
        <v>14</v>
      </c>
      <c r="D1999" s="47">
        <v>7392</v>
      </c>
      <c r="E1999" s="46" t="s">
        <v>193</v>
      </c>
      <c r="F1999" s="48">
        <v>40179</v>
      </c>
      <c r="G1999" s="48">
        <v>40543</v>
      </c>
      <c r="H1999" s="46" t="s">
        <v>40</v>
      </c>
      <c r="I1999" s="45">
        <v>8000</v>
      </c>
      <c r="J1999" s="45">
        <v>8000</v>
      </c>
      <c r="K1999" s="49" t="s">
        <v>17</v>
      </c>
      <c r="L1999" s="45"/>
      <c r="M1999" s="3"/>
    </row>
    <row r="2000" spans="1:13" ht="25.5" x14ac:dyDescent="0.25">
      <c r="A2000" s="46" t="s">
        <v>198</v>
      </c>
      <c r="B2000" s="46" t="s">
        <v>11649</v>
      </c>
      <c r="C2000" s="46" t="s">
        <v>14</v>
      </c>
      <c r="D2000" s="47">
        <v>7411</v>
      </c>
      <c r="E2000" s="46" t="s">
        <v>199</v>
      </c>
      <c r="F2000" s="48">
        <v>40179</v>
      </c>
      <c r="G2000" s="48">
        <v>40908</v>
      </c>
      <c r="H2000" s="46" t="s">
        <v>40</v>
      </c>
      <c r="I2000" s="45">
        <v>10000</v>
      </c>
      <c r="J2000" s="45">
        <v>10000</v>
      </c>
      <c r="K2000" s="49" t="s">
        <v>17</v>
      </c>
      <c r="L2000" s="45"/>
      <c r="M2000" s="3"/>
    </row>
    <row r="2001" spans="1:13" ht="25.5" x14ac:dyDescent="0.25">
      <c r="A2001" s="46" t="s">
        <v>200</v>
      </c>
      <c r="B2001" s="46" t="s">
        <v>11649</v>
      </c>
      <c r="C2001" s="46" t="s">
        <v>14</v>
      </c>
      <c r="D2001" s="47">
        <v>7427</v>
      </c>
      <c r="E2001" s="46" t="s">
        <v>201</v>
      </c>
      <c r="F2001" s="48">
        <v>40179</v>
      </c>
      <c r="G2001" s="48">
        <v>40543</v>
      </c>
      <c r="H2001" s="46" t="s">
        <v>40</v>
      </c>
      <c r="I2001" s="45">
        <v>38350</v>
      </c>
      <c r="J2001" s="45">
        <v>19250</v>
      </c>
      <c r="K2001" s="49" t="s">
        <v>17</v>
      </c>
      <c r="L2001" s="45"/>
      <c r="M2001" s="3"/>
    </row>
    <row r="2002" spans="1:13" ht="51" x14ac:dyDescent="0.25">
      <c r="A2002" s="46" t="s">
        <v>202</v>
      </c>
      <c r="B2002" s="46" t="s">
        <v>11649</v>
      </c>
      <c r="C2002" s="46" t="s">
        <v>14</v>
      </c>
      <c r="D2002" s="47">
        <v>7450</v>
      </c>
      <c r="E2002" s="50" t="s">
        <v>203</v>
      </c>
      <c r="F2002" s="48">
        <v>40179</v>
      </c>
      <c r="G2002" s="48">
        <v>40543</v>
      </c>
      <c r="H2002" s="46" t="s">
        <v>40</v>
      </c>
      <c r="I2002" s="45">
        <v>35000</v>
      </c>
      <c r="J2002" s="45">
        <v>17500</v>
      </c>
      <c r="K2002" s="49" t="s">
        <v>17</v>
      </c>
      <c r="L2002" s="45"/>
      <c r="M2002" s="3"/>
    </row>
    <row r="2003" spans="1:13" x14ac:dyDescent="0.25">
      <c r="A2003" s="46" t="s">
        <v>206</v>
      </c>
      <c r="B2003" s="46" t="s">
        <v>11649</v>
      </c>
      <c r="C2003" s="46" t="s">
        <v>14</v>
      </c>
      <c r="D2003" s="47">
        <v>7458</v>
      </c>
      <c r="E2003" s="46" t="s">
        <v>207</v>
      </c>
      <c r="F2003" s="48">
        <v>40179</v>
      </c>
      <c r="G2003" s="46"/>
      <c r="H2003" s="46" t="s">
        <v>40</v>
      </c>
      <c r="I2003" s="45">
        <v>13663.36</v>
      </c>
      <c r="J2003" s="45">
        <v>8081.68</v>
      </c>
      <c r="K2003" s="49" t="s">
        <v>17</v>
      </c>
      <c r="L2003" s="45"/>
      <c r="M2003" s="3"/>
    </row>
    <row r="2004" spans="1:13" ht="25.5" x14ac:dyDescent="0.25">
      <c r="A2004" s="46" t="s">
        <v>208</v>
      </c>
      <c r="B2004" s="46" t="s">
        <v>11649</v>
      </c>
      <c r="C2004" s="46" t="s">
        <v>14</v>
      </c>
      <c r="D2004" s="47">
        <v>7459</v>
      </c>
      <c r="E2004" s="46" t="s">
        <v>209</v>
      </c>
      <c r="F2004" s="48">
        <v>40514</v>
      </c>
      <c r="G2004" s="48">
        <v>40908</v>
      </c>
      <c r="H2004" s="46" t="s">
        <v>40</v>
      </c>
      <c r="I2004" s="45">
        <v>5000</v>
      </c>
      <c r="J2004" s="45">
        <v>5000</v>
      </c>
      <c r="K2004" s="49" t="s">
        <v>17</v>
      </c>
      <c r="L2004" s="45"/>
      <c r="M2004" s="3"/>
    </row>
    <row r="2005" spans="1:13" x14ac:dyDescent="0.25">
      <c r="A2005" s="46" t="s">
        <v>216</v>
      </c>
      <c r="B2005" s="46" t="s">
        <v>11649</v>
      </c>
      <c r="C2005" s="46" t="s">
        <v>14</v>
      </c>
      <c r="D2005" s="47">
        <v>7463</v>
      </c>
      <c r="E2005" s="46" t="s">
        <v>217</v>
      </c>
      <c r="F2005" s="48">
        <v>40221</v>
      </c>
      <c r="G2005" s="48">
        <v>40543</v>
      </c>
      <c r="H2005" s="46" t="s">
        <v>40</v>
      </c>
      <c r="I2005" s="45">
        <v>13427.28</v>
      </c>
      <c r="J2005" s="45">
        <v>7963.64</v>
      </c>
      <c r="K2005" s="49" t="s">
        <v>17</v>
      </c>
      <c r="L2005" s="45"/>
      <c r="M2005" s="3"/>
    </row>
    <row r="2006" spans="1:13" ht="51" x14ac:dyDescent="0.25">
      <c r="A2006" s="46" t="s">
        <v>234</v>
      </c>
      <c r="B2006" s="46" t="s">
        <v>11649</v>
      </c>
      <c r="C2006" s="46" t="s">
        <v>14</v>
      </c>
      <c r="D2006" s="47">
        <v>7553</v>
      </c>
      <c r="E2006" s="50" t="s">
        <v>235</v>
      </c>
      <c r="F2006" s="48">
        <v>40514</v>
      </c>
      <c r="G2006" s="48">
        <v>40543</v>
      </c>
      <c r="H2006" s="46" t="s">
        <v>40</v>
      </c>
      <c r="I2006" s="45">
        <v>28350</v>
      </c>
      <c r="J2006" s="45">
        <v>14175</v>
      </c>
      <c r="K2006" s="49" t="s">
        <v>17</v>
      </c>
      <c r="L2006" s="45"/>
      <c r="M2006" s="3"/>
    </row>
    <row r="2007" spans="1:13" ht="25.5" x14ac:dyDescent="0.25">
      <c r="A2007" s="46" t="s">
        <v>236</v>
      </c>
      <c r="B2007" s="46" t="s">
        <v>11649</v>
      </c>
      <c r="C2007" s="46" t="s">
        <v>14</v>
      </c>
      <c r="D2007" s="47">
        <v>7554</v>
      </c>
      <c r="E2007" s="46" t="s">
        <v>237</v>
      </c>
      <c r="F2007" s="48">
        <v>40451</v>
      </c>
      <c r="G2007" s="48">
        <v>40543</v>
      </c>
      <c r="H2007" s="46" t="s">
        <v>40</v>
      </c>
      <c r="I2007" s="45">
        <v>40000</v>
      </c>
      <c r="J2007" s="45">
        <v>22500</v>
      </c>
      <c r="K2007" s="49" t="s">
        <v>17</v>
      </c>
      <c r="L2007" s="45"/>
      <c r="M2007" s="3"/>
    </row>
    <row r="2008" spans="1:13" ht="25.5" x14ac:dyDescent="0.25">
      <c r="A2008" s="46" t="s">
        <v>246</v>
      </c>
      <c r="B2008" s="46" t="s">
        <v>11649</v>
      </c>
      <c r="C2008" s="46" t="s">
        <v>14</v>
      </c>
      <c r="D2008" s="47">
        <v>8658</v>
      </c>
      <c r="E2008" s="46" t="s">
        <v>247</v>
      </c>
      <c r="F2008" s="48">
        <v>40809</v>
      </c>
      <c r="G2008" s="48">
        <v>41274</v>
      </c>
      <c r="H2008" s="46" t="s">
        <v>40</v>
      </c>
      <c r="I2008" s="45">
        <v>20000</v>
      </c>
      <c r="J2008" s="45">
        <v>10000</v>
      </c>
      <c r="K2008" s="49" t="s">
        <v>17</v>
      </c>
      <c r="L2008" s="45"/>
      <c r="M2008" s="3"/>
    </row>
    <row r="2009" spans="1:13" ht="51" x14ac:dyDescent="0.25">
      <c r="A2009" s="46" t="s">
        <v>248</v>
      </c>
      <c r="B2009" s="46" t="s">
        <v>11649</v>
      </c>
      <c r="C2009" s="46" t="s">
        <v>14</v>
      </c>
      <c r="D2009" s="47">
        <v>8664</v>
      </c>
      <c r="E2009" s="50" t="s">
        <v>249</v>
      </c>
      <c r="F2009" s="48">
        <v>40724</v>
      </c>
      <c r="G2009" s="48">
        <v>40898</v>
      </c>
      <c r="H2009" s="46" t="s">
        <v>40</v>
      </c>
      <c r="I2009" s="45">
        <v>5000</v>
      </c>
      <c r="J2009" s="45">
        <v>5000</v>
      </c>
      <c r="K2009" s="49" t="s">
        <v>17</v>
      </c>
      <c r="L2009" s="45"/>
      <c r="M2009" s="3"/>
    </row>
    <row r="2010" spans="1:13" ht="25.5" x14ac:dyDescent="0.25">
      <c r="A2010" s="46" t="s">
        <v>250</v>
      </c>
      <c r="B2010" s="46" t="s">
        <v>11649</v>
      </c>
      <c r="C2010" s="46" t="s">
        <v>14</v>
      </c>
      <c r="D2010" s="47">
        <v>8665</v>
      </c>
      <c r="E2010" s="46" t="s">
        <v>251</v>
      </c>
      <c r="F2010" s="48">
        <v>40724</v>
      </c>
      <c r="G2010" s="48">
        <v>41274</v>
      </c>
      <c r="H2010" s="46" t="s">
        <v>40</v>
      </c>
      <c r="I2010" s="45">
        <v>30000</v>
      </c>
      <c r="J2010" s="45">
        <v>20000</v>
      </c>
      <c r="K2010" s="49" t="s">
        <v>17</v>
      </c>
      <c r="L2010" s="45"/>
      <c r="M2010" s="3"/>
    </row>
    <row r="2011" spans="1:13" ht="25.5" x14ac:dyDescent="0.25">
      <c r="A2011" s="46" t="s">
        <v>200</v>
      </c>
      <c r="B2011" s="46" t="s">
        <v>11649</v>
      </c>
      <c r="C2011" s="46" t="s">
        <v>14</v>
      </c>
      <c r="D2011" s="47">
        <v>8674</v>
      </c>
      <c r="E2011" s="46" t="s">
        <v>256</v>
      </c>
      <c r="F2011" s="48">
        <v>40652</v>
      </c>
      <c r="G2011" s="48">
        <v>40908</v>
      </c>
      <c r="H2011" s="46" t="s">
        <v>40</v>
      </c>
      <c r="I2011" s="45">
        <v>30000</v>
      </c>
      <c r="J2011" s="45">
        <v>15000</v>
      </c>
      <c r="K2011" s="49" t="s">
        <v>17</v>
      </c>
      <c r="L2011" s="45"/>
      <c r="M2011" s="3"/>
    </row>
    <row r="2012" spans="1:13" x14ac:dyDescent="0.25">
      <c r="A2012" s="46" t="s">
        <v>259</v>
      </c>
      <c r="B2012" s="46" t="s">
        <v>11649</v>
      </c>
      <c r="C2012" s="46" t="s">
        <v>14</v>
      </c>
      <c r="D2012" s="47">
        <v>8677</v>
      </c>
      <c r="E2012" s="46" t="s">
        <v>260</v>
      </c>
      <c r="F2012" s="48">
        <v>40652</v>
      </c>
      <c r="G2012" s="48">
        <v>41274</v>
      </c>
      <c r="H2012" s="46" t="s">
        <v>40</v>
      </c>
      <c r="I2012" s="45">
        <v>23318.1</v>
      </c>
      <c r="J2012" s="45">
        <v>11659.05</v>
      </c>
      <c r="K2012" s="49" t="s">
        <v>17</v>
      </c>
      <c r="L2012" s="45"/>
      <c r="M2012" s="3"/>
    </row>
    <row r="2013" spans="1:13" x14ac:dyDescent="0.25">
      <c r="A2013" s="46" t="s">
        <v>267</v>
      </c>
      <c r="B2013" s="46" t="s">
        <v>11649</v>
      </c>
      <c r="C2013" s="46" t="s">
        <v>14</v>
      </c>
      <c r="D2013" s="47">
        <v>8688</v>
      </c>
      <c r="E2013" s="46" t="s">
        <v>268</v>
      </c>
      <c r="F2013" s="48">
        <v>40809</v>
      </c>
      <c r="G2013" s="48">
        <v>41274</v>
      </c>
      <c r="H2013" s="46" t="s">
        <v>40</v>
      </c>
      <c r="I2013" s="45">
        <v>1500</v>
      </c>
      <c r="J2013" s="45">
        <v>1500</v>
      </c>
      <c r="K2013" s="49" t="s">
        <v>17</v>
      </c>
      <c r="L2013" s="45"/>
      <c r="M2013" s="3"/>
    </row>
    <row r="2014" spans="1:13" ht="38.25" x14ac:dyDescent="0.25">
      <c r="A2014" s="46" t="s">
        <v>236</v>
      </c>
      <c r="B2014" s="46" t="s">
        <v>11649</v>
      </c>
      <c r="C2014" s="46" t="s">
        <v>14</v>
      </c>
      <c r="D2014" s="47">
        <v>8689</v>
      </c>
      <c r="E2014" s="46" t="s">
        <v>269</v>
      </c>
      <c r="F2014" s="48">
        <v>40724</v>
      </c>
      <c r="G2014" s="48">
        <v>40908</v>
      </c>
      <c r="H2014" s="46" t="s">
        <v>40</v>
      </c>
      <c r="I2014" s="45">
        <v>20000</v>
      </c>
      <c r="J2014" s="45">
        <v>10000</v>
      </c>
      <c r="K2014" s="49" t="s">
        <v>17</v>
      </c>
      <c r="L2014" s="45"/>
      <c r="M2014" s="3"/>
    </row>
    <row r="2015" spans="1:13" ht="51" x14ac:dyDescent="0.25">
      <c r="A2015" s="46" t="s">
        <v>272</v>
      </c>
      <c r="B2015" s="46" t="s">
        <v>11649</v>
      </c>
      <c r="C2015" s="46" t="s">
        <v>14</v>
      </c>
      <c r="D2015" s="47">
        <v>8693</v>
      </c>
      <c r="E2015" s="50" t="s">
        <v>273</v>
      </c>
      <c r="F2015" s="48">
        <v>40891</v>
      </c>
      <c r="G2015" s="48">
        <v>40908</v>
      </c>
      <c r="H2015" s="46" t="s">
        <v>40</v>
      </c>
      <c r="I2015" s="45">
        <v>1408.61</v>
      </c>
      <c r="J2015" s="45">
        <v>1408.61</v>
      </c>
      <c r="K2015" s="49" t="s">
        <v>17</v>
      </c>
      <c r="L2015" s="45"/>
      <c r="M2015" s="3"/>
    </row>
    <row r="2016" spans="1:13" ht="25.5" x14ac:dyDescent="0.25">
      <c r="A2016" s="46" t="s">
        <v>216</v>
      </c>
      <c r="B2016" s="46" t="s">
        <v>11649</v>
      </c>
      <c r="C2016" s="46" t="s">
        <v>14</v>
      </c>
      <c r="D2016" s="47">
        <v>8726</v>
      </c>
      <c r="E2016" s="46" t="s">
        <v>282</v>
      </c>
      <c r="F2016" s="48">
        <v>40724</v>
      </c>
      <c r="G2016" s="48">
        <v>40896</v>
      </c>
      <c r="H2016" s="46" t="s">
        <v>40</v>
      </c>
      <c r="I2016" s="45">
        <v>10000</v>
      </c>
      <c r="J2016" s="45">
        <v>10000</v>
      </c>
      <c r="K2016" s="49" t="s">
        <v>17</v>
      </c>
      <c r="L2016" s="45"/>
      <c r="M2016" s="3"/>
    </row>
    <row r="2017" spans="1:13" ht="51" x14ac:dyDescent="0.25">
      <c r="A2017" s="46" t="s">
        <v>303</v>
      </c>
      <c r="B2017" s="46" t="s">
        <v>11649</v>
      </c>
      <c r="C2017" s="46" t="s">
        <v>14</v>
      </c>
      <c r="D2017" s="47">
        <v>10570</v>
      </c>
      <c r="E2017" s="50" t="s">
        <v>304</v>
      </c>
      <c r="F2017" s="48">
        <v>40963</v>
      </c>
      <c r="G2017" s="48">
        <v>41274</v>
      </c>
      <c r="H2017" s="46" t="s">
        <v>40</v>
      </c>
      <c r="I2017" s="45">
        <v>2500</v>
      </c>
      <c r="J2017" s="45">
        <v>2500</v>
      </c>
      <c r="K2017" s="49" t="s">
        <v>17</v>
      </c>
      <c r="L2017" s="45"/>
      <c r="M2017" s="3"/>
    </row>
    <row r="2018" spans="1:13" ht="38.25" x14ac:dyDescent="0.25">
      <c r="A2018" s="46" t="s">
        <v>307</v>
      </c>
      <c r="B2018" s="46" t="s">
        <v>11649</v>
      </c>
      <c r="C2018" s="46" t="s">
        <v>14</v>
      </c>
      <c r="D2018" s="47">
        <v>10574</v>
      </c>
      <c r="E2018" s="50" t="s">
        <v>308</v>
      </c>
      <c r="F2018" s="48">
        <v>40909</v>
      </c>
      <c r="G2018" s="48">
        <v>41274</v>
      </c>
      <c r="H2018" s="46" t="s">
        <v>40</v>
      </c>
      <c r="I2018" s="45">
        <v>24523.84</v>
      </c>
      <c r="J2018" s="45">
        <v>12261.92</v>
      </c>
      <c r="K2018" s="49" t="s">
        <v>17</v>
      </c>
      <c r="L2018" s="45"/>
      <c r="M2018" s="3"/>
    </row>
    <row r="2019" spans="1:13" x14ac:dyDescent="0.25">
      <c r="A2019" s="46" t="s">
        <v>313</v>
      </c>
      <c r="B2019" s="46" t="s">
        <v>11649</v>
      </c>
      <c r="C2019" s="46" t="s">
        <v>14</v>
      </c>
      <c r="D2019" s="47">
        <v>10577</v>
      </c>
      <c r="E2019" s="46" t="s">
        <v>314</v>
      </c>
      <c r="F2019" s="48">
        <v>41026</v>
      </c>
      <c r="G2019" s="48">
        <v>41274</v>
      </c>
      <c r="H2019" s="46" t="s">
        <v>40</v>
      </c>
      <c r="I2019" s="45">
        <v>6000</v>
      </c>
      <c r="J2019" s="45">
        <v>6000</v>
      </c>
      <c r="K2019" s="49" t="s">
        <v>17</v>
      </c>
      <c r="L2019" s="45"/>
      <c r="M2019" s="3"/>
    </row>
    <row r="2020" spans="1:13" ht="38.25" x14ac:dyDescent="0.25">
      <c r="A2020" s="46" t="s">
        <v>323</v>
      </c>
      <c r="B2020" s="46" t="s">
        <v>11649</v>
      </c>
      <c r="C2020" s="46" t="s">
        <v>14</v>
      </c>
      <c r="D2020" s="47">
        <v>10582</v>
      </c>
      <c r="E2020" s="46" t="s">
        <v>324</v>
      </c>
      <c r="F2020" s="48">
        <v>41131</v>
      </c>
      <c r="G2020" s="48">
        <v>41496</v>
      </c>
      <c r="H2020" s="46" t="s">
        <v>40</v>
      </c>
      <c r="I2020" s="45">
        <v>8714.02</v>
      </c>
      <c r="J2020" s="45">
        <v>4107</v>
      </c>
      <c r="K2020" s="49" t="s">
        <v>17</v>
      </c>
      <c r="L2020" s="45"/>
      <c r="M2020" s="3"/>
    </row>
    <row r="2021" spans="1:13" x14ac:dyDescent="0.25">
      <c r="A2021" s="46" t="s">
        <v>621</v>
      </c>
      <c r="B2021" s="46" t="s">
        <v>11649</v>
      </c>
      <c r="C2021" s="46" t="s">
        <v>14</v>
      </c>
      <c r="D2021" s="47">
        <v>6991</v>
      </c>
      <c r="E2021" s="46" t="s">
        <v>622</v>
      </c>
      <c r="F2021" s="48">
        <v>40429</v>
      </c>
      <c r="G2021" s="48">
        <v>40908</v>
      </c>
      <c r="H2021" s="46" t="s">
        <v>40</v>
      </c>
      <c r="I2021" s="45">
        <v>16000</v>
      </c>
      <c r="J2021" s="45">
        <v>16000</v>
      </c>
      <c r="K2021" s="49" t="s">
        <v>356</v>
      </c>
      <c r="L2021" s="45"/>
      <c r="M2021" s="3"/>
    </row>
    <row r="2022" spans="1:13" ht="25.5" x14ac:dyDescent="0.25">
      <c r="A2022" s="46" t="s">
        <v>631</v>
      </c>
      <c r="B2022" s="46" t="s">
        <v>11649</v>
      </c>
      <c r="C2022" s="46" t="s">
        <v>14</v>
      </c>
      <c r="D2022" s="47">
        <v>7000</v>
      </c>
      <c r="E2022" s="46" t="s">
        <v>632</v>
      </c>
      <c r="F2022" s="48">
        <v>40296</v>
      </c>
      <c r="G2022" s="48">
        <v>40543</v>
      </c>
      <c r="H2022" s="46" t="s">
        <v>40</v>
      </c>
      <c r="I2022" s="45">
        <v>7500</v>
      </c>
      <c r="J2022" s="45">
        <v>7500</v>
      </c>
      <c r="K2022" s="49" t="s">
        <v>356</v>
      </c>
      <c r="L2022" s="45"/>
      <c r="M2022" s="3"/>
    </row>
    <row r="2023" spans="1:13" x14ac:dyDescent="0.25">
      <c r="A2023" s="46" t="s">
        <v>647</v>
      </c>
      <c r="B2023" s="46" t="s">
        <v>11649</v>
      </c>
      <c r="C2023" s="46" t="s">
        <v>14</v>
      </c>
      <c r="D2023" s="47">
        <v>7012</v>
      </c>
      <c r="E2023" s="46" t="s">
        <v>648</v>
      </c>
      <c r="F2023" s="48">
        <v>40163</v>
      </c>
      <c r="G2023" s="48">
        <v>40543</v>
      </c>
      <c r="H2023" s="46" t="s">
        <v>40</v>
      </c>
      <c r="I2023" s="45">
        <v>8782</v>
      </c>
      <c r="J2023" s="45">
        <v>4391</v>
      </c>
      <c r="K2023" s="49" t="s">
        <v>356</v>
      </c>
      <c r="L2023" s="45"/>
      <c r="M2023" s="3"/>
    </row>
    <row r="2024" spans="1:13" ht="38.25" x14ac:dyDescent="0.25">
      <c r="A2024" s="46" t="s">
        <v>654</v>
      </c>
      <c r="B2024" s="46" t="s">
        <v>11649</v>
      </c>
      <c r="C2024" s="46" t="s">
        <v>14</v>
      </c>
      <c r="D2024" s="47">
        <v>7015</v>
      </c>
      <c r="E2024" s="50" t="s">
        <v>655</v>
      </c>
      <c r="F2024" s="48">
        <v>40296</v>
      </c>
      <c r="G2024" s="48">
        <v>40908</v>
      </c>
      <c r="H2024" s="46" t="s">
        <v>40</v>
      </c>
      <c r="I2024" s="45">
        <v>17450</v>
      </c>
      <c r="J2024" s="45">
        <v>8725</v>
      </c>
      <c r="K2024" s="49" t="s">
        <v>356</v>
      </c>
      <c r="L2024" s="45"/>
      <c r="M2024" s="3"/>
    </row>
    <row r="2025" spans="1:13" ht="25.5" x14ac:dyDescent="0.25">
      <c r="A2025" s="46" t="s">
        <v>674</v>
      </c>
      <c r="B2025" s="46" t="s">
        <v>11649</v>
      </c>
      <c r="C2025" s="46" t="s">
        <v>14</v>
      </c>
      <c r="D2025" s="47">
        <v>8825</v>
      </c>
      <c r="E2025" s="46" t="s">
        <v>675</v>
      </c>
      <c r="F2025" s="48">
        <v>40660</v>
      </c>
      <c r="G2025" s="48">
        <v>40908</v>
      </c>
      <c r="H2025" s="46" t="s">
        <v>40</v>
      </c>
      <c r="I2025" s="45">
        <v>77642</v>
      </c>
      <c r="J2025" s="45">
        <v>38822.199999999997</v>
      </c>
      <c r="K2025" s="49" t="s">
        <v>356</v>
      </c>
      <c r="L2025" s="45"/>
      <c r="M2025" s="3"/>
    </row>
    <row r="2026" spans="1:13" ht="25.5" x14ac:dyDescent="0.25">
      <c r="A2026" s="46" t="s">
        <v>680</v>
      </c>
      <c r="B2026" s="46" t="s">
        <v>11649</v>
      </c>
      <c r="C2026" s="46" t="s">
        <v>14</v>
      </c>
      <c r="D2026" s="47">
        <v>8828</v>
      </c>
      <c r="E2026" s="46" t="s">
        <v>681</v>
      </c>
      <c r="F2026" s="48">
        <v>40478</v>
      </c>
      <c r="G2026" s="48">
        <v>40908</v>
      </c>
      <c r="H2026" s="46" t="s">
        <v>40</v>
      </c>
      <c r="I2026" s="45">
        <v>7500</v>
      </c>
      <c r="J2026" s="45">
        <v>7500</v>
      </c>
      <c r="K2026" s="49" t="s">
        <v>356</v>
      </c>
      <c r="L2026" s="45"/>
      <c r="M2026" s="3"/>
    </row>
    <row r="2027" spans="1:13" ht="25.5" x14ac:dyDescent="0.25">
      <c r="A2027" s="46" t="s">
        <v>698</v>
      </c>
      <c r="B2027" s="46" t="s">
        <v>11649</v>
      </c>
      <c r="C2027" s="46" t="s">
        <v>14</v>
      </c>
      <c r="D2027" s="47">
        <v>8837</v>
      </c>
      <c r="E2027" s="46" t="s">
        <v>699</v>
      </c>
      <c r="F2027" s="48">
        <v>40800</v>
      </c>
      <c r="G2027" s="48">
        <v>41274</v>
      </c>
      <c r="H2027" s="46" t="s">
        <v>40</v>
      </c>
      <c r="I2027" s="45">
        <v>25000</v>
      </c>
      <c r="J2027" s="45">
        <v>25000</v>
      </c>
      <c r="K2027" s="49" t="s">
        <v>356</v>
      </c>
      <c r="L2027" s="45"/>
      <c r="M2027" s="3"/>
    </row>
    <row r="2028" spans="1:13" ht="25.5" x14ac:dyDescent="0.25">
      <c r="A2028" s="46" t="s">
        <v>704</v>
      </c>
      <c r="B2028" s="46" t="s">
        <v>11649</v>
      </c>
      <c r="C2028" s="46" t="s">
        <v>14</v>
      </c>
      <c r="D2028" s="47">
        <v>8840</v>
      </c>
      <c r="E2028" s="46" t="s">
        <v>705</v>
      </c>
      <c r="F2028" s="48">
        <v>40544</v>
      </c>
      <c r="G2028" s="48">
        <v>40908</v>
      </c>
      <c r="H2028" s="46" t="s">
        <v>40</v>
      </c>
      <c r="I2028" s="45">
        <v>20000</v>
      </c>
      <c r="J2028" s="45">
        <v>10000</v>
      </c>
      <c r="K2028" s="49" t="s">
        <v>356</v>
      </c>
      <c r="L2028" s="45"/>
      <c r="M2028" s="3"/>
    </row>
    <row r="2029" spans="1:13" ht="25.5" x14ac:dyDescent="0.25">
      <c r="A2029" s="46" t="s">
        <v>720</v>
      </c>
      <c r="B2029" s="46" t="s">
        <v>11649</v>
      </c>
      <c r="C2029" s="46" t="s">
        <v>14</v>
      </c>
      <c r="D2029" s="47">
        <v>8848</v>
      </c>
      <c r="E2029" s="46" t="s">
        <v>721</v>
      </c>
      <c r="F2029" s="48">
        <v>40544</v>
      </c>
      <c r="G2029" s="48">
        <v>40908</v>
      </c>
      <c r="H2029" s="46" t="s">
        <v>40</v>
      </c>
      <c r="I2029" s="45">
        <v>16092</v>
      </c>
      <c r="J2029" s="45">
        <v>8046</v>
      </c>
      <c r="K2029" s="49" t="s">
        <v>356</v>
      </c>
      <c r="L2029" s="45"/>
      <c r="M2029" s="3"/>
    </row>
    <row r="2030" spans="1:13" ht="25.5" x14ac:dyDescent="0.25">
      <c r="A2030" s="46" t="s">
        <v>730</v>
      </c>
      <c r="B2030" s="46" t="s">
        <v>11649</v>
      </c>
      <c r="C2030" s="46" t="s">
        <v>14</v>
      </c>
      <c r="D2030" s="47">
        <v>8853</v>
      </c>
      <c r="E2030" s="46" t="s">
        <v>731</v>
      </c>
      <c r="F2030" s="48">
        <v>40429</v>
      </c>
      <c r="G2030" s="48">
        <v>40908</v>
      </c>
      <c r="H2030" s="46" t="s">
        <v>40</v>
      </c>
      <c r="I2030" s="45">
        <v>3500</v>
      </c>
      <c r="J2030" s="45">
        <v>3500</v>
      </c>
      <c r="K2030" s="49" t="s">
        <v>356</v>
      </c>
      <c r="L2030" s="45"/>
      <c r="M2030" s="3"/>
    </row>
    <row r="2031" spans="1:13" ht="38.25" x14ac:dyDescent="0.25">
      <c r="A2031" s="46" t="s">
        <v>734</v>
      </c>
      <c r="B2031" s="46" t="s">
        <v>11649</v>
      </c>
      <c r="C2031" s="46" t="s">
        <v>14</v>
      </c>
      <c r="D2031" s="47">
        <v>10818</v>
      </c>
      <c r="E2031" s="46" t="s">
        <v>735</v>
      </c>
      <c r="F2031" s="48">
        <v>40909</v>
      </c>
      <c r="G2031" s="48">
        <v>41274</v>
      </c>
      <c r="H2031" s="46" t="s">
        <v>40</v>
      </c>
      <c r="I2031" s="45">
        <v>100000</v>
      </c>
      <c r="J2031" s="45">
        <v>50000</v>
      </c>
      <c r="K2031" s="49" t="s">
        <v>356</v>
      </c>
      <c r="L2031" s="45"/>
      <c r="M2031" s="3"/>
    </row>
    <row r="2032" spans="1:13" ht="38.25" x14ac:dyDescent="0.25">
      <c r="A2032" s="46" t="s">
        <v>736</v>
      </c>
      <c r="B2032" s="46" t="s">
        <v>11649</v>
      </c>
      <c r="C2032" s="46" t="s">
        <v>14</v>
      </c>
      <c r="D2032" s="47">
        <v>10820</v>
      </c>
      <c r="E2032" s="46" t="s">
        <v>737</v>
      </c>
      <c r="F2032" s="48">
        <v>40909</v>
      </c>
      <c r="G2032" s="48">
        <v>41274</v>
      </c>
      <c r="H2032" s="46" t="s">
        <v>40</v>
      </c>
      <c r="I2032" s="45">
        <v>42516</v>
      </c>
      <c r="J2032" s="45">
        <v>25008</v>
      </c>
      <c r="K2032" s="49" t="s">
        <v>356</v>
      </c>
      <c r="L2032" s="45"/>
      <c r="M2032" s="3"/>
    </row>
    <row r="2033" spans="1:13" ht="25.5" x14ac:dyDescent="0.25">
      <c r="A2033" s="46" t="s">
        <v>738</v>
      </c>
      <c r="B2033" s="46" t="s">
        <v>11649</v>
      </c>
      <c r="C2033" s="46" t="s">
        <v>14</v>
      </c>
      <c r="D2033" s="47">
        <v>10822</v>
      </c>
      <c r="E2033" s="46" t="s">
        <v>739</v>
      </c>
      <c r="F2033" s="48">
        <v>40909</v>
      </c>
      <c r="G2033" s="48">
        <v>41274</v>
      </c>
      <c r="H2033" s="46" t="s">
        <v>40</v>
      </c>
      <c r="I2033" s="45">
        <v>19062</v>
      </c>
      <c r="J2033" s="45">
        <v>9531</v>
      </c>
      <c r="K2033" s="49" t="s">
        <v>356</v>
      </c>
      <c r="L2033" s="45"/>
      <c r="M2033" s="3"/>
    </row>
    <row r="2034" spans="1:13" ht="25.5" x14ac:dyDescent="0.25">
      <c r="A2034" s="46" t="s">
        <v>752</v>
      </c>
      <c r="B2034" s="46" t="s">
        <v>11649</v>
      </c>
      <c r="C2034" s="46" t="s">
        <v>14</v>
      </c>
      <c r="D2034" s="47">
        <v>10834</v>
      </c>
      <c r="E2034" s="46" t="s">
        <v>753</v>
      </c>
      <c r="F2034" s="48">
        <v>40909</v>
      </c>
      <c r="G2034" s="48">
        <v>41274</v>
      </c>
      <c r="H2034" s="46" t="s">
        <v>40</v>
      </c>
      <c r="I2034" s="45">
        <v>28000</v>
      </c>
      <c r="J2034" s="45">
        <v>14000</v>
      </c>
      <c r="K2034" s="49" t="s">
        <v>356</v>
      </c>
      <c r="L2034" s="45"/>
      <c r="M2034" s="3"/>
    </row>
    <row r="2035" spans="1:13" ht="25.5" x14ac:dyDescent="0.25">
      <c r="A2035" s="46" t="s">
        <v>754</v>
      </c>
      <c r="B2035" s="46" t="s">
        <v>11649</v>
      </c>
      <c r="C2035" s="46" t="s">
        <v>14</v>
      </c>
      <c r="D2035" s="47">
        <v>10835</v>
      </c>
      <c r="E2035" s="46" t="s">
        <v>755</v>
      </c>
      <c r="F2035" s="48">
        <v>40909</v>
      </c>
      <c r="G2035" s="48">
        <v>41274</v>
      </c>
      <c r="H2035" s="46" t="s">
        <v>40</v>
      </c>
      <c r="I2035" s="45">
        <v>50000</v>
      </c>
      <c r="J2035" s="45">
        <v>25000</v>
      </c>
      <c r="K2035" s="49" t="s">
        <v>356</v>
      </c>
      <c r="L2035" s="45"/>
      <c r="M2035" s="3"/>
    </row>
    <row r="2036" spans="1:13" ht="25.5" x14ac:dyDescent="0.25">
      <c r="A2036" s="46" t="s">
        <v>756</v>
      </c>
      <c r="B2036" s="46" t="s">
        <v>11649</v>
      </c>
      <c r="C2036" s="46" t="s">
        <v>14</v>
      </c>
      <c r="D2036" s="47">
        <v>10836</v>
      </c>
      <c r="E2036" s="46" t="s">
        <v>757</v>
      </c>
      <c r="F2036" s="48">
        <v>40909</v>
      </c>
      <c r="G2036" s="48">
        <v>41274</v>
      </c>
      <c r="H2036" s="46" t="s">
        <v>40</v>
      </c>
      <c r="I2036" s="45">
        <v>5000</v>
      </c>
      <c r="J2036" s="45">
        <v>5000</v>
      </c>
      <c r="K2036" s="49" t="s">
        <v>356</v>
      </c>
      <c r="L2036" s="45"/>
      <c r="M2036" s="3"/>
    </row>
    <row r="2037" spans="1:13" ht="25.5" x14ac:dyDescent="0.25">
      <c r="A2037" s="46" t="s">
        <v>1010</v>
      </c>
      <c r="B2037" s="46" t="s">
        <v>11649</v>
      </c>
      <c r="C2037" s="46" t="s">
        <v>14</v>
      </c>
      <c r="D2037" s="47">
        <v>513</v>
      </c>
      <c r="E2037" s="46" t="s">
        <v>1011</v>
      </c>
      <c r="F2037" s="48">
        <v>39611</v>
      </c>
      <c r="G2037" s="48">
        <v>41274</v>
      </c>
      <c r="H2037" s="46" t="s">
        <v>40</v>
      </c>
      <c r="I2037" s="45">
        <v>74079.240000000005</v>
      </c>
      <c r="J2037" s="45">
        <v>53079.24</v>
      </c>
      <c r="K2037" s="49" t="s">
        <v>790</v>
      </c>
      <c r="L2037" s="45"/>
      <c r="M2037" s="3"/>
    </row>
    <row r="2038" spans="1:13" ht="25.5" x14ac:dyDescent="0.25">
      <c r="A2038" s="46" t="s">
        <v>1397</v>
      </c>
      <c r="B2038" s="46" t="s">
        <v>11649</v>
      </c>
      <c r="C2038" s="46" t="s">
        <v>14</v>
      </c>
      <c r="D2038" s="47">
        <v>5656</v>
      </c>
      <c r="E2038" s="46" t="s">
        <v>1398</v>
      </c>
      <c r="F2038" s="48">
        <v>39814</v>
      </c>
      <c r="G2038" s="48">
        <v>41274</v>
      </c>
      <c r="H2038" s="46" t="s">
        <v>40</v>
      </c>
      <c r="I2038" s="45">
        <v>26699.64</v>
      </c>
      <c r="J2038" s="45">
        <v>15548.91</v>
      </c>
      <c r="K2038" s="49" t="s">
        <v>790</v>
      </c>
      <c r="L2038" s="45"/>
      <c r="M2038" s="3"/>
    </row>
    <row r="2039" spans="1:13" ht="25.5" x14ac:dyDescent="0.25">
      <c r="A2039" s="46" t="s">
        <v>1401</v>
      </c>
      <c r="B2039" s="46" t="s">
        <v>11649</v>
      </c>
      <c r="C2039" s="46" t="s">
        <v>14</v>
      </c>
      <c r="D2039" s="47">
        <v>5659</v>
      </c>
      <c r="E2039" s="46" t="s">
        <v>1402</v>
      </c>
      <c r="F2039" s="48">
        <v>40708</v>
      </c>
      <c r="G2039" s="48">
        <v>41274</v>
      </c>
      <c r="H2039" s="46" t="s">
        <v>40</v>
      </c>
      <c r="I2039" s="45">
        <v>37240.9</v>
      </c>
      <c r="J2039" s="45">
        <v>25689.759999999998</v>
      </c>
      <c r="K2039" s="49" t="s">
        <v>790</v>
      </c>
      <c r="L2039" s="45"/>
      <c r="M2039" s="3"/>
    </row>
    <row r="2040" spans="1:13" ht="38.25" x14ac:dyDescent="0.25">
      <c r="A2040" s="46" t="s">
        <v>1403</v>
      </c>
      <c r="B2040" s="46" t="s">
        <v>11649</v>
      </c>
      <c r="C2040" s="46" t="s">
        <v>14</v>
      </c>
      <c r="D2040" s="47">
        <v>5660</v>
      </c>
      <c r="E2040" s="46" t="s">
        <v>1404</v>
      </c>
      <c r="F2040" s="48">
        <v>39814</v>
      </c>
      <c r="G2040" s="48">
        <v>41639</v>
      </c>
      <c r="H2040" s="46" t="s">
        <v>40</v>
      </c>
      <c r="I2040" s="45">
        <v>150000</v>
      </c>
      <c r="J2040" s="45">
        <v>75000</v>
      </c>
      <c r="K2040" s="49" t="s">
        <v>790</v>
      </c>
      <c r="L2040" s="45"/>
      <c r="M2040" s="3"/>
    </row>
    <row r="2041" spans="1:13" ht="25.5" x14ac:dyDescent="0.25">
      <c r="A2041" s="46" t="s">
        <v>1454</v>
      </c>
      <c r="B2041" s="46" t="s">
        <v>11649</v>
      </c>
      <c r="C2041" s="46" t="s">
        <v>14</v>
      </c>
      <c r="D2041" s="47">
        <v>6731</v>
      </c>
      <c r="E2041" s="46" t="s">
        <v>1455</v>
      </c>
      <c r="F2041" s="48">
        <v>40179</v>
      </c>
      <c r="G2041" s="48">
        <v>41639</v>
      </c>
      <c r="H2041" s="46" t="s">
        <v>40</v>
      </c>
      <c r="I2041" s="45">
        <v>9000</v>
      </c>
      <c r="J2041" s="45">
        <v>9000</v>
      </c>
      <c r="K2041" s="49" t="s">
        <v>790</v>
      </c>
      <c r="L2041" s="45"/>
      <c r="M2041" s="3"/>
    </row>
    <row r="2042" spans="1:13" ht="25.5" x14ac:dyDescent="0.25">
      <c r="A2042" s="46" t="s">
        <v>1456</v>
      </c>
      <c r="B2042" s="46" t="s">
        <v>11649</v>
      </c>
      <c r="C2042" s="46" t="s">
        <v>14</v>
      </c>
      <c r="D2042" s="47">
        <v>6732</v>
      </c>
      <c r="E2042" s="46" t="s">
        <v>1457</v>
      </c>
      <c r="F2042" s="48">
        <v>40179</v>
      </c>
      <c r="G2042" s="48">
        <v>41639</v>
      </c>
      <c r="H2042" s="46" t="s">
        <v>40</v>
      </c>
      <c r="I2042" s="45">
        <v>60000</v>
      </c>
      <c r="J2042" s="45">
        <v>30000</v>
      </c>
      <c r="K2042" s="49" t="s">
        <v>790</v>
      </c>
      <c r="L2042" s="45"/>
      <c r="M2042" s="3"/>
    </row>
    <row r="2043" spans="1:13" x14ac:dyDescent="0.25">
      <c r="A2043" s="46" t="s">
        <v>1460</v>
      </c>
      <c r="B2043" s="46" t="s">
        <v>11649</v>
      </c>
      <c r="C2043" s="46" t="s">
        <v>14</v>
      </c>
      <c r="D2043" s="47">
        <v>6772</v>
      </c>
      <c r="E2043" s="46" t="s">
        <v>1461</v>
      </c>
      <c r="F2043" s="48">
        <v>40179</v>
      </c>
      <c r="G2043" s="48">
        <v>41639</v>
      </c>
      <c r="H2043" s="46" t="s">
        <v>40</v>
      </c>
      <c r="I2043" s="45">
        <v>15000</v>
      </c>
      <c r="J2043" s="45">
        <v>15000</v>
      </c>
      <c r="K2043" s="49" t="s">
        <v>790</v>
      </c>
      <c r="L2043" s="45"/>
      <c r="M2043" s="3"/>
    </row>
    <row r="2044" spans="1:13" ht="25.5" x14ac:dyDescent="0.25">
      <c r="A2044" s="46" t="s">
        <v>1462</v>
      </c>
      <c r="B2044" s="46" t="s">
        <v>11649</v>
      </c>
      <c r="C2044" s="46" t="s">
        <v>14</v>
      </c>
      <c r="D2044" s="47">
        <v>6797</v>
      </c>
      <c r="E2044" s="46" t="s">
        <v>1463</v>
      </c>
      <c r="F2044" s="48">
        <v>40708</v>
      </c>
      <c r="G2044" s="48">
        <v>41274</v>
      </c>
      <c r="H2044" s="46" t="s">
        <v>40</v>
      </c>
      <c r="I2044" s="45">
        <v>32498.6</v>
      </c>
      <c r="J2044" s="45">
        <v>25500</v>
      </c>
      <c r="K2044" s="49" t="s">
        <v>790</v>
      </c>
      <c r="L2044" s="45"/>
      <c r="M2044" s="3"/>
    </row>
    <row r="2045" spans="1:13" ht="38.25" x14ac:dyDescent="0.25">
      <c r="A2045" s="46" t="s">
        <v>1472</v>
      </c>
      <c r="B2045" s="46" t="s">
        <v>11649</v>
      </c>
      <c r="C2045" s="46" t="s">
        <v>14</v>
      </c>
      <c r="D2045" s="47">
        <v>6840</v>
      </c>
      <c r="E2045" s="46" t="s">
        <v>1473</v>
      </c>
      <c r="F2045" s="48">
        <v>40179</v>
      </c>
      <c r="G2045" s="48">
        <v>41639</v>
      </c>
      <c r="H2045" s="46" t="s">
        <v>40</v>
      </c>
      <c r="I2045" s="45">
        <v>30000</v>
      </c>
      <c r="J2045" s="45">
        <v>15000</v>
      </c>
      <c r="K2045" s="49" t="s">
        <v>790</v>
      </c>
      <c r="L2045" s="45"/>
      <c r="M2045" s="3"/>
    </row>
    <row r="2046" spans="1:13" ht="25.5" x14ac:dyDescent="0.25">
      <c r="A2046" s="46" t="s">
        <v>1474</v>
      </c>
      <c r="B2046" s="46" t="s">
        <v>11649</v>
      </c>
      <c r="C2046" s="46" t="s">
        <v>14</v>
      </c>
      <c r="D2046" s="47">
        <v>6845</v>
      </c>
      <c r="E2046" s="46" t="s">
        <v>1475</v>
      </c>
      <c r="F2046" s="48">
        <v>40179</v>
      </c>
      <c r="G2046" s="48">
        <v>41639</v>
      </c>
      <c r="H2046" s="46" t="s">
        <v>40</v>
      </c>
      <c r="I2046" s="45">
        <v>33181.879999999997</v>
      </c>
      <c r="J2046" s="45">
        <v>16590.939999999999</v>
      </c>
      <c r="K2046" s="49" t="s">
        <v>790</v>
      </c>
      <c r="L2046" s="45"/>
      <c r="M2046" s="3"/>
    </row>
    <row r="2047" spans="1:13" ht="25.5" x14ac:dyDescent="0.25">
      <c r="A2047" s="46" t="s">
        <v>1480</v>
      </c>
      <c r="B2047" s="46" t="s">
        <v>11649</v>
      </c>
      <c r="C2047" s="46" t="s">
        <v>14</v>
      </c>
      <c r="D2047" s="47">
        <v>6850</v>
      </c>
      <c r="E2047" s="46" t="s">
        <v>1481</v>
      </c>
      <c r="F2047" s="48">
        <v>40179</v>
      </c>
      <c r="G2047" s="48">
        <v>41639</v>
      </c>
      <c r="H2047" s="46" t="s">
        <v>40</v>
      </c>
      <c r="I2047" s="45">
        <v>19878.52</v>
      </c>
      <c r="J2047" s="45">
        <v>12424.26</v>
      </c>
      <c r="K2047" s="49" t="s">
        <v>790</v>
      </c>
      <c r="L2047" s="45"/>
      <c r="M2047" s="3"/>
    </row>
    <row r="2048" spans="1:13" ht="25.5" x14ac:dyDescent="0.25">
      <c r="A2048" s="46" t="s">
        <v>1482</v>
      </c>
      <c r="B2048" s="46" t="s">
        <v>11649</v>
      </c>
      <c r="C2048" s="46" t="s">
        <v>14</v>
      </c>
      <c r="D2048" s="47">
        <v>6851</v>
      </c>
      <c r="E2048" s="46" t="s">
        <v>1483</v>
      </c>
      <c r="F2048" s="48">
        <v>40179</v>
      </c>
      <c r="G2048" s="48">
        <v>41639</v>
      </c>
      <c r="H2048" s="46" t="s">
        <v>40</v>
      </c>
      <c r="I2048" s="45">
        <v>18598.150000000001</v>
      </c>
      <c r="J2048" s="45">
        <v>15260.95</v>
      </c>
      <c r="K2048" s="49" t="s">
        <v>790</v>
      </c>
      <c r="L2048" s="45"/>
      <c r="M2048" s="3"/>
    </row>
    <row r="2049" spans="1:13" ht="25.5" x14ac:dyDescent="0.25">
      <c r="A2049" s="46" t="s">
        <v>1484</v>
      </c>
      <c r="B2049" s="46" t="s">
        <v>11649</v>
      </c>
      <c r="C2049" s="46" t="s">
        <v>14</v>
      </c>
      <c r="D2049" s="47">
        <v>6852</v>
      </c>
      <c r="E2049" s="46" t="s">
        <v>1485</v>
      </c>
      <c r="F2049" s="48">
        <v>40179</v>
      </c>
      <c r="G2049" s="48">
        <v>41274</v>
      </c>
      <c r="H2049" s="46" t="s">
        <v>40</v>
      </c>
      <c r="I2049" s="45">
        <f>61110.74+8478.26</f>
        <v>69589</v>
      </c>
      <c r="J2049" s="45">
        <f>37878.64+4239.13</f>
        <v>42117.77</v>
      </c>
      <c r="K2049" s="49" t="s">
        <v>790</v>
      </c>
      <c r="L2049" s="45"/>
      <c r="M2049" s="3"/>
    </row>
    <row r="2050" spans="1:13" ht="25.5" x14ac:dyDescent="0.25">
      <c r="A2050" s="46" t="s">
        <v>1491</v>
      </c>
      <c r="B2050" s="46" t="s">
        <v>11649</v>
      </c>
      <c r="C2050" s="46" t="s">
        <v>14</v>
      </c>
      <c r="D2050" s="47">
        <v>6856</v>
      </c>
      <c r="E2050" s="46" t="s">
        <v>1492</v>
      </c>
      <c r="F2050" s="48">
        <v>40179</v>
      </c>
      <c r="G2050" s="48">
        <v>41639</v>
      </c>
      <c r="H2050" s="46" t="s">
        <v>40</v>
      </c>
      <c r="I2050" s="45">
        <v>20000</v>
      </c>
      <c r="J2050" s="45">
        <v>20000</v>
      </c>
      <c r="K2050" s="49" t="s">
        <v>790</v>
      </c>
      <c r="L2050" s="45"/>
      <c r="M2050" s="3"/>
    </row>
    <row r="2051" spans="1:13" ht="25.5" x14ac:dyDescent="0.25">
      <c r="A2051" s="46" t="s">
        <v>1495</v>
      </c>
      <c r="B2051" s="46" t="s">
        <v>11649</v>
      </c>
      <c r="C2051" s="46" t="s">
        <v>14</v>
      </c>
      <c r="D2051" s="47">
        <v>6858</v>
      </c>
      <c r="E2051" s="46" t="s">
        <v>1496</v>
      </c>
      <c r="F2051" s="48">
        <v>40179</v>
      </c>
      <c r="G2051" s="48">
        <v>41639</v>
      </c>
      <c r="H2051" s="46" t="s">
        <v>40</v>
      </c>
      <c r="I2051" s="45">
        <v>19846</v>
      </c>
      <c r="J2051" s="45">
        <v>9923.5</v>
      </c>
      <c r="K2051" s="49" t="s">
        <v>790</v>
      </c>
      <c r="L2051" s="45"/>
      <c r="M2051" s="3"/>
    </row>
    <row r="2052" spans="1:13" ht="38.25" x14ac:dyDescent="0.25">
      <c r="A2052" s="46" t="s">
        <v>1506</v>
      </c>
      <c r="B2052" s="46" t="s">
        <v>11649</v>
      </c>
      <c r="C2052" s="46" t="s">
        <v>14</v>
      </c>
      <c r="D2052" s="47">
        <v>7140</v>
      </c>
      <c r="E2052" s="46" t="s">
        <v>1507</v>
      </c>
      <c r="F2052" s="48">
        <v>40322</v>
      </c>
      <c r="G2052" s="48">
        <v>40543</v>
      </c>
      <c r="H2052" s="46" t="s">
        <v>40</v>
      </c>
      <c r="I2052" s="45">
        <v>22726.880000000001</v>
      </c>
      <c r="J2052" s="45">
        <v>11363.44</v>
      </c>
      <c r="K2052" s="49" t="s">
        <v>790</v>
      </c>
      <c r="L2052" s="45"/>
      <c r="M2052" s="3"/>
    </row>
    <row r="2053" spans="1:13" ht="25.5" x14ac:dyDescent="0.25">
      <c r="A2053" s="46" t="s">
        <v>1510</v>
      </c>
      <c r="B2053" s="46" t="s">
        <v>11649</v>
      </c>
      <c r="C2053" s="46" t="s">
        <v>14</v>
      </c>
      <c r="D2053" s="47">
        <v>7142</v>
      </c>
      <c r="E2053" s="46" t="s">
        <v>1511</v>
      </c>
      <c r="F2053" s="48">
        <v>40154</v>
      </c>
      <c r="G2053" s="48">
        <v>40908</v>
      </c>
      <c r="H2053" s="46" t="s">
        <v>40</v>
      </c>
      <c r="I2053" s="45">
        <v>63164.82</v>
      </c>
      <c r="J2053" s="45">
        <v>41338.75</v>
      </c>
      <c r="K2053" s="49" t="s">
        <v>790</v>
      </c>
      <c r="L2053" s="45"/>
      <c r="M2053" s="3"/>
    </row>
    <row r="2054" spans="1:13" ht="38.25" x14ac:dyDescent="0.25">
      <c r="A2054" s="46" t="s">
        <v>1514</v>
      </c>
      <c r="B2054" s="46" t="s">
        <v>11649</v>
      </c>
      <c r="C2054" s="46" t="s">
        <v>14</v>
      </c>
      <c r="D2054" s="47">
        <v>7144</v>
      </c>
      <c r="E2054" s="46" t="s">
        <v>1515</v>
      </c>
      <c r="F2054" s="48">
        <v>40077</v>
      </c>
      <c r="G2054" s="48">
        <v>40442</v>
      </c>
      <c r="H2054" s="46" t="s">
        <v>40</v>
      </c>
      <c r="I2054" s="45">
        <v>9250</v>
      </c>
      <c r="J2054" s="45">
        <v>4625</v>
      </c>
      <c r="K2054" s="49" t="s">
        <v>790</v>
      </c>
      <c r="L2054" s="45"/>
      <c r="M2054" s="3"/>
    </row>
    <row r="2055" spans="1:13" ht="38.25" x14ac:dyDescent="0.25">
      <c r="A2055" s="46" t="s">
        <v>1514</v>
      </c>
      <c r="B2055" s="46" t="s">
        <v>11649</v>
      </c>
      <c r="C2055" s="46" t="s">
        <v>14</v>
      </c>
      <c r="D2055" s="47">
        <v>7145</v>
      </c>
      <c r="E2055" s="46" t="s">
        <v>1515</v>
      </c>
      <c r="F2055" s="48">
        <v>40105</v>
      </c>
      <c r="G2055" s="48">
        <v>40470</v>
      </c>
      <c r="H2055" s="46" t="s">
        <v>40</v>
      </c>
      <c r="I2055" s="45">
        <v>2900.32</v>
      </c>
      <c r="J2055" s="45">
        <v>1450.16</v>
      </c>
      <c r="K2055" s="49" t="s">
        <v>790</v>
      </c>
      <c r="L2055" s="45"/>
      <c r="M2055" s="3"/>
    </row>
    <row r="2056" spans="1:13" ht="25.5" x14ac:dyDescent="0.25">
      <c r="A2056" s="46" t="s">
        <v>1518</v>
      </c>
      <c r="B2056" s="46" t="s">
        <v>11649</v>
      </c>
      <c r="C2056" s="46" t="s">
        <v>14</v>
      </c>
      <c r="D2056" s="47">
        <v>7147</v>
      </c>
      <c r="E2056" s="46" t="s">
        <v>1519</v>
      </c>
      <c r="F2056" s="48">
        <v>40154</v>
      </c>
      <c r="G2056" s="48">
        <v>40519</v>
      </c>
      <c r="H2056" s="46" t="s">
        <v>40</v>
      </c>
      <c r="I2056" s="45">
        <v>72892.5</v>
      </c>
      <c r="J2056" s="45">
        <v>20973.57</v>
      </c>
      <c r="K2056" s="49" t="s">
        <v>790</v>
      </c>
      <c r="L2056" s="45"/>
      <c r="M2056" s="3"/>
    </row>
    <row r="2057" spans="1:13" ht="25.5" x14ac:dyDescent="0.25">
      <c r="A2057" s="46" t="s">
        <v>1639</v>
      </c>
      <c r="B2057" s="46" t="s">
        <v>11649</v>
      </c>
      <c r="C2057" s="46" t="s">
        <v>14</v>
      </c>
      <c r="D2057" s="47">
        <v>8620</v>
      </c>
      <c r="E2057" s="46" t="s">
        <v>1640</v>
      </c>
      <c r="F2057" s="48">
        <v>40805</v>
      </c>
      <c r="G2057" s="48">
        <v>41274</v>
      </c>
      <c r="H2057" s="46" t="s">
        <v>40</v>
      </c>
      <c r="I2057" s="45">
        <v>17426.98</v>
      </c>
      <c r="J2057" s="45">
        <v>8713.49</v>
      </c>
      <c r="K2057" s="49" t="s">
        <v>790</v>
      </c>
      <c r="L2057" s="45"/>
      <c r="M2057" s="3"/>
    </row>
    <row r="2058" spans="1:13" ht="25.5" x14ac:dyDescent="0.25">
      <c r="A2058" s="46" t="s">
        <v>1645</v>
      </c>
      <c r="B2058" s="46" t="s">
        <v>11649</v>
      </c>
      <c r="C2058" s="46" t="s">
        <v>14</v>
      </c>
      <c r="D2058" s="47">
        <v>8624</v>
      </c>
      <c r="E2058" s="46" t="s">
        <v>1646</v>
      </c>
      <c r="F2058" s="48">
        <v>40882</v>
      </c>
      <c r="G2058" s="48">
        <v>41274</v>
      </c>
      <c r="H2058" s="46" t="s">
        <v>40</v>
      </c>
      <c r="I2058" s="45">
        <v>27720.720000000001</v>
      </c>
      <c r="J2058" s="45">
        <v>21360.36</v>
      </c>
      <c r="K2058" s="49" t="s">
        <v>790</v>
      </c>
      <c r="L2058" s="45"/>
      <c r="M2058" s="3"/>
    </row>
    <row r="2059" spans="1:13" ht="25.5" x14ac:dyDescent="0.25">
      <c r="A2059" s="46" t="s">
        <v>1713</v>
      </c>
      <c r="B2059" s="46" t="s">
        <v>11649</v>
      </c>
      <c r="C2059" s="46" t="s">
        <v>14</v>
      </c>
      <c r="D2059" s="47">
        <v>9221</v>
      </c>
      <c r="E2059" s="46" t="s">
        <v>1714</v>
      </c>
      <c r="F2059" s="48">
        <v>40577</v>
      </c>
      <c r="G2059" s="48">
        <v>41639</v>
      </c>
      <c r="H2059" s="46" t="s">
        <v>40</v>
      </c>
      <c r="I2059" s="45">
        <v>30000</v>
      </c>
      <c r="J2059" s="45">
        <v>20000</v>
      </c>
      <c r="K2059" s="49" t="s">
        <v>790</v>
      </c>
      <c r="L2059" s="45"/>
      <c r="M2059" s="3"/>
    </row>
    <row r="2060" spans="1:13" ht="38.25" x14ac:dyDescent="0.25">
      <c r="A2060" s="46" t="s">
        <v>1725</v>
      </c>
      <c r="B2060" s="46" t="s">
        <v>11649</v>
      </c>
      <c r="C2060" s="46" t="s">
        <v>14</v>
      </c>
      <c r="D2060" s="47">
        <v>9227</v>
      </c>
      <c r="E2060" s="46" t="s">
        <v>1726</v>
      </c>
      <c r="F2060" s="48">
        <v>40668</v>
      </c>
      <c r="G2060" s="48">
        <v>41274</v>
      </c>
      <c r="H2060" s="46" t="s">
        <v>40</v>
      </c>
      <c r="I2060" s="45">
        <v>40309.160000000003</v>
      </c>
      <c r="J2060" s="45">
        <v>27654.58</v>
      </c>
      <c r="K2060" s="49" t="s">
        <v>790</v>
      </c>
      <c r="L2060" s="45"/>
      <c r="M2060" s="3"/>
    </row>
    <row r="2061" spans="1:13" ht="25.5" x14ac:dyDescent="0.25">
      <c r="A2061" s="46" t="s">
        <v>1743</v>
      </c>
      <c r="B2061" s="46" t="s">
        <v>11649</v>
      </c>
      <c r="C2061" s="46" t="s">
        <v>14</v>
      </c>
      <c r="D2061" s="47">
        <v>9236</v>
      </c>
      <c r="E2061" s="46" t="s">
        <v>1744</v>
      </c>
      <c r="F2061" s="48">
        <v>40883</v>
      </c>
      <c r="G2061" s="48">
        <v>41274</v>
      </c>
      <c r="H2061" s="46" t="s">
        <v>40</v>
      </c>
      <c r="I2061" s="45">
        <f>45000+44250</f>
        <v>89250</v>
      </c>
      <c r="J2061" s="45">
        <f>30000+32125</f>
        <v>62125</v>
      </c>
      <c r="K2061" s="49" t="s">
        <v>790</v>
      </c>
      <c r="L2061" s="45"/>
      <c r="M2061" s="3"/>
    </row>
    <row r="2062" spans="1:13" ht="25.5" x14ac:dyDescent="0.25">
      <c r="A2062" s="46" t="s">
        <v>1761</v>
      </c>
      <c r="B2062" s="46" t="s">
        <v>11649</v>
      </c>
      <c r="C2062" s="46" t="s">
        <v>14</v>
      </c>
      <c r="D2062" s="47">
        <v>9245</v>
      </c>
      <c r="E2062" s="46" t="s">
        <v>1762</v>
      </c>
      <c r="F2062" s="48">
        <v>40849</v>
      </c>
      <c r="G2062" s="48">
        <v>41639</v>
      </c>
      <c r="H2062" s="46" t="s">
        <v>40</v>
      </c>
      <c r="I2062" s="45">
        <v>20480</v>
      </c>
      <c r="J2062" s="45">
        <v>10240</v>
      </c>
      <c r="K2062" s="49" t="s">
        <v>790</v>
      </c>
      <c r="L2062" s="45"/>
      <c r="M2062" s="3"/>
    </row>
    <row r="2063" spans="1:13" ht="25.5" x14ac:dyDescent="0.25">
      <c r="A2063" s="46" t="s">
        <v>1765</v>
      </c>
      <c r="B2063" s="46" t="s">
        <v>11649</v>
      </c>
      <c r="C2063" s="46" t="s">
        <v>14</v>
      </c>
      <c r="D2063" s="47">
        <v>9247</v>
      </c>
      <c r="E2063" s="46" t="s">
        <v>1766</v>
      </c>
      <c r="F2063" s="48">
        <v>40814</v>
      </c>
      <c r="G2063" s="48">
        <v>41274</v>
      </c>
      <c r="H2063" s="46" t="s">
        <v>40</v>
      </c>
      <c r="I2063" s="45">
        <v>43000</v>
      </c>
      <c r="J2063" s="45">
        <v>26500</v>
      </c>
      <c r="K2063" s="49" t="s">
        <v>790</v>
      </c>
      <c r="L2063" s="45"/>
      <c r="M2063" s="3"/>
    </row>
    <row r="2064" spans="1:13" ht="38.25" x14ac:dyDescent="0.25">
      <c r="A2064" s="46" t="s">
        <v>1858</v>
      </c>
      <c r="B2064" s="46" t="s">
        <v>11649</v>
      </c>
      <c r="C2064" s="46" t="s">
        <v>14</v>
      </c>
      <c r="D2064" s="47">
        <v>10292</v>
      </c>
      <c r="E2064" s="46" t="s">
        <v>1859</v>
      </c>
      <c r="F2064" s="48">
        <v>41169</v>
      </c>
      <c r="G2064" s="46"/>
      <c r="H2064" s="46" t="s">
        <v>40</v>
      </c>
      <c r="I2064" s="45">
        <v>24313.52</v>
      </c>
      <c r="J2064" s="45">
        <v>12156.76</v>
      </c>
      <c r="K2064" s="49" t="s">
        <v>790</v>
      </c>
      <c r="L2064" s="45"/>
      <c r="M2064" s="3"/>
    </row>
    <row r="2065" spans="1:13" ht="51" x14ac:dyDescent="0.25">
      <c r="A2065" s="46" t="s">
        <v>1860</v>
      </c>
      <c r="B2065" s="46" t="s">
        <v>11649</v>
      </c>
      <c r="C2065" s="46" t="s">
        <v>14</v>
      </c>
      <c r="D2065" s="47">
        <v>10293</v>
      </c>
      <c r="E2065" s="50" t="s">
        <v>1861</v>
      </c>
      <c r="F2065" s="48">
        <v>40917</v>
      </c>
      <c r="G2065" s="48">
        <v>41274</v>
      </c>
      <c r="H2065" s="46" t="s">
        <v>40</v>
      </c>
      <c r="I2065" s="45">
        <v>9403.66</v>
      </c>
      <c r="J2065" s="45">
        <v>4701.83</v>
      </c>
      <c r="K2065" s="49" t="s">
        <v>790</v>
      </c>
      <c r="L2065" s="45"/>
      <c r="M2065" s="3"/>
    </row>
    <row r="2066" spans="1:13" ht="51" x14ac:dyDescent="0.25">
      <c r="A2066" s="46" t="s">
        <v>1864</v>
      </c>
      <c r="B2066" s="46" t="s">
        <v>11649</v>
      </c>
      <c r="C2066" s="46" t="s">
        <v>14</v>
      </c>
      <c r="D2066" s="47">
        <v>10295</v>
      </c>
      <c r="E2066" s="50" t="s">
        <v>1865</v>
      </c>
      <c r="F2066" s="48">
        <v>41254</v>
      </c>
      <c r="G2066" s="48">
        <v>41639</v>
      </c>
      <c r="H2066" s="46" t="s">
        <v>40</v>
      </c>
      <c r="I2066" s="45">
        <f>35000+25000</f>
        <v>60000</v>
      </c>
      <c r="J2066" s="45">
        <f>10000+25000</f>
        <v>35000</v>
      </c>
      <c r="K2066" s="49" t="s">
        <v>790</v>
      </c>
      <c r="L2066" s="45"/>
      <c r="M2066" s="3"/>
    </row>
    <row r="2067" spans="1:13" ht="38.25" x14ac:dyDescent="0.25">
      <c r="A2067" s="46" t="s">
        <v>1866</v>
      </c>
      <c r="B2067" s="46" t="s">
        <v>11649</v>
      </c>
      <c r="C2067" s="46" t="s">
        <v>14</v>
      </c>
      <c r="D2067" s="47">
        <v>10296</v>
      </c>
      <c r="E2067" s="50" t="s">
        <v>1867</v>
      </c>
      <c r="F2067" s="48">
        <v>41254</v>
      </c>
      <c r="G2067" s="48">
        <v>41639</v>
      </c>
      <c r="H2067" s="46" t="s">
        <v>40</v>
      </c>
      <c r="I2067" s="45">
        <f>39741+24741</f>
        <v>64482</v>
      </c>
      <c r="J2067" s="45">
        <f>15000+19870.5</f>
        <v>34870.5</v>
      </c>
      <c r="K2067" s="49" t="s">
        <v>790</v>
      </c>
      <c r="L2067" s="45"/>
      <c r="M2067" s="3"/>
    </row>
    <row r="2068" spans="1:13" ht="25.5" x14ac:dyDescent="0.25">
      <c r="A2068" s="46" t="s">
        <v>1868</v>
      </c>
      <c r="B2068" s="46" t="s">
        <v>11649</v>
      </c>
      <c r="C2068" s="46" t="s">
        <v>14</v>
      </c>
      <c r="D2068" s="47">
        <v>10297</v>
      </c>
      <c r="E2068" s="46" t="s">
        <v>1869</v>
      </c>
      <c r="F2068" s="48">
        <v>40805</v>
      </c>
      <c r="G2068" s="48">
        <v>41274</v>
      </c>
      <c r="H2068" s="46" t="s">
        <v>40</v>
      </c>
      <c r="I2068" s="45">
        <v>100000</v>
      </c>
      <c r="J2068" s="45">
        <v>50000</v>
      </c>
      <c r="K2068" s="49" t="s">
        <v>790</v>
      </c>
      <c r="L2068" s="45"/>
      <c r="M2068" s="3"/>
    </row>
    <row r="2069" spans="1:13" ht="76.5" x14ac:dyDescent="0.25">
      <c r="A2069" s="46" t="s">
        <v>1870</v>
      </c>
      <c r="B2069" s="46" t="s">
        <v>11649</v>
      </c>
      <c r="C2069" s="46" t="s">
        <v>14</v>
      </c>
      <c r="D2069" s="47">
        <v>10298</v>
      </c>
      <c r="E2069" s="50" t="s">
        <v>1871</v>
      </c>
      <c r="F2069" s="48">
        <v>40917</v>
      </c>
      <c r="G2069" s="48">
        <v>41639</v>
      </c>
      <c r="H2069" s="46" t="s">
        <v>40</v>
      </c>
      <c r="I2069" s="45">
        <f>55739.82+16021.14</f>
        <v>71760.959999999992</v>
      </c>
      <c r="J2069" s="45">
        <f>19859.34+8010.57</f>
        <v>27869.91</v>
      </c>
      <c r="K2069" s="49" t="s">
        <v>790</v>
      </c>
      <c r="L2069" s="45"/>
      <c r="M2069" s="3"/>
    </row>
    <row r="2070" spans="1:13" ht="38.25" x14ac:dyDescent="0.25">
      <c r="A2070" s="46" t="s">
        <v>1874</v>
      </c>
      <c r="B2070" s="46" t="s">
        <v>11649</v>
      </c>
      <c r="C2070" s="46" t="s">
        <v>14</v>
      </c>
      <c r="D2070" s="47">
        <v>10300</v>
      </c>
      <c r="E2070" s="46" t="s">
        <v>1875</v>
      </c>
      <c r="F2070" s="48">
        <v>41015</v>
      </c>
      <c r="G2070" s="48">
        <v>41639</v>
      </c>
      <c r="H2070" s="46" t="s">
        <v>40</v>
      </c>
      <c r="I2070" s="45">
        <f>9469.52+2037.5</f>
        <v>11507.02</v>
      </c>
      <c r="J2070" s="45">
        <f>3716.01+1018.75</f>
        <v>4734.76</v>
      </c>
      <c r="K2070" s="49" t="s">
        <v>790</v>
      </c>
      <c r="L2070" s="45"/>
      <c r="M2070" s="3"/>
    </row>
    <row r="2071" spans="1:13" ht="25.5" x14ac:dyDescent="0.25">
      <c r="A2071" s="46" t="s">
        <v>1972</v>
      </c>
      <c r="B2071" s="46" t="s">
        <v>11649</v>
      </c>
      <c r="C2071" s="46" t="s">
        <v>14</v>
      </c>
      <c r="D2071" s="47">
        <v>10869</v>
      </c>
      <c r="E2071" s="46" t="s">
        <v>1973</v>
      </c>
      <c r="F2071" s="48">
        <v>41207</v>
      </c>
      <c r="G2071" s="48">
        <v>41274</v>
      </c>
      <c r="H2071" s="46" t="s">
        <v>40</v>
      </c>
      <c r="I2071" s="45">
        <v>20960</v>
      </c>
      <c r="J2071" s="45">
        <v>10480</v>
      </c>
      <c r="K2071" s="49" t="s">
        <v>790</v>
      </c>
      <c r="L2071" s="45"/>
      <c r="M2071" s="3"/>
    </row>
    <row r="2072" spans="1:13" ht="25.5" x14ac:dyDescent="0.25">
      <c r="A2072" s="46" t="s">
        <v>1986</v>
      </c>
      <c r="B2072" s="46" t="s">
        <v>11649</v>
      </c>
      <c r="C2072" s="46" t="s">
        <v>14</v>
      </c>
      <c r="D2072" s="47">
        <v>10890</v>
      </c>
      <c r="E2072" s="46" t="s">
        <v>1987</v>
      </c>
      <c r="F2072" s="48">
        <v>41207</v>
      </c>
      <c r="G2072" s="48">
        <v>41274</v>
      </c>
      <c r="H2072" s="46" t="s">
        <v>40</v>
      </c>
      <c r="I2072" s="45">
        <v>160000</v>
      </c>
      <c r="J2072" s="45">
        <v>80000</v>
      </c>
      <c r="K2072" s="49" t="s">
        <v>790</v>
      </c>
      <c r="L2072" s="45"/>
      <c r="M2072" s="3"/>
    </row>
    <row r="2073" spans="1:13" ht="25.5" x14ac:dyDescent="0.25">
      <c r="A2073" s="46" t="s">
        <v>1988</v>
      </c>
      <c r="B2073" s="46" t="s">
        <v>11649</v>
      </c>
      <c r="C2073" s="46" t="s">
        <v>14</v>
      </c>
      <c r="D2073" s="47">
        <v>10903</v>
      </c>
      <c r="E2073" s="46" t="s">
        <v>1989</v>
      </c>
      <c r="F2073" s="48">
        <v>40708</v>
      </c>
      <c r="G2073" s="48">
        <v>41274</v>
      </c>
      <c r="H2073" s="46" t="s">
        <v>40</v>
      </c>
      <c r="I2073" s="45">
        <v>18488.48</v>
      </c>
      <c r="J2073" s="45">
        <v>9244.24</v>
      </c>
      <c r="K2073" s="49" t="s">
        <v>790</v>
      </c>
      <c r="L2073" s="45"/>
      <c r="M2073" s="3"/>
    </row>
    <row r="2074" spans="1:13" ht="38.25" x14ac:dyDescent="0.25">
      <c r="A2074" s="46" t="s">
        <v>1992</v>
      </c>
      <c r="B2074" s="46" t="s">
        <v>11649</v>
      </c>
      <c r="C2074" s="46" t="s">
        <v>14</v>
      </c>
      <c r="D2074" s="47">
        <v>10905</v>
      </c>
      <c r="E2074" s="46" t="s">
        <v>1993</v>
      </c>
      <c r="F2074" s="48">
        <v>41172</v>
      </c>
      <c r="G2074" s="48">
        <v>41274</v>
      </c>
      <c r="H2074" s="46" t="s">
        <v>40</v>
      </c>
      <c r="I2074" s="45">
        <v>48250</v>
      </c>
      <c r="J2074" s="45">
        <v>41625</v>
      </c>
      <c r="K2074" s="49" t="s">
        <v>790</v>
      </c>
      <c r="L2074" s="45"/>
      <c r="M2074" s="3"/>
    </row>
    <row r="2075" spans="1:13" ht="25.5" x14ac:dyDescent="0.25">
      <c r="A2075" s="46" t="s">
        <v>1998</v>
      </c>
      <c r="B2075" s="46" t="s">
        <v>11649</v>
      </c>
      <c r="C2075" s="46" t="s">
        <v>14</v>
      </c>
      <c r="D2075" s="47">
        <v>10908</v>
      </c>
      <c r="E2075" s="46" t="s">
        <v>1999</v>
      </c>
      <c r="F2075" s="48">
        <v>40996</v>
      </c>
      <c r="G2075" s="48">
        <v>41274</v>
      </c>
      <c r="H2075" s="46" t="s">
        <v>40</v>
      </c>
      <c r="I2075" s="45">
        <f>21321.74+18608</f>
        <v>39929.740000000005</v>
      </c>
      <c r="J2075" s="45">
        <f>20660.87+9340</f>
        <v>30000.87</v>
      </c>
      <c r="K2075" s="49" t="s">
        <v>790</v>
      </c>
      <c r="L2075" s="45"/>
      <c r="M2075" s="3"/>
    </row>
    <row r="2076" spans="1:13" ht="25.5" x14ac:dyDescent="0.25">
      <c r="A2076" s="46" t="s">
        <v>2000</v>
      </c>
      <c r="B2076" s="46" t="s">
        <v>11649</v>
      </c>
      <c r="C2076" s="46" t="s">
        <v>14</v>
      </c>
      <c r="D2076" s="47">
        <v>10909</v>
      </c>
      <c r="E2076" s="46" t="s">
        <v>2001</v>
      </c>
      <c r="F2076" s="48">
        <v>40968</v>
      </c>
      <c r="G2076" s="48">
        <v>41274</v>
      </c>
      <c r="H2076" s="46" t="s">
        <v>40</v>
      </c>
      <c r="I2076" s="45">
        <f>51353.5+11593</f>
        <v>62946.5</v>
      </c>
      <c r="J2076" s="45">
        <v>46473.25</v>
      </c>
      <c r="K2076" s="49" t="s">
        <v>790</v>
      </c>
      <c r="L2076" s="45"/>
      <c r="M2076" s="3"/>
    </row>
    <row r="2077" spans="1:13" ht="38.25" x14ac:dyDescent="0.25">
      <c r="A2077" s="46" t="s">
        <v>2002</v>
      </c>
      <c r="B2077" s="46" t="s">
        <v>11649</v>
      </c>
      <c r="C2077" s="46" t="s">
        <v>14</v>
      </c>
      <c r="D2077" s="47">
        <v>10910</v>
      </c>
      <c r="E2077" s="46" t="s">
        <v>2003</v>
      </c>
      <c r="F2077" s="48">
        <v>41172</v>
      </c>
      <c r="G2077" s="48">
        <v>41274</v>
      </c>
      <c r="H2077" s="46" t="s">
        <v>40</v>
      </c>
      <c r="I2077" s="45">
        <v>29978.18</v>
      </c>
      <c r="J2077" s="45">
        <v>22489.09</v>
      </c>
      <c r="K2077" s="49" t="s">
        <v>790</v>
      </c>
      <c r="L2077" s="45"/>
      <c r="M2077" s="3"/>
    </row>
    <row r="2078" spans="1:13" ht="25.5" x14ac:dyDescent="0.25">
      <c r="A2078" s="46" t="s">
        <v>2006</v>
      </c>
      <c r="B2078" s="46" t="s">
        <v>11649</v>
      </c>
      <c r="C2078" s="46" t="s">
        <v>14</v>
      </c>
      <c r="D2078" s="47">
        <v>10912</v>
      </c>
      <c r="E2078" s="46" t="s">
        <v>2007</v>
      </c>
      <c r="F2078" s="48">
        <v>41172</v>
      </c>
      <c r="G2078" s="48">
        <v>41274</v>
      </c>
      <c r="H2078" s="46" t="s">
        <v>40</v>
      </c>
      <c r="I2078" s="45">
        <v>14800</v>
      </c>
      <c r="J2078" s="45">
        <v>12400</v>
      </c>
      <c r="K2078" s="49" t="s">
        <v>790</v>
      </c>
      <c r="L2078" s="45"/>
      <c r="M2078" s="3"/>
    </row>
    <row r="2079" spans="1:13" ht="25.5" x14ac:dyDescent="0.25">
      <c r="A2079" s="46" t="s">
        <v>2010</v>
      </c>
      <c r="B2079" s="46" t="s">
        <v>11649</v>
      </c>
      <c r="C2079" s="46" t="s">
        <v>14</v>
      </c>
      <c r="D2079" s="47">
        <v>10914</v>
      </c>
      <c r="E2079" s="46" t="s">
        <v>2011</v>
      </c>
      <c r="F2079" s="48">
        <v>40996</v>
      </c>
      <c r="G2079" s="48">
        <v>41274</v>
      </c>
      <c r="H2079" s="46" t="s">
        <v>40</v>
      </c>
      <c r="I2079" s="45">
        <f>45679+4321</f>
        <v>50000</v>
      </c>
      <c r="J2079" s="45">
        <f>33179+4321</f>
        <v>37500</v>
      </c>
      <c r="K2079" s="49" t="s">
        <v>790</v>
      </c>
      <c r="L2079" s="45"/>
      <c r="M2079" s="3"/>
    </row>
    <row r="2080" spans="1:13" ht="38.25" x14ac:dyDescent="0.25">
      <c r="A2080" s="46" t="s">
        <v>2407</v>
      </c>
      <c r="B2080" s="46" t="s">
        <v>11649</v>
      </c>
      <c r="C2080" s="46" t="s">
        <v>14</v>
      </c>
      <c r="D2080" s="47">
        <v>5887</v>
      </c>
      <c r="E2080" s="46" t="s">
        <v>2408</v>
      </c>
      <c r="F2080" s="48">
        <v>40070</v>
      </c>
      <c r="G2080" s="48">
        <v>40590</v>
      </c>
      <c r="H2080" s="46" t="s">
        <v>40</v>
      </c>
      <c r="I2080" s="45">
        <f>7500+22500</f>
        <v>30000</v>
      </c>
      <c r="J2080" s="45">
        <f>7500+22500</f>
        <v>30000</v>
      </c>
      <c r="K2080" s="49" t="s">
        <v>2033</v>
      </c>
      <c r="L2080" s="45"/>
      <c r="M2080" s="3"/>
    </row>
    <row r="2081" spans="1:13" x14ac:dyDescent="0.25">
      <c r="A2081" s="46" t="s">
        <v>2446</v>
      </c>
      <c r="B2081" s="46" t="s">
        <v>11649</v>
      </c>
      <c r="C2081" s="46" t="s">
        <v>14</v>
      </c>
      <c r="D2081" s="47">
        <v>7508</v>
      </c>
      <c r="E2081" s="46" t="s">
        <v>2447</v>
      </c>
      <c r="F2081" s="48">
        <v>40442</v>
      </c>
      <c r="G2081" s="48">
        <v>40515</v>
      </c>
      <c r="H2081" s="46" t="s">
        <v>40</v>
      </c>
      <c r="I2081" s="45">
        <v>5600</v>
      </c>
      <c r="J2081" s="45">
        <v>2800</v>
      </c>
      <c r="K2081" s="49" t="s">
        <v>2033</v>
      </c>
      <c r="L2081" s="45"/>
      <c r="M2081" s="3"/>
    </row>
    <row r="2082" spans="1:13" ht="25.5" x14ac:dyDescent="0.25">
      <c r="A2082" s="46" t="s">
        <v>2452</v>
      </c>
      <c r="B2082" s="46" t="s">
        <v>11649</v>
      </c>
      <c r="C2082" s="46" t="s">
        <v>14</v>
      </c>
      <c r="D2082" s="47">
        <v>7518</v>
      </c>
      <c r="E2082" s="46" t="s">
        <v>2453</v>
      </c>
      <c r="F2082" s="48">
        <v>40442</v>
      </c>
      <c r="G2082" s="48">
        <v>40508</v>
      </c>
      <c r="H2082" s="46" t="s">
        <v>40</v>
      </c>
      <c r="I2082" s="45">
        <v>20000</v>
      </c>
      <c r="J2082" s="45">
        <v>10000</v>
      </c>
      <c r="K2082" s="49" t="s">
        <v>2033</v>
      </c>
      <c r="L2082" s="45"/>
      <c r="M2082" s="3"/>
    </row>
    <row r="2083" spans="1:13" ht="38.25" x14ac:dyDescent="0.25">
      <c r="A2083" s="46" t="s">
        <v>2515</v>
      </c>
      <c r="B2083" s="46" t="s">
        <v>11649</v>
      </c>
      <c r="C2083" s="46" t="s">
        <v>14</v>
      </c>
      <c r="D2083" s="47">
        <v>8567</v>
      </c>
      <c r="E2083" s="46" t="s">
        <v>2516</v>
      </c>
      <c r="F2083" s="48">
        <v>40729</v>
      </c>
      <c r="G2083" s="48">
        <v>40729</v>
      </c>
      <c r="H2083" s="46" t="s">
        <v>40</v>
      </c>
      <c r="I2083" s="45">
        <v>21250</v>
      </c>
      <c r="J2083" s="45">
        <v>16250</v>
      </c>
      <c r="K2083" s="49" t="s">
        <v>2033</v>
      </c>
      <c r="L2083" s="45"/>
      <c r="M2083" s="3"/>
    </row>
    <row r="2084" spans="1:13" x14ac:dyDescent="0.25">
      <c r="A2084" s="46" t="s">
        <v>2525</v>
      </c>
      <c r="B2084" s="46" t="s">
        <v>11649</v>
      </c>
      <c r="C2084" s="46" t="s">
        <v>14</v>
      </c>
      <c r="D2084" s="47">
        <v>8572</v>
      </c>
      <c r="E2084" s="46" t="s">
        <v>2526</v>
      </c>
      <c r="F2084" s="48">
        <v>40624</v>
      </c>
      <c r="G2084" s="48">
        <v>40624</v>
      </c>
      <c r="H2084" s="46" t="s">
        <v>40</v>
      </c>
      <c r="I2084" s="45">
        <v>10000</v>
      </c>
      <c r="J2084" s="45">
        <v>10000</v>
      </c>
      <c r="K2084" s="49" t="s">
        <v>2033</v>
      </c>
      <c r="L2084" s="45"/>
      <c r="M2084" s="3"/>
    </row>
    <row r="2085" spans="1:13" ht="25.5" x14ac:dyDescent="0.25">
      <c r="A2085" s="46" t="s">
        <v>2551</v>
      </c>
      <c r="B2085" s="46" t="s">
        <v>11649</v>
      </c>
      <c r="C2085" s="46" t="s">
        <v>14</v>
      </c>
      <c r="D2085" s="47">
        <v>9523</v>
      </c>
      <c r="E2085" s="46" t="s">
        <v>2552</v>
      </c>
      <c r="F2085" s="48">
        <v>40724</v>
      </c>
      <c r="G2085" s="48">
        <v>40840</v>
      </c>
      <c r="H2085" s="46" t="s">
        <v>40</v>
      </c>
      <c r="I2085" s="45">
        <v>15000</v>
      </c>
      <c r="J2085" s="45">
        <v>15000</v>
      </c>
      <c r="K2085" s="49" t="s">
        <v>2033</v>
      </c>
      <c r="L2085" s="45"/>
      <c r="M2085" s="3"/>
    </row>
    <row r="2086" spans="1:13" ht="25.5" x14ac:dyDescent="0.25">
      <c r="A2086" s="46" t="s">
        <v>2589</v>
      </c>
      <c r="B2086" s="46" t="s">
        <v>11649</v>
      </c>
      <c r="C2086" s="46" t="s">
        <v>14</v>
      </c>
      <c r="D2086" s="47">
        <v>11175</v>
      </c>
      <c r="E2086" s="46" t="s">
        <v>2590</v>
      </c>
      <c r="F2086" s="48">
        <v>40909</v>
      </c>
      <c r="G2086" s="48">
        <v>41274</v>
      </c>
      <c r="H2086" s="46" t="s">
        <v>40</v>
      </c>
      <c r="I2086" s="45">
        <f>18823.24+23750</f>
        <v>42573.240000000005</v>
      </c>
      <c r="J2086" s="45">
        <f>11286.62+23750</f>
        <v>35036.620000000003</v>
      </c>
      <c r="K2086" s="49" t="s">
        <v>2033</v>
      </c>
      <c r="L2086" s="45"/>
      <c r="M2086" s="3"/>
    </row>
    <row r="2087" spans="1:13" x14ac:dyDescent="0.25">
      <c r="A2087" s="46" t="s">
        <v>3206</v>
      </c>
      <c r="B2087" s="46" t="s">
        <v>11649</v>
      </c>
      <c r="C2087" s="46" t="s">
        <v>14</v>
      </c>
      <c r="D2087" s="47">
        <v>1679</v>
      </c>
      <c r="E2087" s="46" t="s">
        <v>3207</v>
      </c>
      <c r="F2087" s="48">
        <v>39518</v>
      </c>
      <c r="G2087" s="48">
        <v>39883</v>
      </c>
      <c r="H2087" s="46" t="s">
        <v>40</v>
      </c>
      <c r="I2087" s="45">
        <v>7500</v>
      </c>
      <c r="J2087" s="45">
        <v>7500</v>
      </c>
      <c r="K2087" s="49" t="s">
        <v>2650</v>
      </c>
      <c r="L2087" s="45"/>
      <c r="M2087" s="3"/>
    </row>
    <row r="2088" spans="1:13" ht="25.5" x14ac:dyDescent="0.25">
      <c r="A2088" s="46" t="s">
        <v>3277</v>
      </c>
      <c r="B2088" s="46" t="s">
        <v>11649</v>
      </c>
      <c r="C2088" s="46" t="s">
        <v>14</v>
      </c>
      <c r="D2088" s="47">
        <v>7901</v>
      </c>
      <c r="E2088" s="46" t="s">
        <v>3278</v>
      </c>
      <c r="F2088" s="48">
        <v>40295</v>
      </c>
      <c r="G2088" s="48">
        <v>41639</v>
      </c>
      <c r="H2088" s="46" t="s">
        <v>40</v>
      </c>
      <c r="I2088" s="45">
        <v>15000</v>
      </c>
      <c r="J2088" s="45">
        <v>10000</v>
      </c>
      <c r="K2088" s="49" t="s">
        <v>2650</v>
      </c>
      <c r="L2088" s="45"/>
      <c r="M2088" s="3"/>
    </row>
    <row r="2089" spans="1:13" ht="25.5" x14ac:dyDescent="0.25">
      <c r="A2089" s="46" t="s">
        <v>3330</v>
      </c>
      <c r="B2089" s="46" t="s">
        <v>11649</v>
      </c>
      <c r="C2089" s="46" t="s">
        <v>14</v>
      </c>
      <c r="D2089" s="47">
        <v>9024</v>
      </c>
      <c r="E2089" s="46" t="s">
        <v>3331</v>
      </c>
      <c r="F2089" s="48">
        <v>40379</v>
      </c>
      <c r="G2089" s="48">
        <v>41639</v>
      </c>
      <c r="H2089" s="46" t="s">
        <v>40</v>
      </c>
      <c r="I2089" s="45">
        <v>3750</v>
      </c>
      <c r="J2089" s="45">
        <v>3750</v>
      </c>
      <c r="K2089" s="49" t="s">
        <v>2650</v>
      </c>
      <c r="L2089" s="45"/>
      <c r="M2089" s="3"/>
    </row>
    <row r="2090" spans="1:13" ht="25.5" x14ac:dyDescent="0.25">
      <c r="A2090" s="46" t="s">
        <v>3334</v>
      </c>
      <c r="B2090" s="46" t="s">
        <v>11649</v>
      </c>
      <c r="C2090" s="46" t="s">
        <v>14</v>
      </c>
      <c r="D2090" s="47">
        <v>9026</v>
      </c>
      <c r="E2090" s="46" t="s">
        <v>3335</v>
      </c>
      <c r="F2090" s="48">
        <v>40708</v>
      </c>
      <c r="G2090" s="48">
        <v>41639</v>
      </c>
      <c r="H2090" s="46" t="s">
        <v>40</v>
      </c>
      <c r="I2090" s="45">
        <v>22431</v>
      </c>
      <c r="J2090" s="45">
        <v>18715.5</v>
      </c>
      <c r="K2090" s="49" t="s">
        <v>2650</v>
      </c>
      <c r="L2090" s="45"/>
      <c r="M2090" s="3"/>
    </row>
    <row r="2091" spans="1:13" ht="25.5" x14ac:dyDescent="0.25">
      <c r="A2091" s="46" t="s">
        <v>3338</v>
      </c>
      <c r="B2091" s="46" t="s">
        <v>11649</v>
      </c>
      <c r="C2091" s="46" t="s">
        <v>14</v>
      </c>
      <c r="D2091" s="47">
        <v>9028</v>
      </c>
      <c r="E2091" s="46" t="s">
        <v>3339</v>
      </c>
      <c r="F2091" s="48">
        <v>40470</v>
      </c>
      <c r="G2091" s="48">
        <v>41639</v>
      </c>
      <c r="H2091" s="46" t="s">
        <v>40</v>
      </c>
      <c r="I2091" s="45">
        <v>18750</v>
      </c>
      <c r="J2091" s="45">
        <v>18750</v>
      </c>
      <c r="K2091" s="49" t="s">
        <v>2650</v>
      </c>
      <c r="L2091" s="45"/>
      <c r="M2091" s="3"/>
    </row>
    <row r="2092" spans="1:13" ht="25.5" x14ac:dyDescent="0.25">
      <c r="A2092" s="46" t="s">
        <v>3354</v>
      </c>
      <c r="B2092" s="46" t="s">
        <v>11649</v>
      </c>
      <c r="C2092" s="46" t="s">
        <v>14</v>
      </c>
      <c r="D2092" s="47">
        <v>9036</v>
      </c>
      <c r="E2092" s="46" t="s">
        <v>3355</v>
      </c>
      <c r="F2092" s="48">
        <v>40498</v>
      </c>
      <c r="G2092" s="48">
        <v>41639</v>
      </c>
      <c r="H2092" s="46" t="s">
        <v>40</v>
      </c>
      <c r="I2092" s="45">
        <v>3750</v>
      </c>
      <c r="J2092" s="45">
        <v>3750</v>
      </c>
      <c r="K2092" s="49" t="s">
        <v>2650</v>
      </c>
      <c r="L2092" s="45"/>
      <c r="M2092" s="3"/>
    </row>
    <row r="2093" spans="1:13" ht="25.5" x14ac:dyDescent="0.25">
      <c r="A2093" s="46" t="s">
        <v>3358</v>
      </c>
      <c r="B2093" s="46" t="s">
        <v>11649</v>
      </c>
      <c r="C2093" s="46" t="s">
        <v>14</v>
      </c>
      <c r="D2093" s="47">
        <v>9038</v>
      </c>
      <c r="E2093" s="46" t="s">
        <v>3359</v>
      </c>
      <c r="F2093" s="48">
        <v>40862</v>
      </c>
      <c r="G2093" s="48">
        <v>41639</v>
      </c>
      <c r="H2093" s="46" t="s">
        <v>40</v>
      </c>
      <c r="I2093" s="45">
        <v>27500</v>
      </c>
      <c r="J2093" s="45">
        <v>17500</v>
      </c>
      <c r="K2093" s="49" t="s">
        <v>2650</v>
      </c>
      <c r="L2093" s="45"/>
      <c r="M2093" s="3"/>
    </row>
    <row r="2094" spans="1:13" ht="25.5" x14ac:dyDescent="0.25">
      <c r="A2094" s="46" t="s">
        <v>3360</v>
      </c>
      <c r="B2094" s="46" t="s">
        <v>11649</v>
      </c>
      <c r="C2094" s="46" t="s">
        <v>14</v>
      </c>
      <c r="D2094" s="47">
        <v>9039</v>
      </c>
      <c r="E2094" s="46" t="s">
        <v>3361</v>
      </c>
      <c r="F2094" s="48">
        <v>40344</v>
      </c>
      <c r="G2094" s="48">
        <v>41639</v>
      </c>
      <c r="H2094" s="46" t="s">
        <v>40</v>
      </c>
      <c r="I2094" s="45">
        <v>39965</v>
      </c>
      <c r="J2094" s="45">
        <v>19983</v>
      </c>
      <c r="K2094" s="49" t="s">
        <v>2650</v>
      </c>
      <c r="L2094" s="45"/>
      <c r="M2094" s="3"/>
    </row>
    <row r="2095" spans="1:13" ht="38.25" x14ac:dyDescent="0.25">
      <c r="A2095" s="46" t="s">
        <v>3364</v>
      </c>
      <c r="B2095" s="46" t="s">
        <v>11649</v>
      </c>
      <c r="C2095" s="46" t="s">
        <v>14</v>
      </c>
      <c r="D2095" s="47">
        <v>9041</v>
      </c>
      <c r="E2095" s="46" t="s">
        <v>3365</v>
      </c>
      <c r="F2095" s="48">
        <v>40590</v>
      </c>
      <c r="G2095" s="48">
        <v>41639</v>
      </c>
      <c r="H2095" s="46" t="s">
        <v>40</v>
      </c>
      <c r="I2095" s="45">
        <v>11250</v>
      </c>
      <c r="J2095" s="45">
        <v>11250</v>
      </c>
      <c r="K2095" s="49" t="s">
        <v>2650</v>
      </c>
      <c r="L2095" s="45"/>
      <c r="M2095" s="3"/>
    </row>
    <row r="2096" spans="1:13" ht="25.5" x14ac:dyDescent="0.25">
      <c r="A2096" s="46" t="s">
        <v>3366</v>
      </c>
      <c r="B2096" s="46" t="s">
        <v>11649</v>
      </c>
      <c r="C2096" s="46" t="s">
        <v>14</v>
      </c>
      <c r="D2096" s="47">
        <v>9042</v>
      </c>
      <c r="E2096" s="46" t="s">
        <v>3367</v>
      </c>
      <c r="F2096" s="48">
        <v>40498</v>
      </c>
      <c r="G2096" s="48">
        <v>41639</v>
      </c>
      <c r="H2096" s="46" t="s">
        <v>40</v>
      </c>
      <c r="I2096" s="45">
        <v>4750</v>
      </c>
      <c r="J2096" s="45">
        <v>4250</v>
      </c>
      <c r="K2096" s="49" t="s">
        <v>2650</v>
      </c>
      <c r="L2096" s="45"/>
      <c r="M2096" s="3"/>
    </row>
    <row r="2097" spans="1:13" ht="25.5" x14ac:dyDescent="0.25">
      <c r="A2097" s="46" t="s">
        <v>3371</v>
      </c>
      <c r="B2097" s="46" t="s">
        <v>11649</v>
      </c>
      <c r="C2097" s="46" t="s">
        <v>14</v>
      </c>
      <c r="D2097" s="47">
        <v>9045</v>
      </c>
      <c r="E2097" s="46" t="s">
        <v>3372</v>
      </c>
      <c r="F2097" s="48">
        <v>40520</v>
      </c>
      <c r="G2097" s="48">
        <v>41639</v>
      </c>
      <c r="H2097" s="46" t="s">
        <v>40</v>
      </c>
      <c r="I2097" s="45">
        <v>10000</v>
      </c>
      <c r="J2097" s="45">
        <v>10000</v>
      </c>
      <c r="K2097" s="49" t="s">
        <v>2650</v>
      </c>
      <c r="L2097" s="45"/>
      <c r="M2097" s="3"/>
    </row>
    <row r="2098" spans="1:13" ht="25.5" x14ac:dyDescent="0.25">
      <c r="A2098" s="46" t="s">
        <v>3385</v>
      </c>
      <c r="B2098" s="46" t="s">
        <v>11649</v>
      </c>
      <c r="C2098" s="46" t="s">
        <v>14</v>
      </c>
      <c r="D2098" s="47">
        <v>9053</v>
      </c>
      <c r="E2098" s="46" t="s">
        <v>3386</v>
      </c>
      <c r="F2098" s="48">
        <v>40379</v>
      </c>
      <c r="G2098" s="48">
        <v>41639</v>
      </c>
      <c r="H2098" s="46" t="s">
        <v>40</v>
      </c>
      <c r="I2098" s="45">
        <v>5000</v>
      </c>
      <c r="J2098" s="45">
        <v>5000</v>
      </c>
      <c r="K2098" s="49" t="s">
        <v>2650</v>
      </c>
      <c r="L2098" s="45"/>
      <c r="M2098" s="3"/>
    </row>
    <row r="2099" spans="1:13" ht="25.5" x14ac:dyDescent="0.25">
      <c r="A2099" s="46" t="s">
        <v>3393</v>
      </c>
      <c r="B2099" s="46" t="s">
        <v>11649</v>
      </c>
      <c r="C2099" s="46" t="s">
        <v>14</v>
      </c>
      <c r="D2099" s="47">
        <v>9057</v>
      </c>
      <c r="E2099" s="46" t="s">
        <v>3394</v>
      </c>
      <c r="F2099" s="48">
        <v>40862</v>
      </c>
      <c r="G2099" s="48">
        <v>41639</v>
      </c>
      <c r="H2099" s="46" t="s">
        <v>40</v>
      </c>
      <c r="I2099" s="45">
        <v>11550.68</v>
      </c>
      <c r="J2099" s="45">
        <v>9525.34</v>
      </c>
      <c r="K2099" s="49" t="s">
        <v>2650</v>
      </c>
      <c r="L2099" s="45"/>
      <c r="M2099" s="3"/>
    </row>
    <row r="2100" spans="1:13" ht="25.5" x14ac:dyDescent="0.25">
      <c r="A2100" s="46" t="s">
        <v>3403</v>
      </c>
      <c r="B2100" s="46" t="s">
        <v>11649</v>
      </c>
      <c r="C2100" s="46" t="s">
        <v>14</v>
      </c>
      <c r="D2100" s="47">
        <v>9062</v>
      </c>
      <c r="E2100" s="46" t="s">
        <v>3404</v>
      </c>
      <c r="F2100" s="48">
        <v>40583</v>
      </c>
      <c r="G2100" s="48">
        <v>41639</v>
      </c>
      <c r="H2100" s="46" t="s">
        <v>40</v>
      </c>
      <c r="I2100" s="45">
        <v>12500</v>
      </c>
      <c r="J2100" s="45">
        <v>10000</v>
      </c>
      <c r="K2100" s="49" t="s">
        <v>2650</v>
      </c>
      <c r="L2100" s="45"/>
      <c r="M2100" s="3"/>
    </row>
    <row r="2101" spans="1:13" ht="25.5" x14ac:dyDescent="0.25">
      <c r="A2101" s="46" t="s">
        <v>3411</v>
      </c>
      <c r="B2101" s="46" t="s">
        <v>11649</v>
      </c>
      <c r="C2101" s="46" t="s">
        <v>14</v>
      </c>
      <c r="D2101" s="47">
        <v>9066</v>
      </c>
      <c r="E2101" s="46" t="s">
        <v>3412</v>
      </c>
      <c r="F2101" s="48">
        <v>40862</v>
      </c>
      <c r="G2101" s="48">
        <v>41639</v>
      </c>
      <c r="H2101" s="46" t="s">
        <v>40</v>
      </c>
      <c r="I2101" s="45">
        <v>83750</v>
      </c>
      <c r="J2101" s="45">
        <v>43750</v>
      </c>
      <c r="K2101" s="49" t="s">
        <v>2650</v>
      </c>
      <c r="L2101" s="45"/>
      <c r="M2101" s="3"/>
    </row>
    <row r="2102" spans="1:13" ht="25.5" x14ac:dyDescent="0.25">
      <c r="A2102" s="46" t="s">
        <v>3413</v>
      </c>
      <c r="B2102" s="46" t="s">
        <v>11649</v>
      </c>
      <c r="C2102" s="46" t="s">
        <v>14</v>
      </c>
      <c r="D2102" s="47">
        <v>9067</v>
      </c>
      <c r="E2102" s="46" t="s">
        <v>3414</v>
      </c>
      <c r="F2102" s="48">
        <v>40862</v>
      </c>
      <c r="G2102" s="48">
        <v>41639</v>
      </c>
      <c r="H2102" s="46" t="s">
        <v>40</v>
      </c>
      <c r="I2102" s="45">
        <v>15000</v>
      </c>
      <c r="J2102" s="45">
        <v>15000</v>
      </c>
      <c r="K2102" s="49" t="s">
        <v>2650</v>
      </c>
      <c r="L2102" s="45"/>
      <c r="M2102" s="3"/>
    </row>
    <row r="2103" spans="1:13" ht="25.5" x14ac:dyDescent="0.25">
      <c r="A2103" s="46" t="s">
        <v>3415</v>
      </c>
      <c r="B2103" s="46" t="s">
        <v>11649</v>
      </c>
      <c r="C2103" s="46" t="s">
        <v>14</v>
      </c>
      <c r="D2103" s="47">
        <v>9069</v>
      </c>
      <c r="E2103" s="46" t="s">
        <v>3416</v>
      </c>
      <c r="F2103" s="48">
        <v>40862</v>
      </c>
      <c r="G2103" s="48">
        <v>41639</v>
      </c>
      <c r="H2103" s="46" t="s">
        <v>40</v>
      </c>
      <c r="I2103" s="45">
        <v>13000</v>
      </c>
      <c r="J2103" s="45">
        <v>10250</v>
      </c>
      <c r="K2103" s="49" t="s">
        <v>2650</v>
      </c>
      <c r="L2103" s="45"/>
      <c r="M2103" s="3"/>
    </row>
    <row r="2104" spans="1:13" ht="25.5" x14ac:dyDescent="0.25">
      <c r="A2104" s="46" t="s">
        <v>3431</v>
      </c>
      <c r="B2104" s="46" t="s">
        <v>11649</v>
      </c>
      <c r="C2104" s="46" t="s">
        <v>14</v>
      </c>
      <c r="D2104" s="47">
        <v>9101</v>
      </c>
      <c r="E2104" s="46" t="s">
        <v>3432</v>
      </c>
      <c r="F2104" s="48">
        <v>40520</v>
      </c>
      <c r="G2104" s="48">
        <v>41639</v>
      </c>
      <c r="H2104" s="46" t="s">
        <v>40</v>
      </c>
      <c r="I2104" s="45">
        <v>7500</v>
      </c>
      <c r="J2104" s="45">
        <v>5000</v>
      </c>
      <c r="K2104" s="49" t="s">
        <v>2650</v>
      </c>
      <c r="L2104" s="45"/>
      <c r="M2104" s="3"/>
    </row>
    <row r="2105" spans="1:13" ht="25.5" x14ac:dyDescent="0.25">
      <c r="A2105" s="46" t="s">
        <v>3447</v>
      </c>
      <c r="B2105" s="46" t="s">
        <v>11649</v>
      </c>
      <c r="C2105" s="46" t="s">
        <v>14</v>
      </c>
      <c r="D2105" s="47">
        <v>9120</v>
      </c>
      <c r="E2105" s="46" t="s">
        <v>3448</v>
      </c>
      <c r="F2105" s="48">
        <v>40862</v>
      </c>
      <c r="G2105" s="48">
        <v>41274</v>
      </c>
      <c r="H2105" s="46" t="s">
        <v>40</v>
      </c>
      <c r="I2105" s="45">
        <v>41250</v>
      </c>
      <c r="J2105" s="45">
        <v>30000</v>
      </c>
      <c r="K2105" s="49" t="s">
        <v>2650</v>
      </c>
      <c r="L2105" s="45"/>
      <c r="M2105" s="3"/>
    </row>
    <row r="2106" spans="1:13" ht="25.5" x14ac:dyDescent="0.25">
      <c r="A2106" s="46" t="s">
        <v>3449</v>
      </c>
      <c r="B2106" s="46" t="s">
        <v>11649</v>
      </c>
      <c r="C2106" s="46" t="s">
        <v>14</v>
      </c>
      <c r="D2106" s="47">
        <v>9121</v>
      </c>
      <c r="E2106" s="46" t="s">
        <v>3450</v>
      </c>
      <c r="F2106" s="48">
        <v>40708</v>
      </c>
      <c r="G2106" s="48">
        <v>41639</v>
      </c>
      <c r="H2106" s="46" t="s">
        <v>40</v>
      </c>
      <c r="I2106" s="45">
        <v>7500</v>
      </c>
      <c r="J2106" s="45">
        <v>7500</v>
      </c>
      <c r="K2106" s="49" t="s">
        <v>2650</v>
      </c>
      <c r="L2106" s="45"/>
      <c r="M2106" s="3"/>
    </row>
    <row r="2107" spans="1:13" ht="25.5" x14ac:dyDescent="0.25">
      <c r="A2107" s="46" t="s">
        <v>3455</v>
      </c>
      <c r="B2107" s="46" t="s">
        <v>11649</v>
      </c>
      <c r="C2107" s="46" t="s">
        <v>14</v>
      </c>
      <c r="D2107" s="47">
        <v>9127</v>
      </c>
      <c r="E2107" s="46" t="s">
        <v>3456</v>
      </c>
      <c r="F2107" s="48">
        <v>40862</v>
      </c>
      <c r="G2107" s="48">
        <v>41274</v>
      </c>
      <c r="H2107" s="46" t="s">
        <v>40</v>
      </c>
      <c r="I2107" s="45">
        <v>15500</v>
      </c>
      <c r="J2107" s="45">
        <v>11500</v>
      </c>
      <c r="K2107" s="49" t="s">
        <v>2650</v>
      </c>
      <c r="L2107" s="45"/>
      <c r="M2107" s="3"/>
    </row>
    <row r="2108" spans="1:13" ht="25.5" x14ac:dyDescent="0.25">
      <c r="A2108" s="46" t="s">
        <v>3457</v>
      </c>
      <c r="B2108" s="46" t="s">
        <v>11649</v>
      </c>
      <c r="C2108" s="46" t="s">
        <v>14</v>
      </c>
      <c r="D2108" s="47">
        <v>9128</v>
      </c>
      <c r="E2108" s="46" t="s">
        <v>3458</v>
      </c>
      <c r="F2108" s="48">
        <v>40576</v>
      </c>
      <c r="G2108" s="48">
        <v>41639</v>
      </c>
      <c r="H2108" s="46" t="s">
        <v>40</v>
      </c>
      <c r="I2108" s="45">
        <v>7500</v>
      </c>
      <c r="J2108" s="45">
        <v>7500</v>
      </c>
      <c r="K2108" s="49" t="s">
        <v>2650</v>
      </c>
      <c r="L2108" s="45"/>
      <c r="M2108" s="3"/>
    </row>
    <row r="2109" spans="1:13" x14ac:dyDescent="0.25">
      <c r="A2109" s="46" t="s">
        <v>3493</v>
      </c>
      <c r="B2109" s="46" t="s">
        <v>11649</v>
      </c>
      <c r="C2109" s="46" t="s">
        <v>14</v>
      </c>
      <c r="D2109" s="47">
        <v>10678</v>
      </c>
      <c r="E2109" s="46" t="s">
        <v>3494</v>
      </c>
      <c r="F2109" s="48">
        <v>41247</v>
      </c>
      <c r="G2109" s="48">
        <v>41274</v>
      </c>
      <c r="H2109" s="46" t="s">
        <v>40</v>
      </c>
      <c r="I2109" s="45">
        <v>15000</v>
      </c>
      <c r="J2109" s="45">
        <v>15000</v>
      </c>
      <c r="K2109" s="49" t="s">
        <v>2650</v>
      </c>
      <c r="L2109" s="45"/>
      <c r="M2109" s="3"/>
    </row>
    <row r="2110" spans="1:13" ht="25.5" x14ac:dyDescent="0.25">
      <c r="A2110" s="46" t="s">
        <v>3515</v>
      </c>
      <c r="B2110" s="46" t="s">
        <v>11649</v>
      </c>
      <c r="C2110" s="46" t="s">
        <v>14</v>
      </c>
      <c r="D2110" s="47">
        <v>10694</v>
      </c>
      <c r="E2110" s="46" t="s">
        <v>3516</v>
      </c>
      <c r="F2110" s="48">
        <v>40743</v>
      </c>
      <c r="G2110" s="48">
        <v>41274</v>
      </c>
      <c r="H2110" s="46" t="s">
        <v>40</v>
      </c>
      <c r="I2110" s="45">
        <v>3750</v>
      </c>
      <c r="J2110" s="45">
        <v>3750</v>
      </c>
      <c r="K2110" s="49" t="s">
        <v>2650</v>
      </c>
      <c r="L2110" s="45"/>
      <c r="M2110" s="3"/>
    </row>
    <row r="2111" spans="1:13" x14ac:dyDescent="0.25">
      <c r="A2111" s="46" t="s">
        <v>3519</v>
      </c>
      <c r="B2111" s="46" t="s">
        <v>11649</v>
      </c>
      <c r="C2111" s="46" t="s">
        <v>14</v>
      </c>
      <c r="D2111" s="47">
        <v>10718</v>
      </c>
      <c r="E2111" s="46" t="s">
        <v>3520</v>
      </c>
      <c r="F2111" s="48">
        <v>41114</v>
      </c>
      <c r="G2111" s="48">
        <v>41639</v>
      </c>
      <c r="H2111" s="46" t="s">
        <v>40</v>
      </c>
      <c r="I2111" s="45">
        <f>15000+7500</f>
        <v>22500</v>
      </c>
      <c r="J2111" s="45">
        <f>7500+7500</f>
        <v>15000</v>
      </c>
      <c r="K2111" s="49" t="s">
        <v>2650</v>
      </c>
      <c r="L2111" s="45"/>
      <c r="M2111" s="3"/>
    </row>
    <row r="2112" spans="1:13" ht="25.5" x14ac:dyDescent="0.25">
      <c r="A2112" s="46" t="s">
        <v>3545</v>
      </c>
      <c r="B2112" s="46" t="s">
        <v>11649</v>
      </c>
      <c r="C2112" s="46" t="s">
        <v>14</v>
      </c>
      <c r="D2112" s="47">
        <v>10757</v>
      </c>
      <c r="E2112" s="46" t="s">
        <v>3546</v>
      </c>
      <c r="F2112" s="48">
        <v>40520</v>
      </c>
      <c r="G2112" s="48">
        <v>41274</v>
      </c>
      <c r="H2112" s="46" t="s">
        <v>40</v>
      </c>
      <c r="I2112" s="45">
        <v>3890</v>
      </c>
      <c r="J2112" s="45">
        <v>3195</v>
      </c>
      <c r="K2112" s="49" t="s">
        <v>2650</v>
      </c>
      <c r="L2112" s="45"/>
      <c r="M2112" s="3"/>
    </row>
    <row r="2113" spans="1:13" ht="25.5" x14ac:dyDescent="0.25">
      <c r="A2113" s="46" t="s">
        <v>3447</v>
      </c>
      <c r="B2113" s="46" t="s">
        <v>11649</v>
      </c>
      <c r="C2113" s="46" t="s">
        <v>14</v>
      </c>
      <c r="D2113" s="47">
        <v>10762</v>
      </c>
      <c r="E2113" s="46" t="s">
        <v>3551</v>
      </c>
      <c r="F2113" s="48">
        <v>41163</v>
      </c>
      <c r="G2113" s="48">
        <v>41639</v>
      </c>
      <c r="H2113" s="46" t="s">
        <v>40</v>
      </c>
      <c r="I2113" s="45">
        <f>11250+3750</f>
        <v>15000</v>
      </c>
      <c r="J2113" s="45">
        <f>7500+3750</f>
        <v>11250</v>
      </c>
      <c r="K2113" s="49" t="s">
        <v>2650</v>
      </c>
      <c r="L2113" s="45"/>
      <c r="M2113" s="3"/>
    </row>
    <row r="2114" spans="1:13" ht="38.25" x14ac:dyDescent="0.2">
      <c r="A2114" s="46" t="s">
        <v>3828</v>
      </c>
      <c r="B2114" s="46" t="s">
        <v>11649</v>
      </c>
      <c r="C2114" s="46" t="s">
        <v>14</v>
      </c>
      <c r="D2114" s="47">
        <v>7370</v>
      </c>
      <c r="E2114" s="46" t="s">
        <v>3829</v>
      </c>
      <c r="F2114" s="48">
        <v>40295</v>
      </c>
      <c r="G2114" s="46"/>
      <c r="H2114" s="46" t="s">
        <v>40</v>
      </c>
      <c r="I2114" s="45">
        <v>51472.95</v>
      </c>
      <c r="J2114" s="45">
        <v>34293.949999999997</v>
      </c>
      <c r="K2114" s="88" t="s">
        <v>11651</v>
      </c>
      <c r="L2114" s="45"/>
      <c r="M2114" s="3"/>
    </row>
    <row r="2115" spans="1:13" ht="25.5" x14ac:dyDescent="0.2">
      <c r="A2115" s="46" t="s">
        <v>3876</v>
      </c>
      <c r="B2115" s="46" t="s">
        <v>11649</v>
      </c>
      <c r="C2115" s="46" t="s">
        <v>14</v>
      </c>
      <c r="D2115" s="47">
        <v>7436</v>
      </c>
      <c r="E2115" s="46" t="s">
        <v>3877</v>
      </c>
      <c r="F2115" s="48">
        <v>40323</v>
      </c>
      <c r="G2115" s="46"/>
      <c r="H2115" s="46" t="s">
        <v>40</v>
      </c>
      <c r="I2115" s="45">
        <v>26139.52</v>
      </c>
      <c r="J2115" s="45">
        <v>20569.759999999998</v>
      </c>
      <c r="K2115" s="88" t="s">
        <v>11651</v>
      </c>
      <c r="L2115" s="45"/>
      <c r="M2115" s="3"/>
    </row>
    <row r="2116" spans="1:13" ht="25.5" x14ac:dyDescent="0.2">
      <c r="A2116" s="46" t="s">
        <v>3894</v>
      </c>
      <c r="B2116" s="46" t="s">
        <v>11649</v>
      </c>
      <c r="C2116" s="46" t="s">
        <v>14</v>
      </c>
      <c r="D2116" s="47">
        <v>7469</v>
      </c>
      <c r="E2116" s="46" t="s">
        <v>3773</v>
      </c>
      <c r="F2116" s="48">
        <v>40498</v>
      </c>
      <c r="G2116" s="46"/>
      <c r="H2116" s="46" t="s">
        <v>40</v>
      </c>
      <c r="I2116" s="45">
        <v>100000</v>
      </c>
      <c r="J2116" s="45">
        <v>50000</v>
      </c>
      <c r="K2116" s="88" t="s">
        <v>11651</v>
      </c>
      <c r="L2116" s="45"/>
      <c r="M2116" s="3"/>
    </row>
    <row r="2117" spans="1:13" ht="25.5" x14ac:dyDescent="0.2">
      <c r="A2117" s="46" t="s">
        <v>3901</v>
      </c>
      <c r="B2117" s="46" t="s">
        <v>11649</v>
      </c>
      <c r="C2117" s="46" t="s">
        <v>14</v>
      </c>
      <c r="D2117" s="47">
        <v>8663</v>
      </c>
      <c r="E2117" s="46" t="s">
        <v>3902</v>
      </c>
      <c r="F2117" s="48">
        <v>40323</v>
      </c>
      <c r="G2117" s="46"/>
      <c r="H2117" s="46" t="s">
        <v>40</v>
      </c>
      <c r="I2117" s="45">
        <v>11444.76</v>
      </c>
      <c r="J2117" s="45">
        <v>5722.38</v>
      </c>
      <c r="K2117" s="88" t="s">
        <v>11651</v>
      </c>
      <c r="L2117" s="45"/>
      <c r="M2117" s="3"/>
    </row>
    <row r="2118" spans="1:13" ht="25.5" x14ac:dyDescent="0.2">
      <c r="A2118" s="46" t="s">
        <v>3913</v>
      </c>
      <c r="B2118" s="46" t="s">
        <v>11649</v>
      </c>
      <c r="C2118" s="46" t="s">
        <v>14</v>
      </c>
      <c r="D2118" s="47">
        <v>8698</v>
      </c>
      <c r="E2118" s="46" t="s">
        <v>3914</v>
      </c>
      <c r="F2118" s="48">
        <v>40351</v>
      </c>
      <c r="G2118" s="46"/>
      <c r="H2118" s="46" t="s">
        <v>40</v>
      </c>
      <c r="I2118" s="45">
        <v>22661.14</v>
      </c>
      <c r="J2118" s="45">
        <v>12643.07</v>
      </c>
      <c r="K2118" s="88" t="s">
        <v>11651</v>
      </c>
      <c r="L2118" s="45"/>
      <c r="M2118" s="3"/>
    </row>
    <row r="2119" spans="1:13" ht="38.25" x14ac:dyDescent="0.2">
      <c r="A2119" s="46" t="s">
        <v>3919</v>
      </c>
      <c r="B2119" s="46" t="s">
        <v>11649</v>
      </c>
      <c r="C2119" s="46" t="s">
        <v>14</v>
      </c>
      <c r="D2119" s="47">
        <v>8701</v>
      </c>
      <c r="E2119" s="46" t="s">
        <v>3920</v>
      </c>
      <c r="F2119" s="48">
        <v>40498</v>
      </c>
      <c r="G2119" s="46"/>
      <c r="H2119" s="46" t="s">
        <v>40</v>
      </c>
      <c r="I2119" s="45">
        <v>43053</v>
      </c>
      <c r="J2119" s="45">
        <v>27759</v>
      </c>
      <c r="K2119" s="88" t="s">
        <v>11651</v>
      </c>
      <c r="L2119" s="45"/>
      <c r="M2119" s="3"/>
    </row>
    <row r="2120" spans="1:13" x14ac:dyDescent="0.2">
      <c r="A2120" s="46" t="s">
        <v>3929</v>
      </c>
      <c r="B2120" s="46" t="s">
        <v>11649</v>
      </c>
      <c r="C2120" s="46" t="s">
        <v>14</v>
      </c>
      <c r="D2120" s="47">
        <v>8706</v>
      </c>
      <c r="E2120" s="46" t="s">
        <v>3930</v>
      </c>
      <c r="F2120" s="48">
        <v>40519</v>
      </c>
      <c r="G2120" s="46"/>
      <c r="H2120" s="46" t="s">
        <v>40</v>
      </c>
      <c r="I2120" s="45">
        <v>24268.54</v>
      </c>
      <c r="J2120" s="45">
        <v>14478.02</v>
      </c>
      <c r="K2120" s="88" t="s">
        <v>11651</v>
      </c>
      <c r="L2120" s="45"/>
      <c r="M2120" s="3"/>
    </row>
    <row r="2121" spans="1:13" ht="25.5" x14ac:dyDescent="0.2">
      <c r="A2121" s="46" t="s">
        <v>3933</v>
      </c>
      <c r="B2121" s="46" t="s">
        <v>11649</v>
      </c>
      <c r="C2121" s="46" t="s">
        <v>14</v>
      </c>
      <c r="D2121" s="47">
        <v>8708</v>
      </c>
      <c r="E2121" s="46" t="s">
        <v>3934</v>
      </c>
      <c r="F2121" s="48">
        <v>40652</v>
      </c>
      <c r="G2121" s="46"/>
      <c r="H2121" s="46" t="s">
        <v>40</v>
      </c>
      <c r="I2121" s="45">
        <v>30000</v>
      </c>
      <c r="J2121" s="45">
        <v>30000</v>
      </c>
      <c r="K2121" s="88" t="s">
        <v>11651</v>
      </c>
      <c r="L2121" s="45"/>
      <c r="M2121" s="3"/>
    </row>
    <row r="2122" spans="1:13" ht="25.5" x14ac:dyDescent="0.2">
      <c r="A2122" s="46" t="s">
        <v>3939</v>
      </c>
      <c r="B2122" s="46" t="s">
        <v>11649</v>
      </c>
      <c r="C2122" s="46" t="s">
        <v>14</v>
      </c>
      <c r="D2122" s="47">
        <v>8721</v>
      </c>
      <c r="E2122" s="46" t="s">
        <v>3940</v>
      </c>
      <c r="F2122" s="48">
        <v>40869</v>
      </c>
      <c r="G2122" s="46"/>
      <c r="H2122" s="46" t="s">
        <v>40</v>
      </c>
      <c r="I2122" s="45">
        <v>7500</v>
      </c>
      <c r="J2122" s="45">
        <v>7500</v>
      </c>
      <c r="K2122" s="88" t="s">
        <v>11651</v>
      </c>
      <c r="L2122" s="45"/>
      <c r="M2122" s="3"/>
    </row>
    <row r="2123" spans="1:13" x14ac:dyDescent="0.2">
      <c r="A2123" s="46" t="s">
        <v>3945</v>
      </c>
      <c r="B2123" s="46" t="s">
        <v>11649</v>
      </c>
      <c r="C2123" s="46" t="s">
        <v>14</v>
      </c>
      <c r="D2123" s="47">
        <v>8745</v>
      </c>
      <c r="E2123" s="46" t="s">
        <v>3736</v>
      </c>
      <c r="F2123" s="48">
        <v>40841</v>
      </c>
      <c r="G2123" s="46"/>
      <c r="H2123" s="46" t="s">
        <v>40</v>
      </c>
      <c r="I2123" s="45">
        <v>6750</v>
      </c>
      <c r="J2123" s="45">
        <v>6750</v>
      </c>
      <c r="K2123" s="88" t="s">
        <v>11651</v>
      </c>
      <c r="L2123" s="45"/>
      <c r="M2123" s="3"/>
    </row>
    <row r="2124" spans="1:13" ht="63.75" x14ac:dyDescent="0.2">
      <c r="A2124" s="46" t="s">
        <v>3946</v>
      </c>
      <c r="B2124" s="46" t="s">
        <v>11649</v>
      </c>
      <c r="C2124" s="46" t="s">
        <v>14</v>
      </c>
      <c r="D2124" s="47">
        <v>8746</v>
      </c>
      <c r="E2124" s="50" t="s">
        <v>3947</v>
      </c>
      <c r="F2124" s="48">
        <v>40890</v>
      </c>
      <c r="G2124" s="46"/>
      <c r="H2124" s="46" t="s">
        <v>40</v>
      </c>
      <c r="I2124" s="45">
        <v>22500</v>
      </c>
      <c r="J2124" s="45">
        <v>22500</v>
      </c>
      <c r="K2124" s="88" t="s">
        <v>11651</v>
      </c>
      <c r="L2124" s="45"/>
      <c r="M2124" s="3"/>
    </row>
    <row r="2125" spans="1:13" ht="25.5" x14ac:dyDescent="0.2">
      <c r="A2125" s="46" t="s">
        <v>3952</v>
      </c>
      <c r="B2125" s="46" t="s">
        <v>11649</v>
      </c>
      <c r="C2125" s="46" t="s">
        <v>14</v>
      </c>
      <c r="D2125" s="47">
        <v>10738</v>
      </c>
      <c r="E2125" s="46" t="s">
        <v>3953</v>
      </c>
      <c r="F2125" s="48">
        <v>41261</v>
      </c>
      <c r="G2125" s="46"/>
      <c r="H2125" s="46" t="s">
        <v>40</v>
      </c>
      <c r="I2125" s="45">
        <f>15000+7500</f>
        <v>22500</v>
      </c>
      <c r="J2125" s="45">
        <f>7500+7500</f>
        <v>15000</v>
      </c>
      <c r="K2125" s="88" t="s">
        <v>11651</v>
      </c>
      <c r="L2125" s="45"/>
      <c r="M2125" s="3"/>
    </row>
    <row r="2126" spans="1:13" ht="25.5" x14ac:dyDescent="0.2">
      <c r="A2126" s="46" t="s">
        <v>3954</v>
      </c>
      <c r="B2126" s="46" t="s">
        <v>11649</v>
      </c>
      <c r="C2126" s="46" t="s">
        <v>14</v>
      </c>
      <c r="D2126" s="47">
        <v>10741</v>
      </c>
      <c r="E2126" s="46" t="s">
        <v>3955</v>
      </c>
      <c r="F2126" s="48">
        <v>40869</v>
      </c>
      <c r="G2126" s="46"/>
      <c r="H2126" s="46" t="s">
        <v>40</v>
      </c>
      <c r="I2126" s="45">
        <v>14343</v>
      </c>
      <c r="J2126" s="45">
        <v>14343</v>
      </c>
      <c r="K2126" s="88" t="s">
        <v>11651</v>
      </c>
      <c r="L2126" s="45"/>
      <c r="M2126" s="3"/>
    </row>
    <row r="2127" spans="1:13" ht="25.5" x14ac:dyDescent="0.2">
      <c r="A2127" s="46" t="s">
        <v>3958</v>
      </c>
      <c r="B2127" s="46" t="s">
        <v>11649</v>
      </c>
      <c r="C2127" s="46" t="s">
        <v>14</v>
      </c>
      <c r="D2127" s="47">
        <v>10744</v>
      </c>
      <c r="E2127" s="46" t="s">
        <v>3959</v>
      </c>
      <c r="F2127" s="48">
        <v>40897</v>
      </c>
      <c r="G2127" s="46"/>
      <c r="H2127" s="46" t="s">
        <v>40</v>
      </c>
      <c r="I2127" s="45">
        <v>15000</v>
      </c>
      <c r="J2127" s="45">
        <v>15000</v>
      </c>
      <c r="K2127" s="88" t="s">
        <v>11651</v>
      </c>
      <c r="L2127" s="45"/>
      <c r="M2127" s="3"/>
    </row>
    <row r="2128" spans="1:13" x14ac:dyDescent="0.2">
      <c r="A2128" s="46" t="s">
        <v>3964</v>
      </c>
      <c r="B2128" s="46" t="s">
        <v>11649</v>
      </c>
      <c r="C2128" s="46" t="s">
        <v>14</v>
      </c>
      <c r="D2128" s="47">
        <v>10758</v>
      </c>
      <c r="E2128" s="46" t="s">
        <v>3965</v>
      </c>
      <c r="F2128" s="48">
        <v>40890</v>
      </c>
      <c r="G2128" s="46"/>
      <c r="H2128" s="46" t="s">
        <v>40</v>
      </c>
      <c r="I2128" s="45">
        <v>4125</v>
      </c>
      <c r="J2128" s="45">
        <v>4125</v>
      </c>
      <c r="K2128" s="88" t="s">
        <v>11651</v>
      </c>
      <c r="L2128" s="45"/>
      <c r="M2128" s="3"/>
    </row>
    <row r="2129" spans="1:13" ht="25.5" x14ac:dyDescent="0.2">
      <c r="A2129" s="46" t="s">
        <v>3970</v>
      </c>
      <c r="B2129" s="46" t="s">
        <v>11649</v>
      </c>
      <c r="C2129" s="46" t="s">
        <v>14</v>
      </c>
      <c r="D2129" s="47">
        <v>10767</v>
      </c>
      <c r="E2129" s="46" t="s">
        <v>3971</v>
      </c>
      <c r="F2129" s="48">
        <v>40890</v>
      </c>
      <c r="G2129" s="46"/>
      <c r="H2129" s="46" t="s">
        <v>40</v>
      </c>
      <c r="I2129" s="45">
        <v>5625</v>
      </c>
      <c r="J2129" s="45">
        <v>5625</v>
      </c>
      <c r="K2129" s="88" t="s">
        <v>11651</v>
      </c>
      <c r="L2129" s="45"/>
      <c r="M2129" s="3"/>
    </row>
    <row r="2130" spans="1:13" ht="25.5" x14ac:dyDescent="0.2">
      <c r="A2130" s="46" t="s">
        <v>3987</v>
      </c>
      <c r="B2130" s="46" t="s">
        <v>11649</v>
      </c>
      <c r="C2130" s="46" t="s">
        <v>14</v>
      </c>
      <c r="D2130" s="47">
        <v>10776</v>
      </c>
      <c r="E2130" s="46" t="s">
        <v>3988</v>
      </c>
      <c r="F2130" s="48">
        <v>40687</v>
      </c>
      <c r="G2130" s="46"/>
      <c r="H2130" s="46" t="s">
        <v>40</v>
      </c>
      <c r="I2130" s="45">
        <v>5000</v>
      </c>
      <c r="J2130" s="45">
        <v>5000</v>
      </c>
      <c r="K2130" s="88" t="s">
        <v>11651</v>
      </c>
      <c r="L2130" s="45"/>
      <c r="M2130" s="3"/>
    </row>
    <row r="2131" spans="1:13" ht="25.5" x14ac:dyDescent="0.2">
      <c r="A2131" s="46" t="s">
        <v>4005</v>
      </c>
      <c r="B2131" s="46" t="s">
        <v>11649</v>
      </c>
      <c r="C2131" s="46" t="s">
        <v>14</v>
      </c>
      <c r="D2131" s="47">
        <v>10806</v>
      </c>
      <c r="E2131" s="46" t="s">
        <v>4006</v>
      </c>
      <c r="F2131" s="48">
        <v>41240</v>
      </c>
      <c r="G2131" s="46"/>
      <c r="H2131" s="46" t="s">
        <v>40</v>
      </c>
      <c r="I2131" s="45">
        <v>875</v>
      </c>
      <c r="J2131" s="45">
        <v>875</v>
      </c>
      <c r="K2131" s="88" t="s">
        <v>11651</v>
      </c>
      <c r="L2131" s="45"/>
      <c r="M2131" s="3"/>
    </row>
    <row r="2132" spans="1:13" ht="25.5" x14ac:dyDescent="0.2">
      <c r="A2132" s="46" t="s">
        <v>4007</v>
      </c>
      <c r="B2132" s="46" t="s">
        <v>11649</v>
      </c>
      <c r="C2132" s="46" t="s">
        <v>14</v>
      </c>
      <c r="D2132" s="47">
        <v>10807</v>
      </c>
      <c r="E2132" s="46" t="s">
        <v>4008</v>
      </c>
      <c r="F2132" s="48">
        <v>41205</v>
      </c>
      <c r="G2132" s="46"/>
      <c r="H2132" s="46" t="s">
        <v>40</v>
      </c>
      <c r="I2132" s="45">
        <v>9750</v>
      </c>
      <c r="J2132" s="45">
        <v>9750</v>
      </c>
      <c r="K2132" s="88" t="s">
        <v>11651</v>
      </c>
      <c r="L2132" s="45"/>
      <c r="M2132" s="3"/>
    </row>
    <row r="2133" spans="1:13" ht="25.5" x14ac:dyDescent="0.2">
      <c r="A2133" s="46" t="s">
        <v>4009</v>
      </c>
      <c r="B2133" s="46" t="s">
        <v>11649</v>
      </c>
      <c r="C2133" s="46" t="s">
        <v>14</v>
      </c>
      <c r="D2133" s="47">
        <v>10970</v>
      </c>
      <c r="E2133" s="46" t="s">
        <v>3955</v>
      </c>
      <c r="F2133" s="48">
        <v>40869</v>
      </c>
      <c r="G2133" s="46"/>
      <c r="H2133" s="46" t="s">
        <v>40</v>
      </c>
      <c r="I2133" s="45">
        <v>9000</v>
      </c>
      <c r="J2133" s="45">
        <v>9000</v>
      </c>
      <c r="K2133" s="88" t="s">
        <v>11651</v>
      </c>
      <c r="L2133" s="45"/>
      <c r="M2133" s="3"/>
    </row>
    <row r="2134" spans="1:13" ht="51" x14ac:dyDescent="0.25">
      <c r="A2134" s="46" t="s">
        <v>4187</v>
      </c>
      <c r="B2134" s="46" t="s">
        <v>11649</v>
      </c>
      <c r="C2134" s="46" t="s">
        <v>14</v>
      </c>
      <c r="D2134" s="47">
        <v>7611</v>
      </c>
      <c r="E2134" s="50" t="s">
        <v>4188</v>
      </c>
      <c r="F2134" s="48">
        <v>40156</v>
      </c>
      <c r="G2134" s="48">
        <v>40331</v>
      </c>
      <c r="H2134" s="46" t="s">
        <v>40</v>
      </c>
      <c r="I2134" s="45">
        <v>100000</v>
      </c>
      <c r="J2134" s="45">
        <v>50000</v>
      </c>
      <c r="K2134" s="49" t="s">
        <v>4035</v>
      </c>
      <c r="L2134" s="45"/>
      <c r="M2134" s="3"/>
    </row>
    <row r="2135" spans="1:13" ht="38.25" x14ac:dyDescent="0.25">
      <c r="A2135" s="46" t="s">
        <v>4199</v>
      </c>
      <c r="B2135" s="46" t="s">
        <v>11649</v>
      </c>
      <c r="C2135" s="46" t="s">
        <v>14</v>
      </c>
      <c r="D2135" s="47">
        <v>7617</v>
      </c>
      <c r="E2135" s="46" t="s">
        <v>4200</v>
      </c>
      <c r="F2135" s="48">
        <v>40156</v>
      </c>
      <c r="G2135" s="48">
        <v>40464</v>
      </c>
      <c r="H2135" s="46" t="s">
        <v>40</v>
      </c>
      <c r="I2135" s="45">
        <v>828.5</v>
      </c>
      <c r="J2135" s="45">
        <v>414.25</v>
      </c>
      <c r="K2135" s="49" t="s">
        <v>4035</v>
      </c>
      <c r="L2135" s="45"/>
      <c r="M2135" s="3"/>
    </row>
    <row r="2136" spans="1:13" ht="25.5" x14ac:dyDescent="0.25">
      <c r="A2136" s="46" t="s">
        <v>4217</v>
      </c>
      <c r="B2136" s="46" t="s">
        <v>11649</v>
      </c>
      <c r="C2136" s="46" t="s">
        <v>14</v>
      </c>
      <c r="D2136" s="47">
        <v>8881</v>
      </c>
      <c r="E2136" s="46" t="s">
        <v>4218</v>
      </c>
      <c r="F2136" s="48">
        <v>40604</v>
      </c>
      <c r="G2136" s="46"/>
      <c r="H2136" s="46" t="s">
        <v>40</v>
      </c>
      <c r="I2136" s="45">
        <v>20000</v>
      </c>
      <c r="J2136" s="45">
        <v>20000</v>
      </c>
      <c r="K2136" s="49" t="s">
        <v>4035</v>
      </c>
      <c r="L2136" s="45"/>
      <c r="M2136" s="3"/>
    </row>
    <row r="2137" spans="1:13" x14ac:dyDescent="0.25">
      <c r="A2137" s="46" t="s">
        <v>4221</v>
      </c>
      <c r="B2137" s="46" t="s">
        <v>11649</v>
      </c>
      <c r="C2137" s="46" t="s">
        <v>14</v>
      </c>
      <c r="D2137" s="47">
        <v>8884</v>
      </c>
      <c r="E2137" s="46" t="s">
        <v>4222</v>
      </c>
      <c r="F2137" s="48">
        <v>40520</v>
      </c>
      <c r="G2137" s="46"/>
      <c r="H2137" s="46" t="s">
        <v>40</v>
      </c>
      <c r="I2137" s="45">
        <v>20835</v>
      </c>
      <c r="J2137" s="45">
        <v>10417.5</v>
      </c>
      <c r="K2137" s="49" t="s">
        <v>4035</v>
      </c>
      <c r="L2137" s="45"/>
      <c r="M2137" s="3"/>
    </row>
    <row r="2138" spans="1:13" ht="38.25" x14ac:dyDescent="0.25">
      <c r="A2138" s="46" t="s">
        <v>4227</v>
      </c>
      <c r="B2138" s="46" t="s">
        <v>11649</v>
      </c>
      <c r="C2138" s="46" t="s">
        <v>14</v>
      </c>
      <c r="D2138" s="47">
        <v>8888</v>
      </c>
      <c r="E2138" s="50" t="s">
        <v>4228</v>
      </c>
      <c r="F2138" s="48">
        <v>40604</v>
      </c>
      <c r="G2138" s="46"/>
      <c r="H2138" s="46" t="s">
        <v>40</v>
      </c>
      <c r="I2138" s="45">
        <v>7500</v>
      </c>
      <c r="J2138" s="45">
        <v>7500</v>
      </c>
      <c r="K2138" s="49" t="s">
        <v>4035</v>
      </c>
      <c r="L2138" s="45"/>
      <c r="M2138" s="3"/>
    </row>
    <row r="2139" spans="1:13" ht="25.5" x14ac:dyDescent="0.25">
      <c r="A2139" s="46" t="s">
        <v>4229</v>
      </c>
      <c r="B2139" s="46" t="s">
        <v>11649</v>
      </c>
      <c r="C2139" s="46" t="s">
        <v>14</v>
      </c>
      <c r="D2139" s="47">
        <v>8889</v>
      </c>
      <c r="E2139" s="46" t="s">
        <v>4230</v>
      </c>
      <c r="F2139" s="48">
        <v>40604</v>
      </c>
      <c r="G2139" s="46"/>
      <c r="H2139" s="46" t="s">
        <v>40</v>
      </c>
      <c r="I2139" s="45">
        <v>7500</v>
      </c>
      <c r="J2139" s="45">
        <v>7500</v>
      </c>
      <c r="K2139" s="49" t="s">
        <v>4035</v>
      </c>
      <c r="L2139" s="45"/>
      <c r="M2139" s="3"/>
    </row>
    <row r="2140" spans="1:13" ht="25.5" x14ac:dyDescent="0.25">
      <c r="A2140" s="46" t="s">
        <v>4237</v>
      </c>
      <c r="B2140" s="46" t="s">
        <v>11649</v>
      </c>
      <c r="C2140" s="46" t="s">
        <v>14</v>
      </c>
      <c r="D2140" s="47">
        <v>8893</v>
      </c>
      <c r="E2140" s="46" t="s">
        <v>4238</v>
      </c>
      <c r="F2140" s="48">
        <v>40674</v>
      </c>
      <c r="G2140" s="46"/>
      <c r="H2140" s="46" t="s">
        <v>40</v>
      </c>
      <c r="I2140" s="45">
        <v>10000</v>
      </c>
      <c r="J2140" s="45">
        <v>10000</v>
      </c>
      <c r="K2140" s="49" t="s">
        <v>4035</v>
      </c>
      <c r="L2140" s="45"/>
      <c r="M2140" s="3"/>
    </row>
    <row r="2141" spans="1:13" ht="25.5" x14ac:dyDescent="0.25">
      <c r="A2141" s="46" t="s">
        <v>4237</v>
      </c>
      <c r="B2141" s="46" t="s">
        <v>11649</v>
      </c>
      <c r="C2141" s="46" t="s">
        <v>14</v>
      </c>
      <c r="D2141" s="47">
        <v>8894</v>
      </c>
      <c r="E2141" s="46" t="s">
        <v>4239</v>
      </c>
      <c r="F2141" s="48">
        <v>40820</v>
      </c>
      <c r="G2141" s="46"/>
      <c r="H2141" s="46" t="s">
        <v>40</v>
      </c>
      <c r="I2141" s="45">
        <v>13000</v>
      </c>
      <c r="J2141" s="45">
        <v>13000</v>
      </c>
      <c r="K2141" s="49" t="s">
        <v>4035</v>
      </c>
      <c r="L2141" s="45"/>
      <c r="M2141" s="3"/>
    </row>
    <row r="2142" spans="1:13" ht="25.5" x14ac:dyDescent="0.25">
      <c r="A2142" s="46" t="s">
        <v>4258</v>
      </c>
      <c r="B2142" s="46" t="s">
        <v>11649</v>
      </c>
      <c r="C2142" s="46" t="s">
        <v>14</v>
      </c>
      <c r="D2142" s="47">
        <v>8905</v>
      </c>
      <c r="E2142" s="46" t="s">
        <v>4259</v>
      </c>
      <c r="F2142" s="48">
        <v>40485</v>
      </c>
      <c r="G2142" s="46"/>
      <c r="H2142" s="46" t="s">
        <v>40</v>
      </c>
      <c r="I2142" s="45">
        <v>10000</v>
      </c>
      <c r="J2142" s="45">
        <v>10000</v>
      </c>
      <c r="K2142" s="49" t="s">
        <v>4035</v>
      </c>
      <c r="L2142" s="45"/>
      <c r="M2142" s="3"/>
    </row>
    <row r="2143" spans="1:13" x14ac:dyDescent="0.25">
      <c r="A2143" s="46" t="s">
        <v>4274</v>
      </c>
      <c r="B2143" s="46" t="s">
        <v>11649</v>
      </c>
      <c r="C2143" s="46" t="s">
        <v>14</v>
      </c>
      <c r="D2143" s="47">
        <v>10639</v>
      </c>
      <c r="E2143" s="46" t="s">
        <v>4275</v>
      </c>
      <c r="F2143" s="48">
        <v>41222</v>
      </c>
      <c r="G2143" s="46"/>
      <c r="H2143" s="46" t="s">
        <v>40</v>
      </c>
      <c r="I2143" s="45">
        <v>4000</v>
      </c>
      <c r="J2143" s="45">
        <v>2000</v>
      </c>
      <c r="K2143" s="49" t="s">
        <v>4035</v>
      </c>
      <c r="L2143" s="45"/>
      <c r="M2143" s="3"/>
    </row>
    <row r="2144" spans="1:13" ht="25.5" x14ac:dyDescent="0.25">
      <c r="A2144" s="46" t="s">
        <v>4278</v>
      </c>
      <c r="B2144" s="46" t="s">
        <v>11649</v>
      </c>
      <c r="C2144" s="46" t="s">
        <v>14</v>
      </c>
      <c r="D2144" s="47">
        <v>10641</v>
      </c>
      <c r="E2144" s="46" t="s">
        <v>4279</v>
      </c>
      <c r="F2144" s="48">
        <v>40849</v>
      </c>
      <c r="G2144" s="46"/>
      <c r="H2144" s="46" t="s">
        <v>40</v>
      </c>
      <c r="I2144" s="45">
        <v>10000</v>
      </c>
      <c r="J2144" s="45">
        <v>10000</v>
      </c>
      <c r="K2144" s="49" t="s">
        <v>4035</v>
      </c>
      <c r="L2144" s="45"/>
      <c r="M2144" s="3"/>
    </row>
    <row r="2145" spans="1:13" x14ac:dyDescent="0.25">
      <c r="A2145" s="46" t="s">
        <v>4287</v>
      </c>
      <c r="B2145" s="46" t="s">
        <v>11649</v>
      </c>
      <c r="C2145" s="46" t="s">
        <v>14</v>
      </c>
      <c r="D2145" s="47">
        <v>10646</v>
      </c>
      <c r="E2145" s="46" t="s">
        <v>4288</v>
      </c>
      <c r="F2145" s="48">
        <v>40604</v>
      </c>
      <c r="G2145" s="46"/>
      <c r="H2145" s="46" t="s">
        <v>40</v>
      </c>
      <c r="I2145" s="45">
        <v>10000</v>
      </c>
      <c r="J2145" s="45">
        <v>5000</v>
      </c>
      <c r="K2145" s="49" t="s">
        <v>4035</v>
      </c>
      <c r="L2145" s="45"/>
      <c r="M2145" s="3"/>
    </row>
    <row r="2146" spans="1:13" ht="25.5" x14ac:dyDescent="0.25">
      <c r="A2146" s="46" t="s">
        <v>4298</v>
      </c>
      <c r="B2146" s="46" t="s">
        <v>11649</v>
      </c>
      <c r="C2146" s="46" t="s">
        <v>14</v>
      </c>
      <c r="D2146" s="47">
        <v>10651</v>
      </c>
      <c r="E2146" s="46" t="s">
        <v>4299</v>
      </c>
      <c r="F2146" s="48">
        <v>40982</v>
      </c>
      <c r="G2146" s="46"/>
      <c r="H2146" s="46" t="s">
        <v>40</v>
      </c>
      <c r="I2146" s="45">
        <v>10000</v>
      </c>
      <c r="J2146" s="45">
        <v>10000</v>
      </c>
      <c r="K2146" s="49" t="s">
        <v>4035</v>
      </c>
      <c r="L2146" s="45"/>
      <c r="M2146" s="3"/>
    </row>
    <row r="2147" spans="1:13" ht="25.5" x14ac:dyDescent="0.25">
      <c r="A2147" s="46" t="s">
        <v>4298</v>
      </c>
      <c r="B2147" s="46" t="s">
        <v>11649</v>
      </c>
      <c r="C2147" s="46" t="s">
        <v>14</v>
      </c>
      <c r="D2147" s="47">
        <v>10652</v>
      </c>
      <c r="E2147" s="46" t="s">
        <v>4300</v>
      </c>
      <c r="F2147" s="48">
        <v>41220</v>
      </c>
      <c r="G2147" s="46"/>
      <c r="H2147" s="46" t="s">
        <v>40</v>
      </c>
      <c r="I2147" s="45">
        <f>17434+16539.72</f>
        <v>33973.72</v>
      </c>
      <c r="J2147" s="45">
        <v>21986.86</v>
      </c>
      <c r="K2147" s="49" t="s">
        <v>4035</v>
      </c>
      <c r="L2147" s="45"/>
      <c r="M2147" s="3"/>
    </row>
    <row r="2148" spans="1:13" x14ac:dyDescent="0.25">
      <c r="A2148" s="46" t="s">
        <v>4513</v>
      </c>
      <c r="B2148" s="46" t="s">
        <v>11649</v>
      </c>
      <c r="C2148" s="46" t="s">
        <v>14</v>
      </c>
      <c r="D2148" s="47">
        <v>7207</v>
      </c>
      <c r="E2148" s="46" t="s">
        <v>4514</v>
      </c>
      <c r="F2148" s="48">
        <v>40522</v>
      </c>
      <c r="G2148" s="48">
        <v>40739</v>
      </c>
      <c r="H2148" s="46" t="s">
        <v>40</v>
      </c>
      <c r="I2148" s="45">
        <v>10000</v>
      </c>
      <c r="J2148" s="45">
        <v>10000</v>
      </c>
      <c r="K2148" s="49" t="s">
        <v>4318</v>
      </c>
      <c r="L2148" s="45"/>
      <c r="M2148" s="3"/>
    </row>
    <row r="2149" spans="1:13" ht="25.5" x14ac:dyDescent="0.25">
      <c r="A2149" s="46" t="s">
        <v>4523</v>
      </c>
      <c r="B2149" s="46" t="s">
        <v>11649</v>
      </c>
      <c r="C2149" s="46" t="s">
        <v>14</v>
      </c>
      <c r="D2149" s="47">
        <v>7212</v>
      </c>
      <c r="E2149" s="46" t="s">
        <v>4524</v>
      </c>
      <c r="F2149" s="48">
        <v>40449</v>
      </c>
      <c r="G2149" s="46"/>
      <c r="H2149" s="46" t="s">
        <v>40</v>
      </c>
      <c r="I2149" s="45">
        <v>27226</v>
      </c>
      <c r="J2149" s="45">
        <v>13613</v>
      </c>
      <c r="K2149" s="49" t="s">
        <v>4318</v>
      </c>
      <c r="L2149" s="45"/>
      <c r="M2149" s="3"/>
    </row>
    <row r="2150" spans="1:13" ht="25.5" x14ac:dyDescent="0.25">
      <c r="A2150" s="46" t="s">
        <v>4525</v>
      </c>
      <c r="B2150" s="46" t="s">
        <v>11649</v>
      </c>
      <c r="C2150" s="46" t="s">
        <v>14</v>
      </c>
      <c r="D2150" s="47">
        <v>7213</v>
      </c>
      <c r="E2150" s="46" t="s">
        <v>4526</v>
      </c>
      <c r="F2150" s="48">
        <v>40290</v>
      </c>
      <c r="G2150" s="48">
        <v>40750</v>
      </c>
      <c r="H2150" s="46" t="s">
        <v>40</v>
      </c>
      <c r="I2150" s="45">
        <v>38231</v>
      </c>
      <c r="J2150" s="45">
        <v>30356.5</v>
      </c>
      <c r="K2150" s="49" t="s">
        <v>4318</v>
      </c>
      <c r="L2150" s="45"/>
      <c r="M2150" s="3"/>
    </row>
    <row r="2151" spans="1:13" x14ac:dyDescent="0.25">
      <c r="A2151" s="46" t="s">
        <v>4531</v>
      </c>
      <c r="B2151" s="46" t="s">
        <v>11649</v>
      </c>
      <c r="C2151" s="46" t="s">
        <v>14</v>
      </c>
      <c r="D2151" s="47">
        <v>7216</v>
      </c>
      <c r="E2151" s="46" t="s">
        <v>4532</v>
      </c>
      <c r="F2151" s="48">
        <v>40290</v>
      </c>
      <c r="G2151" s="48">
        <v>40585</v>
      </c>
      <c r="H2151" s="46" t="s">
        <v>40</v>
      </c>
      <c r="I2151" s="45">
        <v>10000</v>
      </c>
      <c r="J2151" s="45">
        <v>10000</v>
      </c>
      <c r="K2151" s="49" t="s">
        <v>4318</v>
      </c>
      <c r="L2151" s="45"/>
      <c r="M2151" s="3"/>
    </row>
    <row r="2152" spans="1:13" ht="25.5" x14ac:dyDescent="0.25">
      <c r="A2152" s="46" t="s">
        <v>4577</v>
      </c>
      <c r="B2152" s="46" t="s">
        <v>11649</v>
      </c>
      <c r="C2152" s="46" t="s">
        <v>14</v>
      </c>
      <c r="D2152" s="47">
        <v>8661</v>
      </c>
      <c r="E2152" s="46" t="s">
        <v>4578</v>
      </c>
      <c r="F2152" s="48">
        <v>40681</v>
      </c>
      <c r="G2152" s="48">
        <v>41059</v>
      </c>
      <c r="H2152" s="46" t="s">
        <v>40</v>
      </c>
      <c r="I2152" s="45">
        <v>26140</v>
      </c>
      <c r="J2152" s="45">
        <v>22500</v>
      </c>
      <c r="K2152" s="49" t="s">
        <v>4318</v>
      </c>
      <c r="L2152" s="45"/>
      <c r="M2152" s="3"/>
    </row>
    <row r="2153" spans="1:13" ht="38.25" x14ac:dyDescent="0.25">
      <c r="A2153" s="46" t="s">
        <v>4579</v>
      </c>
      <c r="B2153" s="46" t="s">
        <v>11649</v>
      </c>
      <c r="C2153" s="46" t="s">
        <v>14</v>
      </c>
      <c r="D2153" s="47">
        <v>8662</v>
      </c>
      <c r="E2153" s="46" t="s">
        <v>4580</v>
      </c>
      <c r="F2153" s="48">
        <v>40834</v>
      </c>
      <c r="G2153" s="48">
        <v>40900</v>
      </c>
      <c r="H2153" s="46" t="s">
        <v>40</v>
      </c>
      <c r="I2153" s="45">
        <v>24000</v>
      </c>
      <c r="J2153" s="45">
        <v>12000</v>
      </c>
      <c r="K2153" s="49" t="s">
        <v>4318</v>
      </c>
      <c r="L2153" s="45"/>
      <c r="M2153" s="3"/>
    </row>
    <row r="2154" spans="1:13" ht="25.5" x14ac:dyDescent="0.25">
      <c r="A2154" s="46" t="s">
        <v>4618</v>
      </c>
      <c r="B2154" s="46" t="s">
        <v>11649</v>
      </c>
      <c r="C2154" s="46" t="s">
        <v>14</v>
      </c>
      <c r="D2154" s="47">
        <v>10691</v>
      </c>
      <c r="E2154" s="46" t="s">
        <v>4619</v>
      </c>
      <c r="F2154" s="48">
        <v>41176</v>
      </c>
      <c r="G2154" s="48">
        <v>41262</v>
      </c>
      <c r="H2154" s="46" t="s">
        <v>40</v>
      </c>
      <c r="I2154" s="45">
        <v>12000</v>
      </c>
      <c r="J2154" s="45">
        <v>6000</v>
      </c>
      <c r="K2154" s="49" t="s">
        <v>4318</v>
      </c>
      <c r="L2154" s="45"/>
      <c r="M2154" s="3"/>
    </row>
    <row r="2155" spans="1:13" ht="25.5" x14ac:dyDescent="0.25">
      <c r="A2155" s="46" t="s">
        <v>4626</v>
      </c>
      <c r="B2155" s="46" t="s">
        <v>11649</v>
      </c>
      <c r="C2155" s="46" t="s">
        <v>14</v>
      </c>
      <c r="D2155" s="47">
        <v>10723</v>
      </c>
      <c r="E2155" s="46" t="s">
        <v>4627</v>
      </c>
      <c r="F2155" s="48">
        <v>40828</v>
      </c>
      <c r="G2155" s="48">
        <v>40934</v>
      </c>
      <c r="H2155" s="46" t="s">
        <v>40</v>
      </c>
      <c r="I2155" s="45">
        <v>28080</v>
      </c>
      <c r="J2155" s="45">
        <v>14040</v>
      </c>
      <c r="K2155" s="49" t="s">
        <v>4318</v>
      </c>
      <c r="L2155" s="45"/>
      <c r="M2155" s="3"/>
    </row>
    <row r="2156" spans="1:13" ht="25.5" x14ac:dyDescent="0.25">
      <c r="A2156" s="46" t="s">
        <v>4628</v>
      </c>
      <c r="B2156" s="46" t="s">
        <v>11649</v>
      </c>
      <c r="C2156" s="46" t="s">
        <v>14</v>
      </c>
      <c r="D2156" s="47">
        <v>10725</v>
      </c>
      <c r="E2156" s="46" t="s">
        <v>4629</v>
      </c>
      <c r="F2156" s="48">
        <v>40830</v>
      </c>
      <c r="G2156" s="48">
        <v>41417</v>
      </c>
      <c r="H2156" s="46" t="s">
        <v>40</v>
      </c>
      <c r="I2156" s="45">
        <f>7954+950</f>
        <v>8904</v>
      </c>
      <c r="J2156" s="45">
        <v>3977</v>
      </c>
      <c r="K2156" s="49" t="s">
        <v>4318</v>
      </c>
      <c r="L2156" s="45"/>
      <c r="M2156" s="3"/>
    </row>
    <row r="2157" spans="1:13" ht="25.5" x14ac:dyDescent="0.25">
      <c r="A2157" s="46" t="s">
        <v>4632</v>
      </c>
      <c r="B2157" s="46" t="s">
        <v>11649</v>
      </c>
      <c r="C2157" s="46" t="s">
        <v>14</v>
      </c>
      <c r="D2157" s="47">
        <v>10731</v>
      </c>
      <c r="E2157" s="46" t="s">
        <v>4633</v>
      </c>
      <c r="F2157" s="48">
        <v>40994</v>
      </c>
      <c r="G2157" s="48">
        <v>41232</v>
      </c>
      <c r="H2157" s="46" t="s">
        <v>40</v>
      </c>
      <c r="I2157" s="45">
        <v>4500</v>
      </c>
      <c r="J2157" s="45">
        <v>4500</v>
      </c>
      <c r="K2157" s="49" t="s">
        <v>4318</v>
      </c>
      <c r="L2157" s="45"/>
      <c r="M2157" s="3"/>
    </row>
    <row r="2158" spans="1:13" x14ac:dyDescent="0.25">
      <c r="A2158" s="46" t="s">
        <v>4642</v>
      </c>
      <c r="B2158" s="46" t="s">
        <v>11649</v>
      </c>
      <c r="C2158" s="46" t="s">
        <v>14</v>
      </c>
      <c r="D2158" s="47">
        <v>10739</v>
      </c>
      <c r="E2158" s="46" t="s">
        <v>4643</v>
      </c>
      <c r="F2158" s="48">
        <v>40788</v>
      </c>
      <c r="G2158" s="48">
        <v>41033</v>
      </c>
      <c r="H2158" s="46" t="s">
        <v>40</v>
      </c>
      <c r="I2158" s="45">
        <v>17176</v>
      </c>
      <c r="J2158" s="45">
        <v>8588</v>
      </c>
      <c r="K2158" s="49" t="s">
        <v>4318</v>
      </c>
      <c r="L2158" s="45"/>
      <c r="M2158" s="3"/>
    </row>
    <row r="2159" spans="1:13" ht="25.5" x14ac:dyDescent="0.25">
      <c r="A2159" s="46" t="s">
        <v>4646</v>
      </c>
      <c r="B2159" s="46" t="s">
        <v>11649</v>
      </c>
      <c r="C2159" s="46" t="s">
        <v>14</v>
      </c>
      <c r="D2159" s="47">
        <v>10742</v>
      </c>
      <c r="E2159" s="46" t="s">
        <v>4647</v>
      </c>
      <c r="F2159" s="48">
        <v>40786</v>
      </c>
      <c r="G2159" s="48">
        <v>41222</v>
      </c>
      <c r="H2159" s="46" t="s">
        <v>40</v>
      </c>
      <c r="I2159" s="45">
        <v>31278</v>
      </c>
      <c r="J2159" s="45">
        <v>15639</v>
      </c>
      <c r="K2159" s="49" t="s">
        <v>4318</v>
      </c>
      <c r="L2159" s="45"/>
      <c r="M2159" s="3"/>
    </row>
    <row r="2160" spans="1:13" ht="25.5" x14ac:dyDescent="0.25">
      <c r="A2160" s="46" t="s">
        <v>4654</v>
      </c>
      <c r="B2160" s="46" t="s">
        <v>11649</v>
      </c>
      <c r="C2160" s="46" t="s">
        <v>14</v>
      </c>
      <c r="D2160" s="47">
        <v>10780</v>
      </c>
      <c r="E2160" s="46" t="s">
        <v>4655</v>
      </c>
      <c r="F2160" s="48">
        <v>40980</v>
      </c>
      <c r="G2160" s="48">
        <v>41345</v>
      </c>
      <c r="H2160" s="46" t="s">
        <v>40</v>
      </c>
      <c r="I2160" s="45">
        <f>7400+1122</f>
        <v>8522</v>
      </c>
      <c r="J2160" s="45">
        <f>4439+561</f>
        <v>5000</v>
      </c>
      <c r="K2160" s="49" t="s">
        <v>4318</v>
      </c>
      <c r="L2160" s="45"/>
      <c r="M2160" s="3"/>
    </row>
    <row r="2161" spans="1:13" ht="25.5" x14ac:dyDescent="0.25">
      <c r="A2161" s="46" t="s">
        <v>4902</v>
      </c>
      <c r="B2161" s="46" t="s">
        <v>11649</v>
      </c>
      <c r="C2161" s="46" t="s">
        <v>14</v>
      </c>
      <c r="D2161" s="47">
        <v>6913</v>
      </c>
      <c r="E2161" s="46" t="s">
        <v>4903</v>
      </c>
      <c r="F2161" s="48">
        <v>40378</v>
      </c>
      <c r="G2161" s="46"/>
      <c r="H2161" s="46" t="s">
        <v>40</v>
      </c>
      <c r="I2161" s="45">
        <v>3500</v>
      </c>
      <c r="J2161" s="45">
        <v>3500</v>
      </c>
      <c r="K2161" s="49" t="s">
        <v>4667</v>
      </c>
      <c r="L2161" s="45"/>
      <c r="M2161" s="3"/>
    </row>
    <row r="2162" spans="1:13" ht="25.5" x14ac:dyDescent="0.25">
      <c r="A2162" s="46" t="s">
        <v>4904</v>
      </c>
      <c r="B2162" s="46" t="s">
        <v>11649</v>
      </c>
      <c r="C2162" s="46" t="s">
        <v>14</v>
      </c>
      <c r="D2162" s="47">
        <v>6914</v>
      </c>
      <c r="E2162" s="46" t="s">
        <v>4905</v>
      </c>
      <c r="F2162" s="48">
        <v>40252</v>
      </c>
      <c r="G2162" s="46"/>
      <c r="H2162" s="46" t="s">
        <v>40</v>
      </c>
      <c r="I2162" s="45">
        <v>11250</v>
      </c>
      <c r="J2162" s="45">
        <v>11250</v>
      </c>
      <c r="K2162" s="49" t="s">
        <v>4667</v>
      </c>
      <c r="L2162" s="45"/>
      <c r="M2162" s="3"/>
    </row>
    <row r="2163" spans="1:13" ht="25.5" x14ac:dyDescent="0.25">
      <c r="A2163" s="46" t="s">
        <v>4908</v>
      </c>
      <c r="B2163" s="46" t="s">
        <v>11649</v>
      </c>
      <c r="C2163" s="46" t="s">
        <v>14</v>
      </c>
      <c r="D2163" s="47">
        <v>6922</v>
      </c>
      <c r="E2163" s="46" t="s">
        <v>4909</v>
      </c>
      <c r="F2163" s="48">
        <v>39927</v>
      </c>
      <c r="G2163" s="46"/>
      <c r="H2163" s="46" t="s">
        <v>40</v>
      </c>
      <c r="I2163" s="45">
        <v>7500</v>
      </c>
      <c r="J2163" s="45">
        <v>7500</v>
      </c>
      <c r="K2163" s="49" t="s">
        <v>4667</v>
      </c>
      <c r="L2163" s="45"/>
      <c r="M2163" s="3"/>
    </row>
    <row r="2164" spans="1:13" ht="25.5" x14ac:dyDescent="0.25">
      <c r="A2164" s="46" t="s">
        <v>4914</v>
      </c>
      <c r="B2164" s="46" t="s">
        <v>11649</v>
      </c>
      <c r="C2164" s="46" t="s">
        <v>14</v>
      </c>
      <c r="D2164" s="47">
        <v>6939</v>
      </c>
      <c r="E2164" s="46" t="s">
        <v>4915</v>
      </c>
      <c r="F2164" s="48">
        <v>40179</v>
      </c>
      <c r="G2164" s="46"/>
      <c r="H2164" s="46" t="s">
        <v>40</v>
      </c>
      <c r="I2164" s="45">
        <v>10000</v>
      </c>
      <c r="J2164" s="45">
        <v>10000</v>
      </c>
      <c r="K2164" s="49" t="s">
        <v>4667</v>
      </c>
      <c r="L2164" s="45"/>
      <c r="M2164" s="3"/>
    </row>
    <row r="2165" spans="1:13" x14ac:dyDescent="0.25">
      <c r="A2165" s="46" t="s">
        <v>4922</v>
      </c>
      <c r="B2165" s="46" t="s">
        <v>11649</v>
      </c>
      <c r="C2165" s="46" t="s">
        <v>14</v>
      </c>
      <c r="D2165" s="47">
        <v>6957</v>
      </c>
      <c r="E2165" s="46" t="s">
        <v>4923</v>
      </c>
      <c r="F2165" s="48">
        <v>40375</v>
      </c>
      <c r="G2165" s="46"/>
      <c r="H2165" s="46" t="s">
        <v>40</v>
      </c>
      <c r="I2165" s="45">
        <v>90070</v>
      </c>
      <c r="J2165" s="45">
        <v>56285</v>
      </c>
      <c r="K2165" s="49" t="s">
        <v>4667</v>
      </c>
      <c r="L2165" s="45"/>
      <c r="M2165" s="3"/>
    </row>
    <row r="2166" spans="1:13" x14ac:dyDescent="0.25">
      <c r="A2166" s="46" t="s">
        <v>4926</v>
      </c>
      <c r="B2166" s="46" t="s">
        <v>11649</v>
      </c>
      <c r="C2166" s="46" t="s">
        <v>14</v>
      </c>
      <c r="D2166" s="47">
        <v>6961</v>
      </c>
      <c r="E2166" s="46" t="s">
        <v>4927</v>
      </c>
      <c r="F2166" s="48">
        <v>40305</v>
      </c>
      <c r="G2166" s="46"/>
      <c r="H2166" s="46" t="s">
        <v>40</v>
      </c>
      <c r="I2166" s="45">
        <v>20000</v>
      </c>
      <c r="J2166" s="45">
        <v>10000</v>
      </c>
      <c r="K2166" s="49" t="s">
        <v>4667</v>
      </c>
      <c r="L2166" s="45"/>
      <c r="M2166" s="3"/>
    </row>
    <row r="2167" spans="1:13" ht="38.25" x14ac:dyDescent="0.25">
      <c r="A2167" s="46" t="s">
        <v>4928</v>
      </c>
      <c r="B2167" s="46" t="s">
        <v>11649</v>
      </c>
      <c r="C2167" s="46" t="s">
        <v>14</v>
      </c>
      <c r="D2167" s="47">
        <v>6965</v>
      </c>
      <c r="E2167" s="46" t="s">
        <v>4929</v>
      </c>
      <c r="F2167" s="48">
        <v>40378</v>
      </c>
      <c r="G2167" s="46"/>
      <c r="H2167" s="46" t="s">
        <v>40</v>
      </c>
      <c r="I2167" s="45">
        <v>116956</v>
      </c>
      <c r="J2167" s="45">
        <v>58483</v>
      </c>
      <c r="K2167" s="49" t="s">
        <v>4667</v>
      </c>
      <c r="L2167" s="45"/>
      <c r="M2167" s="3"/>
    </row>
    <row r="2168" spans="1:13" ht="38.25" x14ac:dyDescent="0.25">
      <c r="A2168" s="46" t="s">
        <v>4932</v>
      </c>
      <c r="B2168" s="46" t="s">
        <v>11649</v>
      </c>
      <c r="C2168" s="46" t="s">
        <v>14</v>
      </c>
      <c r="D2168" s="47">
        <v>6973</v>
      </c>
      <c r="E2168" s="46" t="s">
        <v>4933</v>
      </c>
      <c r="F2168" s="48">
        <v>40452</v>
      </c>
      <c r="G2168" s="46"/>
      <c r="H2168" s="46" t="s">
        <v>40</v>
      </c>
      <c r="I2168" s="45">
        <v>37000</v>
      </c>
      <c r="J2168" s="45">
        <v>28500</v>
      </c>
      <c r="K2168" s="49" t="s">
        <v>4667</v>
      </c>
      <c r="L2168" s="45"/>
      <c r="M2168" s="3"/>
    </row>
    <row r="2169" spans="1:13" ht="25.5" x14ac:dyDescent="0.25">
      <c r="A2169" s="46" t="s">
        <v>4934</v>
      </c>
      <c r="B2169" s="46" t="s">
        <v>11649</v>
      </c>
      <c r="C2169" s="46" t="s">
        <v>14</v>
      </c>
      <c r="D2169" s="47">
        <v>6978</v>
      </c>
      <c r="E2169" s="46" t="s">
        <v>4935</v>
      </c>
      <c r="F2169" s="48">
        <v>40252</v>
      </c>
      <c r="G2169" s="46"/>
      <c r="H2169" s="46" t="s">
        <v>40</v>
      </c>
      <c r="I2169" s="45">
        <v>20000</v>
      </c>
      <c r="J2169" s="45">
        <v>20000</v>
      </c>
      <c r="K2169" s="49" t="s">
        <v>4667</v>
      </c>
      <c r="L2169" s="45"/>
      <c r="M2169" s="3"/>
    </row>
    <row r="2170" spans="1:13" x14ac:dyDescent="0.25">
      <c r="A2170" s="46" t="s">
        <v>4938</v>
      </c>
      <c r="B2170" s="46" t="s">
        <v>11649</v>
      </c>
      <c r="C2170" s="46" t="s">
        <v>14</v>
      </c>
      <c r="D2170" s="47">
        <v>6982</v>
      </c>
      <c r="E2170" s="46" t="s">
        <v>4939</v>
      </c>
      <c r="F2170" s="48">
        <v>40452</v>
      </c>
      <c r="G2170" s="46"/>
      <c r="H2170" s="46" t="s">
        <v>40</v>
      </c>
      <c r="I2170" s="45">
        <v>10000</v>
      </c>
      <c r="J2170" s="45">
        <v>10000</v>
      </c>
      <c r="K2170" s="49" t="s">
        <v>4667</v>
      </c>
      <c r="L2170" s="45"/>
      <c r="M2170" s="3"/>
    </row>
    <row r="2171" spans="1:13" ht="25.5" x14ac:dyDescent="0.25">
      <c r="A2171" s="46" t="s">
        <v>4952</v>
      </c>
      <c r="B2171" s="46" t="s">
        <v>11649</v>
      </c>
      <c r="C2171" s="46" t="s">
        <v>14</v>
      </c>
      <c r="D2171" s="47">
        <v>8754</v>
      </c>
      <c r="E2171" s="46" t="s">
        <v>4953</v>
      </c>
      <c r="F2171" s="48">
        <v>40553</v>
      </c>
      <c r="G2171" s="46"/>
      <c r="H2171" s="46" t="s">
        <v>40</v>
      </c>
      <c r="I2171" s="45">
        <v>29438</v>
      </c>
      <c r="J2171" s="45">
        <v>17719</v>
      </c>
      <c r="K2171" s="49" t="s">
        <v>4667</v>
      </c>
      <c r="L2171" s="45"/>
      <c r="M2171" s="3"/>
    </row>
    <row r="2172" spans="1:13" x14ac:dyDescent="0.25">
      <c r="A2172" s="46" t="s">
        <v>4956</v>
      </c>
      <c r="B2172" s="46" t="s">
        <v>11649</v>
      </c>
      <c r="C2172" s="46" t="s">
        <v>14</v>
      </c>
      <c r="D2172" s="47">
        <v>8792</v>
      </c>
      <c r="E2172" s="46" t="s">
        <v>4957</v>
      </c>
      <c r="F2172" s="48">
        <v>40557</v>
      </c>
      <c r="G2172" s="46"/>
      <c r="H2172" s="46" t="s">
        <v>40</v>
      </c>
      <c r="I2172" s="45">
        <v>100000</v>
      </c>
      <c r="J2172" s="45">
        <v>50000</v>
      </c>
      <c r="K2172" s="49" t="s">
        <v>4667</v>
      </c>
      <c r="L2172" s="45"/>
      <c r="M2172" s="3"/>
    </row>
    <row r="2173" spans="1:13" ht="25.5" x14ac:dyDescent="0.25">
      <c r="A2173" s="46" t="s">
        <v>4960</v>
      </c>
      <c r="B2173" s="46" t="s">
        <v>11649</v>
      </c>
      <c r="C2173" s="46" t="s">
        <v>14</v>
      </c>
      <c r="D2173" s="47">
        <v>8804</v>
      </c>
      <c r="E2173" s="46" t="s">
        <v>4961</v>
      </c>
      <c r="F2173" s="48">
        <v>40399</v>
      </c>
      <c r="G2173" s="46"/>
      <c r="H2173" s="46" t="s">
        <v>40</v>
      </c>
      <c r="I2173" s="45">
        <v>37276</v>
      </c>
      <c r="J2173" s="45">
        <v>18638</v>
      </c>
      <c r="K2173" s="49" t="s">
        <v>4667</v>
      </c>
      <c r="L2173" s="45"/>
      <c r="M2173" s="3"/>
    </row>
    <row r="2174" spans="1:13" ht="76.5" x14ac:dyDescent="0.25">
      <c r="A2174" s="46" t="s">
        <v>4972</v>
      </c>
      <c r="B2174" s="46" t="s">
        <v>11649</v>
      </c>
      <c r="C2174" s="46" t="s">
        <v>14</v>
      </c>
      <c r="D2174" s="47">
        <v>8909</v>
      </c>
      <c r="E2174" s="50" t="s">
        <v>4973</v>
      </c>
      <c r="F2174" s="48">
        <v>40830</v>
      </c>
      <c r="G2174" s="46"/>
      <c r="H2174" s="46" t="s">
        <v>40</v>
      </c>
      <c r="I2174" s="45">
        <v>68602</v>
      </c>
      <c r="J2174" s="45">
        <v>52301</v>
      </c>
      <c r="K2174" s="49" t="s">
        <v>4667</v>
      </c>
      <c r="L2174" s="45"/>
      <c r="M2174" s="3"/>
    </row>
    <row r="2175" spans="1:13" x14ac:dyDescent="0.25">
      <c r="A2175" s="46" t="s">
        <v>4981</v>
      </c>
      <c r="B2175" s="46" t="s">
        <v>11649</v>
      </c>
      <c r="C2175" s="46" t="s">
        <v>14</v>
      </c>
      <c r="D2175" s="47">
        <v>10592</v>
      </c>
      <c r="E2175" s="46" t="s">
        <v>4982</v>
      </c>
      <c r="F2175" s="48">
        <v>40896</v>
      </c>
      <c r="G2175" s="46"/>
      <c r="H2175" s="46" t="s">
        <v>40</v>
      </c>
      <c r="I2175" s="45">
        <v>3096</v>
      </c>
      <c r="J2175" s="45">
        <v>2798</v>
      </c>
      <c r="K2175" s="49" t="s">
        <v>4667</v>
      </c>
      <c r="L2175" s="45"/>
      <c r="M2175" s="3"/>
    </row>
    <row r="2176" spans="1:13" x14ac:dyDescent="0.25">
      <c r="A2176" s="46" t="s">
        <v>4987</v>
      </c>
      <c r="B2176" s="46" t="s">
        <v>11649</v>
      </c>
      <c r="C2176" s="46" t="s">
        <v>14</v>
      </c>
      <c r="D2176" s="47">
        <v>10624</v>
      </c>
      <c r="E2176" s="46" t="s">
        <v>4988</v>
      </c>
      <c r="F2176" s="48">
        <v>41008</v>
      </c>
      <c r="G2176" s="46"/>
      <c r="H2176" s="46" t="s">
        <v>40</v>
      </c>
      <c r="I2176" s="45">
        <v>10000</v>
      </c>
      <c r="J2176" s="45">
        <v>10000</v>
      </c>
      <c r="K2176" s="49" t="s">
        <v>4667</v>
      </c>
      <c r="L2176" s="45"/>
      <c r="M2176" s="3"/>
    </row>
    <row r="2177" spans="1:60" ht="25.5" x14ac:dyDescent="0.25">
      <c r="A2177" s="46" t="s">
        <v>4989</v>
      </c>
      <c r="B2177" s="46" t="s">
        <v>11649</v>
      </c>
      <c r="C2177" s="46" t="s">
        <v>14</v>
      </c>
      <c r="D2177" s="47">
        <v>10625</v>
      </c>
      <c r="E2177" s="46" t="s">
        <v>4990</v>
      </c>
      <c r="F2177" s="48">
        <v>41050</v>
      </c>
      <c r="G2177" s="46"/>
      <c r="H2177" s="46" t="s">
        <v>40</v>
      </c>
      <c r="I2177" s="45">
        <f>30000+15000</f>
        <v>45000</v>
      </c>
      <c r="J2177" s="45">
        <f>15000+15000</f>
        <v>30000</v>
      </c>
      <c r="K2177" s="49" t="s">
        <v>4667</v>
      </c>
      <c r="L2177" s="45"/>
      <c r="M2177" s="3"/>
    </row>
    <row r="2178" spans="1:60" ht="25.5" x14ac:dyDescent="0.25">
      <c r="A2178" s="46" t="s">
        <v>4991</v>
      </c>
      <c r="B2178" s="46" t="s">
        <v>11649</v>
      </c>
      <c r="C2178" s="46" t="s">
        <v>14</v>
      </c>
      <c r="D2178" s="47">
        <v>10626</v>
      </c>
      <c r="E2178" s="46" t="s">
        <v>4992</v>
      </c>
      <c r="F2178" s="48">
        <v>40952</v>
      </c>
      <c r="G2178" s="46"/>
      <c r="H2178" s="46" t="s">
        <v>40</v>
      </c>
      <c r="I2178" s="45">
        <v>140000</v>
      </c>
      <c r="J2178" s="45">
        <v>70000</v>
      </c>
      <c r="K2178" s="49" t="s">
        <v>4667</v>
      </c>
      <c r="L2178" s="45"/>
      <c r="M2178" s="3"/>
    </row>
    <row r="2179" spans="1:60" s="21" customFormat="1" x14ac:dyDescent="0.25">
      <c r="A2179" s="46" t="s">
        <v>4995</v>
      </c>
      <c r="B2179" s="46" t="s">
        <v>11649</v>
      </c>
      <c r="C2179" s="46" t="s">
        <v>14</v>
      </c>
      <c r="D2179" s="47">
        <v>10628</v>
      </c>
      <c r="E2179" s="46" t="s">
        <v>4996</v>
      </c>
      <c r="F2179" s="48">
        <v>40970</v>
      </c>
      <c r="G2179" s="46"/>
      <c r="H2179" s="46" t="s">
        <v>40</v>
      </c>
      <c r="I2179" s="45">
        <v>7500</v>
      </c>
      <c r="J2179" s="45">
        <v>7500</v>
      </c>
      <c r="K2179" s="49" t="s">
        <v>4667</v>
      </c>
      <c r="L2179" s="45"/>
      <c r="M2179" s="3"/>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row>
    <row r="2180" spans="1:60" s="21" customFormat="1" x14ac:dyDescent="0.25">
      <c r="A2180" s="46" t="s">
        <v>4999</v>
      </c>
      <c r="B2180" s="46" t="s">
        <v>11649</v>
      </c>
      <c r="C2180" s="46" t="s">
        <v>14</v>
      </c>
      <c r="D2180" s="47">
        <v>10630</v>
      </c>
      <c r="E2180" s="46" t="s">
        <v>5000</v>
      </c>
      <c r="F2180" s="48">
        <v>41153</v>
      </c>
      <c r="G2180" s="46"/>
      <c r="H2180" s="46" t="s">
        <v>40</v>
      </c>
      <c r="I2180" s="45">
        <v>3750</v>
      </c>
      <c r="J2180" s="45">
        <v>3750</v>
      </c>
      <c r="K2180" s="49" t="s">
        <v>4667</v>
      </c>
      <c r="L2180" s="45"/>
      <c r="M2180" s="3"/>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row>
    <row r="2181" spans="1:60" s="21" customFormat="1" ht="25.5" x14ac:dyDescent="0.25">
      <c r="A2181" s="46" t="s">
        <v>5001</v>
      </c>
      <c r="B2181" s="46" t="s">
        <v>11649</v>
      </c>
      <c r="C2181" s="46" t="s">
        <v>14</v>
      </c>
      <c r="D2181" s="47">
        <v>10631</v>
      </c>
      <c r="E2181" s="46" t="s">
        <v>5002</v>
      </c>
      <c r="F2181" s="48">
        <v>41061</v>
      </c>
      <c r="G2181" s="46"/>
      <c r="H2181" s="46" t="s">
        <v>40</v>
      </c>
      <c r="I2181" s="45">
        <f>7500+3750</f>
        <v>11250</v>
      </c>
      <c r="J2181" s="45">
        <f>3750+3750</f>
        <v>7500</v>
      </c>
      <c r="K2181" s="49" t="s">
        <v>4667</v>
      </c>
      <c r="L2181" s="45"/>
      <c r="M2181" s="3"/>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row>
    <row r="2182" spans="1:60" s="21" customFormat="1" ht="76.5" x14ac:dyDescent="0.25">
      <c r="A2182" s="46" t="s">
        <v>5005</v>
      </c>
      <c r="B2182" s="46" t="s">
        <v>11649</v>
      </c>
      <c r="C2182" s="46" t="s">
        <v>14</v>
      </c>
      <c r="D2182" s="47">
        <v>10633</v>
      </c>
      <c r="E2182" s="50" t="s">
        <v>4973</v>
      </c>
      <c r="F2182" s="48">
        <v>41075</v>
      </c>
      <c r="G2182" s="46"/>
      <c r="H2182" s="46" t="s">
        <v>40</v>
      </c>
      <c r="I2182" s="45">
        <v>17460</v>
      </c>
      <c r="J2182" s="45">
        <v>17460</v>
      </c>
      <c r="K2182" s="49" t="s">
        <v>4667</v>
      </c>
      <c r="L2182" s="45"/>
      <c r="M2182" s="3"/>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row>
    <row r="2183" spans="1:60" s="21" customFormat="1" ht="38.25" x14ac:dyDescent="0.25">
      <c r="A2183" s="46" t="s">
        <v>5006</v>
      </c>
      <c r="B2183" s="46" t="s">
        <v>11649</v>
      </c>
      <c r="C2183" s="46" t="s">
        <v>14</v>
      </c>
      <c r="D2183" s="47">
        <v>10634</v>
      </c>
      <c r="E2183" s="46" t="s">
        <v>5007</v>
      </c>
      <c r="F2183" s="48">
        <v>40987</v>
      </c>
      <c r="G2183" s="46"/>
      <c r="H2183" s="46" t="s">
        <v>40</v>
      </c>
      <c r="I2183" s="45">
        <v>10000</v>
      </c>
      <c r="J2183" s="45">
        <v>10000</v>
      </c>
      <c r="K2183" s="49" t="s">
        <v>4667</v>
      </c>
      <c r="L2183" s="45"/>
      <c r="M2183" s="3"/>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row>
    <row r="2184" spans="1:60" s="21" customFormat="1" ht="25.5" x14ac:dyDescent="0.25">
      <c r="A2184" s="46" t="s">
        <v>5469</v>
      </c>
      <c r="B2184" s="46" t="s">
        <v>11649</v>
      </c>
      <c r="C2184" s="46" t="s">
        <v>14</v>
      </c>
      <c r="D2184" s="47">
        <v>7372</v>
      </c>
      <c r="E2184" s="46" t="s">
        <v>5470</v>
      </c>
      <c r="F2184" s="48">
        <v>40449</v>
      </c>
      <c r="G2184" s="48">
        <v>40908</v>
      </c>
      <c r="H2184" s="46" t="s">
        <v>40</v>
      </c>
      <c r="I2184" s="45">
        <v>27750</v>
      </c>
      <c r="J2184" s="45">
        <v>27750</v>
      </c>
      <c r="K2184" s="49" t="s">
        <v>5018</v>
      </c>
      <c r="L2184" s="45"/>
      <c r="M2184" s="3"/>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row>
    <row r="2185" spans="1:60" s="21" customFormat="1" ht="25.5" x14ac:dyDescent="0.25">
      <c r="A2185" s="46" t="s">
        <v>5473</v>
      </c>
      <c r="B2185" s="46" t="s">
        <v>11649</v>
      </c>
      <c r="C2185" s="46" t="s">
        <v>14</v>
      </c>
      <c r="D2185" s="47">
        <v>7374</v>
      </c>
      <c r="E2185" s="46" t="s">
        <v>5474</v>
      </c>
      <c r="F2185" s="48">
        <v>40364</v>
      </c>
      <c r="G2185" s="48">
        <v>40493</v>
      </c>
      <c r="H2185" s="46" t="s">
        <v>40</v>
      </c>
      <c r="I2185" s="45">
        <v>8800</v>
      </c>
      <c r="J2185" s="45">
        <v>6900</v>
      </c>
      <c r="K2185" s="49" t="s">
        <v>5018</v>
      </c>
      <c r="L2185" s="45"/>
      <c r="M2185" s="3"/>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row>
    <row r="2186" spans="1:60" s="21" customFormat="1" ht="25.5" x14ac:dyDescent="0.25">
      <c r="A2186" s="46" t="s">
        <v>5475</v>
      </c>
      <c r="B2186" s="46" t="s">
        <v>11649</v>
      </c>
      <c r="C2186" s="46" t="s">
        <v>14</v>
      </c>
      <c r="D2186" s="47">
        <v>7375</v>
      </c>
      <c r="E2186" s="46" t="s">
        <v>5476</v>
      </c>
      <c r="F2186" s="48">
        <v>40281</v>
      </c>
      <c r="G2186" s="48">
        <v>40497</v>
      </c>
      <c r="H2186" s="46" t="s">
        <v>40</v>
      </c>
      <c r="I2186" s="45">
        <v>37026</v>
      </c>
      <c r="J2186" s="45">
        <v>18513</v>
      </c>
      <c r="K2186" s="49" t="s">
        <v>5018</v>
      </c>
      <c r="L2186" s="45"/>
      <c r="M2186" s="3"/>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row>
    <row r="2187" spans="1:60" s="21" customFormat="1" ht="25.5" x14ac:dyDescent="0.25">
      <c r="A2187" s="46" t="s">
        <v>5570</v>
      </c>
      <c r="B2187" s="46" t="s">
        <v>11649</v>
      </c>
      <c r="C2187" s="46" t="s">
        <v>14</v>
      </c>
      <c r="D2187" s="47">
        <v>9217</v>
      </c>
      <c r="E2187" s="46" t="s">
        <v>5571</v>
      </c>
      <c r="F2187" s="48">
        <v>40735</v>
      </c>
      <c r="G2187" s="48">
        <v>40885</v>
      </c>
      <c r="H2187" s="46" t="s">
        <v>40</v>
      </c>
      <c r="I2187" s="45">
        <v>14408</v>
      </c>
      <c r="J2187" s="45">
        <v>7204</v>
      </c>
      <c r="K2187" s="49" t="s">
        <v>5018</v>
      </c>
      <c r="L2187" s="45"/>
      <c r="M2187" s="3"/>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row>
    <row r="2188" spans="1:60" s="21" customFormat="1" x14ac:dyDescent="0.25">
      <c r="A2188" s="46" t="s">
        <v>5574</v>
      </c>
      <c r="B2188" s="46" t="s">
        <v>11649</v>
      </c>
      <c r="C2188" s="46" t="s">
        <v>14</v>
      </c>
      <c r="D2188" s="47">
        <v>9248</v>
      </c>
      <c r="E2188" s="46" t="s">
        <v>5575</v>
      </c>
      <c r="F2188" s="48">
        <v>40602</v>
      </c>
      <c r="G2188" s="48">
        <v>40883</v>
      </c>
      <c r="H2188" s="46" t="s">
        <v>40</v>
      </c>
      <c r="I2188" s="45">
        <v>24375</v>
      </c>
      <c r="J2188" s="45">
        <v>16875</v>
      </c>
      <c r="K2188" s="49" t="s">
        <v>5018</v>
      </c>
      <c r="L2188" s="45"/>
      <c r="M2188" s="3"/>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row>
    <row r="2189" spans="1:60" s="21" customFormat="1" ht="25.5" x14ac:dyDescent="0.25">
      <c r="A2189" s="46" t="s">
        <v>5584</v>
      </c>
      <c r="B2189" s="46" t="s">
        <v>11649</v>
      </c>
      <c r="C2189" s="46" t="s">
        <v>14</v>
      </c>
      <c r="D2189" s="47">
        <v>9253</v>
      </c>
      <c r="E2189" s="46" t="s">
        <v>5585</v>
      </c>
      <c r="F2189" s="48">
        <v>40686</v>
      </c>
      <c r="G2189" s="48">
        <v>41264</v>
      </c>
      <c r="H2189" s="46" t="s">
        <v>40</v>
      </c>
      <c r="I2189" s="45">
        <v>10717.32</v>
      </c>
      <c r="J2189" s="45">
        <v>9488.66</v>
      </c>
      <c r="K2189" s="49" t="s">
        <v>5018</v>
      </c>
      <c r="L2189" s="45"/>
      <c r="M2189" s="3"/>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row>
    <row r="2190" spans="1:60" s="21" customFormat="1" x14ac:dyDescent="0.25">
      <c r="A2190" s="46" t="s">
        <v>5675</v>
      </c>
      <c r="B2190" s="46" t="s">
        <v>11649</v>
      </c>
      <c r="C2190" s="46" t="s">
        <v>14</v>
      </c>
      <c r="D2190" s="47">
        <v>10658</v>
      </c>
      <c r="E2190" s="46" t="s">
        <v>5676</v>
      </c>
      <c r="F2190" s="48">
        <v>41023</v>
      </c>
      <c r="G2190" s="48">
        <v>41274</v>
      </c>
      <c r="H2190" s="46" t="s">
        <v>40</v>
      </c>
      <c r="I2190" s="45">
        <v>57879.68</v>
      </c>
      <c r="J2190" s="45">
        <v>28939.84</v>
      </c>
      <c r="K2190" s="49" t="s">
        <v>5018</v>
      </c>
      <c r="L2190" s="45"/>
      <c r="M2190" s="3"/>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row>
    <row r="2191" spans="1:60" s="21" customFormat="1" x14ac:dyDescent="0.25">
      <c r="A2191" s="46" t="s">
        <v>5681</v>
      </c>
      <c r="B2191" s="46" t="s">
        <v>11649</v>
      </c>
      <c r="C2191" s="46" t="s">
        <v>14</v>
      </c>
      <c r="D2191" s="47">
        <v>10661</v>
      </c>
      <c r="E2191" s="46" t="s">
        <v>5682</v>
      </c>
      <c r="F2191" s="48">
        <v>41275</v>
      </c>
      <c r="G2191" s="48">
        <v>41639</v>
      </c>
      <c r="H2191" s="46" t="s">
        <v>40</v>
      </c>
      <c r="I2191" s="45">
        <f>74281.78+14311.58</f>
        <v>88593.36</v>
      </c>
      <c r="J2191" s="45">
        <f>51769.12+7196.75</f>
        <v>58965.87</v>
      </c>
      <c r="K2191" s="49" t="s">
        <v>5018</v>
      </c>
      <c r="L2191" s="45"/>
      <c r="M2191" s="3"/>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row>
    <row r="2192" spans="1:60" s="21" customFormat="1" x14ac:dyDescent="0.25">
      <c r="A2192" s="46" t="s">
        <v>5687</v>
      </c>
      <c r="B2192" s="46" t="s">
        <v>11649</v>
      </c>
      <c r="C2192" s="46" t="s">
        <v>14</v>
      </c>
      <c r="D2192" s="47">
        <v>10664</v>
      </c>
      <c r="E2192" s="46" t="s">
        <v>5134</v>
      </c>
      <c r="F2192" s="48">
        <v>41022</v>
      </c>
      <c r="G2192" s="48">
        <v>41274</v>
      </c>
      <c r="H2192" s="46" t="s">
        <v>40</v>
      </c>
      <c r="I2192" s="45">
        <v>15000</v>
      </c>
      <c r="J2192" s="45">
        <v>15000</v>
      </c>
      <c r="K2192" s="49" t="s">
        <v>5018</v>
      </c>
      <c r="L2192" s="45"/>
      <c r="M2192" s="3"/>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row>
    <row r="2193" spans="1:60" s="21" customFormat="1" x14ac:dyDescent="0.25">
      <c r="A2193" s="46" t="s">
        <v>5692</v>
      </c>
      <c r="B2193" s="46" t="s">
        <v>11649</v>
      </c>
      <c r="C2193" s="46" t="s">
        <v>14</v>
      </c>
      <c r="D2193" s="47">
        <v>10668</v>
      </c>
      <c r="E2193" s="46" t="s">
        <v>5693</v>
      </c>
      <c r="F2193" s="48">
        <v>41176</v>
      </c>
      <c r="G2193" s="48">
        <v>41639</v>
      </c>
      <c r="H2193" s="46" t="s">
        <v>40</v>
      </c>
      <c r="I2193" s="45">
        <f>17125+11500</f>
        <v>28625</v>
      </c>
      <c r="J2193" s="45">
        <f>5625+5750</f>
        <v>11375</v>
      </c>
      <c r="K2193" s="49" t="s">
        <v>5018</v>
      </c>
      <c r="L2193" s="45"/>
      <c r="M2193" s="3"/>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row>
    <row r="2194" spans="1:60" x14ac:dyDescent="0.25">
      <c r="A2194" s="46" t="s">
        <v>5694</v>
      </c>
      <c r="B2194" s="46" t="s">
        <v>11649</v>
      </c>
      <c r="C2194" s="46" t="s">
        <v>14</v>
      </c>
      <c r="D2194" s="47">
        <v>10669</v>
      </c>
      <c r="E2194" s="46" t="s">
        <v>5695</v>
      </c>
      <c r="F2194" s="48">
        <v>41057</v>
      </c>
      <c r="G2194" s="48">
        <v>41639</v>
      </c>
      <c r="H2194" s="46" t="s">
        <v>40</v>
      </c>
      <c r="I2194" s="45">
        <f>7800+3900</f>
        <v>11700</v>
      </c>
      <c r="J2194" s="45">
        <f>3900+3900</f>
        <v>7800</v>
      </c>
      <c r="K2194" s="49" t="s">
        <v>5018</v>
      </c>
      <c r="L2194" s="45"/>
      <c r="M2194" s="3"/>
    </row>
    <row r="2195" spans="1:60" x14ac:dyDescent="0.25">
      <c r="A2195" s="46" t="s">
        <v>5884</v>
      </c>
      <c r="B2195" s="46" t="s">
        <v>11649</v>
      </c>
      <c r="C2195" s="46" t="s">
        <v>14</v>
      </c>
      <c r="D2195" s="47">
        <v>11706</v>
      </c>
      <c r="E2195" s="46" t="s">
        <v>5885</v>
      </c>
      <c r="F2195" s="48">
        <v>40151</v>
      </c>
      <c r="G2195" s="48">
        <v>40724</v>
      </c>
      <c r="H2195" s="46" t="s">
        <v>5886</v>
      </c>
      <c r="I2195" s="45">
        <v>2795228</v>
      </c>
      <c r="J2195" s="45">
        <v>1067747</v>
      </c>
      <c r="K2195" s="49" t="s">
        <v>5815</v>
      </c>
      <c r="L2195" s="45"/>
      <c r="M2195" s="3"/>
    </row>
    <row r="2196" spans="1:60" ht="38.25" x14ac:dyDescent="0.25">
      <c r="A2196" s="46" t="s">
        <v>6066</v>
      </c>
      <c r="B2196" s="46" t="s">
        <v>11649</v>
      </c>
      <c r="C2196" s="46" t="s">
        <v>14</v>
      </c>
      <c r="D2196" s="47">
        <v>7754</v>
      </c>
      <c r="E2196" s="46" t="s">
        <v>6067</v>
      </c>
      <c r="F2196" s="48">
        <v>40259</v>
      </c>
      <c r="G2196" s="46"/>
      <c r="H2196" s="46" t="s">
        <v>40</v>
      </c>
      <c r="I2196" s="45">
        <v>24004</v>
      </c>
      <c r="J2196" s="45">
        <v>15752</v>
      </c>
      <c r="K2196" s="49" t="s">
        <v>5815</v>
      </c>
      <c r="L2196" s="45"/>
      <c r="M2196" s="3"/>
    </row>
    <row r="2197" spans="1:60" ht="38.25" x14ac:dyDescent="0.25">
      <c r="A2197" s="46" t="s">
        <v>6082</v>
      </c>
      <c r="B2197" s="46" t="s">
        <v>11649</v>
      </c>
      <c r="C2197" s="46" t="s">
        <v>14</v>
      </c>
      <c r="D2197" s="47">
        <v>7805</v>
      </c>
      <c r="E2197" s="46" t="s">
        <v>6083</v>
      </c>
      <c r="F2197" s="48">
        <v>40217</v>
      </c>
      <c r="G2197" s="46"/>
      <c r="H2197" s="46" t="s">
        <v>40</v>
      </c>
      <c r="I2197" s="45">
        <v>46254.07</v>
      </c>
      <c r="J2197" s="45">
        <v>30633.94</v>
      </c>
      <c r="K2197" s="49" t="s">
        <v>5815</v>
      </c>
      <c r="L2197" s="45"/>
      <c r="M2197" s="3"/>
    </row>
    <row r="2198" spans="1:60" ht="38.25" x14ac:dyDescent="0.25">
      <c r="A2198" s="46" t="s">
        <v>6092</v>
      </c>
      <c r="B2198" s="46" t="s">
        <v>11649</v>
      </c>
      <c r="C2198" s="46" t="s">
        <v>14</v>
      </c>
      <c r="D2198" s="47">
        <v>7815</v>
      </c>
      <c r="E2198" s="46" t="s">
        <v>6093</v>
      </c>
      <c r="F2198" s="48">
        <v>40217</v>
      </c>
      <c r="G2198" s="48">
        <v>40807</v>
      </c>
      <c r="H2198" s="46" t="s">
        <v>40</v>
      </c>
      <c r="I2198" s="45">
        <v>24255.24</v>
      </c>
      <c r="J2198" s="45">
        <v>14002.63</v>
      </c>
      <c r="K2198" s="49" t="s">
        <v>5815</v>
      </c>
      <c r="L2198" s="45"/>
      <c r="M2198" s="3"/>
    </row>
    <row r="2199" spans="1:60" ht="38.25" x14ac:dyDescent="0.25">
      <c r="A2199" s="46" t="s">
        <v>6094</v>
      </c>
      <c r="B2199" s="46" t="s">
        <v>11649</v>
      </c>
      <c r="C2199" s="46" t="s">
        <v>14</v>
      </c>
      <c r="D2199" s="47">
        <v>7817</v>
      </c>
      <c r="E2199" s="46" t="s">
        <v>6095</v>
      </c>
      <c r="F2199" s="48">
        <v>40449</v>
      </c>
      <c r="G2199" s="46"/>
      <c r="H2199" s="46" t="s">
        <v>40</v>
      </c>
      <c r="I2199" s="45">
        <v>36133.72</v>
      </c>
      <c r="J2199" s="45">
        <v>29316</v>
      </c>
      <c r="K2199" s="49" t="s">
        <v>5815</v>
      </c>
      <c r="L2199" s="45"/>
      <c r="M2199" s="3"/>
    </row>
    <row r="2200" spans="1:60" ht="38.25" x14ac:dyDescent="0.25">
      <c r="A2200" s="46" t="s">
        <v>6106</v>
      </c>
      <c r="B2200" s="46" t="s">
        <v>11649</v>
      </c>
      <c r="C2200" s="46" t="s">
        <v>14</v>
      </c>
      <c r="D2200" s="47">
        <v>8691</v>
      </c>
      <c r="E2200" s="46" t="s">
        <v>6107</v>
      </c>
      <c r="F2200" s="48">
        <v>40716</v>
      </c>
      <c r="G2200" s="48">
        <v>41088</v>
      </c>
      <c r="H2200" s="46" t="s">
        <v>40</v>
      </c>
      <c r="I2200" s="45">
        <v>19050</v>
      </c>
      <c r="J2200" s="45">
        <v>15150</v>
      </c>
      <c r="K2200" s="49" t="s">
        <v>5815</v>
      </c>
      <c r="L2200" s="45"/>
      <c r="M2200" s="3"/>
    </row>
    <row r="2201" spans="1:60" ht="25.5" x14ac:dyDescent="0.25">
      <c r="A2201" s="46" t="s">
        <v>6126</v>
      </c>
      <c r="B2201" s="46" t="s">
        <v>11649</v>
      </c>
      <c r="C2201" s="46" t="s">
        <v>14</v>
      </c>
      <c r="D2201" s="47">
        <v>8758</v>
      </c>
      <c r="E2201" s="46" t="s">
        <v>6127</v>
      </c>
      <c r="F2201" s="48">
        <v>40738</v>
      </c>
      <c r="G2201" s="48">
        <v>40991</v>
      </c>
      <c r="H2201" s="46" t="s">
        <v>40</v>
      </c>
      <c r="I2201" s="45">
        <v>17646</v>
      </c>
      <c r="J2201" s="45">
        <v>14448</v>
      </c>
      <c r="K2201" s="49" t="s">
        <v>5815</v>
      </c>
      <c r="L2201" s="45"/>
      <c r="M2201" s="3"/>
    </row>
    <row r="2202" spans="1:60" ht="38.25" x14ac:dyDescent="0.25">
      <c r="A2202" s="46" t="s">
        <v>6128</v>
      </c>
      <c r="B2202" s="46" t="s">
        <v>11649</v>
      </c>
      <c r="C2202" s="46" t="s">
        <v>14</v>
      </c>
      <c r="D2202" s="47">
        <v>8807</v>
      </c>
      <c r="E2202" s="46" t="s">
        <v>6129</v>
      </c>
      <c r="F2202" s="48">
        <v>40854</v>
      </c>
      <c r="G2202" s="48">
        <v>41088</v>
      </c>
      <c r="H2202" s="46" t="s">
        <v>40</v>
      </c>
      <c r="I2202" s="45">
        <v>44222</v>
      </c>
      <c r="J2202" s="45">
        <v>22111</v>
      </c>
      <c r="K2202" s="49" t="s">
        <v>5815</v>
      </c>
      <c r="L2202" s="45"/>
      <c r="M2202" s="3"/>
    </row>
    <row r="2203" spans="1:60" ht="25.5" x14ac:dyDescent="0.25">
      <c r="A2203" s="46" t="s">
        <v>6154</v>
      </c>
      <c r="B2203" s="46" t="s">
        <v>11649</v>
      </c>
      <c r="C2203" s="46" t="s">
        <v>14</v>
      </c>
      <c r="D2203" s="47">
        <v>10604</v>
      </c>
      <c r="E2203" s="46" t="s">
        <v>6155</v>
      </c>
      <c r="F2203" s="48">
        <v>40812</v>
      </c>
      <c r="G2203" s="48">
        <v>41171</v>
      </c>
      <c r="H2203" s="46" t="s">
        <v>40</v>
      </c>
      <c r="I2203" s="45">
        <v>18750</v>
      </c>
      <c r="J2203" s="45">
        <v>18750</v>
      </c>
      <c r="K2203" s="49" t="s">
        <v>5815</v>
      </c>
      <c r="L2203" s="45"/>
      <c r="M2203" s="3"/>
    </row>
    <row r="2204" spans="1:60" ht="25.5" x14ac:dyDescent="0.25">
      <c r="A2204" s="46" t="s">
        <v>6156</v>
      </c>
      <c r="B2204" s="46" t="s">
        <v>11649</v>
      </c>
      <c r="C2204" s="46" t="s">
        <v>14</v>
      </c>
      <c r="D2204" s="47">
        <v>10605</v>
      </c>
      <c r="E2204" s="46" t="s">
        <v>6157</v>
      </c>
      <c r="F2204" s="48">
        <v>41099</v>
      </c>
      <c r="G2204" s="48">
        <v>41254</v>
      </c>
      <c r="H2204" s="46" t="s">
        <v>40</v>
      </c>
      <c r="I2204" s="45">
        <v>13215.1</v>
      </c>
      <c r="J2204" s="45">
        <v>8482.5499999999993</v>
      </c>
      <c r="K2204" s="49" t="s">
        <v>5815</v>
      </c>
      <c r="L2204" s="45"/>
      <c r="M2204" s="3"/>
    </row>
    <row r="2205" spans="1:60" ht="25.5" x14ac:dyDescent="0.25">
      <c r="A2205" s="46" t="s">
        <v>6158</v>
      </c>
      <c r="B2205" s="46" t="s">
        <v>11649</v>
      </c>
      <c r="C2205" s="46" t="s">
        <v>14</v>
      </c>
      <c r="D2205" s="47">
        <v>10606</v>
      </c>
      <c r="E2205" s="46" t="s">
        <v>6159</v>
      </c>
      <c r="F2205" s="48">
        <v>41022</v>
      </c>
      <c r="G2205" s="46"/>
      <c r="H2205" s="46" t="s">
        <v>40</v>
      </c>
      <c r="I2205" s="45">
        <f>32150+3750</f>
        <v>35900</v>
      </c>
      <c r="J2205" s="45">
        <f>17950+3750</f>
        <v>21700</v>
      </c>
      <c r="K2205" s="49" t="s">
        <v>5815</v>
      </c>
      <c r="L2205" s="45"/>
      <c r="M2205" s="3"/>
    </row>
    <row r="2206" spans="1:60" ht="25.5" x14ac:dyDescent="0.25">
      <c r="A2206" s="46" t="s">
        <v>6160</v>
      </c>
      <c r="B2206" s="46" t="s">
        <v>11649</v>
      </c>
      <c r="C2206" s="46" t="s">
        <v>14</v>
      </c>
      <c r="D2206" s="47">
        <v>10607</v>
      </c>
      <c r="E2206" s="46" t="s">
        <v>6161</v>
      </c>
      <c r="F2206" s="48">
        <v>41099</v>
      </c>
      <c r="G2206" s="48">
        <v>41254</v>
      </c>
      <c r="H2206" s="46" t="s">
        <v>40</v>
      </c>
      <c r="I2206" s="45">
        <v>3750</v>
      </c>
      <c r="J2206" s="45">
        <v>3750</v>
      </c>
      <c r="K2206" s="49" t="s">
        <v>5815</v>
      </c>
      <c r="L2206" s="45"/>
      <c r="M2206" s="3"/>
    </row>
    <row r="2207" spans="1:60" ht="38.25" x14ac:dyDescent="0.25">
      <c r="A2207" s="46" t="s">
        <v>6162</v>
      </c>
      <c r="B2207" s="46" t="s">
        <v>11649</v>
      </c>
      <c r="C2207" s="46" t="s">
        <v>14</v>
      </c>
      <c r="D2207" s="47">
        <v>10608</v>
      </c>
      <c r="E2207" s="46" t="s">
        <v>6163</v>
      </c>
      <c r="F2207" s="48">
        <v>40938</v>
      </c>
      <c r="G2207" s="48">
        <v>41254</v>
      </c>
      <c r="H2207" s="46" t="s">
        <v>40</v>
      </c>
      <c r="I2207" s="45">
        <f>42907.66+7036.88</f>
        <v>49944.54</v>
      </c>
      <c r="J2207" s="45">
        <f>24783.6+3518.44</f>
        <v>28302.039999999997</v>
      </c>
      <c r="K2207" s="49" t="s">
        <v>5815</v>
      </c>
      <c r="L2207" s="45"/>
      <c r="M2207" s="3"/>
    </row>
    <row r="2208" spans="1:60" ht="25.5" x14ac:dyDescent="0.25">
      <c r="A2208" s="46" t="s">
        <v>6364</v>
      </c>
      <c r="B2208" s="46" t="s">
        <v>11649</v>
      </c>
      <c r="C2208" s="46" t="s">
        <v>14</v>
      </c>
      <c r="D2208" s="47">
        <v>5741</v>
      </c>
      <c r="E2208" s="46" t="s">
        <v>6365</v>
      </c>
      <c r="F2208" s="48">
        <v>40147</v>
      </c>
      <c r="G2208" s="46"/>
      <c r="H2208" s="46" t="s">
        <v>40</v>
      </c>
      <c r="I2208" s="45">
        <v>95000</v>
      </c>
      <c r="J2208" s="45">
        <v>55000</v>
      </c>
      <c r="K2208" s="49" t="s">
        <v>6182</v>
      </c>
      <c r="L2208" s="45"/>
      <c r="M2208" s="3"/>
    </row>
    <row r="2209" spans="1:13" ht="25.5" x14ac:dyDescent="0.25">
      <c r="A2209" s="46" t="s">
        <v>6479</v>
      </c>
      <c r="B2209" s="46" t="s">
        <v>11649</v>
      </c>
      <c r="C2209" s="46" t="s">
        <v>14</v>
      </c>
      <c r="D2209" s="47">
        <v>7734</v>
      </c>
      <c r="E2209" s="46" t="s">
        <v>6480</v>
      </c>
      <c r="F2209" s="48">
        <v>40518</v>
      </c>
      <c r="G2209" s="46"/>
      <c r="H2209" s="46" t="s">
        <v>40</v>
      </c>
      <c r="I2209" s="45">
        <v>64560</v>
      </c>
      <c r="J2209" s="45">
        <v>32280</v>
      </c>
      <c r="K2209" s="49" t="s">
        <v>6182</v>
      </c>
      <c r="L2209" s="45"/>
      <c r="M2209" s="3"/>
    </row>
    <row r="2210" spans="1:13" ht="25.5" x14ac:dyDescent="0.25">
      <c r="A2210" s="46" t="s">
        <v>6485</v>
      </c>
      <c r="B2210" s="46" t="s">
        <v>11649</v>
      </c>
      <c r="C2210" s="46" t="s">
        <v>14</v>
      </c>
      <c r="D2210" s="47">
        <v>7739</v>
      </c>
      <c r="E2210" s="46" t="s">
        <v>6486</v>
      </c>
      <c r="F2210" s="48">
        <v>40200</v>
      </c>
      <c r="G2210" s="46"/>
      <c r="H2210" s="46" t="s">
        <v>40</v>
      </c>
      <c r="I2210" s="45">
        <v>62500</v>
      </c>
      <c r="J2210" s="45">
        <v>25000</v>
      </c>
      <c r="K2210" s="49" t="s">
        <v>6182</v>
      </c>
      <c r="L2210" s="45"/>
      <c r="M2210" s="3"/>
    </row>
    <row r="2211" spans="1:13" ht="38.25" x14ac:dyDescent="0.25">
      <c r="A2211" s="46" t="s">
        <v>6567</v>
      </c>
      <c r="B2211" s="46" t="s">
        <v>11649</v>
      </c>
      <c r="C2211" s="46" t="s">
        <v>14</v>
      </c>
      <c r="D2211" s="47">
        <v>8969</v>
      </c>
      <c r="E2211" s="46" t="s">
        <v>6568</v>
      </c>
      <c r="F2211" s="48">
        <v>40631</v>
      </c>
      <c r="G2211" s="46"/>
      <c r="H2211" s="46" t="s">
        <v>40</v>
      </c>
      <c r="I2211" s="45">
        <v>15000</v>
      </c>
      <c r="J2211" s="45">
        <v>15000</v>
      </c>
      <c r="K2211" s="49" t="s">
        <v>6182</v>
      </c>
      <c r="L2211" s="45"/>
      <c r="M2211" s="3"/>
    </row>
    <row r="2212" spans="1:13" ht="25.5" x14ac:dyDescent="0.25">
      <c r="A2212" s="46" t="s">
        <v>6571</v>
      </c>
      <c r="B2212" s="46" t="s">
        <v>11649</v>
      </c>
      <c r="C2212" s="46" t="s">
        <v>14</v>
      </c>
      <c r="D2212" s="47">
        <v>8986</v>
      </c>
      <c r="E2212" s="46" t="s">
        <v>6572</v>
      </c>
      <c r="F2212" s="48">
        <v>40630</v>
      </c>
      <c r="G2212" s="46"/>
      <c r="H2212" s="46" t="s">
        <v>40</v>
      </c>
      <c r="I2212" s="45">
        <v>37000</v>
      </c>
      <c r="J2212" s="45">
        <v>21000</v>
      </c>
      <c r="K2212" s="37" t="s">
        <v>6182</v>
      </c>
      <c r="L2212" s="45"/>
      <c r="M2212" s="3"/>
    </row>
    <row r="2213" spans="1:13" ht="25.5" x14ac:dyDescent="0.25">
      <c r="A2213" s="46" t="s">
        <v>6573</v>
      </c>
      <c r="B2213" s="46" t="s">
        <v>11649</v>
      </c>
      <c r="C2213" s="46" t="s">
        <v>14</v>
      </c>
      <c r="D2213" s="47">
        <v>8989</v>
      </c>
      <c r="E2213" s="46" t="s">
        <v>6574</v>
      </c>
      <c r="F2213" s="48">
        <v>40259</v>
      </c>
      <c r="G2213" s="48">
        <v>41639</v>
      </c>
      <c r="H2213" s="46" t="s">
        <v>40</v>
      </c>
      <c r="I2213" s="45">
        <f>6750+3750</f>
        <v>10500</v>
      </c>
      <c r="J2213" s="45">
        <f>3000+3750</f>
        <v>6750</v>
      </c>
      <c r="K2213" s="37" t="s">
        <v>6182</v>
      </c>
      <c r="L2213" s="45"/>
      <c r="M2213" s="3"/>
    </row>
    <row r="2214" spans="1:13" ht="25.5" x14ac:dyDescent="0.25">
      <c r="A2214" s="46" t="s">
        <v>6575</v>
      </c>
      <c r="B2214" s="46" t="s">
        <v>11649</v>
      </c>
      <c r="C2214" s="46" t="s">
        <v>14</v>
      </c>
      <c r="D2214" s="47">
        <v>8990</v>
      </c>
      <c r="E2214" s="46" t="s">
        <v>6576</v>
      </c>
      <c r="F2214" s="48">
        <v>40840</v>
      </c>
      <c r="G2214" s="46"/>
      <c r="H2214" s="46" t="s">
        <v>40</v>
      </c>
      <c r="I2214" s="45">
        <v>36042</v>
      </c>
      <c r="J2214" s="45">
        <v>18021</v>
      </c>
      <c r="K2214" s="37" t="s">
        <v>6182</v>
      </c>
      <c r="L2214" s="45"/>
      <c r="M2214" s="3"/>
    </row>
    <row r="2215" spans="1:13" ht="25.5" x14ac:dyDescent="0.25">
      <c r="A2215" s="46" t="s">
        <v>6581</v>
      </c>
      <c r="B2215" s="46" t="s">
        <v>11649</v>
      </c>
      <c r="C2215" s="46" t="s">
        <v>14</v>
      </c>
      <c r="D2215" s="47">
        <v>8994</v>
      </c>
      <c r="E2215" s="46" t="s">
        <v>6582</v>
      </c>
      <c r="F2215" s="48">
        <v>40478</v>
      </c>
      <c r="G2215" s="46"/>
      <c r="H2215" s="46" t="s">
        <v>40</v>
      </c>
      <c r="I2215" s="45">
        <f>75504+29704</f>
        <v>105208</v>
      </c>
      <c r="J2215" s="45">
        <f>30400+14852</f>
        <v>45252</v>
      </c>
      <c r="K2215" s="37" t="s">
        <v>6182</v>
      </c>
      <c r="L2215" s="45"/>
      <c r="M2215" s="3"/>
    </row>
    <row r="2216" spans="1:13" ht="51" x14ac:dyDescent="0.25">
      <c r="A2216" s="46" t="s">
        <v>6588</v>
      </c>
      <c r="B2216" s="46" t="s">
        <v>11649</v>
      </c>
      <c r="C2216" s="46" t="s">
        <v>14</v>
      </c>
      <c r="D2216" s="47">
        <v>9000</v>
      </c>
      <c r="E2216" s="50" t="s">
        <v>6589</v>
      </c>
      <c r="F2216" s="48">
        <v>40840</v>
      </c>
      <c r="G2216" s="46"/>
      <c r="H2216" s="46" t="s">
        <v>40</v>
      </c>
      <c r="I2216" s="45">
        <v>27706</v>
      </c>
      <c r="J2216" s="45">
        <v>17603</v>
      </c>
      <c r="K2216" s="37" t="s">
        <v>6182</v>
      </c>
      <c r="L2216" s="45"/>
      <c r="M2216" s="3"/>
    </row>
    <row r="2217" spans="1:13" ht="25.5" x14ac:dyDescent="0.25">
      <c r="A2217" s="46" t="s">
        <v>6594</v>
      </c>
      <c r="B2217" s="46" t="s">
        <v>11649</v>
      </c>
      <c r="C2217" s="46" t="s">
        <v>14</v>
      </c>
      <c r="D2217" s="47">
        <v>9004</v>
      </c>
      <c r="E2217" s="46" t="s">
        <v>6595</v>
      </c>
      <c r="F2217" s="48">
        <v>40686</v>
      </c>
      <c r="G2217" s="46"/>
      <c r="H2217" s="46" t="s">
        <v>40</v>
      </c>
      <c r="I2217" s="45">
        <v>10180</v>
      </c>
      <c r="J2217" s="45">
        <v>7565</v>
      </c>
      <c r="K2217" s="37" t="s">
        <v>6182</v>
      </c>
      <c r="L2217" s="45"/>
      <c r="M2217" s="3"/>
    </row>
    <row r="2218" spans="1:13" ht="25.5" x14ac:dyDescent="0.25">
      <c r="A2218" s="46" t="s">
        <v>6605</v>
      </c>
      <c r="B2218" s="46" t="s">
        <v>11649</v>
      </c>
      <c r="C2218" s="46" t="s">
        <v>14</v>
      </c>
      <c r="D2218" s="47">
        <v>9010</v>
      </c>
      <c r="E2218" s="46" t="s">
        <v>6606</v>
      </c>
      <c r="F2218" s="48">
        <v>40749</v>
      </c>
      <c r="G2218" s="46"/>
      <c r="H2218" s="46" t="s">
        <v>40</v>
      </c>
      <c r="I2218" s="45">
        <v>3750</v>
      </c>
      <c r="J2218" s="45">
        <v>3750</v>
      </c>
      <c r="K2218" s="37" t="s">
        <v>6182</v>
      </c>
      <c r="L2218" s="45"/>
      <c r="M2218" s="3"/>
    </row>
    <row r="2219" spans="1:13" x14ac:dyDescent="0.25">
      <c r="A2219" s="46" t="s">
        <v>6479</v>
      </c>
      <c r="B2219" s="46" t="s">
        <v>11649</v>
      </c>
      <c r="C2219" s="46" t="s">
        <v>14</v>
      </c>
      <c r="D2219" s="47">
        <v>11093</v>
      </c>
      <c r="E2219" s="46" t="s">
        <v>6363</v>
      </c>
      <c r="F2219" s="48">
        <v>40941</v>
      </c>
      <c r="G2219" s="48">
        <v>41051</v>
      </c>
      <c r="H2219" s="46" t="s">
        <v>40</v>
      </c>
      <c r="I2219" s="45">
        <v>67300</v>
      </c>
      <c r="J2219" s="45">
        <v>33650</v>
      </c>
      <c r="K2219" s="37" t="s">
        <v>6182</v>
      </c>
      <c r="L2219" s="45"/>
      <c r="M2219" s="3"/>
    </row>
    <row r="2220" spans="1:13" ht="25.5" x14ac:dyDescent="0.25">
      <c r="A2220" s="46" t="s">
        <v>6693</v>
      </c>
      <c r="B2220" s="46" t="s">
        <v>11649</v>
      </c>
      <c r="C2220" s="46" t="s">
        <v>14</v>
      </c>
      <c r="D2220" s="47">
        <v>11095</v>
      </c>
      <c r="E2220" s="46" t="s">
        <v>6606</v>
      </c>
      <c r="F2220" s="48">
        <v>40750</v>
      </c>
      <c r="G2220" s="48">
        <v>41114</v>
      </c>
      <c r="H2220" s="46" t="s">
        <v>40</v>
      </c>
      <c r="I2220" s="45">
        <v>18750</v>
      </c>
      <c r="J2220" s="45">
        <v>18750</v>
      </c>
      <c r="K2220" s="37" t="s">
        <v>6182</v>
      </c>
      <c r="L2220" s="45"/>
      <c r="M2220" s="3"/>
    </row>
    <row r="2221" spans="1:13" ht="25.5" x14ac:dyDescent="0.25">
      <c r="A2221" s="46" t="s">
        <v>6694</v>
      </c>
      <c r="B2221" s="46" t="s">
        <v>11649</v>
      </c>
      <c r="C2221" s="46" t="s">
        <v>14</v>
      </c>
      <c r="D2221" s="47">
        <v>11096</v>
      </c>
      <c r="E2221" s="46" t="s">
        <v>6695</v>
      </c>
      <c r="F2221" s="48">
        <v>40688</v>
      </c>
      <c r="G2221" s="48">
        <v>41148</v>
      </c>
      <c r="H2221" s="46" t="s">
        <v>40</v>
      </c>
      <c r="I2221" s="45">
        <v>6750</v>
      </c>
      <c r="J2221" s="45">
        <v>6750</v>
      </c>
      <c r="K2221" s="37" t="s">
        <v>6182</v>
      </c>
      <c r="L2221" s="45"/>
      <c r="M2221" s="3"/>
    </row>
    <row r="2222" spans="1:13" ht="38.25" x14ac:dyDescent="0.25">
      <c r="A2222" s="46" t="s">
        <v>6704</v>
      </c>
      <c r="B2222" s="46" t="s">
        <v>11649</v>
      </c>
      <c r="C2222" s="46" t="s">
        <v>14</v>
      </c>
      <c r="D2222" s="47">
        <v>11103</v>
      </c>
      <c r="E2222" s="46" t="s">
        <v>6705</v>
      </c>
      <c r="F2222" s="48">
        <v>40819</v>
      </c>
      <c r="G2222" s="48">
        <v>40940</v>
      </c>
      <c r="H2222" s="46" t="s">
        <v>40</v>
      </c>
      <c r="I2222" s="45">
        <v>5974</v>
      </c>
      <c r="J2222" s="45">
        <v>2987</v>
      </c>
      <c r="K2222" s="37" t="s">
        <v>6182</v>
      </c>
      <c r="L2222" s="45"/>
      <c r="M2222" s="3"/>
    </row>
    <row r="2223" spans="1:13" x14ac:dyDescent="0.25">
      <c r="A2223" s="46" t="s">
        <v>6706</v>
      </c>
      <c r="B2223" s="46" t="s">
        <v>11649</v>
      </c>
      <c r="C2223" s="46" t="s">
        <v>14</v>
      </c>
      <c r="D2223" s="47">
        <v>11104</v>
      </c>
      <c r="E2223" s="46" t="s">
        <v>6707</v>
      </c>
      <c r="F2223" s="48">
        <v>40708</v>
      </c>
      <c r="G2223" s="46"/>
      <c r="H2223" s="46" t="s">
        <v>40</v>
      </c>
      <c r="I2223" s="45">
        <v>15000</v>
      </c>
      <c r="J2223" s="45">
        <v>15000</v>
      </c>
      <c r="K2223" s="37" t="s">
        <v>6182</v>
      </c>
      <c r="L2223" s="45"/>
      <c r="M2223" s="3"/>
    </row>
    <row r="2224" spans="1:13" x14ac:dyDescent="0.25">
      <c r="A2224" s="46" t="s">
        <v>6708</v>
      </c>
      <c r="B2224" s="46" t="s">
        <v>11649</v>
      </c>
      <c r="C2224" s="46" t="s">
        <v>14</v>
      </c>
      <c r="D2224" s="47">
        <v>11105</v>
      </c>
      <c r="E2224" s="46" t="s">
        <v>6709</v>
      </c>
      <c r="F2224" s="48">
        <v>40841</v>
      </c>
      <c r="G2224" s="48">
        <v>41057</v>
      </c>
      <c r="H2224" s="46" t="s">
        <v>40</v>
      </c>
      <c r="I2224" s="45">
        <v>89446</v>
      </c>
      <c r="J2224" s="45">
        <v>44723</v>
      </c>
      <c r="K2224" s="37" t="s">
        <v>6182</v>
      </c>
      <c r="L2224" s="45"/>
      <c r="M2224" s="3"/>
    </row>
    <row r="2225" spans="1:13" x14ac:dyDescent="0.25">
      <c r="A2225" s="46" t="s">
        <v>6710</v>
      </c>
      <c r="B2225" s="46" t="s">
        <v>11649</v>
      </c>
      <c r="C2225" s="46" t="s">
        <v>14</v>
      </c>
      <c r="D2225" s="47">
        <v>11106</v>
      </c>
      <c r="E2225" s="46" t="s">
        <v>6711</v>
      </c>
      <c r="F2225" s="48">
        <v>40568</v>
      </c>
      <c r="G2225" s="48">
        <v>40914</v>
      </c>
      <c r="H2225" s="46" t="s">
        <v>40</v>
      </c>
      <c r="I2225" s="45">
        <v>13000</v>
      </c>
      <c r="J2225" s="45">
        <v>6500</v>
      </c>
      <c r="K2225" s="37" t="s">
        <v>6182</v>
      </c>
      <c r="L2225" s="46"/>
    </row>
    <row r="2226" spans="1:13" ht="38.25" x14ac:dyDescent="0.25">
      <c r="A2226" s="46" t="s">
        <v>6716</v>
      </c>
      <c r="B2226" s="46" t="s">
        <v>11649</v>
      </c>
      <c r="C2226" s="46" t="s">
        <v>14</v>
      </c>
      <c r="D2226" s="47">
        <v>11223</v>
      </c>
      <c r="E2226" s="46" t="s">
        <v>6568</v>
      </c>
      <c r="F2226" s="46"/>
      <c r="G2226" s="48">
        <v>41051</v>
      </c>
      <c r="H2226" s="46" t="s">
        <v>40</v>
      </c>
      <c r="I2226" s="45">
        <v>15000</v>
      </c>
      <c r="J2226" s="45">
        <v>15000</v>
      </c>
      <c r="K2226" s="37" t="s">
        <v>6182</v>
      </c>
      <c r="L2226" s="45"/>
      <c r="M2226" s="3"/>
    </row>
    <row r="2227" spans="1:13" ht="76.5" x14ac:dyDescent="0.25">
      <c r="A2227" s="46" t="s">
        <v>6951</v>
      </c>
      <c r="B2227" s="46" t="s">
        <v>11649</v>
      </c>
      <c r="C2227" s="46" t="s">
        <v>14</v>
      </c>
      <c r="D2227" s="47">
        <v>7115</v>
      </c>
      <c r="E2227" s="50" t="s">
        <v>6952</v>
      </c>
      <c r="F2227" s="48">
        <v>40179</v>
      </c>
      <c r="G2227" s="48">
        <v>40543</v>
      </c>
      <c r="H2227" s="46" t="s">
        <v>40</v>
      </c>
      <c r="I2227" s="45">
        <v>160000</v>
      </c>
      <c r="J2227" s="45">
        <v>80000</v>
      </c>
      <c r="K2227" s="37" t="s">
        <v>6720</v>
      </c>
      <c r="L2227" s="45"/>
      <c r="M2227" s="3"/>
    </row>
    <row r="2228" spans="1:13" ht="63.75" x14ac:dyDescent="0.25">
      <c r="A2228" s="46" t="s">
        <v>6953</v>
      </c>
      <c r="B2228" s="46" t="s">
        <v>11649</v>
      </c>
      <c r="C2228" s="46" t="s">
        <v>14</v>
      </c>
      <c r="D2228" s="47">
        <v>7116</v>
      </c>
      <c r="E2228" s="50" t="s">
        <v>6954</v>
      </c>
      <c r="F2228" s="48">
        <v>40179</v>
      </c>
      <c r="G2228" s="46"/>
      <c r="H2228" s="46" t="s">
        <v>40</v>
      </c>
      <c r="I2228" s="45">
        <f>16000+5000</f>
        <v>21000</v>
      </c>
      <c r="J2228" s="45">
        <f>11000+5000</f>
        <v>16000</v>
      </c>
      <c r="K2228" s="37" t="s">
        <v>6720</v>
      </c>
      <c r="L2228" s="45"/>
      <c r="M2228" s="3"/>
    </row>
    <row r="2229" spans="1:13" ht="25.5" x14ac:dyDescent="0.25">
      <c r="A2229" s="46" t="s">
        <v>6963</v>
      </c>
      <c r="B2229" s="46" t="s">
        <v>11649</v>
      </c>
      <c r="C2229" s="46" t="s">
        <v>14</v>
      </c>
      <c r="D2229" s="47">
        <v>7121</v>
      </c>
      <c r="E2229" s="46" t="s">
        <v>6964</v>
      </c>
      <c r="F2229" s="48">
        <v>40448</v>
      </c>
      <c r="G2229" s="48">
        <v>40908</v>
      </c>
      <c r="H2229" s="46" t="s">
        <v>40</v>
      </c>
      <c r="I2229" s="45">
        <v>3750</v>
      </c>
      <c r="J2229" s="45">
        <v>3750</v>
      </c>
      <c r="K2229" s="37" t="s">
        <v>6720</v>
      </c>
      <c r="L2229" s="45"/>
      <c r="M2229" s="3"/>
    </row>
    <row r="2230" spans="1:13" ht="25.5" x14ac:dyDescent="0.25">
      <c r="A2230" s="46" t="s">
        <v>6975</v>
      </c>
      <c r="B2230" s="46" t="s">
        <v>11649</v>
      </c>
      <c r="C2230" s="46" t="s">
        <v>14</v>
      </c>
      <c r="D2230" s="47">
        <v>7127</v>
      </c>
      <c r="E2230" s="46" t="s">
        <v>6976</v>
      </c>
      <c r="F2230" s="48">
        <v>40231</v>
      </c>
      <c r="G2230" s="48">
        <v>40543</v>
      </c>
      <c r="H2230" s="46" t="s">
        <v>40</v>
      </c>
      <c r="I2230" s="45">
        <v>36000</v>
      </c>
      <c r="J2230" s="45">
        <v>36000</v>
      </c>
      <c r="K2230" s="37" t="s">
        <v>6720</v>
      </c>
      <c r="L2230" s="45"/>
      <c r="M2230" s="3"/>
    </row>
    <row r="2231" spans="1:13" ht="25.5" x14ac:dyDescent="0.25">
      <c r="A2231" s="46" t="s">
        <v>6979</v>
      </c>
      <c r="B2231" s="46" t="s">
        <v>11649</v>
      </c>
      <c r="C2231" s="46" t="s">
        <v>14</v>
      </c>
      <c r="D2231" s="47">
        <v>7130</v>
      </c>
      <c r="E2231" s="46" t="s">
        <v>6980</v>
      </c>
      <c r="F2231" s="48">
        <v>40357</v>
      </c>
      <c r="G2231" s="46"/>
      <c r="H2231" s="46" t="s">
        <v>40</v>
      </c>
      <c r="I2231" s="45">
        <v>36000</v>
      </c>
      <c r="J2231" s="45">
        <v>18000</v>
      </c>
      <c r="K2231" s="37" t="s">
        <v>6720</v>
      </c>
      <c r="L2231" s="45"/>
      <c r="M2231" s="3"/>
    </row>
    <row r="2232" spans="1:13" x14ac:dyDescent="0.25">
      <c r="A2232" s="46" t="s">
        <v>6987</v>
      </c>
      <c r="B2232" s="46" t="s">
        <v>11649</v>
      </c>
      <c r="C2232" s="46" t="s">
        <v>14</v>
      </c>
      <c r="D2232" s="47">
        <v>7134</v>
      </c>
      <c r="E2232" s="46" t="s">
        <v>6988</v>
      </c>
      <c r="F2232" s="48">
        <v>40504</v>
      </c>
      <c r="G2232" s="48">
        <v>40869</v>
      </c>
      <c r="H2232" s="46" t="s">
        <v>40</v>
      </c>
      <c r="I2232" s="45">
        <v>5000</v>
      </c>
      <c r="J2232" s="45">
        <v>5000</v>
      </c>
      <c r="K2232" s="37" t="s">
        <v>6720</v>
      </c>
      <c r="L2232" s="45"/>
      <c r="M2232" s="3"/>
    </row>
    <row r="2233" spans="1:13" ht="25.5" x14ac:dyDescent="0.25">
      <c r="A2233" s="46" t="s">
        <v>6991</v>
      </c>
      <c r="B2233" s="46" t="s">
        <v>11649</v>
      </c>
      <c r="C2233" s="46" t="s">
        <v>14</v>
      </c>
      <c r="D2233" s="47">
        <v>7136</v>
      </c>
      <c r="E2233" s="46" t="s">
        <v>6992</v>
      </c>
      <c r="F2233" s="48">
        <v>40504</v>
      </c>
      <c r="G2233" s="46"/>
      <c r="H2233" s="46" t="s">
        <v>40</v>
      </c>
      <c r="I2233" s="45">
        <v>12320</v>
      </c>
      <c r="J2233" s="45">
        <v>8410</v>
      </c>
      <c r="K2233" s="37" t="s">
        <v>6720</v>
      </c>
      <c r="L2233" s="45"/>
      <c r="M2233" s="3"/>
    </row>
    <row r="2234" spans="1:13" x14ac:dyDescent="0.25">
      <c r="A2234" s="46" t="s">
        <v>7007</v>
      </c>
      <c r="B2234" s="46" t="s">
        <v>11649</v>
      </c>
      <c r="C2234" s="46" t="s">
        <v>14</v>
      </c>
      <c r="D2234" s="47">
        <v>8919</v>
      </c>
      <c r="E2234" s="46" t="s">
        <v>7008</v>
      </c>
      <c r="F2234" s="48">
        <v>40630</v>
      </c>
      <c r="G2234" s="48">
        <v>40908</v>
      </c>
      <c r="H2234" s="46" t="s">
        <v>40</v>
      </c>
      <c r="I2234" s="45">
        <v>96500</v>
      </c>
      <c r="J2234" s="45">
        <v>48250</v>
      </c>
      <c r="K2234" s="37" t="s">
        <v>6720</v>
      </c>
      <c r="L2234" s="45"/>
      <c r="M2234" s="3"/>
    </row>
    <row r="2235" spans="1:13" x14ac:dyDescent="0.25">
      <c r="A2235" s="46" t="s">
        <v>7009</v>
      </c>
      <c r="B2235" s="46" t="s">
        <v>11649</v>
      </c>
      <c r="C2235" s="46" t="s">
        <v>14</v>
      </c>
      <c r="D2235" s="47">
        <v>8928</v>
      </c>
      <c r="E2235" s="46" t="s">
        <v>7010</v>
      </c>
      <c r="F2235" s="48">
        <v>40448</v>
      </c>
      <c r="G2235" s="46"/>
      <c r="H2235" s="46" t="s">
        <v>40</v>
      </c>
      <c r="I2235" s="45">
        <v>5000</v>
      </c>
      <c r="J2235" s="45">
        <v>5000</v>
      </c>
      <c r="K2235" s="37" t="s">
        <v>6720</v>
      </c>
      <c r="L2235" s="45"/>
      <c r="M2235" s="3"/>
    </row>
    <row r="2236" spans="1:13" ht="25.5" x14ac:dyDescent="0.25">
      <c r="A2236" s="46" t="s">
        <v>7030</v>
      </c>
      <c r="B2236" s="46" t="s">
        <v>11649</v>
      </c>
      <c r="C2236" s="46" t="s">
        <v>14</v>
      </c>
      <c r="D2236" s="47">
        <v>8949</v>
      </c>
      <c r="E2236" s="46" t="s">
        <v>7031</v>
      </c>
      <c r="F2236" s="48">
        <v>40527</v>
      </c>
      <c r="G2236" s="46"/>
      <c r="H2236" s="46" t="s">
        <v>40</v>
      </c>
      <c r="I2236" s="45">
        <v>50000</v>
      </c>
      <c r="J2236" s="45">
        <v>50000</v>
      </c>
      <c r="K2236" s="37" t="s">
        <v>6720</v>
      </c>
      <c r="L2236" s="45"/>
      <c r="M2236" s="3"/>
    </row>
    <row r="2237" spans="1:13" ht="38.25" x14ac:dyDescent="0.25">
      <c r="A2237" s="46" t="s">
        <v>6987</v>
      </c>
      <c r="B2237" s="46" t="s">
        <v>11649</v>
      </c>
      <c r="C2237" s="46" t="s">
        <v>14</v>
      </c>
      <c r="D2237" s="47">
        <v>8960</v>
      </c>
      <c r="E2237" s="50" t="s">
        <v>6986</v>
      </c>
      <c r="F2237" s="48">
        <v>40602</v>
      </c>
      <c r="G2237" s="46"/>
      <c r="H2237" s="46" t="s">
        <v>40</v>
      </c>
      <c r="I2237" s="45">
        <v>7500</v>
      </c>
      <c r="J2237" s="45">
        <v>7500</v>
      </c>
      <c r="K2237" s="37" t="s">
        <v>6720</v>
      </c>
      <c r="L2237" s="45"/>
      <c r="M2237" s="3"/>
    </row>
    <row r="2238" spans="1:13" x14ac:dyDescent="0.25">
      <c r="A2238" s="46" t="s">
        <v>7074</v>
      </c>
      <c r="B2238" s="46" t="s">
        <v>11649</v>
      </c>
      <c r="C2238" s="46" t="s">
        <v>14</v>
      </c>
      <c r="D2238" s="47">
        <v>10891</v>
      </c>
      <c r="E2238" s="46" t="s">
        <v>7075</v>
      </c>
      <c r="F2238" s="48">
        <v>40959</v>
      </c>
      <c r="G2238" s="46"/>
      <c r="H2238" s="46" t="s">
        <v>40</v>
      </c>
      <c r="I2238" s="45">
        <v>3000</v>
      </c>
      <c r="J2238" s="45">
        <v>3000</v>
      </c>
      <c r="K2238" s="37" t="s">
        <v>6720</v>
      </c>
      <c r="L2238" s="45"/>
      <c r="M2238" s="3"/>
    </row>
    <row r="2239" spans="1:13" ht="25.5" x14ac:dyDescent="0.25">
      <c r="A2239" s="46" t="s">
        <v>7030</v>
      </c>
      <c r="B2239" s="46" t="s">
        <v>11649</v>
      </c>
      <c r="C2239" s="46" t="s">
        <v>14</v>
      </c>
      <c r="D2239" s="47">
        <v>10896</v>
      </c>
      <c r="E2239" s="46" t="s">
        <v>7084</v>
      </c>
      <c r="F2239" s="48">
        <v>41178</v>
      </c>
      <c r="G2239" s="46"/>
      <c r="H2239" s="46" t="s">
        <v>40</v>
      </c>
      <c r="I2239" s="45">
        <v>30000</v>
      </c>
      <c r="J2239" s="45">
        <v>15000</v>
      </c>
      <c r="K2239" s="37" t="s">
        <v>6720</v>
      </c>
      <c r="L2239" s="45"/>
      <c r="M2239" s="3"/>
    </row>
    <row r="2240" spans="1:13" ht="38.25" x14ac:dyDescent="0.25">
      <c r="A2240" s="46" t="s">
        <v>7085</v>
      </c>
      <c r="B2240" s="46" t="s">
        <v>11649</v>
      </c>
      <c r="C2240" s="46" t="s">
        <v>14</v>
      </c>
      <c r="D2240" s="47">
        <v>10897</v>
      </c>
      <c r="E2240" s="50" t="s">
        <v>7086</v>
      </c>
      <c r="F2240" s="48">
        <v>41178</v>
      </c>
      <c r="G2240" s="46"/>
      <c r="H2240" s="46" t="s">
        <v>40</v>
      </c>
      <c r="I2240" s="45">
        <v>19117</v>
      </c>
      <c r="J2240" s="45">
        <v>6500</v>
      </c>
      <c r="K2240" s="37" t="s">
        <v>6720</v>
      </c>
      <c r="L2240" s="45"/>
      <c r="M2240" s="3"/>
    </row>
    <row r="2241" spans="1:13" ht="25.5" x14ac:dyDescent="0.25">
      <c r="A2241" s="46" t="s">
        <v>7301</v>
      </c>
      <c r="B2241" s="46" t="s">
        <v>11649</v>
      </c>
      <c r="C2241" s="46" t="s">
        <v>14</v>
      </c>
      <c r="D2241" s="47">
        <v>7532</v>
      </c>
      <c r="E2241" s="46" t="s">
        <v>7302</v>
      </c>
      <c r="F2241" s="48">
        <v>40435</v>
      </c>
      <c r="G2241" s="48">
        <v>40533</v>
      </c>
      <c r="H2241" s="46" t="s">
        <v>40</v>
      </c>
      <c r="I2241" s="45">
        <v>22100</v>
      </c>
      <c r="J2241" s="45">
        <v>11050</v>
      </c>
      <c r="K2241" s="37" t="s">
        <v>7102</v>
      </c>
      <c r="L2241" s="45"/>
      <c r="M2241" s="3"/>
    </row>
    <row r="2242" spans="1:13" ht="25.5" x14ac:dyDescent="0.25">
      <c r="A2242" s="46" t="s">
        <v>7335</v>
      </c>
      <c r="B2242" s="46" t="s">
        <v>11649</v>
      </c>
      <c r="C2242" s="46" t="s">
        <v>14</v>
      </c>
      <c r="D2242" s="47">
        <v>7549</v>
      </c>
      <c r="E2242" s="46" t="s">
        <v>7336</v>
      </c>
      <c r="F2242" s="48">
        <v>40330</v>
      </c>
      <c r="G2242" s="48">
        <v>40378</v>
      </c>
      <c r="H2242" s="46" t="s">
        <v>40</v>
      </c>
      <c r="I2242" s="45">
        <v>1900</v>
      </c>
      <c r="J2242" s="45">
        <v>950</v>
      </c>
      <c r="K2242" s="37" t="s">
        <v>7102</v>
      </c>
      <c r="L2242" s="45"/>
      <c r="M2242" s="3"/>
    </row>
    <row r="2243" spans="1:13" ht="25.5" x14ac:dyDescent="0.25">
      <c r="A2243" s="46" t="s">
        <v>7343</v>
      </c>
      <c r="B2243" s="46" t="s">
        <v>11649</v>
      </c>
      <c r="C2243" s="46" t="s">
        <v>14</v>
      </c>
      <c r="D2243" s="47">
        <v>8855</v>
      </c>
      <c r="E2243" s="46" t="s">
        <v>7344</v>
      </c>
      <c r="F2243" s="48">
        <v>40561</v>
      </c>
      <c r="G2243" s="48">
        <v>40861</v>
      </c>
      <c r="H2243" s="46" t="s">
        <v>40</v>
      </c>
      <c r="I2243" s="45">
        <v>25860</v>
      </c>
      <c r="J2243" s="45">
        <v>12930</v>
      </c>
      <c r="K2243" s="37" t="s">
        <v>7102</v>
      </c>
      <c r="L2243" s="45"/>
      <c r="M2243" s="3"/>
    </row>
    <row r="2244" spans="1:13" ht="25.5" x14ac:dyDescent="0.25">
      <c r="A2244" s="46" t="s">
        <v>7347</v>
      </c>
      <c r="B2244" s="46" t="s">
        <v>11649</v>
      </c>
      <c r="C2244" s="46" t="s">
        <v>14</v>
      </c>
      <c r="D2244" s="47">
        <v>8858</v>
      </c>
      <c r="E2244" s="46" t="s">
        <v>7348</v>
      </c>
      <c r="F2244" s="48">
        <v>40330</v>
      </c>
      <c r="G2244" s="48">
        <v>40617</v>
      </c>
      <c r="H2244" s="46" t="s">
        <v>40</v>
      </c>
      <c r="I2244" s="45">
        <v>25482</v>
      </c>
      <c r="J2244" s="45">
        <v>12741</v>
      </c>
      <c r="K2244" s="37" t="s">
        <v>7102</v>
      </c>
      <c r="L2244" s="45"/>
      <c r="M2244" s="3"/>
    </row>
    <row r="2245" spans="1:13" ht="25.5" x14ac:dyDescent="0.25">
      <c r="A2245" s="46" t="s">
        <v>7351</v>
      </c>
      <c r="B2245" s="46" t="s">
        <v>11649</v>
      </c>
      <c r="C2245" s="46" t="s">
        <v>14</v>
      </c>
      <c r="D2245" s="47">
        <v>8862</v>
      </c>
      <c r="E2245" s="46" t="s">
        <v>7352</v>
      </c>
      <c r="F2245" s="48">
        <v>40680</v>
      </c>
      <c r="G2245" s="48">
        <v>40842</v>
      </c>
      <c r="H2245" s="46" t="s">
        <v>40</v>
      </c>
      <c r="I2245" s="45">
        <v>4300</v>
      </c>
      <c r="J2245" s="45">
        <v>2150</v>
      </c>
      <c r="K2245" s="37" t="s">
        <v>7102</v>
      </c>
      <c r="L2245" s="45"/>
      <c r="M2245" s="3"/>
    </row>
    <row r="2246" spans="1:13" x14ac:dyDescent="0.25">
      <c r="A2246" s="46" t="s">
        <v>7355</v>
      </c>
      <c r="B2246" s="46" t="s">
        <v>11649</v>
      </c>
      <c r="C2246" s="46" t="s">
        <v>14</v>
      </c>
      <c r="D2246" s="47">
        <v>8864</v>
      </c>
      <c r="E2246" s="46" t="s">
        <v>7356</v>
      </c>
      <c r="F2246" s="48">
        <v>40799</v>
      </c>
      <c r="G2246" s="48">
        <v>40870</v>
      </c>
      <c r="H2246" s="46" t="s">
        <v>40</v>
      </c>
      <c r="I2246" s="45">
        <v>20000</v>
      </c>
      <c r="J2246" s="45">
        <v>10000</v>
      </c>
      <c r="K2246" s="37" t="s">
        <v>7102</v>
      </c>
      <c r="L2246" s="45"/>
      <c r="M2246" s="3"/>
    </row>
    <row r="2247" spans="1:13" ht="38.25" x14ac:dyDescent="0.25">
      <c r="A2247" s="46" t="s">
        <v>7357</v>
      </c>
      <c r="B2247" s="46" t="s">
        <v>11649</v>
      </c>
      <c r="C2247" s="46" t="s">
        <v>14</v>
      </c>
      <c r="D2247" s="47">
        <v>8865</v>
      </c>
      <c r="E2247" s="46" t="s">
        <v>7358</v>
      </c>
      <c r="F2247" s="48">
        <v>40610</v>
      </c>
      <c r="G2247" s="48">
        <v>40897</v>
      </c>
      <c r="H2247" s="46" t="s">
        <v>40</v>
      </c>
      <c r="I2247" s="45">
        <v>34790</v>
      </c>
      <c r="J2247" s="45">
        <v>17395</v>
      </c>
      <c r="K2247" s="37" t="s">
        <v>7102</v>
      </c>
      <c r="L2247" s="45"/>
      <c r="M2247" s="3"/>
    </row>
    <row r="2248" spans="1:13" ht="25.5" x14ac:dyDescent="0.25">
      <c r="A2248" s="46" t="s">
        <v>7361</v>
      </c>
      <c r="B2248" s="46" t="s">
        <v>11649</v>
      </c>
      <c r="C2248" s="46" t="s">
        <v>14</v>
      </c>
      <c r="D2248" s="47">
        <v>8868</v>
      </c>
      <c r="E2248" s="46" t="s">
        <v>7362</v>
      </c>
      <c r="F2248" s="48">
        <v>40711</v>
      </c>
      <c r="G2248" s="48">
        <v>40722</v>
      </c>
      <c r="H2248" s="46" t="s">
        <v>40</v>
      </c>
      <c r="I2248" s="45">
        <v>15000</v>
      </c>
      <c r="J2248" s="45">
        <v>7500</v>
      </c>
      <c r="K2248" s="37" t="s">
        <v>7102</v>
      </c>
      <c r="L2248" s="45"/>
      <c r="M2248" s="3"/>
    </row>
    <row r="2249" spans="1:13" ht="38.25" x14ac:dyDescent="0.25">
      <c r="A2249" s="46" t="s">
        <v>7363</v>
      </c>
      <c r="B2249" s="46" t="s">
        <v>11649</v>
      </c>
      <c r="C2249" s="46" t="s">
        <v>14</v>
      </c>
      <c r="D2249" s="47">
        <v>8869</v>
      </c>
      <c r="E2249" s="46" t="s">
        <v>7364</v>
      </c>
      <c r="F2249" s="48">
        <v>40799</v>
      </c>
      <c r="G2249" s="48">
        <v>40842</v>
      </c>
      <c r="H2249" s="46" t="s">
        <v>40</v>
      </c>
      <c r="I2249" s="45">
        <v>28000</v>
      </c>
      <c r="J2249" s="45">
        <v>14000</v>
      </c>
      <c r="K2249" s="37" t="s">
        <v>7102</v>
      </c>
      <c r="L2249" s="45"/>
      <c r="M2249" s="3"/>
    </row>
    <row r="2250" spans="1:13" ht="25.5" x14ac:dyDescent="0.25">
      <c r="A2250" s="46" t="s">
        <v>7367</v>
      </c>
      <c r="B2250" s="46" t="s">
        <v>11649</v>
      </c>
      <c r="C2250" s="46" t="s">
        <v>14</v>
      </c>
      <c r="D2250" s="47">
        <v>8871</v>
      </c>
      <c r="E2250" s="46" t="s">
        <v>7368</v>
      </c>
      <c r="F2250" s="48">
        <v>40610</v>
      </c>
      <c r="G2250" s="48">
        <v>40900</v>
      </c>
      <c r="H2250" s="46" t="s">
        <v>40</v>
      </c>
      <c r="I2250" s="45">
        <v>10244.44</v>
      </c>
      <c r="J2250" s="45">
        <v>5122</v>
      </c>
      <c r="K2250" s="37" t="s">
        <v>7102</v>
      </c>
      <c r="L2250" s="45"/>
      <c r="M2250" s="3"/>
    </row>
    <row r="2251" spans="1:13" ht="25.5" x14ac:dyDescent="0.25">
      <c r="A2251" s="46" t="s">
        <v>7371</v>
      </c>
      <c r="B2251" s="46" t="s">
        <v>11649</v>
      </c>
      <c r="C2251" s="46" t="s">
        <v>14</v>
      </c>
      <c r="D2251" s="47">
        <v>8873</v>
      </c>
      <c r="E2251" s="46" t="s">
        <v>7372</v>
      </c>
      <c r="F2251" s="48">
        <v>40561</v>
      </c>
      <c r="G2251" s="48">
        <v>40732</v>
      </c>
      <c r="H2251" s="46" t="s">
        <v>40</v>
      </c>
      <c r="I2251" s="45">
        <v>60000</v>
      </c>
      <c r="J2251" s="45">
        <v>30000</v>
      </c>
      <c r="K2251" s="37" t="s">
        <v>7102</v>
      </c>
      <c r="L2251" s="45"/>
      <c r="M2251" s="3"/>
    </row>
    <row r="2252" spans="1:13" ht="25.5" x14ac:dyDescent="0.25">
      <c r="A2252" s="46" t="s">
        <v>7373</v>
      </c>
      <c r="B2252" s="46" t="s">
        <v>11649</v>
      </c>
      <c r="C2252" s="46" t="s">
        <v>14</v>
      </c>
      <c r="D2252" s="47">
        <v>8874</v>
      </c>
      <c r="E2252" s="46" t="s">
        <v>7374</v>
      </c>
      <c r="F2252" s="48">
        <v>40890</v>
      </c>
      <c r="G2252" s="48">
        <v>40897</v>
      </c>
      <c r="H2252" s="46" t="s">
        <v>40</v>
      </c>
      <c r="I2252" s="45">
        <v>29250</v>
      </c>
      <c r="J2252" s="45">
        <v>14625</v>
      </c>
      <c r="K2252" s="37" t="s">
        <v>7102</v>
      </c>
      <c r="L2252" s="45"/>
      <c r="M2252" s="3"/>
    </row>
    <row r="2253" spans="1:13" ht="38.25" x14ac:dyDescent="0.25">
      <c r="A2253" s="46" t="s">
        <v>7397</v>
      </c>
      <c r="B2253" s="46" t="s">
        <v>11649</v>
      </c>
      <c r="C2253" s="46" t="s">
        <v>14</v>
      </c>
      <c r="D2253" s="47">
        <v>10920</v>
      </c>
      <c r="E2253" s="46" t="s">
        <v>7398</v>
      </c>
      <c r="F2253" s="48">
        <v>41220</v>
      </c>
      <c r="G2253" s="46"/>
      <c r="H2253" s="46" t="s">
        <v>40</v>
      </c>
      <c r="I2253" s="45">
        <v>84880</v>
      </c>
      <c r="J2253" s="45">
        <v>42440</v>
      </c>
      <c r="K2253" s="37" t="s">
        <v>7102</v>
      </c>
      <c r="L2253" s="45"/>
      <c r="M2253" s="3"/>
    </row>
    <row r="2254" spans="1:13" ht="38.25" x14ac:dyDescent="0.25">
      <c r="A2254" s="46" t="s">
        <v>7401</v>
      </c>
      <c r="B2254" s="46" t="s">
        <v>11649</v>
      </c>
      <c r="C2254" s="46" t="s">
        <v>14</v>
      </c>
      <c r="D2254" s="47">
        <v>10922</v>
      </c>
      <c r="E2254" s="46" t="s">
        <v>7402</v>
      </c>
      <c r="F2254" s="48">
        <v>40953</v>
      </c>
      <c r="G2254" s="48">
        <v>41138</v>
      </c>
      <c r="H2254" s="46" t="s">
        <v>40</v>
      </c>
      <c r="I2254" s="45">
        <v>15165</v>
      </c>
      <c r="J2254" s="45">
        <v>11000</v>
      </c>
      <c r="K2254" s="37" t="s">
        <v>7102</v>
      </c>
      <c r="L2254" s="45"/>
      <c r="M2254" s="3"/>
    </row>
    <row r="2255" spans="1:13" ht="38.25" x14ac:dyDescent="0.25">
      <c r="A2255" s="46" t="s">
        <v>7367</v>
      </c>
      <c r="B2255" s="46" t="s">
        <v>11649</v>
      </c>
      <c r="C2255" s="46" t="s">
        <v>14</v>
      </c>
      <c r="D2255" s="47">
        <v>10932</v>
      </c>
      <c r="E2255" s="50" t="s">
        <v>7419</v>
      </c>
      <c r="F2255" s="48">
        <v>40610</v>
      </c>
      <c r="G2255" s="48">
        <v>41072</v>
      </c>
      <c r="H2255" s="46" t="s">
        <v>40</v>
      </c>
      <c r="I2255" s="45">
        <v>22568</v>
      </c>
      <c r="J2255" s="45">
        <v>11284</v>
      </c>
      <c r="K2255" s="37" t="s">
        <v>7102</v>
      </c>
      <c r="L2255" s="45"/>
      <c r="M2255" s="3"/>
    </row>
    <row r="2256" spans="1:13" ht="25.5" x14ac:dyDescent="0.25">
      <c r="A2256" s="46" t="s">
        <v>7601</v>
      </c>
      <c r="B2256" s="46" t="s">
        <v>11649</v>
      </c>
      <c r="C2256" s="46" t="s">
        <v>14</v>
      </c>
      <c r="D2256" s="47">
        <v>3742</v>
      </c>
      <c r="E2256" s="46" t="s">
        <v>7602</v>
      </c>
      <c r="F2256" s="48">
        <v>39805</v>
      </c>
      <c r="G2256" s="46"/>
      <c r="H2256" s="46" t="s">
        <v>40</v>
      </c>
      <c r="I2256" s="45">
        <v>32000</v>
      </c>
      <c r="J2256" s="45">
        <v>52000</v>
      </c>
      <c r="K2256" s="37" t="s">
        <v>7456</v>
      </c>
      <c r="L2256" s="45"/>
      <c r="M2256" s="3"/>
    </row>
    <row r="2257" spans="1:13" x14ac:dyDescent="0.25">
      <c r="A2257" s="46" t="s">
        <v>7724</v>
      </c>
      <c r="B2257" s="46" t="s">
        <v>11649</v>
      </c>
      <c r="C2257" s="46" t="s">
        <v>14</v>
      </c>
      <c r="D2257" s="47">
        <v>6987</v>
      </c>
      <c r="E2257" s="46" t="s">
        <v>7725</v>
      </c>
      <c r="F2257" s="48">
        <v>40380</v>
      </c>
      <c r="G2257" s="46"/>
      <c r="H2257" s="46" t="s">
        <v>40</v>
      </c>
      <c r="I2257" s="45">
        <v>7500</v>
      </c>
      <c r="J2257" s="45">
        <v>7500</v>
      </c>
      <c r="K2257" s="37" t="s">
        <v>7456</v>
      </c>
      <c r="L2257" s="45"/>
      <c r="M2257" s="3"/>
    </row>
    <row r="2258" spans="1:13" ht="25.5" x14ac:dyDescent="0.25">
      <c r="A2258" s="46" t="s">
        <v>7754</v>
      </c>
      <c r="B2258" s="46" t="s">
        <v>11649</v>
      </c>
      <c r="C2258" s="46" t="s">
        <v>14</v>
      </c>
      <c r="D2258" s="47">
        <v>7555</v>
      </c>
      <c r="E2258" s="46" t="s">
        <v>7755</v>
      </c>
      <c r="F2258" s="48">
        <v>40520</v>
      </c>
      <c r="G2258" s="46"/>
      <c r="H2258" s="46" t="s">
        <v>40</v>
      </c>
      <c r="I2258" s="45">
        <v>7500</v>
      </c>
      <c r="J2258" s="45">
        <v>7500</v>
      </c>
      <c r="K2258" s="37" t="s">
        <v>7456</v>
      </c>
      <c r="L2258" s="45"/>
      <c r="M2258" s="3"/>
    </row>
    <row r="2259" spans="1:13" x14ac:dyDescent="0.25">
      <c r="A2259" s="46" t="s">
        <v>7756</v>
      </c>
      <c r="B2259" s="46" t="s">
        <v>11649</v>
      </c>
      <c r="C2259" s="46" t="s">
        <v>14</v>
      </c>
      <c r="D2259" s="47">
        <v>7706</v>
      </c>
      <c r="E2259" s="46" t="s">
        <v>7757</v>
      </c>
      <c r="F2259" s="48">
        <v>40230</v>
      </c>
      <c r="G2259" s="48">
        <v>40543</v>
      </c>
      <c r="H2259" s="46" t="s">
        <v>40</v>
      </c>
      <c r="I2259" s="45">
        <v>49500</v>
      </c>
      <c r="J2259" s="45">
        <v>37500</v>
      </c>
      <c r="K2259" s="37" t="s">
        <v>7456</v>
      </c>
      <c r="L2259" s="45"/>
      <c r="M2259" s="3"/>
    </row>
    <row r="2260" spans="1:13" x14ac:dyDescent="0.25">
      <c r="A2260" s="46" t="s">
        <v>7772</v>
      </c>
      <c r="B2260" s="46" t="s">
        <v>11649</v>
      </c>
      <c r="C2260" s="46" t="s">
        <v>14</v>
      </c>
      <c r="D2260" s="47">
        <v>8548</v>
      </c>
      <c r="E2260" s="46" t="s">
        <v>7773</v>
      </c>
      <c r="F2260" s="48">
        <v>40547</v>
      </c>
      <c r="G2260" s="48">
        <v>40908</v>
      </c>
      <c r="H2260" s="46" t="s">
        <v>40</v>
      </c>
      <c r="I2260" s="45">
        <v>8000</v>
      </c>
      <c r="J2260" s="45">
        <v>8000</v>
      </c>
      <c r="K2260" s="37" t="s">
        <v>7456</v>
      </c>
      <c r="L2260" s="45"/>
      <c r="M2260" s="3"/>
    </row>
    <row r="2261" spans="1:13" x14ac:dyDescent="0.25">
      <c r="A2261" s="46" t="s">
        <v>7791</v>
      </c>
      <c r="B2261" s="46" t="s">
        <v>11649</v>
      </c>
      <c r="C2261" s="46" t="s">
        <v>14</v>
      </c>
      <c r="D2261" s="47">
        <v>8600</v>
      </c>
      <c r="E2261" s="46" t="s">
        <v>7792</v>
      </c>
      <c r="F2261" s="48">
        <v>40745</v>
      </c>
      <c r="G2261" s="48">
        <v>40908</v>
      </c>
      <c r="H2261" s="46" t="s">
        <v>40</v>
      </c>
      <c r="I2261" s="45">
        <v>6000</v>
      </c>
      <c r="J2261" s="45">
        <v>6000</v>
      </c>
      <c r="K2261" s="37" t="s">
        <v>7456</v>
      </c>
      <c r="L2261" s="45"/>
      <c r="M2261" s="3"/>
    </row>
    <row r="2262" spans="1:13" ht="38.25" x14ac:dyDescent="0.25">
      <c r="A2262" s="46" t="s">
        <v>7861</v>
      </c>
      <c r="B2262" s="46" t="s">
        <v>11649</v>
      </c>
      <c r="C2262" s="46" t="s">
        <v>14</v>
      </c>
      <c r="D2262" s="47">
        <v>10473</v>
      </c>
      <c r="E2262" s="46" t="s">
        <v>7862</v>
      </c>
      <c r="F2262" s="48">
        <v>41051</v>
      </c>
      <c r="G2262" s="48">
        <v>41274</v>
      </c>
      <c r="H2262" s="46" t="s">
        <v>40</v>
      </c>
      <c r="I2262" s="45">
        <v>6000</v>
      </c>
      <c r="J2262" s="45">
        <v>6000</v>
      </c>
      <c r="K2262" s="37" t="s">
        <v>7456</v>
      </c>
      <c r="L2262" s="45"/>
      <c r="M2262" s="3"/>
    </row>
    <row r="2263" spans="1:13" x14ac:dyDescent="0.25">
      <c r="A2263" s="46" t="s">
        <v>7877</v>
      </c>
      <c r="B2263" s="46" t="s">
        <v>11649</v>
      </c>
      <c r="C2263" s="46" t="s">
        <v>14</v>
      </c>
      <c r="D2263" s="47">
        <v>10497</v>
      </c>
      <c r="E2263" s="46" t="s">
        <v>7878</v>
      </c>
      <c r="F2263" s="48">
        <v>41229</v>
      </c>
      <c r="G2263" s="48">
        <v>41274</v>
      </c>
      <c r="H2263" s="46" t="s">
        <v>40</v>
      </c>
      <c r="I2263" s="45">
        <v>12000</v>
      </c>
      <c r="J2263" s="45">
        <v>12000</v>
      </c>
      <c r="K2263" s="37" t="s">
        <v>7456</v>
      </c>
      <c r="L2263" s="45"/>
      <c r="M2263" s="3"/>
    </row>
    <row r="2264" spans="1:13" x14ac:dyDescent="0.25">
      <c r="A2264" s="46" t="s">
        <v>7887</v>
      </c>
      <c r="B2264" s="46" t="s">
        <v>11649</v>
      </c>
      <c r="C2264" s="46" t="s">
        <v>14</v>
      </c>
      <c r="D2264" s="47">
        <v>10514</v>
      </c>
      <c r="E2264" s="46" t="s">
        <v>7888</v>
      </c>
      <c r="F2264" s="48">
        <v>41250</v>
      </c>
      <c r="G2264" s="48">
        <v>41274</v>
      </c>
      <c r="H2264" s="46" t="s">
        <v>40</v>
      </c>
      <c r="I2264" s="45">
        <v>4000</v>
      </c>
      <c r="J2264" s="45">
        <v>4000</v>
      </c>
      <c r="K2264" s="37" t="s">
        <v>7456</v>
      </c>
      <c r="L2264" s="45"/>
      <c r="M2264" s="3"/>
    </row>
    <row r="2265" spans="1:13" x14ac:dyDescent="0.25">
      <c r="A2265" s="46" t="s">
        <v>8251</v>
      </c>
      <c r="B2265" s="46" t="s">
        <v>11649</v>
      </c>
      <c r="C2265" s="46" t="s">
        <v>14</v>
      </c>
      <c r="D2265" s="47">
        <v>7106</v>
      </c>
      <c r="E2265" s="46" t="s">
        <v>8252</v>
      </c>
      <c r="F2265" s="48">
        <v>39814</v>
      </c>
      <c r="G2265" s="48">
        <v>40543</v>
      </c>
      <c r="H2265" s="46" t="s">
        <v>40</v>
      </c>
      <c r="I2265" s="45">
        <v>10600</v>
      </c>
      <c r="J2265" s="45">
        <v>5300</v>
      </c>
      <c r="K2265" s="37" t="s">
        <v>7941</v>
      </c>
      <c r="L2265" s="45"/>
      <c r="M2265" s="3"/>
    </row>
    <row r="2266" spans="1:13" x14ac:dyDescent="0.25">
      <c r="A2266" s="46" t="s">
        <v>8257</v>
      </c>
      <c r="B2266" s="46" t="s">
        <v>11649</v>
      </c>
      <c r="C2266" s="46" t="s">
        <v>14</v>
      </c>
      <c r="D2266" s="47">
        <v>7109</v>
      </c>
      <c r="E2266" s="46" t="s">
        <v>8258</v>
      </c>
      <c r="F2266" s="48">
        <v>40329</v>
      </c>
      <c r="G2266" s="48">
        <v>40694</v>
      </c>
      <c r="H2266" s="46" t="s">
        <v>40</v>
      </c>
      <c r="I2266" s="45">
        <v>28590</v>
      </c>
      <c r="J2266" s="45">
        <v>14295</v>
      </c>
      <c r="K2266" s="37" t="s">
        <v>7941</v>
      </c>
      <c r="L2266" s="45"/>
      <c r="M2266" s="3"/>
    </row>
    <row r="2267" spans="1:13" ht="25.5" x14ac:dyDescent="0.25">
      <c r="A2267" s="46" t="s">
        <v>8263</v>
      </c>
      <c r="B2267" s="46" t="s">
        <v>11649</v>
      </c>
      <c r="C2267" s="46" t="s">
        <v>14</v>
      </c>
      <c r="D2267" s="47">
        <v>7177</v>
      </c>
      <c r="E2267" s="46" t="s">
        <v>8264</v>
      </c>
      <c r="F2267" s="48">
        <v>40232</v>
      </c>
      <c r="G2267" s="48">
        <v>40908</v>
      </c>
      <c r="H2267" s="46" t="s">
        <v>40</v>
      </c>
      <c r="I2267" s="45">
        <v>24318</v>
      </c>
      <c r="J2267" s="45">
        <v>12159</v>
      </c>
      <c r="K2267" s="37" t="s">
        <v>7941</v>
      </c>
      <c r="L2267" s="45"/>
      <c r="M2267" s="3"/>
    </row>
    <row r="2268" spans="1:13" ht="25.5" x14ac:dyDescent="0.25">
      <c r="A2268" s="46" t="s">
        <v>8271</v>
      </c>
      <c r="B2268" s="46" t="s">
        <v>11649</v>
      </c>
      <c r="C2268" s="46" t="s">
        <v>14</v>
      </c>
      <c r="D2268" s="47">
        <v>8629</v>
      </c>
      <c r="E2268" s="46" t="s">
        <v>8272</v>
      </c>
      <c r="F2268" s="48">
        <v>40848</v>
      </c>
      <c r="G2268" s="48">
        <v>41274</v>
      </c>
      <c r="H2268" s="46" t="s">
        <v>40</v>
      </c>
      <c r="I2268" s="45">
        <v>9248</v>
      </c>
      <c r="J2268" s="45">
        <v>4624</v>
      </c>
      <c r="K2268" s="37" t="s">
        <v>7941</v>
      </c>
      <c r="L2268" s="45"/>
      <c r="M2268" s="3"/>
    </row>
    <row r="2269" spans="1:13" ht="25.5" x14ac:dyDescent="0.25">
      <c r="A2269" s="46" t="s">
        <v>8273</v>
      </c>
      <c r="B2269" s="46" t="s">
        <v>11649</v>
      </c>
      <c r="C2269" s="46" t="s">
        <v>14</v>
      </c>
      <c r="D2269" s="47">
        <v>8630</v>
      </c>
      <c r="E2269" s="46" t="s">
        <v>8274</v>
      </c>
      <c r="F2269" s="48">
        <v>40693</v>
      </c>
      <c r="G2269" s="48">
        <v>40908</v>
      </c>
      <c r="H2269" s="46" t="s">
        <v>40</v>
      </c>
      <c r="I2269" s="45">
        <v>12000</v>
      </c>
      <c r="J2269" s="45">
        <v>8000</v>
      </c>
      <c r="K2269" s="37" t="s">
        <v>7941</v>
      </c>
      <c r="L2269" s="45"/>
      <c r="M2269" s="3"/>
    </row>
    <row r="2270" spans="1:13" ht="25.5" x14ac:dyDescent="0.25">
      <c r="A2270" s="46" t="s">
        <v>8279</v>
      </c>
      <c r="B2270" s="46" t="s">
        <v>11649</v>
      </c>
      <c r="C2270" s="46" t="s">
        <v>14</v>
      </c>
      <c r="D2270" s="47">
        <v>8633</v>
      </c>
      <c r="E2270" s="46" t="s">
        <v>8280</v>
      </c>
      <c r="F2270" s="48">
        <v>40693</v>
      </c>
      <c r="G2270" s="48">
        <v>40908</v>
      </c>
      <c r="H2270" s="46" t="s">
        <v>40</v>
      </c>
      <c r="I2270" s="45">
        <v>8000</v>
      </c>
      <c r="J2270" s="45">
        <v>8000</v>
      </c>
      <c r="K2270" s="37" t="s">
        <v>7941</v>
      </c>
      <c r="L2270" s="45"/>
      <c r="M2270" s="3"/>
    </row>
    <row r="2271" spans="1:13" ht="25.5" x14ac:dyDescent="0.25">
      <c r="A2271" s="46" t="s">
        <v>8281</v>
      </c>
      <c r="B2271" s="46" t="s">
        <v>11649</v>
      </c>
      <c r="C2271" s="46" t="s">
        <v>14</v>
      </c>
      <c r="D2271" s="47">
        <v>8634</v>
      </c>
      <c r="E2271" s="46" t="s">
        <v>8282</v>
      </c>
      <c r="F2271" s="48">
        <v>40833</v>
      </c>
      <c r="G2271" s="48">
        <v>41274</v>
      </c>
      <c r="H2271" s="46" t="s">
        <v>40</v>
      </c>
      <c r="I2271" s="45">
        <v>8000</v>
      </c>
      <c r="J2271" s="45">
        <v>8000</v>
      </c>
      <c r="K2271" s="37" t="s">
        <v>7941</v>
      </c>
      <c r="L2271" s="45"/>
      <c r="M2271" s="3"/>
    </row>
    <row r="2272" spans="1:13" ht="25.5" x14ac:dyDescent="0.25">
      <c r="A2272" s="46" t="s">
        <v>8283</v>
      </c>
      <c r="B2272" s="46" t="s">
        <v>11649</v>
      </c>
      <c r="C2272" s="46" t="s">
        <v>14</v>
      </c>
      <c r="D2272" s="47">
        <v>8635</v>
      </c>
      <c r="E2272" s="46" t="s">
        <v>8284</v>
      </c>
      <c r="F2272" s="48">
        <v>40833</v>
      </c>
      <c r="G2272" s="48">
        <v>40908</v>
      </c>
      <c r="H2272" s="46" t="s">
        <v>40</v>
      </c>
      <c r="I2272" s="45">
        <v>10980</v>
      </c>
      <c r="J2272" s="45">
        <v>9490</v>
      </c>
      <c r="K2272" s="37" t="s">
        <v>7941</v>
      </c>
      <c r="L2272" s="45"/>
      <c r="M2272" s="3"/>
    </row>
    <row r="2273" spans="1:13" ht="38.25" x14ac:dyDescent="0.25">
      <c r="A2273" s="46" t="s">
        <v>8285</v>
      </c>
      <c r="B2273" s="46" t="s">
        <v>11649</v>
      </c>
      <c r="C2273" s="46" t="s">
        <v>14</v>
      </c>
      <c r="D2273" s="47">
        <v>8636</v>
      </c>
      <c r="E2273" s="46" t="s">
        <v>8286</v>
      </c>
      <c r="F2273" s="48">
        <v>40833</v>
      </c>
      <c r="G2273" s="48">
        <v>40908</v>
      </c>
      <c r="H2273" s="46" t="s">
        <v>40</v>
      </c>
      <c r="I2273" s="45">
        <v>39991.800000000003</v>
      </c>
      <c r="J2273" s="45">
        <v>20000</v>
      </c>
      <c r="K2273" s="37" t="s">
        <v>7941</v>
      </c>
      <c r="L2273" s="45"/>
      <c r="M2273" s="3"/>
    </row>
    <row r="2274" spans="1:13" x14ac:dyDescent="0.25">
      <c r="A2274" s="46" t="s">
        <v>8297</v>
      </c>
      <c r="B2274" s="46" t="s">
        <v>11649</v>
      </c>
      <c r="C2274" s="46" t="s">
        <v>14</v>
      </c>
      <c r="D2274" s="47">
        <v>10410</v>
      </c>
      <c r="E2274" s="46" t="s">
        <v>8298</v>
      </c>
      <c r="F2274" s="48">
        <v>40974</v>
      </c>
      <c r="G2274" s="48">
        <v>41339</v>
      </c>
      <c r="H2274" s="46" t="s">
        <v>40</v>
      </c>
      <c r="I2274" s="45">
        <v>11200</v>
      </c>
      <c r="J2274" s="45">
        <v>11200</v>
      </c>
      <c r="K2274" s="37" t="s">
        <v>7941</v>
      </c>
      <c r="L2274" s="45"/>
      <c r="M2274" s="3"/>
    </row>
    <row r="2275" spans="1:13" ht="25.5" x14ac:dyDescent="0.25">
      <c r="A2275" s="46" t="s">
        <v>8301</v>
      </c>
      <c r="B2275" s="46" t="s">
        <v>11649</v>
      </c>
      <c r="C2275" s="46" t="s">
        <v>14</v>
      </c>
      <c r="D2275" s="47">
        <v>10427</v>
      </c>
      <c r="E2275" s="46" t="s">
        <v>8302</v>
      </c>
      <c r="F2275" s="48">
        <v>41037</v>
      </c>
      <c r="G2275" s="48">
        <v>41402</v>
      </c>
      <c r="H2275" s="46" t="s">
        <v>40</v>
      </c>
      <c r="I2275" s="45">
        <f>54398+12650</f>
        <v>67048</v>
      </c>
      <c r="J2275" s="45">
        <v>32799</v>
      </c>
      <c r="K2275" s="37" t="s">
        <v>7941</v>
      </c>
      <c r="L2275" s="45"/>
      <c r="M2275" s="3"/>
    </row>
    <row r="2276" spans="1:13" x14ac:dyDescent="0.25">
      <c r="A2276" s="46" t="s">
        <v>8303</v>
      </c>
      <c r="B2276" s="46" t="s">
        <v>11649</v>
      </c>
      <c r="C2276" s="46" t="s">
        <v>14</v>
      </c>
      <c r="D2276" s="47">
        <v>10438</v>
      </c>
      <c r="E2276" s="46" t="s">
        <v>8304</v>
      </c>
      <c r="F2276" s="48">
        <v>40833</v>
      </c>
      <c r="G2276" s="48">
        <v>41016</v>
      </c>
      <c r="H2276" s="46" t="s">
        <v>40</v>
      </c>
      <c r="I2276" s="45">
        <v>10000</v>
      </c>
      <c r="J2276" s="45">
        <v>5000</v>
      </c>
      <c r="K2276" s="37" t="s">
        <v>7941</v>
      </c>
      <c r="L2276" s="45"/>
      <c r="M2276" s="3"/>
    </row>
    <row r="2277" spans="1:13" ht="25.5" x14ac:dyDescent="0.25">
      <c r="A2277" s="46" t="s">
        <v>8305</v>
      </c>
      <c r="B2277" s="46" t="s">
        <v>11649</v>
      </c>
      <c r="C2277" s="46" t="s">
        <v>14</v>
      </c>
      <c r="D2277" s="47">
        <v>10439</v>
      </c>
      <c r="E2277" s="46" t="s">
        <v>8306</v>
      </c>
      <c r="F2277" s="48">
        <v>41205</v>
      </c>
      <c r="G2277" s="48">
        <v>41570</v>
      </c>
      <c r="H2277" s="46" t="s">
        <v>40</v>
      </c>
      <c r="I2277" s="45">
        <v>12000</v>
      </c>
      <c r="J2277" s="45">
        <v>8000</v>
      </c>
      <c r="K2277" s="37" t="s">
        <v>7941</v>
      </c>
      <c r="L2277" s="45"/>
      <c r="M2277" s="3"/>
    </row>
    <row r="2278" spans="1:13" ht="25.5" x14ac:dyDescent="0.25">
      <c r="A2278" s="46" t="s">
        <v>8309</v>
      </c>
      <c r="B2278" s="46" t="s">
        <v>11649</v>
      </c>
      <c r="C2278" s="46" t="s">
        <v>14</v>
      </c>
      <c r="D2278" s="47">
        <v>10441</v>
      </c>
      <c r="E2278" s="46" t="s">
        <v>8310</v>
      </c>
      <c r="F2278" s="48">
        <v>41205</v>
      </c>
      <c r="G2278" s="48">
        <v>41570</v>
      </c>
      <c r="H2278" s="46" t="s">
        <v>40</v>
      </c>
      <c r="I2278" s="45">
        <v>100000</v>
      </c>
      <c r="J2278" s="45">
        <v>50000</v>
      </c>
      <c r="K2278" s="37" t="s">
        <v>7941</v>
      </c>
      <c r="L2278" s="45"/>
      <c r="M2278" s="3"/>
    </row>
    <row r="2279" spans="1:13" x14ac:dyDescent="0.25">
      <c r="A2279" s="46" t="s">
        <v>8315</v>
      </c>
      <c r="B2279" s="46" t="s">
        <v>11649</v>
      </c>
      <c r="C2279" s="46" t="s">
        <v>14</v>
      </c>
      <c r="D2279" s="47">
        <v>10477</v>
      </c>
      <c r="E2279" s="46" t="s">
        <v>8316</v>
      </c>
      <c r="F2279" s="48">
        <v>41037</v>
      </c>
      <c r="G2279" s="48">
        <v>41402</v>
      </c>
      <c r="H2279" s="46" t="s">
        <v>40</v>
      </c>
      <c r="I2279" s="45">
        <v>43810</v>
      </c>
      <c r="J2279" s="45">
        <v>21905</v>
      </c>
      <c r="K2279" s="37" t="s">
        <v>7941</v>
      </c>
      <c r="L2279" s="45"/>
      <c r="M2279" s="3"/>
    </row>
    <row r="2280" spans="1:13" ht="25.5" x14ac:dyDescent="0.25">
      <c r="A2280" s="46" t="s">
        <v>8317</v>
      </c>
      <c r="B2280" s="46" t="s">
        <v>11649</v>
      </c>
      <c r="C2280" s="46" t="s">
        <v>14</v>
      </c>
      <c r="D2280" s="47">
        <v>10479</v>
      </c>
      <c r="E2280" s="46" t="s">
        <v>8318</v>
      </c>
      <c r="F2280" s="48">
        <v>41205</v>
      </c>
      <c r="G2280" s="48">
        <v>41570</v>
      </c>
      <c r="H2280" s="46" t="s">
        <v>40</v>
      </c>
      <c r="I2280" s="45">
        <f>8812+4814</f>
        <v>13626</v>
      </c>
      <c r="J2280" s="45">
        <f>2407+1999</f>
        <v>4406</v>
      </c>
      <c r="K2280" s="37" t="s">
        <v>7941</v>
      </c>
      <c r="L2280" s="45"/>
      <c r="M2280" s="3"/>
    </row>
    <row r="2281" spans="1:13" ht="25.5" x14ac:dyDescent="0.25">
      <c r="A2281" s="46" t="s">
        <v>8319</v>
      </c>
      <c r="B2281" s="46" t="s">
        <v>11649</v>
      </c>
      <c r="C2281" s="46" t="s">
        <v>14</v>
      </c>
      <c r="D2281" s="47">
        <v>10480</v>
      </c>
      <c r="E2281" s="46" t="s">
        <v>8320</v>
      </c>
      <c r="F2281" s="48">
        <v>41205</v>
      </c>
      <c r="G2281" s="48">
        <v>41570</v>
      </c>
      <c r="H2281" s="46" t="s">
        <v>40</v>
      </c>
      <c r="I2281" s="45">
        <f>9426+5426</f>
        <v>14852</v>
      </c>
      <c r="J2281" s="45">
        <f>4000+4713</f>
        <v>8713</v>
      </c>
      <c r="K2281" s="37" t="s">
        <v>7941</v>
      </c>
      <c r="L2281" s="45"/>
      <c r="M2281" s="3"/>
    </row>
    <row r="2282" spans="1:13" x14ac:dyDescent="0.25">
      <c r="A2282" s="46" t="s">
        <v>8323</v>
      </c>
      <c r="B2282" s="46" t="s">
        <v>11649</v>
      </c>
      <c r="C2282" s="46" t="s">
        <v>14</v>
      </c>
      <c r="D2282" s="47">
        <v>10484</v>
      </c>
      <c r="E2282" s="46" t="s">
        <v>8324</v>
      </c>
      <c r="F2282" s="48">
        <v>40974</v>
      </c>
      <c r="G2282" s="48">
        <v>41339</v>
      </c>
      <c r="H2282" s="46" t="s">
        <v>40</v>
      </c>
      <c r="I2282" s="45">
        <v>16000</v>
      </c>
      <c r="J2282" s="45">
        <v>16000</v>
      </c>
      <c r="K2282" s="37" t="s">
        <v>7941</v>
      </c>
      <c r="L2282" s="45"/>
      <c r="M2282" s="3"/>
    </row>
    <row r="2283" spans="1:13" ht="38.25" x14ac:dyDescent="0.25">
      <c r="A2283" s="46" t="s">
        <v>8683</v>
      </c>
      <c r="B2283" s="46" t="s">
        <v>11649</v>
      </c>
      <c r="C2283" s="46" t="s">
        <v>14</v>
      </c>
      <c r="D2283" s="47">
        <v>7651</v>
      </c>
      <c r="E2283" s="46" t="s">
        <v>8684</v>
      </c>
      <c r="F2283" s="48">
        <v>40535</v>
      </c>
      <c r="G2283" s="48">
        <v>40851</v>
      </c>
      <c r="H2283" s="46" t="s">
        <v>40</v>
      </c>
      <c r="I2283" s="45">
        <v>44688.22</v>
      </c>
      <c r="J2283" s="45">
        <v>22344.11</v>
      </c>
      <c r="K2283" s="37" t="s">
        <v>8348</v>
      </c>
      <c r="L2283" s="45"/>
      <c r="M2283" s="3"/>
    </row>
    <row r="2284" spans="1:13" ht="25.5" x14ac:dyDescent="0.25">
      <c r="A2284" s="46" t="s">
        <v>8737</v>
      </c>
      <c r="B2284" s="46" t="s">
        <v>11649</v>
      </c>
      <c r="C2284" s="46" t="s">
        <v>14</v>
      </c>
      <c r="D2284" s="47">
        <v>9140</v>
      </c>
      <c r="E2284" s="46" t="s">
        <v>8738</v>
      </c>
      <c r="F2284" s="48">
        <v>40568</v>
      </c>
      <c r="G2284" s="48">
        <v>40737</v>
      </c>
      <c r="H2284" s="46" t="s">
        <v>40</v>
      </c>
      <c r="I2284" s="45">
        <v>6000</v>
      </c>
      <c r="J2284" s="45">
        <v>6000</v>
      </c>
      <c r="K2284" s="37" t="s">
        <v>8348</v>
      </c>
      <c r="L2284" s="45"/>
      <c r="M2284" s="3"/>
    </row>
    <row r="2285" spans="1:13" x14ac:dyDescent="0.25">
      <c r="A2285" s="46" t="s">
        <v>8739</v>
      </c>
      <c r="B2285" s="46" t="s">
        <v>11649</v>
      </c>
      <c r="C2285" s="46" t="s">
        <v>14</v>
      </c>
      <c r="D2285" s="47">
        <v>9141</v>
      </c>
      <c r="E2285" s="46" t="s">
        <v>8740</v>
      </c>
      <c r="F2285" s="48">
        <v>40890</v>
      </c>
      <c r="G2285" s="48">
        <v>41052</v>
      </c>
      <c r="H2285" s="46" t="s">
        <v>40</v>
      </c>
      <c r="I2285" s="45">
        <v>30393.69</v>
      </c>
      <c r="J2285" s="45">
        <v>14162.63</v>
      </c>
      <c r="K2285" s="37" t="s">
        <v>8348</v>
      </c>
      <c r="L2285" s="45"/>
      <c r="M2285" s="3"/>
    </row>
    <row r="2286" spans="1:13" ht="25.5" x14ac:dyDescent="0.25">
      <c r="A2286" s="46" t="s">
        <v>8741</v>
      </c>
      <c r="B2286" s="46" t="s">
        <v>11649</v>
      </c>
      <c r="C2286" s="46" t="s">
        <v>14</v>
      </c>
      <c r="D2286" s="47">
        <v>9142</v>
      </c>
      <c r="E2286" s="46" t="s">
        <v>8742</v>
      </c>
      <c r="F2286" s="48">
        <v>40506</v>
      </c>
      <c r="G2286" s="48">
        <v>41026</v>
      </c>
      <c r="H2286" s="46" t="s">
        <v>40</v>
      </c>
      <c r="I2286" s="45">
        <v>7400</v>
      </c>
      <c r="J2286" s="45">
        <v>7400</v>
      </c>
      <c r="K2286" s="37" t="s">
        <v>8348</v>
      </c>
      <c r="L2286" s="45"/>
      <c r="M2286" s="3"/>
    </row>
    <row r="2287" spans="1:13" ht="25.5" x14ac:dyDescent="0.25">
      <c r="A2287" s="46" t="s">
        <v>8743</v>
      </c>
      <c r="B2287" s="46" t="s">
        <v>11649</v>
      </c>
      <c r="C2287" s="46" t="s">
        <v>14</v>
      </c>
      <c r="D2287" s="47">
        <v>9143</v>
      </c>
      <c r="E2287" s="46" t="s">
        <v>8744</v>
      </c>
      <c r="F2287" s="48">
        <v>40660</v>
      </c>
      <c r="G2287" s="48">
        <v>40862</v>
      </c>
      <c r="H2287" s="46" t="s">
        <v>40</v>
      </c>
      <c r="I2287" s="45">
        <v>8000</v>
      </c>
      <c r="J2287" s="45">
        <v>8000</v>
      </c>
      <c r="K2287" s="37" t="s">
        <v>8348</v>
      </c>
      <c r="L2287" s="45"/>
      <c r="M2287" s="3"/>
    </row>
    <row r="2288" spans="1:13" ht="38.25" x14ac:dyDescent="0.25">
      <c r="A2288" s="46" t="s">
        <v>8745</v>
      </c>
      <c r="B2288" s="46" t="s">
        <v>11649</v>
      </c>
      <c r="C2288" s="46" t="s">
        <v>14</v>
      </c>
      <c r="D2288" s="47">
        <v>9144</v>
      </c>
      <c r="E2288" s="46" t="s">
        <v>8746</v>
      </c>
      <c r="F2288" s="48">
        <v>40597</v>
      </c>
      <c r="G2288" s="48">
        <v>40679</v>
      </c>
      <c r="H2288" s="46" t="s">
        <v>40</v>
      </c>
      <c r="I2288" s="45">
        <v>9925</v>
      </c>
      <c r="J2288" s="45">
        <v>4000</v>
      </c>
      <c r="K2288" s="37" t="s">
        <v>8348</v>
      </c>
      <c r="L2288" s="45"/>
      <c r="M2288" s="3"/>
    </row>
    <row r="2289" spans="1:13" x14ac:dyDescent="0.25">
      <c r="A2289" s="46" t="s">
        <v>8755</v>
      </c>
      <c r="B2289" s="46" t="s">
        <v>11649</v>
      </c>
      <c r="C2289" s="46" t="s">
        <v>14</v>
      </c>
      <c r="D2289" s="47">
        <v>9149</v>
      </c>
      <c r="E2289" s="46" t="s">
        <v>8756</v>
      </c>
      <c r="F2289" s="48">
        <v>40737</v>
      </c>
      <c r="G2289" s="48">
        <v>40970</v>
      </c>
      <c r="H2289" s="46" t="s">
        <v>40</v>
      </c>
      <c r="I2289" s="45">
        <v>6000</v>
      </c>
      <c r="J2289" s="45">
        <v>6000</v>
      </c>
      <c r="K2289" s="37" t="s">
        <v>8348</v>
      </c>
      <c r="L2289" s="45"/>
      <c r="M2289" s="3"/>
    </row>
    <row r="2290" spans="1:13" ht="25.5" x14ac:dyDescent="0.25">
      <c r="A2290" s="46" t="s">
        <v>8757</v>
      </c>
      <c r="B2290" s="46" t="s">
        <v>11649</v>
      </c>
      <c r="C2290" s="46" t="s">
        <v>14</v>
      </c>
      <c r="D2290" s="47">
        <v>9150</v>
      </c>
      <c r="E2290" s="46" t="s">
        <v>8758</v>
      </c>
      <c r="F2290" s="48">
        <v>40668</v>
      </c>
      <c r="G2290" s="48">
        <v>40744</v>
      </c>
      <c r="H2290" s="46" t="s">
        <v>40</v>
      </c>
      <c r="I2290" s="45">
        <v>5625</v>
      </c>
      <c r="J2290" s="45">
        <v>5625</v>
      </c>
      <c r="K2290" s="37" t="s">
        <v>8348</v>
      </c>
      <c r="L2290" s="45"/>
      <c r="M2290" s="3"/>
    </row>
    <row r="2291" spans="1:13" ht="25.5" x14ac:dyDescent="0.25">
      <c r="A2291" s="46" t="s">
        <v>8755</v>
      </c>
      <c r="B2291" s="46" t="s">
        <v>11649</v>
      </c>
      <c r="C2291" s="46" t="s">
        <v>14</v>
      </c>
      <c r="D2291" s="47">
        <v>10501</v>
      </c>
      <c r="E2291" s="46" t="s">
        <v>8846</v>
      </c>
      <c r="F2291" s="48">
        <v>40912</v>
      </c>
      <c r="G2291" s="48">
        <v>41145</v>
      </c>
      <c r="H2291" s="46" t="s">
        <v>40</v>
      </c>
      <c r="I2291" s="45">
        <v>30349</v>
      </c>
      <c r="J2291" s="45">
        <v>15174.61</v>
      </c>
      <c r="K2291" s="37" t="s">
        <v>8348</v>
      </c>
      <c r="L2291" s="45"/>
      <c r="M2291" s="3"/>
    </row>
    <row r="2292" spans="1:13" ht="25.5" x14ac:dyDescent="0.25">
      <c r="A2292" s="46" t="s">
        <v>8847</v>
      </c>
      <c r="B2292" s="46" t="s">
        <v>11649</v>
      </c>
      <c r="C2292" s="46" t="s">
        <v>14</v>
      </c>
      <c r="D2292" s="47">
        <v>10504</v>
      </c>
      <c r="E2292" s="46" t="s">
        <v>8848</v>
      </c>
      <c r="F2292" s="48">
        <v>41092</v>
      </c>
      <c r="G2292" s="48">
        <v>41137</v>
      </c>
      <c r="H2292" s="46" t="s">
        <v>40</v>
      </c>
      <c r="I2292" s="45">
        <v>8000</v>
      </c>
      <c r="J2292" s="45">
        <v>8000</v>
      </c>
      <c r="K2292" s="37" t="s">
        <v>8348</v>
      </c>
      <c r="L2292" s="45"/>
      <c r="M2292" s="3"/>
    </row>
    <row r="2293" spans="1:13" ht="25.5" x14ac:dyDescent="0.25">
      <c r="A2293" s="46" t="s">
        <v>8865</v>
      </c>
      <c r="B2293" s="46" t="s">
        <v>11649</v>
      </c>
      <c r="C2293" s="46" t="s">
        <v>14</v>
      </c>
      <c r="D2293" s="47">
        <v>10545</v>
      </c>
      <c r="E2293" s="46" t="s">
        <v>8866</v>
      </c>
      <c r="F2293" s="48">
        <v>40912</v>
      </c>
      <c r="G2293" s="48">
        <v>40980</v>
      </c>
      <c r="H2293" s="46" t="s">
        <v>40</v>
      </c>
      <c r="I2293" s="45">
        <v>14333.41</v>
      </c>
      <c r="J2293" s="45">
        <v>5016.6899999999996</v>
      </c>
      <c r="K2293" s="37" t="s">
        <v>8348</v>
      </c>
      <c r="L2293" s="45"/>
      <c r="M2293" s="3"/>
    </row>
    <row r="2294" spans="1:13" x14ac:dyDescent="0.25">
      <c r="A2294" s="46" t="s">
        <v>9100</v>
      </c>
      <c r="B2294" s="46" t="s">
        <v>11649</v>
      </c>
      <c r="C2294" s="46" t="s">
        <v>14</v>
      </c>
      <c r="D2294" s="47">
        <v>7343</v>
      </c>
      <c r="E2294" s="46" t="s">
        <v>9101</v>
      </c>
      <c r="F2294" s="48">
        <v>40228</v>
      </c>
      <c r="G2294" s="46"/>
      <c r="H2294" s="46" t="s">
        <v>40</v>
      </c>
      <c r="I2294" s="45">
        <v>13531.96</v>
      </c>
      <c r="J2294" s="45">
        <v>8640.98</v>
      </c>
      <c r="K2294" s="37" t="s">
        <v>8905</v>
      </c>
      <c r="L2294" s="45"/>
      <c r="M2294" s="3"/>
    </row>
    <row r="2295" spans="1:13" ht="25.5" x14ac:dyDescent="0.25">
      <c r="A2295" s="46" t="s">
        <v>9118</v>
      </c>
      <c r="B2295" s="46" t="s">
        <v>11649</v>
      </c>
      <c r="C2295" s="46" t="s">
        <v>14</v>
      </c>
      <c r="D2295" s="47">
        <v>7353</v>
      </c>
      <c r="E2295" s="46" t="s">
        <v>9119</v>
      </c>
      <c r="F2295" s="48">
        <v>40070</v>
      </c>
      <c r="G2295" s="46"/>
      <c r="H2295" s="46" t="s">
        <v>40</v>
      </c>
      <c r="I2295" s="45">
        <f>56250+15000</f>
        <v>71250</v>
      </c>
      <c r="J2295" s="45">
        <f>41250+15000</f>
        <v>56250</v>
      </c>
      <c r="K2295" s="37" t="s">
        <v>8905</v>
      </c>
      <c r="L2295" s="45"/>
      <c r="M2295" s="3"/>
    </row>
    <row r="2296" spans="1:13" ht="25.5" x14ac:dyDescent="0.25">
      <c r="A2296" s="46" t="s">
        <v>9161</v>
      </c>
      <c r="B2296" s="46" t="s">
        <v>11649</v>
      </c>
      <c r="C2296" s="46" t="s">
        <v>14</v>
      </c>
      <c r="D2296" s="47">
        <v>8501</v>
      </c>
      <c r="E2296" s="46" t="s">
        <v>9162</v>
      </c>
      <c r="F2296" s="48">
        <v>40651</v>
      </c>
      <c r="G2296" s="48">
        <v>40868</v>
      </c>
      <c r="H2296" s="46" t="s">
        <v>40</v>
      </c>
      <c r="I2296" s="45">
        <v>11400</v>
      </c>
      <c r="J2296" s="45">
        <v>9450</v>
      </c>
      <c r="K2296" s="37" t="s">
        <v>8905</v>
      </c>
      <c r="L2296" s="45"/>
      <c r="M2296" s="3"/>
    </row>
    <row r="2297" spans="1:13" x14ac:dyDescent="0.25">
      <c r="A2297" s="46" t="s">
        <v>9175</v>
      </c>
      <c r="B2297" s="46" t="s">
        <v>11649</v>
      </c>
      <c r="C2297" s="46" t="s">
        <v>14</v>
      </c>
      <c r="D2297" s="47">
        <v>8508</v>
      </c>
      <c r="E2297" s="46" t="s">
        <v>9176</v>
      </c>
      <c r="F2297" s="48">
        <v>40595</v>
      </c>
      <c r="G2297" s="48">
        <v>40737</v>
      </c>
      <c r="H2297" s="46" t="s">
        <v>40</v>
      </c>
      <c r="I2297" s="45">
        <v>7966.5</v>
      </c>
      <c r="J2297" s="45">
        <v>3983.25</v>
      </c>
      <c r="K2297" s="37" t="s">
        <v>8905</v>
      </c>
      <c r="L2297" s="45"/>
      <c r="M2297" s="3"/>
    </row>
    <row r="2298" spans="1:13" ht="25.5" x14ac:dyDescent="0.25">
      <c r="A2298" s="46" t="s">
        <v>9195</v>
      </c>
      <c r="B2298" s="46" t="s">
        <v>11649</v>
      </c>
      <c r="C2298" s="46" t="s">
        <v>14</v>
      </c>
      <c r="D2298" s="47">
        <v>8550</v>
      </c>
      <c r="E2298" s="46" t="s">
        <v>9196</v>
      </c>
      <c r="F2298" s="48">
        <v>40595</v>
      </c>
      <c r="G2298" s="46"/>
      <c r="H2298" s="46" t="s">
        <v>40</v>
      </c>
      <c r="I2298" s="45">
        <v>7500</v>
      </c>
      <c r="J2298" s="45">
        <v>7500</v>
      </c>
      <c r="K2298" s="37" t="s">
        <v>8905</v>
      </c>
      <c r="L2298" s="45"/>
      <c r="M2298" s="3"/>
    </row>
    <row r="2299" spans="1:13" ht="38.25" x14ac:dyDescent="0.25">
      <c r="A2299" s="46" t="s">
        <v>9203</v>
      </c>
      <c r="B2299" s="46" t="s">
        <v>11649</v>
      </c>
      <c r="C2299" s="46" t="s">
        <v>14</v>
      </c>
      <c r="D2299" s="47">
        <v>10413</v>
      </c>
      <c r="E2299" s="46" t="s">
        <v>9204</v>
      </c>
      <c r="F2299" s="48">
        <v>40728</v>
      </c>
      <c r="G2299" s="46"/>
      <c r="H2299" s="46" t="s">
        <v>40</v>
      </c>
      <c r="I2299" s="45">
        <v>3750</v>
      </c>
      <c r="J2299" s="45">
        <v>3750</v>
      </c>
      <c r="K2299" s="37" t="s">
        <v>8905</v>
      </c>
      <c r="L2299" s="45"/>
      <c r="M2299" s="3"/>
    </row>
    <row r="2300" spans="1:13" ht="25.5" x14ac:dyDescent="0.25">
      <c r="A2300" s="46" t="s">
        <v>9205</v>
      </c>
      <c r="B2300" s="46" t="s">
        <v>11649</v>
      </c>
      <c r="C2300" s="46" t="s">
        <v>14</v>
      </c>
      <c r="D2300" s="47">
        <v>10416</v>
      </c>
      <c r="E2300" s="46" t="s">
        <v>9206</v>
      </c>
      <c r="F2300" s="48">
        <v>41183</v>
      </c>
      <c r="G2300" s="46"/>
      <c r="H2300" s="46" t="s">
        <v>40</v>
      </c>
      <c r="I2300" s="45">
        <f>31380+13628</f>
        <v>45008</v>
      </c>
      <c r="J2300" s="45">
        <f>8876+6814</f>
        <v>15690</v>
      </c>
      <c r="K2300" s="37" t="s">
        <v>8905</v>
      </c>
      <c r="L2300" s="45"/>
      <c r="M2300" s="3"/>
    </row>
    <row r="2301" spans="1:13" x14ac:dyDescent="0.25">
      <c r="A2301" s="46" t="s">
        <v>9209</v>
      </c>
      <c r="B2301" s="46" t="s">
        <v>11649</v>
      </c>
      <c r="C2301" s="46" t="s">
        <v>14</v>
      </c>
      <c r="D2301" s="47">
        <v>10419</v>
      </c>
      <c r="E2301" s="46" t="s">
        <v>9210</v>
      </c>
      <c r="F2301" s="48">
        <v>40868</v>
      </c>
      <c r="G2301" s="46"/>
      <c r="H2301" s="46" t="s">
        <v>40</v>
      </c>
      <c r="I2301" s="45">
        <v>7500</v>
      </c>
      <c r="J2301" s="45">
        <v>7500</v>
      </c>
      <c r="K2301" s="37" t="s">
        <v>8905</v>
      </c>
      <c r="L2301" s="45"/>
      <c r="M2301" s="3"/>
    </row>
    <row r="2302" spans="1:13" ht="38.25" x14ac:dyDescent="0.25">
      <c r="A2302" s="46" t="s">
        <v>9211</v>
      </c>
      <c r="B2302" s="46" t="s">
        <v>11649</v>
      </c>
      <c r="C2302" s="46" t="s">
        <v>14</v>
      </c>
      <c r="D2302" s="47">
        <v>10420</v>
      </c>
      <c r="E2302" s="46" t="s">
        <v>9212</v>
      </c>
      <c r="F2302" s="48">
        <v>40651</v>
      </c>
      <c r="G2302" s="46"/>
      <c r="H2302" s="46" t="s">
        <v>40</v>
      </c>
      <c r="I2302" s="45">
        <v>7500</v>
      </c>
      <c r="J2302" s="45">
        <v>7500</v>
      </c>
      <c r="K2302" s="37" t="s">
        <v>8905</v>
      </c>
      <c r="L2302" s="45"/>
      <c r="M2302" s="3"/>
    </row>
    <row r="2303" spans="1:13" x14ac:dyDescent="0.25">
      <c r="A2303" s="46" t="s">
        <v>9213</v>
      </c>
      <c r="B2303" s="46" t="s">
        <v>11649</v>
      </c>
      <c r="C2303" s="46" t="s">
        <v>14</v>
      </c>
      <c r="D2303" s="47">
        <v>10423</v>
      </c>
      <c r="E2303" s="46" t="s">
        <v>9214</v>
      </c>
      <c r="F2303" s="48">
        <v>40728</v>
      </c>
      <c r="G2303" s="46"/>
      <c r="H2303" s="46" t="s">
        <v>40</v>
      </c>
      <c r="I2303" s="45">
        <v>3750</v>
      </c>
      <c r="J2303" s="45">
        <v>3750</v>
      </c>
      <c r="K2303" s="37" t="s">
        <v>8905</v>
      </c>
      <c r="L2303" s="45"/>
      <c r="M2303" s="3"/>
    </row>
    <row r="2304" spans="1:13" ht="25.5" x14ac:dyDescent="0.25">
      <c r="A2304" s="46" t="s">
        <v>9219</v>
      </c>
      <c r="B2304" s="46" t="s">
        <v>11649</v>
      </c>
      <c r="C2304" s="46" t="s">
        <v>14</v>
      </c>
      <c r="D2304" s="47">
        <v>10428</v>
      </c>
      <c r="E2304" s="46" t="s">
        <v>9220</v>
      </c>
      <c r="F2304" s="48">
        <v>40868</v>
      </c>
      <c r="G2304" s="46"/>
      <c r="H2304" s="46" t="s">
        <v>40</v>
      </c>
      <c r="I2304" s="45">
        <f>19449.64+11949.64</f>
        <v>31399.279999999999</v>
      </c>
      <c r="J2304" s="45">
        <f>7500+5974.82</f>
        <v>13474.82</v>
      </c>
      <c r="K2304" s="37" t="s">
        <v>8905</v>
      </c>
      <c r="L2304" s="45"/>
      <c r="M2304" s="3"/>
    </row>
    <row r="2305" spans="1:13" ht="25.5" x14ac:dyDescent="0.25">
      <c r="A2305" s="46" t="s">
        <v>9235</v>
      </c>
      <c r="B2305" s="46" t="s">
        <v>11649</v>
      </c>
      <c r="C2305" s="46" t="s">
        <v>14</v>
      </c>
      <c r="D2305" s="47">
        <v>10533</v>
      </c>
      <c r="E2305" s="46" t="s">
        <v>9236</v>
      </c>
      <c r="F2305" s="48">
        <v>40868</v>
      </c>
      <c r="G2305" s="46"/>
      <c r="H2305" s="46" t="s">
        <v>40</v>
      </c>
      <c r="I2305" s="45">
        <v>134000</v>
      </c>
      <c r="J2305" s="45">
        <v>67000</v>
      </c>
      <c r="K2305" s="37" t="s">
        <v>8905</v>
      </c>
      <c r="L2305" s="45"/>
      <c r="M2305" s="3"/>
    </row>
    <row r="2306" spans="1:13" ht="25.5" x14ac:dyDescent="0.25">
      <c r="A2306" s="46" t="s">
        <v>9487</v>
      </c>
      <c r="B2306" s="46" t="s">
        <v>11649</v>
      </c>
      <c r="C2306" s="46" t="s">
        <v>14</v>
      </c>
      <c r="D2306" s="47">
        <v>5270</v>
      </c>
      <c r="E2306" s="46" t="s">
        <v>9488</v>
      </c>
      <c r="F2306" s="48">
        <v>40052</v>
      </c>
      <c r="G2306" s="48">
        <v>41639</v>
      </c>
      <c r="H2306" s="46" t="s">
        <v>40</v>
      </c>
      <c r="I2306" s="45">
        <v>6323</v>
      </c>
      <c r="J2306" s="45">
        <v>3161.5</v>
      </c>
      <c r="K2306" s="37" t="s">
        <v>9243</v>
      </c>
      <c r="L2306" s="46"/>
    </row>
    <row r="2307" spans="1:13" x14ac:dyDescent="0.25">
      <c r="A2307" s="46" t="s">
        <v>9532</v>
      </c>
      <c r="B2307" s="46" t="s">
        <v>11649</v>
      </c>
      <c r="C2307" s="46" t="s">
        <v>14</v>
      </c>
      <c r="D2307" s="47">
        <v>7636</v>
      </c>
      <c r="E2307" s="46" t="s">
        <v>9533</v>
      </c>
      <c r="F2307" s="48">
        <v>40344</v>
      </c>
      <c r="G2307" s="48">
        <v>40709</v>
      </c>
      <c r="H2307" s="46" t="s">
        <v>40</v>
      </c>
      <c r="I2307" s="45">
        <v>20000</v>
      </c>
      <c r="J2307" s="45">
        <v>10000</v>
      </c>
      <c r="K2307" s="37" t="s">
        <v>9243</v>
      </c>
      <c r="L2307" s="46"/>
    </row>
    <row r="2308" spans="1:13" x14ac:dyDescent="0.25">
      <c r="A2308" s="46" t="s">
        <v>9564</v>
      </c>
      <c r="B2308" s="46" t="s">
        <v>11649</v>
      </c>
      <c r="C2308" s="46" t="s">
        <v>14</v>
      </c>
      <c r="D2308" s="47">
        <v>7662</v>
      </c>
      <c r="E2308" s="46" t="s">
        <v>9565</v>
      </c>
      <c r="F2308" s="48">
        <v>40225</v>
      </c>
      <c r="G2308" s="48">
        <v>40590</v>
      </c>
      <c r="H2308" s="46" t="s">
        <v>40</v>
      </c>
      <c r="I2308" s="45">
        <v>3500</v>
      </c>
      <c r="J2308" s="45">
        <v>3500</v>
      </c>
      <c r="K2308" s="37" t="s">
        <v>9243</v>
      </c>
      <c r="L2308" s="46"/>
    </row>
    <row r="2309" spans="1:13" x14ac:dyDescent="0.25">
      <c r="A2309" s="46" t="s">
        <v>9568</v>
      </c>
      <c r="B2309" s="46" t="s">
        <v>11649</v>
      </c>
      <c r="C2309" s="46" t="s">
        <v>14</v>
      </c>
      <c r="D2309" s="47">
        <v>7664</v>
      </c>
      <c r="E2309" s="46" t="s">
        <v>9569</v>
      </c>
      <c r="F2309" s="48">
        <v>40197</v>
      </c>
      <c r="G2309" s="48">
        <v>40562</v>
      </c>
      <c r="H2309" s="46" t="s">
        <v>40</v>
      </c>
      <c r="I2309" s="45">
        <v>3750</v>
      </c>
      <c r="J2309" s="45">
        <v>3750</v>
      </c>
      <c r="K2309" s="37" t="s">
        <v>9243</v>
      </c>
      <c r="L2309" s="46"/>
    </row>
    <row r="2310" spans="1:13" ht="25.5" x14ac:dyDescent="0.25">
      <c r="A2310" s="46" t="s">
        <v>9570</v>
      </c>
      <c r="B2310" s="46" t="s">
        <v>11649</v>
      </c>
      <c r="C2310" s="46" t="s">
        <v>14</v>
      </c>
      <c r="D2310" s="47">
        <v>7665</v>
      </c>
      <c r="E2310" s="46" t="s">
        <v>9571</v>
      </c>
      <c r="F2310" s="48">
        <v>40197</v>
      </c>
      <c r="G2310" s="48">
        <v>40562</v>
      </c>
      <c r="H2310" s="46" t="s">
        <v>40</v>
      </c>
      <c r="I2310" s="45">
        <v>15000</v>
      </c>
      <c r="J2310" s="45">
        <v>7500</v>
      </c>
      <c r="K2310" s="37" t="s">
        <v>9243</v>
      </c>
      <c r="L2310" s="46"/>
    </row>
    <row r="2311" spans="1:13" x14ac:dyDescent="0.25">
      <c r="A2311" s="46" t="s">
        <v>9574</v>
      </c>
      <c r="B2311" s="46" t="s">
        <v>11649</v>
      </c>
      <c r="C2311" s="46" t="s">
        <v>14</v>
      </c>
      <c r="D2311" s="47">
        <v>7667</v>
      </c>
      <c r="E2311" s="46" t="s">
        <v>9575</v>
      </c>
      <c r="F2311" s="48">
        <v>40253</v>
      </c>
      <c r="G2311" s="48">
        <v>40618</v>
      </c>
      <c r="H2311" s="46" t="s">
        <v>40</v>
      </c>
      <c r="I2311" s="45">
        <v>34988</v>
      </c>
      <c r="J2311" s="45">
        <v>17494</v>
      </c>
      <c r="K2311" s="37" t="s">
        <v>9243</v>
      </c>
      <c r="L2311" s="46"/>
    </row>
    <row r="2312" spans="1:13" x14ac:dyDescent="0.25">
      <c r="A2312" s="46" t="s">
        <v>9578</v>
      </c>
      <c r="B2312" s="46" t="s">
        <v>11649</v>
      </c>
      <c r="C2312" s="46" t="s">
        <v>14</v>
      </c>
      <c r="D2312" s="47">
        <v>7670</v>
      </c>
      <c r="E2312" s="46" t="s">
        <v>9579</v>
      </c>
      <c r="F2312" s="48">
        <v>40344</v>
      </c>
      <c r="G2312" s="48">
        <v>40709</v>
      </c>
      <c r="H2312" s="46" t="s">
        <v>40</v>
      </c>
      <c r="I2312" s="45">
        <v>3000</v>
      </c>
      <c r="J2312" s="45">
        <v>1500</v>
      </c>
      <c r="K2312" s="37" t="s">
        <v>9243</v>
      </c>
      <c r="L2312" s="46"/>
    </row>
    <row r="2313" spans="1:13" ht="25.5" x14ac:dyDescent="0.25">
      <c r="A2313" s="46" t="s">
        <v>9580</v>
      </c>
      <c r="B2313" s="46" t="s">
        <v>11649</v>
      </c>
      <c r="C2313" s="46" t="s">
        <v>14</v>
      </c>
      <c r="D2313" s="47">
        <v>7671</v>
      </c>
      <c r="E2313" s="46" t="s">
        <v>9581</v>
      </c>
      <c r="F2313" s="48">
        <v>40253</v>
      </c>
      <c r="G2313" s="48">
        <v>40618</v>
      </c>
      <c r="H2313" s="46" t="s">
        <v>40</v>
      </c>
      <c r="I2313" s="45">
        <v>11250</v>
      </c>
      <c r="J2313" s="45">
        <v>11250</v>
      </c>
      <c r="K2313" s="37" t="s">
        <v>9243</v>
      </c>
      <c r="L2313" s="46"/>
    </row>
    <row r="2314" spans="1:13" x14ac:dyDescent="0.25">
      <c r="A2314" s="46" t="s">
        <v>9582</v>
      </c>
      <c r="B2314" s="46" t="s">
        <v>11649</v>
      </c>
      <c r="C2314" s="46" t="s">
        <v>14</v>
      </c>
      <c r="D2314" s="47">
        <v>7673</v>
      </c>
      <c r="E2314" s="46" t="s">
        <v>9583</v>
      </c>
      <c r="F2314" s="48">
        <v>40344</v>
      </c>
      <c r="G2314" s="48">
        <v>40709</v>
      </c>
      <c r="H2314" s="46" t="s">
        <v>40</v>
      </c>
      <c r="I2314" s="45">
        <v>177.62</v>
      </c>
      <c r="J2314" s="45">
        <v>8880.6</v>
      </c>
      <c r="K2314" s="37" t="s">
        <v>9243</v>
      </c>
      <c r="L2314" s="46"/>
    </row>
    <row r="2315" spans="1:13" x14ac:dyDescent="0.25">
      <c r="A2315" s="46" t="s">
        <v>9584</v>
      </c>
      <c r="B2315" s="46" t="s">
        <v>11649</v>
      </c>
      <c r="C2315" s="46" t="s">
        <v>14</v>
      </c>
      <c r="D2315" s="47">
        <v>7677</v>
      </c>
      <c r="E2315" s="46" t="s">
        <v>9585</v>
      </c>
      <c r="F2315" s="48">
        <v>40225</v>
      </c>
      <c r="G2315" s="48">
        <v>40590</v>
      </c>
      <c r="H2315" s="46" t="s">
        <v>40</v>
      </c>
      <c r="I2315" s="45">
        <v>14327.33</v>
      </c>
      <c r="J2315" s="45">
        <v>7163.61</v>
      </c>
      <c r="K2315" s="37" t="s">
        <v>9243</v>
      </c>
      <c r="L2315" s="46"/>
    </row>
    <row r="2316" spans="1:13" ht="25.5" x14ac:dyDescent="0.25">
      <c r="A2316" s="46" t="s">
        <v>9596</v>
      </c>
      <c r="B2316" s="46" t="s">
        <v>11649</v>
      </c>
      <c r="C2316" s="46" t="s">
        <v>14</v>
      </c>
      <c r="D2316" s="47">
        <v>7721</v>
      </c>
      <c r="E2316" s="46" t="s">
        <v>9597</v>
      </c>
      <c r="F2316" s="48">
        <v>40497</v>
      </c>
      <c r="G2316" s="48">
        <v>40862</v>
      </c>
      <c r="H2316" s="46" t="s">
        <v>40</v>
      </c>
      <c r="I2316" s="45">
        <v>7500</v>
      </c>
      <c r="J2316" s="45">
        <v>7500</v>
      </c>
      <c r="K2316" s="37" t="s">
        <v>9243</v>
      </c>
      <c r="L2316" s="46"/>
    </row>
    <row r="2317" spans="1:13" x14ac:dyDescent="0.25">
      <c r="A2317" s="46" t="s">
        <v>9608</v>
      </c>
      <c r="B2317" s="46" t="s">
        <v>11649</v>
      </c>
      <c r="C2317" s="46" t="s">
        <v>14</v>
      </c>
      <c r="D2317" s="47">
        <v>8573</v>
      </c>
      <c r="E2317" s="46" t="s">
        <v>9609</v>
      </c>
      <c r="F2317" s="48">
        <v>40659</v>
      </c>
      <c r="G2317" s="48">
        <v>41639</v>
      </c>
      <c r="H2317" s="46" t="s">
        <v>40</v>
      </c>
      <c r="I2317" s="45">
        <v>9996</v>
      </c>
      <c r="J2317" s="45">
        <v>4998</v>
      </c>
      <c r="K2317" s="37" t="s">
        <v>9243</v>
      </c>
      <c r="L2317" s="46"/>
    </row>
    <row r="2318" spans="1:13" ht="25.5" x14ac:dyDescent="0.25">
      <c r="A2318" s="46" t="s">
        <v>9612</v>
      </c>
      <c r="B2318" s="46" t="s">
        <v>11649</v>
      </c>
      <c r="C2318" s="46" t="s">
        <v>14</v>
      </c>
      <c r="D2318" s="47">
        <v>8575</v>
      </c>
      <c r="E2318" s="46" t="s">
        <v>9613</v>
      </c>
      <c r="F2318" s="48">
        <v>40568</v>
      </c>
      <c r="G2318" s="48">
        <v>41639</v>
      </c>
      <c r="H2318" s="46" t="s">
        <v>40</v>
      </c>
      <c r="I2318" s="45">
        <v>30000</v>
      </c>
      <c r="J2318" s="45">
        <v>30000</v>
      </c>
      <c r="K2318" s="37" t="s">
        <v>9243</v>
      </c>
      <c r="L2318" s="46"/>
    </row>
    <row r="2319" spans="1:13" x14ac:dyDescent="0.25">
      <c r="A2319" s="46" t="s">
        <v>9616</v>
      </c>
      <c r="B2319" s="46" t="s">
        <v>11649</v>
      </c>
      <c r="C2319" s="46" t="s">
        <v>14</v>
      </c>
      <c r="D2319" s="47">
        <v>8578</v>
      </c>
      <c r="E2319" s="46" t="s">
        <v>9617</v>
      </c>
      <c r="F2319" s="48">
        <v>40869</v>
      </c>
      <c r="G2319" s="48">
        <v>41639</v>
      </c>
      <c r="H2319" s="46" t="s">
        <v>40</v>
      </c>
      <c r="I2319" s="45">
        <v>7500</v>
      </c>
      <c r="J2319" s="45">
        <v>7500</v>
      </c>
      <c r="K2319" s="37" t="s">
        <v>9243</v>
      </c>
      <c r="L2319" s="46"/>
    </row>
    <row r="2320" spans="1:13" x14ac:dyDescent="0.25">
      <c r="A2320" s="46" t="s">
        <v>9618</v>
      </c>
      <c r="B2320" s="46" t="s">
        <v>11649</v>
      </c>
      <c r="C2320" s="46" t="s">
        <v>14</v>
      </c>
      <c r="D2320" s="47">
        <v>8579</v>
      </c>
      <c r="E2320" s="46" t="s">
        <v>9619</v>
      </c>
      <c r="F2320" s="48">
        <v>40750</v>
      </c>
      <c r="G2320" s="48">
        <v>41639</v>
      </c>
      <c r="H2320" s="46" t="s">
        <v>40</v>
      </c>
      <c r="I2320" s="45">
        <v>3750</v>
      </c>
      <c r="J2320" s="45">
        <v>3750</v>
      </c>
      <c r="K2320" s="37" t="s">
        <v>9243</v>
      </c>
      <c r="L2320" s="46"/>
    </row>
    <row r="2321" spans="1:13" x14ac:dyDescent="0.25">
      <c r="A2321" s="46" t="s">
        <v>9630</v>
      </c>
      <c r="B2321" s="46" t="s">
        <v>11649</v>
      </c>
      <c r="C2321" s="46" t="s">
        <v>14</v>
      </c>
      <c r="D2321" s="47">
        <v>8589</v>
      </c>
      <c r="E2321" s="46" t="s">
        <v>9631</v>
      </c>
      <c r="F2321" s="48">
        <v>40470</v>
      </c>
      <c r="G2321" s="48">
        <v>41639</v>
      </c>
      <c r="H2321" s="46" t="s">
        <v>40</v>
      </c>
      <c r="I2321" s="45">
        <v>30000</v>
      </c>
      <c r="J2321" s="45">
        <v>15000</v>
      </c>
      <c r="K2321" s="37" t="s">
        <v>9243</v>
      </c>
      <c r="L2321" s="46"/>
    </row>
    <row r="2322" spans="1:13" x14ac:dyDescent="0.25">
      <c r="A2322" s="46" t="s">
        <v>9634</v>
      </c>
      <c r="B2322" s="46" t="s">
        <v>11649</v>
      </c>
      <c r="C2322" s="46" t="s">
        <v>14</v>
      </c>
      <c r="D2322" s="47">
        <v>8610</v>
      </c>
      <c r="E2322" s="46" t="s">
        <v>9635</v>
      </c>
      <c r="F2322" s="48">
        <v>40568</v>
      </c>
      <c r="G2322" s="48">
        <v>41639</v>
      </c>
      <c r="H2322" s="46" t="s">
        <v>40</v>
      </c>
      <c r="I2322" s="45">
        <v>19713.54</v>
      </c>
      <c r="J2322" s="45">
        <v>13606.77</v>
      </c>
      <c r="K2322" s="37" t="s">
        <v>9243</v>
      </c>
      <c r="L2322" s="46"/>
    </row>
    <row r="2323" spans="1:13" ht="25.5" x14ac:dyDescent="0.25">
      <c r="A2323" s="46" t="s">
        <v>9564</v>
      </c>
      <c r="B2323" s="46" t="s">
        <v>11649</v>
      </c>
      <c r="C2323" s="46" t="s">
        <v>14</v>
      </c>
      <c r="D2323" s="47">
        <v>8612</v>
      </c>
      <c r="E2323" s="46" t="s">
        <v>9638</v>
      </c>
      <c r="F2323" s="48">
        <v>40497</v>
      </c>
      <c r="G2323" s="48">
        <v>41639</v>
      </c>
      <c r="H2323" s="46" t="s">
        <v>40</v>
      </c>
      <c r="I2323" s="45">
        <f>42500+55000</f>
        <v>97500</v>
      </c>
      <c r="J2323" s="45">
        <f>7500+35000</f>
        <v>42500</v>
      </c>
      <c r="K2323" s="37" t="s">
        <v>9243</v>
      </c>
      <c r="L2323" s="46"/>
    </row>
    <row r="2324" spans="1:13" x14ac:dyDescent="0.25">
      <c r="A2324" s="46" t="s">
        <v>9639</v>
      </c>
      <c r="B2324" s="46" t="s">
        <v>11649</v>
      </c>
      <c r="C2324" s="46" t="s">
        <v>14</v>
      </c>
      <c r="D2324" s="47">
        <v>8614</v>
      </c>
      <c r="E2324" s="46" t="s">
        <v>9640</v>
      </c>
      <c r="F2324" s="48">
        <v>40815</v>
      </c>
      <c r="G2324" s="48">
        <v>41639</v>
      </c>
      <c r="H2324" s="46" t="s">
        <v>40</v>
      </c>
      <c r="I2324" s="45">
        <v>79086.14</v>
      </c>
      <c r="J2324" s="45">
        <v>39543.07</v>
      </c>
      <c r="K2324" s="37" t="s">
        <v>9243</v>
      </c>
      <c r="L2324" s="46"/>
    </row>
    <row r="2325" spans="1:13" x14ac:dyDescent="0.25">
      <c r="A2325" s="46" t="s">
        <v>9643</v>
      </c>
      <c r="B2325" s="46" t="s">
        <v>11649</v>
      </c>
      <c r="C2325" s="46" t="s">
        <v>14</v>
      </c>
      <c r="D2325" s="47">
        <v>8617</v>
      </c>
      <c r="E2325" s="46" t="s">
        <v>9644</v>
      </c>
      <c r="F2325" s="48">
        <v>40750</v>
      </c>
      <c r="G2325" s="48">
        <v>41639</v>
      </c>
      <c r="H2325" s="46" t="s">
        <v>40</v>
      </c>
      <c r="I2325" s="45">
        <v>6000</v>
      </c>
      <c r="J2325" s="45">
        <v>3000</v>
      </c>
      <c r="K2325" s="37" t="s">
        <v>9243</v>
      </c>
      <c r="L2325" s="46"/>
    </row>
    <row r="2326" spans="1:13" ht="25.5" x14ac:dyDescent="0.25">
      <c r="A2326" s="46" t="s">
        <v>9645</v>
      </c>
      <c r="B2326" s="46" t="s">
        <v>11649</v>
      </c>
      <c r="C2326" s="46" t="s">
        <v>14</v>
      </c>
      <c r="D2326" s="47">
        <v>8618</v>
      </c>
      <c r="E2326" s="46" t="s">
        <v>9646</v>
      </c>
      <c r="F2326" s="48">
        <v>40869</v>
      </c>
      <c r="G2326" s="48">
        <v>41639</v>
      </c>
      <c r="H2326" s="46" t="s">
        <v>40</v>
      </c>
      <c r="I2326" s="45">
        <v>15000</v>
      </c>
      <c r="J2326" s="45">
        <v>15000</v>
      </c>
      <c r="K2326" s="37" t="s">
        <v>9243</v>
      </c>
      <c r="L2326" s="46"/>
    </row>
    <row r="2327" spans="1:13" x14ac:dyDescent="0.25">
      <c r="A2327" s="46" t="s">
        <v>9712</v>
      </c>
      <c r="B2327" s="46" t="s">
        <v>11649</v>
      </c>
      <c r="C2327" s="46" t="s">
        <v>14</v>
      </c>
      <c r="D2327" s="47">
        <v>10528</v>
      </c>
      <c r="E2327" s="46" t="s">
        <v>9713</v>
      </c>
      <c r="F2327" s="48">
        <v>40939</v>
      </c>
      <c r="G2327" s="48">
        <v>41274</v>
      </c>
      <c r="H2327" s="46" t="s">
        <v>40</v>
      </c>
      <c r="I2327" s="45">
        <v>55994.080000000002</v>
      </c>
      <c r="J2327" s="45">
        <v>27997.040000000001</v>
      </c>
      <c r="K2327" s="37" t="s">
        <v>9243</v>
      </c>
      <c r="L2327" s="46"/>
    </row>
    <row r="2328" spans="1:13" x14ac:dyDescent="0.25">
      <c r="A2328" s="46" t="s">
        <v>9716</v>
      </c>
      <c r="B2328" s="46" t="s">
        <v>11649</v>
      </c>
      <c r="C2328" s="46" t="s">
        <v>14</v>
      </c>
      <c r="D2328" s="47">
        <v>10531</v>
      </c>
      <c r="E2328" s="46" t="s">
        <v>9617</v>
      </c>
      <c r="F2328" s="48">
        <v>40967</v>
      </c>
      <c r="G2328" s="48">
        <v>41274</v>
      </c>
      <c r="H2328" s="46" t="s">
        <v>40</v>
      </c>
      <c r="I2328" s="45">
        <v>15000</v>
      </c>
      <c r="J2328" s="45">
        <v>15000</v>
      </c>
      <c r="K2328" s="37" t="s">
        <v>9243</v>
      </c>
      <c r="L2328" s="45"/>
      <c r="M2328" s="3"/>
    </row>
    <row r="2329" spans="1:13" ht="38.25" x14ac:dyDescent="0.25">
      <c r="A2329" s="46" t="s">
        <v>9721</v>
      </c>
      <c r="B2329" s="46" t="s">
        <v>11649</v>
      </c>
      <c r="C2329" s="46" t="s">
        <v>14</v>
      </c>
      <c r="D2329" s="47">
        <v>10536</v>
      </c>
      <c r="E2329" s="46" t="s">
        <v>9722</v>
      </c>
      <c r="F2329" s="48">
        <v>41205</v>
      </c>
      <c r="G2329" s="48">
        <v>41274</v>
      </c>
      <c r="H2329" s="46" t="s">
        <v>40</v>
      </c>
      <c r="I2329" s="45">
        <v>200000</v>
      </c>
      <c r="J2329" s="45">
        <v>100000</v>
      </c>
      <c r="K2329" s="37" t="s">
        <v>9243</v>
      </c>
      <c r="L2329" s="45"/>
      <c r="M2329" s="3"/>
    </row>
    <row r="2330" spans="1:13" ht="25.5" x14ac:dyDescent="0.25">
      <c r="A2330" s="46" t="s">
        <v>9723</v>
      </c>
      <c r="B2330" s="46" t="s">
        <v>11649</v>
      </c>
      <c r="C2330" s="46" t="s">
        <v>14</v>
      </c>
      <c r="D2330" s="47">
        <v>10537</v>
      </c>
      <c r="E2330" s="46" t="s">
        <v>9724</v>
      </c>
      <c r="F2330" s="48">
        <v>41170</v>
      </c>
      <c r="G2330" s="48">
        <v>41274</v>
      </c>
      <c r="H2330" s="46" t="s">
        <v>40</v>
      </c>
      <c r="I2330" s="45">
        <v>800</v>
      </c>
      <c r="J2330" s="45">
        <v>400</v>
      </c>
      <c r="K2330" s="37" t="s">
        <v>9243</v>
      </c>
      <c r="L2330" s="45"/>
      <c r="M2330" s="3"/>
    </row>
    <row r="2331" spans="1:13" ht="25.5" x14ac:dyDescent="0.25">
      <c r="A2331" s="46" t="s">
        <v>9729</v>
      </c>
      <c r="B2331" s="46" t="s">
        <v>11649</v>
      </c>
      <c r="C2331" s="46" t="s">
        <v>14</v>
      </c>
      <c r="D2331" s="47">
        <v>10540</v>
      </c>
      <c r="E2331" s="46" t="s">
        <v>9730</v>
      </c>
      <c r="F2331" s="48">
        <v>40939</v>
      </c>
      <c r="G2331" s="48">
        <v>41274</v>
      </c>
      <c r="H2331" s="46" t="s">
        <v>40</v>
      </c>
      <c r="I2331" s="45">
        <v>17566</v>
      </c>
      <c r="J2331" s="45">
        <v>12533</v>
      </c>
      <c r="K2331" s="37" t="s">
        <v>9243</v>
      </c>
      <c r="L2331" s="45"/>
      <c r="M2331" s="3"/>
    </row>
    <row r="2332" spans="1:13" x14ac:dyDescent="0.25">
      <c r="A2332" s="46" t="s">
        <v>9731</v>
      </c>
      <c r="B2332" s="46" t="s">
        <v>11649</v>
      </c>
      <c r="C2332" s="46" t="s">
        <v>14</v>
      </c>
      <c r="D2332" s="47">
        <v>10548</v>
      </c>
      <c r="E2332" s="46" t="s">
        <v>9732</v>
      </c>
      <c r="F2332" s="48">
        <v>41086</v>
      </c>
      <c r="G2332" s="48">
        <v>41274</v>
      </c>
      <c r="H2332" s="46" t="s">
        <v>40</v>
      </c>
      <c r="I2332" s="45">
        <v>5000</v>
      </c>
      <c r="J2332" s="45">
        <v>5000</v>
      </c>
      <c r="K2332" s="37" t="s">
        <v>9243</v>
      </c>
      <c r="L2332" s="45"/>
      <c r="M2332" s="3"/>
    </row>
    <row r="2333" spans="1:13" ht="38.25" x14ac:dyDescent="0.25">
      <c r="A2333" s="46" t="s">
        <v>9735</v>
      </c>
      <c r="B2333" s="46" t="s">
        <v>11649</v>
      </c>
      <c r="C2333" s="46" t="s">
        <v>14</v>
      </c>
      <c r="D2333" s="47">
        <v>10550</v>
      </c>
      <c r="E2333" s="46" t="s">
        <v>9736</v>
      </c>
      <c r="F2333" s="48">
        <v>41002</v>
      </c>
      <c r="G2333" s="48">
        <v>41274</v>
      </c>
      <c r="H2333" s="46" t="s">
        <v>40</v>
      </c>
      <c r="I2333" s="45">
        <v>4150</v>
      </c>
      <c r="J2333" s="45">
        <v>3950</v>
      </c>
      <c r="K2333" s="37" t="s">
        <v>9243</v>
      </c>
      <c r="L2333" s="45"/>
      <c r="M2333" s="3"/>
    </row>
    <row r="2334" spans="1:13" ht="38.25" x14ac:dyDescent="0.25">
      <c r="A2334" s="46" t="s">
        <v>9737</v>
      </c>
      <c r="B2334" s="46" t="s">
        <v>11649</v>
      </c>
      <c r="C2334" s="46" t="s">
        <v>14</v>
      </c>
      <c r="D2334" s="47">
        <v>10551</v>
      </c>
      <c r="E2334" s="46" t="s">
        <v>9738</v>
      </c>
      <c r="F2334" s="48">
        <v>40939</v>
      </c>
      <c r="G2334" s="48">
        <v>41274</v>
      </c>
      <c r="H2334" s="46" t="s">
        <v>40</v>
      </c>
      <c r="I2334" s="45">
        <v>3800</v>
      </c>
      <c r="J2334" s="45">
        <v>1900</v>
      </c>
      <c r="K2334" s="37" t="s">
        <v>9243</v>
      </c>
      <c r="L2334" s="45"/>
      <c r="M2334" s="3"/>
    </row>
    <row r="2335" spans="1:13" ht="38.25" x14ac:dyDescent="0.25">
      <c r="A2335" s="46" t="s">
        <v>9739</v>
      </c>
      <c r="B2335" s="46" t="s">
        <v>11649</v>
      </c>
      <c r="C2335" s="46" t="s">
        <v>14</v>
      </c>
      <c r="D2335" s="47">
        <v>10552</v>
      </c>
      <c r="E2335" s="46" t="s">
        <v>9740</v>
      </c>
      <c r="F2335" s="48">
        <v>40967</v>
      </c>
      <c r="G2335" s="48">
        <v>41274</v>
      </c>
      <c r="H2335" s="46" t="s">
        <v>40</v>
      </c>
      <c r="I2335" s="45">
        <v>22500</v>
      </c>
      <c r="J2335" s="45">
        <v>22500</v>
      </c>
      <c r="K2335" s="37" t="s">
        <v>9243</v>
      </c>
      <c r="L2335" s="45"/>
      <c r="M2335" s="3"/>
    </row>
    <row r="2336" spans="1:13" x14ac:dyDescent="0.25">
      <c r="A2336" s="46" t="s">
        <v>9743</v>
      </c>
      <c r="B2336" s="46" t="s">
        <v>11649</v>
      </c>
      <c r="C2336" s="46" t="s">
        <v>14</v>
      </c>
      <c r="D2336" s="47">
        <v>10554</v>
      </c>
      <c r="E2336" s="46" t="s">
        <v>9744</v>
      </c>
      <c r="F2336" s="48">
        <v>41240</v>
      </c>
      <c r="G2336" s="48">
        <v>41274</v>
      </c>
      <c r="H2336" s="46" t="s">
        <v>40</v>
      </c>
      <c r="I2336" s="45">
        <v>43370</v>
      </c>
      <c r="J2336" s="45">
        <v>21685</v>
      </c>
      <c r="K2336" s="37" t="s">
        <v>9243</v>
      </c>
      <c r="L2336" s="45"/>
      <c r="M2336" s="3"/>
    </row>
    <row r="2337" spans="1:13" ht="38.25" x14ac:dyDescent="0.25">
      <c r="A2337" s="46" t="s">
        <v>9745</v>
      </c>
      <c r="B2337" s="46" t="s">
        <v>11649</v>
      </c>
      <c r="C2337" s="46" t="s">
        <v>14</v>
      </c>
      <c r="D2337" s="47">
        <v>10555</v>
      </c>
      <c r="E2337" s="46" t="s">
        <v>9746</v>
      </c>
      <c r="F2337" s="48">
        <v>41051</v>
      </c>
      <c r="G2337" s="48">
        <v>41274</v>
      </c>
      <c r="H2337" s="46" t="s">
        <v>40</v>
      </c>
      <c r="I2337" s="45">
        <v>10129.379999999999</v>
      </c>
      <c r="J2337" s="45">
        <v>8814.69</v>
      </c>
      <c r="K2337" s="37" t="s">
        <v>9243</v>
      </c>
      <c r="L2337" s="45"/>
      <c r="M2337" s="3"/>
    </row>
    <row r="2338" spans="1:13" ht="38.25" x14ac:dyDescent="0.25">
      <c r="A2338" s="46" t="s">
        <v>10036</v>
      </c>
      <c r="B2338" s="46" t="s">
        <v>11649</v>
      </c>
      <c r="C2338" s="46" t="s">
        <v>14</v>
      </c>
      <c r="D2338" s="47">
        <v>7233</v>
      </c>
      <c r="E2338" s="46" t="s">
        <v>10037</v>
      </c>
      <c r="F2338" s="48">
        <v>40359</v>
      </c>
      <c r="G2338" s="48">
        <v>40723</v>
      </c>
      <c r="H2338" s="46" t="s">
        <v>40</v>
      </c>
      <c r="I2338" s="45">
        <v>25000</v>
      </c>
      <c r="J2338" s="45">
        <v>15000</v>
      </c>
      <c r="K2338" s="37" t="s">
        <v>9751</v>
      </c>
      <c r="L2338" s="45"/>
      <c r="M2338" s="3"/>
    </row>
    <row r="2339" spans="1:13" ht="25.5" x14ac:dyDescent="0.25">
      <c r="A2339" s="46" t="s">
        <v>10048</v>
      </c>
      <c r="B2339" s="46" t="s">
        <v>11649</v>
      </c>
      <c r="C2339" s="46" t="s">
        <v>14</v>
      </c>
      <c r="D2339" s="47">
        <v>7239</v>
      </c>
      <c r="E2339" s="46" t="s">
        <v>10049</v>
      </c>
      <c r="F2339" s="48">
        <v>40233</v>
      </c>
      <c r="G2339" s="48">
        <v>40597</v>
      </c>
      <c r="H2339" s="46" t="s">
        <v>40</v>
      </c>
      <c r="I2339" s="45">
        <v>7500</v>
      </c>
      <c r="J2339" s="45">
        <v>7500</v>
      </c>
      <c r="K2339" s="37" t="s">
        <v>9751</v>
      </c>
      <c r="L2339" s="45"/>
      <c r="M2339" s="3"/>
    </row>
    <row r="2340" spans="1:13" ht="51" x14ac:dyDescent="0.25">
      <c r="A2340" s="46" t="s">
        <v>10087</v>
      </c>
      <c r="B2340" s="46" t="s">
        <v>11649</v>
      </c>
      <c r="C2340" s="46" t="s">
        <v>14</v>
      </c>
      <c r="D2340" s="47">
        <v>8521</v>
      </c>
      <c r="E2340" s="50" t="s">
        <v>10088</v>
      </c>
      <c r="F2340" s="48">
        <v>40443</v>
      </c>
      <c r="G2340" s="48">
        <v>40808</v>
      </c>
      <c r="H2340" s="46" t="s">
        <v>40</v>
      </c>
      <c r="I2340" s="45">
        <v>7500</v>
      </c>
      <c r="J2340" s="45">
        <v>7500</v>
      </c>
      <c r="K2340" s="37" t="s">
        <v>9751</v>
      </c>
      <c r="L2340" s="45"/>
      <c r="M2340" s="3"/>
    </row>
    <row r="2341" spans="1:13" x14ac:dyDescent="0.25">
      <c r="A2341" s="46" t="s">
        <v>10089</v>
      </c>
      <c r="B2341" s="46" t="s">
        <v>11649</v>
      </c>
      <c r="C2341" s="46" t="s">
        <v>14</v>
      </c>
      <c r="D2341" s="47">
        <v>8522</v>
      </c>
      <c r="E2341" s="46" t="s">
        <v>10090</v>
      </c>
      <c r="F2341" s="48">
        <v>40814</v>
      </c>
      <c r="G2341" s="48">
        <v>41180</v>
      </c>
      <c r="H2341" s="46" t="s">
        <v>40</v>
      </c>
      <c r="I2341" s="45">
        <v>18750</v>
      </c>
      <c r="J2341" s="45">
        <v>11250</v>
      </c>
      <c r="K2341" s="37" t="s">
        <v>9751</v>
      </c>
      <c r="L2341" s="45"/>
      <c r="M2341" s="3"/>
    </row>
    <row r="2342" spans="1:13" ht="25.5" x14ac:dyDescent="0.25">
      <c r="A2342" s="46" t="s">
        <v>10093</v>
      </c>
      <c r="B2342" s="46" t="s">
        <v>11649</v>
      </c>
      <c r="C2342" s="46" t="s">
        <v>14</v>
      </c>
      <c r="D2342" s="47">
        <v>8524</v>
      </c>
      <c r="E2342" s="46" t="s">
        <v>10094</v>
      </c>
      <c r="F2342" s="48">
        <v>40610</v>
      </c>
      <c r="G2342" s="48">
        <v>40976</v>
      </c>
      <c r="H2342" s="46" t="s">
        <v>40</v>
      </c>
      <c r="I2342" s="45">
        <v>3750</v>
      </c>
      <c r="J2342" s="45">
        <v>3750</v>
      </c>
      <c r="K2342" s="37" t="s">
        <v>9751</v>
      </c>
      <c r="L2342" s="45"/>
      <c r="M2342" s="3"/>
    </row>
    <row r="2343" spans="1:13" ht="25.5" x14ac:dyDescent="0.25">
      <c r="A2343" s="46" t="s">
        <v>10095</v>
      </c>
      <c r="B2343" s="46" t="s">
        <v>11649</v>
      </c>
      <c r="C2343" s="46" t="s">
        <v>14</v>
      </c>
      <c r="D2343" s="47">
        <v>8525</v>
      </c>
      <c r="E2343" s="46" t="s">
        <v>10094</v>
      </c>
      <c r="F2343" s="48">
        <v>40842</v>
      </c>
      <c r="G2343" s="48">
        <v>41239</v>
      </c>
      <c r="H2343" s="46" t="s">
        <v>40</v>
      </c>
      <c r="I2343" s="45">
        <v>18811.04</v>
      </c>
      <c r="J2343" s="45">
        <v>9405.52</v>
      </c>
      <c r="K2343" s="37" t="s">
        <v>9751</v>
      </c>
      <c r="L2343" s="45"/>
      <c r="M2343" s="3"/>
    </row>
    <row r="2344" spans="1:13" ht="25.5" x14ac:dyDescent="0.25">
      <c r="A2344" s="46" t="s">
        <v>10096</v>
      </c>
      <c r="B2344" s="46" t="s">
        <v>11649</v>
      </c>
      <c r="C2344" s="46" t="s">
        <v>14</v>
      </c>
      <c r="D2344" s="47">
        <v>8526</v>
      </c>
      <c r="E2344" s="46" t="s">
        <v>10097</v>
      </c>
      <c r="F2344" s="48">
        <v>40555</v>
      </c>
      <c r="G2344" s="48">
        <v>40920</v>
      </c>
      <c r="H2344" s="46" t="s">
        <v>40</v>
      </c>
      <c r="I2344" s="45">
        <v>87189.16</v>
      </c>
      <c r="J2344" s="45">
        <v>47344.58</v>
      </c>
      <c r="K2344" s="37" t="s">
        <v>9751</v>
      </c>
      <c r="L2344" s="45"/>
      <c r="M2344" s="3"/>
    </row>
    <row r="2345" spans="1:13" ht="38.25" x14ac:dyDescent="0.25">
      <c r="A2345" s="46" t="s">
        <v>10104</v>
      </c>
      <c r="B2345" s="46" t="s">
        <v>11649</v>
      </c>
      <c r="C2345" s="46" t="s">
        <v>14</v>
      </c>
      <c r="D2345" s="47">
        <v>8530</v>
      </c>
      <c r="E2345" s="50" t="s">
        <v>10105</v>
      </c>
      <c r="F2345" s="48">
        <v>40610</v>
      </c>
      <c r="G2345" s="48">
        <v>40976</v>
      </c>
      <c r="H2345" s="46" t="s">
        <v>40</v>
      </c>
      <c r="I2345" s="45">
        <v>13958.94</v>
      </c>
      <c r="J2345" s="45">
        <v>11979.47</v>
      </c>
      <c r="K2345" s="37" t="s">
        <v>9751</v>
      </c>
      <c r="L2345" s="45"/>
      <c r="M2345" s="3"/>
    </row>
    <row r="2346" spans="1:13" ht="51" x14ac:dyDescent="0.25">
      <c r="A2346" s="46" t="s">
        <v>10114</v>
      </c>
      <c r="B2346" s="46" t="s">
        <v>11649</v>
      </c>
      <c r="C2346" s="46" t="s">
        <v>14</v>
      </c>
      <c r="D2346" s="47">
        <v>8535</v>
      </c>
      <c r="E2346" s="50" t="s">
        <v>10115</v>
      </c>
      <c r="F2346" s="48">
        <v>40555</v>
      </c>
      <c r="G2346" s="48">
        <v>40920</v>
      </c>
      <c r="H2346" s="46" t="s">
        <v>40</v>
      </c>
      <c r="I2346" s="45">
        <v>120000</v>
      </c>
      <c r="J2346" s="45">
        <v>60000</v>
      </c>
      <c r="K2346" s="37" t="s">
        <v>9751</v>
      </c>
      <c r="L2346" s="45"/>
      <c r="M2346" s="3"/>
    </row>
    <row r="2347" spans="1:13" x14ac:dyDescent="0.25">
      <c r="A2347" s="46" t="s">
        <v>10122</v>
      </c>
      <c r="B2347" s="46" t="s">
        <v>11649</v>
      </c>
      <c r="C2347" s="46" t="s">
        <v>14</v>
      </c>
      <c r="D2347" s="47">
        <v>8540</v>
      </c>
      <c r="E2347" s="46" t="s">
        <v>10123</v>
      </c>
      <c r="F2347" s="48">
        <v>40667</v>
      </c>
      <c r="G2347" s="48">
        <v>41033</v>
      </c>
      <c r="H2347" s="46" t="s">
        <v>40</v>
      </c>
      <c r="I2347" s="45">
        <v>33055.339999999997</v>
      </c>
      <c r="J2347" s="45">
        <v>16527.669999999998</v>
      </c>
      <c r="K2347" s="37" t="s">
        <v>9751</v>
      </c>
      <c r="L2347" s="45"/>
      <c r="M2347" s="3"/>
    </row>
    <row r="2348" spans="1:13" ht="25.5" x14ac:dyDescent="0.25">
      <c r="A2348" s="46" t="s">
        <v>10140</v>
      </c>
      <c r="B2348" s="46" t="s">
        <v>11649</v>
      </c>
      <c r="C2348" s="46" t="s">
        <v>14</v>
      </c>
      <c r="D2348" s="47">
        <v>10334</v>
      </c>
      <c r="E2348" s="46" t="s">
        <v>10141</v>
      </c>
      <c r="F2348" s="48">
        <v>41087</v>
      </c>
      <c r="G2348" s="48">
        <v>41451</v>
      </c>
      <c r="H2348" s="46" t="s">
        <v>40</v>
      </c>
      <c r="I2348" s="45">
        <f>45394+3750</f>
        <v>49144</v>
      </c>
      <c r="J2348" s="45">
        <f>22697+3750</f>
        <v>26447</v>
      </c>
      <c r="K2348" s="37" t="s">
        <v>9751</v>
      </c>
      <c r="L2348" s="45"/>
      <c r="M2348" s="3"/>
    </row>
    <row r="2349" spans="1:13" ht="38.25" x14ac:dyDescent="0.25">
      <c r="A2349" s="46" t="s">
        <v>10142</v>
      </c>
      <c r="B2349" s="46" t="s">
        <v>11649</v>
      </c>
      <c r="C2349" s="46" t="s">
        <v>14</v>
      </c>
      <c r="D2349" s="47">
        <v>10335</v>
      </c>
      <c r="E2349" s="46" t="s">
        <v>10143</v>
      </c>
      <c r="F2349" s="48">
        <v>40961</v>
      </c>
      <c r="G2349" s="48">
        <v>41326</v>
      </c>
      <c r="H2349" s="46" t="s">
        <v>40</v>
      </c>
      <c r="I2349" s="45">
        <f>20900+5500</f>
        <v>26400</v>
      </c>
      <c r="J2349" s="45">
        <f>10450+5500</f>
        <v>15950</v>
      </c>
      <c r="K2349" s="37" t="s">
        <v>9751</v>
      </c>
      <c r="L2349" s="45"/>
      <c r="M2349" s="3"/>
    </row>
    <row r="2350" spans="1:13" ht="38.25" x14ac:dyDescent="0.25">
      <c r="A2350" s="46" t="s">
        <v>10144</v>
      </c>
      <c r="B2350" s="46" t="s">
        <v>11649</v>
      </c>
      <c r="C2350" s="46" t="s">
        <v>14</v>
      </c>
      <c r="D2350" s="47">
        <v>10336</v>
      </c>
      <c r="E2350" s="46" t="s">
        <v>10145</v>
      </c>
      <c r="F2350" s="48">
        <v>41024</v>
      </c>
      <c r="G2350" s="48">
        <v>41388</v>
      </c>
      <c r="H2350" s="46" t="s">
        <v>40</v>
      </c>
      <c r="I2350" s="45">
        <v>12000</v>
      </c>
      <c r="J2350" s="45">
        <v>6000</v>
      </c>
      <c r="K2350" s="37" t="s">
        <v>9751</v>
      </c>
      <c r="L2350" s="45"/>
      <c r="M2350" s="3"/>
    </row>
    <row r="2351" spans="1:13" x14ac:dyDescent="0.25">
      <c r="A2351" s="46" t="s">
        <v>10150</v>
      </c>
      <c r="B2351" s="46" t="s">
        <v>11649</v>
      </c>
      <c r="C2351" s="46" t="s">
        <v>14</v>
      </c>
      <c r="D2351" s="47">
        <v>10339</v>
      </c>
      <c r="E2351" s="46" t="s">
        <v>10151</v>
      </c>
      <c r="F2351" s="48">
        <v>40961</v>
      </c>
      <c r="G2351" s="48">
        <v>41326</v>
      </c>
      <c r="H2351" s="46" t="s">
        <v>40</v>
      </c>
      <c r="I2351" s="45">
        <f>18375+3750</f>
        <v>22125</v>
      </c>
      <c r="J2351" s="45">
        <f>9187.5+3750</f>
        <v>12937.5</v>
      </c>
      <c r="K2351" s="37" t="s">
        <v>9751</v>
      </c>
      <c r="L2351" s="45"/>
      <c r="M2351" s="3"/>
    </row>
    <row r="2352" spans="1:13" x14ac:dyDescent="0.25">
      <c r="A2352" s="46" t="s">
        <v>10160</v>
      </c>
      <c r="B2352" s="46" t="s">
        <v>11649</v>
      </c>
      <c r="C2352" s="46" t="s">
        <v>14</v>
      </c>
      <c r="D2352" s="47">
        <v>10344</v>
      </c>
      <c r="E2352" s="46" t="s">
        <v>10161</v>
      </c>
      <c r="F2352" s="48">
        <v>41087</v>
      </c>
      <c r="G2352" s="48">
        <v>41451</v>
      </c>
      <c r="H2352" s="46" t="s">
        <v>40</v>
      </c>
      <c r="I2352" s="45">
        <f>16697.64+3750</f>
        <v>20447.64</v>
      </c>
      <c r="J2352" s="45">
        <f>8348.82+3750</f>
        <v>12098.82</v>
      </c>
      <c r="K2352" s="37" t="s">
        <v>9751</v>
      </c>
      <c r="L2352" s="45"/>
      <c r="M2352" s="3"/>
    </row>
    <row r="2353" spans="1:13" ht="51" x14ac:dyDescent="0.25">
      <c r="A2353" s="46" t="s">
        <v>10162</v>
      </c>
      <c r="B2353" s="46" t="s">
        <v>11649</v>
      </c>
      <c r="C2353" s="46" t="s">
        <v>14</v>
      </c>
      <c r="D2353" s="47">
        <v>10345</v>
      </c>
      <c r="E2353" s="50" t="s">
        <v>10163</v>
      </c>
      <c r="F2353" s="48">
        <v>41024</v>
      </c>
      <c r="G2353" s="48">
        <v>41388</v>
      </c>
      <c r="H2353" s="46" t="s">
        <v>40</v>
      </c>
      <c r="I2353" s="45">
        <f>12446.18+3750</f>
        <v>16196.18</v>
      </c>
      <c r="J2353" s="45">
        <f>6223.09+3750</f>
        <v>9973.09</v>
      </c>
      <c r="K2353" s="37" t="s">
        <v>9751</v>
      </c>
      <c r="L2353" s="45"/>
      <c r="M2353" s="3"/>
    </row>
    <row r="2354" spans="1:13" ht="25.5" x14ac:dyDescent="0.25">
      <c r="A2354" s="46" t="s">
        <v>10168</v>
      </c>
      <c r="B2354" s="46" t="s">
        <v>11649</v>
      </c>
      <c r="C2354" s="46" t="s">
        <v>14</v>
      </c>
      <c r="D2354" s="47">
        <v>10349</v>
      </c>
      <c r="E2354" s="50" t="s">
        <v>10169</v>
      </c>
      <c r="F2354" s="48">
        <v>41087</v>
      </c>
      <c r="G2354" s="48">
        <v>41451</v>
      </c>
      <c r="H2354" s="46" t="s">
        <v>40</v>
      </c>
      <c r="I2354" s="45">
        <f>19918.62+12808.62</f>
        <v>32727.239999999998</v>
      </c>
      <c r="J2354" s="45">
        <f>5430+6404.31</f>
        <v>11834.310000000001</v>
      </c>
      <c r="K2354" s="37" t="s">
        <v>9751</v>
      </c>
      <c r="L2354" s="45"/>
      <c r="M2354" s="3"/>
    </row>
    <row r="2355" spans="1:13" ht="25.5" x14ac:dyDescent="0.25">
      <c r="A2355" s="46" t="s">
        <v>10170</v>
      </c>
      <c r="B2355" s="46" t="s">
        <v>11649</v>
      </c>
      <c r="C2355" s="46" t="s">
        <v>14</v>
      </c>
      <c r="D2355" s="47">
        <v>10350</v>
      </c>
      <c r="E2355" s="46" t="s">
        <v>10171</v>
      </c>
      <c r="F2355" s="48">
        <v>41157</v>
      </c>
      <c r="G2355" s="48">
        <v>41521</v>
      </c>
      <c r="H2355" s="46" t="s">
        <v>40</v>
      </c>
      <c r="I2355" s="45">
        <f>27505+21880</f>
        <v>49385</v>
      </c>
      <c r="J2355" s="45">
        <f>5625+10940</f>
        <v>16565</v>
      </c>
      <c r="K2355" s="37" t="s">
        <v>9751</v>
      </c>
      <c r="L2355" s="45"/>
      <c r="M2355" s="3"/>
    </row>
    <row r="2356" spans="1:13" ht="25.5" x14ac:dyDescent="0.25">
      <c r="A2356" s="46" t="s">
        <v>10172</v>
      </c>
      <c r="B2356" s="46" t="s">
        <v>11649</v>
      </c>
      <c r="C2356" s="46" t="s">
        <v>14</v>
      </c>
      <c r="D2356" s="47">
        <v>10351</v>
      </c>
      <c r="E2356" s="46" t="s">
        <v>10173</v>
      </c>
      <c r="F2356" s="48">
        <v>41087</v>
      </c>
      <c r="G2356" s="48">
        <v>41451</v>
      </c>
      <c r="H2356" s="46" t="s">
        <v>40</v>
      </c>
      <c r="I2356" s="45">
        <v>1335</v>
      </c>
      <c r="J2356" s="45">
        <v>667.5</v>
      </c>
      <c r="K2356" s="37" t="s">
        <v>9751</v>
      </c>
      <c r="L2356" s="45"/>
      <c r="M2356" s="3"/>
    </row>
    <row r="2357" spans="1:13" ht="25.5" x14ac:dyDescent="0.25">
      <c r="A2357" s="46" t="s">
        <v>10176</v>
      </c>
      <c r="B2357" s="46" t="s">
        <v>11649</v>
      </c>
      <c r="C2357" s="46" t="s">
        <v>14</v>
      </c>
      <c r="D2357" s="47">
        <v>10353</v>
      </c>
      <c r="E2357" s="46" t="s">
        <v>10177</v>
      </c>
      <c r="F2357" s="48">
        <v>41227</v>
      </c>
      <c r="G2357" s="48">
        <v>41591</v>
      </c>
      <c r="H2357" s="46" t="s">
        <v>40</v>
      </c>
      <c r="I2357" s="45">
        <v>15000</v>
      </c>
      <c r="J2357" s="45">
        <v>15000</v>
      </c>
      <c r="K2357" s="37" t="s">
        <v>9751</v>
      </c>
      <c r="L2357" s="45"/>
      <c r="M2357" s="3"/>
    </row>
    <row r="2358" spans="1:13" ht="25.5" x14ac:dyDescent="0.25">
      <c r="A2358" s="46" t="s">
        <v>10178</v>
      </c>
      <c r="B2358" s="46" t="s">
        <v>11649</v>
      </c>
      <c r="C2358" s="46" t="s">
        <v>14</v>
      </c>
      <c r="D2358" s="47">
        <v>10354</v>
      </c>
      <c r="E2358" s="46" t="s">
        <v>10179</v>
      </c>
      <c r="F2358" s="48">
        <v>41227</v>
      </c>
      <c r="G2358" s="48">
        <v>41591</v>
      </c>
      <c r="H2358" s="46" t="s">
        <v>40</v>
      </c>
      <c r="I2358" s="45">
        <v>9500.7199999999993</v>
      </c>
      <c r="J2358" s="45">
        <v>4750.3599999999997</v>
      </c>
      <c r="K2358" s="37" t="s">
        <v>9751</v>
      </c>
      <c r="L2358" s="45"/>
      <c r="M2358" s="3"/>
    </row>
    <row r="2359" spans="1:13" x14ac:dyDescent="0.25">
      <c r="A2359" s="46" t="s">
        <v>10180</v>
      </c>
      <c r="B2359" s="46" t="s">
        <v>11649</v>
      </c>
      <c r="C2359" s="46" t="s">
        <v>14</v>
      </c>
      <c r="D2359" s="47">
        <v>10355</v>
      </c>
      <c r="E2359" s="46" t="s">
        <v>10181</v>
      </c>
      <c r="F2359" s="48">
        <v>41255</v>
      </c>
      <c r="G2359" s="48">
        <v>41619</v>
      </c>
      <c r="H2359" s="46" t="s">
        <v>40</v>
      </c>
      <c r="I2359" s="45">
        <v>11750</v>
      </c>
      <c r="J2359" s="45">
        <v>11750</v>
      </c>
      <c r="K2359" s="37" t="s">
        <v>9751</v>
      </c>
      <c r="L2359" s="45"/>
      <c r="M2359" s="3"/>
    </row>
    <row r="2360" spans="1:13" x14ac:dyDescent="0.25">
      <c r="A2360" s="46" t="s">
        <v>89</v>
      </c>
      <c r="B2360" s="46" t="s">
        <v>11647</v>
      </c>
      <c r="C2360" s="46" t="s">
        <v>14</v>
      </c>
      <c r="D2360" s="47">
        <v>1644</v>
      </c>
      <c r="E2360" s="46" t="s">
        <v>91</v>
      </c>
      <c r="F2360" s="48">
        <v>39490</v>
      </c>
      <c r="G2360" s="48">
        <v>39668</v>
      </c>
      <c r="H2360" s="46" t="s">
        <v>40</v>
      </c>
      <c r="I2360" s="45">
        <v>5093.96</v>
      </c>
      <c r="J2360" s="45">
        <v>2546.98</v>
      </c>
      <c r="K2360" s="37" t="s">
        <v>17</v>
      </c>
      <c r="L2360" s="45"/>
      <c r="M2360" s="3"/>
    </row>
    <row r="2361" spans="1:13" ht="25.5" x14ac:dyDescent="0.25">
      <c r="A2361" s="46" t="s">
        <v>98</v>
      </c>
      <c r="B2361" s="46" t="s">
        <v>11647</v>
      </c>
      <c r="C2361" s="46" t="s">
        <v>14</v>
      </c>
      <c r="D2361" s="47">
        <v>1659</v>
      </c>
      <c r="E2361" s="46" t="s">
        <v>99</v>
      </c>
      <c r="F2361" s="48">
        <v>39569</v>
      </c>
      <c r="G2361" s="48">
        <v>39790</v>
      </c>
      <c r="H2361" s="46" t="s">
        <v>40</v>
      </c>
      <c r="I2361" s="45">
        <v>10200</v>
      </c>
      <c r="J2361" s="45">
        <v>5100</v>
      </c>
      <c r="K2361" s="37" t="s">
        <v>17</v>
      </c>
      <c r="L2361" s="45"/>
      <c r="M2361" s="3"/>
    </row>
    <row r="2362" spans="1:13" ht="38.25" x14ac:dyDescent="0.25">
      <c r="A2362" s="46" t="s">
        <v>140</v>
      </c>
      <c r="B2362" s="46" t="s">
        <v>11647</v>
      </c>
      <c r="C2362" s="46" t="s">
        <v>14</v>
      </c>
      <c r="D2362" s="47">
        <v>5291</v>
      </c>
      <c r="E2362" s="50" t="s">
        <v>141</v>
      </c>
      <c r="F2362" s="48">
        <v>39988</v>
      </c>
      <c r="G2362" s="48">
        <v>40049</v>
      </c>
      <c r="H2362" s="46" t="s">
        <v>40</v>
      </c>
      <c r="I2362" s="45">
        <v>6000</v>
      </c>
      <c r="J2362" s="45">
        <v>3000</v>
      </c>
      <c r="K2362" s="37" t="s">
        <v>17</v>
      </c>
      <c r="L2362" s="45"/>
      <c r="M2362" s="3"/>
    </row>
    <row r="2363" spans="1:13" ht="25.5" x14ac:dyDescent="0.25">
      <c r="A2363" s="46" t="s">
        <v>194</v>
      </c>
      <c r="B2363" s="46" t="s">
        <v>11647</v>
      </c>
      <c r="C2363" s="46" t="s">
        <v>14</v>
      </c>
      <c r="D2363" s="47">
        <v>7394</v>
      </c>
      <c r="E2363" s="46" t="s">
        <v>195</v>
      </c>
      <c r="F2363" s="48">
        <v>40374</v>
      </c>
      <c r="G2363" s="48">
        <v>40543</v>
      </c>
      <c r="H2363" s="46" t="s">
        <v>40</v>
      </c>
      <c r="I2363" s="45">
        <v>15000</v>
      </c>
      <c r="J2363" s="45">
        <v>7500</v>
      </c>
      <c r="K2363" s="37" t="s">
        <v>17</v>
      </c>
      <c r="L2363" s="45"/>
      <c r="M2363" s="3"/>
    </row>
    <row r="2364" spans="1:13" ht="25.5" x14ac:dyDescent="0.25">
      <c r="A2364" s="46" t="s">
        <v>242</v>
      </c>
      <c r="B2364" s="46" t="s">
        <v>11647</v>
      </c>
      <c r="C2364" s="46" t="s">
        <v>14</v>
      </c>
      <c r="D2364" s="47">
        <v>8644</v>
      </c>
      <c r="E2364" s="46" t="s">
        <v>243</v>
      </c>
      <c r="F2364" s="48">
        <v>40514</v>
      </c>
      <c r="G2364" s="48">
        <v>40908</v>
      </c>
      <c r="H2364" s="46" t="s">
        <v>40</v>
      </c>
      <c r="I2364" s="45">
        <v>11732</v>
      </c>
      <c r="J2364" s="45">
        <v>5866</v>
      </c>
      <c r="K2364" s="37" t="s">
        <v>17</v>
      </c>
      <c r="L2364" s="45"/>
      <c r="M2364" s="3"/>
    </row>
    <row r="2365" spans="1:13" ht="51" x14ac:dyDescent="0.25">
      <c r="A2365" s="46" t="s">
        <v>263</v>
      </c>
      <c r="B2365" s="46" t="s">
        <v>11647</v>
      </c>
      <c r="C2365" s="46" t="s">
        <v>14</v>
      </c>
      <c r="D2365" s="47">
        <v>8682</v>
      </c>
      <c r="E2365" s="50" t="s">
        <v>264</v>
      </c>
      <c r="F2365" s="48">
        <v>40451</v>
      </c>
      <c r="G2365" s="48">
        <v>40908</v>
      </c>
      <c r="H2365" s="46" t="s">
        <v>40</v>
      </c>
      <c r="I2365" s="45">
        <v>5234.74</v>
      </c>
      <c r="J2365" s="45">
        <v>2617.37</v>
      </c>
      <c r="K2365" s="37" t="s">
        <v>17</v>
      </c>
      <c r="L2365" s="45"/>
      <c r="M2365" s="3"/>
    </row>
    <row r="2366" spans="1:13" ht="38.25" x14ac:dyDescent="0.25">
      <c r="A2366" s="46" t="s">
        <v>270</v>
      </c>
      <c r="B2366" s="46" t="s">
        <v>11647</v>
      </c>
      <c r="C2366" s="46" t="s">
        <v>14</v>
      </c>
      <c r="D2366" s="47">
        <v>8692</v>
      </c>
      <c r="E2366" s="46" t="s">
        <v>271</v>
      </c>
      <c r="F2366" s="48">
        <v>40603</v>
      </c>
      <c r="G2366" s="48">
        <v>41274</v>
      </c>
      <c r="H2366" s="46" t="s">
        <v>40</v>
      </c>
      <c r="I2366" s="45">
        <v>3770.08</v>
      </c>
      <c r="J2366" s="45">
        <v>1885.04</v>
      </c>
      <c r="K2366" s="37" t="s">
        <v>17</v>
      </c>
      <c r="L2366" s="45"/>
      <c r="M2366" s="3"/>
    </row>
    <row r="2367" spans="1:13" ht="25.5" x14ac:dyDescent="0.25">
      <c r="A2367" s="46" t="s">
        <v>274</v>
      </c>
      <c r="B2367" s="46" t="s">
        <v>11647</v>
      </c>
      <c r="C2367" s="46" t="s">
        <v>14</v>
      </c>
      <c r="D2367" s="47">
        <v>8694</v>
      </c>
      <c r="E2367" s="46" t="s">
        <v>275</v>
      </c>
      <c r="F2367" s="48">
        <v>40652</v>
      </c>
      <c r="G2367" s="48">
        <v>40908</v>
      </c>
      <c r="H2367" s="46" t="s">
        <v>40</v>
      </c>
      <c r="I2367" s="45">
        <v>9808.7999999999993</v>
      </c>
      <c r="J2367" s="45">
        <v>4904.3999999999996</v>
      </c>
      <c r="K2367" s="37" t="s">
        <v>17</v>
      </c>
      <c r="L2367" s="45"/>
      <c r="M2367" s="3"/>
    </row>
    <row r="2368" spans="1:13" ht="25.5" x14ac:dyDescent="0.25">
      <c r="A2368" s="46" t="s">
        <v>278</v>
      </c>
      <c r="B2368" s="46" t="s">
        <v>11647</v>
      </c>
      <c r="C2368" s="46" t="s">
        <v>14</v>
      </c>
      <c r="D2368" s="47">
        <v>8724</v>
      </c>
      <c r="E2368" s="46" t="s">
        <v>279</v>
      </c>
      <c r="F2368" s="48">
        <v>40451</v>
      </c>
      <c r="G2368" s="48">
        <v>40710</v>
      </c>
      <c r="H2368" s="46" t="s">
        <v>40</v>
      </c>
      <c r="I2368" s="45">
        <v>15000</v>
      </c>
      <c r="J2368" s="45">
        <v>7500</v>
      </c>
      <c r="K2368" s="37" t="s">
        <v>17</v>
      </c>
      <c r="L2368" s="45"/>
      <c r="M2368" s="3"/>
    </row>
    <row r="2369" spans="1:60" x14ac:dyDescent="0.25">
      <c r="A2369" s="46" t="s">
        <v>305</v>
      </c>
      <c r="B2369" s="46" t="s">
        <v>11647</v>
      </c>
      <c r="C2369" s="46" t="s">
        <v>14</v>
      </c>
      <c r="D2369" s="47">
        <v>10573</v>
      </c>
      <c r="E2369" s="46" t="s">
        <v>306</v>
      </c>
      <c r="F2369" s="48">
        <v>40909</v>
      </c>
      <c r="G2369" s="48">
        <v>41274</v>
      </c>
      <c r="H2369" s="46" t="s">
        <v>40</v>
      </c>
      <c r="I2369" s="45">
        <v>10000</v>
      </c>
      <c r="J2369" s="45">
        <v>5000</v>
      </c>
      <c r="K2369" s="37" t="s">
        <v>17</v>
      </c>
      <c r="L2369" s="45"/>
      <c r="M2369" s="3"/>
    </row>
    <row r="2370" spans="1:60" x14ac:dyDescent="0.25">
      <c r="A2370" s="46" t="s">
        <v>483</v>
      </c>
      <c r="B2370" s="46" t="s">
        <v>11647</v>
      </c>
      <c r="C2370" s="46" t="s">
        <v>14</v>
      </c>
      <c r="D2370" s="47">
        <v>2908</v>
      </c>
      <c r="E2370" s="46" t="s">
        <v>484</v>
      </c>
      <c r="F2370" s="48">
        <v>39245</v>
      </c>
      <c r="G2370" s="48">
        <v>39611</v>
      </c>
      <c r="H2370" s="46" t="s">
        <v>40</v>
      </c>
      <c r="I2370" s="45">
        <v>10000</v>
      </c>
      <c r="J2370" s="45">
        <v>5000</v>
      </c>
      <c r="K2370" s="37" t="s">
        <v>356</v>
      </c>
      <c r="L2370" s="45"/>
      <c r="M2370" s="3"/>
    </row>
    <row r="2371" spans="1:60" ht="25.5" x14ac:dyDescent="0.25">
      <c r="A2371" s="46" t="s">
        <v>531</v>
      </c>
      <c r="B2371" s="46" t="s">
        <v>11647</v>
      </c>
      <c r="C2371" s="46" t="s">
        <v>14</v>
      </c>
      <c r="D2371" s="47">
        <v>2952</v>
      </c>
      <c r="E2371" s="46" t="s">
        <v>532</v>
      </c>
      <c r="F2371" s="48">
        <v>39532</v>
      </c>
      <c r="G2371" s="48">
        <v>39897</v>
      </c>
      <c r="H2371" s="46" t="s">
        <v>40</v>
      </c>
      <c r="I2371" s="45">
        <v>9250</v>
      </c>
      <c r="J2371" s="45">
        <v>4625</v>
      </c>
      <c r="K2371" s="37" t="s">
        <v>356</v>
      </c>
      <c r="L2371" s="45"/>
      <c r="M2371" s="3"/>
    </row>
    <row r="2372" spans="1:60" ht="25.5" x14ac:dyDescent="0.25">
      <c r="A2372" s="46" t="s">
        <v>539</v>
      </c>
      <c r="B2372" s="46" t="s">
        <v>11647</v>
      </c>
      <c r="C2372" s="46" t="s">
        <v>14</v>
      </c>
      <c r="D2372" s="47">
        <v>2956</v>
      </c>
      <c r="E2372" s="46" t="s">
        <v>540</v>
      </c>
      <c r="F2372" s="48">
        <v>39532</v>
      </c>
      <c r="G2372" s="48">
        <v>39897</v>
      </c>
      <c r="H2372" s="46" t="s">
        <v>40</v>
      </c>
      <c r="I2372" s="45">
        <v>9000</v>
      </c>
      <c r="J2372" s="45">
        <v>4500</v>
      </c>
      <c r="K2372" s="37" t="s">
        <v>356</v>
      </c>
      <c r="L2372" s="45"/>
      <c r="M2372" s="3"/>
    </row>
    <row r="2373" spans="1:60" ht="63.75" x14ac:dyDescent="0.25">
      <c r="A2373" s="46" t="s">
        <v>541</v>
      </c>
      <c r="B2373" s="46" t="s">
        <v>11647</v>
      </c>
      <c r="C2373" s="46" t="s">
        <v>14</v>
      </c>
      <c r="D2373" s="47">
        <v>2957</v>
      </c>
      <c r="E2373" s="50" t="s">
        <v>542</v>
      </c>
      <c r="F2373" s="48">
        <v>39532</v>
      </c>
      <c r="G2373" s="48">
        <v>39897</v>
      </c>
      <c r="H2373" s="46" t="s">
        <v>40</v>
      </c>
      <c r="I2373" s="45">
        <v>7584</v>
      </c>
      <c r="J2373" s="45">
        <v>2868.33</v>
      </c>
      <c r="K2373" s="37" t="s">
        <v>356</v>
      </c>
      <c r="L2373" s="45"/>
      <c r="M2373" s="3"/>
    </row>
    <row r="2374" spans="1:60" ht="25.5" x14ac:dyDescent="0.25">
      <c r="A2374" s="46" t="s">
        <v>571</v>
      </c>
      <c r="B2374" s="46" t="s">
        <v>11647</v>
      </c>
      <c r="C2374" s="46" t="s">
        <v>14</v>
      </c>
      <c r="D2374" s="47">
        <v>5066</v>
      </c>
      <c r="E2374" s="46" t="s">
        <v>572</v>
      </c>
      <c r="F2374" s="48">
        <v>39791</v>
      </c>
      <c r="G2374" s="48">
        <v>39973</v>
      </c>
      <c r="H2374" s="46" t="s">
        <v>40</v>
      </c>
      <c r="I2374" s="45">
        <v>2500</v>
      </c>
      <c r="J2374" s="45">
        <v>1250</v>
      </c>
      <c r="K2374" s="37" t="s">
        <v>356</v>
      </c>
      <c r="L2374" s="45"/>
      <c r="M2374" s="3"/>
    </row>
    <row r="2375" spans="1:60" ht="25.5" x14ac:dyDescent="0.25">
      <c r="A2375" s="46" t="s">
        <v>583</v>
      </c>
      <c r="B2375" s="46" t="s">
        <v>11647</v>
      </c>
      <c r="C2375" s="46" t="s">
        <v>14</v>
      </c>
      <c r="D2375" s="47">
        <v>5107</v>
      </c>
      <c r="E2375" s="46" t="s">
        <v>584</v>
      </c>
      <c r="F2375" s="48">
        <v>39707</v>
      </c>
      <c r="G2375" s="48">
        <v>39888</v>
      </c>
      <c r="H2375" s="46" t="s">
        <v>40</v>
      </c>
      <c r="I2375" s="45">
        <v>10200</v>
      </c>
      <c r="J2375" s="45">
        <v>5100</v>
      </c>
      <c r="K2375" s="37" t="s">
        <v>356</v>
      </c>
      <c r="L2375" s="45"/>
      <c r="M2375" s="3"/>
    </row>
    <row r="2376" spans="1:60" ht="38.25" x14ac:dyDescent="0.25">
      <c r="A2376" s="46" t="s">
        <v>623</v>
      </c>
      <c r="B2376" s="46" t="s">
        <v>11647</v>
      </c>
      <c r="C2376" s="46" t="s">
        <v>14</v>
      </c>
      <c r="D2376" s="47">
        <v>6992</v>
      </c>
      <c r="E2376" s="46" t="s">
        <v>624</v>
      </c>
      <c r="F2376" s="48">
        <v>40163</v>
      </c>
      <c r="G2376" s="48">
        <v>40543</v>
      </c>
      <c r="H2376" s="46" t="s">
        <v>40</v>
      </c>
      <c r="I2376" s="45">
        <v>2579.9899999999998</v>
      </c>
      <c r="J2376" s="45">
        <v>1290</v>
      </c>
      <c r="K2376" s="37" t="s">
        <v>356</v>
      </c>
      <c r="L2376" s="45"/>
      <c r="M2376" s="3"/>
    </row>
    <row r="2377" spans="1:60" x14ac:dyDescent="0.25">
      <c r="A2377" s="46" t="s">
        <v>627</v>
      </c>
      <c r="B2377" s="46" t="s">
        <v>11647</v>
      </c>
      <c r="C2377" s="46" t="s">
        <v>14</v>
      </c>
      <c r="D2377" s="47">
        <v>6994</v>
      </c>
      <c r="E2377" s="46" t="s">
        <v>628</v>
      </c>
      <c r="F2377" s="48">
        <v>40065</v>
      </c>
      <c r="G2377" s="48">
        <v>40543</v>
      </c>
      <c r="H2377" s="46" t="s">
        <v>40</v>
      </c>
      <c r="I2377" s="45">
        <v>9216</v>
      </c>
      <c r="J2377" s="45">
        <v>4608</v>
      </c>
      <c r="K2377" s="37" t="s">
        <v>356</v>
      </c>
      <c r="L2377" s="45"/>
      <c r="M2377" s="3"/>
    </row>
    <row r="2378" spans="1:60" ht="63.75" x14ac:dyDescent="0.25">
      <c r="A2378" s="46" t="s">
        <v>633</v>
      </c>
      <c r="B2378" s="46" t="s">
        <v>11647</v>
      </c>
      <c r="C2378" s="46" t="s">
        <v>14</v>
      </c>
      <c r="D2378" s="47">
        <v>7002</v>
      </c>
      <c r="E2378" s="50" t="s">
        <v>634</v>
      </c>
      <c r="F2378" s="48">
        <v>40235</v>
      </c>
      <c r="G2378" s="48">
        <v>40543</v>
      </c>
      <c r="H2378" s="46" t="s">
        <v>40</v>
      </c>
      <c r="I2378" s="45">
        <v>7780</v>
      </c>
      <c r="J2378" s="45">
        <v>3890</v>
      </c>
      <c r="K2378" s="37" t="s">
        <v>356</v>
      </c>
      <c r="L2378" s="45"/>
      <c r="M2378" s="3"/>
    </row>
    <row r="2379" spans="1:60" ht="38.25" x14ac:dyDescent="0.25">
      <c r="A2379" s="46" t="s">
        <v>645</v>
      </c>
      <c r="B2379" s="46" t="s">
        <v>11647</v>
      </c>
      <c r="C2379" s="46" t="s">
        <v>14</v>
      </c>
      <c r="D2379" s="47">
        <v>7011</v>
      </c>
      <c r="E2379" s="50" t="s">
        <v>646</v>
      </c>
      <c r="F2379" s="48">
        <v>40163</v>
      </c>
      <c r="G2379" s="48">
        <v>40543</v>
      </c>
      <c r="H2379" s="46" t="s">
        <v>40</v>
      </c>
      <c r="I2379" s="45">
        <v>9200</v>
      </c>
      <c r="J2379" s="45">
        <v>4600</v>
      </c>
      <c r="K2379" s="37" t="s">
        <v>356</v>
      </c>
      <c r="L2379" s="45"/>
      <c r="M2379" s="3"/>
    </row>
    <row r="2380" spans="1:60" ht="25.5" x14ac:dyDescent="0.25">
      <c r="A2380" s="56" t="s">
        <v>649</v>
      </c>
      <c r="B2380" s="56" t="s">
        <v>11647</v>
      </c>
      <c r="C2380" s="56" t="s">
        <v>14</v>
      </c>
      <c r="D2380" s="57">
        <v>7013</v>
      </c>
      <c r="E2380" s="56" t="s">
        <v>650</v>
      </c>
      <c r="F2380" s="58">
        <v>40163</v>
      </c>
      <c r="G2380" s="58">
        <v>40543</v>
      </c>
      <c r="H2380" s="56" t="s">
        <v>651</v>
      </c>
      <c r="I2380" s="55">
        <v>3752</v>
      </c>
      <c r="J2380" s="55">
        <v>1876</v>
      </c>
      <c r="K2380" s="89" t="s">
        <v>356</v>
      </c>
      <c r="L2380" s="56"/>
      <c r="M2380" s="9"/>
      <c r="N2380" s="9"/>
      <c r="O2380" s="9"/>
      <c r="P2380" s="9"/>
      <c r="Q2380" s="9"/>
      <c r="R2380" s="9"/>
      <c r="S2380" s="9"/>
      <c r="T2380" s="9"/>
      <c r="U2380" s="9"/>
      <c r="V2380" s="9"/>
      <c r="W2380" s="9"/>
      <c r="X2380" s="9"/>
      <c r="Y2380" s="9"/>
      <c r="Z2380" s="9"/>
      <c r="AA2380" s="9"/>
      <c r="AB2380" s="9"/>
      <c r="AC2380" s="9"/>
      <c r="AD2380" s="9"/>
      <c r="AE2380" s="9"/>
      <c r="AF2380" s="9"/>
      <c r="AG2380" s="9"/>
      <c r="AH2380" s="9"/>
      <c r="AI2380" s="9"/>
      <c r="AJ2380" s="9"/>
      <c r="AK2380" s="9"/>
      <c r="AL2380" s="9"/>
      <c r="AM2380" s="9"/>
      <c r="AN2380" s="9"/>
      <c r="AO2380" s="9"/>
      <c r="AP2380" s="9"/>
      <c r="AQ2380" s="9"/>
      <c r="AR2380" s="9"/>
      <c r="AS2380" s="9"/>
      <c r="AT2380" s="9"/>
      <c r="AU2380" s="9"/>
      <c r="AV2380" s="9"/>
      <c r="AW2380" s="9"/>
      <c r="AX2380" s="9"/>
      <c r="AY2380" s="9"/>
      <c r="AZ2380" s="9"/>
      <c r="BA2380" s="9"/>
      <c r="BB2380" s="9"/>
      <c r="BC2380" s="9"/>
      <c r="BD2380" s="9"/>
      <c r="BE2380" s="9"/>
      <c r="BF2380" s="9"/>
      <c r="BG2380" s="9"/>
      <c r="BH2380" s="9"/>
    </row>
    <row r="2381" spans="1:60" x14ac:dyDescent="0.25">
      <c r="A2381" s="46" t="s">
        <v>716</v>
      </c>
      <c r="B2381" s="46" t="s">
        <v>11647</v>
      </c>
      <c r="C2381" s="46" t="s">
        <v>14</v>
      </c>
      <c r="D2381" s="47">
        <v>8846</v>
      </c>
      <c r="E2381" s="46" t="s">
        <v>717</v>
      </c>
      <c r="F2381" s="48">
        <v>40544</v>
      </c>
      <c r="G2381" s="48">
        <v>40908</v>
      </c>
      <c r="H2381" s="46" t="s">
        <v>40</v>
      </c>
      <c r="I2381" s="45">
        <v>7200</v>
      </c>
      <c r="J2381" s="45">
        <v>3600</v>
      </c>
      <c r="K2381" s="37" t="s">
        <v>356</v>
      </c>
      <c r="L2381" s="45"/>
      <c r="M2381" s="3"/>
    </row>
    <row r="2382" spans="1:60" x14ac:dyDescent="0.25">
      <c r="A2382" s="46" t="s">
        <v>726</v>
      </c>
      <c r="B2382" s="46" t="s">
        <v>11647</v>
      </c>
      <c r="C2382" s="46" t="s">
        <v>14</v>
      </c>
      <c r="D2382" s="47">
        <v>8851</v>
      </c>
      <c r="E2382" s="46" t="s">
        <v>727</v>
      </c>
      <c r="F2382" s="48">
        <v>40345</v>
      </c>
      <c r="G2382" s="48">
        <v>40908</v>
      </c>
      <c r="H2382" s="46" t="s">
        <v>40</v>
      </c>
      <c r="I2382" s="45">
        <v>4896</v>
      </c>
      <c r="J2382" s="45">
        <v>2448</v>
      </c>
      <c r="K2382" s="37" t="s">
        <v>356</v>
      </c>
      <c r="L2382" s="45"/>
      <c r="M2382" s="3"/>
    </row>
    <row r="2383" spans="1:60" ht="25.5" x14ac:dyDescent="0.25">
      <c r="A2383" s="46" t="s">
        <v>748</v>
      </c>
      <c r="B2383" s="46" t="s">
        <v>11647</v>
      </c>
      <c r="C2383" s="46" t="s">
        <v>14</v>
      </c>
      <c r="D2383" s="47">
        <v>10827</v>
      </c>
      <c r="E2383" s="46" t="s">
        <v>749</v>
      </c>
      <c r="F2383" s="48">
        <v>40909</v>
      </c>
      <c r="G2383" s="48">
        <v>41274</v>
      </c>
      <c r="H2383" s="46" t="s">
        <v>40</v>
      </c>
      <c r="I2383" s="45">
        <v>5468</v>
      </c>
      <c r="J2383" s="45">
        <v>2734</v>
      </c>
      <c r="K2383" s="37" t="s">
        <v>356</v>
      </c>
      <c r="L2383" s="45"/>
      <c r="M2383" s="3"/>
    </row>
    <row r="2384" spans="1:60" x14ac:dyDescent="0.25">
      <c r="A2384" s="46" t="s">
        <v>758</v>
      </c>
      <c r="B2384" s="46" t="s">
        <v>11647</v>
      </c>
      <c r="C2384" s="46" t="s">
        <v>14</v>
      </c>
      <c r="D2384" s="47">
        <v>10837</v>
      </c>
      <c r="E2384" s="46" t="s">
        <v>759</v>
      </c>
      <c r="F2384" s="48">
        <v>40909</v>
      </c>
      <c r="G2384" s="48">
        <v>41274</v>
      </c>
      <c r="H2384" s="46" t="s">
        <v>40</v>
      </c>
      <c r="I2384" s="45">
        <v>3960</v>
      </c>
      <c r="J2384" s="45">
        <v>1980</v>
      </c>
      <c r="K2384" s="37" t="s">
        <v>356</v>
      </c>
      <c r="L2384" s="45"/>
      <c r="M2384" s="3"/>
    </row>
    <row r="2385" spans="1:13" ht="25.5" x14ac:dyDescent="0.25">
      <c r="A2385" s="46" t="s">
        <v>1032</v>
      </c>
      <c r="B2385" s="46" t="s">
        <v>11647</v>
      </c>
      <c r="C2385" s="46" t="s">
        <v>14</v>
      </c>
      <c r="D2385" s="47">
        <v>617</v>
      </c>
      <c r="E2385" s="46" t="s">
        <v>1033</v>
      </c>
      <c r="F2385" s="48">
        <v>39279</v>
      </c>
      <c r="G2385" s="48">
        <v>39447</v>
      </c>
      <c r="H2385" s="46" t="s">
        <v>40</v>
      </c>
      <c r="I2385" s="45">
        <v>17200</v>
      </c>
      <c r="J2385" s="45">
        <v>8600</v>
      </c>
      <c r="K2385" s="37" t="s">
        <v>790</v>
      </c>
      <c r="L2385" s="45"/>
      <c r="M2385" s="3"/>
    </row>
    <row r="2386" spans="1:13" ht="25.5" x14ac:dyDescent="0.25">
      <c r="A2386" s="46" t="s">
        <v>1040</v>
      </c>
      <c r="B2386" s="46" t="s">
        <v>11647</v>
      </c>
      <c r="C2386" s="46" t="s">
        <v>14</v>
      </c>
      <c r="D2386" s="47">
        <v>621</v>
      </c>
      <c r="E2386" s="46" t="s">
        <v>1041</v>
      </c>
      <c r="F2386" s="48">
        <v>39741</v>
      </c>
      <c r="G2386" s="48">
        <v>39813</v>
      </c>
      <c r="H2386" s="46" t="s">
        <v>40</v>
      </c>
      <c r="I2386" s="45">
        <v>4000</v>
      </c>
      <c r="J2386" s="45">
        <v>2000</v>
      </c>
      <c r="K2386" s="37" t="s">
        <v>790</v>
      </c>
      <c r="L2386" s="45"/>
      <c r="M2386" s="3"/>
    </row>
    <row r="2387" spans="1:13" x14ac:dyDescent="0.25">
      <c r="A2387" s="46" t="s">
        <v>1052</v>
      </c>
      <c r="B2387" s="46" t="s">
        <v>11647</v>
      </c>
      <c r="C2387" s="46" t="s">
        <v>14</v>
      </c>
      <c r="D2387" s="47">
        <v>633</v>
      </c>
      <c r="E2387" s="46" t="s">
        <v>1053</v>
      </c>
      <c r="F2387" s="48">
        <v>39426</v>
      </c>
      <c r="G2387" s="48">
        <v>39639</v>
      </c>
      <c r="H2387" s="46" t="s">
        <v>40</v>
      </c>
      <c r="I2387" s="45">
        <v>5500</v>
      </c>
      <c r="J2387" s="45">
        <v>2750</v>
      </c>
      <c r="K2387" s="37" t="s">
        <v>790</v>
      </c>
      <c r="L2387" s="45"/>
      <c r="M2387" s="3"/>
    </row>
    <row r="2388" spans="1:13" ht="25.5" x14ac:dyDescent="0.25">
      <c r="A2388" s="46" t="s">
        <v>1056</v>
      </c>
      <c r="B2388" s="46" t="s">
        <v>11647</v>
      </c>
      <c r="C2388" s="46" t="s">
        <v>14</v>
      </c>
      <c r="D2388" s="47">
        <v>638</v>
      </c>
      <c r="E2388" s="46" t="s">
        <v>1057</v>
      </c>
      <c r="F2388" s="48">
        <v>39615</v>
      </c>
      <c r="G2388" s="48">
        <v>39798</v>
      </c>
      <c r="H2388" s="46" t="s">
        <v>40</v>
      </c>
      <c r="I2388" s="45">
        <v>10200</v>
      </c>
      <c r="J2388" s="45">
        <v>5100</v>
      </c>
      <c r="K2388" s="37" t="s">
        <v>790</v>
      </c>
      <c r="L2388" s="45"/>
      <c r="M2388" s="3"/>
    </row>
    <row r="2389" spans="1:13" ht="25.5" x14ac:dyDescent="0.25">
      <c r="A2389" s="46" t="s">
        <v>1058</v>
      </c>
      <c r="B2389" s="46" t="s">
        <v>11647</v>
      </c>
      <c r="C2389" s="46" t="s">
        <v>14</v>
      </c>
      <c r="D2389" s="47">
        <v>639</v>
      </c>
      <c r="E2389" s="46" t="s">
        <v>1059</v>
      </c>
      <c r="F2389" s="48">
        <v>39615</v>
      </c>
      <c r="G2389" s="48">
        <v>39798</v>
      </c>
      <c r="H2389" s="46" t="s">
        <v>40</v>
      </c>
      <c r="I2389" s="45">
        <v>8430</v>
      </c>
      <c r="J2389" s="45">
        <v>4215</v>
      </c>
      <c r="K2389" s="37" t="s">
        <v>790</v>
      </c>
      <c r="L2389" s="45"/>
      <c r="M2389" s="3"/>
    </row>
    <row r="2390" spans="1:13" x14ac:dyDescent="0.25">
      <c r="A2390" s="46" t="s">
        <v>1163</v>
      </c>
      <c r="B2390" s="46" t="s">
        <v>11647</v>
      </c>
      <c r="C2390" s="46" t="s">
        <v>14</v>
      </c>
      <c r="D2390" s="47">
        <v>826</v>
      </c>
      <c r="E2390" s="46" t="s">
        <v>1164</v>
      </c>
      <c r="F2390" s="48">
        <v>39083</v>
      </c>
      <c r="G2390" s="48">
        <v>39447</v>
      </c>
      <c r="H2390" s="46" t="s">
        <v>40</v>
      </c>
      <c r="I2390" s="45">
        <v>873.34</v>
      </c>
      <c r="J2390" s="45">
        <v>873.34</v>
      </c>
      <c r="K2390" s="37" t="s">
        <v>790</v>
      </c>
      <c r="L2390" s="45"/>
      <c r="M2390" s="3"/>
    </row>
    <row r="2391" spans="1:13" x14ac:dyDescent="0.25">
      <c r="A2391" s="46" t="s">
        <v>1275</v>
      </c>
      <c r="B2391" s="46" t="s">
        <v>11647</v>
      </c>
      <c r="C2391" s="46" t="s">
        <v>14</v>
      </c>
      <c r="D2391" s="47">
        <v>4538</v>
      </c>
      <c r="E2391" s="46" t="s">
        <v>1276</v>
      </c>
      <c r="F2391" s="48">
        <v>39791</v>
      </c>
      <c r="G2391" s="48">
        <v>39973</v>
      </c>
      <c r="H2391" s="46" t="s">
        <v>40</v>
      </c>
      <c r="I2391" s="45">
        <v>9565.7999999999993</v>
      </c>
      <c r="J2391" s="45">
        <v>4782.8999999999996</v>
      </c>
      <c r="K2391" s="37" t="s">
        <v>790</v>
      </c>
      <c r="L2391" s="45"/>
      <c r="M2391" s="3"/>
    </row>
    <row r="2392" spans="1:13" ht="25.5" x14ac:dyDescent="0.25">
      <c r="A2392" s="46" t="s">
        <v>1281</v>
      </c>
      <c r="B2392" s="46" t="s">
        <v>11647</v>
      </c>
      <c r="C2392" s="46" t="s">
        <v>14</v>
      </c>
      <c r="D2392" s="47">
        <v>4542</v>
      </c>
      <c r="E2392" s="46" t="s">
        <v>1282</v>
      </c>
      <c r="F2392" s="48">
        <v>39741</v>
      </c>
      <c r="G2392" s="48">
        <v>39923</v>
      </c>
      <c r="H2392" s="46" t="s">
        <v>40</v>
      </c>
      <c r="I2392" s="45">
        <v>2537.2399999999998</v>
      </c>
      <c r="J2392" s="45">
        <v>1268.6199999999999</v>
      </c>
      <c r="K2392" s="37" t="s">
        <v>790</v>
      </c>
      <c r="L2392" s="45"/>
      <c r="M2392" s="3"/>
    </row>
    <row r="2393" spans="1:13" x14ac:dyDescent="0.25">
      <c r="A2393" s="46" t="s">
        <v>1283</v>
      </c>
      <c r="B2393" s="46" t="s">
        <v>11647</v>
      </c>
      <c r="C2393" s="46" t="s">
        <v>14</v>
      </c>
      <c r="D2393" s="47">
        <v>4544</v>
      </c>
      <c r="E2393" s="46" t="s">
        <v>1284</v>
      </c>
      <c r="F2393" s="48">
        <v>39791</v>
      </c>
      <c r="G2393" s="48">
        <v>40079</v>
      </c>
      <c r="H2393" s="46" t="s">
        <v>40</v>
      </c>
      <c r="I2393" s="45">
        <v>5800</v>
      </c>
      <c r="J2393" s="45">
        <v>2900</v>
      </c>
      <c r="K2393" s="37" t="s">
        <v>790</v>
      </c>
      <c r="L2393" s="45"/>
      <c r="M2393" s="3"/>
    </row>
    <row r="2394" spans="1:13" x14ac:dyDescent="0.25">
      <c r="A2394" s="46" t="s">
        <v>1458</v>
      </c>
      <c r="B2394" s="46" t="s">
        <v>11647</v>
      </c>
      <c r="C2394" s="46" t="s">
        <v>14</v>
      </c>
      <c r="D2394" s="47">
        <v>6770</v>
      </c>
      <c r="E2394" s="46" t="s">
        <v>1459</v>
      </c>
      <c r="F2394" s="48">
        <v>40179</v>
      </c>
      <c r="G2394" s="48">
        <v>41639</v>
      </c>
      <c r="H2394" s="46" t="s">
        <v>40</v>
      </c>
      <c r="I2394" s="45">
        <v>12000</v>
      </c>
      <c r="J2394" s="45">
        <v>6000</v>
      </c>
      <c r="K2394" s="37" t="s">
        <v>790</v>
      </c>
      <c r="L2394" s="45"/>
      <c r="M2394" s="3"/>
    </row>
    <row r="2395" spans="1:13" ht="25.5" x14ac:dyDescent="0.25">
      <c r="A2395" s="46" t="s">
        <v>1464</v>
      </c>
      <c r="B2395" s="46" t="s">
        <v>11647</v>
      </c>
      <c r="C2395" s="46" t="s">
        <v>14</v>
      </c>
      <c r="D2395" s="47">
        <v>6834</v>
      </c>
      <c r="E2395" s="46" t="s">
        <v>1465</v>
      </c>
      <c r="F2395" s="48">
        <v>40179</v>
      </c>
      <c r="G2395" s="48">
        <v>41639</v>
      </c>
      <c r="H2395" s="46" t="s">
        <v>40</v>
      </c>
      <c r="I2395" s="45">
        <v>1654.9</v>
      </c>
      <c r="J2395" s="45">
        <v>827.53</v>
      </c>
      <c r="K2395" s="37" t="s">
        <v>790</v>
      </c>
      <c r="L2395" s="45"/>
      <c r="M2395" s="3"/>
    </row>
    <row r="2396" spans="1:13" ht="25.5" x14ac:dyDescent="0.25">
      <c r="A2396" s="46" t="s">
        <v>1468</v>
      </c>
      <c r="B2396" s="46" t="s">
        <v>11647</v>
      </c>
      <c r="C2396" s="46" t="s">
        <v>14</v>
      </c>
      <c r="D2396" s="47">
        <v>6837</v>
      </c>
      <c r="E2396" s="46" t="s">
        <v>1469</v>
      </c>
      <c r="F2396" s="48">
        <v>40179</v>
      </c>
      <c r="G2396" s="48">
        <v>41639</v>
      </c>
      <c r="H2396" s="46" t="s">
        <v>40</v>
      </c>
      <c r="I2396" s="45">
        <v>9828</v>
      </c>
      <c r="J2396" s="45">
        <v>4914</v>
      </c>
      <c r="K2396" s="37" t="s">
        <v>790</v>
      </c>
      <c r="L2396" s="45"/>
      <c r="M2396" s="3"/>
    </row>
    <row r="2397" spans="1:13" ht="25.5" x14ac:dyDescent="0.25">
      <c r="A2397" s="46" t="s">
        <v>1470</v>
      </c>
      <c r="B2397" s="46" t="s">
        <v>11647</v>
      </c>
      <c r="C2397" s="46" t="s">
        <v>14</v>
      </c>
      <c r="D2397" s="47">
        <v>6838</v>
      </c>
      <c r="E2397" s="46" t="s">
        <v>1471</v>
      </c>
      <c r="F2397" s="48">
        <v>40179</v>
      </c>
      <c r="G2397" s="48">
        <v>41639</v>
      </c>
      <c r="H2397" s="46" t="s">
        <v>40</v>
      </c>
      <c r="I2397" s="45">
        <f>10000+20177.08</f>
        <v>30177.08</v>
      </c>
      <c r="J2397" s="45">
        <f>5000+17588.54</f>
        <v>22588.54</v>
      </c>
      <c r="K2397" s="37" t="s">
        <v>790</v>
      </c>
      <c r="L2397" s="45"/>
      <c r="M2397" s="3"/>
    </row>
    <row r="2398" spans="1:13" ht="25.5" x14ac:dyDescent="0.25">
      <c r="A2398" s="46" t="s">
        <v>1488</v>
      </c>
      <c r="B2398" s="46" t="s">
        <v>11647</v>
      </c>
      <c r="C2398" s="46" t="s">
        <v>14</v>
      </c>
      <c r="D2398" s="47">
        <v>6854</v>
      </c>
      <c r="E2398" s="46" t="s">
        <v>1489</v>
      </c>
      <c r="F2398" s="48">
        <v>40179</v>
      </c>
      <c r="G2398" s="48">
        <v>41639</v>
      </c>
      <c r="H2398" s="46" t="s">
        <v>40</v>
      </c>
      <c r="I2398" s="45">
        <v>11900</v>
      </c>
      <c r="J2398" s="45">
        <v>5950</v>
      </c>
      <c r="K2398" s="37" t="s">
        <v>790</v>
      </c>
      <c r="L2398" s="45"/>
      <c r="M2398" s="3"/>
    </row>
    <row r="2399" spans="1:13" ht="25.5" x14ac:dyDescent="0.25">
      <c r="A2399" s="46" t="s">
        <v>1502</v>
      </c>
      <c r="B2399" s="46" t="s">
        <v>11647</v>
      </c>
      <c r="C2399" s="46" t="s">
        <v>14</v>
      </c>
      <c r="D2399" s="47">
        <v>7138</v>
      </c>
      <c r="E2399" s="46" t="s">
        <v>1503</v>
      </c>
      <c r="F2399" s="48">
        <v>40441</v>
      </c>
      <c r="G2399" s="48">
        <v>40543</v>
      </c>
      <c r="H2399" s="46" t="s">
        <v>40</v>
      </c>
      <c r="I2399" s="45">
        <v>40000</v>
      </c>
      <c r="J2399" s="45">
        <v>20000</v>
      </c>
      <c r="K2399" s="37" t="s">
        <v>790</v>
      </c>
      <c r="L2399" s="45"/>
      <c r="M2399" s="3"/>
    </row>
    <row r="2400" spans="1:13" ht="38.25" x14ac:dyDescent="0.25">
      <c r="A2400" s="46" t="s">
        <v>1508</v>
      </c>
      <c r="B2400" s="46" t="s">
        <v>11647</v>
      </c>
      <c r="C2400" s="46" t="s">
        <v>14</v>
      </c>
      <c r="D2400" s="47">
        <v>7141</v>
      </c>
      <c r="E2400" s="46" t="s">
        <v>1509</v>
      </c>
      <c r="F2400" s="48">
        <v>40154</v>
      </c>
      <c r="G2400" s="48">
        <v>40519</v>
      </c>
      <c r="H2400" s="46" t="s">
        <v>40</v>
      </c>
      <c r="I2400" s="45">
        <v>40000</v>
      </c>
      <c r="J2400" s="45">
        <v>20000</v>
      </c>
      <c r="K2400" s="37" t="s">
        <v>790</v>
      </c>
      <c r="L2400" s="45"/>
      <c r="M2400" s="3"/>
    </row>
    <row r="2401" spans="1:13" ht="25.5" x14ac:dyDescent="0.25">
      <c r="A2401" s="46" t="s">
        <v>1563</v>
      </c>
      <c r="B2401" s="46" t="s">
        <v>11647</v>
      </c>
      <c r="C2401" s="46" t="s">
        <v>14</v>
      </c>
      <c r="D2401" s="47">
        <v>7409</v>
      </c>
      <c r="E2401" s="46" t="s">
        <v>1564</v>
      </c>
      <c r="F2401" s="48">
        <v>40259</v>
      </c>
      <c r="G2401" s="48">
        <v>40543</v>
      </c>
      <c r="H2401" s="46" t="s">
        <v>40</v>
      </c>
      <c r="I2401" s="45">
        <v>4476</v>
      </c>
      <c r="J2401" s="45">
        <v>2238</v>
      </c>
      <c r="K2401" s="37" t="s">
        <v>790</v>
      </c>
      <c r="L2401" s="45"/>
      <c r="M2401" s="3"/>
    </row>
    <row r="2402" spans="1:13" x14ac:dyDescent="0.25">
      <c r="A2402" s="46" t="s">
        <v>1731</v>
      </c>
      <c r="B2402" s="46" t="s">
        <v>11647</v>
      </c>
      <c r="C2402" s="46" t="s">
        <v>14</v>
      </c>
      <c r="D2402" s="47">
        <v>9230</v>
      </c>
      <c r="E2402" s="46" t="s">
        <v>1732</v>
      </c>
      <c r="F2402" s="48">
        <v>40618</v>
      </c>
      <c r="G2402" s="48">
        <v>41639</v>
      </c>
      <c r="H2402" s="46" t="s">
        <v>40</v>
      </c>
      <c r="I2402" s="45">
        <v>4200</v>
      </c>
      <c r="J2402" s="45">
        <v>2100</v>
      </c>
      <c r="K2402" s="37" t="s">
        <v>790</v>
      </c>
      <c r="L2402" s="45"/>
      <c r="M2402" s="3"/>
    </row>
    <row r="2403" spans="1:13" x14ac:dyDescent="0.25">
      <c r="A2403" s="46" t="s">
        <v>1733</v>
      </c>
      <c r="B2403" s="46" t="s">
        <v>11647</v>
      </c>
      <c r="C2403" s="46" t="s">
        <v>14</v>
      </c>
      <c r="D2403" s="47">
        <v>9231</v>
      </c>
      <c r="E2403" s="46" t="s">
        <v>1734</v>
      </c>
      <c r="F2403" s="48">
        <v>40849</v>
      </c>
      <c r="G2403" s="48">
        <v>41639</v>
      </c>
      <c r="H2403" s="46" t="s">
        <v>40</v>
      </c>
      <c r="I2403" s="45">
        <v>1490.14</v>
      </c>
      <c r="J2403" s="45">
        <v>745.07</v>
      </c>
      <c r="K2403" s="37" t="s">
        <v>790</v>
      </c>
      <c r="L2403" s="45"/>
      <c r="M2403" s="3"/>
    </row>
    <row r="2404" spans="1:13" ht="63.75" x14ac:dyDescent="0.25">
      <c r="A2404" s="46" t="s">
        <v>1789</v>
      </c>
      <c r="B2404" s="46" t="s">
        <v>11647</v>
      </c>
      <c r="C2404" s="46" t="s">
        <v>14</v>
      </c>
      <c r="D2404" s="47">
        <v>9401</v>
      </c>
      <c r="E2404" s="50" t="s">
        <v>1790</v>
      </c>
      <c r="F2404" s="48">
        <v>40261</v>
      </c>
      <c r="G2404" s="48">
        <v>40663</v>
      </c>
      <c r="H2404" s="46" t="s">
        <v>40</v>
      </c>
      <c r="I2404" s="45">
        <v>30000</v>
      </c>
      <c r="J2404" s="45">
        <v>15000</v>
      </c>
      <c r="K2404" s="37" t="s">
        <v>790</v>
      </c>
      <c r="L2404" s="45"/>
      <c r="M2404" s="3"/>
    </row>
    <row r="2405" spans="1:13" x14ac:dyDescent="0.25">
      <c r="A2405" s="46" t="s">
        <v>1990</v>
      </c>
      <c r="B2405" s="46" t="s">
        <v>11647</v>
      </c>
      <c r="C2405" s="46" t="s">
        <v>14</v>
      </c>
      <c r="D2405" s="47">
        <v>10904</v>
      </c>
      <c r="E2405" s="46" t="s">
        <v>1991</v>
      </c>
      <c r="F2405" s="48">
        <v>41172</v>
      </c>
      <c r="G2405" s="48">
        <v>41274</v>
      </c>
      <c r="H2405" s="46" t="s">
        <v>40</v>
      </c>
      <c r="I2405" s="45">
        <v>2352.1799999999998</v>
      </c>
      <c r="J2405" s="45">
        <v>1176.0899999999999</v>
      </c>
      <c r="K2405" s="37" t="s">
        <v>790</v>
      </c>
      <c r="L2405" s="45"/>
      <c r="M2405" s="3"/>
    </row>
    <row r="2406" spans="1:13" x14ac:dyDescent="0.25">
      <c r="A2406" s="46" t="s">
        <v>2206</v>
      </c>
      <c r="B2406" s="46" t="s">
        <v>11647</v>
      </c>
      <c r="C2406" s="46" t="s">
        <v>14</v>
      </c>
      <c r="D2406" s="47">
        <v>970</v>
      </c>
      <c r="E2406" s="46" t="s">
        <v>2207</v>
      </c>
      <c r="F2406" s="48">
        <v>39230</v>
      </c>
      <c r="G2406" s="48">
        <v>39332</v>
      </c>
      <c r="H2406" s="46" t="s">
        <v>40</v>
      </c>
      <c r="I2406" s="45">
        <v>10200</v>
      </c>
      <c r="J2406" s="45">
        <v>5100</v>
      </c>
      <c r="K2406" s="37" t="s">
        <v>2033</v>
      </c>
      <c r="L2406" s="45"/>
      <c r="M2406" s="3"/>
    </row>
    <row r="2407" spans="1:13" x14ac:dyDescent="0.25">
      <c r="A2407" s="46" t="s">
        <v>2229</v>
      </c>
      <c r="B2407" s="46" t="s">
        <v>11647</v>
      </c>
      <c r="C2407" s="46" t="s">
        <v>14</v>
      </c>
      <c r="D2407" s="47">
        <v>1024</v>
      </c>
      <c r="E2407" s="46" t="s">
        <v>2230</v>
      </c>
      <c r="F2407" s="48">
        <v>39657</v>
      </c>
      <c r="G2407" s="48">
        <v>39722</v>
      </c>
      <c r="H2407" s="46" t="s">
        <v>40</v>
      </c>
      <c r="I2407" s="45">
        <v>1800</v>
      </c>
      <c r="J2407" s="45">
        <v>900</v>
      </c>
      <c r="K2407" s="37" t="s">
        <v>2033</v>
      </c>
      <c r="L2407" s="45"/>
      <c r="M2407" s="3"/>
    </row>
    <row r="2408" spans="1:13" x14ac:dyDescent="0.25">
      <c r="A2408" s="46" t="s">
        <v>2231</v>
      </c>
      <c r="B2408" s="46" t="s">
        <v>11647</v>
      </c>
      <c r="C2408" s="46" t="s">
        <v>14</v>
      </c>
      <c r="D2408" s="47">
        <v>1025</v>
      </c>
      <c r="E2408" s="46" t="s">
        <v>2232</v>
      </c>
      <c r="F2408" s="48">
        <v>39713</v>
      </c>
      <c r="G2408" s="48">
        <v>39722</v>
      </c>
      <c r="H2408" s="46" t="s">
        <v>40</v>
      </c>
      <c r="I2408" s="45">
        <v>1599.96</v>
      </c>
      <c r="J2408" s="45">
        <v>799.98</v>
      </c>
      <c r="K2408" s="37" t="s">
        <v>2033</v>
      </c>
      <c r="L2408" s="45"/>
      <c r="M2408" s="3"/>
    </row>
    <row r="2409" spans="1:13" x14ac:dyDescent="0.25">
      <c r="A2409" s="46" t="s">
        <v>2382</v>
      </c>
      <c r="B2409" s="46" t="s">
        <v>11647</v>
      </c>
      <c r="C2409" s="46" t="s">
        <v>14</v>
      </c>
      <c r="D2409" s="47">
        <v>5794</v>
      </c>
      <c r="E2409" s="46" t="s">
        <v>2383</v>
      </c>
      <c r="F2409" s="48">
        <v>39874</v>
      </c>
      <c r="G2409" s="48">
        <v>39906</v>
      </c>
      <c r="H2409" s="46" t="s">
        <v>40</v>
      </c>
      <c r="I2409" s="45">
        <v>644.64</v>
      </c>
      <c r="J2409" s="45">
        <v>322.32</v>
      </c>
      <c r="K2409" s="37" t="s">
        <v>2033</v>
      </c>
      <c r="L2409" s="45"/>
      <c r="M2409" s="3"/>
    </row>
    <row r="2410" spans="1:13" x14ac:dyDescent="0.25">
      <c r="A2410" s="46" t="s">
        <v>2384</v>
      </c>
      <c r="B2410" s="46" t="s">
        <v>11647</v>
      </c>
      <c r="C2410" s="46" t="s">
        <v>14</v>
      </c>
      <c r="D2410" s="47">
        <v>5796</v>
      </c>
      <c r="E2410" s="46" t="s">
        <v>2385</v>
      </c>
      <c r="F2410" s="48">
        <v>39814</v>
      </c>
      <c r="G2410" s="48">
        <v>39910</v>
      </c>
      <c r="H2410" s="46" t="s">
        <v>40</v>
      </c>
      <c r="I2410" s="45">
        <v>5850</v>
      </c>
      <c r="J2410" s="45">
        <v>2925</v>
      </c>
      <c r="K2410" s="37" t="s">
        <v>2033</v>
      </c>
      <c r="L2410" s="45"/>
      <c r="M2410" s="3"/>
    </row>
    <row r="2411" spans="1:13" x14ac:dyDescent="0.25">
      <c r="A2411" s="46" t="s">
        <v>2403</v>
      </c>
      <c r="B2411" s="46" t="s">
        <v>11647</v>
      </c>
      <c r="C2411" s="46" t="s">
        <v>14</v>
      </c>
      <c r="D2411" s="47">
        <v>5885</v>
      </c>
      <c r="E2411" s="46" t="s">
        <v>2404</v>
      </c>
      <c r="F2411" s="48">
        <v>40133</v>
      </c>
      <c r="G2411" s="48">
        <v>40308</v>
      </c>
      <c r="H2411" s="46" t="s">
        <v>40</v>
      </c>
      <c r="I2411" s="45">
        <v>10200</v>
      </c>
      <c r="J2411" s="45">
        <v>5100</v>
      </c>
      <c r="K2411" s="37" t="s">
        <v>2033</v>
      </c>
      <c r="L2411" s="45"/>
      <c r="M2411" s="3"/>
    </row>
    <row r="2412" spans="1:13" ht="25.5" x14ac:dyDescent="0.25">
      <c r="A2412" s="46" t="s">
        <v>2405</v>
      </c>
      <c r="B2412" s="46" t="s">
        <v>11647</v>
      </c>
      <c r="C2412" s="46" t="s">
        <v>14</v>
      </c>
      <c r="D2412" s="47">
        <v>5886</v>
      </c>
      <c r="E2412" s="46" t="s">
        <v>2406</v>
      </c>
      <c r="F2412" s="48">
        <v>40008</v>
      </c>
      <c r="G2412" s="48">
        <v>40165</v>
      </c>
      <c r="H2412" s="46" t="s">
        <v>40</v>
      </c>
      <c r="I2412" s="45">
        <v>10200</v>
      </c>
      <c r="J2412" s="45">
        <v>5100</v>
      </c>
      <c r="K2412" s="37" t="s">
        <v>2033</v>
      </c>
      <c r="L2412" s="45"/>
      <c r="M2412" s="3"/>
    </row>
    <row r="2413" spans="1:13" ht="25.5" x14ac:dyDescent="0.25">
      <c r="A2413" s="46" t="s">
        <v>2434</v>
      </c>
      <c r="B2413" s="46" t="s">
        <v>11647</v>
      </c>
      <c r="C2413" s="46" t="s">
        <v>14</v>
      </c>
      <c r="D2413" s="47">
        <v>7378</v>
      </c>
      <c r="E2413" s="46" t="s">
        <v>2435</v>
      </c>
      <c r="F2413" s="48">
        <v>40133</v>
      </c>
      <c r="G2413" s="48">
        <v>40305</v>
      </c>
      <c r="H2413" s="46" t="s">
        <v>40</v>
      </c>
      <c r="I2413" s="45">
        <v>10000</v>
      </c>
      <c r="J2413" s="45">
        <v>5000</v>
      </c>
      <c r="K2413" s="37" t="s">
        <v>2033</v>
      </c>
      <c r="L2413" s="45"/>
      <c r="M2413" s="3"/>
    </row>
    <row r="2414" spans="1:13" x14ac:dyDescent="0.25">
      <c r="A2414" s="46" t="s">
        <v>2438</v>
      </c>
      <c r="B2414" s="46" t="s">
        <v>11647</v>
      </c>
      <c r="C2414" s="46" t="s">
        <v>14</v>
      </c>
      <c r="D2414" s="47">
        <v>7380</v>
      </c>
      <c r="E2414" s="46" t="s">
        <v>2439</v>
      </c>
      <c r="F2414" s="48">
        <v>40442</v>
      </c>
      <c r="G2414" s="48">
        <v>40451</v>
      </c>
      <c r="H2414" s="46" t="s">
        <v>40</v>
      </c>
      <c r="I2414" s="45">
        <v>10060.66</v>
      </c>
      <c r="J2414" s="45">
        <v>5030.33</v>
      </c>
      <c r="K2414" s="37" t="s">
        <v>2033</v>
      </c>
      <c r="L2414" s="45"/>
      <c r="M2414" s="3"/>
    </row>
    <row r="2415" spans="1:13" ht="25.5" x14ac:dyDescent="0.25">
      <c r="A2415" s="46" t="s">
        <v>2450</v>
      </c>
      <c r="B2415" s="46" t="s">
        <v>11647</v>
      </c>
      <c r="C2415" s="46" t="s">
        <v>14</v>
      </c>
      <c r="D2415" s="47">
        <v>7515</v>
      </c>
      <c r="E2415" s="46" t="s">
        <v>2451</v>
      </c>
      <c r="F2415" s="48">
        <v>40193</v>
      </c>
      <c r="G2415" s="48">
        <v>40793</v>
      </c>
      <c r="H2415" s="46" t="s">
        <v>40</v>
      </c>
      <c r="I2415" s="45">
        <v>10200</v>
      </c>
      <c r="J2415" s="45">
        <v>5100</v>
      </c>
      <c r="K2415" s="37" t="s">
        <v>2033</v>
      </c>
      <c r="L2415" s="45"/>
      <c r="M2415" s="3"/>
    </row>
    <row r="2416" spans="1:13" ht="25.5" x14ac:dyDescent="0.25">
      <c r="A2416" s="46" t="s">
        <v>2458</v>
      </c>
      <c r="B2416" s="46" t="s">
        <v>11647</v>
      </c>
      <c r="C2416" s="46" t="s">
        <v>14</v>
      </c>
      <c r="D2416" s="47">
        <v>7697</v>
      </c>
      <c r="E2416" s="46" t="s">
        <v>2459</v>
      </c>
      <c r="F2416" s="48">
        <v>40310</v>
      </c>
      <c r="G2416" s="48">
        <v>40491</v>
      </c>
      <c r="H2416" s="46" t="s">
        <v>40</v>
      </c>
      <c r="I2416" s="45">
        <v>1166.78</v>
      </c>
      <c r="J2416" s="45">
        <v>583.39</v>
      </c>
      <c r="K2416" s="37" t="s">
        <v>2033</v>
      </c>
      <c r="L2416" s="45"/>
      <c r="M2416" s="3"/>
    </row>
    <row r="2417" spans="1:13" ht="25.5" x14ac:dyDescent="0.25">
      <c r="A2417" s="46" t="s">
        <v>2567</v>
      </c>
      <c r="B2417" s="46" t="s">
        <v>11647</v>
      </c>
      <c r="C2417" s="46" t="s">
        <v>14</v>
      </c>
      <c r="D2417" s="47">
        <v>10991</v>
      </c>
      <c r="E2417" s="46" t="s">
        <v>2568</v>
      </c>
      <c r="F2417" s="48">
        <v>40891</v>
      </c>
      <c r="G2417" s="48">
        <v>41274</v>
      </c>
      <c r="H2417" s="46" t="s">
        <v>40</v>
      </c>
      <c r="I2417" s="45">
        <v>9500</v>
      </c>
      <c r="J2417" s="45">
        <v>4750</v>
      </c>
      <c r="K2417" s="37" t="s">
        <v>2033</v>
      </c>
      <c r="L2417" s="45"/>
      <c r="M2417" s="3"/>
    </row>
    <row r="2418" spans="1:13" x14ac:dyDescent="0.25">
      <c r="A2418" s="46" t="s">
        <v>3120</v>
      </c>
      <c r="B2418" s="46" t="s">
        <v>11647</v>
      </c>
      <c r="C2418" s="46" t="s">
        <v>14</v>
      </c>
      <c r="D2418" s="47">
        <v>746</v>
      </c>
      <c r="E2418" s="46" t="s">
        <v>3121</v>
      </c>
      <c r="F2418" s="48">
        <v>39162</v>
      </c>
      <c r="G2418" s="48">
        <v>39528</v>
      </c>
      <c r="H2418" s="46" t="s">
        <v>40</v>
      </c>
      <c r="I2418" s="45">
        <v>6000</v>
      </c>
      <c r="J2418" s="45">
        <v>3000</v>
      </c>
      <c r="K2418" s="37" t="s">
        <v>2650</v>
      </c>
      <c r="L2418" s="45"/>
      <c r="M2418" s="3"/>
    </row>
    <row r="2419" spans="1:13" ht="25.5" x14ac:dyDescent="0.25">
      <c r="A2419" s="46" t="s">
        <v>3124</v>
      </c>
      <c r="B2419" s="46" t="s">
        <v>11647</v>
      </c>
      <c r="C2419" s="46" t="s">
        <v>14</v>
      </c>
      <c r="D2419" s="47">
        <v>749</v>
      </c>
      <c r="E2419" s="46" t="s">
        <v>3125</v>
      </c>
      <c r="F2419" s="48">
        <v>39162</v>
      </c>
      <c r="G2419" s="48">
        <v>39528</v>
      </c>
      <c r="H2419" s="46" t="s">
        <v>40</v>
      </c>
      <c r="I2419" s="45">
        <v>4584.57</v>
      </c>
      <c r="J2419" s="45">
        <v>2584.7800000000002</v>
      </c>
      <c r="K2419" s="37" t="s">
        <v>2650</v>
      </c>
      <c r="L2419" s="45"/>
      <c r="M2419" s="3"/>
    </row>
    <row r="2420" spans="1:13" x14ac:dyDescent="0.25">
      <c r="A2420" s="46" t="s">
        <v>3126</v>
      </c>
      <c r="B2420" s="46" t="s">
        <v>11647</v>
      </c>
      <c r="C2420" s="46" t="s">
        <v>14</v>
      </c>
      <c r="D2420" s="47">
        <v>750</v>
      </c>
      <c r="E2420" s="46" t="s">
        <v>3127</v>
      </c>
      <c r="F2420" s="48">
        <v>39162</v>
      </c>
      <c r="G2420" s="48">
        <v>39528</v>
      </c>
      <c r="H2420" s="46" t="s">
        <v>40</v>
      </c>
      <c r="I2420" s="45">
        <v>11153</v>
      </c>
      <c r="J2420" s="45">
        <v>5100</v>
      </c>
      <c r="K2420" s="37" t="s">
        <v>2650</v>
      </c>
      <c r="L2420" s="45"/>
      <c r="M2420" s="3"/>
    </row>
    <row r="2421" spans="1:13" x14ac:dyDescent="0.25">
      <c r="A2421" s="46" t="s">
        <v>3133</v>
      </c>
      <c r="B2421" s="46" t="s">
        <v>11647</v>
      </c>
      <c r="C2421" s="46" t="s">
        <v>14</v>
      </c>
      <c r="D2421" s="47">
        <v>756</v>
      </c>
      <c r="E2421" s="46" t="s">
        <v>3134</v>
      </c>
      <c r="F2421" s="48">
        <v>39211</v>
      </c>
      <c r="G2421" s="48">
        <v>39577</v>
      </c>
      <c r="H2421" s="46" t="s">
        <v>40</v>
      </c>
      <c r="I2421" s="45">
        <v>8091.5</v>
      </c>
      <c r="J2421" s="45">
        <v>4100</v>
      </c>
      <c r="K2421" s="37" t="s">
        <v>2650</v>
      </c>
      <c r="L2421" s="45"/>
      <c r="M2421" s="3"/>
    </row>
    <row r="2422" spans="1:13" x14ac:dyDescent="0.25">
      <c r="A2422" s="46" t="s">
        <v>3135</v>
      </c>
      <c r="B2422" s="46" t="s">
        <v>11647</v>
      </c>
      <c r="C2422" s="46" t="s">
        <v>14</v>
      </c>
      <c r="D2422" s="47">
        <v>758</v>
      </c>
      <c r="E2422" s="46" t="s">
        <v>3136</v>
      </c>
      <c r="F2422" s="48">
        <v>39211</v>
      </c>
      <c r="G2422" s="48">
        <v>39577</v>
      </c>
      <c r="H2422" s="46" t="s">
        <v>40</v>
      </c>
      <c r="I2422" s="45">
        <v>5240</v>
      </c>
      <c r="J2422" s="45">
        <v>2620</v>
      </c>
      <c r="K2422" s="37" t="s">
        <v>2650</v>
      </c>
      <c r="L2422" s="45"/>
      <c r="M2422" s="3"/>
    </row>
    <row r="2423" spans="1:13" x14ac:dyDescent="0.25">
      <c r="A2423" s="46" t="s">
        <v>3146</v>
      </c>
      <c r="B2423" s="46" t="s">
        <v>11647</v>
      </c>
      <c r="C2423" s="46" t="s">
        <v>14</v>
      </c>
      <c r="D2423" s="47">
        <v>773</v>
      </c>
      <c r="E2423" s="46" t="s">
        <v>3136</v>
      </c>
      <c r="F2423" s="48">
        <v>39252</v>
      </c>
      <c r="G2423" s="48">
        <v>39618</v>
      </c>
      <c r="H2423" s="46" t="s">
        <v>40</v>
      </c>
      <c r="I2423" s="45">
        <v>5707.37</v>
      </c>
      <c r="J2423" s="45">
        <v>2750</v>
      </c>
      <c r="K2423" s="37" t="s">
        <v>2650</v>
      </c>
      <c r="L2423" s="45"/>
      <c r="M2423" s="3"/>
    </row>
    <row r="2424" spans="1:13" x14ac:dyDescent="0.25">
      <c r="A2424" s="46" t="s">
        <v>3156</v>
      </c>
      <c r="B2424" s="46" t="s">
        <v>11647</v>
      </c>
      <c r="C2424" s="46" t="s">
        <v>14</v>
      </c>
      <c r="D2424" s="47">
        <v>791</v>
      </c>
      <c r="E2424" s="46" t="s">
        <v>3157</v>
      </c>
      <c r="F2424" s="48">
        <v>39343</v>
      </c>
      <c r="G2424" s="48">
        <v>39709</v>
      </c>
      <c r="H2424" s="46" t="s">
        <v>40</v>
      </c>
      <c r="I2424" s="45">
        <v>10239.73</v>
      </c>
      <c r="J2424" s="45">
        <v>5100</v>
      </c>
      <c r="K2424" s="37" t="s">
        <v>2650</v>
      </c>
      <c r="L2424" s="45"/>
      <c r="M2424" s="3"/>
    </row>
    <row r="2425" spans="1:13" x14ac:dyDescent="0.25">
      <c r="A2425" s="46" t="s">
        <v>3160</v>
      </c>
      <c r="B2425" s="46" t="s">
        <v>11647</v>
      </c>
      <c r="C2425" s="46" t="s">
        <v>14</v>
      </c>
      <c r="D2425" s="47">
        <v>824</v>
      </c>
      <c r="E2425" s="46" t="s">
        <v>3161</v>
      </c>
      <c r="F2425" s="48">
        <v>39343</v>
      </c>
      <c r="G2425" s="48">
        <v>39709</v>
      </c>
      <c r="H2425" s="46" t="s">
        <v>40</v>
      </c>
      <c r="I2425" s="45">
        <v>12761</v>
      </c>
      <c r="J2425" s="45">
        <v>5000</v>
      </c>
      <c r="K2425" s="37" t="s">
        <v>2650</v>
      </c>
      <c r="L2425" s="45"/>
      <c r="M2425" s="3"/>
    </row>
    <row r="2426" spans="1:13" ht="25.5" x14ac:dyDescent="0.25">
      <c r="A2426" s="46" t="s">
        <v>3167</v>
      </c>
      <c r="B2426" s="46" t="s">
        <v>11647</v>
      </c>
      <c r="C2426" s="46" t="s">
        <v>14</v>
      </c>
      <c r="D2426" s="47">
        <v>841</v>
      </c>
      <c r="E2426" s="46" t="s">
        <v>3168</v>
      </c>
      <c r="F2426" s="48">
        <v>39343</v>
      </c>
      <c r="G2426" s="48">
        <v>40071</v>
      </c>
      <c r="H2426" s="46" t="s">
        <v>40</v>
      </c>
      <c r="I2426" s="45">
        <v>7500</v>
      </c>
      <c r="J2426" s="45">
        <v>3750</v>
      </c>
      <c r="K2426" s="37" t="s">
        <v>2650</v>
      </c>
      <c r="L2426" s="45"/>
      <c r="M2426" s="3"/>
    </row>
    <row r="2427" spans="1:13" x14ac:dyDescent="0.25">
      <c r="A2427" s="46" t="s">
        <v>3171</v>
      </c>
      <c r="B2427" s="46" t="s">
        <v>11647</v>
      </c>
      <c r="C2427" s="46" t="s">
        <v>14</v>
      </c>
      <c r="D2427" s="47">
        <v>1051</v>
      </c>
      <c r="E2427" s="46" t="s">
        <v>3136</v>
      </c>
      <c r="F2427" s="48">
        <v>39380</v>
      </c>
      <c r="G2427" s="48">
        <v>39746</v>
      </c>
      <c r="H2427" s="46" t="s">
        <v>40</v>
      </c>
      <c r="I2427" s="45">
        <v>10200</v>
      </c>
      <c r="J2427" s="45">
        <v>5100</v>
      </c>
      <c r="K2427" s="37" t="s">
        <v>2650</v>
      </c>
      <c r="L2427" s="45"/>
      <c r="M2427" s="3"/>
    </row>
    <row r="2428" spans="1:13" x14ac:dyDescent="0.25">
      <c r="A2428" s="46" t="s">
        <v>3172</v>
      </c>
      <c r="B2428" s="46" t="s">
        <v>11647</v>
      </c>
      <c r="C2428" s="46" t="s">
        <v>14</v>
      </c>
      <c r="D2428" s="47">
        <v>1052</v>
      </c>
      <c r="E2428" s="46" t="s">
        <v>3173</v>
      </c>
      <c r="F2428" s="48">
        <v>39380</v>
      </c>
      <c r="G2428" s="48">
        <v>39746</v>
      </c>
      <c r="H2428" s="46" t="s">
        <v>40</v>
      </c>
      <c r="I2428" s="45">
        <v>5500</v>
      </c>
      <c r="J2428" s="45">
        <v>2750</v>
      </c>
      <c r="K2428" s="37" t="s">
        <v>2650</v>
      </c>
      <c r="L2428" s="45"/>
      <c r="M2428" s="3"/>
    </row>
    <row r="2429" spans="1:13" x14ac:dyDescent="0.25">
      <c r="A2429" s="46" t="s">
        <v>3174</v>
      </c>
      <c r="B2429" s="46" t="s">
        <v>11647</v>
      </c>
      <c r="C2429" s="46" t="s">
        <v>14</v>
      </c>
      <c r="D2429" s="47">
        <v>1123</v>
      </c>
      <c r="E2429" s="46" t="s">
        <v>3175</v>
      </c>
      <c r="F2429" s="48">
        <v>39380</v>
      </c>
      <c r="G2429" s="48">
        <v>39746</v>
      </c>
      <c r="H2429" s="46" t="s">
        <v>40</v>
      </c>
      <c r="I2429" s="45">
        <v>7562.54</v>
      </c>
      <c r="J2429" s="45">
        <v>4545.7700000000004</v>
      </c>
      <c r="K2429" s="37" t="s">
        <v>2650</v>
      </c>
      <c r="L2429" s="45"/>
      <c r="M2429" s="3"/>
    </row>
    <row r="2430" spans="1:13" x14ac:dyDescent="0.25">
      <c r="A2430" s="46" t="s">
        <v>3180</v>
      </c>
      <c r="B2430" s="46" t="s">
        <v>11647</v>
      </c>
      <c r="C2430" s="46" t="s">
        <v>14</v>
      </c>
      <c r="D2430" s="47">
        <v>1201</v>
      </c>
      <c r="E2430" s="46" t="s">
        <v>3181</v>
      </c>
      <c r="F2430" s="48">
        <v>39380</v>
      </c>
      <c r="G2430" s="48">
        <v>39746</v>
      </c>
      <c r="H2430" s="46" t="s">
        <v>40</v>
      </c>
      <c r="I2430" s="45">
        <v>3074</v>
      </c>
      <c r="J2430" s="45">
        <v>3074</v>
      </c>
      <c r="K2430" s="37" t="s">
        <v>2650</v>
      </c>
      <c r="L2430" s="45"/>
      <c r="M2430" s="3"/>
    </row>
    <row r="2431" spans="1:13" x14ac:dyDescent="0.25">
      <c r="A2431" s="46" t="s">
        <v>3182</v>
      </c>
      <c r="B2431" s="46" t="s">
        <v>11647</v>
      </c>
      <c r="C2431" s="46" t="s">
        <v>14</v>
      </c>
      <c r="D2431" s="47">
        <v>1646</v>
      </c>
      <c r="E2431" s="46" t="s">
        <v>3183</v>
      </c>
      <c r="F2431" s="48">
        <v>39406</v>
      </c>
      <c r="G2431" s="48">
        <v>39772</v>
      </c>
      <c r="H2431" s="46" t="s">
        <v>40</v>
      </c>
      <c r="I2431" s="45">
        <v>9417.56</v>
      </c>
      <c r="J2431" s="45">
        <v>4147.01</v>
      </c>
      <c r="K2431" s="37" t="s">
        <v>2650</v>
      </c>
      <c r="L2431" s="45"/>
      <c r="M2431" s="3"/>
    </row>
    <row r="2432" spans="1:13" x14ac:dyDescent="0.25">
      <c r="A2432" s="46" t="s">
        <v>3196</v>
      </c>
      <c r="B2432" s="46" t="s">
        <v>11647</v>
      </c>
      <c r="C2432" s="46" t="s">
        <v>14</v>
      </c>
      <c r="D2432" s="47">
        <v>1660</v>
      </c>
      <c r="E2432" s="46" t="s">
        <v>3197</v>
      </c>
      <c r="F2432" s="48">
        <v>39483</v>
      </c>
      <c r="G2432" s="48">
        <v>39849</v>
      </c>
      <c r="H2432" s="46" t="s">
        <v>40</v>
      </c>
      <c r="I2432" s="45">
        <v>9900</v>
      </c>
      <c r="J2432" s="45">
        <v>4900</v>
      </c>
      <c r="K2432" s="37" t="s">
        <v>2650</v>
      </c>
      <c r="L2432" s="45"/>
      <c r="M2432" s="3"/>
    </row>
    <row r="2433" spans="1:13" x14ac:dyDescent="0.25">
      <c r="A2433" s="46" t="s">
        <v>3198</v>
      </c>
      <c r="B2433" s="46" t="s">
        <v>11647</v>
      </c>
      <c r="C2433" s="46" t="s">
        <v>14</v>
      </c>
      <c r="D2433" s="47">
        <v>1661</v>
      </c>
      <c r="E2433" s="46" t="s">
        <v>3199</v>
      </c>
      <c r="F2433" s="48">
        <v>39483</v>
      </c>
      <c r="G2433" s="48">
        <v>39849</v>
      </c>
      <c r="H2433" s="46" t="s">
        <v>40</v>
      </c>
      <c r="I2433" s="45">
        <v>6776</v>
      </c>
      <c r="J2433" s="45">
        <v>3387.5</v>
      </c>
      <c r="K2433" s="37" t="s">
        <v>2650</v>
      </c>
      <c r="L2433" s="45"/>
      <c r="M2433" s="3"/>
    </row>
    <row r="2434" spans="1:13" x14ac:dyDescent="0.25">
      <c r="A2434" s="46" t="s">
        <v>3204</v>
      </c>
      <c r="B2434" s="46" t="s">
        <v>11647</v>
      </c>
      <c r="C2434" s="46" t="s">
        <v>14</v>
      </c>
      <c r="D2434" s="47">
        <v>1666</v>
      </c>
      <c r="E2434" s="46" t="s">
        <v>3205</v>
      </c>
      <c r="F2434" s="48">
        <v>39483</v>
      </c>
      <c r="G2434" s="48">
        <v>39849</v>
      </c>
      <c r="H2434" s="46" t="s">
        <v>40</v>
      </c>
      <c r="I2434" s="45">
        <v>10200</v>
      </c>
      <c r="J2434" s="45">
        <v>5100</v>
      </c>
      <c r="K2434" s="37" t="s">
        <v>2650</v>
      </c>
      <c r="L2434" s="45"/>
      <c r="M2434" s="3"/>
    </row>
    <row r="2435" spans="1:13" ht="25.5" x14ac:dyDescent="0.25">
      <c r="A2435" s="46" t="s">
        <v>3316</v>
      </c>
      <c r="B2435" s="46" t="s">
        <v>11647</v>
      </c>
      <c r="C2435" s="46" t="s">
        <v>14</v>
      </c>
      <c r="D2435" s="47">
        <v>9017</v>
      </c>
      <c r="E2435" s="46" t="s">
        <v>3317</v>
      </c>
      <c r="F2435" s="48">
        <v>40883</v>
      </c>
      <c r="G2435" s="48">
        <v>41639</v>
      </c>
      <c r="H2435" s="46" t="s">
        <v>40</v>
      </c>
      <c r="I2435" s="45">
        <v>6654.74</v>
      </c>
      <c r="J2435" s="45">
        <v>3327.37</v>
      </c>
      <c r="K2435" s="37" t="s">
        <v>2650</v>
      </c>
      <c r="L2435" s="45"/>
      <c r="M2435" s="3"/>
    </row>
    <row r="2436" spans="1:13" ht="25.5" x14ac:dyDescent="0.25">
      <c r="A2436" s="46" t="s">
        <v>3318</v>
      </c>
      <c r="B2436" s="46" t="s">
        <v>11647</v>
      </c>
      <c r="C2436" s="46" t="s">
        <v>14</v>
      </c>
      <c r="D2436" s="47">
        <v>9018</v>
      </c>
      <c r="E2436" s="46" t="s">
        <v>3319</v>
      </c>
      <c r="F2436" s="48">
        <v>40645</v>
      </c>
      <c r="G2436" s="48">
        <v>41639</v>
      </c>
      <c r="H2436" s="46" t="s">
        <v>40</v>
      </c>
      <c r="I2436" s="45">
        <v>10000</v>
      </c>
      <c r="J2436" s="45">
        <v>5000</v>
      </c>
      <c r="K2436" s="37" t="s">
        <v>2650</v>
      </c>
      <c r="L2436" s="45"/>
      <c r="M2436" s="3"/>
    </row>
    <row r="2437" spans="1:13" ht="25.5" x14ac:dyDescent="0.25">
      <c r="A2437" s="46" t="s">
        <v>3324</v>
      </c>
      <c r="B2437" s="46" t="s">
        <v>11647</v>
      </c>
      <c r="C2437" s="46" t="s">
        <v>14</v>
      </c>
      <c r="D2437" s="47">
        <v>9021</v>
      </c>
      <c r="E2437" s="46" t="s">
        <v>3325</v>
      </c>
      <c r="F2437" s="48">
        <v>40645</v>
      </c>
      <c r="G2437" s="48">
        <v>41639</v>
      </c>
      <c r="H2437" s="46" t="s">
        <v>40</v>
      </c>
      <c r="I2437" s="45">
        <v>8000</v>
      </c>
      <c r="J2437" s="45">
        <v>4000</v>
      </c>
      <c r="K2437" s="37" t="s">
        <v>2650</v>
      </c>
      <c r="L2437" s="45"/>
      <c r="M2437" s="3"/>
    </row>
    <row r="2438" spans="1:13" ht="38.25" x14ac:dyDescent="0.25">
      <c r="A2438" s="46" t="s">
        <v>3328</v>
      </c>
      <c r="B2438" s="46" t="s">
        <v>11647</v>
      </c>
      <c r="C2438" s="46" t="s">
        <v>14</v>
      </c>
      <c r="D2438" s="47">
        <v>9023</v>
      </c>
      <c r="E2438" s="46" t="s">
        <v>3329</v>
      </c>
      <c r="F2438" s="48">
        <v>40708</v>
      </c>
      <c r="G2438" s="48">
        <v>41639</v>
      </c>
      <c r="H2438" s="46" t="s">
        <v>40</v>
      </c>
      <c r="I2438" s="45">
        <v>15000</v>
      </c>
      <c r="J2438" s="45">
        <v>7500</v>
      </c>
      <c r="K2438" s="37" t="s">
        <v>2650</v>
      </c>
      <c r="L2438" s="45"/>
      <c r="M2438" s="3"/>
    </row>
    <row r="2439" spans="1:13" ht="25.5" x14ac:dyDescent="0.25">
      <c r="A2439" s="46" t="s">
        <v>3373</v>
      </c>
      <c r="B2439" s="46" t="s">
        <v>11647</v>
      </c>
      <c r="C2439" s="46" t="s">
        <v>14</v>
      </c>
      <c r="D2439" s="47">
        <v>9046</v>
      </c>
      <c r="E2439" s="46" t="s">
        <v>3374</v>
      </c>
      <c r="F2439" s="48">
        <v>40862</v>
      </c>
      <c r="G2439" s="48">
        <v>41639</v>
      </c>
      <c r="H2439" s="46" t="s">
        <v>40</v>
      </c>
      <c r="I2439" s="45">
        <v>7335</v>
      </c>
      <c r="J2439" s="45">
        <v>3667.5</v>
      </c>
      <c r="K2439" s="37" t="s">
        <v>2650</v>
      </c>
      <c r="L2439" s="45"/>
      <c r="M2439" s="3"/>
    </row>
    <row r="2440" spans="1:13" ht="25.5" x14ac:dyDescent="0.25">
      <c r="A2440" s="46" t="s">
        <v>3379</v>
      </c>
      <c r="B2440" s="46" t="s">
        <v>11647</v>
      </c>
      <c r="C2440" s="46" t="s">
        <v>14</v>
      </c>
      <c r="D2440" s="47">
        <v>9049</v>
      </c>
      <c r="E2440" s="46" t="s">
        <v>3380</v>
      </c>
      <c r="F2440" s="48">
        <v>40708</v>
      </c>
      <c r="G2440" s="48">
        <v>41639</v>
      </c>
      <c r="H2440" s="46" t="s">
        <v>40</v>
      </c>
      <c r="I2440" s="45">
        <v>10000</v>
      </c>
      <c r="J2440" s="45">
        <v>5000</v>
      </c>
      <c r="K2440" s="37" t="s">
        <v>2650</v>
      </c>
      <c r="L2440" s="45"/>
      <c r="M2440" s="3"/>
    </row>
    <row r="2441" spans="1:13" ht="25.5" x14ac:dyDescent="0.25">
      <c r="A2441" s="46" t="s">
        <v>3395</v>
      </c>
      <c r="B2441" s="46" t="s">
        <v>11647</v>
      </c>
      <c r="C2441" s="46" t="s">
        <v>14</v>
      </c>
      <c r="D2441" s="47">
        <v>9058</v>
      </c>
      <c r="E2441" s="46" t="s">
        <v>3396</v>
      </c>
      <c r="F2441" s="48">
        <v>40498</v>
      </c>
      <c r="G2441" s="48">
        <v>41639</v>
      </c>
      <c r="H2441" s="46" t="s">
        <v>40</v>
      </c>
      <c r="I2441" s="45">
        <v>1270.8</v>
      </c>
      <c r="J2441" s="45">
        <v>635.4</v>
      </c>
      <c r="K2441" s="37" t="s">
        <v>2650</v>
      </c>
      <c r="L2441" s="45"/>
      <c r="M2441" s="3"/>
    </row>
    <row r="2442" spans="1:13" ht="25.5" x14ac:dyDescent="0.25">
      <c r="A2442" s="46" t="s">
        <v>3399</v>
      </c>
      <c r="B2442" s="46" t="s">
        <v>11647</v>
      </c>
      <c r="C2442" s="46" t="s">
        <v>14</v>
      </c>
      <c r="D2442" s="47">
        <v>9060</v>
      </c>
      <c r="E2442" s="46" t="s">
        <v>3400</v>
      </c>
      <c r="F2442" s="48">
        <v>40435</v>
      </c>
      <c r="G2442" s="48">
        <v>41639</v>
      </c>
      <c r="H2442" s="46" t="s">
        <v>40</v>
      </c>
      <c r="I2442" s="45">
        <v>3986</v>
      </c>
      <c r="J2442" s="45">
        <v>1993</v>
      </c>
      <c r="K2442" s="37" t="s">
        <v>2650</v>
      </c>
      <c r="L2442" s="45"/>
      <c r="M2442" s="3"/>
    </row>
    <row r="2443" spans="1:13" ht="25.5" x14ac:dyDescent="0.25">
      <c r="A2443" s="46" t="s">
        <v>3417</v>
      </c>
      <c r="B2443" s="46" t="s">
        <v>11647</v>
      </c>
      <c r="C2443" s="46" t="s">
        <v>14</v>
      </c>
      <c r="D2443" s="47">
        <v>9070</v>
      </c>
      <c r="E2443" s="46" t="s">
        <v>3418</v>
      </c>
      <c r="F2443" s="48">
        <v>40708</v>
      </c>
      <c r="G2443" s="48">
        <v>41639</v>
      </c>
      <c r="H2443" s="46" t="s">
        <v>40</v>
      </c>
      <c r="I2443" s="45">
        <v>5000</v>
      </c>
      <c r="J2443" s="45">
        <v>2500</v>
      </c>
      <c r="K2443" s="37" t="s">
        <v>2650</v>
      </c>
      <c r="L2443" s="45"/>
      <c r="M2443" s="3"/>
    </row>
    <row r="2444" spans="1:13" ht="25.5" x14ac:dyDescent="0.25">
      <c r="A2444" s="46" t="s">
        <v>3421</v>
      </c>
      <c r="B2444" s="46" t="s">
        <v>11647</v>
      </c>
      <c r="C2444" s="46" t="s">
        <v>14</v>
      </c>
      <c r="D2444" s="47">
        <v>9072</v>
      </c>
      <c r="E2444" s="46" t="s">
        <v>3422</v>
      </c>
      <c r="F2444" s="48">
        <v>40883</v>
      </c>
      <c r="G2444" s="48">
        <v>41639</v>
      </c>
      <c r="H2444" s="46" t="s">
        <v>40</v>
      </c>
      <c r="I2444" s="45">
        <v>10000</v>
      </c>
      <c r="J2444" s="45">
        <v>5000</v>
      </c>
      <c r="K2444" s="37" t="s">
        <v>2650</v>
      </c>
      <c r="L2444" s="45"/>
      <c r="M2444" s="3"/>
    </row>
    <row r="2445" spans="1:13" ht="25.5" x14ac:dyDescent="0.25">
      <c r="A2445" s="46" t="s">
        <v>3433</v>
      </c>
      <c r="B2445" s="46" t="s">
        <v>11647</v>
      </c>
      <c r="C2445" s="46" t="s">
        <v>14</v>
      </c>
      <c r="D2445" s="47">
        <v>9104</v>
      </c>
      <c r="E2445" s="46" t="s">
        <v>3434</v>
      </c>
      <c r="F2445" s="48">
        <v>40799</v>
      </c>
      <c r="G2445" s="48">
        <v>41639</v>
      </c>
      <c r="H2445" s="46" t="s">
        <v>40</v>
      </c>
      <c r="I2445" s="45">
        <v>6000</v>
      </c>
      <c r="J2445" s="45">
        <v>3000</v>
      </c>
      <c r="K2445" s="37" t="s">
        <v>2650</v>
      </c>
      <c r="L2445" s="45"/>
      <c r="M2445" s="3"/>
    </row>
    <row r="2446" spans="1:13" ht="25.5" x14ac:dyDescent="0.25">
      <c r="A2446" s="46" t="s">
        <v>3437</v>
      </c>
      <c r="B2446" s="46" t="s">
        <v>11647</v>
      </c>
      <c r="C2446" s="46" t="s">
        <v>14</v>
      </c>
      <c r="D2446" s="47">
        <v>9109</v>
      </c>
      <c r="E2446" s="46" t="s">
        <v>3438</v>
      </c>
      <c r="F2446" s="48">
        <v>40862</v>
      </c>
      <c r="G2446" s="48">
        <v>41639</v>
      </c>
      <c r="H2446" s="46" t="s">
        <v>40</v>
      </c>
      <c r="I2446" s="45">
        <v>15000</v>
      </c>
      <c r="J2446" s="45">
        <v>7500</v>
      </c>
      <c r="K2446" s="37" t="s">
        <v>2650</v>
      </c>
      <c r="L2446" s="45"/>
      <c r="M2446" s="3"/>
    </row>
    <row r="2447" spans="1:13" ht="25.5" x14ac:dyDescent="0.25">
      <c r="A2447" s="46" t="s">
        <v>3451</v>
      </c>
      <c r="B2447" s="46" t="s">
        <v>11647</v>
      </c>
      <c r="C2447" s="46" t="s">
        <v>14</v>
      </c>
      <c r="D2447" s="47">
        <v>9123</v>
      </c>
      <c r="E2447" s="46" t="s">
        <v>3452</v>
      </c>
      <c r="F2447" s="48">
        <v>40799</v>
      </c>
      <c r="G2447" s="48">
        <v>41639</v>
      </c>
      <c r="H2447" s="46" t="s">
        <v>40</v>
      </c>
      <c r="I2447" s="45">
        <v>8000</v>
      </c>
      <c r="J2447" s="45">
        <v>4000</v>
      </c>
      <c r="K2447" s="37" t="s">
        <v>2650</v>
      </c>
      <c r="L2447" s="45"/>
      <c r="M2447" s="3"/>
    </row>
    <row r="2448" spans="1:13" ht="25.5" x14ac:dyDescent="0.25">
      <c r="A2448" s="46" t="s">
        <v>3463</v>
      </c>
      <c r="B2448" s="46" t="s">
        <v>11647</v>
      </c>
      <c r="C2448" s="46" t="s">
        <v>14</v>
      </c>
      <c r="D2448" s="47">
        <v>9135</v>
      </c>
      <c r="E2448" s="46" t="s">
        <v>3464</v>
      </c>
      <c r="F2448" s="48">
        <v>40379</v>
      </c>
      <c r="G2448" s="48">
        <v>41639</v>
      </c>
      <c r="H2448" s="46" t="s">
        <v>40</v>
      </c>
      <c r="I2448" s="45">
        <v>6611.56</v>
      </c>
      <c r="J2448" s="45">
        <v>3305.78</v>
      </c>
      <c r="K2448" s="37" t="s">
        <v>2650</v>
      </c>
      <c r="L2448" s="45"/>
      <c r="M2448" s="3"/>
    </row>
    <row r="2449" spans="1:60" s="21" customFormat="1" ht="25.5" x14ac:dyDescent="0.25">
      <c r="A2449" s="46" t="s">
        <v>3473</v>
      </c>
      <c r="B2449" s="46" t="s">
        <v>11647</v>
      </c>
      <c r="C2449" s="46" t="s">
        <v>14</v>
      </c>
      <c r="D2449" s="47">
        <v>10451</v>
      </c>
      <c r="E2449" s="46" t="s">
        <v>3474</v>
      </c>
      <c r="F2449" s="48">
        <v>41030</v>
      </c>
      <c r="G2449" s="48">
        <v>41274</v>
      </c>
      <c r="H2449" s="46" t="s">
        <v>40</v>
      </c>
      <c r="I2449" s="45">
        <v>4893.3</v>
      </c>
      <c r="J2449" s="45">
        <v>2446.65</v>
      </c>
      <c r="K2449" s="37" t="s">
        <v>2650</v>
      </c>
      <c r="L2449" s="45"/>
      <c r="M2449" s="3"/>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row>
    <row r="2450" spans="1:60" ht="25.5" x14ac:dyDescent="0.25">
      <c r="A2450" s="46" t="s">
        <v>3481</v>
      </c>
      <c r="B2450" s="46" t="s">
        <v>11647</v>
      </c>
      <c r="C2450" s="46" t="s">
        <v>14</v>
      </c>
      <c r="D2450" s="47">
        <v>10670</v>
      </c>
      <c r="E2450" s="46" t="s">
        <v>3482</v>
      </c>
      <c r="F2450" s="48">
        <v>40799</v>
      </c>
      <c r="G2450" s="48">
        <v>41274</v>
      </c>
      <c r="H2450" s="46" t="s">
        <v>40</v>
      </c>
      <c r="I2450" s="45">
        <v>3056.88</v>
      </c>
      <c r="J2450" s="45">
        <v>1528.44</v>
      </c>
      <c r="K2450" s="37" t="s">
        <v>2650</v>
      </c>
      <c r="L2450" s="45"/>
      <c r="M2450" s="3"/>
    </row>
    <row r="2451" spans="1:60" ht="25.5" x14ac:dyDescent="0.25">
      <c r="A2451" s="46" t="s">
        <v>3485</v>
      </c>
      <c r="B2451" s="46" t="s">
        <v>11647</v>
      </c>
      <c r="C2451" s="46" t="s">
        <v>14</v>
      </c>
      <c r="D2451" s="47">
        <v>10672</v>
      </c>
      <c r="E2451" s="46" t="s">
        <v>3486</v>
      </c>
      <c r="F2451" s="48">
        <v>41030</v>
      </c>
      <c r="G2451" s="48">
        <v>41274</v>
      </c>
      <c r="H2451" s="46" t="s">
        <v>40</v>
      </c>
      <c r="I2451" s="45">
        <v>6000</v>
      </c>
      <c r="J2451" s="45">
        <v>3000</v>
      </c>
      <c r="K2451" s="37" t="s">
        <v>2650</v>
      </c>
      <c r="L2451" s="45"/>
      <c r="M2451" s="3"/>
    </row>
    <row r="2452" spans="1:60" ht="38.25" x14ac:dyDescent="0.25">
      <c r="A2452" s="46" t="s">
        <v>3495</v>
      </c>
      <c r="B2452" s="46" t="s">
        <v>11647</v>
      </c>
      <c r="C2452" s="46" t="s">
        <v>14</v>
      </c>
      <c r="D2452" s="47">
        <v>10679</v>
      </c>
      <c r="E2452" s="46" t="s">
        <v>3496</v>
      </c>
      <c r="F2452" s="48">
        <v>40990</v>
      </c>
      <c r="G2452" s="48">
        <v>41274</v>
      </c>
      <c r="H2452" s="46" t="s">
        <v>40</v>
      </c>
      <c r="I2452" s="45">
        <v>15000</v>
      </c>
      <c r="J2452" s="45">
        <v>7500</v>
      </c>
      <c r="K2452" s="37" t="s">
        <v>2650</v>
      </c>
      <c r="L2452" s="45"/>
      <c r="M2452" s="3"/>
    </row>
    <row r="2453" spans="1:60" s="21" customFormat="1" ht="25.5" x14ac:dyDescent="0.25">
      <c r="A2453" s="46" t="s">
        <v>3497</v>
      </c>
      <c r="B2453" s="46" t="s">
        <v>11647</v>
      </c>
      <c r="C2453" s="46" t="s">
        <v>14</v>
      </c>
      <c r="D2453" s="47">
        <v>10680</v>
      </c>
      <c r="E2453" s="46" t="s">
        <v>3498</v>
      </c>
      <c r="F2453" s="48">
        <v>41030</v>
      </c>
      <c r="G2453" s="48">
        <v>41274</v>
      </c>
      <c r="H2453" s="46" t="s">
        <v>40</v>
      </c>
      <c r="I2453" s="45">
        <v>4135</v>
      </c>
      <c r="J2453" s="45">
        <v>2067.5</v>
      </c>
      <c r="K2453" s="37" t="s">
        <v>2650</v>
      </c>
      <c r="L2453" s="45"/>
      <c r="M2453" s="3"/>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row>
    <row r="2454" spans="1:60" s="21" customFormat="1" ht="25.5" x14ac:dyDescent="0.25">
      <c r="A2454" s="46" t="s">
        <v>3501</v>
      </c>
      <c r="B2454" s="46" t="s">
        <v>11647</v>
      </c>
      <c r="C2454" s="46" t="s">
        <v>14</v>
      </c>
      <c r="D2454" s="47">
        <v>10682</v>
      </c>
      <c r="E2454" s="46" t="s">
        <v>3502</v>
      </c>
      <c r="F2454" s="48">
        <v>41030</v>
      </c>
      <c r="G2454" s="48">
        <v>41274</v>
      </c>
      <c r="H2454" s="46" t="s">
        <v>40</v>
      </c>
      <c r="I2454" s="45">
        <v>9821</v>
      </c>
      <c r="J2454" s="45">
        <v>4910.5</v>
      </c>
      <c r="K2454" s="37" t="s">
        <v>2650</v>
      </c>
      <c r="L2454" s="45"/>
      <c r="M2454" s="3"/>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row>
    <row r="2455" spans="1:60" s="21" customFormat="1" x14ac:dyDescent="0.25">
      <c r="A2455" s="46" t="s">
        <v>3507</v>
      </c>
      <c r="B2455" s="46" t="s">
        <v>11647</v>
      </c>
      <c r="C2455" s="46" t="s">
        <v>14</v>
      </c>
      <c r="D2455" s="47">
        <v>10687</v>
      </c>
      <c r="E2455" s="46" t="s">
        <v>3508</v>
      </c>
      <c r="F2455" s="48">
        <v>40946</v>
      </c>
      <c r="G2455" s="48">
        <v>41274</v>
      </c>
      <c r="H2455" s="46" t="s">
        <v>40</v>
      </c>
      <c r="I2455" s="45">
        <v>12452.9</v>
      </c>
      <c r="J2455" s="45">
        <v>6226.44</v>
      </c>
      <c r="K2455" s="37" t="s">
        <v>2650</v>
      </c>
      <c r="L2455" s="45"/>
      <c r="M2455" s="3"/>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row>
    <row r="2456" spans="1:60" s="21" customFormat="1" x14ac:dyDescent="0.25">
      <c r="A2456" s="46" t="s">
        <v>3509</v>
      </c>
      <c r="B2456" s="46" t="s">
        <v>11647</v>
      </c>
      <c r="C2456" s="46" t="s">
        <v>14</v>
      </c>
      <c r="D2456" s="47">
        <v>10688</v>
      </c>
      <c r="E2456" s="46" t="s">
        <v>3510</v>
      </c>
      <c r="F2456" s="48">
        <v>41072</v>
      </c>
      <c r="G2456" s="48">
        <v>41274</v>
      </c>
      <c r="H2456" s="46" t="s">
        <v>40</v>
      </c>
      <c r="I2456" s="45">
        <v>4000</v>
      </c>
      <c r="J2456" s="45">
        <v>2000</v>
      </c>
      <c r="K2456" s="37" t="s">
        <v>2650</v>
      </c>
      <c r="L2456" s="45"/>
      <c r="M2456" s="3"/>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row>
    <row r="2457" spans="1:60" s="21" customFormat="1" x14ac:dyDescent="0.25">
      <c r="A2457" s="46" t="s">
        <v>3511</v>
      </c>
      <c r="B2457" s="46" t="s">
        <v>11647</v>
      </c>
      <c r="C2457" s="46" t="s">
        <v>14</v>
      </c>
      <c r="D2457" s="47">
        <v>10689</v>
      </c>
      <c r="E2457" s="46" t="s">
        <v>3512</v>
      </c>
      <c r="F2457" s="48">
        <v>40862</v>
      </c>
      <c r="G2457" s="48">
        <v>41274</v>
      </c>
      <c r="H2457" s="46" t="s">
        <v>40</v>
      </c>
      <c r="I2457" s="45">
        <v>9547.5</v>
      </c>
      <c r="J2457" s="45">
        <v>4784</v>
      </c>
      <c r="K2457" s="37" t="s">
        <v>2650</v>
      </c>
      <c r="L2457" s="45"/>
      <c r="M2457" s="3"/>
      <c r="N2457" s="4"/>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row>
    <row r="2458" spans="1:60" s="21" customFormat="1" x14ac:dyDescent="0.25">
      <c r="A2458" s="46" t="s">
        <v>3517</v>
      </c>
      <c r="B2458" s="46" t="s">
        <v>11647</v>
      </c>
      <c r="C2458" s="46" t="s">
        <v>14</v>
      </c>
      <c r="D2458" s="47">
        <v>10713</v>
      </c>
      <c r="E2458" s="46" t="s">
        <v>3518</v>
      </c>
      <c r="F2458" s="48">
        <v>41030</v>
      </c>
      <c r="G2458" s="48">
        <v>41274</v>
      </c>
      <c r="H2458" s="46" t="s">
        <v>40</v>
      </c>
      <c r="I2458" s="45">
        <v>7168.2</v>
      </c>
      <c r="J2458" s="45">
        <v>3584.1</v>
      </c>
      <c r="K2458" s="37" t="s">
        <v>2650</v>
      </c>
      <c r="L2458" s="45"/>
      <c r="M2458" s="3"/>
      <c r="N2458" s="4"/>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row>
    <row r="2459" spans="1:60" s="21" customFormat="1" ht="38.25" x14ac:dyDescent="0.25">
      <c r="A2459" s="46" t="s">
        <v>3523</v>
      </c>
      <c r="B2459" s="46" t="s">
        <v>11647</v>
      </c>
      <c r="C2459" s="46" t="s">
        <v>14</v>
      </c>
      <c r="D2459" s="47">
        <v>10721</v>
      </c>
      <c r="E2459" s="46" t="s">
        <v>3524</v>
      </c>
      <c r="F2459" s="48">
        <v>41163</v>
      </c>
      <c r="G2459" s="48">
        <v>41274</v>
      </c>
      <c r="H2459" s="46" t="s">
        <v>40</v>
      </c>
      <c r="I2459" s="45">
        <v>30000</v>
      </c>
      <c r="J2459" s="45">
        <v>15000</v>
      </c>
      <c r="K2459" s="37" t="s">
        <v>2650</v>
      </c>
      <c r="L2459" s="45"/>
      <c r="M2459" s="3"/>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row>
    <row r="2460" spans="1:60" s="21" customFormat="1" ht="25.5" x14ac:dyDescent="0.25">
      <c r="A2460" s="46" t="s">
        <v>3525</v>
      </c>
      <c r="B2460" s="46" t="s">
        <v>11647</v>
      </c>
      <c r="C2460" s="46" t="s">
        <v>14</v>
      </c>
      <c r="D2460" s="47">
        <v>10746</v>
      </c>
      <c r="E2460" s="46" t="s">
        <v>3526</v>
      </c>
      <c r="F2460" s="48">
        <v>40946</v>
      </c>
      <c r="G2460" s="48">
        <v>41274</v>
      </c>
      <c r="H2460" s="46" t="s">
        <v>40</v>
      </c>
      <c r="I2460" s="45">
        <v>8000</v>
      </c>
      <c r="J2460" s="45">
        <v>4000</v>
      </c>
      <c r="K2460" s="37" t="s">
        <v>2650</v>
      </c>
      <c r="L2460" s="45"/>
      <c r="M2460" s="3"/>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row>
    <row r="2461" spans="1:60" s="21" customFormat="1" ht="25.5" x14ac:dyDescent="0.25">
      <c r="A2461" s="46" t="s">
        <v>3539</v>
      </c>
      <c r="B2461" s="46" t="s">
        <v>11647</v>
      </c>
      <c r="C2461" s="46" t="s">
        <v>14</v>
      </c>
      <c r="D2461" s="47">
        <v>10754</v>
      </c>
      <c r="E2461" s="46" t="s">
        <v>3540</v>
      </c>
      <c r="F2461" s="48">
        <v>40834</v>
      </c>
      <c r="G2461" s="48">
        <v>41274</v>
      </c>
      <c r="H2461" s="46" t="s">
        <v>40</v>
      </c>
      <c r="I2461" s="45">
        <v>15000</v>
      </c>
      <c r="J2461" s="45">
        <v>7500</v>
      </c>
      <c r="K2461" s="37" t="s">
        <v>2650</v>
      </c>
      <c r="L2461" s="45"/>
      <c r="M2461" s="3"/>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row>
    <row r="2462" spans="1:60" s="21" customFormat="1" ht="25.5" x14ac:dyDescent="0.25">
      <c r="A2462" s="46" t="s">
        <v>3549</v>
      </c>
      <c r="B2462" s="46" t="s">
        <v>11647</v>
      </c>
      <c r="C2462" s="46" t="s">
        <v>14</v>
      </c>
      <c r="D2462" s="47">
        <v>10760</v>
      </c>
      <c r="E2462" s="46" t="s">
        <v>3550</v>
      </c>
      <c r="F2462" s="48">
        <v>41030</v>
      </c>
      <c r="G2462" s="48">
        <v>41274</v>
      </c>
      <c r="H2462" s="46" t="s">
        <v>40</v>
      </c>
      <c r="I2462" s="45">
        <v>10000</v>
      </c>
      <c r="J2462" s="45">
        <v>5000</v>
      </c>
      <c r="K2462" s="37" t="s">
        <v>2650</v>
      </c>
      <c r="L2462" s="45"/>
      <c r="M2462" s="3"/>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row>
    <row r="2463" spans="1:60" x14ac:dyDescent="0.25">
      <c r="A2463" s="46" t="s">
        <v>3554</v>
      </c>
      <c r="B2463" s="46" t="s">
        <v>11647</v>
      </c>
      <c r="C2463" s="46" t="s">
        <v>14</v>
      </c>
      <c r="D2463" s="47">
        <v>10764</v>
      </c>
      <c r="E2463" s="46" t="s">
        <v>3555</v>
      </c>
      <c r="F2463" s="48">
        <v>40862</v>
      </c>
      <c r="G2463" s="48">
        <v>41274</v>
      </c>
      <c r="H2463" s="46" t="s">
        <v>40</v>
      </c>
      <c r="I2463" s="45">
        <v>10000</v>
      </c>
      <c r="J2463" s="45">
        <v>5000</v>
      </c>
      <c r="K2463" s="37" t="s">
        <v>2650</v>
      </c>
      <c r="L2463" s="45"/>
      <c r="M2463" s="3"/>
    </row>
    <row r="2464" spans="1:60" x14ac:dyDescent="0.2">
      <c r="A2464" s="46" t="s">
        <v>3646</v>
      </c>
      <c r="B2464" s="46" t="s">
        <v>11647</v>
      </c>
      <c r="C2464" s="46" t="s">
        <v>14</v>
      </c>
      <c r="D2464" s="47">
        <v>1071</v>
      </c>
      <c r="E2464" s="46" t="s">
        <v>3647</v>
      </c>
      <c r="F2464" s="48">
        <v>39140</v>
      </c>
      <c r="G2464" s="46"/>
      <c r="H2464" s="46" t="s">
        <v>40</v>
      </c>
      <c r="I2464" s="45">
        <v>10000</v>
      </c>
      <c r="J2464" s="45">
        <v>5000</v>
      </c>
      <c r="K2464" s="87" t="s">
        <v>11651</v>
      </c>
      <c r="L2464" s="45"/>
      <c r="M2464" s="3"/>
    </row>
    <row r="2465" spans="1:13" x14ac:dyDescent="0.2">
      <c r="A2465" s="46" t="s">
        <v>3652</v>
      </c>
      <c r="B2465" s="46" t="s">
        <v>11647</v>
      </c>
      <c r="C2465" s="46" t="s">
        <v>14</v>
      </c>
      <c r="D2465" s="47">
        <v>1089</v>
      </c>
      <c r="E2465" s="46" t="s">
        <v>3653</v>
      </c>
      <c r="F2465" s="48">
        <v>39168</v>
      </c>
      <c r="G2465" s="46"/>
      <c r="H2465" s="46" t="s">
        <v>40</v>
      </c>
      <c r="I2465" s="45">
        <v>10200</v>
      </c>
      <c r="J2465" s="45">
        <v>5100</v>
      </c>
      <c r="K2465" s="88" t="s">
        <v>11651</v>
      </c>
      <c r="L2465" s="45"/>
      <c r="M2465" s="3"/>
    </row>
    <row r="2466" spans="1:13" x14ac:dyDescent="0.2">
      <c r="A2466" s="46" t="s">
        <v>3661</v>
      </c>
      <c r="B2466" s="46" t="s">
        <v>11647</v>
      </c>
      <c r="C2466" s="46" t="s">
        <v>14</v>
      </c>
      <c r="D2466" s="47">
        <v>1105</v>
      </c>
      <c r="E2466" s="46" t="s">
        <v>3662</v>
      </c>
      <c r="F2466" s="48">
        <v>39196</v>
      </c>
      <c r="G2466" s="46"/>
      <c r="H2466" s="46" t="s">
        <v>40</v>
      </c>
      <c r="I2466" s="45">
        <v>5170</v>
      </c>
      <c r="J2466" s="45">
        <v>2585</v>
      </c>
      <c r="K2466" s="88" t="s">
        <v>11651</v>
      </c>
      <c r="L2466" s="45"/>
      <c r="M2466" s="3"/>
    </row>
    <row r="2467" spans="1:13" x14ac:dyDescent="0.2">
      <c r="A2467" s="46" t="s">
        <v>3667</v>
      </c>
      <c r="B2467" s="46" t="s">
        <v>11647</v>
      </c>
      <c r="C2467" s="46" t="s">
        <v>14</v>
      </c>
      <c r="D2467" s="47">
        <v>1160</v>
      </c>
      <c r="E2467" s="46" t="s">
        <v>3668</v>
      </c>
      <c r="F2467" s="48">
        <v>39196</v>
      </c>
      <c r="G2467" s="46"/>
      <c r="H2467" s="46" t="s">
        <v>40</v>
      </c>
      <c r="I2467" s="45">
        <v>7920</v>
      </c>
      <c r="J2467" s="45">
        <v>3960</v>
      </c>
      <c r="K2467" s="88" t="s">
        <v>11651</v>
      </c>
      <c r="L2467" s="45"/>
      <c r="M2467" s="3"/>
    </row>
    <row r="2468" spans="1:13" x14ac:dyDescent="0.2">
      <c r="A2468" s="46" t="s">
        <v>3673</v>
      </c>
      <c r="B2468" s="46" t="s">
        <v>11647</v>
      </c>
      <c r="C2468" s="46" t="s">
        <v>14</v>
      </c>
      <c r="D2468" s="47">
        <v>1284</v>
      </c>
      <c r="E2468" s="46" t="s">
        <v>3674</v>
      </c>
      <c r="F2468" s="48">
        <v>39287</v>
      </c>
      <c r="G2468" s="46"/>
      <c r="H2468" s="46" t="s">
        <v>40</v>
      </c>
      <c r="I2468" s="45">
        <v>3662</v>
      </c>
      <c r="J2468" s="45">
        <v>1831</v>
      </c>
      <c r="K2468" s="88" t="s">
        <v>11651</v>
      </c>
      <c r="L2468" s="45"/>
      <c r="M2468" s="3"/>
    </row>
    <row r="2469" spans="1:13" x14ac:dyDescent="0.2">
      <c r="A2469" s="46" t="s">
        <v>3676</v>
      </c>
      <c r="B2469" s="46" t="s">
        <v>11647</v>
      </c>
      <c r="C2469" s="46" t="s">
        <v>14</v>
      </c>
      <c r="D2469" s="47">
        <v>1296</v>
      </c>
      <c r="E2469" s="46" t="s">
        <v>3635</v>
      </c>
      <c r="F2469" s="48">
        <v>39287</v>
      </c>
      <c r="G2469" s="46"/>
      <c r="H2469" s="46" t="s">
        <v>40</v>
      </c>
      <c r="I2469" s="45">
        <v>8720</v>
      </c>
      <c r="J2469" s="45">
        <v>4360</v>
      </c>
      <c r="K2469" s="88" t="s">
        <v>11651</v>
      </c>
      <c r="L2469" s="45"/>
      <c r="M2469" s="3"/>
    </row>
    <row r="2470" spans="1:13" x14ac:dyDescent="0.2">
      <c r="A2470" s="46" t="s">
        <v>3677</v>
      </c>
      <c r="B2470" s="46" t="s">
        <v>11647</v>
      </c>
      <c r="C2470" s="46" t="s">
        <v>14</v>
      </c>
      <c r="D2470" s="47">
        <v>1619</v>
      </c>
      <c r="E2470" s="46" t="s">
        <v>3678</v>
      </c>
      <c r="F2470" s="48">
        <v>39259</v>
      </c>
      <c r="G2470" s="46"/>
      <c r="H2470" s="46" t="s">
        <v>40</v>
      </c>
      <c r="I2470" s="45">
        <v>5884</v>
      </c>
      <c r="J2470" s="45">
        <v>2942</v>
      </c>
      <c r="K2470" s="88" t="s">
        <v>11651</v>
      </c>
      <c r="L2470" s="45"/>
      <c r="M2470" s="3"/>
    </row>
    <row r="2471" spans="1:13" x14ac:dyDescent="0.2">
      <c r="A2471" s="46" t="s">
        <v>3679</v>
      </c>
      <c r="B2471" s="46" t="s">
        <v>11647</v>
      </c>
      <c r="C2471" s="46" t="s">
        <v>14</v>
      </c>
      <c r="D2471" s="47">
        <v>1620</v>
      </c>
      <c r="E2471" s="46" t="s">
        <v>3680</v>
      </c>
      <c r="F2471" s="48">
        <v>39378</v>
      </c>
      <c r="G2471" s="46"/>
      <c r="H2471" s="46" t="s">
        <v>40</v>
      </c>
      <c r="I2471" s="45">
        <v>6000</v>
      </c>
      <c r="J2471" s="45">
        <v>3000</v>
      </c>
      <c r="K2471" s="88" t="s">
        <v>11651</v>
      </c>
      <c r="L2471" s="45"/>
      <c r="M2471" s="3"/>
    </row>
    <row r="2472" spans="1:13" x14ac:dyDescent="0.2">
      <c r="A2472" s="46" t="s">
        <v>3688</v>
      </c>
      <c r="B2472" s="46" t="s">
        <v>11647</v>
      </c>
      <c r="C2472" s="46" t="s">
        <v>14</v>
      </c>
      <c r="D2472" s="47">
        <v>1635</v>
      </c>
      <c r="E2472" s="46" t="s">
        <v>3689</v>
      </c>
      <c r="F2472" s="48">
        <v>39413</v>
      </c>
      <c r="G2472" s="46"/>
      <c r="H2472" s="46" t="s">
        <v>40</v>
      </c>
      <c r="I2472" s="45">
        <v>4950</v>
      </c>
      <c r="J2472" s="45">
        <v>2475</v>
      </c>
      <c r="K2472" s="88" t="s">
        <v>11651</v>
      </c>
      <c r="L2472" s="45"/>
      <c r="M2472" s="3"/>
    </row>
    <row r="2473" spans="1:13" x14ac:dyDescent="0.2">
      <c r="A2473" s="46" t="s">
        <v>3690</v>
      </c>
      <c r="B2473" s="46" t="s">
        <v>11647</v>
      </c>
      <c r="C2473" s="46" t="s">
        <v>14</v>
      </c>
      <c r="D2473" s="47">
        <v>1636</v>
      </c>
      <c r="E2473" s="46" t="s">
        <v>3691</v>
      </c>
      <c r="F2473" s="48">
        <v>39469</v>
      </c>
      <c r="G2473" s="46"/>
      <c r="H2473" s="46" t="s">
        <v>40</v>
      </c>
      <c r="I2473" s="45">
        <v>9864</v>
      </c>
      <c r="J2473" s="45">
        <v>4932</v>
      </c>
      <c r="K2473" s="88" t="s">
        <v>11651</v>
      </c>
      <c r="L2473" s="45"/>
      <c r="M2473" s="3"/>
    </row>
    <row r="2474" spans="1:13" x14ac:dyDescent="0.2">
      <c r="A2474" s="46" t="s">
        <v>3702</v>
      </c>
      <c r="B2474" s="46" t="s">
        <v>11647</v>
      </c>
      <c r="C2474" s="46" t="s">
        <v>14</v>
      </c>
      <c r="D2474" s="47">
        <v>1657</v>
      </c>
      <c r="E2474" s="46" t="s">
        <v>3703</v>
      </c>
      <c r="F2474" s="48">
        <v>39560</v>
      </c>
      <c r="G2474" s="46"/>
      <c r="H2474" s="46" t="s">
        <v>40</v>
      </c>
      <c r="I2474" s="45">
        <v>5746</v>
      </c>
      <c r="J2474" s="45">
        <v>2873</v>
      </c>
      <c r="K2474" s="88" t="s">
        <v>11651</v>
      </c>
      <c r="L2474" s="45"/>
      <c r="M2474" s="3"/>
    </row>
    <row r="2475" spans="1:13" x14ac:dyDescent="0.2">
      <c r="A2475" s="46" t="s">
        <v>3704</v>
      </c>
      <c r="B2475" s="46" t="s">
        <v>11647</v>
      </c>
      <c r="C2475" s="46" t="s">
        <v>14</v>
      </c>
      <c r="D2475" s="47">
        <v>1720</v>
      </c>
      <c r="E2475" s="46" t="s">
        <v>3705</v>
      </c>
      <c r="F2475" s="48">
        <v>39539</v>
      </c>
      <c r="G2475" s="46"/>
      <c r="H2475" s="46" t="s">
        <v>40</v>
      </c>
      <c r="I2475" s="45">
        <v>10200</v>
      </c>
      <c r="J2475" s="45">
        <v>5100</v>
      </c>
      <c r="K2475" s="88" t="s">
        <v>11651</v>
      </c>
      <c r="L2475" s="45"/>
      <c r="M2475" s="3"/>
    </row>
    <row r="2476" spans="1:13" x14ac:dyDescent="0.2">
      <c r="A2476" s="46" t="s">
        <v>3706</v>
      </c>
      <c r="B2476" s="46" t="s">
        <v>11647</v>
      </c>
      <c r="C2476" s="46" t="s">
        <v>14</v>
      </c>
      <c r="D2476" s="47">
        <v>1721</v>
      </c>
      <c r="E2476" s="46" t="s">
        <v>3707</v>
      </c>
      <c r="F2476" s="48">
        <v>39560</v>
      </c>
      <c r="G2476" s="46"/>
      <c r="H2476" s="46" t="s">
        <v>40</v>
      </c>
      <c r="I2476" s="45">
        <v>4692</v>
      </c>
      <c r="J2476" s="45">
        <v>2346</v>
      </c>
      <c r="K2476" s="88" t="s">
        <v>11651</v>
      </c>
      <c r="L2476" s="45"/>
      <c r="M2476" s="3"/>
    </row>
    <row r="2477" spans="1:13" x14ac:dyDescent="0.2">
      <c r="A2477" s="46" t="s">
        <v>3708</v>
      </c>
      <c r="B2477" s="46" t="s">
        <v>11647</v>
      </c>
      <c r="C2477" s="46" t="s">
        <v>14</v>
      </c>
      <c r="D2477" s="47">
        <v>1722</v>
      </c>
      <c r="E2477" s="46" t="s">
        <v>3709</v>
      </c>
      <c r="F2477" s="48">
        <v>39623</v>
      </c>
      <c r="G2477" s="46"/>
      <c r="H2477" s="46" t="s">
        <v>40</v>
      </c>
      <c r="I2477" s="45">
        <v>10200</v>
      </c>
      <c r="J2477" s="45">
        <v>5100</v>
      </c>
      <c r="K2477" s="88" t="s">
        <v>11651</v>
      </c>
      <c r="L2477" s="45"/>
      <c r="M2477" s="3"/>
    </row>
    <row r="2478" spans="1:13" x14ac:dyDescent="0.2">
      <c r="A2478" s="46" t="s">
        <v>3710</v>
      </c>
      <c r="B2478" s="46" t="s">
        <v>11647</v>
      </c>
      <c r="C2478" s="46" t="s">
        <v>14</v>
      </c>
      <c r="D2478" s="47">
        <v>1723</v>
      </c>
      <c r="E2478" s="46" t="s">
        <v>3711</v>
      </c>
      <c r="F2478" s="48">
        <v>39651</v>
      </c>
      <c r="G2478" s="46"/>
      <c r="H2478" s="46" t="s">
        <v>40</v>
      </c>
      <c r="I2478" s="45">
        <v>5172</v>
      </c>
      <c r="J2478" s="45">
        <v>2586</v>
      </c>
      <c r="K2478" s="88" t="s">
        <v>11651</v>
      </c>
      <c r="L2478" s="45"/>
      <c r="M2478" s="3"/>
    </row>
    <row r="2479" spans="1:13" x14ac:dyDescent="0.2">
      <c r="A2479" s="46" t="s">
        <v>3737</v>
      </c>
      <c r="B2479" s="46" t="s">
        <v>11647</v>
      </c>
      <c r="C2479" s="46" t="s">
        <v>14</v>
      </c>
      <c r="D2479" s="47">
        <v>3324</v>
      </c>
      <c r="E2479" s="46" t="s">
        <v>3738</v>
      </c>
      <c r="F2479" s="48">
        <v>39287</v>
      </c>
      <c r="G2479" s="46"/>
      <c r="H2479" s="46" t="s">
        <v>40</v>
      </c>
      <c r="I2479" s="45">
        <v>10200</v>
      </c>
      <c r="J2479" s="45">
        <v>5100</v>
      </c>
      <c r="K2479" s="88" t="s">
        <v>11651</v>
      </c>
      <c r="L2479" s="45"/>
      <c r="M2479" s="3"/>
    </row>
    <row r="2480" spans="1:13" x14ac:dyDescent="0.2">
      <c r="A2480" s="46" t="s">
        <v>3760</v>
      </c>
      <c r="B2480" s="46" t="s">
        <v>11647</v>
      </c>
      <c r="C2480" s="46" t="s">
        <v>14</v>
      </c>
      <c r="D2480" s="47">
        <v>4761</v>
      </c>
      <c r="E2480" s="46" t="s">
        <v>3761</v>
      </c>
      <c r="F2480" s="48">
        <v>39791</v>
      </c>
      <c r="G2480" s="46"/>
      <c r="H2480" s="46" t="s">
        <v>40</v>
      </c>
      <c r="I2480" s="45">
        <v>5750</v>
      </c>
      <c r="J2480" s="45">
        <v>2875</v>
      </c>
      <c r="K2480" s="88" t="s">
        <v>11651</v>
      </c>
      <c r="L2480" s="45"/>
      <c r="M2480" s="3"/>
    </row>
    <row r="2481" spans="1:13" x14ac:dyDescent="0.2">
      <c r="A2481" s="46" t="s">
        <v>3764</v>
      </c>
      <c r="B2481" s="46" t="s">
        <v>11647</v>
      </c>
      <c r="C2481" s="46" t="s">
        <v>14</v>
      </c>
      <c r="D2481" s="47">
        <v>4852</v>
      </c>
      <c r="E2481" s="46" t="s">
        <v>3765</v>
      </c>
      <c r="F2481" s="48">
        <v>39840</v>
      </c>
      <c r="G2481" s="46"/>
      <c r="H2481" s="46" t="s">
        <v>40</v>
      </c>
      <c r="I2481" s="45">
        <v>10000</v>
      </c>
      <c r="J2481" s="45">
        <v>5000</v>
      </c>
      <c r="K2481" s="88" t="s">
        <v>11651</v>
      </c>
      <c r="L2481" s="45"/>
      <c r="M2481" s="3"/>
    </row>
    <row r="2482" spans="1:13" x14ac:dyDescent="0.2">
      <c r="A2482" s="46" t="s">
        <v>3766</v>
      </c>
      <c r="B2482" s="46" t="s">
        <v>11647</v>
      </c>
      <c r="C2482" s="46" t="s">
        <v>14</v>
      </c>
      <c r="D2482" s="47">
        <v>4853</v>
      </c>
      <c r="E2482" s="46" t="s">
        <v>3767</v>
      </c>
      <c r="F2482" s="48">
        <v>39868</v>
      </c>
      <c r="G2482" s="46"/>
      <c r="H2482" s="46" t="s">
        <v>40</v>
      </c>
      <c r="I2482" s="45">
        <v>10200</v>
      </c>
      <c r="J2482" s="45">
        <v>5100</v>
      </c>
      <c r="K2482" s="88" t="s">
        <v>11651</v>
      </c>
      <c r="L2482" s="45"/>
      <c r="M2482" s="3"/>
    </row>
    <row r="2483" spans="1:13" ht="25.5" x14ac:dyDescent="0.2">
      <c r="A2483" s="46" t="s">
        <v>3774</v>
      </c>
      <c r="B2483" s="46" t="s">
        <v>11647</v>
      </c>
      <c r="C2483" s="46" t="s">
        <v>14</v>
      </c>
      <c r="D2483" s="47">
        <v>4942</v>
      </c>
      <c r="E2483" s="46" t="s">
        <v>3775</v>
      </c>
      <c r="F2483" s="48">
        <v>39791</v>
      </c>
      <c r="G2483" s="46"/>
      <c r="H2483" s="46" t="s">
        <v>40</v>
      </c>
      <c r="I2483" s="45">
        <v>7096</v>
      </c>
      <c r="J2483" s="45">
        <v>3548</v>
      </c>
      <c r="K2483" s="88" t="s">
        <v>11651</v>
      </c>
      <c r="L2483" s="45"/>
      <c r="M2483" s="3"/>
    </row>
    <row r="2484" spans="1:13" x14ac:dyDescent="0.2">
      <c r="A2484" s="46" t="s">
        <v>3778</v>
      </c>
      <c r="B2484" s="46" t="s">
        <v>11647</v>
      </c>
      <c r="C2484" s="46" t="s">
        <v>14</v>
      </c>
      <c r="D2484" s="47">
        <v>4988</v>
      </c>
      <c r="E2484" s="46" t="s">
        <v>3779</v>
      </c>
      <c r="F2484" s="48">
        <v>39959</v>
      </c>
      <c r="G2484" s="46"/>
      <c r="H2484" s="46" t="s">
        <v>40</v>
      </c>
      <c r="I2484" s="45">
        <v>7060</v>
      </c>
      <c r="J2484" s="45">
        <v>3530</v>
      </c>
      <c r="K2484" s="88" t="s">
        <v>11651</v>
      </c>
      <c r="L2484" s="45"/>
      <c r="M2484" s="3"/>
    </row>
    <row r="2485" spans="1:13" ht="25.5" x14ac:dyDescent="0.2">
      <c r="A2485" s="46" t="s">
        <v>3780</v>
      </c>
      <c r="B2485" s="46" t="s">
        <v>11647</v>
      </c>
      <c r="C2485" s="46" t="s">
        <v>14</v>
      </c>
      <c r="D2485" s="47">
        <v>4997</v>
      </c>
      <c r="E2485" s="46" t="s">
        <v>3781</v>
      </c>
      <c r="F2485" s="48">
        <v>39959</v>
      </c>
      <c r="G2485" s="46"/>
      <c r="H2485" s="46" t="s">
        <v>40</v>
      </c>
      <c r="I2485" s="45">
        <v>10200</v>
      </c>
      <c r="J2485" s="45">
        <v>5100</v>
      </c>
      <c r="K2485" s="88" t="s">
        <v>11651</v>
      </c>
      <c r="L2485" s="45"/>
      <c r="M2485" s="3"/>
    </row>
    <row r="2486" spans="1:13" x14ac:dyDescent="0.2">
      <c r="A2486" s="46" t="s">
        <v>3786</v>
      </c>
      <c r="B2486" s="46" t="s">
        <v>11647</v>
      </c>
      <c r="C2486" s="46" t="s">
        <v>14</v>
      </c>
      <c r="D2486" s="47">
        <v>5025</v>
      </c>
      <c r="E2486" s="46" t="s">
        <v>3787</v>
      </c>
      <c r="F2486" s="48">
        <v>39896</v>
      </c>
      <c r="G2486" s="46"/>
      <c r="H2486" s="46" t="s">
        <v>40</v>
      </c>
      <c r="I2486" s="45">
        <v>2600</v>
      </c>
      <c r="J2486" s="45">
        <v>1300</v>
      </c>
      <c r="K2486" s="88" t="s">
        <v>11651</v>
      </c>
      <c r="L2486" s="45"/>
      <c r="M2486" s="3"/>
    </row>
    <row r="2487" spans="1:13" ht="25.5" x14ac:dyDescent="0.2">
      <c r="A2487" s="46" t="s">
        <v>3788</v>
      </c>
      <c r="B2487" s="46" t="s">
        <v>11647</v>
      </c>
      <c r="C2487" s="46" t="s">
        <v>14</v>
      </c>
      <c r="D2487" s="47">
        <v>5028</v>
      </c>
      <c r="E2487" s="46" t="s">
        <v>3789</v>
      </c>
      <c r="F2487" s="48">
        <v>39959</v>
      </c>
      <c r="G2487" s="46"/>
      <c r="H2487" s="46" t="s">
        <v>40</v>
      </c>
      <c r="I2487" s="45">
        <v>302</v>
      </c>
      <c r="J2487" s="45">
        <v>151</v>
      </c>
      <c r="K2487" s="88" t="s">
        <v>11651</v>
      </c>
      <c r="L2487" s="45"/>
      <c r="M2487" s="3"/>
    </row>
    <row r="2488" spans="1:13" ht="25.5" x14ac:dyDescent="0.2">
      <c r="A2488" s="46" t="s">
        <v>3810</v>
      </c>
      <c r="B2488" s="46" t="s">
        <v>11647</v>
      </c>
      <c r="C2488" s="46" t="s">
        <v>14</v>
      </c>
      <c r="D2488" s="47">
        <v>7357</v>
      </c>
      <c r="E2488" s="46" t="s">
        <v>3811</v>
      </c>
      <c r="F2488" s="48">
        <v>40234</v>
      </c>
      <c r="G2488" s="46"/>
      <c r="H2488" s="46" t="s">
        <v>40</v>
      </c>
      <c r="I2488" s="45">
        <v>10000</v>
      </c>
      <c r="J2488" s="45">
        <v>5000</v>
      </c>
      <c r="K2488" s="88" t="s">
        <v>11651</v>
      </c>
      <c r="L2488" s="45"/>
      <c r="M2488" s="3"/>
    </row>
    <row r="2489" spans="1:13" x14ac:dyDescent="0.2">
      <c r="A2489" s="46" t="s">
        <v>3812</v>
      </c>
      <c r="B2489" s="46" t="s">
        <v>11647</v>
      </c>
      <c r="C2489" s="46" t="s">
        <v>14</v>
      </c>
      <c r="D2489" s="47">
        <v>7358</v>
      </c>
      <c r="E2489" s="46" t="s">
        <v>3813</v>
      </c>
      <c r="F2489" s="48">
        <v>40162</v>
      </c>
      <c r="G2489" s="46"/>
      <c r="H2489" s="46" t="s">
        <v>40</v>
      </c>
      <c r="I2489" s="45">
        <v>7310</v>
      </c>
      <c r="J2489" s="45">
        <v>3655</v>
      </c>
      <c r="K2489" s="88" t="s">
        <v>11651</v>
      </c>
      <c r="L2489" s="45"/>
      <c r="M2489" s="3"/>
    </row>
    <row r="2490" spans="1:13" x14ac:dyDescent="0.2">
      <c r="A2490" s="46" t="s">
        <v>3814</v>
      </c>
      <c r="B2490" s="46" t="s">
        <v>11647</v>
      </c>
      <c r="C2490" s="46" t="s">
        <v>14</v>
      </c>
      <c r="D2490" s="47">
        <v>7359</v>
      </c>
      <c r="E2490" s="46" t="s">
        <v>3815</v>
      </c>
      <c r="F2490" s="48">
        <v>40204</v>
      </c>
      <c r="G2490" s="46"/>
      <c r="H2490" s="46" t="s">
        <v>40</v>
      </c>
      <c r="I2490" s="45">
        <v>5000</v>
      </c>
      <c r="J2490" s="45">
        <v>2500</v>
      </c>
      <c r="K2490" s="88" t="s">
        <v>11651</v>
      </c>
      <c r="L2490" s="45"/>
      <c r="M2490" s="3"/>
    </row>
    <row r="2491" spans="1:13" x14ac:dyDescent="0.2">
      <c r="A2491" s="46" t="s">
        <v>3816</v>
      </c>
      <c r="B2491" s="46" t="s">
        <v>11647</v>
      </c>
      <c r="C2491" s="46" t="s">
        <v>14</v>
      </c>
      <c r="D2491" s="47">
        <v>7360</v>
      </c>
      <c r="E2491" s="46" t="s">
        <v>3817</v>
      </c>
      <c r="F2491" s="48">
        <v>40260</v>
      </c>
      <c r="G2491" s="46"/>
      <c r="H2491" s="46" t="s">
        <v>40</v>
      </c>
      <c r="I2491" s="45">
        <v>10000</v>
      </c>
      <c r="J2491" s="45">
        <v>5000</v>
      </c>
      <c r="K2491" s="88" t="s">
        <v>11651</v>
      </c>
      <c r="L2491" s="45"/>
      <c r="M2491" s="3"/>
    </row>
    <row r="2492" spans="1:13" ht="25.5" x14ac:dyDescent="0.2">
      <c r="A2492" s="46" t="s">
        <v>3818</v>
      </c>
      <c r="B2492" s="46" t="s">
        <v>11647</v>
      </c>
      <c r="C2492" s="46" t="s">
        <v>14</v>
      </c>
      <c r="D2492" s="47">
        <v>7365</v>
      </c>
      <c r="E2492" s="46" t="s">
        <v>3819</v>
      </c>
      <c r="F2492" s="48">
        <v>40204</v>
      </c>
      <c r="G2492" s="46"/>
      <c r="H2492" s="46" t="s">
        <v>40</v>
      </c>
      <c r="I2492" s="45">
        <v>10450</v>
      </c>
      <c r="J2492" s="45">
        <v>5225</v>
      </c>
      <c r="K2492" s="88" t="s">
        <v>11651</v>
      </c>
      <c r="L2492" s="45"/>
      <c r="M2492" s="3"/>
    </row>
    <row r="2493" spans="1:13" x14ac:dyDescent="0.2">
      <c r="A2493" s="46" t="s">
        <v>3822</v>
      </c>
      <c r="B2493" s="46" t="s">
        <v>11647</v>
      </c>
      <c r="C2493" s="46" t="s">
        <v>14</v>
      </c>
      <c r="D2493" s="47">
        <v>7367</v>
      </c>
      <c r="E2493" s="46" t="s">
        <v>3823</v>
      </c>
      <c r="F2493" s="48">
        <v>40260</v>
      </c>
      <c r="G2493" s="46"/>
      <c r="H2493" s="46" t="s">
        <v>40</v>
      </c>
      <c r="I2493" s="45">
        <v>4000</v>
      </c>
      <c r="J2493" s="45">
        <v>2000</v>
      </c>
      <c r="K2493" s="88" t="s">
        <v>11651</v>
      </c>
      <c r="L2493" s="45"/>
      <c r="M2493" s="3"/>
    </row>
    <row r="2494" spans="1:13" x14ac:dyDescent="0.2">
      <c r="A2494" s="46" t="s">
        <v>3824</v>
      </c>
      <c r="B2494" s="46" t="s">
        <v>11647</v>
      </c>
      <c r="C2494" s="46" t="s">
        <v>14</v>
      </c>
      <c r="D2494" s="47">
        <v>7368</v>
      </c>
      <c r="E2494" s="46" t="s">
        <v>3825</v>
      </c>
      <c r="F2494" s="48">
        <v>40260</v>
      </c>
      <c r="G2494" s="46"/>
      <c r="H2494" s="46" t="s">
        <v>40</v>
      </c>
      <c r="I2494" s="45">
        <v>2000</v>
      </c>
      <c r="J2494" s="45">
        <v>1000</v>
      </c>
      <c r="K2494" s="88" t="s">
        <v>11651</v>
      </c>
      <c r="L2494" s="45"/>
      <c r="M2494" s="3"/>
    </row>
    <row r="2495" spans="1:13" ht="25.5" x14ac:dyDescent="0.2">
      <c r="A2495" s="46" t="s">
        <v>3826</v>
      </c>
      <c r="B2495" s="46" t="s">
        <v>11647</v>
      </c>
      <c r="C2495" s="46" t="s">
        <v>14</v>
      </c>
      <c r="D2495" s="47">
        <v>7369</v>
      </c>
      <c r="E2495" s="46" t="s">
        <v>3827</v>
      </c>
      <c r="F2495" s="48">
        <v>40260</v>
      </c>
      <c r="G2495" s="46"/>
      <c r="H2495" s="46" t="s">
        <v>40</v>
      </c>
      <c r="I2495" s="45">
        <v>2000</v>
      </c>
      <c r="J2495" s="45">
        <v>1000</v>
      </c>
      <c r="K2495" s="88" t="s">
        <v>11651</v>
      </c>
      <c r="L2495" s="45"/>
      <c r="M2495" s="3"/>
    </row>
    <row r="2496" spans="1:13" ht="25.5" x14ac:dyDescent="0.2">
      <c r="A2496" s="46" t="s">
        <v>3830</v>
      </c>
      <c r="B2496" s="46" t="s">
        <v>11647</v>
      </c>
      <c r="C2496" s="46" t="s">
        <v>14</v>
      </c>
      <c r="D2496" s="47">
        <v>7382</v>
      </c>
      <c r="E2496" s="46" t="s">
        <v>3831</v>
      </c>
      <c r="F2496" s="48">
        <v>40234</v>
      </c>
      <c r="G2496" s="46"/>
      <c r="H2496" s="46" t="s">
        <v>40</v>
      </c>
      <c r="I2496" s="45">
        <v>6950</v>
      </c>
      <c r="J2496" s="45">
        <v>3475</v>
      </c>
      <c r="K2496" s="88" t="s">
        <v>11651</v>
      </c>
      <c r="L2496" s="45"/>
      <c r="M2496" s="3"/>
    </row>
    <row r="2497" spans="1:13" ht="25.5" x14ac:dyDescent="0.2">
      <c r="A2497" s="46" t="s">
        <v>3832</v>
      </c>
      <c r="B2497" s="46" t="s">
        <v>11647</v>
      </c>
      <c r="C2497" s="46" t="s">
        <v>14</v>
      </c>
      <c r="D2497" s="47">
        <v>7383</v>
      </c>
      <c r="E2497" s="46" t="s">
        <v>3833</v>
      </c>
      <c r="F2497" s="48">
        <v>40260</v>
      </c>
      <c r="G2497" s="46"/>
      <c r="H2497" s="46" t="s">
        <v>40</v>
      </c>
      <c r="I2497" s="45">
        <v>1858.5</v>
      </c>
      <c r="J2497" s="45">
        <v>929.25</v>
      </c>
      <c r="K2497" s="88" t="s">
        <v>11651</v>
      </c>
      <c r="L2497" s="45"/>
      <c r="M2497" s="3"/>
    </row>
    <row r="2498" spans="1:13" x14ac:dyDescent="0.2">
      <c r="A2498" s="46" t="s">
        <v>3834</v>
      </c>
      <c r="B2498" s="46" t="s">
        <v>11647</v>
      </c>
      <c r="C2498" s="46" t="s">
        <v>14</v>
      </c>
      <c r="D2498" s="47">
        <v>7387</v>
      </c>
      <c r="E2498" s="46" t="s">
        <v>3835</v>
      </c>
      <c r="F2498" s="48">
        <v>40260</v>
      </c>
      <c r="G2498" s="46"/>
      <c r="H2498" s="46" t="s">
        <v>40</v>
      </c>
      <c r="I2498" s="45">
        <v>2000</v>
      </c>
      <c r="J2498" s="45">
        <v>1000</v>
      </c>
      <c r="K2498" s="88" t="s">
        <v>11651</v>
      </c>
      <c r="L2498" s="45"/>
      <c r="M2498" s="3"/>
    </row>
    <row r="2499" spans="1:13" x14ac:dyDescent="0.2">
      <c r="A2499" s="46" t="s">
        <v>3836</v>
      </c>
      <c r="B2499" s="46" t="s">
        <v>11647</v>
      </c>
      <c r="C2499" s="46" t="s">
        <v>14</v>
      </c>
      <c r="D2499" s="47">
        <v>7389</v>
      </c>
      <c r="E2499" s="46" t="s">
        <v>3837</v>
      </c>
      <c r="F2499" s="48">
        <v>40240</v>
      </c>
      <c r="G2499" s="46"/>
      <c r="H2499" s="46" t="s">
        <v>40</v>
      </c>
      <c r="I2499" s="45">
        <v>800</v>
      </c>
      <c r="J2499" s="45">
        <v>400</v>
      </c>
      <c r="K2499" s="88" t="s">
        <v>11651</v>
      </c>
      <c r="L2499" s="45"/>
      <c r="M2499" s="3"/>
    </row>
    <row r="2500" spans="1:13" x14ac:dyDescent="0.2">
      <c r="A2500" s="46" t="s">
        <v>3838</v>
      </c>
      <c r="B2500" s="46" t="s">
        <v>11647</v>
      </c>
      <c r="C2500" s="46" t="s">
        <v>14</v>
      </c>
      <c r="D2500" s="47">
        <v>7391</v>
      </c>
      <c r="E2500" s="46" t="s">
        <v>3839</v>
      </c>
      <c r="F2500" s="48">
        <v>40260</v>
      </c>
      <c r="G2500" s="46"/>
      <c r="H2500" s="46" t="s">
        <v>40</v>
      </c>
      <c r="I2500" s="45">
        <v>5000</v>
      </c>
      <c r="J2500" s="45">
        <v>2500</v>
      </c>
      <c r="K2500" s="88" t="s">
        <v>11651</v>
      </c>
      <c r="L2500" s="45"/>
      <c r="M2500" s="3"/>
    </row>
    <row r="2501" spans="1:13" x14ac:dyDescent="0.2">
      <c r="A2501" s="46" t="s">
        <v>3840</v>
      </c>
      <c r="B2501" s="46" t="s">
        <v>11647</v>
      </c>
      <c r="C2501" s="46" t="s">
        <v>14</v>
      </c>
      <c r="D2501" s="47">
        <v>7393</v>
      </c>
      <c r="E2501" s="46" t="s">
        <v>3841</v>
      </c>
      <c r="F2501" s="48">
        <v>40260</v>
      </c>
      <c r="G2501" s="46"/>
      <c r="H2501" s="46" t="s">
        <v>40</v>
      </c>
      <c r="I2501" s="45">
        <v>3369.8</v>
      </c>
      <c r="J2501" s="45">
        <v>1684.9</v>
      </c>
      <c r="K2501" s="88" t="s">
        <v>11651</v>
      </c>
      <c r="L2501" s="45"/>
      <c r="M2501" s="3"/>
    </row>
    <row r="2502" spans="1:13" x14ac:dyDescent="0.2">
      <c r="A2502" s="46" t="s">
        <v>3842</v>
      </c>
      <c r="B2502" s="46" t="s">
        <v>11647</v>
      </c>
      <c r="C2502" s="46" t="s">
        <v>14</v>
      </c>
      <c r="D2502" s="47">
        <v>7395</v>
      </c>
      <c r="E2502" s="46" t="s">
        <v>3843</v>
      </c>
      <c r="F2502" s="48">
        <v>40260</v>
      </c>
      <c r="G2502" s="46"/>
      <c r="H2502" s="46" t="s">
        <v>40</v>
      </c>
      <c r="I2502" s="45">
        <v>2000</v>
      </c>
      <c r="J2502" s="45">
        <v>1000</v>
      </c>
      <c r="K2502" s="88" t="s">
        <v>11651</v>
      </c>
      <c r="L2502" s="45"/>
      <c r="M2502" s="3"/>
    </row>
    <row r="2503" spans="1:13" ht="25.5" x14ac:dyDescent="0.2">
      <c r="A2503" s="46" t="s">
        <v>3844</v>
      </c>
      <c r="B2503" s="46" t="s">
        <v>11647</v>
      </c>
      <c r="C2503" s="46" t="s">
        <v>14</v>
      </c>
      <c r="D2503" s="47">
        <v>7396</v>
      </c>
      <c r="E2503" s="46" t="s">
        <v>3845</v>
      </c>
      <c r="F2503" s="48">
        <v>40260</v>
      </c>
      <c r="G2503" s="46"/>
      <c r="H2503" s="46" t="s">
        <v>40</v>
      </c>
      <c r="I2503" s="45">
        <v>2200</v>
      </c>
      <c r="J2503" s="45">
        <v>1100</v>
      </c>
      <c r="K2503" s="88" t="s">
        <v>11651</v>
      </c>
      <c r="L2503" s="45"/>
      <c r="M2503" s="3"/>
    </row>
    <row r="2504" spans="1:13" ht="25.5" x14ac:dyDescent="0.2">
      <c r="A2504" s="46" t="s">
        <v>3846</v>
      </c>
      <c r="B2504" s="46" t="s">
        <v>11647</v>
      </c>
      <c r="C2504" s="46" t="s">
        <v>14</v>
      </c>
      <c r="D2504" s="47">
        <v>7397</v>
      </c>
      <c r="E2504" s="46" t="s">
        <v>3847</v>
      </c>
      <c r="F2504" s="48">
        <v>40260</v>
      </c>
      <c r="G2504" s="46"/>
      <c r="H2504" s="46" t="s">
        <v>40</v>
      </c>
      <c r="I2504" s="45">
        <v>500</v>
      </c>
      <c r="J2504" s="45">
        <v>250</v>
      </c>
      <c r="K2504" s="88" t="s">
        <v>11651</v>
      </c>
      <c r="L2504" s="45"/>
      <c r="M2504" s="3"/>
    </row>
    <row r="2505" spans="1:13" x14ac:dyDescent="0.2">
      <c r="A2505" s="46" t="s">
        <v>3848</v>
      </c>
      <c r="B2505" s="46" t="s">
        <v>11647</v>
      </c>
      <c r="C2505" s="46" t="s">
        <v>14</v>
      </c>
      <c r="D2505" s="47">
        <v>7398</v>
      </c>
      <c r="E2505" s="46" t="s">
        <v>3849</v>
      </c>
      <c r="F2505" s="48">
        <v>40260</v>
      </c>
      <c r="G2505" s="46"/>
      <c r="H2505" s="46" t="s">
        <v>40</v>
      </c>
      <c r="I2505" s="45">
        <v>2500</v>
      </c>
      <c r="J2505" s="45">
        <v>1250</v>
      </c>
      <c r="K2505" s="88" t="s">
        <v>11651</v>
      </c>
      <c r="L2505" s="45"/>
      <c r="M2505" s="3"/>
    </row>
    <row r="2506" spans="1:13" x14ac:dyDescent="0.2">
      <c r="A2506" s="46" t="s">
        <v>3850</v>
      </c>
      <c r="B2506" s="46" t="s">
        <v>11647</v>
      </c>
      <c r="C2506" s="46" t="s">
        <v>14</v>
      </c>
      <c r="D2506" s="47">
        <v>7399</v>
      </c>
      <c r="E2506" s="46" t="s">
        <v>3851</v>
      </c>
      <c r="F2506" s="48">
        <v>40260</v>
      </c>
      <c r="G2506" s="46"/>
      <c r="H2506" s="46" t="s">
        <v>40</v>
      </c>
      <c r="I2506" s="45">
        <v>1043.26</v>
      </c>
      <c r="J2506" s="45">
        <v>521.63</v>
      </c>
      <c r="K2506" s="88" t="s">
        <v>11651</v>
      </c>
      <c r="L2506" s="45"/>
      <c r="M2506" s="3"/>
    </row>
    <row r="2507" spans="1:13" x14ac:dyDescent="0.2">
      <c r="A2507" s="46" t="s">
        <v>3854</v>
      </c>
      <c r="B2507" s="46" t="s">
        <v>11647</v>
      </c>
      <c r="C2507" s="46" t="s">
        <v>14</v>
      </c>
      <c r="D2507" s="47">
        <v>7401</v>
      </c>
      <c r="E2507" s="46" t="s">
        <v>3855</v>
      </c>
      <c r="F2507" s="48">
        <v>40260</v>
      </c>
      <c r="G2507" s="46"/>
      <c r="H2507" s="46" t="s">
        <v>40</v>
      </c>
      <c r="I2507" s="45">
        <v>2000</v>
      </c>
      <c r="J2507" s="45">
        <v>1000</v>
      </c>
      <c r="K2507" s="88" t="s">
        <v>11651</v>
      </c>
      <c r="L2507" s="45"/>
      <c r="M2507" s="3"/>
    </row>
    <row r="2508" spans="1:13" ht="25.5" x14ac:dyDescent="0.2">
      <c r="A2508" s="46" t="s">
        <v>3856</v>
      </c>
      <c r="B2508" s="46" t="s">
        <v>11647</v>
      </c>
      <c r="C2508" s="46" t="s">
        <v>14</v>
      </c>
      <c r="D2508" s="47">
        <v>7402</v>
      </c>
      <c r="E2508" s="46" t="s">
        <v>3857</v>
      </c>
      <c r="F2508" s="48">
        <v>40260</v>
      </c>
      <c r="G2508" s="46"/>
      <c r="H2508" s="46" t="s">
        <v>40</v>
      </c>
      <c r="I2508" s="45">
        <v>722.72</v>
      </c>
      <c r="J2508" s="45">
        <v>361.36</v>
      </c>
      <c r="K2508" s="88" t="s">
        <v>11651</v>
      </c>
      <c r="L2508" s="45"/>
      <c r="M2508" s="3"/>
    </row>
    <row r="2509" spans="1:13" x14ac:dyDescent="0.2">
      <c r="A2509" s="46" t="s">
        <v>3858</v>
      </c>
      <c r="B2509" s="46" t="s">
        <v>11647</v>
      </c>
      <c r="C2509" s="46" t="s">
        <v>14</v>
      </c>
      <c r="D2509" s="47">
        <v>7423</v>
      </c>
      <c r="E2509" s="46" t="s">
        <v>3859</v>
      </c>
      <c r="F2509" s="48">
        <v>40260</v>
      </c>
      <c r="G2509" s="46"/>
      <c r="H2509" s="46" t="s">
        <v>40</v>
      </c>
      <c r="I2509" s="45">
        <v>2000</v>
      </c>
      <c r="J2509" s="45">
        <v>1000</v>
      </c>
      <c r="K2509" s="88" t="s">
        <v>11651</v>
      </c>
      <c r="L2509" s="45"/>
      <c r="M2509" s="3"/>
    </row>
    <row r="2510" spans="1:13" ht="25.5" x14ac:dyDescent="0.2">
      <c r="A2510" s="46" t="s">
        <v>3860</v>
      </c>
      <c r="B2510" s="46" t="s">
        <v>11647</v>
      </c>
      <c r="C2510" s="46" t="s">
        <v>14</v>
      </c>
      <c r="D2510" s="47">
        <v>7426</v>
      </c>
      <c r="E2510" s="46" t="s">
        <v>3861</v>
      </c>
      <c r="F2510" s="48">
        <v>40240</v>
      </c>
      <c r="G2510" s="46"/>
      <c r="H2510" s="46" t="s">
        <v>40</v>
      </c>
      <c r="I2510" s="45">
        <v>1500</v>
      </c>
      <c r="J2510" s="45">
        <v>750</v>
      </c>
      <c r="K2510" s="88" t="s">
        <v>11651</v>
      </c>
      <c r="L2510" s="45"/>
      <c r="M2510" s="3"/>
    </row>
    <row r="2511" spans="1:13" x14ac:dyDescent="0.2">
      <c r="A2511" s="46" t="s">
        <v>3862</v>
      </c>
      <c r="B2511" s="46" t="s">
        <v>11647</v>
      </c>
      <c r="C2511" s="46" t="s">
        <v>14</v>
      </c>
      <c r="D2511" s="47">
        <v>7428</v>
      </c>
      <c r="E2511" s="46" t="s">
        <v>3863</v>
      </c>
      <c r="F2511" s="48">
        <v>40260</v>
      </c>
      <c r="G2511" s="46"/>
      <c r="H2511" s="46" t="s">
        <v>40</v>
      </c>
      <c r="I2511" s="45">
        <v>2000</v>
      </c>
      <c r="J2511" s="45">
        <v>1000</v>
      </c>
      <c r="K2511" s="88" t="s">
        <v>11651</v>
      </c>
      <c r="L2511" s="45"/>
      <c r="M2511" s="3"/>
    </row>
    <row r="2512" spans="1:13" x14ac:dyDescent="0.2">
      <c r="A2512" s="46" t="s">
        <v>3864</v>
      </c>
      <c r="B2512" s="46" t="s">
        <v>11647</v>
      </c>
      <c r="C2512" s="46" t="s">
        <v>14</v>
      </c>
      <c r="D2512" s="47">
        <v>7429</v>
      </c>
      <c r="E2512" s="46" t="s">
        <v>3865</v>
      </c>
      <c r="F2512" s="48">
        <v>40260</v>
      </c>
      <c r="G2512" s="46"/>
      <c r="H2512" s="46" t="s">
        <v>40</v>
      </c>
      <c r="I2512" s="45">
        <v>2491</v>
      </c>
      <c r="J2512" s="45">
        <v>1245.5</v>
      </c>
      <c r="K2512" s="88" t="s">
        <v>11651</v>
      </c>
      <c r="L2512" s="45"/>
      <c r="M2512" s="3"/>
    </row>
    <row r="2513" spans="1:13" ht="25.5" x14ac:dyDescent="0.2">
      <c r="A2513" s="46" t="s">
        <v>3866</v>
      </c>
      <c r="B2513" s="46" t="s">
        <v>11647</v>
      </c>
      <c r="C2513" s="46" t="s">
        <v>14</v>
      </c>
      <c r="D2513" s="47">
        <v>7431</v>
      </c>
      <c r="E2513" s="46" t="s">
        <v>3867</v>
      </c>
      <c r="F2513" s="48">
        <v>40204</v>
      </c>
      <c r="G2513" s="46"/>
      <c r="H2513" s="46" t="s">
        <v>40</v>
      </c>
      <c r="I2513" s="45">
        <v>776.5</v>
      </c>
      <c r="J2513" s="45">
        <v>388.25</v>
      </c>
      <c r="K2513" s="88" t="s">
        <v>11651</v>
      </c>
      <c r="L2513" s="45"/>
      <c r="M2513" s="3"/>
    </row>
    <row r="2514" spans="1:13" ht="25.5" x14ac:dyDescent="0.2">
      <c r="A2514" s="46" t="s">
        <v>3870</v>
      </c>
      <c r="B2514" s="46" t="s">
        <v>11647</v>
      </c>
      <c r="C2514" s="46" t="s">
        <v>14</v>
      </c>
      <c r="D2514" s="47">
        <v>7433</v>
      </c>
      <c r="E2514" s="46" t="s">
        <v>3871</v>
      </c>
      <c r="F2514" s="48">
        <v>40234</v>
      </c>
      <c r="G2514" s="46"/>
      <c r="H2514" s="46" t="s">
        <v>40</v>
      </c>
      <c r="I2514" s="45">
        <v>3613.98</v>
      </c>
      <c r="J2514" s="45">
        <v>1806.99</v>
      </c>
      <c r="K2514" s="88" t="s">
        <v>11651</v>
      </c>
      <c r="L2514" s="45"/>
      <c r="M2514" s="3"/>
    </row>
    <row r="2515" spans="1:13" x14ac:dyDescent="0.2">
      <c r="A2515" s="46" t="s">
        <v>3874</v>
      </c>
      <c r="B2515" s="46" t="s">
        <v>11647</v>
      </c>
      <c r="C2515" s="46" t="s">
        <v>14</v>
      </c>
      <c r="D2515" s="47">
        <v>7435</v>
      </c>
      <c r="E2515" s="46" t="s">
        <v>3875</v>
      </c>
      <c r="F2515" s="48">
        <v>40204</v>
      </c>
      <c r="G2515" s="46"/>
      <c r="H2515" s="46" t="s">
        <v>40</v>
      </c>
      <c r="I2515" s="45">
        <v>8000</v>
      </c>
      <c r="J2515" s="45">
        <v>4000</v>
      </c>
      <c r="K2515" s="88" t="s">
        <v>11651</v>
      </c>
      <c r="L2515" s="45"/>
      <c r="M2515" s="3"/>
    </row>
    <row r="2516" spans="1:13" x14ac:dyDescent="0.2">
      <c r="A2516" s="46" t="s">
        <v>3882</v>
      </c>
      <c r="B2516" s="46" t="s">
        <v>11647</v>
      </c>
      <c r="C2516" s="46" t="s">
        <v>14</v>
      </c>
      <c r="D2516" s="47">
        <v>7449</v>
      </c>
      <c r="E2516" s="46" t="s">
        <v>3883</v>
      </c>
      <c r="F2516" s="48">
        <v>40204</v>
      </c>
      <c r="G2516" s="46"/>
      <c r="H2516" s="46" t="s">
        <v>40</v>
      </c>
      <c r="I2516" s="45">
        <v>6864</v>
      </c>
      <c r="J2516" s="45">
        <v>3432</v>
      </c>
      <c r="K2516" s="88" t="s">
        <v>11651</v>
      </c>
      <c r="L2516" s="45"/>
      <c r="M2516" s="3"/>
    </row>
    <row r="2517" spans="1:13" x14ac:dyDescent="0.2">
      <c r="A2517" s="46" t="s">
        <v>3886</v>
      </c>
      <c r="B2517" s="46" t="s">
        <v>11647</v>
      </c>
      <c r="C2517" s="46" t="s">
        <v>14</v>
      </c>
      <c r="D2517" s="47">
        <v>7453</v>
      </c>
      <c r="E2517" s="46" t="s">
        <v>3887</v>
      </c>
      <c r="F2517" s="48">
        <v>40295</v>
      </c>
      <c r="G2517" s="46"/>
      <c r="H2517" s="46" t="s">
        <v>40</v>
      </c>
      <c r="I2517" s="45">
        <v>17782.22</v>
      </c>
      <c r="J2517" s="45">
        <v>8891.11</v>
      </c>
      <c r="K2517" s="88" t="s">
        <v>11651</v>
      </c>
      <c r="L2517" s="45"/>
      <c r="M2517" s="3"/>
    </row>
    <row r="2518" spans="1:13" x14ac:dyDescent="0.2">
      <c r="A2518" s="46" t="s">
        <v>3888</v>
      </c>
      <c r="B2518" s="46" t="s">
        <v>11647</v>
      </c>
      <c r="C2518" s="46" t="s">
        <v>14</v>
      </c>
      <c r="D2518" s="47">
        <v>7456</v>
      </c>
      <c r="E2518" s="46" t="s">
        <v>3889</v>
      </c>
      <c r="F2518" s="48">
        <v>40260</v>
      </c>
      <c r="G2518" s="46"/>
      <c r="H2518" s="46" t="s">
        <v>40</v>
      </c>
      <c r="I2518" s="45">
        <v>5195</v>
      </c>
      <c r="J2518" s="45">
        <v>2597.5</v>
      </c>
      <c r="K2518" s="88" t="s">
        <v>11651</v>
      </c>
      <c r="L2518" s="45"/>
      <c r="M2518" s="3"/>
    </row>
    <row r="2519" spans="1:13" ht="38.25" x14ac:dyDescent="0.2">
      <c r="A2519" s="46" t="s">
        <v>3899</v>
      </c>
      <c r="B2519" s="46" t="s">
        <v>11647</v>
      </c>
      <c r="C2519" s="46" t="s">
        <v>14</v>
      </c>
      <c r="D2519" s="47">
        <v>8646</v>
      </c>
      <c r="E2519" s="46" t="s">
        <v>3900</v>
      </c>
      <c r="F2519" s="48">
        <v>40323</v>
      </c>
      <c r="G2519" s="46"/>
      <c r="H2519" s="46" t="s">
        <v>40</v>
      </c>
      <c r="I2519" s="45">
        <v>4000</v>
      </c>
      <c r="J2519" s="45">
        <v>2000</v>
      </c>
      <c r="K2519" s="88" t="s">
        <v>11651</v>
      </c>
      <c r="L2519" s="45"/>
      <c r="M2519" s="3"/>
    </row>
    <row r="2520" spans="1:13" ht="25.5" x14ac:dyDescent="0.2">
      <c r="A2520" s="46" t="s">
        <v>3903</v>
      </c>
      <c r="B2520" s="46" t="s">
        <v>11647</v>
      </c>
      <c r="C2520" s="46" t="s">
        <v>14</v>
      </c>
      <c r="D2520" s="47">
        <v>8680</v>
      </c>
      <c r="E2520" s="46" t="s">
        <v>3904</v>
      </c>
      <c r="F2520" s="48">
        <v>40323</v>
      </c>
      <c r="G2520" s="46"/>
      <c r="H2520" s="46" t="s">
        <v>40</v>
      </c>
      <c r="I2520" s="45">
        <v>9064</v>
      </c>
      <c r="J2520" s="45">
        <v>4532</v>
      </c>
      <c r="K2520" s="88" t="s">
        <v>11651</v>
      </c>
      <c r="L2520" s="45"/>
      <c r="M2520" s="3"/>
    </row>
    <row r="2521" spans="1:13" ht="25.5" x14ac:dyDescent="0.2">
      <c r="A2521" s="46" t="s">
        <v>3907</v>
      </c>
      <c r="B2521" s="46" t="s">
        <v>11647</v>
      </c>
      <c r="C2521" s="46" t="s">
        <v>14</v>
      </c>
      <c r="D2521" s="47">
        <v>8690</v>
      </c>
      <c r="E2521" s="46" t="s">
        <v>3908</v>
      </c>
      <c r="F2521" s="48">
        <v>40295</v>
      </c>
      <c r="G2521" s="46"/>
      <c r="H2521" s="46" t="s">
        <v>40</v>
      </c>
      <c r="I2521" s="45">
        <v>1002.74</v>
      </c>
      <c r="J2521" s="45">
        <v>501.37</v>
      </c>
      <c r="K2521" s="88" t="s">
        <v>11651</v>
      </c>
      <c r="L2521" s="45"/>
      <c r="M2521" s="3"/>
    </row>
    <row r="2522" spans="1:13" ht="63.75" x14ac:dyDescent="0.2">
      <c r="A2522" s="46" t="s">
        <v>3917</v>
      </c>
      <c r="B2522" s="46" t="s">
        <v>11647</v>
      </c>
      <c r="C2522" s="46" t="s">
        <v>14</v>
      </c>
      <c r="D2522" s="47">
        <v>8700</v>
      </c>
      <c r="E2522" s="50" t="s">
        <v>3918</v>
      </c>
      <c r="F2522" s="48">
        <v>40519</v>
      </c>
      <c r="G2522" s="46"/>
      <c r="H2522" s="46" t="s">
        <v>40</v>
      </c>
      <c r="I2522" s="45">
        <v>23250</v>
      </c>
      <c r="J2522" s="45">
        <v>11625</v>
      </c>
      <c r="K2522" s="88" t="s">
        <v>11651</v>
      </c>
      <c r="L2522" s="45"/>
      <c r="M2522" s="3"/>
    </row>
    <row r="2523" spans="1:13" ht="38.25" x14ac:dyDescent="0.2">
      <c r="A2523" s="46" t="s">
        <v>3921</v>
      </c>
      <c r="B2523" s="46" t="s">
        <v>11647</v>
      </c>
      <c r="C2523" s="46" t="s">
        <v>14</v>
      </c>
      <c r="D2523" s="47">
        <v>8702</v>
      </c>
      <c r="E2523" s="46" t="s">
        <v>3922</v>
      </c>
      <c r="F2523" s="48">
        <v>40323</v>
      </c>
      <c r="G2523" s="46"/>
      <c r="H2523" s="46" t="s">
        <v>40</v>
      </c>
      <c r="I2523" s="45">
        <v>8646.5</v>
      </c>
      <c r="J2523" s="45">
        <v>4323.25</v>
      </c>
      <c r="K2523" s="88" t="s">
        <v>11651</v>
      </c>
      <c r="L2523" s="45"/>
      <c r="M2523" s="3"/>
    </row>
    <row r="2524" spans="1:13" ht="25.5" x14ac:dyDescent="0.2">
      <c r="A2524" s="46" t="s">
        <v>3923</v>
      </c>
      <c r="B2524" s="46" t="s">
        <v>11647</v>
      </c>
      <c r="C2524" s="46" t="s">
        <v>14</v>
      </c>
      <c r="D2524" s="47">
        <v>8703</v>
      </c>
      <c r="E2524" s="46" t="s">
        <v>3924</v>
      </c>
      <c r="F2524" s="48">
        <v>40567</v>
      </c>
      <c r="G2524" s="46"/>
      <c r="H2524" s="46" t="s">
        <v>40</v>
      </c>
      <c r="I2524" s="45">
        <v>9773.7999999999993</v>
      </c>
      <c r="J2524" s="45">
        <v>4886.8999999999996</v>
      </c>
      <c r="K2524" s="88" t="s">
        <v>11651</v>
      </c>
      <c r="L2524" s="45"/>
      <c r="M2524" s="3"/>
    </row>
    <row r="2525" spans="1:13" ht="25.5" x14ac:dyDescent="0.2">
      <c r="A2525" s="46" t="s">
        <v>3960</v>
      </c>
      <c r="B2525" s="46" t="s">
        <v>11647</v>
      </c>
      <c r="C2525" s="46" t="s">
        <v>14</v>
      </c>
      <c r="D2525" s="47">
        <v>10745</v>
      </c>
      <c r="E2525" s="46" t="s">
        <v>3961</v>
      </c>
      <c r="F2525" s="48">
        <v>40652</v>
      </c>
      <c r="G2525" s="46"/>
      <c r="H2525" s="46" t="s">
        <v>40</v>
      </c>
      <c r="I2525" s="45">
        <v>10000</v>
      </c>
      <c r="J2525" s="45">
        <v>5000</v>
      </c>
      <c r="K2525" s="88" t="s">
        <v>11651</v>
      </c>
      <c r="L2525" s="45"/>
      <c r="M2525" s="3"/>
    </row>
    <row r="2526" spans="1:13" x14ac:dyDescent="0.25">
      <c r="A2526" s="46" t="s">
        <v>4124</v>
      </c>
      <c r="B2526" s="46" t="s">
        <v>11647</v>
      </c>
      <c r="C2526" s="46" t="s">
        <v>14</v>
      </c>
      <c r="D2526" s="47">
        <v>2615</v>
      </c>
      <c r="E2526" s="46" t="s">
        <v>4125</v>
      </c>
      <c r="F2526" s="48">
        <v>39274</v>
      </c>
      <c r="G2526" s="48">
        <v>39409</v>
      </c>
      <c r="H2526" s="46" t="s">
        <v>40</v>
      </c>
      <c r="I2526" s="45">
        <v>10000</v>
      </c>
      <c r="J2526" s="45">
        <v>5000</v>
      </c>
      <c r="K2526" s="49" t="s">
        <v>4035</v>
      </c>
      <c r="L2526" s="45"/>
      <c r="M2526" s="3"/>
    </row>
    <row r="2527" spans="1:13" x14ac:dyDescent="0.25">
      <c r="A2527" s="46" t="s">
        <v>4138</v>
      </c>
      <c r="B2527" s="46" t="s">
        <v>11647</v>
      </c>
      <c r="C2527" s="46" t="s">
        <v>14</v>
      </c>
      <c r="D2527" s="47">
        <v>2624</v>
      </c>
      <c r="E2527" s="46" t="s">
        <v>4139</v>
      </c>
      <c r="F2527" s="48">
        <v>39484</v>
      </c>
      <c r="G2527" s="46"/>
      <c r="H2527" s="46" t="s">
        <v>40</v>
      </c>
      <c r="I2527" s="45">
        <v>10000</v>
      </c>
      <c r="J2527" s="45">
        <v>5000</v>
      </c>
      <c r="K2527" s="49" t="s">
        <v>4035</v>
      </c>
      <c r="L2527" s="45"/>
      <c r="M2527" s="3"/>
    </row>
    <row r="2528" spans="1:13" x14ac:dyDescent="0.25">
      <c r="A2528" s="46" t="s">
        <v>4177</v>
      </c>
      <c r="B2528" s="46" t="s">
        <v>11647</v>
      </c>
      <c r="C2528" s="46" t="s">
        <v>14</v>
      </c>
      <c r="D2528" s="47">
        <v>7001</v>
      </c>
      <c r="E2528" s="46" t="s">
        <v>4178</v>
      </c>
      <c r="F2528" s="48">
        <v>39995</v>
      </c>
      <c r="G2528" s="46"/>
      <c r="H2528" s="46" t="s">
        <v>40</v>
      </c>
      <c r="I2528" s="45">
        <v>10200</v>
      </c>
      <c r="J2528" s="45">
        <v>5100</v>
      </c>
      <c r="K2528" s="49" t="s">
        <v>4035</v>
      </c>
      <c r="L2528" s="45"/>
      <c r="M2528" s="3"/>
    </row>
    <row r="2529" spans="1:13" x14ac:dyDescent="0.25">
      <c r="A2529" s="46" t="s">
        <v>4179</v>
      </c>
      <c r="B2529" s="46" t="s">
        <v>11647</v>
      </c>
      <c r="C2529" s="46" t="s">
        <v>14</v>
      </c>
      <c r="D2529" s="47">
        <v>7003</v>
      </c>
      <c r="E2529" s="46" t="s">
        <v>4180</v>
      </c>
      <c r="F2529" s="48">
        <v>40058</v>
      </c>
      <c r="G2529" s="46"/>
      <c r="H2529" s="46" t="s">
        <v>40</v>
      </c>
      <c r="I2529" s="45">
        <v>10200</v>
      </c>
      <c r="J2529" s="45">
        <v>5100</v>
      </c>
      <c r="K2529" s="49" t="s">
        <v>4035</v>
      </c>
      <c r="L2529" s="45"/>
      <c r="M2529" s="3"/>
    </row>
    <row r="2530" spans="1:13" x14ac:dyDescent="0.25">
      <c r="A2530" s="46" t="s">
        <v>4181</v>
      </c>
      <c r="B2530" s="46" t="s">
        <v>11647</v>
      </c>
      <c r="C2530" s="46" t="s">
        <v>14</v>
      </c>
      <c r="D2530" s="47">
        <v>7004</v>
      </c>
      <c r="E2530" s="46" t="s">
        <v>4182</v>
      </c>
      <c r="F2530" s="48">
        <v>40128</v>
      </c>
      <c r="G2530" s="46"/>
      <c r="H2530" s="46" t="s">
        <v>40</v>
      </c>
      <c r="I2530" s="45">
        <v>10200</v>
      </c>
      <c r="J2530" s="45">
        <v>5100</v>
      </c>
      <c r="K2530" s="49" t="s">
        <v>4035</v>
      </c>
      <c r="L2530" s="45"/>
      <c r="M2530" s="3"/>
    </row>
    <row r="2531" spans="1:13" x14ac:dyDescent="0.25">
      <c r="A2531" s="46" t="s">
        <v>4383</v>
      </c>
      <c r="B2531" s="46" t="s">
        <v>11647</v>
      </c>
      <c r="C2531" s="46" t="s">
        <v>14</v>
      </c>
      <c r="D2531" s="47">
        <v>2135</v>
      </c>
      <c r="E2531" s="46" t="s">
        <v>4384</v>
      </c>
      <c r="F2531" s="48">
        <v>39202</v>
      </c>
      <c r="G2531" s="48">
        <v>39444</v>
      </c>
      <c r="H2531" s="46" t="s">
        <v>40</v>
      </c>
      <c r="I2531" s="45">
        <v>5100</v>
      </c>
      <c r="J2531" s="45">
        <v>2550</v>
      </c>
      <c r="K2531" s="49" t="s">
        <v>4318</v>
      </c>
      <c r="L2531" s="45"/>
      <c r="M2531" s="3"/>
    </row>
    <row r="2532" spans="1:13" x14ac:dyDescent="0.25">
      <c r="A2532" s="46" t="s">
        <v>4387</v>
      </c>
      <c r="B2532" s="46" t="s">
        <v>11647</v>
      </c>
      <c r="C2532" s="46" t="s">
        <v>14</v>
      </c>
      <c r="D2532" s="47">
        <v>2138</v>
      </c>
      <c r="E2532" s="46" t="s">
        <v>4388</v>
      </c>
      <c r="F2532" s="48">
        <v>39202</v>
      </c>
      <c r="G2532" s="48">
        <v>39415</v>
      </c>
      <c r="H2532" s="46" t="s">
        <v>40</v>
      </c>
      <c r="I2532" s="45">
        <v>3620</v>
      </c>
      <c r="J2532" s="45">
        <v>1810</v>
      </c>
      <c r="K2532" s="49" t="s">
        <v>4318</v>
      </c>
      <c r="L2532" s="45"/>
      <c r="M2532" s="3"/>
    </row>
    <row r="2533" spans="1:13" x14ac:dyDescent="0.25">
      <c r="A2533" s="46" t="s">
        <v>4403</v>
      </c>
      <c r="B2533" s="46" t="s">
        <v>11647</v>
      </c>
      <c r="C2533" s="46" t="s">
        <v>14</v>
      </c>
      <c r="D2533" s="47">
        <v>2151</v>
      </c>
      <c r="E2533" s="46" t="s">
        <v>4404</v>
      </c>
      <c r="F2533" s="48">
        <v>39322</v>
      </c>
      <c r="G2533" s="48">
        <v>39420</v>
      </c>
      <c r="H2533" s="46" t="s">
        <v>40</v>
      </c>
      <c r="I2533" s="45">
        <v>7000</v>
      </c>
      <c r="J2533" s="45">
        <v>3500</v>
      </c>
      <c r="K2533" s="49" t="s">
        <v>4318</v>
      </c>
      <c r="L2533" s="45"/>
      <c r="M2533" s="3"/>
    </row>
    <row r="2534" spans="1:13" x14ac:dyDescent="0.25">
      <c r="A2534" s="46" t="s">
        <v>4405</v>
      </c>
      <c r="B2534" s="46" t="s">
        <v>11647</v>
      </c>
      <c r="C2534" s="46" t="s">
        <v>14</v>
      </c>
      <c r="D2534" s="47">
        <v>2152</v>
      </c>
      <c r="E2534" s="46" t="s">
        <v>4406</v>
      </c>
      <c r="F2534" s="48">
        <v>39377</v>
      </c>
      <c r="G2534" s="48">
        <v>39512</v>
      </c>
      <c r="H2534" s="46" t="s">
        <v>40</v>
      </c>
      <c r="I2534" s="45">
        <v>5000</v>
      </c>
      <c r="J2534" s="45">
        <v>2500</v>
      </c>
      <c r="K2534" s="49" t="s">
        <v>4318</v>
      </c>
      <c r="L2534" s="45"/>
      <c r="M2534" s="3"/>
    </row>
    <row r="2535" spans="1:13" x14ac:dyDescent="0.25">
      <c r="A2535" s="46" t="s">
        <v>4409</v>
      </c>
      <c r="B2535" s="46" t="s">
        <v>11647</v>
      </c>
      <c r="C2535" s="46" t="s">
        <v>14</v>
      </c>
      <c r="D2535" s="47">
        <v>2156</v>
      </c>
      <c r="E2535" s="46" t="s">
        <v>4410</v>
      </c>
      <c r="F2535" s="48">
        <v>39475</v>
      </c>
      <c r="G2535" s="48">
        <v>39679</v>
      </c>
      <c r="H2535" s="46" t="s">
        <v>40</v>
      </c>
      <c r="I2535" s="45">
        <v>6260.94</v>
      </c>
      <c r="J2535" s="45">
        <v>3130.47</v>
      </c>
      <c r="K2535" s="49" t="s">
        <v>4318</v>
      </c>
      <c r="L2535" s="45"/>
      <c r="M2535" s="3"/>
    </row>
    <row r="2536" spans="1:13" x14ac:dyDescent="0.25">
      <c r="A2536" s="46" t="s">
        <v>4461</v>
      </c>
      <c r="B2536" s="46" t="s">
        <v>11647</v>
      </c>
      <c r="C2536" s="46" t="s">
        <v>14</v>
      </c>
      <c r="D2536" s="47">
        <v>4850</v>
      </c>
      <c r="E2536" s="46" t="s">
        <v>4462</v>
      </c>
      <c r="F2536" s="48">
        <v>39538</v>
      </c>
      <c r="G2536" s="48">
        <v>40004</v>
      </c>
      <c r="H2536" s="46" t="s">
        <v>40</v>
      </c>
      <c r="I2536" s="45">
        <v>6600</v>
      </c>
      <c r="J2536" s="45">
        <v>3300</v>
      </c>
      <c r="K2536" s="49" t="s">
        <v>4318</v>
      </c>
      <c r="L2536" s="45"/>
      <c r="M2536" s="3"/>
    </row>
    <row r="2537" spans="1:13" x14ac:dyDescent="0.25">
      <c r="A2537" s="46" t="s">
        <v>4463</v>
      </c>
      <c r="B2537" s="46" t="s">
        <v>11647</v>
      </c>
      <c r="C2537" s="46" t="s">
        <v>14</v>
      </c>
      <c r="D2537" s="47">
        <v>4907</v>
      </c>
      <c r="E2537" s="46" t="s">
        <v>4464</v>
      </c>
      <c r="F2537" s="48">
        <v>39538</v>
      </c>
      <c r="G2537" s="48">
        <v>39980</v>
      </c>
      <c r="H2537" s="46" t="s">
        <v>40</v>
      </c>
      <c r="I2537" s="45">
        <f>8000</f>
        <v>8000</v>
      </c>
      <c r="J2537" s="45">
        <f>4000</f>
        <v>4000</v>
      </c>
      <c r="K2537" s="49" t="s">
        <v>4318</v>
      </c>
      <c r="L2537" s="45"/>
      <c r="M2537" s="3"/>
    </row>
    <row r="2538" spans="1:13" x14ac:dyDescent="0.25">
      <c r="A2538" s="46" t="s">
        <v>4485</v>
      </c>
      <c r="B2538" s="46" t="s">
        <v>11647</v>
      </c>
      <c r="C2538" s="46" t="s">
        <v>14</v>
      </c>
      <c r="D2538" s="47">
        <v>4930</v>
      </c>
      <c r="E2538" s="46" t="s">
        <v>4486</v>
      </c>
      <c r="F2538" s="48">
        <v>39853</v>
      </c>
      <c r="G2538" s="48">
        <v>40141</v>
      </c>
      <c r="H2538" s="46" t="s">
        <v>40</v>
      </c>
      <c r="I2538" s="45">
        <v>6000</v>
      </c>
      <c r="J2538" s="45">
        <v>3000</v>
      </c>
      <c r="K2538" s="49" t="s">
        <v>4318</v>
      </c>
      <c r="L2538" s="45"/>
      <c r="M2538" s="3"/>
    </row>
    <row r="2539" spans="1:13" x14ac:dyDescent="0.25">
      <c r="A2539" s="46" t="s">
        <v>4521</v>
      </c>
      <c r="B2539" s="46" t="s">
        <v>11647</v>
      </c>
      <c r="C2539" s="46" t="s">
        <v>14</v>
      </c>
      <c r="D2539" s="47">
        <v>7211</v>
      </c>
      <c r="E2539" s="46" t="s">
        <v>4522</v>
      </c>
      <c r="F2539" s="48">
        <v>40290</v>
      </c>
      <c r="G2539" s="48">
        <v>40521</v>
      </c>
      <c r="H2539" s="46" t="s">
        <v>40</v>
      </c>
      <c r="I2539" s="45">
        <v>8308.42</v>
      </c>
      <c r="J2539" s="45">
        <v>4154.8100000000004</v>
      </c>
      <c r="K2539" s="49" t="s">
        <v>4318</v>
      </c>
      <c r="L2539" s="45"/>
      <c r="M2539" s="3"/>
    </row>
    <row r="2540" spans="1:13" ht="25.5" x14ac:dyDescent="0.25">
      <c r="A2540" s="46" t="s">
        <v>4624</v>
      </c>
      <c r="B2540" s="46" t="s">
        <v>11647</v>
      </c>
      <c r="C2540" s="46" t="s">
        <v>14</v>
      </c>
      <c r="D2540" s="47">
        <v>10716</v>
      </c>
      <c r="E2540" s="46" t="s">
        <v>4625</v>
      </c>
      <c r="F2540" s="48">
        <v>40701</v>
      </c>
      <c r="G2540" s="48">
        <v>41078</v>
      </c>
      <c r="H2540" s="46" t="s">
        <v>40</v>
      </c>
      <c r="I2540" s="45">
        <v>10000</v>
      </c>
      <c r="J2540" s="45">
        <v>5000</v>
      </c>
      <c r="K2540" s="49" t="s">
        <v>4318</v>
      </c>
      <c r="L2540" s="45"/>
      <c r="M2540" s="3"/>
    </row>
    <row r="2541" spans="1:13" ht="25.5" x14ac:dyDescent="0.25">
      <c r="A2541" s="46" t="s">
        <v>4636</v>
      </c>
      <c r="B2541" s="46" t="s">
        <v>11647</v>
      </c>
      <c r="C2541" s="46" t="s">
        <v>14</v>
      </c>
      <c r="D2541" s="47">
        <v>10734</v>
      </c>
      <c r="E2541" s="46" t="s">
        <v>4637</v>
      </c>
      <c r="F2541" s="48">
        <v>40981</v>
      </c>
      <c r="G2541" s="48">
        <v>41215</v>
      </c>
      <c r="H2541" s="46" t="s">
        <v>40</v>
      </c>
      <c r="I2541" s="45">
        <v>7000</v>
      </c>
      <c r="J2541" s="45">
        <v>3500</v>
      </c>
      <c r="K2541" s="49" t="s">
        <v>4318</v>
      </c>
      <c r="L2541" s="45"/>
      <c r="M2541" s="3"/>
    </row>
    <row r="2542" spans="1:13" ht="25.5" x14ac:dyDescent="0.25">
      <c r="A2542" s="46" t="s">
        <v>4650</v>
      </c>
      <c r="B2542" s="46" t="s">
        <v>11647</v>
      </c>
      <c r="C2542" s="46" t="s">
        <v>14</v>
      </c>
      <c r="D2542" s="47">
        <v>10778</v>
      </c>
      <c r="E2542" s="46" t="s">
        <v>4651</v>
      </c>
      <c r="F2542" s="48">
        <v>40659</v>
      </c>
      <c r="G2542" s="48">
        <v>40954</v>
      </c>
      <c r="H2542" s="46" t="s">
        <v>40</v>
      </c>
      <c r="I2542" s="45">
        <v>8000</v>
      </c>
      <c r="J2542" s="45">
        <v>4000</v>
      </c>
      <c r="K2542" s="49" t="s">
        <v>4318</v>
      </c>
      <c r="L2542" s="45"/>
      <c r="M2542" s="3"/>
    </row>
    <row r="2543" spans="1:13" ht="25.5" x14ac:dyDescent="0.25">
      <c r="A2543" s="46" t="s">
        <v>4656</v>
      </c>
      <c r="B2543" s="46" t="s">
        <v>11647</v>
      </c>
      <c r="C2543" s="46" t="s">
        <v>14</v>
      </c>
      <c r="D2543" s="47">
        <v>10798</v>
      </c>
      <c r="E2543" s="46" t="s">
        <v>4657</v>
      </c>
      <c r="F2543" s="48">
        <v>40606</v>
      </c>
      <c r="G2543" s="48">
        <v>41141</v>
      </c>
      <c r="H2543" s="46" t="s">
        <v>40</v>
      </c>
      <c r="I2543" s="45">
        <v>10000</v>
      </c>
      <c r="J2543" s="45">
        <v>5000</v>
      </c>
      <c r="K2543" s="49" t="s">
        <v>4318</v>
      </c>
      <c r="L2543" s="45"/>
      <c r="M2543" s="3"/>
    </row>
    <row r="2544" spans="1:13" x14ac:dyDescent="0.25">
      <c r="A2544" s="46" t="s">
        <v>4861</v>
      </c>
      <c r="B2544" s="46" t="s">
        <v>11647</v>
      </c>
      <c r="C2544" s="46" t="s">
        <v>14</v>
      </c>
      <c r="D2544" s="47">
        <v>2925</v>
      </c>
      <c r="E2544" s="46" t="s">
        <v>4862</v>
      </c>
      <c r="F2544" s="48">
        <v>39542</v>
      </c>
      <c r="G2544" s="46"/>
      <c r="H2544" s="46" t="s">
        <v>40</v>
      </c>
      <c r="I2544" s="45">
        <v>10200</v>
      </c>
      <c r="J2544" s="45">
        <v>5100</v>
      </c>
      <c r="K2544" s="49" t="s">
        <v>4667</v>
      </c>
      <c r="L2544" s="45"/>
      <c r="M2544" s="3"/>
    </row>
    <row r="2545" spans="1:13" x14ac:dyDescent="0.25">
      <c r="A2545" s="46" t="s">
        <v>4871</v>
      </c>
      <c r="B2545" s="46" t="s">
        <v>11647</v>
      </c>
      <c r="C2545" s="46" t="s">
        <v>14</v>
      </c>
      <c r="D2545" s="47">
        <v>2930</v>
      </c>
      <c r="E2545" s="46" t="s">
        <v>4872</v>
      </c>
      <c r="F2545" s="48">
        <v>39605</v>
      </c>
      <c r="G2545" s="46"/>
      <c r="H2545" s="46" t="s">
        <v>40</v>
      </c>
      <c r="I2545" s="45">
        <v>10200</v>
      </c>
      <c r="J2545" s="45">
        <v>5100</v>
      </c>
      <c r="K2545" s="49" t="s">
        <v>4667</v>
      </c>
      <c r="L2545" s="45"/>
      <c r="M2545" s="3"/>
    </row>
    <row r="2546" spans="1:13" x14ac:dyDescent="0.25">
      <c r="A2546" s="46" t="s">
        <v>4916</v>
      </c>
      <c r="B2546" s="46" t="s">
        <v>11647</v>
      </c>
      <c r="C2546" s="46" t="s">
        <v>14</v>
      </c>
      <c r="D2546" s="47">
        <v>6949</v>
      </c>
      <c r="E2546" s="46" t="s">
        <v>4917</v>
      </c>
      <c r="F2546" s="48">
        <v>39814</v>
      </c>
      <c r="G2546" s="46"/>
      <c r="H2546" s="46" t="s">
        <v>40</v>
      </c>
      <c r="I2546" s="45">
        <v>11805</v>
      </c>
      <c r="J2546" s="45">
        <v>5100</v>
      </c>
      <c r="K2546" s="49" t="s">
        <v>4667</v>
      </c>
      <c r="L2546" s="45"/>
      <c r="M2546" s="3"/>
    </row>
    <row r="2547" spans="1:13" x14ac:dyDescent="0.25">
      <c r="A2547" s="46" t="s">
        <v>4920</v>
      </c>
      <c r="B2547" s="46" t="s">
        <v>11647</v>
      </c>
      <c r="C2547" s="46" t="s">
        <v>14</v>
      </c>
      <c r="D2547" s="47">
        <v>6955</v>
      </c>
      <c r="E2547" s="46" t="s">
        <v>4921</v>
      </c>
      <c r="F2547" s="48">
        <v>40452</v>
      </c>
      <c r="G2547" s="46"/>
      <c r="H2547" s="46" t="s">
        <v>40</v>
      </c>
      <c r="I2547" s="45">
        <v>21570</v>
      </c>
      <c r="J2547" s="45">
        <v>10785</v>
      </c>
      <c r="K2547" s="49" t="s">
        <v>4667</v>
      </c>
      <c r="L2547" s="45"/>
      <c r="M2547" s="3"/>
    </row>
    <row r="2548" spans="1:13" x14ac:dyDescent="0.25">
      <c r="A2548" s="46" t="s">
        <v>4924</v>
      </c>
      <c r="B2548" s="46" t="s">
        <v>11647</v>
      </c>
      <c r="C2548" s="46" t="s">
        <v>14</v>
      </c>
      <c r="D2548" s="47">
        <v>6958</v>
      </c>
      <c r="E2548" s="46" t="s">
        <v>4925</v>
      </c>
      <c r="F2548" s="48">
        <v>40252</v>
      </c>
      <c r="G2548" s="46"/>
      <c r="H2548" s="46" t="s">
        <v>40</v>
      </c>
      <c r="I2548" s="45">
        <v>8248</v>
      </c>
      <c r="J2548" s="45">
        <v>4124</v>
      </c>
      <c r="K2548" s="49" t="s">
        <v>4667</v>
      </c>
      <c r="L2548" s="45"/>
      <c r="M2548" s="3"/>
    </row>
    <row r="2549" spans="1:13" ht="25.5" x14ac:dyDescent="0.25">
      <c r="A2549" s="46" t="s">
        <v>4974</v>
      </c>
      <c r="B2549" s="46" t="s">
        <v>11647</v>
      </c>
      <c r="C2549" s="46" t="s">
        <v>14</v>
      </c>
      <c r="D2549" s="47">
        <v>8913</v>
      </c>
      <c r="E2549" s="46" t="s">
        <v>4975</v>
      </c>
      <c r="F2549" s="48">
        <v>40543</v>
      </c>
      <c r="G2549" s="46"/>
      <c r="H2549" s="46" t="s">
        <v>40</v>
      </c>
      <c r="I2549" s="45">
        <v>28680</v>
      </c>
      <c r="J2549" s="45">
        <v>14340</v>
      </c>
      <c r="K2549" s="49" t="s">
        <v>4667</v>
      </c>
      <c r="L2549" s="45"/>
      <c r="M2549" s="3"/>
    </row>
    <row r="2550" spans="1:13" ht="25.5" x14ac:dyDescent="0.25">
      <c r="A2550" s="46" t="s">
        <v>5003</v>
      </c>
      <c r="B2550" s="46" t="s">
        <v>11647</v>
      </c>
      <c r="C2550" s="46" t="s">
        <v>14</v>
      </c>
      <c r="D2550" s="47">
        <v>10632</v>
      </c>
      <c r="E2550" s="46" t="s">
        <v>5004</v>
      </c>
      <c r="F2550" s="48">
        <v>41172</v>
      </c>
      <c r="G2550" s="46"/>
      <c r="H2550" s="46" t="s">
        <v>40</v>
      </c>
      <c r="I2550" s="45">
        <v>30000</v>
      </c>
      <c r="J2550" s="45">
        <v>15000</v>
      </c>
      <c r="K2550" s="49" t="s">
        <v>4667</v>
      </c>
      <c r="L2550" s="45"/>
      <c r="M2550" s="3"/>
    </row>
    <row r="2551" spans="1:13" x14ac:dyDescent="0.25">
      <c r="A2551" s="46" t="s">
        <v>5076</v>
      </c>
      <c r="B2551" s="46" t="s">
        <v>11647</v>
      </c>
      <c r="C2551" s="46" t="s">
        <v>14</v>
      </c>
      <c r="D2551" s="47">
        <v>1535</v>
      </c>
      <c r="E2551" s="46" t="s">
        <v>5077</v>
      </c>
      <c r="F2551" s="48">
        <v>39164</v>
      </c>
      <c r="G2551" s="48">
        <v>39530</v>
      </c>
      <c r="H2551" s="46" t="s">
        <v>40</v>
      </c>
      <c r="I2551" s="45">
        <v>10000</v>
      </c>
      <c r="J2551" s="45">
        <v>5000</v>
      </c>
      <c r="K2551" s="49" t="s">
        <v>5018</v>
      </c>
      <c r="L2551" s="45"/>
      <c r="M2551" s="3"/>
    </row>
    <row r="2552" spans="1:13" x14ac:dyDescent="0.25">
      <c r="A2552" s="46" t="s">
        <v>5094</v>
      </c>
      <c r="B2552" s="46" t="s">
        <v>11647</v>
      </c>
      <c r="C2552" s="46" t="s">
        <v>14</v>
      </c>
      <c r="D2552" s="47">
        <v>1587</v>
      </c>
      <c r="E2552" s="46" t="s">
        <v>5095</v>
      </c>
      <c r="F2552" s="48">
        <v>39335</v>
      </c>
      <c r="G2552" s="48">
        <v>39701</v>
      </c>
      <c r="H2552" s="46" t="s">
        <v>40</v>
      </c>
      <c r="I2552" s="45">
        <v>5896</v>
      </c>
      <c r="J2552" s="45">
        <v>2948</v>
      </c>
      <c r="K2552" s="49" t="s">
        <v>5018</v>
      </c>
      <c r="L2552" s="45"/>
      <c r="M2552" s="3"/>
    </row>
    <row r="2553" spans="1:13" x14ac:dyDescent="0.25">
      <c r="A2553" s="46" t="s">
        <v>5124</v>
      </c>
      <c r="B2553" s="46" t="s">
        <v>11647</v>
      </c>
      <c r="C2553" s="46" t="s">
        <v>14</v>
      </c>
      <c r="D2553" s="47">
        <v>1617</v>
      </c>
      <c r="E2553" s="46" t="s">
        <v>5125</v>
      </c>
      <c r="F2553" s="48">
        <v>39428</v>
      </c>
      <c r="G2553" s="48">
        <v>39794</v>
      </c>
      <c r="H2553" s="46" t="s">
        <v>40</v>
      </c>
      <c r="I2553" s="45">
        <v>10000</v>
      </c>
      <c r="J2553" s="45">
        <v>5000</v>
      </c>
      <c r="K2553" s="49" t="s">
        <v>5018</v>
      </c>
      <c r="L2553" s="45"/>
      <c r="M2553" s="3"/>
    </row>
    <row r="2554" spans="1:13" ht="25.5" x14ac:dyDescent="0.25">
      <c r="A2554" s="46" t="s">
        <v>5130</v>
      </c>
      <c r="B2554" s="46" t="s">
        <v>11647</v>
      </c>
      <c r="C2554" s="46" t="s">
        <v>14</v>
      </c>
      <c r="D2554" s="47">
        <v>1623</v>
      </c>
      <c r="E2554" s="46" t="s">
        <v>5131</v>
      </c>
      <c r="F2554" s="48">
        <v>39636</v>
      </c>
      <c r="G2554" s="48">
        <v>40001</v>
      </c>
      <c r="H2554" s="46" t="s">
        <v>40</v>
      </c>
      <c r="I2554" s="45">
        <v>10000</v>
      </c>
      <c r="J2554" s="45">
        <v>5000</v>
      </c>
      <c r="K2554" s="49" t="s">
        <v>5018</v>
      </c>
      <c r="L2554" s="45"/>
      <c r="M2554" s="3"/>
    </row>
    <row r="2555" spans="1:13" x14ac:dyDescent="0.25">
      <c r="A2555" s="46" t="s">
        <v>5132</v>
      </c>
      <c r="B2555" s="46" t="s">
        <v>11647</v>
      </c>
      <c r="C2555" s="46" t="s">
        <v>14</v>
      </c>
      <c r="D2555" s="47">
        <v>1625</v>
      </c>
      <c r="E2555" s="46" t="s">
        <v>5133</v>
      </c>
      <c r="F2555" s="48">
        <v>39503</v>
      </c>
      <c r="G2555" s="48">
        <v>39869</v>
      </c>
      <c r="H2555" s="46" t="s">
        <v>40</v>
      </c>
      <c r="I2555" s="45">
        <v>6190</v>
      </c>
      <c r="J2555" s="45">
        <v>3095</v>
      </c>
      <c r="K2555" s="49" t="s">
        <v>5018</v>
      </c>
      <c r="L2555" s="45"/>
      <c r="M2555" s="3"/>
    </row>
    <row r="2556" spans="1:13" x14ac:dyDescent="0.25">
      <c r="A2556" s="46" t="s">
        <v>5143</v>
      </c>
      <c r="B2556" s="46" t="s">
        <v>11647</v>
      </c>
      <c r="C2556" s="46" t="s">
        <v>14</v>
      </c>
      <c r="D2556" s="47">
        <v>1632</v>
      </c>
      <c r="E2556" s="46" t="s">
        <v>5144</v>
      </c>
      <c r="F2556" s="48">
        <v>39552</v>
      </c>
      <c r="G2556" s="48">
        <v>39917</v>
      </c>
      <c r="H2556" s="46" t="s">
        <v>40</v>
      </c>
      <c r="I2556" s="45">
        <v>10000</v>
      </c>
      <c r="J2556" s="45">
        <v>5000</v>
      </c>
      <c r="K2556" s="49" t="s">
        <v>5018</v>
      </c>
      <c r="L2556" s="45"/>
      <c r="M2556" s="3"/>
    </row>
    <row r="2557" spans="1:13" ht="25.5" x14ac:dyDescent="0.25">
      <c r="A2557" s="46" t="s">
        <v>5147</v>
      </c>
      <c r="B2557" s="46" t="s">
        <v>11647</v>
      </c>
      <c r="C2557" s="46" t="s">
        <v>14</v>
      </c>
      <c r="D2557" s="47">
        <v>1634</v>
      </c>
      <c r="E2557" s="46" t="s">
        <v>5148</v>
      </c>
      <c r="F2557" s="48">
        <v>39428</v>
      </c>
      <c r="G2557" s="48">
        <v>39794</v>
      </c>
      <c r="H2557" s="46" t="s">
        <v>40</v>
      </c>
      <c r="I2557" s="45">
        <v>7500</v>
      </c>
      <c r="J2557" s="45">
        <v>3750</v>
      </c>
      <c r="K2557" s="49" t="s">
        <v>5018</v>
      </c>
      <c r="L2557" s="45"/>
      <c r="M2557" s="3"/>
    </row>
    <row r="2558" spans="1:13" ht="25.5" x14ac:dyDescent="0.25">
      <c r="A2558" s="46" t="s">
        <v>5355</v>
      </c>
      <c r="B2558" s="46" t="s">
        <v>11647</v>
      </c>
      <c r="C2558" s="46" t="s">
        <v>14</v>
      </c>
      <c r="D2558" s="47">
        <v>4572</v>
      </c>
      <c r="E2558" s="46" t="s">
        <v>5356</v>
      </c>
      <c r="F2558" s="48">
        <v>39909</v>
      </c>
      <c r="G2558" s="48">
        <v>40092</v>
      </c>
      <c r="H2558" s="46" t="s">
        <v>40</v>
      </c>
      <c r="I2558" s="45">
        <v>10000</v>
      </c>
      <c r="J2558" s="45">
        <v>5000</v>
      </c>
      <c r="K2558" s="49" t="s">
        <v>5018</v>
      </c>
      <c r="L2558" s="45"/>
      <c r="M2558" s="3"/>
    </row>
    <row r="2559" spans="1:13" x14ac:dyDescent="0.25">
      <c r="A2559" s="46" t="s">
        <v>5359</v>
      </c>
      <c r="B2559" s="46" t="s">
        <v>11647</v>
      </c>
      <c r="C2559" s="46" t="s">
        <v>14</v>
      </c>
      <c r="D2559" s="47">
        <v>5233</v>
      </c>
      <c r="E2559" s="46" t="s">
        <v>5360</v>
      </c>
      <c r="F2559" s="48">
        <v>39867</v>
      </c>
      <c r="G2559" s="48">
        <v>40232</v>
      </c>
      <c r="H2559" s="46" t="s">
        <v>40</v>
      </c>
      <c r="I2559" s="45">
        <v>10000</v>
      </c>
      <c r="J2559" s="45">
        <v>5000</v>
      </c>
      <c r="K2559" s="49" t="s">
        <v>5018</v>
      </c>
      <c r="L2559" s="45"/>
      <c r="M2559" s="3"/>
    </row>
    <row r="2560" spans="1:13" x14ac:dyDescent="0.25">
      <c r="A2560" s="46" t="s">
        <v>5365</v>
      </c>
      <c r="B2560" s="46" t="s">
        <v>11647</v>
      </c>
      <c r="C2560" s="46" t="s">
        <v>14</v>
      </c>
      <c r="D2560" s="47">
        <v>5282</v>
      </c>
      <c r="E2560" s="46" t="s">
        <v>5366</v>
      </c>
      <c r="F2560" s="48">
        <v>39909</v>
      </c>
      <c r="G2560" s="48">
        <v>40274</v>
      </c>
      <c r="H2560" s="46" t="s">
        <v>40</v>
      </c>
      <c r="I2560" s="45">
        <v>10000</v>
      </c>
      <c r="J2560" s="45">
        <v>5000</v>
      </c>
      <c r="K2560" s="49" t="s">
        <v>5018</v>
      </c>
      <c r="L2560" s="45"/>
      <c r="M2560" s="3"/>
    </row>
    <row r="2561" spans="1:13" x14ac:dyDescent="0.25">
      <c r="A2561" s="46" t="s">
        <v>5367</v>
      </c>
      <c r="B2561" s="46" t="s">
        <v>11647</v>
      </c>
      <c r="C2561" s="46" t="s">
        <v>14</v>
      </c>
      <c r="D2561" s="47">
        <v>5283</v>
      </c>
      <c r="E2561" s="46" t="s">
        <v>5368</v>
      </c>
      <c r="F2561" s="48">
        <v>39958</v>
      </c>
      <c r="G2561" s="48">
        <v>40323</v>
      </c>
      <c r="H2561" s="46" t="s">
        <v>40</v>
      </c>
      <c r="I2561" s="45">
        <v>10000</v>
      </c>
      <c r="J2561" s="45">
        <v>5000</v>
      </c>
      <c r="K2561" s="49" t="s">
        <v>5018</v>
      </c>
      <c r="L2561" s="45"/>
      <c r="M2561" s="3"/>
    </row>
    <row r="2562" spans="1:13" ht="51" x14ac:dyDescent="0.25">
      <c r="A2562" s="46" t="s">
        <v>5461</v>
      </c>
      <c r="B2562" s="46" t="s">
        <v>11647</v>
      </c>
      <c r="C2562" s="46" t="s">
        <v>14</v>
      </c>
      <c r="D2562" s="47">
        <v>7361</v>
      </c>
      <c r="E2562" s="50" t="s">
        <v>5462</v>
      </c>
      <c r="F2562" s="48">
        <v>40322</v>
      </c>
      <c r="G2562" s="48">
        <v>40543</v>
      </c>
      <c r="H2562" s="46" t="s">
        <v>40</v>
      </c>
      <c r="I2562" s="45">
        <v>10000</v>
      </c>
      <c r="J2562" s="45">
        <v>5000</v>
      </c>
      <c r="K2562" s="49" t="s">
        <v>5018</v>
      </c>
      <c r="L2562" s="45"/>
      <c r="M2562" s="3"/>
    </row>
    <row r="2563" spans="1:13" ht="25.5" x14ac:dyDescent="0.25">
      <c r="A2563" s="46" t="s">
        <v>5477</v>
      </c>
      <c r="B2563" s="46" t="s">
        <v>11647</v>
      </c>
      <c r="C2563" s="46" t="s">
        <v>14</v>
      </c>
      <c r="D2563" s="47">
        <v>7376</v>
      </c>
      <c r="E2563" s="46" t="s">
        <v>5478</v>
      </c>
      <c r="F2563" s="48">
        <v>40365</v>
      </c>
      <c r="G2563" s="48">
        <v>40534</v>
      </c>
      <c r="H2563" s="46" t="s">
        <v>40</v>
      </c>
      <c r="I2563" s="45">
        <v>40000</v>
      </c>
      <c r="J2563" s="45">
        <v>20000</v>
      </c>
      <c r="K2563" s="49" t="s">
        <v>5018</v>
      </c>
      <c r="L2563" s="45"/>
      <c r="M2563" s="3"/>
    </row>
    <row r="2564" spans="1:13" x14ac:dyDescent="0.25">
      <c r="A2564" s="46" t="s">
        <v>5481</v>
      </c>
      <c r="B2564" s="46" t="s">
        <v>11647</v>
      </c>
      <c r="C2564" s="46" t="s">
        <v>14</v>
      </c>
      <c r="D2564" s="47">
        <v>7430</v>
      </c>
      <c r="E2564" s="46" t="s">
        <v>5482</v>
      </c>
      <c r="F2564" s="48">
        <v>40308</v>
      </c>
      <c r="G2564" s="48">
        <v>40317</v>
      </c>
      <c r="H2564" s="46" t="s">
        <v>40</v>
      </c>
      <c r="I2564" s="45">
        <v>10000</v>
      </c>
      <c r="J2564" s="45">
        <v>5000</v>
      </c>
      <c r="K2564" s="49" t="s">
        <v>5018</v>
      </c>
      <c r="L2564" s="45"/>
      <c r="M2564" s="3"/>
    </row>
    <row r="2565" spans="1:13" x14ac:dyDescent="0.25">
      <c r="A2565" s="46" t="s">
        <v>5568</v>
      </c>
      <c r="B2565" s="46" t="s">
        <v>11647</v>
      </c>
      <c r="C2565" s="46" t="s">
        <v>14</v>
      </c>
      <c r="D2565" s="47">
        <v>9216</v>
      </c>
      <c r="E2565" s="46" t="s">
        <v>5569</v>
      </c>
      <c r="F2565" s="48">
        <v>40644</v>
      </c>
      <c r="G2565" s="48">
        <v>40841</v>
      </c>
      <c r="H2565" s="46" t="s">
        <v>40</v>
      </c>
      <c r="I2565" s="45">
        <v>20000</v>
      </c>
      <c r="J2565" s="45">
        <v>10000</v>
      </c>
      <c r="K2565" s="49" t="s">
        <v>5018</v>
      </c>
      <c r="L2565" s="45"/>
      <c r="M2565" s="3"/>
    </row>
    <row r="2566" spans="1:13" ht="25.5" x14ac:dyDescent="0.25">
      <c r="A2566" s="46" t="s">
        <v>5576</v>
      </c>
      <c r="B2566" s="46" t="s">
        <v>11647</v>
      </c>
      <c r="C2566" s="46" t="s">
        <v>14</v>
      </c>
      <c r="D2566" s="47">
        <v>9249</v>
      </c>
      <c r="E2566" s="46" t="s">
        <v>5577</v>
      </c>
      <c r="F2566" s="48">
        <v>40686</v>
      </c>
      <c r="G2566" s="48">
        <v>40892</v>
      </c>
      <c r="H2566" s="46" t="s">
        <v>40</v>
      </c>
      <c r="I2566" s="45">
        <v>12000</v>
      </c>
      <c r="J2566" s="45">
        <v>6000</v>
      </c>
      <c r="K2566" s="49" t="s">
        <v>5018</v>
      </c>
      <c r="L2566" s="45"/>
      <c r="M2566" s="3"/>
    </row>
    <row r="2567" spans="1:13" ht="25.5" x14ac:dyDescent="0.25">
      <c r="A2567" s="46" t="s">
        <v>5582</v>
      </c>
      <c r="B2567" s="46" t="s">
        <v>11647</v>
      </c>
      <c r="C2567" s="46" t="s">
        <v>14</v>
      </c>
      <c r="D2567" s="47">
        <v>9252</v>
      </c>
      <c r="E2567" s="46" t="s">
        <v>5583</v>
      </c>
      <c r="F2567" s="48">
        <v>40686</v>
      </c>
      <c r="G2567" s="48">
        <v>40869</v>
      </c>
      <c r="H2567" s="46" t="s">
        <v>40</v>
      </c>
      <c r="I2567" s="45">
        <v>7559.02</v>
      </c>
      <c r="J2567" s="45">
        <v>3779.51</v>
      </c>
      <c r="K2567" s="49" t="s">
        <v>5018</v>
      </c>
      <c r="L2567" s="45"/>
      <c r="M2567" s="3"/>
    </row>
    <row r="2568" spans="1:13" x14ac:dyDescent="0.25">
      <c r="A2568" s="46" t="s">
        <v>5588</v>
      </c>
      <c r="B2568" s="46" t="s">
        <v>11647</v>
      </c>
      <c r="C2568" s="46" t="s">
        <v>14</v>
      </c>
      <c r="D2568" s="47">
        <v>9255</v>
      </c>
      <c r="E2568" s="46" t="s">
        <v>5589</v>
      </c>
      <c r="F2568" s="48">
        <v>40644</v>
      </c>
      <c r="G2568" s="48">
        <v>40898</v>
      </c>
      <c r="H2568" s="46" t="s">
        <v>40</v>
      </c>
      <c r="I2568" s="45">
        <v>19900</v>
      </c>
      <c r="J2568" s="45">
        <v>9950</v>
      </c>
      <c r="K2568" s="49" t="s">
        <v>5018</v>
      </c>
      <c r="L2568" s="45"/>
      <c r="M2568" s="3"/>
    </row>
    <row r="2569" spans="1:13" ht="25.5" x14ac:dyDescent="0.25">
      <c r="A2569" s="46" t="s">
        <v>5929</v>
      </c>
      <c r="B2569" s="46" t="s">
        <v>11647</v>
      </c>
      <c r="C2569" s="46" t="s">
        <v>14</v>
      </c>
      <c r="D2569" s="47">
        <v>653</v>
      </c>
      <c r="E2569" s="46" t="s">
        <v>5930</v>
      </c>
      <c r="F2569" s="48">
        <v>39706</v>
      </c>
      <c r="G2569" s="48">
        <v>39813</v>
      </c>
      <c r="H2569" s="46" t="s">
        <v>40</v>
      </c>
      <c r="I2569" s="45">
        <v>10000</v>
      </c>
      <c r="J2569" s="45">
        <v>5000</v>
      </c>
      <c r="K2569" s="49" t="s">
        <v>5815</v>
      </c>
      <c r="L2569" s="45"/>
      <c r="M2569" s="3"/>
    </row>
    <row r="2570" spans="1:13" ht="25.5" x14ac:dyDescent="0.25">
      <c r="A2570" s="46" t="s">
        <v>5931</v>
      </c>
      <c r="B2570" s="46" t="s">
        <v>11647</v>
      </c>
      <c r="C2570" s="46" t="s">
        <v>14</v>
      </c>
      <c r="D2570" s="47">
        <v>654</v>
      </c>
      <c r="E2570" s="46" t="s">
        <v>5932</v>
      </c>
      <c r="F2570" s="48">
        <v>39716</v>
      </c>
      <c r="G2570" s="48">
        <v>39813</v>
      </c>
      <c r="H2570" s="46" t="s">
        <v>40</v>
      </c>
      <c r="I2570" s="45">
        <v>2987.5</v>
      </c>
      <c r="J2570" s="45">
        <v>1493.75</v>
      </c>
      <c r="K2570" s="49" t="s">
        <v>5815</v>
      </c>
      <c r="L2570" s="45"/>
      <c r="M2570" s="3"/>
    </row>
    <row r="2571" spans="1:13" ht="25.5" x14ac:dyDescent="0.25">
      <c r="A2571" s="46" t="s">
        <v>5933</v>
      </c>
      <c r="B2571" s="46" t="s">
        <v>11647</v>
      </c>
      <c r="C2571" s="46" t="s">
        <v>14</v>
      </c>
      <c r="D2571" s="47">
        <v>655</v>
      </c>
      <c r="E2571" s="46" t="s">
        <v>5934</v>
      </c>
      <c r="F2571" s="48">
        <v>39744</v>
      </c>
      <c r="G2571" s="48">
        <v>39813</v>
      </c>
      <c r="H2571" s="46" t="s">
        <v>40</v>
      </c>
      <c r="I2571" s="45">
        <v>10200</v>
      </c>
      <c r="J2571" s="45">
        <v>5100</v>
      </c>
      <c r="K2571" s="49" t="s">
        <v>5815</v>
      </c>
      <c r="L2571" s="45"/>
      <c r="M2571" s="3"/>
    </row>
    <row r="2572" spans="1:13" ht="25.5" x14ac:dyDescent="0.25">
      <c r="A2572" s="46" t="s">
        <v>5935</v>
      </c>
      <c r="B2572" s="46" t="s">
        <v>11647</v>
      </c>
      <c r="C2572" s="46" t="s">
        <v>14</v>
      </c>
      <c r="D2572" s="47">
        <v>656</v>
      </c>
      <c r="E2572" s="46" t="s">
        <v>5936</v>
      </c>
      <c r="F2572" s="48">
        <v>39790</v>
      </c>
      <c r="G2572" s="48">
        <v>39813</v>
      </c>
      <c r="H2572" s="46" t="s">
        <v>40</v>
      </c>
      <c r="I2572" s="45">
        <v>10200</v>
      </c>
      <c r="J2572" s="45">
        <v>5100</v>
      </c>
      <c r="K2572" s="49" t="s">
        <v>5815</v>
      </c>
      <c r="L2572" s="45"/>
      <c r="M2572" s="3"/>
    </row>
    <row r="2573" spans="1:13" ht="25.5" x14ac:dyDescent="0.25">
      <c r="A2573" s="46" t="s">
        <v>5937</v>
      </c>
      <c r="B2573" s="46" t="s">
        <v>11647</v>
      </c>
      <c r="C2573" s="46" t="s">
        <v>14</v>
      </c>
      <c r="D2573" s="47">
        <v>657</v>
      </c>
      <c r="E2573" s="46" t="s">
        <v>5938</v>
      </c>
      <c r="F2573" s="48">
        <v>39804</v>
      </c>
      <c r="G2573" s="48">
        <v>39813</v>
      </c>
      <c r="H2573" s="46" t="s">
        <v>40</v>
      </c>
      <c r="I2573" s="45">
        <v>10200</v>
      </c>
      <c r="J2573" s="45">
        <v>5100</v>
      </c>
      <c r="K2573" s="49" t="s">
        <v>5815</v>
      </c>
      <c r="L2573" s="45"/>
      <c r="M2573" s="3"/>
    </row>
    <row r="2574" spans="1:13" x14ac:dyDescent="0.25">
      <c r="A2574" s="46" t="s">
        <v>6030</v>
      </c>
      <c r="B2574" s="46" t="s">
        <v>11647</v>
      </c>
      <c r="C2574" s="46" t="s">
        <v>14</v>
      </c>
      <c r="D2574" s="47">
        <v>5228</v>
      </c>
      <c r="E2574" s="46" t="s">
        <v>6031</v>
      </c>
      <c r="F2574" s="48">
        <v>39845</v>
      </c>
      <c r="G2574" s="48">
        <v>39853</v>
      </c>
      <c r="H2574" s="46" t="s">
        <v>40</v>
      </c>
      <c r="I2574" s="45">
        <v>6000</v>
      </c>
      <c r="J2574" s="45">
        <v>3000</v>
      </c>
      <c r="K2574" s="49" t="s">
        <v>5815</v>
      </c>
      <c r="L2574" s="45"/>
      <c r="M2574" s="3"/>
    </row>
    <row r="2575" spans="1:13" x14ac:dyDescent="0.25">
      <c r="A2575" s="46" t="s">
        <v>6050</v>
      </c>
      <c r="B2575" s="46" t="s">
        <v>11647</v>
      </c>
      <c r="C2575" s="46" t="s">
        <v>14</v>
      </c>
      <c r="D2575" s="47">
        <v>5350</v>
      </c>
      <c r="E2575" s="46" t="s">
        <v>6051</v>
      </c>
      <c r="F2575" s="48">
        <v>39823</v>
      </c>
      <c r="G2575" s="48">
        <v>40009</v>
      </c>
      <c r="H2575" s="46" t="s">
        <v>40</v>
      </c>
      <c r="I2575" s="45">
        <v>10000</v>
      </c>
      <c r="J2575" s="45">
        <v>5000</v>
      </c>
      <c r="K2575" s="49" t="s">
        <v>5815</v>
      </c>
      <c r="L2575" s="45"/>
      <c r="M2575" s="3"/>
    </row>
    <row r="2576" spans="1:13" x14ac:dyDescent="0.25">
      <c r="A2576" s="46" t="s">
        <v>6052</v>
      </c>
      <c r="B2576" s="46" t="s">
        <v>11647</v>
      </c>
      <c r="C2576" s="46" t="s">
        <v>14</v>
      </c>
      <c r="D2576" s="47">
        <v>5353</v>
      </c>
      <c r="E2576" s="46" t="s">
        <v>6053</v>
      </c>
      <c r="F2576" s="48">
        <v>40135</v>
      </c>
      <c r="G2576" s="48">
        <v>40248</v>
      </c>
      <c r="H2576" s="46" t="s">
        <v>40</v>
      </c>
      <c r="I2576" s="45">
        <v>10200</v>
      </c>
      <c r="J2576" s="45">
        <v>5100</v>
      </c>
      <c r="K2576" s="49" t="s">
        <v>5815</v>
      </c>
      <c r="L2576" s="45"/>
      <c r="M2576" s="3"/>
    </row>
    <row r="2577" spans="1:13" ht="25.5" x14ac:dyDescent="0.25">
      <c r="A2577" s="46" t="s">
        <v>6054</v>
      </c>
      <c r="B2577" s="46" t="s">
        <v>11647</v>
      </c>
      <c r="C2577" s="46" t="s">
        <v>14</v>
      </c>
      <c r="D2577" s="47">
        <v>5388</v>
      </c>
      <c r="E2577" s="46" t="s">
        <v>6055</v>
      </c>
      <c r="F2577" s="48">
        <v>39823</v>
      </c>
      <c r="G2577" s="48">
        <v>39892</v>
      </c>
      <c r="H2577" s="46" t="s">
        <v>40</v>
      </c>
      <c r="I2577" s="45">
        <v>8800</v>
      </c>
      <c r="J2577" s="45">
        <v>4400</v>
      </c>
      <c r="K2577" s="49" t="s">
        <v>5815</v>
      </c>
      <c r="L2577" s="45"/>
      <c r="M2577" s="3"/>
    </row>
    <row r="2578" spans="1:13" x14ac:dyDescent="0.25">
      <c r="A2578" s="46" t="s">
        <v>6056</v>
      </c>
      <c r="B2578" s="46" t="s">
        <v>11647</v>
      </c>
      <c r="C2578" s="46" t="s">
        <v>14</v>
      </c>
      <c r="D2578" s="47">
        <v>5390</v>
      </c>
      <c r="E2578" s="46" t="s">
        <v>6057</v>
      </c>
      <c r="F2578" s="48">
        <v>39967</v>
      </c>
      <c r="G2578" s="48">
        <v>40178</v>
      </c>
      <c r="H2578" s="46" t="s">
        <v>40</v>
      </c>
      <c r="I2578" s="45">
        <v>10200</v>
      </c>
      <c r="J2578" s="45">
        <v>5100</v>
      </c>
      <c r="K2578" s="49" t="s">
        <v>5815</v>
      </c>
      <c r="L2578" s="45"/>
      <c r="M2578" s="3"/>
    </row>
    <row r="2579" spans="1:13" ht="25.5" x14ac:dyDescent="0.25">
      <c r="A2579" s="46" t="s">
        <v>6068</v>
      </c>
      <c r="B2579" s="46" t="s">
        <v>11647</v>
      </c>
      <c r="C2579" s="46" t="s">
        <v>14</v>
      </c>
      <c r="D2579" s="47">
        <v>7767</v>
      </c>
      <c r="E2579" s="46" t="s">
        <v>6069</v>
      </c>
      <c r="F2579" s="48">
        <v>39867</v>
      </c>
      <c r="G2579" s="48">
        <v>40248</v>
      </c>
      <c r="H2579" s="46" t="s">
        <v>40</v>
      </c>
      <c r="I2579" s="45">
        <v>6000</v>
      </c>
      <c r="J2579" s="45">
        <v>3000</v>
      </c>
      <c r="K2579" s="49" t="s">
        <v>5815</v>
      </c>
      <c r="L2579" s="45"/>
      <c r="M2579" s="3"/>
    </row>
    <row r="2580" spans="1:13" ht="25.5" x14ac:dyDescent="0.25">
      <c r="A2580" s="46" t="s">
        <v>6070</v>
      </c>
      <c r="B2580" s="46" t="s">
        <v>11647</v>
      </c>
      <c r="C2580" s="46" t="s">
        <v>14</v>
      </c>
      <c r="D2580" s="47">
        <v>7768</v>
      </c>
      <c r="E2580" s="46" t="s">
        <v>6071</v>
      </c>
      <c r="F2580" s="48">
        <v>39993</v>
      </c>
      <c r="G2580" s="48">
        <v>40283</v>
      </c>
      <c r="H2580" s="46" t="s">
        <v>40</v>
      </c>
      <c r="I2580" s="45">
        <v>10000</v>
      </c>
      <c r="J2580" s="45">
        <v>5000</v>
      </c>
      <c r="K2580" s="49" t="s">
        <v>5815</v>
      </c>
      <c r="L2580" s="45"/>
      <c r="M2580" s="3"/>
    </row>
    <row r="2581" spans="1:13" ht="25.5" x14ac:dyDescent="0.25">
      <c r="A2581" s="46" t="s">
        <v>6072</v>
      </c>
      <c r="B2581" s="46" t="s">
        <v>11647</v>
      </c>
      <c r="C2581" s="46" t="s">
        <v>14</v>
      </c>
      <c r="D2581" s="47">
        <v>7782</v>
      </c>
      <c r="E2581" s="46" t="s">
        <v>6073</v>
      </c>
      <c r="F2581" s="48">
        <v>40134</v>
      </c>
      <c r="G2581" s="48">
        <v>40387</v>
      </c>
      <c r="H2581" s="46" t="s">
        <v>40</v>
      </c>
      <c r="I2581" s="45">
        <v>14999.67</v>
      </c>
      <c r="J2581" s="45">
        <v>3838</v>
      </c>
      <c r="K2581" s="49" t="s">
        <v>5815</v>
      </c>
      <c r="L2581" s="45"/>
      <c r="M2581" s="3"/>
    </row>
    <row r="2582" spans="1:13" x14ac:dyDescent="0.25">
      <c r="A2582" s="46" t="s">
        <v>6074</v>
      </c>
      <c r="B2582" s="46" t="s">
        <v>11647</v>
      </c>
      <c r="C2582" s="46" t="s">
        <v>14</v>
      </c>
      <c r="D2582" s="47">
        <v>7784</v>
      </c>
      <c r="E2582" s="46" t="s">
        <v>6075</v>
      </c>
      <c r="F2582" s="48">
        <v>40134</v>
      </c>
      <c r="G2582" s="48">
        <v>40521</v>
      </c>
      <c r="H2582" s="46" t="s">
        <v>40</v>
      </c>
      <c r="I2582" s="45">
        <v>9301.9599999999991</v>
      </c>
      <c r="J2582" s="45">
        <v>4650.9799999999996</v>
      </c>
      <c r="K2582" s="49" t="s">
        <v>5815</v>
      </c>
      <c r="L2582" s="45"/>
      <c r="M2582" s="3"/>
    </row>
    <row r="2583" spans="1:13" ht="25.5" x14ac:dyDescent="0.25">
      <c r="A2583" s="46" t="s">
        <v>6098</v>
      </c>
      <c r="B2583" s="46" t="s">
        <v>11647</v>
      </c>
      <c r="C2583" s="46" t="s">
        <v>14</v>
      </c>
      <c r="D2583" s="47">
        <v>8670</v>
      </c>
      <c r="E2583" s="46" t="s">
        <v>6099</v>
      </c>
      <c r="F2583" s="48">
        <v>40294</v>
      </c>
      <c r="G2583" s="48">
        <v>40603</v>
      </c>
      <c r="H2583" s="46" t="s">
        <v>40</v>
      </c>
      <c r="I2583" s="45">
        <v>6656.68</v>
      </c>
      <c r="J2583" s="45">
        <v>1664.17</v>
      </c>
      <c r="K2583" s="49" t="s">
        <v>5815</v>
      </c>
      <c r="L2583" s="45"/>
      <c r="M2583" s="3"/>
    </row>
    <row r="2584" spans="1:13" ht="38.25" x14ac:dyDescent="0.25">
      <c r="A2584" s="46" t="s">
        <v>6108</v>
      </c>
      <c r="B2584" s="46" t="s">
        <v>11647</v>
      </c>
      <c r="C2584" s="46" t="s">
        <v>14</v>
      </c>
      <c r="D2584" s="47">
        <v>8714</v>
      </c>
      <c r="E2584" s="46" t="s">
        <v>6109</v>
      </c>
      <c r="F2584" s="48">
        <v>40808</v>
      </c>
      <c r="G2584" s="48">
        <v>40808</v>
      </c>
      <c r="H2584" s="46" t="s">
        <v>40</v>
      </c>
      <c r="I2584" s="45">
        <v>8289</v>
      </c>
      <c r="J2584" s="45">
        <v>4145</v>
      </c>
      <c r="K2584" s="49" t="s">
        <v>5815</v>
      </c>
      <c r="L2584" s="45"/>
      <c r="M2584" s="3"/>
    </row>
    <row r="2585" spans="1:13" ht="25.5" x14ac:dyDescent="0.25">
      <c r="A2585" s="46" t="s">
        <v>6138</v>
      </c>
      <c r="B2585" s="46" t="s">
        <v>11647</v>
      </c>
      <c r="C2585" s="46" t="s">
        <v>14</v>
      </c>
      <c r="D2585" s="47">
        <v>10584</v>
      </c>
      <c r="E2585" s="46" t="s">
        <v>6139</v>
      </c>
      <c r="F2585" s="48">
        <v>40812</v>
      </c>
      <c r="G2585" s="48">
        <v>41088</v>
      </c>
      <c r="H2585" s="46" t="s">
        <v>40</v>
      </c>
      <c r="I2585" s="45">
        <v>8111.9</v>
      </c>
      <c r="J2585" s="45">
        <v>4055.9</v>
      </c>
      <c r="K2585" s="49" t="s">
        <v>5815</v>
      </c>
      <c r="L2585" s="45"/>
      <c r="M2585" s="3"/>
    </row>
    <row r="2586" spans="1:13" ht="25.5" x14ac:dyDescent="0.25">
      <c r="A2586" s="46" t="s">
        <v>6140</v>
      </c>
      <c r="B2586" s="46" t="s">
        <v>11647</v>
      </c>
      <c r="C2586" s="46" t="s">
        <v>14</v>
      </c>
      <c r="D2586" s="47">
        <v>10585</v>
      </c>
      <c r="E2586" s="46" t="s">
        <v>6141</v>
      </c>
      <c r="F2586" s="48">
        <v>40651</v>
      </c>
      <c r="G2586" s="48">
        <v>41088</v>
      </c>
      <c r="H2586" s="46" t="s">
        <v>40</v>
      </c>
      <c r="I2586" s="45">
        <v>7423.06</v>
      </c>
      <c r="J2586" s="45">
        <v>3711.53</v>
      </c>
      <c r="K2586" s="49" t="s">
        <v>5815</v>
      </c>
      <c r="L2586" s="45"/>
      <c r="M2586" s="3"/>
    </row>
    <row r="2587" spans="1:13" ht="25.5" x14ac:dyDescent="0.25">
      <c r="A2587" s="46" t="s">
        <v>6142</v>
      </c>
      <c r="B2587" s="46" t="s">
        <v>11647</v>
      </c>
      <c r="C2587" s="46" t="s">
        <v>14</v>
      </c>
      <c r="D2587" s="47">
        <v>10586</v>
      </c>
      <c r="E2587" s="46" t="s">
        <v>6143</v>
      </c>
      <c r="F2587" s="48">
        <v>40984</v>
      </c>
      <c r="G2587" s="48">
        <v>41241</v>
      </c>
      <c r="H2587" s="46" t="s">
        <v>40</v>
      </c>
      <c r="I2587" s="45">
        <v>39843.980000000003</v>
      </c>
      <c r="J2587" s="45">
        <v>19922</v>
      </c>
      <c r="K2587" s="49" t="s">
        <v>5815</v>
      </c>
      <c r="L2587" s="45"/>
      <c r="M2587" s="3"/>
    </row>
    <row r="2588" spans="1:13" x14ac:dyDescent="0.25">
      <c r="A2588" s="46" t="s">
        <v>6144</v>
      </c>
      <c r="B2588" s="46" t="s">
        <v>11647</v>
      </c>
      <c r="C2588" s="46" t="s">
        <v>14</v>
      </c>
      <c r="D2588" s="47">
        <v>10587</v>
      </c>
      <c r="E2588" s="46" t="s">
        <v>6145</v>
      </c>
      <c r="F2588" s="48">
        <v>41060</v>
      </c>
      <c r="G2588" s="48">
        <v>41213</v>
      </c>
      <c r="H2588" s="46" t="s">
        <v>40</v>
      </c>
      <c r="I2588" s="45">
        <v>20000</v>
      </c>
      <c r="J2588" s="45">
        <v>10000</v>
      </c>
      <c r="K2588" s="49" t="s">
        <v>5815</v>
      </c>
      <c r="L2588" s="45"/>
      <c r="M2588" s="3"/>
    </row>
    <row r="2589" spans="1:13" x14ac:dyDescent="0.25">
      <c r="A2589" s="46" t="s">
        <v>6590</v>
      </c>
      <c r="B2589" s="46" t="s">
        <v>11647</v>
      </c>
      <c r="C2589" s="46" t="s">
        <v>14</v>
      </c>
      <c r="D2589" s="47">
        <v>9002</v>
      </c>
      <c r="E2589" s="46" t="s">
        <v>6591</v>
      </c>
      <c r="F2589" s="48">
        <v>40686</v>
      </c>
      <c r="G2589" s="46"/>
      <c r="H2589" s="46" t="s">
        <v>40</v>
      </c>
      <c r="I2589" s="45">
        <v>3937.72</v>
      </c>
      <c r="J2589" s="45">
        <v>1968.86</v>
      </c>
      <c r="K2589" s="49" t="s">
        <v>6182</v>
      </c>
      <c r="L2589" s="45"/>
      <c r="M2589" s="3"/>
    </row>
    <row r="2590" spans="1:13" ht="38.25" x14ac:dyDescent="0.25">
      <c r="A2590" s="46" t="s">
        <v>6592</v>
      </c>
      <c r="B2590" s="46" t="s">
        <v>11647</v>
      </c>
      <c r="C2590" s="46" t="s">
        <v>14</v>
      </c>
      <c r="D2590" s="47">
        <v>9003</v>
      </c>
      <c r="E2590" s="46" t="s">
        <v>6593</v>
      </c>
      <c r="F2590" s="48">
        <v>40322</v>
      </c>
      <c r="G2590" s="46"/>
      <c r="H2590" s="46" t="s">
        <v>40</v>
      </c>
      <c r="I2590" s="45">
        <v>6018.86</v>
      </c>
      <c r="J2590" s="45">
        <v>3009.43</v>
      </c>
      <c r="K2590" s="49" t="s">
        <v>6182</v>
      </c>
      <c r="L2590" s="45"/>
      <c r="M2590" s="3"/>
    </row>
    <row r="2591" spans="1:13" ht="25.5" x14ac:dyDescent="0.25">
      <c r="A2591" s="46" t="s">
        <v>6596</v>
      </c>
      <c r="B2591" s="46" t="s">
        <v>11647</v>
      </c>
      <c r="C2591" s="46" t="s">
        <v>14</v>
      </c>
      <c r="D2591" s="47">
        <v>9005</v>
      </c>
      <c r="E2591" s="46" t="s">
        <v>6597</v>
      </c>
      <c r="F2591" s="48">
        <v>40686</v>
      </c>
      <c r="G2591" s="46"/>
      <c r="H2591" s="46" t="s">
        <v>40</v>
      </c>
      <c r="I2591" s="45">
        <v>9704</v>
      </c>
      <c r="J2591" s="45">
        <v>4852</v>
      </c>
      <c r="K2591" s="49" t="s">
        <v>6182</v>
      </c>
      <c r="L2591" s="45"/>
      <c r="M2591" s="3"/>
    </row>
    <row r="2592" spans="1:13" x14ac:dyDescent="0.25">
      <c r="A2592" s="46" t="s">
        <v>6781</v>
      </c>
      <c r="B2592" s="46" t="s">
        <v>11647</v>
      </c>
      <c r="C2592" s="46" t="s">
        <v>14</v>
      </c>
      <c r="D2592" s="47">
        <v>3194</v>
      </c>
      <c r="E2592" s="46" t="s">
        <v>6782</v>
      </c>
      <c r="F2592" s="48">
        <v>39151</v>
      </c>
      <c r="G2592" s="48">
        <v>39216</v>
      </c>
      <c r="H2592" s="46" t="s">
        <v>40</v>
      </c>
      <c r="I2592" s="45">
        <v>458</v>
      </c>
      <c r="J2592" s="45">
        <v>229</v>
      </c>
      <c r="K2592" s="49" t="s">
        <v>6720</v>
      </c>
      <c r="L2592" s="45"/>
      <c r="M2592" s="3"/>
    </row>
    <row r="2593" spans="1:13" x14ac:dyDescent="0.25">
      <c r="A2593" s="46" t="s">
        <v>6783</v>
      </c>
      <c r="B2593" s="46" t="s">
        <v>11647</v>
      </c>
      <c r="C2593" s="46" t="s">
        <v>14</v>
      </c>
      <c r="D2593" s="47">
        <v>3195</v>
      </c>
      <c r="E2593" s="46" t="s">
        <v>6784</v>
      </c>
      <c r="F2593" s="48">
        <v>39248</v>
      </c>
      <c r="G2593" s="48">
        <v>39378</v>
      </c>
      <c r="H2593" s="46" t="s">
        <v>40</v>
      </c>
      <c r="I2593" s="45">
        <v>3759.06</v>
      </c>
      <c r="J2593" s="45">
        <v>1879.53</v>
      </c>
      <c r="K2593" s="49" t="s">
        <v>6720</v>
      </c>
      <c r="L2593" s="45"/>
      <c r="M2593" s="3"/>
    </row>
    <row r="2594" spans="1:13" x14ac:dyDescent="0.25">
      <c r="A2594" s="46" t="s">
        <v>6797</v>
      </c>
      <c r="B2594" s="46" t="s">
        <v>11647</v>
      </c>
      <c r="C2594" s="46" t="s">
        <v>14</v>
      </c>
      <c r="D2594" s="47">
        <v>3202</v>
      </c>
      <c r="E2594" s="46" t="s">
        <v>6798</v>
      </c>
      <c r="F2594" s="48">
        <v>39611</v>
      </c>
      <c r="G2594" s="48">
        <v>39616</v>
      </c>
      <c r="H2594" s="46" t="s">
        <v>40</v>
      </c>
      <c r="I2594" s="45">
        <v>2136</v>
      </c>
      <c r="J2594" s="45">
        <v>1068</v>
      </c>
      <c r="K2594" s="49" t="s">
        <v>6720</v>
      </c>
      <c r="L2594" s="45"/>
      <c r="M2594" s="3"/>
    </row>
    <row r="2595" spans="1:13" x14ac:dyDescent="0.25">
      <c r="A2595" s="46" t="s">
        <v>6811</v>
      </c>
      <c r="B2595" s="46" t="s">
        <v>11647</v>
      </c>
      <c r="C2595" s="46" t="s">
        <v>14</v>
      </c>
      <c r="D2595" s="47">
        <v>3268</v>
      </c>
      <c r="E2595" s="46" t="s">
        <v>6812</v>
      </c>
      <c r="F2595" s="48">
        <v>39567</v>
      </c>
      <c r="G2595" s="48">
        <v>39587</v>
      </c>
      <c r="H2595" s="46" t="s">
        <v>40</v>
      </c>
      <c r="I2595" s="45">
        <v>10200</v>
      </c>
      <c r="J2595" s="45">
        <v>5100</v>
      </c>
      <c r="K2595" s="49" t="s">
        <v>6720</v>
      </c>
      <c r="L2595" s="45"/>
      <c r="M2595" s="3"/>
    </row>
    <row r="2596" spans="1:13" x14ac:dyDescent="0.25">
      <c r="A2596" s="46" t="s">
        <v>6932</v>
      </c>
      <c r="B2596" s="46" t="s">
        <v>11647</v>
      </c>
      <c r="C2596" s="46" t="s">
        <v>14</v>
      </c>
      <c r="D2596" s="47">
        <v>5934</v>
      </c>
      <c r="E2596" s="46" t="s">
        <v>6933</v>
      </c>
      <c r="F2596" s="48">
        <v>40102</v>
      </c>
      <c r="G2596" s="48">
        <v>40125</v>
      </c>
      <c r="H2596" s="46" t="s">
        <v>40</v>
      </c>
      <c r="I2596" s="45">
        <v>10200</v>
      </c>
      <c r="J2596" s="45">
        <v>5100</v>
      </c>
      <c r="K2596" s="49" t="s">
        <v>6720</v>
      </c>
      <c r="L2596" s="45"/>
      <c r="M2596" s="3"/>
    </row>
    <row r="2597" spans="1:13" x14ac:dyDescent="0.25">
      <c r="A2597" s="46" t="s">
        <v>6934</v>
      </c>
      <c r="B2597" s="46" t="s">
        <v>11647</v>
      </c>
      <c r="C2597" s="46" t="s">
        <v>14</v>
      </c>
      <c r="D2597" s="47">
        <v>5935</v>
      </c>
      <c r="E2597" s="46" t="s">
        <v>6935</v>
      </c>
      <c r="F2597" s="48">
        <v>40129</v>
      </c>
      <c r="G2597" s="48">
        <v>40133</v>
      </c>
      <c r="H2597" s="46" t="s">
        <v>40</v>
      </c>
      <c r="I2597" s="45">
        <v>10200</v>
      </c>
      <c r="J2597" s="45">
        <v>5100</v>
      </c>
      <c r="K2597" s="49" t="s">
        <v>6720</v>
      </c>
      <c r="L2597" s="45"/>
      <c r="M2597" s="3"/>
    </row>
    <row r="2598" spans="1:13" x14ac:dyDescent="0.25">
      <c r="A2598" s="46" t="s">
        <v>6938</v>
      </c>
      <c r="B2598" s="46" t="s">
        <v>11647</v>
      </c>
      <c r="C2598" s="46" t="s">
        <v>14</v>
      </c>
      <c r="D2598" s="47">
        <v>5939</v>
      </c>
      <c r="E2598" s="46" t="s">
        <v>6939</v>
      </c>
      <c r="F2598" s="48">
        <v>40057</v>
      </c>
      <c r="G2598" s="48">
        <v>40908</v>
      </c>
      <c r="H2598" s="46" t="s">
        <v>40</v>
      </c>
      <c r="I2598" s="45">
        <v>4958</v>
      </c>
      <c r="J2598" s="45">
        <v>2479</v>
      </c>
      <c r="K2598" s="49" t="s">
        <v>6720</v>
      </c>
      <c r="L2598" s="45"/>
      <c r="M2598" s="3"/>
    </row>
    <row r="2599" spans="1:13" ht="25.5" x14ac:dyDescent="0.25">
      <c r="A2599" s="46" t="s">
        <v>6940</v>
      </c>
      <c r="B2599" s="46" t="s">
        <v>11647</v>
      </c>
      <c r="C2599" s="46" t="s">
        <v>14</v>
      </c>
      <c r="D2599" s="47">
        <v>5940</v>
      </c>
      <c r="E2599" s="46" t="s">
        <v>6941</v>
      </c>
      <c r="F2599" s="48">
        <v>40031</v>
      </c>
      <c r="G2599" s="48">
        <v>40098</v>
      </c>
      <c r="H2599" s="46" t="s">
        <v>40</v>
      </c>
      <c r="I2599" s="45">
        <v>1750</v>
      </c>
      <c r="J2599" s="45">
        <v>875</v>
      </c>
      <c r="K2599" s="49" t="s">
        <v>6720</v>
      </c>
      <c r="L2599" s="45"/>
      <c r="M2599" s="3"/>
    </row>
    <row r="2600" spans="1:13" x14ac:dyDescent="0.25">
      <c r="A2600" s="46" t="s">
        <v>6942</v>
      </c>
      <c r="B2600" s="46" t="s">
        <v>11647</v>
      </c>
      <c r="C2600" s="46" t="s">
        <v>14</v>
      </c>
      <c r="D2600" s="47">
        <v>5942</v>
      </c>
      <c r="E2600" s="46" t="s">
        <v>6943</v>
      </c>
      <c r="F2600" s="48">
        <v>40084</v>
      </c>
      <c r="G2600" s="48">
        <v>40098</v>
      </c>
      <c r="H2600" s="46" t="s">
        <v>40</v>
      </c>
      <c r="I2600" s="45">
        <v>10200</v>
      </c>
      <c r="J2600" s="45">
        <v>5100</v>
      </c>
      <c r="K2600" s="49" t="s">
        <v>6720</v>
      </c>
      <c r="L2600" s="45"/>
      <c r="M2600" s="3"/>
    </row>
    <row r="2601" spans="1:13" ht="25.5" x14ac:dyDescent="0.25">
      <c r="A2601" s="46" t="s">
        <v>6942</v>
      </c>
      <c r="B2601" s="46" t="s">
        <v>11647</v>
      </c>
      <c r="C2601" s="46" t="s">
        <v>14</v>
      </c>
      <c r="D2601" s="47">
        <v>5944</v>
      </c>
      <c r="E2601" s="46" t="s">
        <v>6944</v>
      </c>
      <c r="F2601" s="48">
        <v>40057</v>
      </c>
      <c r="G2601" s="48">
        <v>40071</v>
      </c>
      <c r="H2601" s="46" t="s">
        <v>40</v>
      </c>
      <c r="I2601" s="45">
        <v>9930</v>
      </c>
      <c r="J2601" s="45">
        <v>4965</v>
      </c>
      <c r="K2601" s="49" t="s">
        <v>6720</v>
      </c>
      <c r="L2601" s="45"/>
      <c r="M2601" s="3"/>
    </row>
    <row r="2602" spans="1:13" x14ac:dyDescent="0.25">
      <c r="A2602" s="46" t="s">
        <v>6959</v>
      </c>
      <c r="B2602" s="46" t="s">
        <v>11647</v>
      </c>
      <c r="C2602" s="46" t="s">
        <v>14</v>
      </c>
      <c r="D2602" s="47">
        <v>7119</v>
      </c>
      <c r="E2602" s="46" t="s">
        <v>6960</v>
      </c>
      <c r="F2602" s="48">
        <v>40107</v>
      </c>
      <c r="G2602" s="48">
        <v>40472</v>
      </c>
      <c r="H2602" s="46" t="s">
        <v>40</v>
      </c>
      <c r="I2602" s="45">
        <v>4564</v>
      </c>
      <c r="J2602" s="45">
        <v>2282</v>
      </c>
      <c r="K2602" s="49" t="s">
        <v>6720</v>
      </c>
      <c r="L2602" s="45"/>
      <c r="M2602" s="3"/>
    </row>
    <row r="2603" spans="1:13" ht="25.5" x14ac:dyDescent="0.25">
      <c r="A2603" s="46" t="s">
        <v>6965</v>
      </c>
      <c r="B2603" s="46" t="s">
        <v>11647</v>
      </c>
      <c r="C2603" s="46" t="s">
        <v>14</v>
      </c>
      <c r="D2603" s="47">
        <v>7122</v>
      </c>
      <c r="E2603" s="46" t="s">
        <v>6966</v>
      </c>
      <c r="F2603" s="48">
        <v>40161</v>
      </c>
      <c r="G2603" s="46"/>
      <c r="H2603" s="46" t="s">
        <v>40</v>
      </c>
      <c r="I2603" s="45">
        <v>1310</v>
      </c>
      <c r="J2603" s="45">
        <v>655</v>
      </c>
      <c r="K2603" s="49" t="s">
        <v>6720</v>
      </c>
      <c r="L2603" s="45"/>
      <c r="M2603" s="3"/>
    </row>
    <row r="2604" spans="1:13" ht="25.5" x14ac:dyDescent="0.25">
      <c r="A2604" s="46" t="s">
        <v>6969</v>
      </c>
      <c r="B2604" s="46" t="s">
        <v>11647</v>
      </c>
      <c r="C2604" s="46" t="s">
        <v>14</v>
      </c>
      <c r="D2604" s="47">
        <v>7124</v>
      </c>
      <c r="E2604" s="46" t="s">
        <v>6970</v>
      </c>
      <c r="F2604" s="48">
        <v>40357</v>
      </c>
      <c r="G2604" s="48">
        <v>40908</v>
      </c>
      <c r="H2604" s="46" t="s">
        <v>40</v>
      </c>
      <c r="I2604" s="45">
        <v>3470</v>
      </c>
      <c r="J2604" s="45">
        <v>1735</v>
      </c>
      <c r="K2604" s="49" t="s">
        <v>6720</v>
      </c>
      <c r="L2604" s="45"/>
      <c r="M2604" s="3"/>
    </row>
    <row r="2605" spans="1:13" ht="25.5" x14ac:dyDescent="0.25">
      <c r="A2605" s="46" t="s">
        <v>6981</v>
      </c>
      <c r="B2605" s="46" t="s">
        <v>11647</v>
      </c>
      <c r="C2605" s="46" t="s">
        <v>14</v>
      </c>
      <c r="D2605" s="47">
        <v>7131</v>
      </c>
      <c r="E2605" s="46" t="s">
        <v>6982</v>
      </c>
      <c r="F2605" s="48">
        <v>40231</v>
      </c>
      <c r="G2605" s="48">
        <v>40908</v>
      </c>
      <c r="H2605" s="46" t="s">
        <v>40</v>
      </c>
      <c r="I2605" s="45">
        <v>6313</v>
      </c>
      <c r="J2605" s="45">
        <v>3000</v>
      </c>
      <c r="K2605" s="49" t="s">
        <v>6720</v>
      </c>
      <c r="L2605" s="45"/>
      <c r="M2605" s="3"/>
    </row>
    <row r="2606" spans="1:13" x14ac:dyDescent="0.25">
      <c r="A2606" s="46" t="s">
        <v>7005</v>
      </c>
      <c r="B2606" s="46" t="s">
        <v>11647</v>
      </c>
      <c r="C2606" s="46" t="s">
        <v>14</v>
      </c>
      <c r="D2606" s="47">
        <v>8918</v>
      </c>
      <c r="E2606" s="46" t="s">
        <v>7006</v>
      </c>
      <c r="F2606" s="48">
        <v>40231</v>
      </c>
      <c r="G2606" s="46"/>
      <c r="H2606" s="46" t="s">
        <v>40</v>
      </c>
      <c r="I2606" s="45">
        <v>5660</v>
      </c>
      <c r="J2606" s="45">
        <v>2830</v>
      </c>
      <c r="K2606" s="49" t="s">
        <v>6720</v>
      </c>
      <c r="L2606" s="45"/>
      <c r="M2606" s="3"/>
    </row>
    <row r="2607" spans="1:13" x14ac:dyDescent="0.25">
      <c r="A2607" s="46" t="s">
        <v>7022</v>
      </c>
      <c r="B2607" s="46" t="s">
        <v>11647</v>
      </c>
      <c r="C2607" s="46" t="s">
        <v>14</v>
      </c>
      <c r="D2607" s="47">
        <v>8943</v>
      </c>
      <c r="E2607" s="46" t="s">
        <v>7023</v>
      </c>
      <c r="F2607" s="48">
        <v>40357</v>
      </c>
      <c r="G2607" s="46"/>
      <c r="H2607" s="46" t="s">
        <v>40</v>
      </c>
      <c r="I2607" s="45">
        <v>14000</v>
      </c>
      <c r="J2607" s="45">
        <v>7000</v>
      </c>
      <c r="K2607" s="49" t="s">
        <v>6720</v>
      </c>
      <c r="L2607" s="45"/>
      <c r="M2607" s="3"/>
    </row>
    <row r="2608" spans="1:13" x14ac:dyDescent="0.25">
      <c r="A2608" s="46" t="s">
        <v>7024</v>
      </c>
      <c r="B2608" s="46" t="s">
        <v>11647</v>
      </c>
      <c r="C2608" s="46" t="s">
        <v>14</v>
      </c>
      <c r="D2608" s="47">
        <v>8944</v>
      </c>
      <c r="E2608" s="46" t="s">
        <v>7025</v>
      </c>
      <c r="F2608" s="48">
        <v>40595</v>
      </c>
      <c r="G2608" s="46"/>
      <c r="H2608" s="46" t="s">
        <v>40</v>
      </c>
      <c r="I2608" s="45">
        <v>1144.83</v>
      </c>
      <c r="J2608" s="45">
        <v>332</v>
      </c>
      <c r="K2608" s="49" t="s">
        <v>6720</v>
      </c>
      <c r="L2608" s="45"/>
      <c r="M2608" s="3"/>
    </row>
    <row r="2609" spans="1:13" ht="25.5" x14ac:dyDescent="0.25">
      <c r="A2609" s="46" t="s">
        <v>7028</v>
      </c>
      <c r="B2609" s="46" t="s">
        <v>11647</v>
      </c>
      <c r="C2609" s="46" t="s">
        <v>14</v>
      </c>
      <c r="D2609" s="47">
        <v>8946</v>
      </c>
      <c r="E2609" s="46" t="s">
        <v>7029</v>
      </c>
      <c r="F2609" s="48">
        <v>40601</v>
      </c>
      <c r="G2609" s="46"/>
      <c r="H2609" s="46" t="s">
        <v>40</v>
      </c>
      <c r="I2609" s="45">
        <v>12833.99</v>
      </c>
      <c r="J2609" s="45">
        <v>6417</v>
      </c>
      <c r="K2609" s="49" t="s">
        <v>6720</v>
      </c>
      <c r="L2609" s="45"/>
      <c r="M2609" s="3"/>
    </row>
    <row r="2610" spans="1:13" x14ac:dyDescent="0.25">
      <c r="A2610" s="46" t="s">
        <v>7044</v>
      </c>
      <c r="B2610" s="46" t="s">
        <v>11647</v>
      </c>
      <c r="C2610" s="46" t="s">
        <v>14</v>
      </c>
      <c r="D2610" s="47">
        <v>8959</v>
      </c>
      <c r="E2610" s="46" t="s">
        <v>7045</v>
      </c>
      <c r="F2610" s="48">
        <v>40721</v>
      </c>
      <c r="G2610" s="46"/>
      <c r="H2610" s="46" t="s">
        <v>40</v>
      </c>
      <c r="I2610" s="45">
        <v>3184</v>
      </c>
      <c r="J2610" s="45">
        <v>1592</v>
      </c>
      <c r="K2610" s="49" t="s">
        <v>6720</v>
      </c>
      <c r="L2610" s="45"/>
      <c r="M2610" s="3"/>
    </row>
    <row r="2611" spans="1:13" x14ac:dyDescent="0.25">
      <c r="A2611" s="46" t="s">
        <v>7064</v>
      </c>
      <c r="B2611" s="46" t="s">
        <v>11647</v>
      </c>
      <c r="C2611" s="46" t="s">
        <v>14</v>
      </c>
      <c r="D2611" s="47">
        <v>9068</v>
      </c>
      <c r="E2611" s="46" t="s">
        <v>7065</v>
      </c>
      <c r="F2611" s="48">
        <v>40448</v>
      </c>
      <c r="G2611" s="46"/>
      <c r="H2611" s="46" t="s">
        <v>40</v>
      </c>
      <c r="I2611" s="45">
        <v>10000</v>
      </c>
      <c r="J2611" s="45">
        <v>5000</v>
      </c>
      <c r="K2611" s="49" t="s">
        <v>6720</v>
      </c>
      <c r="L2611" s="45"/>
      <c r="M2611" s="3"/>
    </row>
    <row r="2612" spans="1:13" ht="25.5" x14ac:dyDescent="0.25">
      <c r="A2612" s="46" t="s">
        <v>7080</v>
      </c>
      <c r="B2612" s="46" t="s">
        <v>11647</v>
      </c>
      <c r="C2612" s="46" t="s">
        <v>14</v>
      </c>
      <c r="D2612" s="47">
        <v>10894</v>
      </c>
      <c r="E2612" s="46" t="s">
        <v>7081</v>
      </c>
      <c r="F2612" s="48">
        <v>41022</v>
      </c>
      <c r="G2612" s="46"/>
      <c r="H2612" s="46" t="s">
        <v>40</v>
      </c>
      <c r="I2612" s="45">
        <v>4686</v>
      </c>
      <c r="J2612" s="45">
        <v>2343</v>
      </c>
      <c r="K2612" s="49" t="s">
        <v>6720</v>
      </c>
      <c r="L2612" s="45"/>
      <c r="M2612" s="3"/>
    </row>
    <row r="2613" spans="1:13" ht="25.5" x14ac:dyDescent="0.25">
      <c r="A2613" s="46" t="s">
        <v>7082</v>
      </c>
      <c r="B2613" s="46" t="s">
        <v>11647</v>
      </c>
      <c r="C2613" s="46" t="s">
        <v>14</v>
      </c>
      <c r="D2613" s="47">
        <v>10895</v>
      </c>
      <c r="E2613" s="46" t="s">
        <v>7083</v>
      </c>
      <c r="F2613" s="48">
        <v>41022</v>
      </c>
      <c r="G2613" s="46"/>
      <c r="H2613" s="46" t="s">
        <v>40</v>
      </c>
      <c r="I2613" s="45">
        <v>4114</v>
      </c>
      <c r="J2613" s="45">
        <v>2057</v>
      </c>
      <c r="K2613" s="49" t="s">
        <v>6720</v>
      </c>
      <c r="L2613" s="45"/>
      <c r="M2613" s="3"/>
    </row>
    <row r="2614" spans="1:13" x14ac:dyDescent="0.25">
      <c r="A2614" s="46" t="s">
        <v>7127</v>
      </c>
      <c r="B2614" s="46" t="s">
        <v>11647</v>
      </c>
      <c r="C2614" s="46" t="s">
        <v>14</v>
      </c>
      <c r="D2614" s="47">
        <v>3167</v>
      </c>
      <c r="E2614" s="46" t="s">
        <v>7128</v>
      </c>
      <c r="F2614" s="48">
        <v>39427</v>
      </c>
      <c r="G2614" s="48">
        <v>39555</v>
      </c>
      <c r="H2614" s="46" t="s">
        <v>40</v>
      </c>
      <c r="I2614" s="45">
        <v>10200</v>
      </c>
      <c r="J2614" s="45">
        <v>5100</v>
      </c>
      <c r="K2614" s="49" t="s">
        <v>7102</v>
      </c>
      <c r="L2614" s="45"/>
      <c r="M2614" s="3"/>
    </row>
    <row r="2615" spans="1:13" x14ac:dyDescent="0.25">
      <c r="A2615" s="46" t="s">
        <v>7129</v>
      </c>
      <c r="B2615" s="46" t="s">
        <v>11647</v>
      </c>
      <c r="C2615" s="46" t="s">
        <v>14</v>
      </c>
      <c r="D2615" s="47">
        <v>3169</v>
      </c>
      <c r="E2615" s="46" t="s">
        <v>7130</v>
      </c>
      <c r="F2615" s="48">
        <v>39549</v>
      </c>
      <c r="G2615" s="48">
        <v>39801</v>
      </c>
      <c r="H2615" s="46" t="s">
        <v>40</v>
      </c>
      <c r="I2615" s="45">
        <v>5350</v>
      </c>
      <c r="J2615" s="45">
        <v>2675</v>
      </c>
      <c r="K2615" s="49" t="s">
        <v>7102</v>
      </c>
      <c r="L2615" s="45"/>
      <c r="M2615" s="3"/>
    </row>
    <row r="2616" spans="1:13" x14ac:dyDescent="0.25">
      <c r="A2616" s="46" t="s">
        <v>7137</v>
      </c>
      <c r="B2616" s="46" t="s">
        <v>11647</v>
      </c>
      <c r="C2616" s="46" t="s">
        <v>14</v>
      </c>
      <c r="D2616" s="47">
        <v>3178</v>
      </c>
      <c r="E2616" s="46" t="s">
        <v>7138</v>
      </c>
      <c r="F2616" s="48">
        <v>39343</v>
      </c>
      <c r="G2616" s="48">
        <v>39437</v>
      </c>
      <c r="H2616" s="46" t="s">
        <v>40</v>
      </c>
      <c r="I2616" s="45">
        <v>1000</v>
      </c>
      <c r="J2616" s="45">
        <v>500</v>
      </c>
      <c r="K2616" s="49" t="s">
        <v>7102</v>
      </c>
      <c r="L2616" s="45"/>
      <c r="M2616" s="3"/>
    </row>
    <row r="2617" spans="1:13" ht="25.5" x14ac:dyDescent="0.25">
      <c r="A2617" s="46" t="s">
        <v>7277</v>
      </c>
      <c r="B2617" s="46" t="s">
        <v>11647</v>
      </c>
      <c r="C2617" s="46" t="s">
        <v>14</v>
      </c>
      <c r="D2617" s="47">
        <v>5606</v>
      </c>
      <c r="E2617" s="46" t="s">
        <v>7278</v>
      </c>
      <c r="F2617" s="48">
        <v>39924</v>
      </c>
      <c r="G2617" s="48">
        <v>39994</v>
      </c>
      <c r="H2617" s="46" t="s">
        <v>40</v>
      </c>
      <c r="I2617" s="45">
        <v>10200</v>
      </c>
      <c r="J2617" s="45">
        <v>5100</v>
      </c>
      <c r="K2617" s="49" t="s">
        <v>7102</v>
      </c>
      <c r="L2617" s="45"/>
      <c r="M2617" s="3"/>
    </row>
    <row r="2618" spans="1:13" ht="25.5" x14ac:dyDescent="0.25">
      <c r="A2618" s="46" t="s">
        <v>7279</v>
      </c>
      <c r="B2618" s="46" t="s">
        <v>11647</v>
      </c>
      <c r="C2618" s="46" t="s">
        <v>14</v>
      </c>
      <c r="D2618" s="47">
        <v>5607</v>
      </c>
      <c r="E2618" s="46" t="s">
        <v>7280</v>
      </c>
      <c r="F2618" s="48">
        <v>39924</v>
      </c>
      <c r="G2618" s="48">
        <v>40072</v>
      </c>
      <c r="H2618" s="46" t="s">
        <v>40</v>
      </c>
      <c r="I2618" s="45">
        <v>3500</v>
      </c>
      <c r="J2618" s="45">
        <v>1750</v>
      </c>
      <c r="K2618" s="49" t="s">
        <v>7102</v>
      </c>
      <c r="L2618" s="45"/>
      <c r="M2618" s="3"/>
    </row>
    <row r="2619" spans="1:13" ht="25.5" x14ac:dyDescent="0.25">
      <c r="A2619" s="46" t="s">
        <v>7281</v>
      </c>
      <c r="B2619" s="46" t="s">
        <v>11647</v>
      </c>
      <c r="C2619" s="46" t="s">
        <v>14</v>
      </c>
      <c r="D2619" s="47">
        <v>5634</v>
      </c>
      <c r="E2619" s="46" t="s">
        <v>7282</v>
      </c>
      <c r="F2619" s="48">
        <v>39798</v>
      </c>
      <c r="G2619" s="48">
        <v>40060</v>
      </c>
      <c r="H2619" s="46" t="s">
        <v>40</v>
      </c>
      <c r="I2619" s="45">
        <v>4829</v>
      </c>
      <c r="J2619" s="45">
        <v>2414</v>
      </c>
      <c r="K2619" s="49" t="s">
        <v>7102</v>
      </c>
      <c r="L2619" s="45"/>
      <c r="M2619" s="3"/>
    </row>
    <row r="2620" spans="1:13" ht="25.5" x14ac:dyDescent="0.25">
      <c r="A2620" s="46" t="s">
        <v>7283</v>
      </c>
      <c r="B2620" s="46" t="s">
        <v>11647</v>
      </c>
      <c r="C2620" s="46" t="s">
        <v>14</v>
      </c>
      <c r="D2620" s="47">
        <v>5636</v>
      </c>
      <c r="E2620" s="46" t="s">
        <v>7284</v>
      </c>
      <c r="F2620" s="48">
        <v>39549</v>
      </c>
      <c r="G2620" s="48">
        <v>39953</v>
      </c>
      <c r="H2620" s="46" t="s">
        <v>40</v>
      </c>
      <c r="I2620" s="45">
        <v>8010</v>
      </c>
      <c r="J2620" s="45">
        <v>4005</v>
      </c>
      <c r="K2620" s="49" t="s">
        <v>7102</v>
      </c>
      <c r="L2620" s="45"/>
      <c r="M2620" s="3"/>
    </row>
    <row r="2621" spans="1:13" ht="38.25" x14ac:dyDescent="0.25">
      <c r="A2621" s="46" t="s">
        <v>7285</v>
      </c>
      <c r="B2621" s="46" t="s">
        <v>11647</v>
      </c>
      <c r="C2621" s="46" t="s">
        <v>14</v>
      </c>
      <c r="D2621" s="47">
        <v>5637</v>
      </c>
      <c r="E2621" s="46" t="s">
        <v>7286</v>
      </c>
      <c r="F2621" s="48">
        <v>39924</v>
      </c>
      <c r="G2621" s="48">
        <v>40168</v>
      </c>
      <c r="H2621" s="46" t="s">
        <v>40</v>
      </c>
      <c r="I2621" s="45">
        <v>3600</v>
      </c>
      <c r="J2621" s="45">
        <v>1800</v>
      </c>
      <c r="K2621" s="49" t="s">
        <v>7102</v>
      </c>
      <c r="L2621" s="45"/>
      <c r="M2621" s="3"/>
    </row>
    <row r="2622" spans="1:13" x14ac:dyDescent="0.25">
      <c r="A2622" s="46" t="s">
        <v>7287</v>
      </c>
      <c r="B2622" s="46" t="s">
        <v>11647</v>
      </c>
      <c r="C2622" s="46" t="s">
        <v>14</v>
      </c>
      <c r="D2622" s="47">
        <v>5638</v>
      </c>
      <c r="E2622" s="46" t="s">
        <v>7288</v>
      </c>
      <c r="F2622" s="48">
        <v>40085</v>
      </c>
      <c r="G2622" s="48">
        <v>40168</v>
      </c>
      <c r="H2622" s="46" t="s">
        <v>40</v>
      </c>
      <c r="I2622" s="45">
        <v>10200</v>
      </c>
      <c r="J2622" s="45">
        <v>5100</v>
      </c>
      <c r="K2622" s="49" t="s">
        <v>7102</v>
      </c>
      <c r="L2622" s="45"/>
      <c r="M2622" s="3"/>
    </row>
    <row r="2623" spans="1:13" ht="25.5" x14ac:dyDescent="0.25">
      <c r="A2623" s="46" t="s">
        <v>7289</v>
      </c>
      <c r="B2623" s="46" t="s">
        <v>11647</v>
      </c>
      <c r="C2623" s="46" t="s">
        <v>14</v>
      </c>
      <c r="D2623" s="47">
        <v>5639</v>
      </c>
      <c r="E2623" s="46" t="s">
        <v>7290</v>
      </c>
      <c r="F2623" s="48">
        <v>39924</v>
      </c>
      <c r="G2623" s="48">
        <v>40165</v>
      </c>
      <c r="H2623" s="46" t="s">
        <v>40</v>
      </c>
      <c r="I2623" s="45">
        <v>8000</v>
      </c>
      <c r="J2623" s="45">
        <v>4000</v>
      </c>
      <c r="K2623" s="49" t="s">
        <v>7102</v>
      </c>
      <c r="L2623" s="45"/>
      <c r="M2623" s="3"/>
    </row>
    <row r="2624" spans="1:13" x14ac:dyDescent="0.25">
      <c r="A2624" s="46" t="s">
        <v>7295</v>
      </c>
      <c r="B2624" s="46" t="s">
        <v>11647</v>
      </c>
      <c r="C2624" s="46" t="s">
        <v>14</v>
      </c>
      <c r="D2624" s="47">
        <v>5642</v>
      </c>
      <c r="E2624" s="46" t="s">
        <v>7296</v>
      </c>
      <c r="F2624" s="48">
        <v>39616</v>
      </c>
      <c r="G2624" s="48">
        <v>39813</v>
      </c>
      <c r="H2624" s="46" t="s">
        <v>40</v>
      </c>
      <c r="I2624" s="45">
        <v>5490</v>
      </c>
      <c r="J2624" s="45">
        <v>2745</v>
      </c>
      <c r="K2624" s="49" t="s">
        <v>7102</v>
      </c>
      <c r="L2624" s="45"/>
      <c r="M2624" s="3"/>
    </row>
    <row r="2625" spans="1:13" ht="25.5" x14ac:dyDescent="0.25">
      <c r="A2625" s="46" t="s">
        <v>7303</v>
      </c>
      <c r="B2625" s="46" t="s">
        <v>11647</v>
      </c>
      <c r="C2625" s="46" t="s">
        <v>14</v>
      </c>
      <c r="D2625" s="47">
        <v>7533</v>
      </c>
      <c r="E2625" s="46" t="s">
        <v>7304</v>
      </c>
      <c r="F2625" s="48">
        <v>40246</v>
      </c>
      <c r="G2625" s="48">
        <v>40533</v>
      </c>
      <c r="H2625" s="46" t="s">
        <v>40</v>
      </c>
      <c r="I2625" s="45">
        <v>10000</v>
      </c>
      <c r="J2625" s="45">
        <v>5000</v>
      </c>
      <c r="K2625" s="49" t="s">
        <v>7102</v>
      </c>
      <c r="L2625" s="45"/>
      <c r="M2625" s="3"/>
    </row>
    <row r="2626" spans="1:13" x14ac:dyDescent="0.25">
      <c r="A2626" s="46" t="s">
        <v>7313</v>
      </c>
      <c r="B2626" s="46" t="s">
        <v>11647</v>
      </c>
      <c r="C2626" s="46" t="s">
        <v>14</v>
      </c>
      <c r="D2626" s="47">
        <v>7538</v>
      </c>
      <c r="E2626" s="46" t="s">
        <v>7314</v>
      </c>
      <c r="F2626" s="48">
        <v>40527</v>
      </c>
      <c r="G2626" s="48">
        <v>40533</v>
      </c>
      <c r="H2626" s="46" t="s">
        <v>40</v>
      </c>
      <c r="I2626" s="45">
        <v>10200</v>
      </c>
      <c r="J2626" s="45">
        <v>5100</v>
      </c>
      <c r="K2626" s="49" t="s">
        <v>7102</v>
      </c>
      <c r="L2626" s="45"/>
      <c r="M2626" s="3"/>
    </row>
    <row r="2627" spans="1:13" ht="25.5" x14ac:dyDescent="0.25">
      <c r="A2627" s="46" t="s">
        <v>7323</v>
      </c>
      <c r="B2627" s="46" t="s">
        <v>11647</v>
      </c>
      <c r="C2627" s="46" t="s">
        <v>14</v>
      </c>
      <c r="D2627" s="47">
        <v>7543</v>
      </c>
      <c r="E2627" s="46" t="s">
        <v>7324</v>
      </c>
      <c r="F2627" s="48">
        <v>40085</v>
      </c>
      <c r="G2627" s="48">
        <v>40179</v>
      </c>
      <c r="H2627" s="46" t="s">
        <v>40</v>
      </c>
      <c r="I2627" s="45">
        <v>9980</v>
      </c>
      <c r="J2627" s="45">
        <v>4990</v>
      </c>
      <c r="K2627" s="49" t="s">
        <v>7102</v>
      </c>
      <c r="L2627" s="45"/>
      <c r="M2627" s="3"/>
    </row>
    <row r="2628" spans="1:13" x14ac:dyDescent="0.25">
      <c r="A2628" s="46" t="s">
        <v>7329</v>
      </c>
      <c r="B2628" s="46" t="s">
        <v>11647</v>
      </c>
      <c r="C2628" s="46" t="s">
        <v>14</v>
      </c>
      <c r="D2628" s="47">
        <v>7546</v>
      </c>
      <c r="E2628" s="46" t="s">
        <v>7330</v>
      </c>
      <c r="F2628" s="48">
        <v>40085</v>
      </c>
      <c r="G2628" s="48">
        <v>40218</v>
      </c>
      <c r="H2628" s="46" t="s">
        <v>40</v>
      </c>
      <c r="I2628" s="45">
        <v>1410</v>
      </c>
      <c r="J2628" s="45">
        <v>705</v>
      </c>
      <c r="K2628" s="49" t="s">
        <v>7102</v>
      </c>
      <c r="L2628" s="45"/>
      <c r="M2628" s="3"/>
    </row>
    <row r="2629" spans="1:13" ht="25.5" x14ac:dyDescent="0.25">
      <c r="A2629" s="46" t="s">
        <v>7395</v>
      </c>
      <c r="B2629" s="46" t="s">
        <v>11647</v>
      </c>
      <c r="C2629" s="46" t="s">
        <v>14</v>
      </c>
      <c r="D2629" s="47">
        <v>9209</v>
      </c>
      <c r="E2629" s="46" t="s">
        <v>7396</v>
      </c>
      <c r="F2629" s="48">
        <v>40799</v>
      </c>
      <c r="G2629" s="48">
        <v>41148</v>
      </c>
      <c r="H2629" s="46" t="s">
        <v>40</v>
      </c>
      <c r="I2629" s="45">
        <v>6000</v>
      </c>
      <c r="J2629" s="45">
        <v>3000</v>
      </c>
      <c r="K2629" s="49" t="s">
        <v>7102</v>
      </c>
      <c r="L2629" s="45"/>
      <c r="M2629" s="3"/>
    </row>
    <row r="2630" spans="1:13" ht="38.25" x14ac:dyDescent="0.25">
      <c r="A2630" s="46" t="s">
        <v>7399</v>
      </c>
      <c r="B2630" s="46" t="s">
        <v>11647</v>
      </c>
      <c r="C2630" s="46" t="s">
        <v>14</v>
      </c>
      <c r="D2630" s="47">
        <v>10921</v>
      </c>
      <c r="E2630" s="46" t="s">
        <v>7400</v>
      </c>
      <c r="F2630" s="48">
        <v>41072</v>
      </c>
      <c r="G2630" s="48">
        <v>41261</v>
      </c>
      <c r="H2630" s="46" t="s">
        <v>40</v>
      </c>
      <c r="I2630" s="45">
        <v>7312</v>
      </c>
      <c r="J2630" s="45">
        <v>3656</v>
      </c>
      <c r="K2630" s="49" t="s">
        <v>7102</v>
      </c>
      <c r="L2630" s="45"/>
      <c r="M2630" s="3"/>
    </row>
    <row r="2631" spans="1:13" x14ac:dyDescent="0.25">
      <c r="A2631" s="46" t="s">
        <v>7617</v>
      </c>
      <c r="B2631" s="46" t="s">
        <v>11647</v>
      </c>
      <c r="C2631" s="46" t="s">
        <v>14</v>
      </c>
      <c r="D2631" s="47">
        <v>4550</v>
      </c>
      <c r="E2631" s="46" t="s">
        <v>7618</v>
      </c>
      <c r="F2631" s="48">
        <v>39931</v>
      </c>
      <c r="G2631" s="48">
        <v>39974</v>
      </c>
      <c r="H2631" s="46" t="s">
        <v>40</v>
      </c>
      <c r="I2631" s="45">
        <v>10000</v>
      </c>
      <c r="J2631" s="45">
        <v>4000</v>
      </c>
      <c r="K2631" s="49" t="s">
        <v>7456</v>
      </c>
      <c r="L2631" s="45"/>
      <c r="M2631" s="3"/>
    </row>
    <row r="2632" spans="1:13" x14ac:dyDescent="0.25">
      <c r="A2632" s="46" t="s">
        <v>7639</v>
      </c>
      <c r="B2632" s="46" t="s">
        <v>11647</v>
      </c>
      <c r="C2632" s="46" t="s">
        <v>14</v>
      </c>
      <c r="D2632" s="47">
        <v>4570</v>
      </c>
      <c r="E2632" s="46" t="s">
        <v>7640</v>
      </c>
      <c r="F2632" s="48">
        <v>39959</v>
      </c>
      <c r="G2632" s="48">
        <v>40144</v>
      </c>
      <c r="H2632" s="46" t="s">
        <v>40</v>
      </c>
      <c r="I2632" s="45">
        <v>10000</v>
      </c>
      <c r="J2632" s="45">
        <v>4000</v>
      </c>
      <c r="K2632" s="49" t="s">
        <v>7456</v>
      </c>
      <c r="L2632" s="45"/>
      <c r="M2632" s="3"/>
    </row>
    <row r="2633" spans="1:13" ht="25.5" x14ac:dyDescent="0.25">
      <c r="A2633" s="46" t="s">
        <v>7694</v>
      </c>
      <c r="B2633" s="46" t="s">
        <v>11647</v>
      </c>
      <c r="C2633" s="46" t="s">
        <v>14</v>
      </c>
      <c r="D2633" s="47">
        <v>6577</v>
      </c>
      <c r="E2633" s="46" t="s">
        <v>7695</v>
      </c>
      <c r="F2633" s="48">
        <v>40207</v>
      </c>
      <c r="G2633" s="48">
        <v>40388</v>
      </c>
      <c r="H2633" s="46" t="s">
        <v>40</v>
      </c>
      <c r="I2633" s="45">
        <v>8000</v>
      </c>
      <c r="J2633" s="45">
        <v>4000</v>
      </c>
      <c r="K2633" s="49" t="s">
        <v>7456</v>
      </c>
      <c r="L2633" s="45"/>
      <c r="M2633" s="3"/>
    </row>
    <row r="2634" spans="1:13" x14ac:dyDescent="0.25">
      <c r="A2634" s="46" t="s">
        <v>7696</v>
      </c>
      <c r="B2634" s="46" t="s">
        <v>11647</v>
      </c>
      <c r="C2634" s="46" t="s">
        <v>14</v>
      </c>
      <c r="D2634" s="47">
        <v>6578</v>
      </c>
      <c r="E2634" s="46" t="s">
        <v>7697</v>
      </c>
      <c r="F2634" s="48">
        <v>40241</v>
      </c>
      <c r="G2634" s="48">
        <v>40519</v>
      </c>
      <c r="H2634" s="46" t="s">
        <v>40</v>
      </c>
      <c r="I2634" s="45">
        <v>13500</v>
      </c>
      <c r="J2634" s="45">
        <v>6750</v>
      </c>
      <c r="K2634" s="49" t="s">
        <v>7456</v>
      </c>
      <c r="L2634" s="45"/>
      <c r="M2634" s="3"/>
    </row>
    <row r="2635" spans="1:13" x14ac:dyDescent="0.25">
      <c r="A2635" s="46" t="s">
        <v>7774</v>
      </c>
      <c r="B2635" s="46" t="s">
        <v>11647</v>
      </c>
      <c r="C2635" s="46" t="s">
        <v>14</v>
      </c>
      <c r="D2635" s="47">
        <v>8580</v>
      </c>
      <c r="E2635" s="46" t="s">
        <v>7775</v>
      </c>
      <c r="F2635" s="48">
        <v>40897</v>
      </c>
      <c r="G2635" s="48">
        <v>40908</v>
      </c>
      <c r="H2635" s="46" t="s">
        <v>40</v>
      </c>
      <c r="I2635" s="45">
        <v>10000</v>
      </c>
      <c r="J2635" s="45">
        <v>10000</v>
      </c>
      <c r="K2635" s="49" t="s">
        <v>7456</v>
      </c>
      <c r="L2635" s="45"/>
      <c r="M2635" s="3"/>
    </row>
    <row r="2636" spans="1:13" ht="38.25" x14ac:dyDescent="0.25">
      <c r="A2636" s="46" t="s">
        <v>7847</v>
      </c>
      <c r="B2636" s="46" t="s">
        <v>11647</v>
      </c>
      <c r="C2636" s="46" t="s">
        <v>14</v>
      </c>
      <c r="D2636" s="47">
        <v>10466</v>
      </c>
      <c r="E2636" s="46" t="s">
        <v>7848</v>
      </c>
      <c r="F2636" s="48">
        <v>40911</v>
      </c>
      <c r="G2636" s="48">
        <v>41274</v>
      </c>
      <c r="H2636" s="46" t="s">
        <v>40</v>
      </c>
      <c r="I2636" s="45">
        <v>4800</v>
      </c>
      <c r="J2636" s="45">
        <v>2400</v>
      </c>
      <c r="K2636" s="49" t="s">
        <v>7456</v>
      </c>
      <c r="L2636" s="45"/>
      <c r="M2636" s="3"/>
    </row>
    <row r="2637" spans="1:13" ht="38.25" x14ac:dyDescent="0.25">
      <c r="A2637" s="46" t="s">
        <v>7851</v>
      </c>
      <c r="B2637" s="46" t="s">
        <v>11647</v>
      </c>
      <c r="C2637" s="46" t="s">
        <v>14</v>
      </c>
      <c r="D2637" s="47">
        <v>10468</v>
      </c>
      <c r="E2637" s="46" t="s">
        <v>7852</v>
      </c>
      <c r="F2637" s="48">
        <v>40911</v>
      </c>
      <c r="G2637" s="48">
        <v>41274</v>
      </c>
      <c r="H2637" s="46" t="s">
        <v>40</v>
      </c>
      <c r="I2637" s="45">
        <v>20000</v>
      </c>
      <c r="J2637" s="45">
        <v>10000</v>
      </c>
      <c r="K2637" s="49" t="s">
        <v>7456</v>
      </c>
      <c r="L2637" s="45"/>
      <c r="M2637" s="3"/>
    </row>
    <row r="2638" spans="1:13" ht="25.5" x14ac:dyDescent="0.25">
      <c r="A2638" s="46" t="s">
        <v>7873</v>
      </c>
      <c r="B2638" s="46" t="s">
        <v>11647</v>
      </c>
      <c r="C2638" s="46" t="s">
        <v>14</v>
      </c>
      <c r="D2638" s="47">
        <v>10495</v>
      </c>
      <c r="E2638" s="46" t="s">
        <v>7874</v>
      </c>
      <c r="F2638" s="48">
        <v>41229</v>
      </c>
      <c r="G2638" s="48">
        <v>41274</v>
      </c>
      <c r="H2638" s="46" t="s">
        <v>40</v>
      </c>
      <c r="I2638" s="45">
        <v>19300</v>
      </c>
      <c r="J2638" s="45">
        <v>9650</v>
      </c>
      <c r="K2638" s="49" t="s">
        <v>7456</v>
      </c>
      <c r="L2638" s="45"/>
      <c r="M2638" s="3"/>
    </row>
    <row r="2639" spans="1:13" ht="25.5" x14ac:dyDescent="0.25">
      <c r="A2639" s="46" t="s">
        <v>7879</v>
      </c>
      <c r="B2639" s="46" t="s">
        <v>11647</v>
      </c>
      <c r="C2639" s="46" t="s">
        <v>14</v>
      </c>
      <c r="D2639" s="47">
        <v>10502</v>
      </c>
      <c r="E2639" s="46" t="s">
        <v>7880</v>
      </c>
      <c r="F2639" s="48">
        <v>41240</v>
      </c>
      <c r="G2639" s="48">
        <v>41274</v>
      </c>
      <c r="H2639" s="46" t="s">
        <v>40</v>
      </c>
      <c r="I2639" s="45">
        <v>10000</v>
      </c>
      <c r="J2639" s="45">
        <v>5000</v>
      </c>
      <c r="K2639" s="49" t="s">
        <v>7456</v>
      </c>
      <c r="L2639" s="45"/>
      <c r="M2639" s="3"/>
    </row>
    <row r="2640" spans="1:13" x14ac:dyDescent="0.25">
      <c r="A2640" s="46" t="s">
        <v>8055</v>
      </c>
      <c r="B2640" s="46" t="s">
        <v>11647</v>
      </c>
      <c r="C2640" s="46" t="s">
        <v>14</v>
      </c>
      <c r="D2640" s="47">
        <v>2357</v>
      </c>
      <c r="E2640" s="46" t="s">
        <v>8056</v>
      </c>
      <c r="F2640" s="48">
        <v>39167</v>
      </c>
      <c r="G2640" s="48">
        <v>39351</v>
      </c>
      <c r="H2640" s="46" t="s">
        <v>40</v>
      </c>
      <c r="I2640" s="45">
        <v>10200</v>
      </c>
      <c r="J2640" s="45">
        <v>5100</v>
      </c>
      <c r="K2640" s="49" t="s">
        <v>7941</v>
      </c>
      <c r="L2640" s="45"/>
      <c r="M2640" s="3"/>
    </row>
    <row r="2641" spans="1:60" s="21" customFormat="1" x14ac:dyDescent="0.25">
      <c r="A2641" s="46" t="s">
        <v>8057</v>
      </c>
      <c r="B2641" s="46" t="s">
        <v>11647</v>
      </c>
      <c r="C2641" s="46" t="s">
        <v>14</v>
      </c>
      <c r="D2641" s="47">
        <v>2358</v>
      </c>
      <c r="E2641" s="46" t="s">
        <v>8058</v>
      </c>
      <c r="F2641" s="48">
        <v>39167</v>
      </c>
      <c r="G2641" s="48">
        <v>39373</v>
      </c>
      <c r="H2641" s="46" t="s">
        <v>40</v>
      </c>
      <c r="I2641" s="45">
        <v>10200</v>
      </c>
      <c r="J2641" s="45">
        <v>5100</v>
      </c>
      <c r="K2641" s="49" t="s">
        <v>7941</v>
      </c>
      <c r="L2641" s="45"/>
      <c r="M2641" s="3"/>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row>
    <row r="2642" spans="1:60" x14ac:dyDescent="0.25">
      <c r="A2642" s="46" t="s">
        <v>8059</v>
      </c>
      <c r="B2642" s="46" t="s">
        <v>11647</v>
      </c>
      <c r="C2642" s="46" t="s">
        <v>14</v>
      </c>
      <c r="D2642" s="47">
        <v>2359</v>
      </c>
      <c r="E2642" s="46" t="s">
        <v>8060</v>
      </c>
      <c r="F2642" s="48">
        <v>39167</v>
      </c>
      <c r="G2642" s="48">
        <v>39389</v>
      </c>
      <c r="H2642" s="46" t="s">
        <v>40</v>
      </c>
      <c r="I2642" s="45">
        <v>10200</v>
      </c>
      <c r="J2642" s="45">
        <v>5100</v>
      </c>
      <c r="K2642" s="49" t="s">
        <v>7941</v>
      </c>
      <c r="L2642" s="45"/>
      <c r="M2642" s="3"/>
    </row>
    <row r="2643" spans="1:60" x14ac:dyDescent="0.25">
      <c r="A2643" s="46" t="s">
        <v>8069</v>
      </c>
      <c r="B2643" s="46" t="s">
        <v>11647</v>
      </c>
      <c r="C2643" s="46" t="s">
        <v>14</v>
      </c>
      <c r="D2643" s="47">
        <v>2369</v>
      </c>
      <c r="E2643" s="46" t="s">
        <v>8070</v>
      </c>
      <c r="F2643" s="48">
        <v>39230</v>
      </c>
      <c r="G2643" s="48">
        <v>39434</v>
      </c>
      <c r="H2643" s="46" t="s">
        <v>40</v>
      </c>
      <c r="I2643" s="45">
        <v>4000</v>
      </c>
      <c r="J2643" s="45">
        <v>2000</v>
      </c>
      <c r="K2643" s="49" t="s">
        <v>7941</v>
      </c>
      <c r="L2643" s="45"/>
      <c r="M2643" s="3"/>
    </row>
    <row r="2644" spans="1:60" ht="25.5" x14ac:dyDescent="0.25">
      <c r="A2644" s="46" t="s">
        <v>8089</v>
      </c>
      <c r="B2644" s="46" t="s">
        <v>11647</v>
      </c>
      <c r="C2644" s="46" t="s">
        <v>14</v>
      </c>
      <c r="D2644" s="47">
        <v>2401</v>
      </c>
      <c r="E2644" s="46" t="s">
        <v>8090</v>
      </c>
      <c r="F2644" s="48">
        <v>39426</v>
      </c>
      <c r="G2644" s="48">
        <v>39644</v>
      </c>
      <c r="H2644" s="46" t="s">
        <v>40</v>
      </c>
      <c r="I2644" s="45">
        <v>10200</v>
      </c>
      <c r="J2644" s="45">
        <v>5100</v>
      </c>
      <c r="K2644" s="49" t="s">
        <v>7941</v>
      </c>
      <c r="L2644" s="45"/>
      <c r="M2644" s="3"/>
    </row>
    <row r="2645" spans="1:60" x14ac:dyDescent="0.25">
      <c r="A2645" s="46" t="s">
        <v>8091</v>
      </c>
      <c r="B2645" s="46" t="s">
        <v>11647</v>
      </c>
      <c r="C2645" s="46" t="s">
        <v>14</v>
      </c>
      <c r="D2645" s="47">
        <v>2403</v>
      </c>
      <c r="E2645" s="46" t="s">
        <v>8092</v>
      </c>
      <c r="F2645" s="48">
        <v>39426</v>
      </c>
      <c r="G2645" s="48">
        <v>39617</v>
      </c>
      <c r="H2645" s="46" t="s">
        <v>40</v>
      </c>
      <c r="I2645" s="45">
        <v>10200</v>
      </c>
      <c r="J2645" s="45">
        <v>5100</v>
      </c>
      <c r="K2645" s="49" t="s">
        <v>7941</v>
      </c>
      <c r="L2645" s="45"/>
      <c r="M2645" s="3"/>
    </row>
    <row r="2646" spans="1:60" x14ac:dyDescent="0.25">
      <c r="A2646" s="46" t="s">
        <v>8097</v>
      </c>
      <c r="B2646" s="46" t="s">
        <v>11647</v>
      </c>
      <c r="C2646" s="46" t="s">
        <v>14</v>
      </c>
      <c r="D2646" s="47">
        <v>2415</v>
      </c>
      <c r="E2646" s="46" t="s">
        <v>8098</v>
      </c>
      <c r="F2646" s="48">
        <v>39272</v>
      </c>
      <c r="G2646" s="48">
        <v>39358</v>
      </c>
      <c r="H2646" s="46" t="s">
        <v>40</v>
      </c>
      <c r="I2646" s="45">
        <v>10200</v>
      </c>
      <c r="J2646" s="45">
        <v>5100</v>
      </c>
      <c r="K2646" s="49" t="s">
        <v>7941</v>
      </c>
      <c r="L2646" s="45"/>
      <c r="M2646" s="3"/>
    </row>
    <row r="2647" spans="1:60" x14ac:dyDescent="0.25">
      <c r="A2647" s="46" t="s">
        <v>8109</v>
      </c>
      <c r="B2647" s="46" t="s">
        <v>11647</v>
      </c>
      <c r="C2647" s="46" t="s">
        <v>14</v>
      </c>
      <c r="D2647" s="47">
        <v>2434</v>
      </c>
      <c r="E2647" s="46" t="s">
        <v>8110</v>
      </c>
      <c r="F2647" s="48">
        <v>39587</v>
      </c>
      <c r="G2647" s="48">
        <v>39702</v>
      </c>
      <c r="H2647" s="46" t="s">
        <v>40</v>
      </c>
      <c r="I2647" s="45">
        <v>10200</v>
      </c>
      <c r="J2647" s="45">
        <v>5100</v>
      </c>
      <c r="K2647" s="49" t="s">
        <v>7941</v>
      </c>
      <c r="L2647" s="45"/>
      <c r="M2647" s="3"/>
    </row>
    <row r="2648" spans="1:60" ht="25.5" x14ac:dyDescent="0.25">
      <c r="A2648" s="46" t="s">
        <v>8117</v>
      </c>
      <c r="B2648" s="46" t="s">
        <v>11647</v>
      </c>
      <c r="C2648" s="46" t="s">
        <v>14</v>
      </c>
      <c r="D2648" s="47">
        <v>2438</v>
      </c>
      <c r="E2648" s="46" t="s">
        <v>8118</v>
      </c>
      <c r="F2648" s="48">
        <v>39587</v>
      </c>
      <c r="G2648" s="48">
        <v>39812</v>
      </c>
      <c r="H2648" s="46" t="s">
        <v>40</v>
      </c>
      <c r="I2648" s="45">
        <v>10052</v>
      </c>
      <c r="J2648" s="45">
        <v>5026</v>
      </c>
      <c r="K2648" s="49" t="s">
        <v>7941</v>
      </c>
      <c r="L2648" s="45"/>
      <c r="M2648" s="3"/>
    </row>
    <row r="2649" spans="1:60" x14ac:dyDescent="0.25">
      <c r="A2649" s="46" t="s">
        <v>8119</v>
      </c>
      <c r="B2649" s="46" t="s">
        <v>11647</v>
      </c>
      <c r="C2649" s="46" t="s">
        <v>14</v>
      </c>
      <c r="D2649" s="47">
        <v>2439</v>
      </c>
      <c r="E2649" s="46" t="s">
        <v>8120</v>
      </c>
      <c r="F2649" s="48">
        <v>39587</v>
      </c>
      <c r="G2649" s="48">
        <v>39804</v>
      </c>
      <c r="H2649" s="46" t="s">
        <v>40</v>
      </c>
      <c r="I2649" s="45">
        <v>8636</v>
      </c>
      <c r="J2649" s="45">
        <v>4318</v>
      </c>
      <c r="K2649" s="49" t="s">
        <v>7941</v>
      </c>
      <c r="L2649" s="45"/>
      <c r="M2649" s="3"/>
    </row>
    <row r="2650" spans="1:60" x14ac:dyDescent="0.25">
      <c r="A2650" s="46" t="s">
        <v>8156</v>
      </c>
      <c r="B2650" s="46" t="s">
        <v>11647</v>
      </c>
      <c r="C2650" s="46" t="s">
        <v>14</v>
      </c>
      <c r="D2650" s="47">
        <v>4864</v>
      </c>
      <c r="E2650" s="46" t="s">
        <v>8157</v>
      </c>
      <c r="F2650" s="48">
        <v>39587</v>
      </c>
      <c r="G2650" s="48">
        <v>39952</v>
      </c>
      <c r="H2650" s="46" t="s">
        <v>40</v>
      </c>
      <c r="I2650" s="45">
        <v>5314</v>
      </c>
      <c r="J2650" s="45">
        <v>2657</v>
      </c>
      <c r="K2650" s="49" t="s">
        <v>7941</v>
      </c>
      <c r="L2650" s="45"/>
      <c r="M2650" s="3"/>
    </row>
    <row r="2651" spans="1:60" x14ac:dyDescent="0.25">
      <c r="A2651" s="46" t="s">
        <v>8167</v>
      </c>
      <c r="B2651" s="46" t="s">
        <v>11647</v>
      </c>
      <c r="C2651" s="46" t="s">
        <v>14</v>
      </c>
      <c r="D2651" s="47">
        <v>4878</v>
      </c>
      <c r="E2651" s="46" t="s">
        <v>8168</v>
      </c>
      <c r="F2651" s="48">
        <v>39587</v>
      </c>
      <c r="G2651" s="48">
        <v>39952</v>
      </c>
      <c r="H2651" s="46" t="s">
        <v>40</v>
      </c>
      <c r="I2651" s="45">
        <v>10200</v>
      </c>
      <c r="J2651" s="45">
        <v>5100</v>
      </c>
      <c r="K2651" s="49" t="s">
        <v>7941</v>
      </c>
      <c r="L2651" s="45"/>
      <c r="M2651" s="3"/>
    </row>
    <row r="2652" spans="1:60" x14ac:dyDescent="0.25">
      <c r="A2652" s="46" t="s">
        <v>8171</v>
      </c>
      <c r="B2652" s="46" t="s">
        <v>11647</v>
      </c>
      <c r="C2652" s="46" t="s">
        <v>14</v>
      </c>
      <c r="D2652" s="47">
        <v>4880</v>
      </c>
      <c r="E2652" s="46" t="s">
        <v>8172</v>
      </c>
      <c r="F2652" s="48">
        <v>39951</v>
      </c>
      <c r="G2652" s="48">
        <v>40316</v>
      </c>
      <c r="H2652" s="46" t="s">
        <v>40</v>
      </c>
      <c r="I2652" s="45">
        <v>10200</v>
      </c>
      <c r="J2652" s="45">
        <v>5100</v>
      </c>
      <c r="K2652" s="49" t="s">
        <v>7941</v>
      </c>
      <c r="L2652" s="45"/>
      <c r="M2652" s="3"/>
    </row>
    <row r="2653" spans="1:60" x14ac:dyDescent="0.25">
      <c r="A2653" s="46" t="s">
        <v>8196</v>
      </c>
      <c r="B2653" s="46" t="s">
        <v>11647</v>
      </c>
      <c r="C2653" s="46" t="s">
        <v>14</v>
      </c>
      <c r="D2653" s="47">
        <v>4893</v>
      </c>
      <c r="E2653" s="46" t="s">
        <v>8197</v>
      </c>
      <c r="F2653" s="48">
        <v>39951</v>
      </c>
      <c r="G2653" s="48">
        <v>40316</v>
      </c>
      <c r="H2653" s="46" t="s">
        <v>40</v>
      </c>
      <c r="I2653" s="45">
        <v>9396.64</v>
      </c>
      <c r="J2653" s="45">
        <v>4698.32</v>
      </c>
      <c r="K2653" s="49" t="s">
        <v>7941</v>
      </c>
      <c r="L2653" s="45"/>
      <c r="M2653" s="3"/>
    </row>
    <row r="2654" spans="1:60" x14ac:dyDescent="0.25">
      <c r="A2654" s="46" t="s">
        <v>8204</v>
      </c>
      <c r="B2654" s="46" t="s">
        <v>11647</v>
      </c>
      <c r="C2654" s="46" t="s">
        <v>14</v>
      </c>
      <c r="D2654" s="47">
        <v>4897</v>
      </c>
      <c r="E2654" s="46" t="s">
        <v>8205</v>
      </c>
      <c r="F2654" s="48">
        <v>39919</v>
      </c>
      <c r="G2654" s="48">
        <v>40284</v>
      </c>
      <c r="H2654" s="46" t="s">
        <v>40</v>
      </c>
      <c r="I2654" s="45">
        <v>8288.7999999999993</v>
      </c>
      <c r="J2654" s="45">
        <v>4144</v>
      </c>
      <c r="K2654" s="49" t="s">
        <v>7941</v>
      </c>
      <c r="L2654" s="45"/>
      <c r="M2654" s="3"/>
    </row>
    <row r="2655" spans="1:60" x14ac:dyDescent="0.25">
      <c r="A2655" s="46" t="s">
        <v>8259</v>
      </c>
      <c r="B2655" s="46" t="s">
        <v>11647</v>
      </c>
      <c r="C2655" s="46" t="s">
        <v>14</v>
      </c>
      <c r="D2655" s="47">
        <v>7111</v>
      </c>
      <c r="E2655" s="46" t="s">
        <v>8260</v>
      </c>
      <c r="F2655" s="48">
        <v>40105</v>
      </c>
      <c r="G2655" s="48">
        <v>40470</v>
      </c>
      <c r="H2655" s="46" t="s">
        <v>40</v>
      </c>
      <c r="I2655" s="45">
        <v>10000</v>
      </c>
      <c r="J2655" s="45">
        <v>5000</v>
      </c>
      <c r="K2655" s="49" t="s">
        <v>7941</v>
      </c>
      <c r="L2655" s="45"/>
      <c r="M2655" s="3"/>
    </row>
    <row r="2656" spans="1:60" ht="25.5" x14ac:dyDescent="0.25">
      <c r="A2656" s="46" t="s">
        <v>8265</v>
      </c>
      <c r="B2656" s="46" t="s">
        <v>11647</v>
      </c>
      <c r="C2656" s="46" t="s">
        <v>14</v>
      </c>
      <c r="D2656" s="47">
        <v>7192</v>
      </c>
      <c r="E2656" s="46" t="s">
        <v>8266</v>
      </c>
      <c r="F2656" s="48">
        <v>40259</v>
      </c>
      <c r="G2656" s="48">
        <v>40908</v>
      </c>
      <c r="H2656" s="46" t="s">
        <v>40</v>
      </c>
      <c r="I2656" s="45">
        <v>40000</v>
      </c>
      <c r="J2656" s="45">
        <v>20000</v>
      </c>
      <c r="K2656" s="49" t="s">
        <v>7941</v>
      </c>
      <c r="L2656" s="45"/>
      <c r="M2656" s="3"/>
    </row>
    <row r="2657" spans="1:13" x14ac:dyDescent="0.25">
      <c r="A2657" s="46" t="s">
        <v>8267</v>
      </c>
      <c r="B2657" s="46" t="s">
        <v>11647</v>
      </c>
      <c r="C2657" s="46" t="s">
        <v>14</v>
      </c>
      <c r="D2657" s="47">
        <v>7336</v>
      </c>
      <c r="E2657" s="46" t="s">
        <v>8268</v>
      </c>
      <c r="F2657" s="48">
        <v>40329</v>
      </c>
      <c r="G2657" s="48">
        <v>40543</v>
      </c>
      <c r="H2657" s="46" t="s">
        <v>40</v>
      </c>
      <c r="I2657" s="45">
        <v>5000</v>
      </c>
      <c r="J2657" s="45">
        <v>2500</v>
      </c>
      <c r="K2657" s="49" t="s">
        <v>7941</v>
      </c>
      <c r="L2657" s="45"/>
      <c r="M2657" s="3"/>
    </row>
    <row r="2658" spans="1:13" ht="25.5" x14ac:dyDescent="0.25">
      <c r="A2658" s="46" t="s">
        <v>8277</v>
      </c>
      <c r="B2658" s="46" t="s">
        <v>11647</v>
      </c>
      <c r="C2658" s="46" t="s">
        <v>14</v>
      </c>
      <c r="D2658" s="47">
        <v>8632</v>
      </c>
      <c r="E2658" s="46" t="s">
        <v>8278</v>
      </c>
      <c r="F2658" s="48">
        <v>40544</v>
      </c>
      <c r="G2658" s="48">
        <v>40908</v>
      </c>
      <c r="H2658" s="46" t="s">
        <v>40</v>
      </c>
      <c r="I2658" s="45">
        <v>40000</v>
      </c>
      <c r="J2658" s="45">
        <v>20000</v>
      </c>
      <c r="K2658" s="49" t="s">
        <v>7941</v>
      </c>
      <c r="L2658" s="45"/>
      <c r="M2658" s="3"/>
    </row>
    <row r="2659" spans="1:13" ht="25.5" x14ac:dyDescent="0.25">
      <c r="A2659" s="46" t="s">
        <v>8289</v>
      </c>
      <c r="B2659" s="46" t="s">
        <v>11647</v>
      </c>
      <c r="C2659" s="46" t="s">
        <v>14</v>
      </c>
      <c r="D2659" s="47">
        <v>8642</v>
      </c>
      <c r="E2659" s="46" t="s">
        <v>8290</v>
      </c>
      <c r="F2659" s="48">
        <v>40693</v>
      </c>
      <c r="G2659" s="48">
        <v>40908</v>
      </c>
      <c r="H2659" s="46" t="s">
        <v>40</v>
      </c>
      <c r="I2659" s="45">
        <v>11816</v>
      </c>
      <c r="J2659" s="45">
        <v>5908</v>
      </c>
      <c r="K2659" s="49" t="s">
        <v>7941</v>
      </c>
      <c r="L2659" s="45"/>
      <c r="M2659" s="3"/>
    </row>
    <row r="2660" spans="1:13" ht="25.5" x14ac:dyDescent="0.25">
      <c r="A2660" s="46" t="s">
        <v>8291</v>
      </c>
      <c r="B2660" s="46" t="s">
        <v>11647</v>
      </c>
      <c r="C2660" s="46" t="s">
        <v>14</v>
      </c>
      <c r="D2660" s="47">
        <v>8643</v>
      </c>
      <c r="E2660" s="46" t="s">
        <v>8292</v>
      </c>
      <c r="F2660" s="48">
        <v>40526</v>
      </c>
      <c r="G2660" s="48">
        <v>40908</v>
      </c>
      <c r="H2660" s="46" t="s">
        <v>40</v>
      </c>
      <c r="I2660" s="45">
        <v>27500</v>
      </c>
      <c r="J2660" s="45">
        <v>21750</v>
      </c>
      <c r="K2660" s="49" t="s">
        <v>7941</v>
      </c>
      <c r="L2660" s="45"/>
      <c r="M2660" s="3"/>
    </row>
    <row r="2661" spans="1:13" x14ac:dyDescent="0.25">
      <c r="A2661" s="46" t="s">
        <v>8307</v>
      </c>
      <c r="B2661" s="46" t="s">
        <v>11647</v>
      </c>
      <c r="C2661" s="46" t="s">
        <v>14</v>
      </c>
      <c r="D2661" s="47">
        <v>10440</v>
      </c>
      <c r="E2661" s="46" t="s">
        <v>8308</v>
      </c>
      <c r="F2661" s="48">
        <v>41066</v>
      </c>
      <c r="G2661" s="48">
        <v>41280</v>
      </c>
      <c r="H2661" s="46" t="s">
        <v>40</v>
      </c>
      <c r="I2661" s="45">
        <v>6000</v>
      </c>
      <c r="J2661" s="45">
        <v>3000</v>
      </c>
      <c r="K2661" s="49" t="s">
        <v>7941</v>
      </c>
      <c r="L2661" s="45"/>
      <c r="M2661" s="3"/>
    </row>
    <row r="2662" spans="1:13" x14ac:dyDescent="0.25">
      <c r="A2662" s="46" t="s">
        <v>8426</v>
      </c>
      <c r="B2662" s="46" t="s">
        <v>11647</v>
      </c>
      <c r="C2662" s="46" t="s">
        <v>14</v>
      </c>
      <c r="D2662" s="47">
        <v>424</v>
      </c>
      <c r="E2662" s="46" t="s">
        <v>8425</v>
      </c>
      <c r="F2662" s="48">
        <v>39259</v>
      </c>
      <c r="G2662" s="48">
        <v>39624</v>
      </c>
      <c r="H2662" s="46" t="s">
        <v>40</v>
      </c>
      <c r="I2662" s="45">
        <v>1300</v>
      </c>
      <c r="J2662" s="45">
        <v>650</v>
      </c>
      <c r="K2662" s="49" t="s">
        <v>8348</v>
      </c>
      <c r="L2662" s="45"/>
      <c r="M2662" s="3"/>
    </row>
    <row r="2663" spans="1:13" x14ac:dyDescent="0.25">
      <c r="A2663" s="46" t="s">
        <v>8433</v>
      </c>
      <c r="B2663" s="46" t="s">
        <v>11647</v>
      </c>
      <c r="C2663" s="46" t="s">
        <v>14</v>
      </c>
      <c r="D2663" s="47">
        <v>428</v>
      </c>
      <c r="E2663" s="46" t="s">
        <v>8434</v>
      </c>
      <c r="F2663" s="48">
        <v>39430</v>
      </c>
      <c r="G2663" s="48">
        <v>39588</v>
      </c>
      <c r="H2663" s="46" t="s">
        <v>40</v>
      </c>
      <c r="I2663" s="45">
        <v>7316.62</v>
      </c>
      <c r="J2663" s="45">
        <v>3658.31</v>
      </c>
      <c r="K2663" s="49" t="s">
        <v>8348</v>
      </c>
      <c r="L2663" s="45"/>
      <c r="M2663" s="3"/>
    </row>
    <row r="2664" spans="1:13" x14ac:dyDescent="0.25">
      <c r="A2664" s="46" t="s">
        <v>8443</v>
      </c>
      <c r="B2664" s="46" t="s">
        <v>11647</v>
      </c>
      <c r="C2664" s="46" t="s">
        <v>14</v>
      </c>
      <c r="D2664" s="47">
        <v>433</v>
      </c>
      <c r="E2664" s="46" t="s">
        <v>8444</v>
      </c>
      <c r="F2664" s="48">
        <v>39505</v>
      </c>
      <c r="G2664" s="48">
        <v>39715</v>
      </c>
      <c r="H2664" s="46" t="s">
        <v>40</v>
      </c>
      <c r="I2664" s="45">
        <v>6708.6</v>
      </c>
      <c r="J2664" s="45">
        <v>3354.3</v>
      </c>
      <c r="K2664" s="49" t="s">
        <v>8348</v>
      </c>
      <c r="L2664" s="45"/>
      <c r="M2664" s="3"/>
    </row>
    <row r="2665" spans="1:13" x14ac:dyDescent="0.25">
      <c r="A2665" s="46" t="s">
        <v>8460</v>
      </c>
      <c r="B2665" s="46" t="s">
        <v>11647</v>
      </c>
      <c r="C2665" s="46" t="s">
        <v>14</v>
      </c>
      <c r="D2665" s="47">
        <v>443</v>
      </c>
      <c r="E2665" s="46" t="s">
        <v>8461</v>
      </c>
      <c r="F2665" s="48">
        <v>39814</v>
      </c>
      <c r="G2665" s="48">
        <v>39867</v>
      </c>
      <c r="H2665" s="46" t="s">
        <v>40</v>
      </c>
      <c r="I2665" s="45">
        <v>5130.3999999999996</v>
      </c>
      <c r="J2665" s="45">
        <v>2565.1999999999998</v>
      </c>
      <c r="K2665" s="49" t="s">
        <v>8348</v>
      </c>
      <c r="L2665" s="45"/>
      <c r="M2665" s="3"/>
    </row>
    <row r="2666" spans="1:13" x14ac:dyDescent="0.25">
      <c r="A2666" s="46" t="s">
        <v>8552</v>
      </c>
      <c r="B2666" s="46" t="s">
        <v>11647</v>
      </c>
      <c r="C2666" s="46" t="s">
        <v>14</v>
      </c>
      <c r="D2666" s="47">
        <v>5008</v>
      </c>
      <c r="E2666" s="46" t="s">
        <v>8553</v>
      </c>
      <c r="F2666" s="48">
        <v>40037</v>
      </c>
      <c r="G2666" s="48">
        <v>40037</v>
      </c>
      <c r="H2666" s="46" t="s">
        <v>40</v>
      </c>
      <c r="I2666" s="45">
        <v>1857.38</v>
      </c>
      <c r="J2666" s="45">
        <v>928.69</v>
      </c>
      <c r="K2666" s="49" t="s">
        <v>8348</v>
      </c>
      <c r="L2666" s="45"/>
      <c r="M2666" s="3"/>
    </row>
    <row r="2667" spans="1:13" x14ac:dyDescent="0.25">
      <c r="A2667" s="46" t="s">
        <v>8556</v>
      </c>
      <c r="B2667" s="46" t="s">
        <v>11647</v>
      </c>
      <c r="C2667" s="46" t="s">
        <v>14</v>
      </c>
      <c r="D2667" s="47">
        <v>5014</v>
      </c>
      <c r="E2667" s="46" t="s">
        <v>8557</v>
      </c>
      <c r="F2667" s="48">
        <v>40050</v>
      </c>
      <c r="G2667" s="48">
        <v>40050</v>
      </c>
      <c r="H2667" s="46" t="s">
        <v>40</v>
      </c>
      <c r="I2667" s="45">
        <v>10504</v>
      </c>
      <c r="J2667" s="45">
        <v>5000</v>
      </c>
      <c r="K2667" s="49" t="s">
        <v>8348</v>
      </c>
      <c r="L2667" s="45"/>
      <c r="M2667" s="3"/>
    </row>
    <row r="2668" spans="1:13" x14ac:dyDescent="0.25">
      <c r="A2668" s="46" t="s">
        <v>8558</v>
      </c>
      <c r="B2668" s="46" t="s">
        <v>11647</v>
      </c>
      <c r="C2668" s="46" t="s">
        <v>14</v>
      </c>
      <c r="D2668" s="47">
        <v>5015</v>
      </c>
      <c r="E2668" s="46" t="s">
        <v>8559</v>
      </c>
      <c r="F2668" s="48">
        <v>40056</v>
      </c>
      <c r="G2668" s="48">
        <v>40056</v>
      </c>
      <c r="H2668" s="46" t="s">
        <v>40</v>
      </c>
      <c r="I2668" s="45">
        <v>10000</v>
      </c>
      <c r="J2668" s="45">
        <v>2500</v>
      </c>
      <c r="K2668" s="49" t="s">
        <v>8348</v>
      </c>
      <c r="L2668" s="45"/>
      <c r="M2668" s="3"/>
    </row>
    <row r="2669" spans="1:13" x14ac:dyDescent="0.25">
      <c r="A2669" s="46" t="s">
        <v>8566</v>
      </c>
      <c r="B2669" s="46" t="s">
        <v>11647</v>
      </c>
      <c r="C2669" s="46" t="s">
        <v>14</v>
      </c>
      <c r="D2669" s="47">
        <v>5041</v>
      </c>
      <c r="E2669" s="46" t="s">
        <v>8567</v>
      </c>
      <c r="F2669" s="48">
        <v>40126</v>
      </c>
      <c r="G2669" s="48">
        <v>40529</v>
      </c>
      <c r="H2669" s="46" t="s">
        <v>40</v>
      </c>
      <c r="I2669" s="45">
        <v>8186.88</v>
      </c>
      <c r="J2669" s="45">
        <v>1528.07</v>
      </c>
      <c r="K2669" s="49" t="s">
        <v>8348</v>
      </c>
      <c r="L2669" s="45"/>
      <c r="M2669" s="3"/>
    </row>
    <row r="2670" spans="1:13" ht="38.25" x14ac:dyDescent="0.25">
      <c r="A2670" s="46" t="s">
        <v>8576</v>
      </c>
      <c r="B2670" s="46" t="s">
        <v>11647</v>
      </c>
      <c r="C2670" s="46" t="s">
        <v>14</v>
      </c>
      <c r="D2670" s="47">
        <v>5064</v>
      </c>
      <c r="E2670" s="50" t="s">
        <v>8577</v>
      </c>
      <c r="F2670" s="48">
        <v>40084</v>
      </c>
      <c r="G2670" s="48">
        <v>40084</v>
      </c>
      <c r="H2670" s="46" t="s">
        <v>40</v>
      </c>
      <c r="I2670" s="45">
        <v>10200</v>
      </c>
      <c r="J2670" s="45">
        <v>5100</v>
      </c>
      <c r="K2670" s="49" t="s">
        <v>8348</v>
      </c>
      <c r="L2670" s="45"/>
      <c r="M2670" s="3"/>
    </row>
    <row r="2671" spans="1:13" ht="25.5" x14ac:dyDescent="0.25">
      <c r="A2671" s="46" t="s">
        <v>8761</v>
      </c>
      <c r="B2671" s="46" t="s">
        <v>11647</v>
      </c>
      <c r="C2671" s="46" t="s">
        <v>14</v>
      </c>
      <c r="D2671" s="47">
        <v>9153</v>
      </c>
      <c r="E2671" s="46" t="s">
        <v>8762</v>
      </c>
      <c r="F2671" s="48">
        <v>40668</v>
      </c>
      <c r="G2671" s="48">
        <v>40865</v>
      </c>
      <c r="H2671" s="46" t="s">
        <v>40</v>
      </c>
      <c r="I2671" s="45">
        <v>18775.240000000002</v>
      </c>
      <c r="J2671" s="45">
        <v>9389.1200000000008</v>
      </c>
      <c r="K2671" s="49" t="s">
        <v>8348</v>
      </c>
      <c r="L2671" s="45"/>
      <c r="M2671" s="3"/>
    </row>
    <row r="2672" spans="1:13" x14ac:dyDescent="0.25">
      <c r="A2672" s="46" t="s">
        <v>8938</v>
      </c>
      <c r="B2672" s="46" t="s">
        <v>11647</v>
      </c>
      <c r="C2672" s="46" t="s">
        <v>14</v>
      </c>
      <c r="D2672" s="47">
        <v>1787</v>
      </c>
      <c r="E2672" s="46" t="s">
        <v>8939</v>
      </c>
      <c r="F2672" s="48">
        <v>39188</v>
      </c>
      <c r="G2672" s="48">
        <v>39379</v>
      </c>
      <c r="H2672" s="46" t="s">
        <v>40</v>
      </c>
      <c r="I2672" s="45">
        <v>10000</v>
      </c>
      <c r="J2672" s="45">
        <v>5000</v>
      </c>
      <c r="K2672" s="49" t="s">
        <v>8905</v>
      </c>
      <c r="L2672" s="45"/>
      <c r="M2672" s="3"/>
    </row>
    <row r="2673" spans="1:13" x14ac:dyDescent="0.25">
      <c r="A2673" s="46" t="s">
        <v>8962</v>
      </c>
      <c r="B2673" s="46" t="s">
        <v>11647</v>
      </c>
      <c r="C2673" s="46" t="s">
        <v>14</v>
      </c>
      <c r="D2673" s="47">
        <v>1849</v>
      </c>
      <c r="E2673" s="46" t="s">
        <v>8963</v>
      </c>
      <c r="F2673" s="48">
        <v>39244</v>
      </c>
      <c r="G2673" s="48">
        <v>39749</v>
      </c>
      <c r="H2673" s="46" t="s">
        <v>40</v>
      </c>
      <c r="I2673" s="45">
        <v>10000</v>
      </c>
      <c r="J2673" s="45">
        <v>5000</v>
      </c>
      <c r="K2673" s="49" t="s">
        <v>8905</v>
      </c>
      <c r="L2673" s="45"/>
      <c r="M2673" s="3"/>
    </row>
    <row r="2674" spans="1:13" ht="25.5" x14ac:dyDescent="0.25">
      <c r="A2674" s="46" t="s">
        <v>9183</v>
      </c>
      <c r="B2674" s="46" t="s">
        <v>11647</v>
      </c>
      <c r="C2674" s="46" t="s">
        <v>14</v>
      </c>
      <c r="D2674" s="47">
        <v>8512</v>
      </c>
      <c r="E2674" s="46" t="s">
        <v>9184</v>
      </c>
      <c r="F2674" s="48">
        <v>40504</v>
      </c>
      <c r="G2674" s="48">
        <v>40737</v>
      </c>
      <c r="H2674" s="46" t="s">
        <v>40</v>
      </c>
      <c r="I2674" s="45">
        <v>17625.7</v>
      </c>
      <c r="J2674" s="45">
        <v>8812.85</v>
      </c>
      <c r="K2674" s="49" t="s">
        <v>8905</v>
      </c>
      <c r="L2674" s="45"/>
      <c r="M2674" s="3"/>
    </row>
    <row r="2675" spans="1:13" ht="51" x14ac:dyDescent="0.25">
      <c r="A2675" s="46" t="s">
        <v>9223</v>
      </c>
      <c r="B2675" s="46" t="s">
        <v>11647</v>
      </c>
      <c r="C2675" s="46" t="s">
        <v>14</v>
      </c>
      <c r="D2675" s="47">
        <v>10431</v>
      </c>
      <c r="E2675" s="50" t="s">
        <v>9224</v>
      </c>
      <c r="F2675" s="48">
        <v>40595</v>
      </c>
      <c r="G2675" s="46"/>
      <c r="H2675" s="46" t="s">
        <v>40</v>
      </c>
      <c r="I2675" s="45">
        <v>37149.68</v>
      </c>
      <c r="J2675" s="45">
        <v>18574.84</v>
      </c>
      <c r="K2675" s="49" t="s">
        <v>8905</v>
      </c>
      <c r="L2675" s="45"/>
      <c r="M2675" s="3"/>
    </row>
    <row r="2676" spans="1:13" x14ac:dyDescent="0.25">
      <c r="A2676" s="46" t="s">
        <v>9315</v>
      </c>
      <c r="B2676" s="46" t="s">
        <v>11647</v>
      </c>
      <c r="C2676" s="46" t="s">
        <v>14</v>
      </c>
      <c r="D2676" s="47">
        <v>901</v>
      </c>
      <c r="E2676" s="46" t="s">
        <v>9316</v>
      </c>
      <c r="F2676" s="48">
        <v>39283</v>
      </c>
      <c r="G2676" s="48">
        <v>41639</v>
      </c>
      <c r="H2676" s="46" t="s">
        <v>40</v>
      </c>
      <c r="I2676" s="45">
        <v>5640.5</v>
      </c>
      <c r="J2676" s="45">
        <v>2820.25</v>
      </c>
      <c r="K2676" s="49" t="s">
        <v>9243</v>
      </c>
      <c r="L2676" s="46"/>
    </row>
    <row r="2677" spans="1:13" x14ac:dyDescent="0.25">
      <c r="A2677" s="46" t="s">
        <v>9331</v>
      </c>
      <c r="B2677" s="46" t="s">
        <v>11647</v>
      </c>
      <c r="C2677" s="46" t="s">
        <v>14</v>
      </c>
      <c r="D2677" s="47">
        <v>912</v>
      </c>
      <c r="E2677" s="46" t="s">
        <v>9332</v>
      </c>
      <c r="F2677" s="48">
        <v>39196</v>
      </c>
      <c r="G2677" s="48">
        <v>41639</v>
      </c>
      <c r="H2677" s="46" t="s">
        <v>40</v>
      </c>
      <c r="I2677" s="45">
        <v>17254.64</v>
      </c>
      <c r="J2677" s="45">
        <v>8627.32</v>
      </c>
      <c r="K2677" s="49" t="s">
        <v>9243</v>
      </c>
      <c r="L2677" s="46"/>
    </row>
    <row r="2678" spans="1:13" x14ac:dyDescent="0.25">
      <c r="A2678" s="46" t="s">
        <v>9341</v>
      </c>
      <c r="B2678" s="46" t="s">
        <v>11647</v>
      </c>
      <c r="C2678" s="46" t="s">
        <v>14</v>
      </c>
      <c r="D2678" s="47">
        <v>938</v>
      </c>
      <c r="E2678" s="46" t="s">
        <v>9342</v>
      </c>
      <c r="F2678" s="48">
        <v>39196</v>
      </c>
      <c r="G2678" s="48">
        <v>41639</v>
      </c>
      <c r="H2678" s="46" t="s">
        <v>40</v>
      </c>
      <c r="I2678" s="45">
        <v>10200</v>
      </c>
      <c r="J2678" s="45">
        <v>5100</v>
      </c>
      <c r="K2678" s="49" t="s">
        <v>9243</v>
      </c>
      <c r="L2678" s="46"/>
    </row>
    <row r="2679" spans="1:13" ht="25.5" x14ac:dyDescent="0.25">
      <c r="A2679" s="46" t="s">
        <v>9343</v>
      </c>
      <c r="B2679" s="46" t="s">
        <v>11647</v>
      </c>
      <c r="C2679" s="46" t="s">
        <v>14</v>
      </c>
      <c r="D2679" s="47">
        <v>939</v>
      </c>
      <c r="E2679" s="46" t="s">
        <v>9344</v>
      </c>
      <c r="F2679" s="48">
        <v>39252</v>
      </c>
      <c r="G2679" s="48">
        <v>41639</v>
      </c>
      <c r="H2679" s="46" t="s">
        <v>40</v>
      </c>
      <c r="I2679" s="45">
        <v>10200</v>
      </c>
      <c r="J2679" s="45">
        <v>5100</v>
      </c>
      <c r="K2679" s="49" t="s">
        <v>9243</v>
      </c>
      <c r="L2679" s="46"/>
    </row>
    <row r="2680" spans="1:13" ht="25.5" x14ac:dyDescent="0.25">
      <c r="A2680" s="46" t="s">
        <v>9367</v>
      </c>
      <c r="B2680" s="46" t="s">
        <v>11647</v>
      </c>
      <c r="C2680" s="46" t="s">
        <v>14</v>
      </c>
      <c r="D2680" s="47">
        <v>1009</v>
      </c>
      <c r="E2680" s="46" t="s">
        <v>9368</v>
      </c>
      <c r="F2680" s="48">
        <v>39469</v>
      </c>
      <c r="G2680" s="48">
        <v>41639</v>
      </c>
      <c r="H2680" s="46" t="s">
        <v>40</v>
      </c>
      <c r="I2680" s="45">
        <v>10200</v>
      </c>
      <c r="J2680" s="45">
        <v>5100</v>
      </c>
      <c r="K2680" s="49" t="s">
        <v>9243</v>
      </c>
      <c r="L2680" s="46"/>
    </row>
    <row r="2681" spans="1:13" x14ac:dyDescent="0.25">
      <c r="A2681" s="46" t="s">
        <v>9379</v>
      </c>
      <c r="B2681" s="46" t="s">
        <v>11647</v>
      </c>
      <c r="C2681" s="46" t="s">
        <v>14</v>
      </c>
      <c r="D2681" s="47">
        <v>1015</v>
      </c>
      <c r="E2681" s="46" t="s">
        <v>9380</v>
      </c>
      <c r="F2681" s="48">
        <v>39497</v>
      </c>
      <c r="G2681" s="48">
        <v>41639</v>
      </c>
      <c r="H2681" s="46" t="s">
        <v>40</v>
      </c>
      <c r="I2681" s="45">
        <v>4501.3999999999996</v>
      </c>
      <c r="J2681" s="45">
        <v>2250.6999999999998</v>
      </c>
      <c r="K2681" s="49" t="s">
        <v>9243</v>
      </c>
      <c r="L2681" s="46"/>
    </row>
    <row r="2682" spans="1:13" x14ac:dyDescent="0.25">
      <c r="A2682" s="46" t="s">
        <v>9471</v>
      </c>
      <c r="B2682" s="46" t="s">
        <v>11647</v>
      </c>
      <c r="C2682" s="46" t="s">
        <v>14</v>
      </c>
      <c r="D2682" s="47">
        <v>5256</v>
      </c>
      <c r="E2682" s="46" t="s">
        <v>9472</v>
      </c>
      <c r="F2682" s="48">
        <v>40011</v>
      </c>
      <c r="G2682" s="48">
        <v>40011</v>
      </c>
      <c r="H2682" s="46" t="s">
        <v>40</v>
      </c>
      <c r="I2682" s="45">
        <v>9899.16</v>
      </c>
      <c r="J2682" s="45">
        <v>4949.58</v>
      </c>
      <c r="K2682" s="49" t="s">
        <v>9243</v>
      </c>
      <c r="L2682" s="46"/>
    </row>
    <row r="2683" spans="1:13" x14ac:dyDescent="0.25">
      <c r="A2683" s="46" t="s">
        <v>9481</v>
      </c>
      <c r="B2683" s="46" t="s">
        <v>11647</v>
      </c>
      <c r="C2683" s="46" t="s">
        <v>14</v>
      </c>
      <c r="D2683" s="47">
        <v>5267</v>
      </c>
      <c r="E2683" s="46" t="s">
        <v>9482</v>
      </c>
      <c r="F2683" s="48">
        <v>40115</v>
      </c>
      <c r="G2683" s="48">
        <v>40115</v>
      </c>
      <c r="H2683" s="46" t="s">
        <v>40</v>
      </c>
      <c r="I2683" s="45">
        <v>10200</v>
      </c>
      <c r="J2683" s="45">
        <v>5100</v>
      </c>
      <c r="K2683" s="49" t="s">
        <v>9243</v>
      </c>
      <c r="L2683" s="46"/>
    </row>
    <row r="2684" spans="1:13" ht="25.5" x14ac:dyDescent="0.25">
      <c r="A2684" s="46" t="s">
        <v>9499</v>
      </c>
      <c r="B2684" s="46" t="s">
        <v>11647</v>
      </c>
      <c r="C2684" s="46" t="s">
        <v>14</v>
      </c>
      <c r="D2684" s="47">
        <v>5277</v>
      </c>
      <c r="E2684" s="46" t="s">
        <v>9500</v>
      </c>
      <c r="F2684" s="48">
        <v>40162</v>
      </c>
      <c r="G2684" s="48">
        <v>40162</v>
      </c>
      <c r="H2684" s="46" t="s">
        <v>40</v>
      </c>
      <c r="I2684" s="45">
        <v>8000</v>
      </c>
      <c r="J2684" s="45">
        <v>4000</v>
      </c>
      <c r="K2684" s="49" t="s">
        <v>9243</v>
      </c>
      <c r="L2684" s="46"/>
    </row>
    <row r="2685" spans="1:13" ht="25.5" x14ac:dyDescent="0.25">
      <c r="A2685" s="46" t="s">
        <v>9503</v>
      </c>
      <c r="B2685" s="46" t="s">
        <v>11647</v>
      </c>
      <c r="C2685" s="46" t="s">
        <v>14</v>
      </c>
      <c r="D2685" s="47">
        <v>5280</v>
      </c>
      <c r="E2685" s="46" t="s">
        <v>9504</v>
      </c>
      <c r="F2685" s="48">
        <v>40162</v>
      </c>
      <c r="G2685" s="48">
        <v>40162</v>
      </c>
      <c r="H2685" s="46" t="s">
        <v>40</v>
      </c>
      <c r="I2685" s="45">
        <v>1740.96</v>
      </c>
      <c r="J2685" s="45">
        <v>870.48</v>
      </c>
      <c r="K2685" s="49" t="s">
        <v>9243</v>
      </c>
      <c r="L2685" s="46"/>
    </row>
    <row r="2686" spans="1:13" x14ac:dyDescent="0.25">
      <c r="A2686" s="46" t="s">
        <v>9560</v>
      </c>
      <c r="B2686" s="46" t="s">
        <v>11647</v>
      </c>
      <c r="C2686" s="46" t="s">
        <v>14</v>
      </c>
      <c r="D2686" s="47">
        <v>7655</v>
      </c>
      <c r="E2686" s="46" t="s">
        <v>9561</v>
      </c>
      <c r="F2686" s="48">
        <v>40225</v>
      </c>
      <c r="G2686" s="48">
        <v>40590</v>
      </c>
      <c r="H2686" s="46" t="s">
        <v>40</v>
      </c>
      <c r="I2686" s="45">
        <v>5030</v>
      </c>
      <c r="J2686" s="45">
        <v>2515</v>
      </c>
      <c r="K2686" s="49" t="s">
        <v>9243</v>
      </c>
      <c r="L2686" s="46"/>
    </row>
    <row r="2687" spans="1:13" ht="38.25" x14ac:dyDescent="0.25">
      <c r="A2687" s="46" t="s">
        <v>9562</v>
      </c>
      <c r="B2687" s="46" t="s">
        <v>11647</v>
      </c>
      <c r="C2687" s="46" t="s">
        <v>14</v>
      </c>
      <c r="D2687" s="47">
        <v>7661</v>
      </c>
      <c r="E2687" s="46" t="s">
        <v>9563</v>
      </c>
      <c r="F2687" s="48">
        <v>40288</v>
      </c>
      <c r="G2687" s="48">
        <v>40653</v>
      </c>
      <c r="H2687" s="46" t="s">
        <v>40</v>
      </c>
      <c r="I2687" s="45">
        <v>20000</v>
      </c>
      <c r="J2687" s="45">
        <v>10000</v>
      </c>
      <c r="K2687" s="49" t="s">
        <v>9243</v>
      </c>
      <c r="L2687" s="46"/>
    </row>
    <row r="2688" spans="1:13" x14ac:dyDescent="0.25">
      <c r="A2688" s="46" t="s">
        <v>9566</v>
      </c>
      <c r="B2688" s="46" t="s">
        <v>11647</v>
      </c>
      <c r="C2688" s="46" t="s">
        <v>14</v>
      </c>
      <c r="D2688" s="47">
        <v>7663</v>
      </c>
      <c r="E2688" s="46" t="s">
        <v>9567</v>
      </c>
      <c r="F2688" s="48">
        <v>40441</v>
      </c>
      <c r="G2688" s="48">
        <v>40806</v>
      </c>
      <c r="H2688" s="46" t="s">
        <v>40</v>
      </c>
      <c r="I2688" s="45">
        <v>24000</v>
      </c>
      <c r="J2688" s="45">
        <v>12000</v>
      </c>
      <c r="K2688" s="49" t="s">
        <v>9243</v>
      </c>
      <c r="L2688" s="46"/>
    </row>
    <row r="2689" spans="1:13" ht="25.5" x14ac:dyDescent="0.25">
      <c r="A2689" s="46" t="s">
        <v>9572</v>
      </c>
      <c r="B2689" s="46" t="s">
        <v>11647</v>
      </c>
      <c r="C2689" s="46" t="s">
        <v>14</v>
      </c>
      <c r="D2689" s="47">
        <v>7666</v>
      </c>
      <c r="E2689" s="46" t="s">
        <v>9573</v>
      </c>
      <c r="F2689" s="48">
        <v>40225</v>
      </c>
      <c r="G2689" s="48">
        <v>40590</v>
      </c>
      <c r="H2689" s="46" t="s">
        <v>40</v>
      </c>
      <c r="I2689" s="45">
        <v>20000</v>
      </c>
      <c r="J2689" s="45">
        <v>10000</v>
      </c>
      <c r="K2689" s="49" t="s">
        <v>9243</v>
      </c>
      <c r="L2689" s="46"/>
    </row>
    <row r="2690" spans="1:13" ht="25.5" x14ac:dyDescent="0.25">
      <c r="A2690" s="46" t="s">
        <v>9576</v>
      </c>
      <c r="B2690" s="46" t="s">
        <v>11647</v>
      </c>
      <c r="C2690" s="46" t="s">
        <v>14</v>
      </c>
      <c r="D2690" s="47">
        <v>7668</v>
      </c>
      <c r="E2690" s="46" t="s">
        <v>9577</v>
      </c>
      <c r="F2690" s="48">
        <v>40225</v>
      </c>
      <c r="G2690" s="48">
        <v>40590</v>
      </c>
      <c r="H2690" s="46" t="s">
        <v>40</v>
      </c>
      <c r="I2690" s="45">
        <v>14673.94</v>
      </c>
      <c r="J2690" s="45">
        <v>7336.97</v>
      </c>
      <c r="K2690" s="49" t="s">
        <v>9243</v>
      </c>
      <c r="L2690" s="46"/>
    </row>
    <row r="2691" spans="1:13" ht="25.5" x14ac:dyDescent="0.25">
      <c r="A2691" s="46" t="s">
        <v>9586</v>
      </c>
      <c r="B2691" s="46" t="s">
        <v>11647</v>
      </c>
      <c r="C2691" s="46" t="s">
        <v>14</v>
      </c>
      <c r="D2691" s="47">
        <v>7680</v>
      </c>
      <c r="E2691" s="46" t="s">
        <v>9587</v>
      </c>
      <c r="F2691" s="48">
        <v>40344</v>
      </c>
      <c r="G2691" s="48">
        <v>40709</v>
      </c>
      <c r="H2691" s="46" t="s">
        <v>40</v>
      </c>
      <c r="I2691" s="45">
        <v>12999.99</v>
      </c>
      <c r="J2691" s="45">
        <v>6499.95</v>
      </c>
      <c r="K2691" s="49" t="s">
        <v>9243</v>
      </c>
      <c r="L2691" s="46"/>
    </row>
    <row r="2692" spans="1:13" ht="25.5" x14ac:dyDescent="0.25">
      <c r="A2692" s="46" t="s">
        <v>9602</v>
      </c>
      <c r="B2692" s="46" t="s">
        <v>11647</v>
      </c>
      <c r="C2692" s="46" t="s">
        <v>14</v>
      </c>
      <c r="D2692" s="47">
        <v>8556</v>
      </c>
      <c r="E2692" s="46" t="s">
        <v>9603</v>
      </c>
      <c r="F2692" s="48">
        <v>40568</v>
      </c>
      <c r="G2692" s="48">
        <v>41274</v>
      </c>
      <c r="H2692" s="46" t="s">
        <v>40</v>
      </c>
      <c r="I2692" s="45">
        <v>30000</v>
      </c>
      <c r="J2692" s="45">
        <v>15000</v>
      </c>
      <c r="K2692" s="49" t="s">
        <v>9243</v>
      </c>
      <c r="L2692" s="46"/>
    </row>
    <row r="2693" spans="1:13" x14ac:dyDescent="0.25">
      <c r="A2693" s="46" t="s">
        <v>9620</v>
      </c>
      <c r="B2693" s="46" t="s">
        <v>11647</v>
      </c>
      <c r="C2693" s="46" t="s">
        <v>14</v>
      </c>
      <c r="D2693" s="47">
        <v>8581</v>
      </c>
      <c r="E2693" s="46" t="s">
        <v>9621</v>
      </c>
      <c r="F2693" s="48">
        <v>40599</v>
      </c>
      <c r="G2693" s="48">
        <v>41639</v>
      </c>
      <c r="H2693" s="46" t="s">
        <v>40</v>
      </c>
      <c r="I2693" s="45">
        <v>11140.5</v>
      </c>
      <c r="J2693" s="45">
        <v>5570.25</v>
      </c>
      <c r="K2693" s="49" t="s">
        <v>9243</v>
      </c>
      <c r="L2693" s="46"/>
    </row>
    <row r="2694" spans="1:13" x14ac:dyDescent="0.25">
      <c r="A2694" s="46" t="s">
        <v>9622</v>
      </c>
      <c r="B2694" s="46" t="s">
        <v>11647</v>
      </c>
      <c r="C2694" s="46" t="s">
        <v>14</v>
      </c>
      <c r="D2694" s="47">
        <v>8582</v>
      </c>
      <c r="E2694" s="46" t="s">
        <v>9623</v>
      </c>
      <c r="F2694" s="48">
        <v>40659</v>
      </c>
      <c r="G2694" s="48">
        <v>41639</v>
      </c>
      <c r="H2694" s="46" t="s">
        <v>40</v>
      </c>
      <c r="I2694" s="45">
        <v>9400</v>
      </c>
      <c r="J2694" s="45">
        <v>4700</v>
      </c>
      <c r="K2694" s="49" t="s">
        <v>9243</v>
      </c>
      <c r="L2694" s="46"/>
    </row>
    <row r="2695" spans="1:13" ht="25.5" x14ac:dyDescent="0.25">
      <c r="A2695" s="46" t="s">
        <v>9626</v>
      </c>
      <c r="B2695" s="46" t="s">
        <v>11647</v>
      </c>
      <c r="C2695" s="46" t="s">
        <v>14</v>
      </c>
      <c r="D2695" s="47">
        <v>8585</v>
      </c>
      <c r="E2695" s="46" t="s">
        <v>9627</v>
      </c>
      <c r="F2695" s="48">
        <v>40659</v>
      </c>
      <c r="G2695" s="48">
        <v>41639</v>
      </c>
      <c r="H2695" s="46" t="s">
        <v>40</v>
      </c>
      <c r="I2695" s="45">
        <v>9000</v>
      </c>
      <c r="J2695" s="45">
        <v>4500</v>
      </c>
      <c r="K2695" s="49" t="s">
        <v>9243</v>
      </c>
      <c r="L2695" s="46"/>
    </row>
    <row r="2696" spans="1:13" x14ac:dyDescent="0.25">
      <c r="A2696" s="46" t="s">
        <v>9628</v>
      </c>
      <c r="B2696" s="46" t="s">
        <v>11647</v>
      </c>
      <c r="C2696" s="46" t="s">
        <v>14</v>
      </c>
      <c r="D2696" s="47">
        <v>8586</v>
      </c>
      <c r="E2696" s="46" t="s">
        <v>9629</v>
      </c>
      <c r="F2696" s="48">
        <v>40568</v>
      </c>
      <c r="G2696" s="48">
        <v>41639</v>
      </c>
      <c r="H2696" s="46" t="s">
        <v>40</v>
      </c>
      <c r="I2696" s="45">
        <v>18923.36</v>
      </c>
      <c r="J2696" s="45">
        <v>9461.68</v>
      </c>
      <c r="K2696" s="49" t="s">
        <v>9243</v>
      </c>
      <c r="L2696" s="46"/>
    </row>
    <row r="2697" spans="1:13" x14ac:dyDescent="0.25">
      <c r="A2697" s="46" t="s">
        <v>9632</v>
      </c>
      <c r="B2697" s="46" t="s">
        <v>11647</v>
      </c>
      <c r="C2697" s="46" t="s">
        <v>14</v>
      </c>
      <c r="D2697" s="47">
        <v>8590</v>
      </c>
      <c r="E2697" s="46" t="s">
        <v>9633</v>
      </c>
      <c r="F2697" s="48">
        <v>40659</v>
      </c>
      <c r="G2697" s="48">
        <v>41639</v>
      </c>
      <c r="H2697" s="46" t="s">
        <v>40</v>
      </c>
      <c r="I2697" s="45">
        <v>14900</v>
      </c>
      <c r="J2697" s="45">
        <v>7450</v>
      </c>
      <c r="K2697" s="49" t="s">
        <v>9243</v>
      </c>
      <c r="L2697" s="45"/>
      <c r="M2697" s="3"/>
    </row>
    <row r="2698" spans="1:13" ht="38.25" x14ac:dyDescent="0.25">
      <c r="A2698" s="46" t="s">
        <v>9714</v>
      </c>
      <c r="B2698" s="46" t="s">
        <v>11647</v>
      </c>
      <c r="C2698" s="46" t="s">
        <v>14</v>
      </c>
      <c r="D2698" s="47">
        <v>10530</v>
      </c>
      <c r="E2698" s="46" t="s">
        <v>9715</v>
      </c>
      <c r="F2698" s="48">
        <v>40939</v>
      </c>
      <c r="G2698" s="48">
        <v>41274</v>
      </c>
      <c r="H2698" s="46" t="s">
        <v>40</v>
      </c>
      <c r="I2698" s="45">
        <v>4850</v>
      </c>
      <c r="J2698" s="45">
        <v>2425</v>
      </c>
      <c r="K2698" s="49" t="s">
        <v>9243</v>
      </c>
      <c r="L2698" s="45"/>
      <c r="M2698" s="3"/>
    </row>
    <row r="2699" spans="1:13" x14ac:dyDescent="0.25">
      <c r="A2699" s="46" t="s">
        <v>9727</v>
      </c>
      <c r="B2699" s="46" t="s">
        <v>11647</v>
      </c>
      <c r="C2699" s="46" t="s">
        <v>14</v>
      </c>
      <c r="D2699" s="47">
        <v>10539</v>
      </c>
      <c r="E2699" s="46" t="s">
        <v>9728</v>
      </c>
      <c r="F2699" s="48">
        <v>40967</v>
      </c>
      <c r="G2699" s="48">
        <v>41274</v>
      </c>
      <c r="H2699" s="46" t="s">
        <v>40</v>
      </c>
      <c r="I2699" s="45">
        <v>4000</v>
      </c>
      <c r="J2699" s="45">
        <v>2000</v>
      </c>
      <c r="K2699" s="49" t="s">
        <v>9243</v>
      </c>
      <c r="L2699" s="45"/>
      <c r="M2699" s="3"/>
    </row>
    <row r="2700" spans="1:13" x14ac:dyDescent="0.25">
      <c r="A2700" s="46" t="s">
        <v>9741</v>
      </c>
      <c r="B2700" s="46" t="s">
        <v>11647</v>
      </c>
      <c r="C2700" s="46" t="s">
        <v>14</v>
      </c>
      <c r="D2700" s="47">
        <v>10553</v>
      </c>
      <c r="E2700" s="46" t="s">
        <v>9742</v>
      </c>
      <c r="F2700" s="48">
        <v>40659</v>
      </c>
      <c r="G2700" s="48">
        <v>41274</v>
      </c>
      <c r="H2700" s="46" t="s">
        <v>40</v>
      </c>
      <c r="I2700" s="45">
        <v>7243.74</v>
      </c>
      <c r="J2700" s="45">
        <v>3621.8</v>
      </c>
      <c r="K2700" s="49" t="s">
        <v>9243</v>
      </c>
      <c r="L2700" s="45"/>
      <c r="M2700" s="3"/>
    </row>
    <row r="2701" spans="1:13" x14ac:dyDescent="0.25">
      <c r="A2701" s="46" t="s">
        <v>11374</v>
      </c>
      <c r="B2701" s="46" t="s">
        <v>11647</v>
      </c>
      <c r="C2701" s="46" t="s">
        <v>14</v>
      </c>
      <c r="D2701" s="47">
        <v>12197</v>
      </c>
      <c r="E2701" s="46" t="s">
        <v>11375</v>
      </c>
      <c r="F2701" s="48">
        <v>41513</v>
      </c>
      <c r="G2701" s="48">
        <v>41639</v>
      </c>
      <c r="H2701" s="46" t="s">
        <v>651</v>
      </c>
      <c r="I2701" s="45">
        <v>11134.58</v>
      </c>
      <c r="J2701" s="45">
        <v>7442.29</v>
      </c>
      <c r="K2701" s="49" t="s">
        <v>9243</v>
      </c>
      <c r="L2701" s="46"/>
    </row>
    <row r="2702" spans="1:13" ht="25.5" x14ac:dyDescent="0.25">
      <c r="A2702" s="46" t="s">
        <v>10020</v>
      </c>
      <c r="B2702" s="46" t="s">
        <v>11647</v>
      </c>
      <c r="C2702" s="46" t="s">
        <v>14</v>
      </c>
      <c r="D2702" s="47">
        <v>7199</v>
      </c>
      <c r="E2702" s="46" t="s">
        <v>10021</v>
      </c>
      <c r="F2702" s="48">
        <v>40233</v>
      </c>
      <c r="G2702" s="48">
        <v>40597</v>
      </c>
      <c r="H2702" s="46" t="s">
        <v>40</v>
      </c>
      <c r="I2702" s="45">
        <v>4329.68</v>
      </c>
      <c r="J2702" s="45">
        <v>2164.84</v>
      </c>
      <c r="K2702" s="49" t="s">
        <v>9751</v>
      </c>
      <c r="L2702" s="45"/>
      <c r="M2702" s="3"/>
    </row>
    <row r="2703" spans="1:13" ht="25.5" x14ac:dyDescent="0.25">
      <c r="A2703" s="46" t="s">
        <v>10030</v>
      </c>
      <c r="B2703" s="46" t="s">
        <v>11647</v>
      </c>
      <c r="C2703" s="46" t="s">
        <v>14</v>
      </c>
      <c r="D2703" s="47">
        <v>7230</v>
      </c>
      <c r="E2703" s="46" t="s">
        <v>10031</v>
      </c>
      <c r="F2703" s="48">
        <v>40233</v>
      </c>
      <c r="G2703" s="48">
        <v>40597</v>
      </c>
      <c r="H2703" s="46" t="s">
        <v>40</v>
      </c>
      <c r="I2703" s="45">
        <v>3913.32</v>
      </c>
      <c r="J2703" s="45">
        <v>1956.66</v>
      </c>
      <c r="K2703" s="49" t="s">
        <v>9751</v>
      </c>
      <c r="L2703" s="45"/>
      <c r="M2703" s="3"/>
    </row>
    <row r="2704" spans="1:13" ht="25.5" x14ac:dyDescent="0.25">
      <c r="A2704" s="46" t="s">
        <v>10032</v>
      </c>
      <c r="B2704" s="46" t="s">
        <v>11647</v>
      </c>
      <c r="C2704" s="46" t="s">
        <v>14</v>
      </c>
      <c r="D2704" s="47">
        <v>7231</v>
      </c>
      <c r="E2704" s="46" t="s">
        <v>10033</v>
      </c>
      <c r="F2704" s="48">
        <v>40296</v>
      </c>
      <c r="G2704" s="48">
        <v>40660</v>
      </c>
      <c r="H2704" s="46" t="s">
        <v>40</v>
      </c>
      <c r="I2704" s="45">
        <v>20000</v>
      </c>
      <c r="J2704" s="45">
        <v>10000</v>
      </c>
      <c r="K2704" s="49" t="s">
        <v>9751</v>
      </c>
      <c r="L2704" s="45"/>
      <c r="M2704" s="3"/>
    </row>
    <row r="2705" spans="1:13" x14ac:dyDescent="0.25">
      <c r="A2705" s="46" t="s">
        <v>10034</v>
      </c>
      <c r="B2705" s="46" t="s">
        <v>11647</v>
      </c>
      <c r="C2705" s="46" t="s">
        <v>14</v>
      </c>
      <c r="D2705" s="47">
        <v>7232</v>
      </c>
      <c r="E2705" s="46" t="s">
        <v>10035</v>
      </c>
      <c r="F2705" s="48">
        <v>40114</v>
      </c>
      <c r="G2705" s="48">
        <v>40478</v>
      </c>
      <c r="H2705" s="46" t="s">
        <v>40</v>
      </c>
      <c r="I2705" s="45">
        <v>2960</v>
      </c>
      <c r="J2705" s="45">
        <v>1480</v>
      </c>
      <c r="K2705" s="49" t="s">
        <v>9751</v>
      </c>
      <c r="L2705" s="45"/>
      <c r="M2705" s="3"/>
    </row>
    <row r="2706" spans="1:13" ht="25.5" x14ac:dyDescent="0.25">
      <c r="A2706" s="46" t="s">
        <v>10038</v>
      </c>
      <c r="B2706" s="46" t="s">
        <v>11647</v>
      </c>
      <c r="C2706" s="46" t="s">
        <v>14</v>
      </c>
      <c r="D2706" s="47">
        <v>7234</v>
      </c>
      <c r="E2706" s="46" t="s">
        <v>10039</v>
      </c>
      <c r="F2706" s="48">
        <v>40114</v>
      </c>
      <c r="G2706" s="48">
        <v>40478</v>
      </c>
      <c r="H2706" s="46" t="s">
        <v>40</v>
      </c>
      <c r="I2706" s="45">
        <v>8500</v>
      </c>
      <c r="J2706" s="45">
        <v>4250</v>
      </c>
      <c r="K2706" s="49" t="s">
        <v>9751</v>
      </c>
      <c r="L2706" s="45"/>
      <c r="M2706" s="3"/>
    </row>
    <row r="2707" spans="1:13" x14ac:dyDescent="0.25">
      <c r="A2707" s="46" t="s">
        <v>10054</v>
      </c>
      <c r="B2707" s="46" t="s">
        <v>11647</v>
      </c>
      <c r="C2707" s="46" t="s">
        <v>14</v>
      </c>
      <c r="D2707" s="47">
        <v>7242</v>
      </c>
      <c r="E2707" s="46" t="s">
        <v>10055</v>
      </c>
      <c r="F2707" s="48">
        <v>40296</v>
      </c>
      <c r="G2707" s="48">
        <v>40660</v>
      </c>
      <c r="H2707" s="46" t="s">
        <v>40</v>
      </c>
      <c r="I2707" s="45">
        <v>8901.36</v>
      </c>
      <c r="J2707" s="45">
        <v>4450.68</v>
      </c>
      <c r="K2707" s="49" t="s">
        <v>9751</v>
      </c>
      <c r="L2707" s="45"/>
      <c r="M2707" s="3"/>
    </row>
    <row r="2708" spans="1:13" x14ac:dyDescent="0.25">
      <c r="A2708" s="46" t="s">
        <v>10056</v>
      </c>
      <c r="B2708" s="46" t="s">
        <v>11647</v>
      </c>
      <c r="C2708" s="46" t="s">
        <v>14</v>
      </c>
      <c r="D2708" s="47">
        <v>7243</v>
      </c>
      <c r="E2708" s="46" t="s">
        <v>10057</v>
      </c>
      <c r="F2708" s="48">
        <v>40359</v>
      </c>
      <c r="G2708" s="48">
        <v>40723</v>
      </c>
      <c r="H2708" s="46" t="s">
        <v>40</v>
      </c>
      <c r="I2708" s="45">
        <v>5889.58</v>
      </c>
      <c r="J2708" s="45">
        <v>2944.79</v>
      </c>
      <c r="K2708" s="49" t="s">
        <v>9751</v>
      </c>
      <c r="L2708" s="45"/>
      <c r="M2708" s="3"/>
    </row>
    <row r="2709" spans="1:13" ht="38.25" x14ac:dyDescent="0.25">
      <c r="A2709" s="46" t="s">
        <v>10091</v>
      </c>
      <c r="B2709" s="46" t="s">
        <v>11647</v>
      </c>
      <c r="C2709" s="46" t="s">
        <v>14</v>
      </c>
      <c r="D2709" s="47">
        <v>8523</v>
      </c>
      <c r="E2709" s="46" t="s">
        <v>10092</v>
      </c>
      <c r="F2709" s="48">
        <v>40359</v>
      </c>
      <c r="G2709" s="48">
        <v>40724</v>
      </c>
      <c r="H2709" s="46" t="s">
        <v>40</v>
      </c>
      <c r="I2709" s="45">
        <v>2600</v>
      </c>
      <c r="J2709" s="45">
        <v>1300</v>
      </c>
      <c r="K2709" s="49" t="s">
        <v>9751</v>
      </c>
      <c r="L2709" s="45"/>
      <c r="M2709" s="3"/>
    </row>
    <row r="2710" spans="1:13" x14ac:dyDescent="0.25">
      <c r="A2710" s="46" t="s">
        <v>10116</v>
      </c>
      <c r="B2710" s="46" t="s">
        <v>11647</v>
      </c>
      <c r="C2710" s="46" t="s">
        <v>14</v>
      </c>
      <c r="D2710" s="47">
        <v>8536</v>
      </c>
      <c r="E2710" s="46" t="s">
        <v>10117</v>
      </c>
      <c r="F2710" s="48">
        <v>40667</v>
      </c>
      <c r="G2710" s="48">
        <v>41033</v>
      </c>
      <c r="H2710" s="46" t="s">
        <v>40</v>
      </c>
      <c r="I2710" s="45">
        <v>10000</v>
      </c>
      <c r="J2710" s="45">
        <v>5000</v>
      </c>
      <c r="K2710" s="49" t="s">
        <v>9751</v>
      </c>
      <c r="L2710" s="45"/>
      <c r="M2710" s="3"/>
    </row>
    <row r="2711" spans="1:13" ht="25.5" x14ac:dyDescent="0.25">
      <c r="A2711" s="46" t="s">
        <v>10118</v>
      </c>
      <c r="B2711" s="46" t="s">
        <v>11647</v>
      </c>
      <c r="C2711" s="46" t="s">
        <v>14</v>
      </c>
      <c r="D2711" s="47">
        <v>8537</v>
      </c>
      <c r="E2711" s="46" t="s">
        <v>10119</v>
      </c>
      <c r="F2711" s="48">
        <v>40667</v>
      </c>
      <c r="G2711" s="48">
        <v>41033</v>
      </c>
      <c r="H2711" s="46" t="s">
        <v>40</v>
      </c>
      <c r="I2711" s="45">
        <v>29400</v>
      </c>
      <c r="J2711" s="45">
        <v>14700</v>
      </c>
      <c r="K2711" s="49" t="s">
        <v>9751</v>
      </c>
      <c r="L2711" s="45"/>
      <c r="M2711" s="3"/>
    </row>
    <row r="2712" spans="1:13" ht="38.25" x14ac:dyDescent="0.25">
      <c r="A2712" s="46" t="s">
        <v>10120</v>
      </c>
      <c r="B2712" s="46" t="s">
        <v>11647</v>
      </c>
      <c r="C2712" s="46" t="s">
        <v>14</v>
      </c>
      <c r="D2712" s="47">
        <v>8538</v>
      </c>
      <c r="E2712" s="46" t="s">
        <v>10121</v>
      </c>
      <c r="F2712" s="48">
        <v>40667</v>
      </c>
      <c r="G2712" s="48">
        <v>41033</v>
      </c>
      <c r="H2712" s="46" t="s">
        <v>40</v>
      </c>
      <c r="I2712" s="45">
        <v>6192.56</v>
      </c>
      <c r="J2712" s="45">
        <v>3096.28</v>
      </c>
      <c r="K2712" s="49" t="s">
        <v>9751</v>
      </c>
      <c r="L2712" s="45"/>
      <c r="M2712" s="3"/>
    </row>
    <row r="2713" spans="1:13" ht="38.25" x14ac:dyDescent="0.25">
      <c r="A2713" s="46" t="s">
        <v>10124</v>
      </c>
      <c r="B2713" s="46" t="s">
        <v>11647</v>
      </c>
      <c r="C2713" s="46" t="s">
        <v>14</v>
      </c>
      <c r="D2713" s="47">
        <v>8541</v>
      </c>
      <c r="E2713" s="46" t="s">
        <v>10125</v>
      </c>
      <c r="F2713" s="48">
        <v>40667</v>
      </c>
      <c r="G2713" s="48">
        <v>41033</v>
      </c>
      <c r="H2713" s="46" t="s">
        <v>40</v>
      </c>
      <c r="I2713" s="45">
        <v>22800</v>
      </c>
      <c r="J2713" s="45">
        <v>11400</v>
      </c>
      <c r="K2713" s="49" t="s">
        <v>9751</v>
      </c>
      <c r="L2713" s="45"/>
      <c r="M2713" s="3"/>
    </row>
    <row r="2714" spans="1:13" x14ac:dyDescent="0.25">
      <c r="A2714" s="46" t="s">
        <v>10152</v>
      </c>
      <c r="B2714" s="46" t="s">
        <v>11647</v>
      </c>
      <c r="C2714" s="46" t="s">
        <v>14</v>
      </c>
      <c r="D2714" s="47">
        <v>10340</v>
      </c>
      <c r="E2714" s="46" t="s">
        <v>10153</v>
      </c>
      <c r="F2714" s="48">
        <v>40961</v>
      </c>
      <c r="G2714" s="48">
        <v>41326</v>
      </c>
      <c r="H2714" s="46" t="s">
        <v>40</v>
      </c>
      <c r="I2714" s="45">
        <v>10000</v>
      </c>
      <c r="J2714" s="45">
        <v>5000</v>
      </c>
      <c r="K2714" s="49" t="s">
        <v>9751</v>
      </c>
      <c r="L2714" s="45"/>
      <c r="M2714" s="3"/>
    </row>
    <row r="2715" spans="1:13" ht="38.25" x14ac:dyDescent="0.25">
      <c r="A2715" s="46" t="s">
        <v>10164</v>
      </c>
      <c r="B2715" s="46" t="s">
        <v>11647</v>
      </c>
      <c r="C2715" s="46" t="s">
        <v>14</v>
      </c>
      <c r="D2715" s="47">
        <v>10346</v>
      </c>
      <c r="E2715" s="46" t="s">
        <v>10165</v>
      </c>
      <c r="F2715" s="48">
        <v>41087</v>
      </c>
      <c r="G2715" s="48">
        <v>41451</v>
      </c>
      <c r="H2715" s="46" t="s">
        <v>40</v>
      </c>
      <c r="I2715" s="45">
        <v>10220</v>
      </c>
      <c r="J2715" s="45">
        <v>5110</v>
      </c>
      <c r="K2715" s="49" t="s">
        <v>9751</v>
      </c>
      <c r="L2715" s="45"/>
      <c r="M2715" s="3"/>
    </row>
    <row r="2716" spans="1:13" ht="25.5" x14ac:dyDescent="0.25">
      <c r="A2716" s="46" t="s">
        <v>10174</v>
      </c>
      <c r="B2716" s="46" t="s">
        <v>11647</v>
      </c>
      <c r="C2716" s="46" t="s">
        <v>14</v>
      </c>
      <c r="D2716" s="47">
        <v>10352</v>
      </c>
      <c r="E2716" s="46" t="s">
        <v>10175</v>
      </c>
      <c r="F2716" s="48">
        <v>41024</v>
      </c>
      <c r="G2716" s="48">
        <v>41388</v>
      </c>
      <c r="H2716" s="46" t="s">
        <v>40</v>
      </c>
      <c r="I2716" s="45">
        <v>9655.6</v>
      </c>
      <c r="J2716" s="45">
        <v>4827.8</v>
      </c>
      <c r="K2716" s="49" t="s">
        <v>9751</v>
      </c>
      <c r="L2716" s="45"/>
      <c r="M2716" s="3"/>
    </row>
    <row r="2717" spans="1:13" x14ac:dyDescent="0.25">
      <c r="A2717" s="46" t="s">
        <v>10219</v>
      </c>
      <c r="B2717" s="46" t="s">
        <v>11648</v>
      </c>
      <c r="C2717" s="46" t="s">
        <v>14</v>
      </c>
      <c r="D2717" s="47">
        <v>12224</v>
      </c>
      <c r="E2717" s="46" t="s">
        <v>10221</v>
      </c>
      <c r="F2717" s="48">
        <v>40968</v>
      </c>
      <c r="G2717" s="48">
        <v>41379</v>
      </c>
      <c r="H2717" s="46" t="s">
        <v>651</v>
      </c>
      <c r="I2717" s="45">
        <v>30000</v>
      </c>
      <c r="J2717" s="45">
        <v>15000</v>
      </c>
      <c r="K2717" s="49" t="s">
        <v>356</v>
      </c>
      <c r="L2717" s="46"/>
    </row>
    <row r="2718" spans="1:13" x14ac:dyDescent="0.25">
      <c r="A2718" s="46" t="s">
        <v>10228</v>
      </c>
      <c r="B2718" s="46" t="s">
        <v>11648</v>
      </c>
      <c r="C2718" s="46" t="s">
        <v>14</v>
      </c>
      <c r="D2718" s="47">
        <v>12229</v>
      </c>
      <c r="E2718" s="46" t="s">
        <v>10229</v>
      </c>
      <c r="F2718" s="48">
        <v>41275</v>
      </c>
      <c r="G2718" s="48">
        <v>41639</v>
      </c>
      <c r="H2718" s="46" t="s">
        <v>651</v>
      </c>
      <c r="I2718" s="45">
        <v>8150</v>
      </c>
      <c r="J2718" s="45">
        <v>4075</v>
      </c>
      <c r="K2718" s="49" t="s">
        <v>356</v>
      </c>
      <c r="L2718" s="46"/>
    </row>
    <row r="2719" spans="1:13" ht="25.5" x14ac:dyDescent="0.25">
      <c r="A2719" s="46" t="s">
        <v>10254</v>
      </c>
      <c r="B2719" s="46" t="s">
        <v>11648</v>
      </c>
      <c r="C2719" s="46" t="s">
        <v>14</v>
      </c>
      <c r="D2719" s="47">
        <v>12244</v>
      </c>
      <c r="E2719" s="46" t="s">
        <v>10255</v>
      </c>
      <c r="F2719" s="48">
        <v>41220</v>
      </c>
      <c r="G2719" s="48">
        <v>41639</v>
      </c>
      <c r="H2719" s="46" t="s">
        <v>651</v>
      </c>
      <c r="I2719" s="45">
        <v>5408</v>
      </c>
      <c r="J2719" s="45">
        <v>2704</v>
      </c>
      <c r="K2719" s="49" t="s">
        <v>356</v>
      </c>
      <c r="L2719" s="46"/>
    </row>
    <row r="2720" spans="1:13" ht="51" x14ac:dyDescent="0.25">
      <c r="A2720" s="46" t="s">
        <v>10360</v>
      </c>
      <c r="B2720" s="46" t="s">
        <v>11648</v>
      </c>
      <c r="C2720" s="46" t="s">
        <v>14</v>
      </c>
      <c r="D2720" s="47">
        <v>12110</v>
      </c>
      <c r="E2720" s="46" t="s">
        <v>10361</v>
      </c>
      <c r="F2720" s="48">
        <v>41379</v>
      </c>
      <c r="G2720" s="48">
        <v>41639</v>
      </c>
      <c r="H2720" s="46" t="s">
        <v>651</v>
      </c>
      <c r="I2720" s="45">
        <v>28938.5</v>
      </c>
      <c r="J2720" s="45">
        <v>14469.25</v>
      </c>
      <c r="K2720" s="49" t="s">
        <v>790</v>
      </c>
      <c r="L2720" s="46"/>
    </row>
    <row r="2721" spans="1:12" ht="25.5" x14ac:dyDescent="0.25">
      <c r="A2721" s="46" t="s">
        <v>10463</v>
      </c>
      <c r="B2721" s="46" t="s">
        <v>11648</v>
      </c>
      <c r="C2721" s="46" t="s">
        <v>14</v>
      </c>
      <c r="D2721" s="47">
        <v>12881</v>
      </c>
      <c r="E2721" s="46" t="s">
        <v>10464</v>
      </c>
      <c r="F2721" s="48">
        <v>41361</v>
      </c>
      <c r="G2721" s="46"/>
      <c r="H2721" s="46" t="s">
        <v>651</v>
      </c>
      <c r="I2721" s="45">
        <v>20000</v>
      </c>
      <c r="J2721" s="45">
        <v>10000</v>
      </c>
      <c r="K2721" s="49" t="s">
        <v>790</v>
      </c>
      <c r="L2721" s="46"/>
    </row>
    <row r="2722" spans="1:12" ht="25.5" x14ac:dyDescent="0.25">
      <c r="A2722" s="46" t="s">
        <v>10467</v>
      </c>
      <c r="B2722" s="46" t="s">
        <v>11648</v>
      </c>
      <c r="C2722" s="46" t="s">
        <v>14</v>
      </c>
      <c r="D2722" s="47">
        <v>12893</v>
      </c>
      <c r="E2722" s="46" t="s">
        <v>11145</v>
      </c>
      <c r="F2722" s="48">
        <v>41361</v>
      </c>
      <c r="G2722" s="46"/>
      <c r="H2722" s="46" t="s">
        <v>651</v>
      </c>
      <c r="I2722" s="45">
        <v>6000</v>
      </c>
      <c r="J2722" s="45">
        <v>3000</v>
      </c>
      <c r="K2722" s="49" t="s">
        <v>790</v>
      </c>
      <c r="L2722" s="46"/>
    </row>
    <row r="2723" spans="1:12" x14ac:dyDescent="0.25">
      <c r="A2723" s="46" t="s">
        <v>10274</v>
      </c>
      <c r="B2723" s="46" t="s">
        <v>11648</v>
      </c>
      <c r="C2723" s="46" t="s">
        <v>14</v>
      </c>
      <c r="D2723" s="47">
        <v>12750</v>
      </c>
      <c r="E2723" s="46" t="s">
        <v>10275</v>
      </c>
      <c r="F2723" s="48">
        <v>41275</v>
      </c>
      <c r="G2723" s="48">
        <v>41639</v>
      </c>
      <c r="H2723" s="46" t="s">
        <v>651</v>
      </c>
      <c r="I2723" s="45">
        <v>13261.32</v>
      </c>
      <c r="J2723" s="45">
        <v>6630.66</v>
      </c>
      <c r="K2723" s="49" t="s">
        <v>2033</v>
      </c>
      <c r="L2723" s="46"/>
    </row>
    <row r="2724" spans="1:12" ht="25.5" x14ac:dyDescent="0.25">
      <c r="A2724" s="46" t="s">
        <v>10295</v>
      </c>
      <c r="B2724" s="46" t="s">
        <v>11648</v>
      </c>
      <c r="C2724" s="46" t="s">
        <v>14</v>
      </c>
      <c r="D2724" s="47">
        <v>12769</v>
      </c>
      <c r="E2724" s="46" t="s">
        <v>10296</v>
      </c>
      <c r="F2724" s="48">
        <v>41275</v>
      </c>
      <c r="G2724" s="48">
        <v>41639</v>
      </c>
      <c r="H2724" s="46" t="s">
        <v>651</v>
      </c>
      <c r="I2724" s="45">
        <v>10000</v>
      </c>
      <c r="J2724" s="45">
        <v>5000</v>
      </c>
      <c r="K2724" s="49" t="s">
        <v>2033</v>
      </c>
      <c r="L2724" s="46"/>
    </row>
    <row r="2725" spans="1:12" ht="25.5" x14ac:dyDescent="0.25">
      <c r="A2725" s="46" t="s">
        <v>10307</v>
      </c>
      <c r="B2725" s="46" t="s">
        <v>11648</v>
      </c>
      <c r="C2725" s="46" t="s">
        <v>14</v>
      </c>
      <c r="D2725" s="47">
        <v>12776</v>
      </c>
      <c r="E2725" s="46" t="s">
        <v>10308</v>
      </c>
      <c r="F2725" s="48">
        <v>41275</v>
      </c>
      <c r="G2725" s="48">
        <v>41639</v>
      </c>
      <c r="H2725" s="46" t="s">
        <v>651</v>
      </c>
      <c r="I2725" s="45">
        <v>5000</v>
      </c>
      <c r="J2725" s="45">
        <v>2500</v>
      </c>
      <c r="K2725" s="49" t="s">
        <v>2033</v>
      </c>
      <c r="L2725" s="46"/>
    </row>
    <row r="2726" spans="1:12" ht="25.5" x14ac:dyDescent="0.25">
      <c r="A2726" s="46" t="s">
        <v>10495</v>
      </c>
      <c r="B2726" s="46" t="s">
        <v>11648</v>
      </c>
      <c r="C2726" s="46" t="s">
        <v>14</v>
      </c>
      <c r="D2726" s="47">
        <v>12486</v>
      </c>
      <c r="E2726" s="46" t="s">
        <v>10496</v>
      </c>
      <c r="F2726" s="48">
        <v>41275</v>
      </c>
      <c r="G2726" s="48">
        <v>41639</v>
      </c>
      <c r="H2726" s="46" t="s">
        <v>651</v>
      </c>
      <c r="I2726" s="45">
        <v>19800</v>
      </c>
      <c r="J2726" s="45">
        <v>9900</v>
      </c>
      <c r="K2726" s="49" t="s">
        <v>2650</v>
      </c>
      <c r="L2726" s="46"/>
    </row>
    <row r="2727" spans="1:12" ht="25.5" x14ac:dyDescent="0.25">
      <c r="A2727" s="46" t="s">
        <v>10505</v>
      </c>
      <c r="B2727" s="46" t="s">
        <v>11648</v>
      </c>
      <c r="C2727" s="46" t="s">
        <v>14</v>
      </c>
      <c r="D2727" s="47">
        <v>12492</v>
      </c>
      <c r="E2727" s="46" t="s">
        <v>10506</v>
      </c>
      <c r="F2727" s="48">
        <v>41310</v>
      </c>
      <c r="G2727" s="48">
        <v>41639</v>
      </c>
      <c r="H2727" s="46" t="s">
        <v>651</v>
      </c>
      <c r="I2727" s="45">
        <v>10000</v>
      </c>
      <c r="J2727" s="45">
        <v>5000</v>
      </c>
      <c r="K2727" s="49" t="s">
        <v>2650</v>
      </c>
      <c r="L2727" s="46"/>
    </row>
    <row r="2728" spans="1:12" ht="38.25" x14ac:dyDescent="0.25">
      <c r="A2728" s="46" t="s">
        <v>10509</v>
      </c>
      <c r="B2728" s="46" t="s">
        <v>11648</v>
      </c>
      <c r="C2728" s="46" t="s">
        <v>14</v>
      </c>
      <c r="D2728" s="47">
        <v>12494</v>
      </c>
      <c r="E2728" s="46" t="s">
        <v>10510</v>
      </c>
      <c r="F2728" s="48">
        <v>41275</v>
      </c>
      <c r="G2728" s="48">
        <v>41639</v>
      </c>
      <c r="H2728" s="46" t="s">
        <v>651</v>
      </c>
      <c r="I2728" s="45">
        <v>1200</v>
      </c>
      <c r="J2728" s="45">
        <v>600</v>
      </c>
      <c r="K2728" s="49" t="s">
        <v>2650</v>
      </c>
      <c r="L2728" s="46"/>
    </row>
    <row r="2729" spans="1:12" x14ac:dyDescent="0.25">
      <c r="A2729" s="46" t="s">
        <v>10521</v>
      </c>
      <c r="B2729" s="46" t="s">
        <v>11648</v>
      </c>
      <c r="C2729" s="46" t="s">
        <v>14</v>
      </c>
      <c r="D2729" s="47">
        <v>12508</v>
      </c>
      <c r="E2729" s="46" t="s">
        <v>10522</v>
      </c>
      <c r="F2729" s="48">
        <v>41275</v>
      </c>
      <c r="G2729" s="48">
        <v>41639</v>
      </c>
      <c r="H2729" s="46" t="s">
        <v>651</v>
      </c>
      <c r="I2729" s="45">
        <v>15000</v>
      </c>
      <c r="J2729" s="45">
        <v>7500</v>
      </c>
      <c r="K2729" s="49" t="s">
        <v>2650</v>
      </c>
      <c r="L2729" s="46"/>
    </row>
    <row r="2730" spans="1:12" ht="38.25" x14ac:dyDescent="0.25">
      <c r="A2730" s="46" t="s">
        <v>10527</v>
      </c>
      <c r="B2730" s="46" t="s">
        <v>11648</v>
      </c>
      <c r="C2730" s="46" t="s">
        <v>14</v>
      </c>
      <c r="D2730" s="47">
        <v>12511</v>
      </c>
      <c r="E2730" s="46" t="s">
        <v>10528</v>
      </c>
      <c r="F2730" s="48">
        <v>41422</v>
      </c>
      <c r="G2730" s="48">
        <v>41639</v>
      </c>
      <c r="H2730" s="46" t="s">
        <v>651</v>
      </c>
      <c r="I2730" s="45">
        <v>7426</v>
      </c>
      <c r="J2730" s="45">
        <v>3713</v>
      </c>
      <c r="K2730" s="49" t="s">
        <v>2650</v>
      </c>
      <c r="L2730" s="46"/>
    </row>
    <row r="2731" spans="1:12" ht="25.5" x14ac:dyDescent="0.25">
      <c r="A2731" s="46" t="s">
        <v>10545</v>
      </c>
      <c r="B2731" s="46" t="s">
        <v>11648</v>
      </c>
      <c r="C2731" s="46" t="s">
        <v>14</v>
      </c>
      <c r="D2731" s="47">
        <v>12520</v>
      </c>
      <c r="E2731" s="46" t="s">
        <v>10546</v>
      </c>
      <c r="F2731" s="48">
        <v>41373</v>
      </c>
      <c r="G2731" s="48">
        <v>41639</v>
      </c>
      <c r="H2731" s="46" t="s">
        <v>651</v>
      </c>
      <c r="I2731" s="45">
        <v>5000</v>
      </c>
      <c r="J2731" s="45">
        <v>2500</v>
      </c>
      <c r="K2731" s="49" t="s">
        <v>2650</v>
      </c>
      <c r="L2731" s="46"/>
    </row>
    <row r="2732" spans="1:12" ht="38.25" x14ac:dyDescent="0.25">
      <c r="A2732" s="46" t="s">
        <v>10551</v>
      </c>
      <c r="B2732" s="46" t="s">
        <v>11648</v>
      </c>
      <c r="C2732" s="46" t="s">
        <v>14</v>
      </c>
      <c r="D2732" s="47">
        <v>12541</v>
      </c>
      <c r="E2732" s="46" t="s">
        <v>10552</v>
      </c>
      <c r="F2732" s="48">
        <v>41422</v>
      </c>
      <c r="G2732" s="48">
        <v>41639</v>
      </c>
      <c r="H2732" s="46" t="s">
        <v>651</v>
      </c>
      <c r="I2732" s="45">
        <v>7090</v>
      </c>
      <c r="J2732" s="45">
        <v>3545</v>
      </c>
      <c r="K2732" s="49" t="s">
        <v>2650</v>
      </c>
      <c r="L2732" s="46"/>
    </row>
    <row r="2733" spans="1:12" x14ac:dyDescent="0.25">
      <c r="A2733" s="46" t="s">
        <v>10553</v>
      </c>
      <c r="B2733" s="46" t="s">
        <v>11648</v>
      </c>
      <c r="C2733" s="46" t="s">
        <v>14</v>
      </c>
      <c r="D2733" s="47">
        <v>12542</v>
      </c>
      <c r="E2733" s="46" t="s">
        <v>10554</v>
      </c>
      <c r="F2733" s="48">
        <v>41275</v>
      </c>
      <c r="G2733" s="48">
        <v>41639</v>
      </c>
      <c r="H2733" s="46" t="s">
        <v>651</v>
      </c>
      <c r="I2733" s="45">
        <v>9000</v>
      </c>
      <c r="J2733" s="45">
        <v>4500</v>
      </c>
      <c r="K2733" s="49" t="s">
        <v>2650</v>
      </c>
      <c r="L2733" s="46"/>
    </row>
    <row r="2734" spans="1:12" x14ac:dyDescent="0.25">
      <c r="A2734" s="46" t="s">
        <v>10555</v>
      </c>
      <c r="B2734" s="46" t="s">
        <v>11648</v>
      </c>
      <c r="C2734" s="46" t="s">
        <v>14</v>
      </c>
      <c r="D2734" s="47">
        <v>12543</v>
      </c>
      <c r="E2734" s="46" t="s">
        <v>10556</v>
      </c>
      <c r="F2734" s="48">
        <v>41422</v>
      </c>
      <c r="G2734" s="48">
        <v>41639</v>
      </c>
      <c r="H2734" s="46" t="s">
        <v>651</v>
      </c>
      <c r="I2734" s="45">
        <v>15591.6</v>
      </c>
      <c r="J2734" s="45">
        <v>7795.8</v>
      </c>
      <c r="K2734" s="49" t="s">
        <v>2650</v>
      </c>
      <c r="L2734" s="46"/>
    </row>
    <row r="2735" spans="1:12" ht="25.5" x14ac:dyDescent="0.25">
      <c r="A2735" s="46" t="s">
        <v>10561</v>
      </c>
      <c r="B2735" s="46" t="s">
        <v>11648</v>
      </c>
      <c r="C2735" s="46" t="s">
        <v>14</v>
      </c>
      <c r="D2735" s="47">
        <v>12548</v>
      </c>
      <c r="E2735" s="46" t="s">
        <v>10562</v>
      </c>
      <c r="F2735" s="48">
        <v>41275</v>
      </c>
      <c r="G2735" s="48">
        <v>41639</v>
      </c>
      <c r="H2735" s="46" t="s">
        <v>651</v>
      </c>
      <c r="I2735" s="45">
        <v>7702</v>
      </c>
      <c r="J2735" s="45">
        <v>3851</v>
      </c>
      <c r="K2735" s="49" t="s">
        <v>2650</v>
      </c>
      <c r="L2735" s="46"/>
    </row>
    <row r="2736" spans="1:12" ht="38.25" x14ac:dyDescent="0.2">
      <c r="A2736" s="46" t="s">
        <v>10585</v>
      </c>
      <c r="B2736" s="46" t="s">
        <v>11648</v>
      </c>
      <c r="C2736" s="46" t="s">
        <v>14</v>
      </c>
      <c r="D2736" s="47">
        <v>12375</v>
      </c>
      <c r="E2736" s="46" t="s">
        <v>10586</v>
      </c>
      <c r="F2736" s="48">
        <v>41240</v>
      </c>
      <c r="G2736" s="46"/>
      <c r="H2736" s="46" t="s">
        <v>651</v>
      </c>
      <c r="I2736" s="45">
        <v>10000</v>
      </c>
      <c r="J2736" s="45">
        <v>5000</v>
      </c>
      <c r="K2736" s="88" t="s">
        <v>11651</v>
      </c>
      <c r="L2736" s="46"/>
    </row>
    <row r="2737" spans="1:12" ht="25.5" x14ac:dyDescent="0.2">
      <c r="A2737" s="46" t="s">
        <v>10587</v>
      </c>
      <c r="B2737" s="46" t="s">
        <v>11648</v>
      </c>
      <c r="C2737" s="46" t="s">
        <v>14</v>
      </c>
      <c r="D2737" s="47">
        <v>12378</v>
      </c>
      <c r="E2737" s="46" t="s">
        <v>10588</v>
      </c>
      <c r="F2737" s="48">
        <v>41205</v>
      </c>
      <c r="G2737" s="46"/>
      <c r="H2737" s="46" t="s">
        <v>651</v>
      </c>
      <c r="I2737" s="45">
        <v>10000</v>
      </c>
      <c r="J2737" s="45">
        <v>5000</v>
      </c>
      <c r="K2737" s="88" t="s">
        <v>11651</v>
      </c>
      <c r="L2737" s="46"/>
    </row>
    <row r="2738" spans="1:12" ht="25.5" x14ac:dyDescent="0.2">
      <c r="A2738" s="46" t="s">
        <v>10596</v>
      </c>
      <c r="B2738" s="46" t="s">
        <v>11648</v>
      </c>
      <c r="C2738" s="46" t="s">
        <v>14</v>
      </c>
      <c r="D2738" s="47">
        <v>12390</v>
      </c>
      <c r="E2738" s="46" t="s">
        <v>10597</v>
      </c>
      <c r="F2738" s="48">
        <v>41240</v>
      </c>
      <c r="G2738" s="46"/>
      <c r="H2738" s="46" t="s">
        <v>651</v>
      </c>
      <c r="I2738" s="45">
        <v>8150</v>
      </c>
      <c r="J2738" s="45">
        <v>4075</v>
      </c>
      <c r="K2738" s="88" t="s">
        <v>11651</v>
      </c>
      <c r="L2738" s="46"/>
    </row>
    <row r="2739" spans="1:12" ht="25.5" x14ac:dyDescent="0.2">
      <c r="A2739" s="46" t="s">
        <v>10598</v>
      </c>
      <c r="B2739" s="46" t="s">
        <v>11648</v>
      </c>
      <c r="C2739" s="46" t="s">
        <v>14</v>
      </c>
      <c r="D2739" s="47">
        <v>12391</v>
      </c>
      <c r="E2739" s="46" t="s">
        <v>4008</v>
      </c>
      <c r="F2739" s="48">
        <v>41240</v>
      </c>
      <c r="G2739" s="46"/>
      <c r="H2739" s="46" t="s">
        <v>651</v>
      </c>
      <c r="I2739" s="45">
        <v>8204.5</v>
      </c>
      <c r="J2739" s="45">
        <v>4102.25</v>
      </c>
      <c r="K2739" s="88" t="s">
        <v>11651</v>
      </c>
      <c r="L2739" s="46"/>
    </row>
    <row r="2740" spans="1:12" ht="38.25" x14ac:dyDescent="0.2">
      <c r="A2740" s="46" t="s">
        <v>10605</v>
      </c>
      <c r="B2740" s="46" t="s">
        <v>11648</v>
      </c>
      <c r="C2740" s="46" t="s">
        <v>14</v>
      </c>
      <c r="D2740" s="47">
        <v>12395</v>
      </c>
      <c r="E2740" s="46" t="s">
        <v>10606</v>
      </c>
      <c r="F2740" s="48">
        <v>41261</v>
      </c>
      <c r="G2740" s="46"/>
      <c r="H2740" s="46" t="s">
        <v>651</v>
      </c>
      <c r="I2740" s="45">
        <v>8430</v>
      </c>
      <c r="J2740" s="45">
        <v>4215</v>
      </c>
      <c r="K2740" s="88" t="s">
        <v>11651</v>
      </c>
      <c r="L2740" s="46"/>
    </row>
    <row r="2741" spans="1:12" ht="25.5" x14ac:dyDescent="0.25">
      <c r="A2741" s="46" t="s">
        <v>10675</v>
      </c>
      <c r="B2741" s="46" t="s">
        <v>11648</v>
      </c>
      <c r="C2741" s="46" t="s">
        <v>14</v>
      </c>
      <c r="D2741" s="47">
        <v>12594</v>
      </c>
      <c r="E2741" s="46" t="s">
        <v>10676</v>
      </c>
      <c r="F2741" s="48">
        <v>41288</v>
      </c>
      <c r="G2741" s="48">
        <v>41418</v>
      </c>
      <c r="H2741" s="46" t="s">
        <v>651</v>
      </c>
      <c r="I2741" s="45">
        <v>18500</v>
      </c>
      <c r="J2741" s="45">
        <v>9250</v>
      </c>
      <c r="K2741" s="49" t="s">
        <v>4318</v>
      </c>
      <c r="L2741" s="46"/>
    </row>
    <row r="2742" spans="1:12" ht="25.5" x14ac:dyDescent="0.25">
      <c r="A2742" s="46" t="s">
        <v>10701</v>
      </c>
      <c r="B2742" s="46" t="s">
        <v>11648</v>
      </c>
      <c r="C2742" s="46" t="s">
        <v>14</v>
      </c>
      <c r="D2742" s="47">
        <v>12174</v>
      </c>
      <c r="E2742" s="46" t="s">
        <v>10702</v>
      </c>
      <c r="F2742" s="48">
        <v>41018</v>
      </c>
      <c r="G2742" s="46"/>
      <c r="H2742" s="46" t="s">
        <v>651</v>
      </c>
      <c r="I2742" s="45">
        <v>8376</v>
      </c>
      <c r="J2742" s="45">
        <v>4188</v>
      </c>
      <c r="K2742" s="49" t="s">
        <v>4667</v>
      </c>
      <c r="L2742" s="46"/>
    </row>
    <row r="2743" spans="1:12" x14ac:dyDescent="0.25">
      <c r="A2743" s="46" t="s">
        <v>10703</v>
      </c>
      <c r="B2743" s="46" t="s">
        <v>11648</v>
      </c>
      <c r="C2743" s="46" t="s">
        <v>14</v>
      </c>
      <c r="D2743" s="47">
        <v>12343</v>
      </c>
      <c r="E2743" s="46" t="s">
        <v>10704</v>
      </c>
      <c r="F2743" s="48">
        <v>41212</v>
      </c>
      <c r="G2743" s="46"/>
      <c r="H2743" s="46" t="s">
        <v>651</v>
      </c>
      <c r="I2743" s="45">
        <v>14954</v>
      </c>
      <c r="J2743" s="45">
        <v>7477</v>
      </c>
      <c r="K2743" s="49" t="s">
        <v>4667</v>
      </c>
      <c r="L2743" s="46"/>
    </row>
    <row r="2744" spans="1:12" x14ac:dyDescent="0.25">
      <c r="A2744" s="46" t="s">
        <v>10749</v>
      </c>
      <c r="B2744" s="46" t="s">
        <v>11648</v>
      </c>
      <c r="C2744" s="46" t="s">
        <v>14</v>
      </c>
      <c r="D2744" s="47">
        <v>12189</v>
      </c>
      <c r="E2744" s="46" t="s">
        <v>10750</v>
      </c>
      <c r="F2744" s="48">
        <v>41330</v>
      </c>
      <c r="G2744" s="48">
        <v>41639</v>
      </c>
      <c r="H2744" s="46" t="s">
        <v>651</v>
      </c>
      <c r="I2744" s="45">
        <v>10000</v>
      </c>
      <c r="J2744" s="45">
        <v>5000</v>
      </c>
      <c r="K2744" s="49" t="s">
        <v>5018</v>
      </c>
      <c r="L2744" s="46"/>
    </row>
    <row r="2745" spans="1:12" x14ac:dyDescent="0.25">
      <c r="A2745" s="46" t="s">
        <v>10759</v>
      </c>
      <c r="B2745" s="46" t="s">
        <v>11648</v>
      </c>
      <c r="C2745" s="46" t="s">
        <v>14</v>
      </c>
      <c r="D2745" s="47">
        <v>12264</v>
      </c>
      <c r="E2745" s="46" t="s">
        <v>10760</v>
      </c>
      <c r="F2745" s="48">
        <v>41372</v>
      </c>
      <c r="G2745" s="48">
        <v>41639</v>
      </c>
      <c r="H2745" s="46" t="s">
        <v>651</v>
      </c>
      <c r="I2745" s="45">
        <v>7554.48</v>
      </c>
      <c r="J2745" s="45">
        <v>3777.24</v>
      </c>
      <c r="K2745" s="49" t="s">
        <v>5018</v>
      </c>
      <c r="L2745" s="46"/>
    </row>
    <row r="2746" spans="1:12" x14ac:dyDescent="0.25">
      <c r="A2746" s="46" t="s">
        <v>10767</v>
      </c>
      <c r="B2746" s="46" t="s">
        <v>11648</v>
      </c>
      <c r="C2746" s="46" t="s">
        <v>14</v>
      </c>
      <c r="D2746" s="47">
        <v>12269</v>
      </c>
      <c r="E2746" s="46" t="s">
        <v>10768</v>
      </c>
      <c r="F2746" s="48">
        <v>41463</v>
      </c>
      <c r="G2746" s="48">
        <v>41639</v>
      </c>
      <c r="H2746" s="46" t="s">
        <v>651</v>
      </c>
      <c r="I2746" s="45">
        <v>18400</v>
      </c>
      <c r="J2746" s="45">
        <v>9200</v>
      </c>
      <c r="K2746" s="49" t="s">
        <v>5018</v>
      </c>
      <c r="L2746" s="46"/>
    </row>
    <row r="2747" spans="1:12" ht="25.5" x14ac:dyDescent="0.25">
      <c r="A2747" s="46" t="s">
        <v>10923</v>
      </c>
      <c r="B2747" s="46" t="s">
        <v>11648</v>
      </c>
      <c r="C2747" s="46" t="s">
        <v>14</v>
      </c>
      <c r="D2747" s="47">
        <v>13040</v>
      </c>
      <c r="E2747" s="46" t="s">
        <v>10924</v>
      </c>
      <c r="F2747" s="48">
        <v>41155</v>
      </c>
      <c r="G2747" s="48">
        <v>41246</v>
      </c>
      <c r="H2747" s="46" t="s">
        <v>651</v>
      </c>
      <c r="I2747" s="45">
        <v>12000</v>
      </c>
      <c r="J2747" s="45">
        <v>12000</v>
      </c>
      <c r="K2747" s="49" t="s">
        <v>5815</v>
      </c>
      <c r="L2747" s="46"/>
    </row>
    <row r="2748" spans="1:12" ht="25.5" x14ac:dyDescent="0.25">
      <c r="A2748" s="46" t="s">
        <v>10962</v>
      </c>
      <c r="B2748" s="46" t="s">
        <v>11648</v>
      </c>
      <c r="C2748" s="46" t="s">
        <v>14</v>
      </c>
      <c r="D2748" s="47">
        <v>12640</v>
      </c>
      <c r="E2748" s="46" t="s">
        <v>10963</v>
      </c>
      <c r="F2748" s="48">
        <v>41355</v>
      </c>
      <c r="G2748" s="46"/>
      <c r="H2748" s="46" t="s">
        <v>651</v>
      </c>
      <c r="I2748" s="45">
        <v>7499</v>
      </c>
      <c r="J2748" s="45">
        <v>3749.5</v>
      </c>
      <c r="K2748" s="49" t="s">
        <v>6182</v>
      </c>
      <c r="L2748" s="46"/>
    </row>
    <row r="2749" spans="1:12" ht="25.5" x14ac:dyDescent="0.25">
      <c r="A2749" s="46" t="s">
        <v>11021</v>
      </c>
      <c r="B2749" s="46" t="s">
        <v>11648</v>
      </c>
      <c r="C2749" s="46" t="s">
        <v>14</v>
      </c>
      <c r="D2749" s="47">
        <v>12374</v>
      </c>
      <c r="E2749" s="46" t="s">
        <v>11022</v>
      </c>
      <c r="F2749" s="48">
        <v>41323</v>
      </c>
      <c r="G2749" s="46"/>
      <c r="H2749" s="46" t="s">
        <v>651</v>
      </c>
      <c r="I2749" s="45">
        <v>6384</v>
      </c>
      <c r="J2749" s="45">
        <v>3192</v>
      </c>
      <c r="K2749" s="49" t="s">
        <v>6720</v>
      </c>
      <c r="L2749" s="46"/>
    </row>
    <row r="2750" spans="1:12" ht="25.5" x14ac:dyDescent="0.25">
      <c r="A2750" s="46" t="s">
        <v>11023</v>
      </c>
      <c r="B2750" s="46" t="s">
        <v>11648</v>
      </c>
      <c r="C2750" s="46" t="s">
        <v>14</v>
      </c>
      <c r="D2750" s="47">
        <v>12376</v>
      </c>
      <c r="E2750" s="46" t="s">
        <v>11024</v>
      </c>
      <c r="F2750" s="48">
        <v>41323</v>
      </c>
      <c r="G2750" s="46"/>
      <c r="H2750" s="46" t="s">
        <v>651</v>
      </c>
      <c r="I2750" s="45">
        <v>10000</v>
      </c>
      <c r="J2750" s="45">
        <v>5000</v>
      </c>
      <c r="K2750" s="49" t="s">
        <v>6720</v>
      </c>
      <c r="L2750" s="46"/>
    </row>
    <row r="2751" spans="1:12" ht="25.5" x14ac:dyDescent="0.25">
      <c r="A2751" s="46" t="s">
        <v>11027</v>
      </c>
      <c r="B2751" s="46" t="s">
        <v>11648</v>
      </c>
      <c r="C2751" s="46" t="s">
        <v>14</v>
      </c>
      <c r="D2751" s="47">
        <v>12379</v>
      </c>
      <c r="E2751" s="46" t="s">
        <v>11028</v>
      </c>
      <c r="F2751" s="48">
        <v>41208</v>
      </c>
      <c r="G2751" s="46"/>
      <c r="H2751" s="46" t="s">
        <v>651</v>
      </c>
      <c r="I2751" s="45">
        <v>7700</v>
      </c>
      <c r="J2751" s="45">
        <v>3850</v>
      </c>
      <c r="K2751" s="49" t="s">
        <v>6720</v>
      </c>
      <c r="L2751" s="46"/>
    </row>
    <row r="2752" spans="1:12" ht="38.25" x14ac:dyDescent="0.25">
      <c r="A2752" s="46" t="s">
        <v>11047</v>
      </c>
      <c r="B2752" s="46" t="s">
        <v>11648</v>
      </c>
      <c r="C2752" s="46" t="s">
        <v>14</v>
      </c>
      <c r="D2752" s="47">
        <v>12447</v>
      </c>
      <c r="E2752" s="46" t="s">
        <v>11048</v>
      </c>
      <c r="F2752" s="48">
        <v>41275</v>
      </c>
      <c r="G2752" s="48">
        <v>41639</v>
      </c>
      <c r="H2752" s="46" t="s">
        <v>651</v>
      </c>
      <c r="I2752" s="45">
        <v>10718</v>
      </c>
      <c r="J2752" s="45">
        <v>5359</v>
      </c>
      <c r="K2752" s="49" t="s">
        <v>6720</v>
      </c>
      <c r="L2752" s="46"/>
    </row>
    <row r="2753" spans="1:13" ht="38.25" x14ac:dyDescent="0.25">
      <c r="A2753" s="46" t="s">
        <v>11049</v>
      </c>
      <c r="B2753" s="46" t="s">
        <v>11648</v>
      </c>
      <c r="C2753" s="46" t="s">
        <v>14</v>
      </c>
      <c r="D2753" s="47">
        <v>12448</v>
      </c>
      <c r="E2753" s="46" t="s">
        <v>11050</v>
      </c>
      <c r="F2753" s="48">
        <v>41275</v>
      </c>
      <c r="G2753" s="48">
        <v>41639</v>
      </c>
      <c r="H2753" s="46" t="s">
        <v>651</v>
      </c>
      <c r="I2753" s="45">
        <v>1720</v>
      </c>
      <c r="J2753" s="45">
        <v>860</v>
      </c>
      <c r="K2753" s="49" t="s">
        <v>6720</v>
      </c>
      <c r="L2753" s="46"/>
    </row>
    <row r="2754" spans="1:13" ht="38.25" x14ac:dyDescent="0.25">
      <c r="A2754" s="46" t="s">
        <v>11059</v>
      </c>
      <c r="B2754" s="46" t="s">
        <v>11648</v>
      </c>
      <c r="C2754" s="46" t="s">
        <v>14</v>
      </c>
      <c r="D2754" s="47">
        <v>12467</v>
      </c>
      <c r="E2754" s="46" t="s">
        <v>11060</v>
      </c>
      <c r="F2754" s="48">
        <v>41275</v>
      </c>
      <c r="G2754" s="48">
        <v>41639</v>
      </c>
      <c r="H2754" s="46" t="s">
        <v>651</v>
      </c>
      <c r="I2754" s="45">
        <v>2864</v>
      </c>
      <c r="J2754" s="45">
        <v>1432</v>
      </c>
      <c r="K2754" s="49" t="s">
        <v>6720</v>
      </c>
      <c r="L2754" s="46"/>
    </row>
    <row r="2755" spans="1:13" ht="25.5" x14ac:dyDescent="0.25">
      <c r="A2755" s="46" t="s">
        <v>11094</v>
      </c>
      <c r="B2755" s="46" t="s">
        <v>11648</v>
      </c>
      <c r="C2755" s="46" t="s">
        <v>14</v>
      </c>
      <c r="D2755" s="47">
        <v>12421</v>
      </c>
      <c r="E2755" s="46" t="s">
        <v>11095</v>
      </c>
      <c r="F2755" s="48">
        <v>41170</v>
      </c>
      <c r="G2755" s="48">
        <v>41523</v>
      </c>
      <c r="H2755" s="46" t="s">
        <v>651</v>
      </c>
      <c r="I2755" s="45">
        <v>20000</v>
      </c>
      <c r="J2755" s="45">
        <v>10000</v>
      </c>
      <c r="K2755" s="49" t="s">
        <v>7102</v>
      </c>
      <c r="L2755" s="46"/>
    </row>
    <row r="2756" spans="1:13" ht="25.5" x14ac:dyDescent="0.25">
      <c r="A2756" s="46" t="s">
        <v>11098</v>
      </c>
      <c r="B2756" s="46" t="s">
        <v>11648</v>
      </c>
      <c r="C2756" s="46" t="s">
        <v>14</v>
      </c>
      <c r="D2756" s="47">
        <v>12424</v>
      </c>
      <c r="E2756" s="46" t="s">
        <v>11099</v>
      </c>
      <c r="F2756" s="48">
        <v>41312</v>
      </c>
      <c r="G2756" s="48">
        <v>41596</v>
      </c>
      <c r="H2756" s="46" t="s">
        <v>651</v>
      </c>
      <c r="I2756" s="45">
        <v>8500</v>
      </c>
      <c r="J2756" s="45">
        <v>4250</v>
      </c>
      <c r="K2756" s="49" t="s">
        <v>7102</v>
      </c>
      <c r="L2756" s="46"/>
    </row>
    <row r="2757" spans="1:13" ht="38.25" x14ac:dyDescent="0.25">
      <c r="A2757" s="46" t="s">
        <v>11103</v>
      </c>
      <c r="B2757" s="46" t="s">
        <v>11648</v>
      </c>
      <c r="C2757" s="46" t="s">
        <v>14</v>
      </c>
      <c r="D2757" s="47">
        <v>12432</v>
      </c>
      <c r="E2757" s="46" t="s">
        <v>11104</v>
      </c>
      <c r="F2757" s="48">
        <v>41534</v>
      </c>
      <c r="G2757" s="48">
        <v>41628</v>
      </c>
      <c r="H2757" s="46" t="s">
        <v>651</v>
      </c>
      <c r="I2757" s="45">
        <v>4571</v>
      </c>
      <c r="J2757" s="45">
        <v>2556</v>
      </c>
      <c r="K2757" s="49" t="s">
        <v>7102</v>
      </c>
      <c r="L2757" s="46"/>
    </row>
    <row r="2758" spans="1:13" x14ac:dyDescent="0.25">
      <c r="A2758" s="46" t="s">
        <v>11133</v>
      </c>
      <c r="B2758" s="46" t="s">
        <v>11648</v>
      </c>
      <c r="C2758" s="46" t="s">
        <v>14</v>
      </c>
      <c r="D2758" s="47">
        <v>12255</v>
      </c>
      <c r="E2758" s="46" t="s">
        <v>11134</v>
      </c>
      <c r="F2758" s="48">
        <v>41275</v>
      </c>
      <c r="G2758" s="48">
        <v>41639</v>
      </c>
      <c r="H2758" s="46" t="s">
        <v>651</v>
      </c>
      <c r="I2758" s="45">
        <v>37776</v>
      </c>
      <c r="J2758" s="45">
        <v>18888</v>
      </c>
      <c r="K2758" s="49" t="s">
        <v>7941</v>
      </c>
      <c r="L2758" s="46"/>
    </row>
    <row r="2759" spans="1:13" ht="25.5" x14ac:dyDescent="0.25">
      <c r="A2759" s="46" t="s">
        <v>11268</v>
      </c>
      <c r="B2759" s="46" t="s">
        <v>11648</v>
      </c>
      <c r="C2759" s="46" t="s">
        <v>14</v>
      </c>
      <c r="D2759" s="47">
        <v>12198</v>
      </c>
      <c r="E2759" s="46" t="s">
        <v>11269</v>
      </c>
      <c r="F2759" s="48">
        <v>41331</v>
      </c>
      <c r="G2759" s="48">
        <v>41639</v>
      </c>
      <c r="H2759" s="46" t="s">
        <v>651</v>
      </c>
      <c r="I2759" s="45">
        <v>7348.56</v>
      </c>
      <c r="J2759" s="45">
        <v>3674.28</v>
      </c>
      <c r="K2759" s="49" t="s">
        <v>9243</v>
      </c>
      <c r="L2759" s="46"/>
    </row>
    <row r="2760" spans="1:13" ht="25.5" x14ac:dyDescent="0.25">
      <c r="A2760" s="46" t="s">
        <v>11272</v>
      </c>
      <c r="B2760" s="46" t="s">
        <v>11648</v>
      </c>
      <c r="C2760" s="46" t="s">
        <v>14</v>
      </c>
      <c r="D2760" s="47">
        <v>12200</v>
      </c>
      <c r="E2760" s="46" t="s">
        <v>11273</v>
      </c>
      <c r="F2760" s="48">
        <v>41331</v>
      </c>
      <c r="G2760" s="48">
        <v>41639</v>
      </c>
      <c r="H2760" s="46" t="s">
        <v>651</v>
      </c>
      <c r="I2760" s="45">
        <v>40000</v>
      </c>
      <c r="J2760" s="45">
        <v>20000</v>
      </c>
      <c r="K2760" s="49" t="s">
        <v>9243</v>
      </c>
      <c r="L2760" s="46"/>
    </row>
    <row r="2761" spans="1:13" x14ac:dyDescent="0.25">
      <c r="A2761" s="46" t="s">
        <v>11332</v>
      </c>
      <c r="B2761" s="46" t="s">
        <v>11648</v>
      </c>
      <c r="C2761" s="46" t="s">
        <v>14</v>
      </c>
      <c r="D2761" s="47">
        <v>12503</v>
      </c>
      <c r="E2761" s="46" t="s">
        <v>11333</v>
      </c>
      <c r="F2761" s="48">
        <v>41157</v>
      </c>
      <c r="G2761" s="48">
        <v>41521</v>
      </c>
      <c r="H2761" s="46" t="s">
        <v>651</v>
      </c>
      <c r="I2761" s="45">
        <v>8000</v>
      </c>
      <c r="J2761" s="45">
        <v>4000</v>
      </c>
      <c r="K2761" s="49" t="s">
        <v>9751</v>
      </c>
      <c r="L2761" s="46"/>
    </row>
    <row r="2762" spans="1:13" x14ac:dyDescent="0.25">
      <c r="A2762" s="46" t="s">
        <v>11350</v>
      </c>
      <c r="B2762" s="46" t="s">
        <v>11648</v>
      </c>
      <c r="C2762" s="46" t="s">
        <v>14</v>
      </c>
      <c r="D2762" s="47">
        <v>12525</v>
      </c>
      <c r="E2762" s="46" t="s">
        <v>11351</v>
      </c>
      <c r="F2762" s="48">
        <v>41087</v>
      </c>
      <c r="G2762" s="48">
        <v>41451</v>
      </c>
      <c r="H2762" s="46" t="s">
        <v>651</v>
      </c>
      <c r="I2762" s="45">
        <v>21080.62</v>
      </c>
      <c r="J2762" s="45">
        <v>10540.31</v>
      </c>
      <c r="K2762" s="49" t="s">
        <v>9751</v>
      </c>
      <c r="L2762" s="46"/>
    </row>
    <row r="2763" spans="1:13" ht="38.25" x14ac:dyDescent="0.25">
      <c r="A2763" s="46" t="s">
        <v>11354</v>
      </c>
      <c r="B2763" s="46" t="s">
        <v>11648</v>
      </c>
      <c r="C2763" s="46" t="s">
        <v>14</v>
      </c>
      <c r="D2763" s="47">
        <v>12527</v>
      </c>
      <c r="E2763" s="46" t="s">
        <v>11355</v>
      </c>
      <c r="F2763" s="48">
        <v>41157</v>
      </c>
      <c r="G2763" s="48">
        <v>41521</v>
      </c>
      <c r="H2763" s="46" t="s">
        <v>651</v>
      </c>
      <c r="I2763" s="45">
        <v>32100</v>
      </c>
      <c r="J2763" s="45">
        <v>16050</v>
      </c>
      <c r="K2763" s="49" t="s">
        <v>9751</v>
      </c>
      <c r="L2763" s="46"/>
    </row>
    <row r="2764" spans="1:13" ht="25.5" x14ac:dyDescent="0.25">
      <c r="A2764" s="46" t="s">
        <v>11372</v>
      </c>
      <c r="B2764" s="46" t="s">
        <v>11648</v>
      </c>
      <c r="C2764" s="46" t="s">
        <v>14</v>
      </c>
      <c r="D2764" s="47">
        <v>12536</v>
      </c>
      <c r="E2764" s="46" t="s">
        <v>11373</v>
      </c>
      <c r="F2764" s="48">
        <v>41327</v>
      </c>
      <c r="G2764" s="48">
        <v>41691</v>
      </c>
      <c r="H2764" s="46" t="s">
        <v>651</v>
      </c>
      <c r="I2764" s="45">
        <v>8941.36</v>
      </c>
      <c r="J2764" s="45">
        <v>4470.68</v>
      </c>
      <c r="K2764" s="49" t="s">
        <v>9751</v>
      </c>
      <c r="L2764" s="46"/>
    </row>
    <row r="2765" spans="1:13" x14ac:dyDescent="0.25">
      <c r="A2765" s="46" t="s">
        <v>8437</v>
      </c>
      <c r="B2765" s="46" t="s">
        <v>3197</v>
      </c>
      <c r="C2765" s="46" t="s">
        <v>14</v>
      </c>
      <c r="D2765" s="47">
        <v>430</v>
      </c>
      <c r="E2765" s="46" t="s">
        <v>8438</v>
      </c>
      <c r="F2765" s="48">
        <v>39505</v>
      </c>
      <c r="G2765" s="48">
        <v>39652</v>
      </c>
      <c r="H2765" s="46" t="s">
        <v>40</v>
      </c>
      <c r="I2765" s="45">
        <v>6900</v>
      </c>
      <c r="J2765" s="45">
        <v>3450</v>
      </c>
      <c r="K2765" s="49" t="s">
        <v>8348</v>
      </c>
      <c r="L2765" s="45"/>
      <c r="M2765" s="3"/>
    </row>
    <row r="2766" spans="1:13" x14ac:dyDescent="0.25">
      <c r="A2766" s="46" t="s">
        <v>9321</v>
      </c>
      <c r="B2766" s="46" t="s">
        <v>3197</v>
      </c>
      <c r="C2766" s="46" t="s">
        <v>14</v>
      </c>
      <c r="D2766" s="47">
        <v>905</v>
      </c>
      <c r="E2766" s="46" t="s">
        <v>9322</v>
      </c>
      <c r="F2766" s="48">
        <v>39133</v>
      </c>
      <c r="G2766" s="48">
        <v>41639</v>
      </c>
      <c r="H2766" s="46" t="s">
        <v>40</v>
      </c>
      <c r="I2766" s="45">
        <v>10200</v>
      </c>
      <c r="J2766" s="45">
        <v>5100</v>
      </c>
      <c r="K2766" s="49" t="s">
        <v>9243</v>
      </c>
      <c r="L2766" s="46"/>
    </row>
    <row r="2767" spans="1:13" ht="25.5" x14ac:dyDescent="0.25">
      <c r="A2767" s="46" t="s">
        <v>9495</v>
      </c>
      <c r="B2767" s="46" t="s">
        <v>3197</v>
      </c>
      <c r="C2767" s="46" t="s">
        <v>14</v>
      </c>
      <c r="D2767" s="47">
        <v>5275</v>
      </c>
      <c r="E2767" s="46" t="s">
        <v>9496</v>
      </c>
      <c r="F2767" s="48">
        <v>40140</v>
      </c>
      <c r="G2767" s="48">
        <v>40140</v>
      </c>
      <c r="H2767" s="46" t="s">
        <v>40</v>
      </c>
      <c r="I2767" s="45">
        <v>10200</v>
      </c>
      <c r="J2767" s="45">
        <v>5100</v>
      </c>
      <c r="K2767" s="49" t="s">
        <v>9243</v>
      </c>
      <c r="L2767" s="46"/>
    </row>
    <row r="2768" spans="1:13" ht="25.5" x14ac:dyDescent="0.25">
      <c r="A2768" s="46" t="s">
        <v>9497</v>
      </c>
      <c r="B2768" s="46" t="s">
        <v>3197</v>
      </c>
      <c r="C2768" s="46" t="s">
        <v>14</v>
      </c>
      <c r="D2768" s="47">
        <v>5276</v>
      </c>
      <c r="E2768" s="46" t="s">
        <v>9498</v>
      </c>
      <c r="F2768" s="48">
        <v>40140</v>
      </c>
      <c r="G2768" s="48">
        <v>40140</v>
      </c>
      <c r="H2768" s="46" t="s">
        <v>40</v>
      </c>
      <c r="I2768" s="45">
        <v>932</v>
      </c>
      <c r="J2768" s="45">
        <v>466</v>
      </c>
      <c r="K2768" s="49" t="s">
        <v>9243</v>
      </c>
      <c r="L2768" s="46"/>
    </row>
    <row r="2769" spans="1:13" x14ac:dyDescent="0.25">
      <c r="A2769" s="46" t="s">
        <v>4293</v>
      </c>
      <c r="B2769" s="46" t="s">
        <v>4294</v>
      </c>
      <c r="C2769" s="46" t="s">
        <v>14</v>
      </c>
      <c r="D2769" s="47">
        <v>10649</v>
      </c>
      <c r="E2769" s="46" t="s">
        <v>4295</v>
      </c>
      <c r="F2769" s="48">
        <v>40982</v>
      </c>
      <c r="G2769" s="46"/>
      <c r="H2769" s="46" t="s">
        <v>40</v>
      </c>
      <c r="I2769" s="45">
        <v>10000</v>
      </c>
      <c r="J2769" s="45">
        <v>5000</v>
      </c>
      <c r="K2769" s="49" t="s">
        <v>4035</v>
      </c>
      <c r="L2769" s="45"/>
      <c r="M2769" s="3"/>
    </row>
    <row r="2770" spans="1:13" ht="25.5" x14ac:dyDescent="0.25">
      <c r="A2770" s="46" t="s">
        <v>10624</v>
      </c>
      <c r="B2770" s="46" t="s">
        <v>10625</v>
      </c>
      <c r="C2770" s="46" t="s">
        <v>14</v>
      </c>
      <c r="D2770" s="47">
        <v>12796</v>
      </c>
      <c r="E2770" s="46" t="s">
        <v>10626</v>
      </c>
      <c r="F2770" s="48">
        <v>41220</v>
      </c>
      <c r="G2770" s="46"/>
      <c r="H2770" s="46" t="s">
        <v>651</v>
      </c>
      <c r="I2770" s="45">
        <v>39723.480000000003</v>
      </c>
      <c r="J2770" s="45">
        <v>19861.740000000002</v>
      </c>
      <c r="K2770" s="49" t="s">
        <v>4035</v>
      </c>
      <c r="L2770" s="46"/>
    </row>
    <row r="2771" spans="1:13" ht="25.5" x14ac:dyDescent="0.25">
      <c r="A2771" s="46" t="s">
        <v>10635</v>
      </c>
      <c r="B2771" s="46" t="s">
        <v>10625</v>
      </c>
      <c r="C2771" s="46" t="s">
        <v>14</v>
      </c>
      <c r="D2771" s="47">
        <v>12801</v>
      </c>
      <c r="E2771" s="46" t="s">
        <v>10636</v>
      </c>
      <c r="F2771" s="48">
        <v>41157</v>
      </c>
      <c r="G2771" s="46"/>
      <c r="H2771" s="46" t="s">
        <v>651</v>
      </c>
      <c r="I2771" s="45">
        <v>10000</v>
      </c>
      <c r="J2771" s="45">
        <v>5000</v>
      </c>
      <c r="K2771" s="49" t="s">
        <v>4035</v>
      </c>
      <c r="L2771" s="46"/>
    </row>
    <row r="2772" spans="1:13" x14ac:dyDescent="0.25">
      <c r="A2772" s="46" t="s">
        <v>10637</v>
      </c>
      <c r="B2772" s="46" t="s">
        <v>10625</v>
      </c>
      <c r="C2772" s="46" t="s">
        <v>14</v>
      </c>
      <c r="D2772" s="47">
        <v>12802</v>
      </c>
      <c r="E2772" s="46" t="s">
        <v>10638</v>
      </c>
      <c r="F2772" s="48">
        <v>41339</v>
      </c>
      <c r="G2772" s="46"/>
      <c r="H2772" s="46" t="s">
        <v>651</v>
      </c>
      <c r="I2772" s="45">
        <v>10000</v>
      </c>
      <c r="J2772" s="45">
        <v>5000</v>
      </c>
      <c r="K2772" s="49" t="s">
        <v>4035</v>
      </c>
      <c r="L2772" s="46"/>
    </row>
    <row r="2773" spans="1:13" ht="25.5" x14ac:dyDescent="0.25">
      <c r="A2773" s="46" t="s">
        <v>11378</v>
      </c>
      <c r="B2773" s="46" t="s">
        <v>10625</v>
      </c>
      <c r="C2773" s="46" t="s">
        <v>14</v>
      </c>
      <c r="D2773" s="47">
        <v>12554</v>
      </c>
      <c r="E2773" s="46" t="s">
        <v>11379</v>
      </c>
      <c r="F2773" s="48">
        <v>41571</v>
      </c>
      <c r="G2773" s="48">
        <v>41639</v>
      </c>
      <c r="H2773" s="46" t="s">
        <v>651</v>
      </c>
      <c r="I2773" s="45">
        <v>19500</v>
      </c>
      <c r="J2773" s="45">
        <v>9750</v>
      </c>
      <c r="K2773" s="49" t="s">
        <v>8348</v>
      </c>
      <c r="L2773" s="46"/>
    </row>
    <row r="2774" spans="1:13" ht="25.5" x14ac:dyDescent="0.25">
      <c r="A2774" s="46" t="s">
        <v>11160</v>
      </c>
      <c r="B2774" s="46" t="s">
        <v>10625</v>
      </c>
      <c r="C2774" s="46" t="s">
        <v>14</v>
      </c>
      <c r="D2774" s="47">
        <v>12560</v>
      </c>
      <c r="E2774" s="46" t="s">
        <v>11161</v>
      </c>
      <c r="F2774" s="48">
        <v>41571</v>
      </c>
      <c r="G2774" s="48">
        <v>41639</v>
      </c>
      <c r="H2774" s="46" t="s">
        <v>651</v>
      </c>
      <c r="I2774" s="45">
        <v>10594</v>
      </c>
      <c r="J2774" s="45">
        <v>5297</v>
      </c>
      <c r="K2774" s="49" t="s">
        <v>8348</v>
      </c>
      <c r="L2774" s="46"/>
    </row>
    <row r="2775" spans="1:13" x14ac:dyDescent="0.25">
      <c r="A2775" s="46" t="s">
        <v>3115</v>
      </c>
      <c r="B2775" s="46" t="s">
        <v>3116</v>
      </c>
      <c r="C2775" s="46" t="s">
        <v>14</v>
      </c>
      <c r="D2775" s="47">
        <v>720</v>
      </c>
      <c r="E2775" s="46" t="s">
        <v>3117</v>
      </c>
      <c r="F2775" s="48">
        <v>39162</v>
      </c>
      <c r="G2775" s="48">
        <v>39528</v>
      </c>
      <c r="H2775" s="46" t="s">
        <v>40</v>
      </c>
      <c r="I2775" s="45">
        <v>130000</v>
      </c>
      <c r="J2775" s="45">
        <v>65000</v>
      </c>
      <c r="K2775" s="49" t="s">
        <v>2650</v>
      </c>
      <c r="L2775" s="45"/>
      <c r="M2775" s="3"/>
    </row>
    <row r="2776" spans="1:13" x14ac:dyDescent="0.25">
      <c r="A2776" s="46" t="s">
        <v>3131</v>
      </c>
      <c r="B2776" s="46" t="s">
        <v>3116</v>
      </c>
      <c r="C2776" s="46" t="s">
        <v>14</v>
      </c>
      <c r="D2776" s="47">
        <v>755</v>
      </c>
      <c r="E2776" s="46" t="s">
        <v>3132</v>
      </c>
      <c r="F2776" s="48">
        <v>39211</v>
      </c>
      <c r="G2776" s="48">
        <v>39577</v>
      </c>
      <c r="H2776" s="46" t="s">
        <v>40</v>
      </c>
      <c r="I2776" s="45">
        <v>140000</v>
      </c>
      <c r="J2776" s="45">
        <v>70000</v>
      </c>
      <c r="K2776" s="49" t="s">
        <v>2650</v>
      </c>
      <c r="L2776" s="45"/>
      <c r="M2776" s="3"/>
    </row>
    <row r="2777" spans="1:13" x14ac:dyDescent="0.25">
      <c r="A2777" s="46" t="s">
        <v>3154</v>
      </c>
      <c r="B2777" s="46" t="s">
        <v>3116</v>
      </c>
      <c r="C2777" s="46" t="s">
        <v>14</v>
      </c>
      <c r="D2777" s="47">
        <v>788</v>
      </c>
      <c r="E2777" s="46" t="s">
        <v>3155</v>
      </c>
      <c r="F2777" s="48">
        <v>39343</v>
      </c>
      <c r="G2777" s="48">
        <v>39709</v>
      </c>
      <c r="H2777" s="46" t="s">
        <v>40</v>
      </c>
      <c r="I2777" s="45">
        <v>80000</v>
      </c>
      <c r="J2777" s="45">
        <v>40000</v>
      </c>
      <c r="K2777" s="49" t="s">
        <v>2650</v>
      </c>
      <c r="L2777" s="45"/>
      <c r="M2777" s="3"/>
    </row>
    <row r="2778" spans="1:13" x14ac:dyDescent="0.25">
      <c r="A2778" s="46" t="s">
        <v>4120</v>
      </c>
      <c r="B2778" s="46" t="s">
        <v>3116</v>
      </c>
      <c r="C2778" s="46" t="s">
        <v>14</v>
      </c>
      <c r="D2778" s="47">
        <v>2611</v>
      </c>
      <c r="E2778" s="46" t="s">
        <v>4121</v>
      </c>
      <c r="F2778" s="48">
        <v>39274</v>
      </c>
      <c r="G2778" s="48">
        <v>39644</v>
      </c>
      <c r="H2778" s="46" t="s">
        <v>40</v>
      </c>
      <c r="I2778" s="45">
        <v>150000</v>
      </c>
      <c r="J2778" s="45">
        <v>75000</v>
      </c>
      <c r="K2778" s="49" t="s">
        <v>4035</v>
      </c>
      <c r="L2778" s="45"/>
      <c r="M2778" s="3"/>
    </row>
    <row r="2779" spans="1:13" x14ac:dyDescent="0.25">
      <c r="A2779" s="46" t="s">
        <v>4156</v>
      </c>
      <c r="B2779" s="46" t="s">
        <v>3116</v>
      </c>
      <c r="C2779" s="46" t="s">
        <v>14</v>
      </c>
      <c r="D2779" s="47">
        <v>4686</v>
      </c>
      <c r="E2779" s="46" t="s">
        <v>4155</v>
      </c>
      <c r="F2779" s="48">
        <v>39876</v>
      </c>
      <c r="G2779" s="48">
        <v>40008</v>
      </c>
      <c r="H2779" s="46" t="s">
        <v>40</v>
      </c>
      <c r="I2779" s="45">
        <v>136000</v>
      </c>
      <c r="J2779" s="45">
        <v>68000</v>
      </c>
      <c r="K2779" s="49" t="s">
        <v>4035</v>
      </c>
      <c r="L2779" s="45"/>
      <c r="M2779" s="3"/>
    </row>
    <row r="2780" spans="1:13" x14ac:dyDescent="0.25">
      <c r="A2780" s="46" t="s">
        <v>8954</v>
      </c>
      <c r="B2780" s="46" t="s">
        <v>3116</v>
      </c>
      <c r="C2780" s="46" t="s">
        <v>14</v>
      </c>
      <c r="D2780" s="47">
        <v>1841</v>
      </c>
      <c r="E2780" s="46" t="s">
        <v>8955</v>
      </c>
      <c r="F2780" s="48">
        <v>39188</v>
      </c>
      <c r="G2780" s="48">
        <v>39218</v>
      </c>
      <c r="H2780" s="46" t="s">
        <v>40</v>
      </c>
      <c r="I2780" s="45">
        <v>72000</v>
      </c>
      <c r="J2780" s="45">
        <v>36000</v>
      </c>
      <c r="K2780" s="49" t="s">
        <v>8905</v>
      </c>
      <c r="L2780" s="45"/>
      <c r="M2780" s="3"/>
    </row>
    <row r="2781" spans="1:13" x14ac:dyDescent="0.2">
      <c r="A2781" s="46" t="s">
        <v>3683</v>
      </c>
      <c r="B2781" s="46" t="s">
        <v>3684</v>
      </c>
      <c r="C2781" s="46" t="s">
        <v>14</v>
      </c>
      <c r="D2781" s="47">
        <v>1624</v>
      </c>
      <c r="E2781" s="46" t="s">
        <v>3685</v>
      </c>
      <c r="F2781" s="48">
        <v>39434</v>
      </c>
      <c r="G2781" s="46"/>
      <c r="H2781" s="46" t="s">
        <v>40</v>
      </c>
      <c r="I2781" s="45">
        <v>150000</v>
      </c>
      <c r="J2781" s="45">
        <v>75000</v>
      </c>
      <c r="K2781" s="88" t="s">
        <v>11651</v>
      </c>
      <c r="L2781" s="45"/>
      <c r="M2781" s="3"/>
    </row>
    <row r="2782" spans="1:13" x14ac:dyDescent="0.25">
      <c r="A2782" s="46" t="s">
        <v>989</v>
      </c>
      <c r="B2782" s="46" t="s">
        <v>990</v>
      </c>
      <c r="C2782" s="46" t="s">
        <v>14</v>
      </c>
      <c r="D2782" s="47">
        <v>498</v>
      </c>
      <c r="E2782" s="46" t="s">
        <v>991</v>
      </c>
      <c r="F2782" s="48">
        <v>39349</v>
      </c>
      <c r="G2782" s="46"/>
      <c r="H2782" s="46" t="s">
        <v>40</v>
      </c>
      <c r="I2782" s="45">
        <v>40000</v>
      </c>
      <c r="J2782" s="45">
        <v>20000</v>
      </c>
      <c r="K2782" s="49" t="s">
        <v>790</v>
      </c>
      <c r="L2782" s="45"/>
      <c r="M2782" s="3"/>
    </row>
    <row r="2783" spans="1:13" x14ac:dyDescent="0.25">
      <c r="A2783" s="46" t="s">
        <v>998</v>
      </c>
      <c r="B2783" s="46" t="s">
        <v>990</v>
      </c>
      <c r="C2783" s="46" t="s">
        <v>14</v>
      </c>
      <c r="D2783" s="47">
        <v>504</v>
      </c>
      <c r="E2783" s="46" t="s">
        <v>999</v>
      </c>
      <c r="F2783" s="48">
        <v>39176</v>
      </c>
      <c r="G2783" s="46"/>
      <c r="H2783" s="46" t="s">
        <v>40</v>
      </c>
      <c r="I2783" s="45">
        <v>80000</v>
      </c>
      <c r="J2783" s="45">
        <v>40000</v>
      </c>
      <c r="K2783" s="49" t="s">
        <v>790</v>
      </c>
      <c r="L2783" s="45"/>
      <c r="M2783" s="3"/>
    </row>
    <row r="2784" spans="1:13" x14ac:dyDescent="0.25">
      <c r="A2784" s="46" t="s">
        <v>1004</v>
      </c>
      <c r="B2784" s="46" t="s">
        <v>990</v>
      </c>
      <c r="C2784" s="46" t="s">
        <v>14</v>
      </c>
      <c r="D2784" s="47">
        <v>509</v>
      </c>
      <c r="E2784" s="46" t="s">
        <v>1005</v>
      </c>
      <c r="F2784" s="48">
        <v>39496</v>
      </c>
      <c r="G2784" s="46"/>
      <c r="H2784" s="46" t="s">
        <v>40</v>
      </c>
      <c r="I2784" s="45">
        <v>90000</v>
      </c>
      <c r="J2784" s="45">
        <v>45000</v>
      </c>
      <c r="K2784" s="49" t="s">
        <v>790</v>
      </c>
      <c r="L2784" s="45"/>
      <c r="M2784" s="3"/>
    </row>
    <row r="2785" spans="1:60" x14ac:dyDescent="0.25">
      <c r="A2785" s="46" t="s">
        <v>1006</v>
      </c>
      <c r="B2785" s="46" t="s">
        <v>990</v>
      </c>
      <c r="C2785" s="46" t="s">
        <v>14</v>
      </c>
      <c r="D2785" s="47">
        <v>510</v>
      </c>
      <c r="E2785" s="46" t="s">
        <v>1007</v>
      </c>
      <c r="F2785" s="48">
        <v>39611</v>
      </c>
      <c r="G2785" s="46"/>
      <c r="H2785" s="46" t="s">
        <v>40</v>
      </c>
      <c r="I2785" s="45">
        <v>132120</v>
      </c>
      <c r="J2785" s="45">
        <v>66060</v>
      </c>
      <c r="K2785" s="49" t="s">
        <v>790</v>
      </c>
      <c r="L2785" s="45"/>
      <c r="M2785" s="3"/>
    </row>
    <row r="2786" spans="1:60" x14ac:dyDescent="0.25">
      <c r="A2786" s="46" t="s">
        <v>1012</v>
      </c>
      <c r="B2786" s="46" t="s">
        <v>990</v>
      </c>
      <c r="C2786" s="46" t="s">
        <v>14</v>
      </c>
      <c r="D2786" s="47">
        <v>514</v>
      </c>
      <c r="E2786" s="46" t="s">
        <v>1013</v>
      </c>
      <c r="F2786" s="48">
        <v>39611</v>
      </c>
      <c r="G2786" s="46"/>
      <c r="H2786" s="46" t="s">
        <v>40</v>
      </c>
      <c r="I2786" s="45">
        <v>90000</v>
      </c>
      <c r="J2786" s="45">
        <v>45000</v>
      </c>
      <c r="K2786" s="49" t="s">
        <v>790</v>
      </c>
      <c r="L2786" s="45"/>
      <c r="M2786" s="3"/>
    </row>
    <row r="2787" spans="1:60" x14ac:dyDescent="0.25">
      <c r="A2787" s="46" t="s">
        <v>1205</v>
      </c>
      <c r="B2787" s="46" t="s">
        <v>990</v>
      </c>
      <c r="C2787" s="46" t="s">
        <v>14</v>
      </c>
      <c r="D2787" s="47">
        <v>2971</v>
      </c>
      <c r="E2787" s="46" t="s">
        <v>1206</v>
      </c>
      <c r="F2787" s="48">
        <v>39611</v>
      </c>
      <c r="G2787" s="46"/>
      <c r="H2787" s="46" t="s">
        <v>40</v>
      </c>
      <c r="I2787" s="45">
        <v>40000</v>
      </c>
      <c r="J2787" s="45">
        <v>20000</v>
      </c>
      <c r="K2787" s="49" t="s">
        <v>790</v>
      </c>
      <c r="L2787" s="45"/>
      <c r="M2787" s="3"/>
    </row>
    <row r="2788" spans="1:60" s="9" customFormat="1" x14ac:dyDescent="0.25">
      <c r="A2788" s="46" t="s">
        <v>1234</v>
      </c>
      <c r="B2788" s="46" t="s">
        <v>990</v>
      </c>
      <c r="C2788" s="46" t="s">
        <v>14</v>
      </c>
      <c r="D2788" s="47">
        <v>3149</v>
      </c>
      <c r="E2788" s="46" t="s">
        <v>1235</v>
      </c>
      <c r="F2788" s="48">
        <v>39083</v>
      </c>
      <c r="G2788" s="48">
        <v>41639</v>
      </c>
      <c r="H2788" s="46" t="s">
        <v>40</v>
      </c>
      <c r="I2788" s="45">
        <v>50000</v>
      </c>
      <c r="J2788" s="45">
        <v>25000</v>
      </c>
      <c r="K2788" s="49" t="s">
        <v>790</v>
      </c>
      <c r="L2788" s="45"/>
      <c r="M2788" s="3"/>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row>
    <row r="2789" spans="1:60" x14ac:dyDescent="0.25">
      <c r="A2789" s="46" t="s">
        <v>1242</v>
      </c>
      <c r="B2789" s="46" t="s">
        <v>990</v>
      </c>
      <c r="C2789" s="46" t="s">
        <v>14</v>
      </c>
      <c r="D2789" s="47">
        <v>3153</v>
      </c>
      <c r="E2789" s="46" t="s">
        <v>1243</v>
      </c>
      <c r="F2789" s="48">
        <v>39083</v>
      </c>
      <c r="G2789" s="48">
        <v>41639</v>
      </c>
      <c r="H2789" s="46" t="s">
        <v>40</v>
      </c>
      <c r="I2789" s="45">
        <v>100000</v>
      </c>
      <c r="J2789" s="45">
        <v>50000</v>
      </c>
      <c r="K2789" s="49" t="s">
        <v>790</v>
      </c>
      <c r="L2789" s="45"/>
      <c r="M2789" s="3"/>
    </row>
    <row r="2790" spans="1:60" ht="25.5" x14ac:dyDescent="0.25">
      <c r="A2790" s="46" t="s">
        <v>1392</v>
      </c>
      <c r="B2790" s="46" t="s">
        <v>990</v>
      </c>
      <c r="C2790" s="46" t="s">
        <v>14</v>
      </c>
      <c r="D2790" s="47">
        <v>5594</v>
      </c>
      <c r="E2790" s="46" t="s">
        <v>1393</v>
      </c>
      <c r="F2790" s="48">
        <v>39814</v>
      </c>
      <c r="G2790" s="48">
        <v>41639</v>
      </c>
      <c r="H2790" s="46" t="s">
        <v>40</v>
      </c>
      <c r="I2790" s="45">
        <v>51000</v>
      </c>
      <c r="J2790" s="45">
        <v>25500</v>
      </c>
      <c r="K2790" s="49" t="s">
        <v>790</v>
      </c>
      <c r="L2790" s="45"/>
      <c r="M2790" s="3"/>
    </row>
    <row r="2791" spans="1:60" x14ac:dyDescent="0.25">
      <c r="A2791" s="46" t="s">
        <v>1396</v>
      </c>
      <c r="B2791" s="46" t="s">
        <v>990</v>
      </c>
      <c r="C2791" s="46" t="s">
        <v>14</v>
      </c>
      <c r="D2791" s="47">
        <v>5599</v>
      </c>
      <c r="E2791" s="46" t="s">
        <v>1001</v>
      </c>
      <c r="F2791" s="48">
        <v>39448</v>
      </c>
      <c r="G2791" s="48">
        <v>41639</v>
      </c>
      <c r="H2791" s="46" t="s">
        <v>40</v>
      </c>
      <c r="I2791" s="45">
        <v>50000</v>
      </c>
      <c r="J2791" s="45">
        <v>25000</v>
      </c>
      <c r="K2791" s="49" t="s">
        <v>790</v>
      </c>
      <c r="L2791" s="45"/>
      <c r="M2791" s="3"/>
    </row>
    <row r="2792" spans="1:60" x14ac:dyDescent="0.2">
      <c r="A2792" s="46" t="s">
        <v>3632</v>
      </c>
      <c r="B2792" s="46" t="s">
        <v>990</v>
      </c>
      <c r="C2792" s="46" t="s">
        <v>14</v>
      </c>
      <c r="D2792" s="47">
        <v>1007</v>
      </c>
      <c r="E2792" s="46" t="s">
        <v>3633</v>
      </c>
      <c r="F2792" s="48">
        <v>39140</v>
      </c>
      <c r="G2792" s="46"/>
      <c r="H2792" s="46" t="s">
        <v>40</v>
      </c>
      <c r="I2792" s="45">
        <v>120000</v>
      </c>
      <c r="J2792" s="45">
        <v>60000</v>
      </c>
      <c r="K2792" s="88" t="s">
        <v>11651</v>
      </c>
      <c r="L2792" s="45"/>
      <c r="M2792" s="3"/>
    </row>
    <row r="2793" spans="1:60" x14ac:dyDescent="0.2">
      <c r="A2793" s="46" t="s">
        <v>3634</v>
      </c>
      <c r="B2793" s="46" t="s">
        <v>990</v>
      </c>
      <c r="C2793" s="46" t="s">
        <v>14</v>
      </c>
      <c r="D2793" s="47">
        <v>1021</v>
      </c>
      <c r="E2793" s="46" t="s">
        <v>3635</v>
      </c>
      <c r="F2793" s="48">
        <v>39196</v>
      </c>
      <c r="G2793" s="46"/>
      <c r="H2793" s="46" t="s">
        <v>40</v>
      </c>
      <c r="I2793" s="45">
        <v>50000</v>
      </c>
      <c r="J2793" s="45">
        <v>25000</v>
      </c>
      <c r="K2793" s="88" t="s">
        <v>11651</v>
      </c>
      <c r="L2793" s="45"/>
      <c r="M2793" s="3"/>
    </row>
    <row r="2794" spans="1:60" ht="25.5" x14ac:dyDescent="0.2">
      <c r="A2794" s="46" t="s">
        <v>3636</v>
      </c>
      <c r="B2794" s="46" t="s">
        <v>990</v>
      </c>
      <c r="C2794" s="46" t="s">
        <v>14</v>
      </c>
      <c r="D2794" s="47">
        <v>1053</v>
      </c>
      <c r="E2794" s="46" t="s">
        <v>3637</v>
      </c>
      <c r="F2794" s="48">
        <v>39105</v>
      </c>
      <c r="G2794" s="46"/>
      <c r="H2794" s="46" t="s">
        <v>40</v>
      </c>
      <c r="I2794" s="45">
        <v>40820</v>
      </c>
      <c r="J2794" s="45">
        <v>40820</v>
      </c>
      <c r="K2794" s="88" t="s">
        <v>11651</v>
      </c>
      <c r="L2794" s="45"/>
      <c r="M2794" s="3"/>
    </row>
    <row r="2795" spans="1:60" x14ac:dyDescent="0.2">
      <c r="A2795" s="46" t="s">
        <v>3642</v>
      </c>
      <c r="B2795" s="46" t="s">
        <v>990</v>
      </c>
      <c r="C2795" s="46" t="s">
        <v>14</v>
      </c>
      <c r="D2795" s="47">
        <v>1056</v>
      </c>
      <c r="E2795" s="46" t="s">
        <v>3643</v>
      </c>
      <c r="F2795" s="48">
        <v>39140</v>
      </c>
      <c r="G2795" s="46"/>
      <c r="H2795" s="46" t="s">
        <v>40</v>
      </c>
      <c r="I2795" s="45">
        <v>160000</v>
      </c>
      <c r="J2795" s="45">
        <v>80000</v>
      </c>
      <c r="K2795" s="88" t="s">
        <v>11651</v>
      </c>
      <c r="L2795" s="45"/>
      <c r="M2795" s="3"/>
    </row>
    <row r="2796" spans="1:60" x14ac:dyDescent="0.2">
      <c r="A2796" s="46" t="s">
        <v>3644</v>
      </c>
      <c r="B2796" s="46" t="s">
        <v>990</v>
      </c>
      <c r="C2796" s="46" t="s">
        <v>14</v>
      </c>
      <c r="D2796" s="47">
        <v>1057</v>
      </c>
      <c r="E2796" s="46" t="s">
        <v>3645</v>
      </c>
      <c r="F2796" s="48">
        <v>39105</v>
      </c>
      <c r="G2796" s="46"/>
      <c r="H2796" s="46" t="s">
        <v>40</v>
      </c>
      <c r="I2796" s="45">
        <v>150000</v>
      </c>
      <c r="J2796" s="45">
        <v>75000</v>
      </c>
      <c r="K2796" s="88" t="s">
        <v>11651</v>
      </c>
      <c r="L2796" s="45"/>
      <c r="M2796" s="3"/>
    </row>
    <row r="2797" spans="1:60" x14ac:dyDescent="0.2">
      <c r="A2797" s="46" t="s">
        <v>3665</v>
      </c>
      <c r="B2797" s="46" t="s">
        <v>990</v>
      </c>
      <c r="C2797" s="46" t="s">
        <v>14</v>
      </c>
      <c r="D2797" s="47">
        <v>1156</v>
      </c>
      <c r="E2797" s="46" t="s">
        <v>3666</v>
      </c>
      <c r="F2797" s="48">
        <v>39287</v>
      </c>
      <c r="G2797" s="46"/>
      <c r="H2797" s="46" t="s">
        <v>40</v>
      </c>
      <c r="I2797" s="45">
        <v>75000</v>
      </c>
      <c r="J2797" s="45">
        <v>37500</v>
      </c>
      <c r="K2797" s="88" t="s">
        <v>11651</v>
      </c>
      <c r="L2797" s="45"/>
      <c r="M2797" s="3"/>
    </row>
    <row r="2798" spans="1:60" x14ac:dyDescent="0.2">
      <c r="A2798" s="46" t="s">
        <v>3669</v>
      </c>
      <c r="B2798" s="46" t="s">
        <v>990</v>
      </c>
      <c r="C2798" s="46" t="s">
        <v>14</v>
      </c>
      <c r="D2798" s="47">
        <v>1166</v>
      </c>
      <c r="E2798" s="46" t="s">
        <v>3670</v>
      </c>
      <c r="F2798" s="48">
        <v>39259</v>
      </c>
      <c r="G2798" s="46"/>
      <c r="H2798" s="46" t="s">
        <v>40</v>
      </c>
      <c r="I2798" s="45">
        <v>66405.62</v>
      </c>
      <c r="J2798" s="45">
        <v>33202.81</v>
      </c>
      <c r="K2798" s="88" t="s">
        <v>11651</v>
      </c>
      <c r="L2798" s="45"/>
      <c r="M2798" s="3"/>
    </row>
    <row r="2799" spans="1:60" x14ac:dyDescent="0.2">
      <c r="A2799" s="46" t="s">
        <v>3671</v>
      </c>
      <c r="B2799" s="46" t="s">
        <v>990</v>
      </c>
      <c r="C2799" s="46" t="s">
        <v>14</v>
      </c>
      <c r="D2799" s="47">
        <v>1267</v>
      </c>
      <c r="E2799" s="46" t="s">
        <v>3672</v>
      </c>
      <c r="F2799" s="48">
        <v>39623</v>
      </c>
      <c r="G2799" s="46"/>
      <c r="H2799" s="46" t="s">
        <v>40</v>
      </c>
      <c r="I2799" s="45">
        <v>50000</v>
      </c>
      <c r="J2799" s="45">
        <v>25000</v>
      </c>
      <c r="K2799" s="88" t="s">
        <v>11651</v>
      </c>
      <c r="L2799" s="45"/>
      <c r="M2799" s="3"/>
    </row>
    <row r="2800" spans="1:60" x14ac:dyDescent="0.2">
      <c r="A2800" s="46" t="s">
        <v>3692</v>
      </c>
      <c r="B2800" s="46" t="s">
        <v>990</v>
      </c>
      <c r="C2800" s="46" t="s">
        <v>14</v>
      </c>
      <c r="D2800" s="47">
        <v>1637</v>
      </c>
      <c r="E2800" s="46" t="s">
        <v>3693</v>
      </c>
      <c r="F2800" s="48">
        <v>39469</v>
      </c>
      <c r="G2800" s="46"/>
      <c r="H2800" s="46" t="s">
        <v>40</v>
      </c>
      <c r="I2800" s="45">
        <v>60000</v>
      </c>
      <c r="J2800" s="45">
        <v>30000</v>
      </c>
      <c r="K2800" s="88" t="s">
        <v>11651</v>
      </c>
      <c r="L2800" s="45"/>
      <c r="M2800" s="3"/>
    </row>
    <row r="2801" spans="1:13" x14ac:dyDescent="0.2">
      <c r="A2801" s="46" t="s">
        <v>3694</v>
      </c>
      <c r="B2801" s="46" t="s">
        <v>990</v>
      </c>
      <c r="C2801" s="46" t="s">
        <v>14</v>
      </c>
      <c r="D2801" s="47">
        <v>1638</v>
      </c>
      <c r="E2801" s="46" t="s">
        <v>3695</v>
      </c>
      <c r="F2801" s="48">
        <v>39469</v>
      </c>
      <c r="G2801" s="46"/>
      <c r="H2801" s="46" t="s">
        <v>40</v>
      </c>
      <c r="I2801" s="45">
        <v>80000</v>
      </c>
      <c r="J2801" s="45">
        <v>40000</v>
      </c>
      <c r="K2801" s="88" t="s">
        <v>11651</v>
      </c>
      <c r="L2801" s="45"/>
      <c r="M2801" s="3"/>
    </row>
    <row r="2802" spans="1:13" x14ac:dyDescent="0.2">
      <c r="A2802" s="46" t="s">
        <v>3696</v>
      </c>
      <c r="B2802" s="46" t="s">
        <v>990</v>
      </c>
      <c r="C2802" s="46" t="s">
        <v>14</v>
      </c>
      <c r="D2802" s="47">
        <v>1641</v>
      </c>
      <c r="E2802" s="46" t="s">
        <v>3697</v>
      </c>
      <c r="F2802" s="48">
        <v>39434</v>
      </c>
      <c r="G2802" s="46"/>
      <c r="H2802" s="46" t="s">
        <v>40</v>
      </c>
      <c r="I2802" s="45">
        <v>100000</v>
      </c>
      <c r="J2802" s="45">
        <v>50000</v>
      </c>
      <c r="K2802" s="88" t="s">
        <v>11651</v>
      </c>
      <c r="L2802" s="45"/>
      <c r="M2802" s="3"/>
    </row>
    <row r="2803" spans="1:13" ht="25.5" x14ac:dyDescent="0.2">
      <c r="A2803" s="46" t="s">
        <v>3772</v>
      </c>
      <c r="B2803" s="46" t="s">
        <v>990</v>
      </c>
      <c r="C2803" s="46" t="s">
        <v>14</v>
      </c>
      <c r="D2803" s="47">
        <v>4933</v>
      </c>
      <c r="E2803" s="46" t="s">
        <v>3773</v>
      </c>
      <c r="F2803" s="48">
        <v>40022</v>
      </c>
      <c r="G2803" s="46"/>
      <c r="H2803" s="46" t="s">
        <v>40</v>
      </c>
      <c r="I2803" s="45">
        <v>150000</v>
      </c>
      <c r="J2803" s="45">
        <v>75000</v>
      </c>
      <c r="K2803" s="88" t="s">
        <v>11651</v>
      </c>
      <c r="L2803" s="45"/>
      <c r="M2803" s="3"/>
    </row>
    <row r="2804" spans="1:13" x14ac:dyDescent="0.2">
      <c r="A2804" s="46" t="s">
        <v>3776</v>
      </c>
      <c r="B2804" s="46" t="s">
        <v>990</v>
      </c>
      <c r="C2804" s="46" t="s">
        <v>14</v>
      </c>
      <c r="D2804" s="47">
        <v>4958</v>
      </c>
      <c r="E2804" s="46" t="s">
        <v>3777</v>
      </c>
      <c r="F2804" s="48">
        <v>39776</v>
      </c>
      <c r="G2804" s="46"/>
      <c r="H2804" s="46" t="s">
        <v>40</v>
      </c>
      <c r="I2804" s="45">
        <v>80000</v>
      </c>
      <c r="J2804" s="45">
        <v>40000</v>
      </c>
      <c r="K2804" s="88" t="s">
        <v>11651</v>
      </c>
      <c r="L2804" s="45"/>
      <c r="M2804" s="3"/>
    </row>
    <row r="2805" spans="1:13" ht="25.5" x14ac:dyDescent="0.2">
      <c r="A2805" s="46" t="s">
        <v>3782</v>
      </c>
      <c r="B2805" s="46" t="s">
        <v>990</v>
      </c>
      <c r="C2805" s="46" t="s">
        <v>14</v>
      </c>
      <c r="D2805" s="47">
        <v>5004</v>
      </c>
      <c r="E2805" s="46" t="s">
        <v>3783</v>
      </c>
      <c r="F2805" s="48">
        <v>39896</v>
      </c>
      <c r="G2805" s="46"/>
      <c r="H2805" s="46" t="s">
        <v>40</v>
      </c>
      <c r="I2805" s="45">
        <v>60000</v>
      </c>
      <c r="J2805" s="45">
        <v>30000</v>
      </c>
      <c r="K2805" s="88" t="s">
        <v>11651</v>
      </c>
      <c r="L2805" s="45"/>
      <c r="M2805" s="3"/>
    </row>
    <row r="2806" spans="1:13" ht="25.5" x14ac:dyDescent="0.2">
      <c r="A2806" s="46" t="s">
        <v>3784</v>
      </c>
      <c r="B2806" s="46" t="s">
        <v>990</v>
      </c>
      <c r="C2806" s="46" t="s">
        <v>14</v>
      </c>
      <c r="D2806" s="47">
        <v>5022</v>
      </c>
      <c r="E2806" s="46" t="s">
        <v>3785</v>
      </c>
      <c r="F2806" s="48">
        <v>39868</v>
      </c>
      <c r="G2806" s="46"/>
      <c r="H2806" s="46" t="s">
        <v>40</v>
      </c>
      <c r="I2806" s="45">
        <v>75000</v>
      </c>
      <c r="J2806" s="45">
        <v>37500</v>
      </c>
      <c r="K2806" s="88" t="s">
        <v>11651</v>
      </c>
      <c r="L2806" s="45"/>
      <c r="M2806" s="3"/>
    </row>
    <row r="2807" spans="1:13" ht="25.5" x14ac:dyDescent="0.25">
      <c r="A2807" s="46" t="s">
        <v>7498</v>
      </c>
      <c r="B2807" s="46" t="s">
        <v>990</v>
      </c>
      <c r="C2807" s="46" t="s">
        <v>14</v>
      </c>
      <c r="D2807" s="47">
        <v>366</v>
      </c>
      <c r="E2807" s="46" t="s">
        <v>7499</v>
      </c>
      <c r="F2807" s="48">
        <v>39099</v>
      </c>
      <c r="G2807" s="48">
        <v>39218</v>
      </c>
      <c r="H2807" s="46" t="s">
        <v>40</v>
      </c>
      <c r="I2807" s="45">
        <v>50000</v>
      </c>
      <c r="J2807" s="45">
        <v>50000</v>
      </c>
      <c r="K2807" s="49" t="s">
        <v>7456</v>
      </c>
      <c r="L2807" s="45"/>
      <c r="M2807" s="3"/>
    </row>
    <row r="2808" spans="1:13" x14ac:dyDescent="0.25">
      <c r="A2808" s="46" t="s">
        <v>7500</v>
      </c>
      <c r="B2808" s="46" t="s">
        <v>990</v>
      </c>
      <c r="C2808" s="46" t="s">
        <v>14</v>
      </c>
      <c r="D2808" s="47">
        <v>367</v>
      </c>
      <c r="E2808" s="46" t="s">
        <v>7501</v>
      </c>
      <c r="F2808" s="48">
        <v>39134</v>
      </c>
      <c r="G2808" s="48">
        <v>39172</v>
      </c>
      <c r="H2808" s="46" t="s">
        <v>40</v>
      </c>
      <c r="I2808" s="45">
        <v>150000</v>
      </c>
      <c r="J2808" s="45">
        <v>75000</v>
      </c>
      <c r="K2808" s="49" t="s">
        <v>7456</v>
      </c>
      <c r="L2808" s="45"/>
      <c r="M2808" s="3"/>
    </row>
    <row r="2809" spans="1:13" x14ac:dyDescent="0.25">
      <c r="A2809" s="46" t="s">
        <v>7504</v>
      </c>
      <c r="B2809" s="46" t="s">
        <v>990</v>
      </c>
      <c r="C2809" s="46" t="s">
        <v>14</v>
      </c>
      <c r="D2809" s="47">
        <v>369</v>
      </c>
      <c r="E2809" s="46" t="s">
        <v>7505</v>
      </c>
      <c r="F2809" s="48">
        <v>39162</v>
      </c>
      <c r="G2809" s="48">
        <v>39258</v>
      </c>
      <c r="H2809" s="46" t="s">
        <v>40</v>
      </c>
      <c r="I2809" s="45">
        <v>100000</v>
      </c>
      <c r="J2809" s="45">
        <v>50000</v>
      </c>
      <c r="K2809" s="49" t="s">
        <v>7456</v>
      </c>
      <c r="L2809" s="45"/>
      <c r="M2809" s="3"/>
    </row>
    <row r="2810" spans="1:13" x14ac:dyDescent="0.25">
      <c r="A2810" s="46" t="s">
        <v>7506</v>
      </c>
      <c r="B2810" s="46" t="s">
        <v>990</v>
      </c>
      <c r="C2810" s="46" t="s">
        <v>14</v>
      </c>
      <c r="D2810" s="47">
        <v>370</v>
      </c>
      <c r="E2810" s="46" t="s">
        <v>7507</v>
      </c>
      <c r="F2810" s="48">
        <v>39190</v>
      </c>
      <c r="G2810" s="48">
        <v>39428</v>
      </c>
      <c r="H2810" s="46" t="s">
        <v>40</v>
      </c>
      <c r="I2810" s="45">
        <v>150000</v>
      </c>
      <c r="J2810" s="45">
        <v>75000</v>
      </c>
      <c r="K2810" s="49" t="s">
        <v>7456</v>
      </c>
      <c r="L2810" s="45"/>
      <c r="M2810" s="3"/>
    </row>
    <row r="2811" spans="1:13" x14ac:dyDescent="0.25">
      <c r="A2811" s="46" t="s">
        <v>7510</v>
      </c>
      <c r="B2811" s="46" t="s">
        <v>990</v>
      </c>
      <c r="C2811" s="46" t="s">
        <v>14</v>
      </c>
      <c r="D2811" s="47">
        <v>372</v>
      </c>
      <c r="E2811" s="46" t="s">
        <v>7511</v>
      </c>
      <c r="F2811" s="48">
        <v>39225</v>
      </c>
      <c r="G2811" s="48">
        <v>39294</v>
      </c>
      <c r="H2811" s="46" t="s">
        <v>40</v>
      </c>
      <c r="I2811" s="45">
        <v>150000</v>
      </c>
      <c r="J2811" s="45">
        <v>75000</v>
      </c>
      <c r="K2811" s="49" t="s">
        <v>7456</v>
      </c>
      <c r="L2811" s="45"/>
      <c r="M2811" s="3"/>
    </row>
    <row r="2812" spans="1:13" x14ac:dyDescent="0.25">
      <c r="A2812" s="46" t="s">
        <v>7514</v>
      </c>
      <c r="B2812" s="46" t="s">
        <v>990</v>
      </c>
      <c r="C2812" s="46" t="s">
        <v>14</v>
      </c>
      <c r="D2812" s="47">
        <v>374</v>
      </c>
      <c r="E2812" s="46" t="s">
        <v>7515</v>
      </c>
      <c r="F2812" s="48">
        <v>39337</v>
      </c>
      <c r="G2812" s="48">
        <v>39517</v>
      </c>
      <c r="H2812" s="46" t="s">
        <v>40</v>
      </c>
      <c r="I2812" s="45">
        <v>75000</v>
      </c>
      <c r="J2812" s="45">
        <v>25000</v>
      </c>
      <c r="K2812" s="49" t="s">
        <v>7456</v>
      </c>
      <c r="L2812" s="45"/>
      <c r="M2812" s="3"/>
    </row>
    <row r="2813" spans="1:13" x14ac:dyDescent="0.25">
      <c r="A2813" s="46" t="s">
        <v>7516</v>
      </c>
      <c r="B2813" s="46" t="s">
        <v>990</v>
      </c>
      <c r="C2813" s="46" t="s">
        <v>14</v>
      </c>
      <c r="D2813" s="47">
        <v>375</v>
      </c>
      <c r="E2813" s="46" t="s">
        <v>7517</v>
      </c>
      <c r="F2813" s="48">
        <v>39337</v>
      </c>
      <c r="G2813" s="48">
        <v>39638</v>
      </c>
      <c r="H2813" s="46" t="s">
        <v>40</v>
      </c>
      <c r="I2813" s="45">
        <v>25000</v>
      </c>
      <c r="J2813" s="45">
        <v>25000</v>
      </c>
      <c r="K2813" s="49" t="s">
        <v>7456</v>
      </c>
      <c r="L2813" s="45"/>
      <c r="M2813" s="3"/>
    </row>
    <row r="2814" spans="1:13" x14ac:dyDescent="0.25">
      <c r="A2814" s="46" t="s">
        <v>7587</v>
      </c>
      <c r="B2814" s="46" t="s">
        <v>990</v>
      </c>
      <c r="C2814" s="46" t="s">
        <v>14</v>
      </c>
      <c r="D2814" s="47">
        <v>3430</v>
      </c>
      <c r="E2814" s="46" t="s">
        <v>7588</v>
      </c>
      <c r="F2814" s="48">
        <v>39477</v>
      </c>
      <c r="G2814" s="48">
        <v>39813</v>
      </c>
      <c r="H2814" s="46" t="s">
        <v>40</v>
      </c>
      <c r="I2814" s="45">
        <v>150000</v>
      </c>
      <c r="J2814" s="45">
        <v>75000</v>
      </c>
      <c r="K2814" s="49" t="s">
        <v>7456</v>
      </c>
      <c r="L2814" s="45"/>
      <c r="M2814" s="3"/>
    </row>
    <row r="2815" spans="1:13" x14ac:dyDescent="0.25">
      <c r="A2815" s="46" t="s">
        <v>7591</v>
      </c>
      <c r="B2815" s="46" t="s">
        <v>990</v>
      </c>
      <c r="C2815" s="46" t="s">
        <v>14</v>
      </c>
      <c r="D2815" s="47">
        <v>3434</v>
      </c>
      <c r="E2815" s="46" t="s">
        <v>7592</v>
      </c>
      <c r="F2815" s="48">
        <v>39589</v>
      </c>
      <c r="G2815" s="48">
        <v>39813</v>
      </c>
      <c r="H2815" s="46" t="s">
        <v>40</v>
      </c>
      <c r="I2815" s="45">
        <v>150000</v>
      </c>
      <c r="J2815" s="45">
        <v>75000</v>
      </c>
      <c r="K2815" s="49" t="s">
        <v>7456</v>
      </c>
      <c r="L2815" s="45"/>
      <c r="M2815" s="3"/>
    </row>
    <row r="2816" spans="1:13" x14ac:dyDescent="0.25">
      <c r="A2816" s="46" t="s">
        <v>7593</v>
      </c>
      <c r="B2816" s="46" t="s">
        <v>990</v>
      </c>
      <c r="C2816" s="46" t="s">
        <v>14</v>
      </c>
      <c r="D2816" s="47">
        <v>3435</v>
      </c>
      <c r="E2816" s="46" t="s">
        <v>7594</v>
      </c>
      <c r="F2816" s="48">
        <v>39561</v>
      </c>
      <c r="G2816" s="48">
        <v>39813</v>
      </c>
      <c r="H2816" s="46" t="s">
        <v>40</v>
      </c>
      <c r="I2816" s="45">
        <v>72500</v>
      </c>
      <c r="J2816" s="45">
        <v>32500</v>
      </c>
      <c r="K2816" s="49" t="s">
        <v>7456</v>
      </c>
      <c r="L2816" s="45"/>
      <c r="M2816" s="3"/>
    </row>
    <row r="2817" spans="1:13" x14ac:dyDescent="0.25">
      <c r="A2817" s="46" t="s">
        <v>7621</v>
      </c>
      <c r="B2817" s="46" t="s">
        <v>990</v>
      </c>
      <c r="C2817" s="46" t="s">
        <v>14</v>
      </c>
      <c r="D2817" s="47">
        <v>4552</v>
      </c>
      <c r="E2817" s="46" t="s">
        <v>7622</v>
      </c>
      <c r="F2817" s="48">
        <v>39932</v>
      </c>
      <c r="G2817" s="48">
        <v>40178</v>
      </c>
      <c r="H2817" s="46" t="s">
        <v>40</v>
      </c>
      <c r="I2817" s="45">
        <v>80000</v>
      </c>
      <c r="J2817" s="45">
        <v>40000</v>
      </c>
      <c r="K2817" s="49" t="s">
        <v>7456</v>
      </c>
      <c r="L2817" s="45"/>
      <c r="M2817" s="3"/>
    </row>
    <row r="2818" spans="1:13" x14ac:dyDescent="0.25">
      <c r="A2818" s="46" t="s">
        <v>7629</v>
      </c>
      <c r="B2818" s="46" t="s">
        <v>990</v>
      </c>
      <c r="C2818" s="46" t="s">
        <v>14</v>
      </c>
      <c r="D2818" s="47">
        <v>4560</v>
      </c>
      <c r="E2818" s="46" t="s">
        <v>7630</v>
      </c>
      <c r="F2818" s="48">
        <v>39868</v>
      </c>
      <c r="G2818" s="48">
        <v>40178</v>
      </c>
      <c r="H2818" s="46" t="s">
        <v>40</v>
      </c>
      <c r="I2818" s="45">
        <v>60000</v>
      </c>
      <c r="J2818" s="45">
        <v>30000</v>
      </c>
      <c r="K2818" s="49" t="s">
        <v>7456</v>
      </c>
      <c r="L2818" s="45"/>
      <c r="M2818" s="3"/>
    </row>
    <row r="2819" spans="1:13" ht="25.5" x14ac:dyDescent="0.25">
      <c r="A2819" s="46" t="s">
        <v>7637</v>
      </c>
      <c r="B2819" s="46" t="s">
        <v>990</v>
      </c>
      <c r="C2819" s="46" t="s">
        <v>14</v>
      </c>
      <c r="D2819" s="47">
        <v>4567</v>
      </c>
      <c r="E2819" s="46" t="s">
        <v>7638</v>
      </c>
      <c r="F2819" s="48">
        <v>40015</v>
      </c>
      <c r="G2819" s="48">
        <v>40178</v>
      </c>
      <c r="H2819" s="46" t="s">
        <v>40</v>
      </c>
      <c r="I2819" s="45">
        <v>80000</v>
      </c>
      <c r="J2819" s="45">
        <v>40000</v>
      </c>
      <c r="K2819" s="49" t="s">
        <v>7456</v>
      </c>
      <c r="L2819" s="45"/>
      <c r="M2819" s="3"/>
    </row>
    <row r="2820" spans="1:13" ht="25.5" x14ac:dyDescent="0.25">
      <c r="A2820" s="46" t="s">
        <v>7698</v>
      </c>
      <c r="B2820" s="46" t="s">
        <v>990</v>
      </c>
      <c r="C2820" s="46" t="s">
        <v>14</v>
      </c>
      <c r="D2820" s="47">
        <v>6579</v>
      </c>
      <c r="E2820" s="46" t="s">
        <v>7699</v>
      </c>
      <c r="F2820" s="48">
        <v>40520</v>
      </c>
      <c r="G2820" s="48">
        <v>40543</v>
      </c>
      <c r="H2820" s="46" t="s">
        <v>40</v>
      </c>
      <c r="I2820" s="45">
        <v>56000</v>
      </c>
      <c r="J2820" s="45">
        <v>56000</v>
      </c>
      <c r="K2820" s="49" t="s">
        <v>7456</v>
      </c>
      <c r="L2820" s="45"/>
      <c r="M2820" s="3"/>
    </row>
    <row r="2821" spans="1:13" x14ac:dyDescent="0.25">
      <c r="A2821" s="46" t="s">
        <v>182</v>
      </c>
      <c r="B2821" s="46" t="s">
        <v>11644</v>
      </c>
      <c r="C2821" s="46" t="s">
        <v>14</v>
      </c>
      <c r="D2821" s="47">
        <v>7384</v>
      </c>
      <c r="E2821" s="46" t="s">
        <v>184</v>
      </c>
      <c r="F2821" s="48">
        <v>40374</v>
      </c>
      <c r="G2821" s="48">
        <v>40908</v>
      </c>
      <c r="H2821" s="46" t="s">
        <v>40</v>
      </c>
      <c r="I2821" s="45">
        <v>9000</v>
      </c>
      <c r="J2821" s="45">
        <v>9000</v>
      </c>
      <c r="K2821" s="49" t="s">
        <v>17</v>
      </c>
      <c r="L2821" s="45"/>
      <c r="M2821" s="3"/>
    </row>
    <row r="2822" spans="1:13" x14ac:dyDescent="0.25">
      <c r="A2822" s="46" t="s">
        <v>187</v>
      </c>
      <c r="B2822" s="46" t="s">
        <v>11644</v>
      </c>
      <c r="C2822" s="46" t="s">
        <v>14</v>
      </c>
      <c r="D2822" s="47">
        <v>7386</v>
      </c>
      <c r="E2822" s="46" t="s">
        <v>188</v>
      </c>
      <c r="F2822" s="48">
        <v>40284</v>
      </c>
      <c r="G2822" s="48">
        <v>40543</v>
      </c>
      <c r="H2822" s="46" t="s">
        <v>40</v>
      </c>
      <c r="I2822" s="45">
        <v>7532.78</v>
      </c>
      <c r="J2822" s="45">
        <v>7532.78</v>
      </c>
      <c r="K2822" s="49" t="s">
        <v>17</v>
      </c>
      <c r="L2822" s="45"/>
      <c r="M2822" s="3"/>
    </row>
    <row r="2823" spans="1:13" ht="25.5" x14ac:dyDescent="0.25">
      <c r="A2823" s="46" t="s">
        <v>204</v>
      </c>
      <c r="B2823" s="46" t="s">
        <v>11644</v>
      </c>
      <c r="C2823" s="46" t="s">
        <v>14</v>
      </c>
      <c r="D2823" s="47">
        <v>7451</v>
      </c>
      <c r="E2823" s="46" t="s">
        <v>205</v>
      </c>
      <c r="F2823" s="48">
        <v>40179</v>
      </c>
      <c r="G2823" s="46"/>
      <c r="H2823" s="46" t="s">
        <v>40</v>
      </c>
      <c r="I2823" s="45">
        <v>4000</v>
      </c>
      <c r="J2823" s="45">
        <v>4000</v>
      </c>
      <c r="K2823" s="49" t="s">
        <v>17</v>
      </c>
      <c r="L2823" s="45"/>
      <c r="M2823" s="3"/>
    </row>
    <row r="2824" spans="1:13" ht="25.5" x14ac:dyDescent="0.25">
      <c r="A2824" s="46" t="s">
        <v>212</v>
      </c>
      <c r="B2824" s="46" t="s">
        <v>11644</v>
      </c>
      <c r="C2824" s="46" t="s">
        <v>14</v>
      </c>
      <c r="D2824" s="47">
        <v>7461</v>
      </c>
      <c r="E2824" s="46" t="s">
        <v>213</v>
      </c>
      <c r="F2824" s="48">
        <v>40221</v>
      </c>
      <c r="G2824" s="48">
        <v>40543</v>
      </c>
      <c r="H2824" s="46" t="s">
        <v>40</v>
      </c>
      <c r="I2824" s="45">
        <v>4992.63</v>
      </c>
      <c r="J2824" s="45">
        <v>4992.63</v>
      </c>
      <c r="K2824" s="49" t="s">
        <v>17</v>
      </c>
      <c r="L2824" s="45"/>
      <c r="M2824" s="3"/>
    </row>
    <row r="2825" spans="1:13" ht="25.5" x14ac:dyDescent="0.25">
      <c r="A2825" s="46" t="s">
        <v>214</v>
      </c>
      <c r="B2825" s="46" t="s">
        <v>11644</v>
      </c>
      <c r="C2825" s="46" t="s">
        <v>14</v>
      </c>
      <c r="D2825" s="47">
        <v>7462</v>
      </c>
      <c r="E2825" s="46" t="s">
        <v>215</v>
      </c>
      <c r="F2825" s="48">
        <v>40399</v>
      </c>
      <c r="G2825" s="46"/>
      <c r="H2825" s="46" t="s">
        <v>40</v>
      </c>
      <c r="I2825" s="45">
        <v>2500</v>
      </c>
      <c r="J2825" s="45">
        <v>2500</v>
      </c>
      <c r="K2825" s="49" t="s">
        <v>17</v>
      </c>
      <c r="L2825" s="45"/>
      <c r="M2825" s="3"/>
    </row>
    <row r="2826" spans="1:13" ht="25.5" x14ac:dyDescent="0.25">
      <c r="A2826" s="46" t="s">
        <v>218</v>
      </c>
      <c r="B2826" s="46" t="s">
        <v>11644</v>
      </c>
      <c r="C2826" s="46" t="s">
        <v>14</v>
      </c>
      <c r="D2826" s="47">
        <v>7465</v>
      </c>
      <c r="E2826" s="46" t="s">
        <v>219</v>
      </c>
      <c r="F2826" s="48">
        <v>40221</v>
      </c>
      <c r="G2826" s="48">
        <v>40543</v>
      </c>
      <c r="H2826" s="46" t="s">
        <v>40</v>
      </c>
      <c r="I2826" s="45">
        <v>5000</v>
      </c>
      <c r="J2826" s="45">
        <v>5000</v>
      </c>
      <c r="K2826" s="49" t="s">
        <v>17</v>
      </c>
      <c r="L2826" s="45"/>
      <c r="M2826" s="3"/>
    </row>
    <row r="2827" spans="1:13" ht="25.5" x14ac:dyDescent="0.25">
      <c r="A2827" s="46" t="s">
        <v>220</v>
      </c>
      <c r="B2827" s="46" t="s">
        <v>11644</v>
      </c>
      <c r="C2827" s="46" t="s">
        <v>14</v>
      </c>
      <c r="D2827" s="47">
        <v>7466</v>
      </c>
      <c r="E2827" s="46" t="s">
        <v>221</v>
      </c>
      <c r="F2827" s="48">
        <v>40514</v>
      </c>
      <c r="G2827" s="48">
        <v>40543</v>
      </c>
      <c r="H2827" s="46" t="s">
        <v>40</v>
      </c>
      <c r="I2827" s="45">
        <v>2500</v>
      </c>
      <c r="J2827" s="45">
        <v>2500</v>
      </c>
      <c r="K2827" s="49" t="s">
        <v>17</v>
      </c>
      <c r="L2827" s="45"/>
      <c r="M2827" s="3"/>
    </row>
    <row r="2828" spans="1:13" ht="51" x14ac:dyDescent="0.25">
      <c r="A2828" s="46" t="s">
        <v>222</v>
      </c>
      <c r="B2828" s="46" t="s">
        <v>11644</v>
      </c>
      <c r="C2828" s="46" t="s">
        <v>14</v>
      </c>
      <c r="D2828" s="47">
        <v>7467</v>
      </c>
      <c r="E2828" s="50" t="s">
        <v>223</v>
      </c>
      <c r="F2828" s="48">
        <v>40514</v>
      </c>
      <c r="G2828" s="48">
        <v>40908</v>
      </c>
      <c r="H2828" s="46" t="s">
        <v>40</v>
      </c>
      <c r="I2828" s="45">
        <v>5000</v>
      </c>
      <c r="J2828" s="45">
        <v>5000</v>
      </c>
      <c r="K2828" s="49" t="s">
        <v>17</v>
      </c>
      <c r="L2828" s="45"/>
      <c r="M2828" s="3"/>
    </row>
    <row r="2829" spans="1:13" ht="25.5" x14ac:dyDescent="0.25">
      <c r="A2829" s="46" t="s">
        <v>224</v>
      </c>
      <c r="B2829" s="46" t="s">
        <v>11644</v>
      </c>
      <c r="C2829" s="46" t="s">
        <v>14</v>
      </c>
      <c r="D2829" s="47">
        <v>7468</v>
      </c>
      <c r="E2829" s="46" t="s">
        <v>225</v>
      </c>
      <c r="F2829" s="48">
        <v>40221</v>
      </c>
      <c r="G2829" s="46"/>
      <c r="H2829" s="46" t="s">
        <v>40</v>
      </c>
      <c r="I2829" s="45">
        <v>4285.7</v>
      </c>
      <c r="J2829" s="45">
        <v>4285.7</v>
      </c>
      <c r="K2829" s="49" t="s">
        <v>17</v>
      </c>
      <c r="L2829" s="45"/>
      <c r="M2829" s="3"/>
    </row>
    <row r="2830" spans="1:13" ht="25.5" x14ac:dyDescent="0.25">
      <c r="A2830" s="46" t="s">
        <v>244</v>
      </c>
      <c r="B2830" s="46" t="s">
        <v>11644</v>
      </c>
      <c r="C2830" s="46" t="s">
        <v>14</v>
      </c>
      <c r="D2830" s="47">
        <v>8645</v>
      </c>
      <c r="E2830" s="46" t="s">
        <v>245</v>
      </c>
      <c r="F2830" s="48">
        <v>40809</v>
      </c>
      <c r="G2830" s="48">
        <v>41274</v>
      </c>
      <c r="H2830" s="46" t="s">
        <v>40</v>
      </c>
      <c r="I2830" s="45">
        <v>9000</v>
      </c>
      <c r="J2830" s="45">
        <v>7000</v>
      </c>
      <c r="K2830" s="49" t="s">
        <v>17</v>
      </c>
      <c r="L2830" s="45"/>
      <c r="M2830" s="3"/>
    </row>
    <row r="2831" spans="1:13" ht="25.5" x14ac:dyDescent="0.25">
      <c r="A2831" s="46" t="s">
        <v>252</v>
      </c>
      <c r="B2831" s="46" t="s">
        <v>11644</v>
      </c>
      <c r="C2831" s="46" t="s">
        <v>14</v>
      </c>
      <c r="D2831" s="47">
        <v>8666</v>
      </c>
      <c r="E2831" s="46" t="s">
        <v>253</v>
      </c>
      <c r="F2831" s="48">
        <v>40603</v>
      </c>
      <c r="G2831" s="48">
        <v>40908</v>
      </c>
      <c r="H2831" s="46" t="s">
        <v>40</v>
      </c>
      <c r="I2831" s="45">
        <v>5000</v>
      </c>
      <c r="J2831" s="45">
        <v>5000</v>
      </c>
      <c r="K2831" s="49" t="s">
        <v>17</v>
      </c>
      <c r="L2831" s="45"/>
      <c r="M2831" s="3"/>
    </row>
    <row r="2832" spans="1:13" ht="25.5" x14ac:dyDescent="0.25">
      <c r="A2832" s="46" t="s">
        <v>254</v>
      </c>
      <c r="B2832" s="46" t="s">
        <v>11644</v>
      </c>
      <c r="C2832" s="46" t="s">
        <v>14</v>
      </c>
      <c r="D2832" s="47">
        <v>8668</v>
      </c>
      <c r="E2832" s="46" t="s">
        <v>255</v>
      </c>
      <c r="F2832" s="48">
        <v>40809</v>
      </c>
      <c r="G2832" s="48">
        <v>41274</v>
      </c>
      <c r="H2832" s="46" t="s">
        <v>40</v>
      </c>
      <c r="I2832" s="45">
        <v>9000</v>
      </c>
      <c r="J2832" s="45">
        <v>7000</v>
      </c>
      <c r="K2832" s="49" t="s">
        <v>17</v>
      </c>
      <c r="L2832" s="45"/>
      <c r="M2832" s="3"/>
    </row>
    <row r="2833" spans="1:13" ht="38.25" x14ac:dyDescent="0.25">
      <c r="A2833" s="46" t="s">
        <v>257</v>
      </c>
      <c r="B2833" s="46" t="s">
        <v>11644</v>
      </c>
      <c r="C2833" s="46" t="s">
        <v>14</v>
      </c>
      <c r="D2833" s="47">
        <v>8676</v>
      </c>
      <c r="E2833" s="46" t="s">
        <v>258</v>
      </c>
      <c r="F2833" s="48">
        <v>40514</v>
      </c>
      <c r="G2833" s="48">
        <v>40908</v>
      </c>
      <c r="H2833" s="46" t="s">
        <v>40</v>
      </c>
      <c r="I2833" s="45">
        <v>14500</v>
      </c>
      <c r="J2833" s="45">
        <v>8500</v>
      </c>
      <c r="K2833" s="49" t="s">
        <v>17</v>
      </c>
      <c r="L2833" s="45"/>
      <c r="M2833" s="3"/>
    </row>
    <row r="2834" spans="1:13" x14ac:dyDescent="0.25">
      <c r="A2834" s="46" t="s">
        <v>261</v>
      </c>
      <c r="B2834" s="46" t="s">
        <v>11644</v>
      </c>
      <c r="C2834" s="46" t="s">
        <v>14</v>
      </c>
      <c r="D2834" s="47">
        <v>8679</v>
      </c>
      <c r="E2834" s="46" t="s">
        <v>262</v>
      </c>
      <c r="F2834" s="48">
        <v>40451</v>
      </c>
      <c r="G2834" s="48">
        <v>40908</v>
      </c>
      <c r="H2834" s="46" t="s">
        <v>40</v>
      </c>
      <c r="I2834" s="45">
        <v>23547</v>
      </c>
      <c r="J2834" s="45">
        <v>11773.5</v>
      </c>
      <c r="K2834" s="49" t="s">
        <v>17</v>
      </c>
      <c r="L2834" s="45"/>
      <c r="M2834" s="3"/>
    </row>
    <row r="2835" spans="1:13" ht="63.75" x14ac:dyDescent="0.25">
      <c r="A2835" s="46" t="s">
        <v>265</v>
      </c>
      <c r="B2835" s="46" t="s">
        <v>11644</v>
      </c>
      <c r="C2835" s="46" t="s">
        <v>14</v>
      </c>
      <c r="D2835" s="47">
        <v>8683</v>
      </c>
      <c r="E2835" s="50" t="s">
        <v>266</v>
      </c>
      <c r="F2835" s="48">
        <v>40724</v>
      </c>
      <c r="G2835" s="48">
        <v>41274</v>
      </c>
      <c r="H2835" s="46" t="s">
        <v>40</v>
      </c>
      <c r="I2835" s="45">
        <v>5000</v>
      </c>
      <c r="J2835" s="45">
        <v>5000</v>
      </c>
      <c r="K2835" s="49" t="s">
        <v>17</v>
      </c>
      <c r="L2835" s="45"/>
      <c r="M2835" s="3"/>
    </row>
    <row r="2836" spans="1:13" ht="38.25" x14ac:dyDescent="0.25">
      <c r="A2836" s="46" t="s">
        <v>276</v>
      </c>
      <c r="B2836" s="46" t="s">
        <v>11644</v>
      </c>
      <c r="C2836" s="46" t="s">
        <v>14</v>
      </c>
      <c r="D2836" s="47">
        <v>8722</v>
      </c>
      <c r="E2836" s="50" t="s">
        <v>277</v>
      </c>
      <c r="F2836" s="48">
        <v>40653</v>
      </c>
      <c r="G2836" s="48">
        <v>40908</v>
      </c>
      <c r="H2836" s="46" t="s">
        <v>40</v>
      </c>
      <c r="I2836" s="45">
        <v>5000</v>
      </c>
      <c r="J2836" s="45">
        <v>5000</v>
      </c>
      <c r="K2836" s="49" t="s">
        <v>17</v>
      </c>
      <c r="L2836" s="45"/>
      <c r="M2836" s="3"/>
    </row>
    <row r="2837" spans="1:13" x14ac:dyDescent="0.25">
      <c r="A2837" s="46" t="s">
        <v>280</v>
      </c>
      <c r="B2837" s="46" t="s">
        <v>11644</v>
      </c>
      <c r="C2837" s="46" t="s">
        <v>14</v>
      </c>
      <c r="D2837" s="47">
        <v>8725</v>
      </c>
      <c r="E2837" s="46" t="s">
        <v>281</v>
      </c>
      <c r="F2837" s="48">
        <v>40603</v>
      </c>
      <c r="G2837" s="48">
        <v>40798</v>
      </c>
      <c r="H2837" s="46" t="s">
        <v>40</v>
      </c>
      <c r="I2837" s="45">
        <v>5000</v>
      </c>
      <c r="J2837" s="45">
        <v>5000</v>
      </c>
      <c r="K2837" s="49" t="s">
        <v>17</v>
      </c>
      <c r="L2837" s="45"/>
      <c r="M2837" s="3"/>
    </row>
    <row r="2838" spans="1:13" ht="25.5" x14ac:dyDescent="0.25">
      <c r="A2838" s="46" t="s">
        <v>283</v>
      </c>
      <c r="B2838" s="46" t="s">
        <v>11644</v>
      </c>
      <c r="C2838" s="46" t="s">
        <v>14</v>
      </c>
      <c r="D2838" s="47">
        <v>8727</v>
      </c>
      <c r="E2838" s="46" t="s">
        <v>284</v>
      </c>
      <c r="F2838" s="48">
        <v>40652</v>
      </c>
      <c r="G2838" s="48">
        <v>40908</v>
      </c>
      <c r="H2838" s="46" t="s">
        <v>40</v>
      </c>
      <c r="I2838" s="45">
        <v>5000</v>
      </c>
      <c r="J2838" s="45">
        <v>5000</v>
      </c>
      <c r="K2838" s="49" t="s">
        <v>17</v>
      </c>
      <c r="L2838" s="45"/>
      <c r="M2838" s="3"/>
    </row>
    <row r="2839" spans="1:13" ht="25.5" x14ac:dyDescent="0.25">
      <c r="A2839" s="46" t="s">
        <v>285</v>
      </c>
      <c r="B2839" s="46" t="s">
        <v>11644</v>
      </c>
      <c r="C2839" s="46" t="s">
        <v>14</v>
      </c>
      <c r="D2839" s="47">
        <v>8728</v>
      </c>
      <c r="E2839" s="46" t="s">
        <v>286</v>
      </c>
      <c r="F2839" s="48">
        <v>40603</v>
      </c>
      <c r="G2839" s="48">
        <v>40908</v>
      </c>
      <c r="H2839" s="46" t="s">
        <v>40</v>
      </c>
      <c r="I2839" s="45">
        <v>12000</v>
      </c>
      <c r="J2839" s="45">
        <v>6000</v>
      </c>
      <c r="K2839" s="49" t="s">
        <v>17</v>
      </c>
      <c r="L2839" s="45"/>
      <c r="M2839" s="3"/>
    </row>
    <row r="2840" spans="1:13" ht="51" x14ac:dyDescent="0.25">
      <c r="A2840" s="46" t="s">
        <v>287</v>
      </c>
      <c r="B2840" s="46" t="s">
        <v>11644</v>
      </c>
      <c r="C2840" s="46" t="s">
        <v>14</v>
      </c>
      <c r="D2840" s="47">
        <v>8729</v>
      </c>
      <c r="E2840" s="50" t="s">
        <v>288</v>
      </c>
      <c r="F2840" s="48">
        <v>40603</v>
      </c>
      <c r="G2840" s="48">
        <v>41274</v>
      </c>
      <c r="H2840" s="46" t="s">
        <v>40</v>
      </c>
      <c r="I2840" s="45">
        <v>22296.92</v>
      </c>
      <c r="J2840" s="45">
        <v>16148.46</v>
      </c>
      <c r="K2840" s="49" t="s">
        <v>17</v>
      </c>
      <c r="L2840" s="45"/>
      <c r="M2840" s="3"/>
    </row>
    <row r="2841" spans="1:13" ht="38.25" x14ac:dyDescent="0.25">
      <c r="A2841" s="46" t="s">
        <v>289</v>
      </c>
      <c r="B2841" s="46" t="s">
        <v>11644</v>
      </c>
      <c r="C2841" s="46" t="s">
        <v>14</v>
      </c>
      <c r="D2841" s="47">
        <v>8731</v>
      </c>
      <c r="E2841" s="46" t="s">
        <v>290</v>
      </c>
      <c r="F2841" s="48">
        <v>40809</v>
      </c>
      <c r="G2841" s="48">
        <v>41274</v>
      </c>
      <c r="H2841" s="46" t="s">
        <v>40</v>
      </c>
      <c r="I2841" s="45">
        <v>30000</v>
      </c>
      <c r="J2841" s="45">
        <v>30000</v>
      </c>
      <c r="K2841" s="49" t="s">
        <v>17</v>
      </c>
      <c r="L2841" s="45"/>
      <c r="M2841" s="3"/>
    </row>
    <row r="2842" spans="1:13" ht="63.75" x14ac:dyDescent="0.25">
      <c r="A2842" s="46" t="s">
        <v>291</v>
      </c>
      <c r="B2842" s="46" t="s">
        <v>11644</v>
      </c>
      <c r="C2842" s="46" t="s">
        <v>14</v>
      </c>
      <c r="D2842" s="47">
        <v>8743</v>
      </c>
      <c r="E2842" s="50" t="s">
        <v>292</v>
      </c>
      <c r="F2842" s="48">
        <v>40652</v>
      </c>
      <c r="G2842" s="48">
        <v>40908</v>
      </c>
      <c r="H2842" s="46" t="s">
        <v>40</v>
      </c>
      <c r="I2842" s="45">
        <v>2500</v>
      </c>
      <c r="J2842" s="45">
        <v>2500</v>
      </c>
      <c r="K2842" s="49" t="s">
        <v>17</v>
      </c>
      <c r="L2842" s="45"/>
      <c r="M2842" s="3"/>
    </row>
    <row r="2843" spans="1:13" ht="25.5" x14ac:dyDescent="0.25">
      <c r="A2843" s="46" t="s">
        <v>293</v>
      </c>
      <c r="B2843" s="46" t="s">
        <v>11644</v>
      </c>
      <c r="C2843" s="46" t="s">
        <v>14</v>
      </c>
      <c r="D2843" s="47">
        <v>8749</v>
      </c>
      <c r="E2843" s="46" t="s">
        <v>294</v>
      </c>
      <c r="F2843" s="48">
        <v>40453</v>
      </c>
      <c r="G2843" s="48">
        <v>40908</v>
      </c>
      <c r="H2843" s="46" t="s">
        <v>40</v>
      </c>
      <c r="I2843" s="45">
        <v>1250</v>
      </c>
      <c r="J2843" s="45">
        <v>1250</v>
      </c>
      <c r="K2843" s="49" t="s">
        <v>17</v>
      </c>
      <c r="L2843" s="45"/>
      <c r="M2843" s="3"/>
    </row>
    <row r="2844" spans="1:13" ht="38.25" x14ac:dyDescent="0.25">
      <c r="A2844" s="46" t="s">
        <v>295</v>
      </c>
      <c r="B2844" s="46" t="s">
        <v>11644</v>
      </c>
      <c r="C2844" s="46" t="s">
        <v>14</v>
      </c>
      <c r="D2844" s="47">
        <v>8750</v>
      </c>
      <c r="E2844" s="46" t="s">
        <v>296</v>
      </c>
      <c r="F2844" s="48">
        <v>40724</v>
      </c>
      <c r="G2844" s="48">
        <v>40908</v>
      </c>
      <c r="H2844" s="46" t="s">
        <v>40</v>
      </c>
      <c r="I2844" s="45">
        <v>1000</v>
      </c>
      <c r="J2844" s="45">
        <v>1000</v>
      </c>
      <c r="K2844" s="49" t="s">
        <v>17</v>
      </c>
      <c r="L2844" s="45"/>
      <c r="M2844" s="3"/>
    </row>
    <row r="2845" spans="1:13" ht="25.5" x14ac:dyDescent="0.25">
      <c r="A2845" s="46" t="s">
        <v>309</v>
      </c>
      <c r="B2845" s="46" t="s">
        <v>11644</v>
      </c>
      <c r="C2845" s="46" t="s">
        <v>14</v>
      </c>
      <c r="D2845" s="47">
        <v>10575</v>
      </c>
      <c r="E2845" s="46" t="s">
        <v>310</v>
      </c>
      <c r="F2845" s="48">
        <v>41089</v>
      </c>
      <c r="G2845" s="48">
        <v>41639</v>
      </c>
      <c r="H2845" s="46" t="s">
        <v>40</v>
      </c>
      <c r="I2845" s="45">
        <f>11842.3+2500</f>
        <v>14342.3</v>
      </c>
      <c r="J2845" s="45">
        <f>5921.15+2500</f>
        <v>8421.15</v>
      </c>
      <c r="K2845" s="49" t="s">
        <v>17</v>
      </c>
      <c r="L2845" s="45"/>
      <c r="M2845" s="3"/>
    </row>
    <row r="2846" spans="1:13" ht="63.75" x14ac:dyDescent="0.25">
      <c r="A2846" s="46" t="s">
        <v>311</v>
      </c>
      <c r="B2846" s="46" t="s">
        <v>11644</v>
      </c>
      <c r="C2846" s="46" t="s">
        <v>14</v>
      </c>
      <c r="D2846" s="47">
        <v>10576</v>
      </c>
      <c r="E2846" s="50" t="s">
        <v>312</v>
      </c>
      <c r="F2846" s="48">
        <v>40909</v>
      </c>
      <c r="G2846" s="48">
        <v>41274</v>
      </c>
      <c r="H2846" s="46" t="s">
        <v>40</v>
      </c>
      <c r="I2846" s="45">
        <v>5000</v>
      </c>
      <c r="J2846" s="45">
        <v>5000</v>
      </c>
      <c r="K2846" s="49" t="s">
        <v>17</v>
      </c>
      <c r="L2846" s="45"/>
      <c r="M2846" s="3"/>
    </row>
    <row r="2847" spans="1:13" ht="25.5" x14ac:dyDescent="0.25">
      <c r="A2847" s="46" t="s">
        <v>315</v>
      </c>
      <c r="B2847" s="46" t="s">
        <v>11644</v>
      </c>
      <c r="C2847" s="46" t="s">
        <v>14</v>
      </c>
      <c r="D2847" s="47">
        <v>10578</v>
      </c>
      <c r="E2847" s="46" t="s">
        <v>316</v>
      </c>
      <c r="F2847" s="48">
        <v>40909</v>
      </c>
      <c r="G2847" s="48">
        <v>41274</v>
      </c>
      <c r="H2847" s="46" t="s">
        <v>40</v>
      </c>
      <c r="I2847" s="45">
        <v>11000</v>
      </c>
      <c r="J2847" s="45">
        <v>5500</v>
      </c>
      <c r="K2847" s="49" t="s">
        <v>17</v>
      </c>
      <c r="L2847" s="45"/>
      <c r="M2847" s="3"/>
    </row>
    <row r="2848" spans="1:13" x14ac:dyDescent="0.25">
      <c r="A2848" s="46" t="s">
        <v>317</v>
      </c>
      <c r="B2848" s="46" t="s">
        <v>11644</v>
      </c>
      <c r="C2848" s="46" t="s">
        <v>14</v>
      </c>
      <c r="D2848" s="47">
        <v>10579</v>
      </c>
      <c r="E2848" s="46" t="s">
        <v>318</v>
      </c>
      <c r="F2848" s="48">
        <v>41026</v>
      </c>
      <c r="G2848" s="48">
        <v>41274</v>
      </c>
      <c r="H2848" s="46" t="s">
        <v>40</v>
      </c>
      <c r="I2848" s="45">
        <v>10000</v>
      </c>
      <c r="J2848" s="45">
        <v>10000</v>
      </c>
      <c r="K2848" s="49" t="s">
        <v>17</v>
      </c>
      <c r="L2848" s="45"/>
      <c r="M2848" s="3"/>
    </row>
    <row r="2849" spans="1:13" x14ac:dyDescent="0.25">
      <c r="A2849" s="46" t="s">
        <v>319</v>
      </c>
      <c r="B2849" s="46" t="s">
        <v>11644</v>
      </c>
      <c r="C2849" s="46" t="s">
        <v>14</v>
      </c>
      <c r="D2849" s="47">
        <v>10580</v>
      </c>
      <c r="E2849" s="46" t="s">
        <v>320</v>
      </c>
      <c r="F2849" s="48">
        <v>40909</v>
      </c>
      <c r="G2849" s="48">
        <v>41274</v>
      </c>
      <c r="H2849" s="46" t="s">
        <v>40</v>
      </c>
      <c r="I2849" s="45">
        <v>56700</v>
      </c>
      <c r="J2849" s="45">
        <v>32100</v>
      </c>
      <c r="K2849" s="49" t="s">
        <v>17</v>
      </c>
      <c r="L2849" s="45"/>
      <c r="M2849" s="3"/>
    </row>
    <row r="2850" spans="1:13" ht="38.25" x14ac:dyDescent="0.25">
      <c r="A2850" s="46" t="s">
        <v>321</v>
      </c>
      <c r="B2850" s="46" t="s">
        <v>11644</v>
      </c>
      <c r="C2850" s="46" t="s">
        <v>14</v>
      </c>
      <c r="D2850" s="47">
        <v>10581</v>
      </c>
      <c r="E2850" s="46" t="s">
        <v>322</v>
      </c>
      <c r="F2850" s="48">
        <v>41248</v>
      </c>
      <c r="G2850" s="48">
        <v>41274</v>
      </c>
      <c r="H2850" s="46" t="s">
        <v>40</v>
      </c>
      <c r="I2850" s="45">
        <v>5000</v>
      </c>
      <c r="J2850" s="45">
        <v>5000</v>
      </c>
      <c r="K2850" s="49" t="s">
        <v>17</v>
      </c>
      <c r="L2850" s="45"/>
      <c r="M2850" s="3"/>
    </row>
    <row r="2851" spans="1:13" ht="38.25" x14ac:dyDescent="0.25">
      <c r="A2851" s="46" t="s">
        <v>321</v>
      </c>
      <c r="B2851" s="46" t="s">
        <v>11644</v>
      </c>
      <c r="C2851" s="46" t="s">
        <v>14</v>
      </c>
      <c r="D2851" s="47">
        <v>10583</v>
      </c>
      <c r="E2851" s="46" t="s">
        <v>325</v>
      </c>
      <c r="F2851" s="48">
        <v>40963</v>
      </c>
      <c r="G2851" s="48">
        <v>41274</v>
      </c>
      <c r="H2851" s="46" t="s">
        <v>40</v>
      </c>
      <c r="I2851" s="45">
        <v>2500</v>
      </c>
      <c r="J2851" s="45">
        <v>2500</v>
      </c>
      <c r="K2851" s="49" t="s">
        <v>17</v>
      </c>
      <c r="L2851" s="45"/>
      <c r="M2851" s="3"/>
    </row>
    <row r="2852" spans="1:13" ht="76.5" x14ac:dyDescent="0.25">
      <c r="A2852" s="46" t="s">
        <v>326</v>
      </c>
      <c r="B2852" s="46" t="s">
        <v>11644</v>
      </c>
      <c r="C2852" s="46" t="s">
        <v>14</v>
      </c>
      <c r="D2852" s="47">
        <v>10595</v>
      </c>
      <c r="E2852" s="50" t="s">
        <v>327</v>
      </c>
      <c r="F2852" s="48">
        <v>40963</v>
      </c>
      <c r="G2852" s="48">
        <v>41274</v>
      </c>
      <c r="H2852" s="46" t="s">
        <v>40</v>
      </c>
      <c r="I2852" s="45">
        <v>17849.54</v>
      </c>
      <c r="J2852" s="45">
        <v>8924.77</v>
      </c>
      <c r="K2852" s="49" t="s">
        <v>17</v>
      </c>
      <c r="L2852" s="45"/>
      <c r="M2852" s="3"/>
    </row>
    <row r="2853" spans="1:13" x14ac:dyDescent="0.25">
      <c r="A2853" s="46" t="s">
        <v>328</v>
      </c>
      <c r="B2853" s="46" t="s">
        <v>11644</v>
      </c>
      <c r="C2853" s="46" t="s">
        <v>14</v>
      </c>
      <c r="D2853" s="47">
        <v>10596</v>
      </c>
      <c r="E2853" s="46" t="s">
        <v>329</v>
      </c>
      <c r="F2853" s="48">
        <v>41089</v>
      </c>
      <c r="G2853" s="48">
        <v>41274</v>
      </c>
      <c r="H2853" s="46" t="s">
        <v>40</v>
      </c>
      <c r="I2853" s="45">
        <v>5000</v>
      </c>
      <c r="J2853" s="45">
        <v>5000</v>
      </c>
      <c r="K2853" s="49" t="s">
        <v>17</v>
      </c>
      <c r="L2853" s="45"/>
      <c r="M2853" s="3"/>
    </row>
    <row r="2854" spans="1:13" ht="76.5" x14ac:dyDescent="0.25">
      <c r="A2854" s="46" t="s">
        <v>330</v>
      </c>
      <c r="B2854" s="46" t="s">
        <v>11644</v>
      </c>
      <c r="C2854" s="46" t="s">
        <v>14</v>
      </c>
      <c r="D2854" s="47">
        <v>10597</v>
      </c>
      <c r="E2854" s="50" t="s">
        <v>331</v>
      </c>
      <c r="F2854" s="48">
        <v>40963</v>
      </c>
      <c r="G2854" s="48">
        <v>41274</v>
      </c>
      <c r="H2854" s="46" t="s">
        <v>40</v>
      </c>
      <c r="I2854" s="45">
        <v>3000</v>
      </c>
      <c r="J2854" s="45">
        <v>3000</v>
      </c>
      <c r="K2854" s="49" t="s">
        <v>17</v>
      </c>
      <c r="L2854" s="45"/>
      <c r="M2854" s="3"/>
    </row>
    <row r="2855" spans="1:13" ht="38.25" x14ac:dyDescent="0.25">
      <c r="A2855" s="46" t="s">
        <v>332</v>
      </c>
      <c r="B2855" s="46" t="s">
        <v>11644</v>
      </c>
      <c r="C2855" s="46" t="s">
        <v>14</v>
      </c>
      <c r="D2855" s="47">
        <v>10598</v>
      </c>
      <c r="E2855" s="46" t="s">
        <v>333</v>
      </c>
      <c r="F2855" s="48">
        <v>40909</v>
      </c>
      <c r="G2855" s="48">
        <v>41274</v>
      </c>
      <c r="H2855" s="46" t="s">
        <v>40</v>
      </c>
      <c r="I2855" s="45">
        <v>3127.6</v>
      </c>
      <c r="J2855" s="45">
        <v>2813.8</v>
      </c>
      <c r="K2855" s="49" t="s">
        <v>17</v>
      </c>
      <c r="L2855" s="45"/>
      <c r="M2855" s="3"/>
    </row>
    <row r="2856" spans="1:13" ht="63.75" x14ac:dyDescent="0.25">
      <c r="A2856" s="46" t="s">
        <v>334</v>
      </c>
      <c r="B2856" s="46" t="s">
        <v>11644</v>
      </c>
      <c r="C2856" s="46" t="s">
        <v>14</v>
      </c>
      <c r="D2856" s="47">
        <v>10599</v>
      </c>
      <c r="E2856" s="50" t="s">
        <v>335</v>
      </c>
      <c r="F2856" s="48">
        <v>40963</v>
      </c>
      <c r="G2856" s="48">
        <v>41274</v>
      </c>
      <c r="H2856" s="46" t="s">
        <v>40</v>
      </c>
      <c r="I2856" s="45">
        <v>10000</v>
      </c>
      <c r="J2856" s="45">
        <v>10000</v>
      </c>
      <c r="K2856" s="49" t="s">
        <v>17</v>
      </c>
      <c r="L2856" s="45"/>
      <c r="M2856" s="3"/>
    </row>
    <row r="2857" spans="1:13" ht="51" x14ac:dyDescent="0.25">
      <c r="A2857" s="46" t="s">
        <v>336</v>
      </c>
      <c r="B2857" s="46" t="s">
        <v>11644</v>
      </c>
      <c r="C2857" s="46" t="s">
        <v>14</v>
      </c>
      <c r="D2857" s="47">
        <v>10600</v>
      </c>
      <c r="E2857" s="50" t="s">
        <v>337</v>
      </c>
      <c r="F2857" s="48">
        <v>40909</v>
      </c>
      <c r="G2857" s="48">
        <v>41639</v>
      </c>
      <c r="H2857" s="46" t="s">
        <v>40</v>
      </c>
      <c r="I2857" s="45">
        <v>1986.92</v>
      </c>
      <c r="J2857" s="45">
        <v>343</v>
      </c>
      <c r="K2857" s="49" t="s">
        <v>17</v>
      </c>
      <c r="L2857" s="45"/>
      <c r="M2857" s="3"/>
    </row>
    <row r="2858" spans="1:13" ht="63.75" x14ac:dyDescent="0.25">
      <c r="A2858" s="46" t="s">
        <v>338</v>
      </c>
      <c r="B2858" s="46" t="s">
        <v>11644</v>
      </c>
      <c r="C2858" s="46" t="s">
        <v>14</v>
      </c>
      <c r="D2858" s="47">
        <v>10601</v>
      </c>
      <c r="E2858" s="50" t="s">
        <v>339</v>
      </c>
      <c r="F2858" s="48">
        <v>41089</v>
      </c>
      <c r="G2858" s="48">
        <v>41274</v>
      </c>
      <c r="H2858" s="46" t="s">
        <v>40</v>
      </c>
      <c r="I2858" s="45">
        <v>6600</v>
      </c>
      <c r="J2858" s="45">
        <v>5800</v>
      </c>
      <c r="K2858" s="49" t="s">
        <v>17</v>
      </c>
      <c r="L2858" s="45"/>
      <c r="M2858" s="3"/>
    </row>
    <row r="2859" spans="1:13" ht="25.5" x14ac:dyDescent="0.25">
      <c r="A2859" s="46" t="s">
        <v>289</v>
      </c>
      <c r="B2859" s="46" t="s">
        <v>11644</v>
      </c>
      <c r="C2859" s="46" t="s">
        <v>14</v>
      </c>
      <c r="D2859" s="47">
        <v>10602</v>
      </c>
      <c r="E2859" s="46" t="s">
        <v>340</v>
      </c>
      <c r="F2859" s="48">
        <v>40963</v>
      </c>
      <c r="G2859" s="48">
        <v>41274</v>
      </c>
      <c r="H2859" s="46" t="s">
        <v>40</v>
      </c>
      <c r="I2859" s="45">
        <v>11700</v>
      </c>
      <c r="J2859" s="45">
        <v>5850</v>
      </c>
      <c r="K2859" s="49" t="s">
        <v>17</v>
      </c>
      <c r="L2859" s="45"/>
      <c r="M2859" s="3"/>
    </row>
    <row r="2860" spans="1:13" ht="51" x14ac:dyDescent="0.25">
      <c r="A2860" s="46" t="s">
        <v>341</v>
      </c>
      <c r="B2860" s="46" t="s">
        <v>11644</v>
      </c>
      <c r="C2860" s="46" t="s">
        <v>14</v>
      </c>
      <c r="D2860" s="47">
        <v>10603</v>
      </c>
      <c r="E2860" s="50" t="s">
        <v>342</v>
      </c>
      <c r="F2860" s="48">
        <v>41180</v>
      </c>
      <c r="G2860" s="48">
        <v>41274</v>
      </c>
      <c r="H2860" s="46" t="s">
        <v>40</v>
      </c>
      <c r="I2860" s="45">
        <v>1500</v>
      </c>
      <c r="J2860" s="45">
        <v>1500</v>
      </c>
      <c r="K2860" s="49" t="s">
        <v>17</v>
      </c>
      <c r="L2860" s="45"/>
      <c r="M2860" s="3"/>
    </row>
    <row r="2861" spans="1:13" ht="25.5" x14ac:dyDescent="0.25">
      <c r="A2861" s="46" t="s">
        <v>619</v>
      </c>
      <c r="B2861" s="46" t="s">
        <v>11644</v>
      </c>
      <c r="C2861" s="46" t="s">
        <v>14</v>
      </c>
      <c r="D2861" s="47">
        <v>6962</v>
      </c>
      <c r="E2861" s="46" t="s">
        <v>620</v>
      </c>
      <c r="F2861" s="48">
        <v>40299</v>
      </c>
      <c r="G2861" s="48">
        <v>40543</v>
      </c>
      <c r="H2861" s="46" t="s">
        <v>40</v>
      </c>
      <c r="I2861" s="45">
        <v>45128</v>
      </c>
      <c r="J2861" s="45">
        <v>22564</v>
      </c>
      <c r="K2861" s="49" t="s">
        <v>356</v>
      </c>
      <c r="L2861" s="45"/>
      <c r="M2861" s="3"/>
    </row>
    <row r="2862" spans="1:13" ht="38.25" x14ac:dyDescent="0.25">
      <c r="A2862" s="46" t="s">
        <v>625</v>
      </c>
      <c r="B2862" s="46" t="s">
        <v>11644</v>
      </c>
      <c r="C2862" s="46" t="s">
        <v>14</v>
      </c>
      <c r="D2862" s="47">
        <v>6993</v>
      </c>
      <c r="E2862" s="46" t="s">
        <v>626</v>
      </c>
      <c r="F2862" s="48">
        <v>40429</v>
      </c>
      <c r="G2862" s="48">
        <v>40908</v>
      </c>
      <c r="H2862" s="46" t="s">
        <v>40</v>
      </c>
      <c r="I2862" s="45">
        <v>16000</v>
      </c>
      <c r="J2862" s="45">
        <v>16000</v>
      </c>
      <c r="K2862" s="49" t="s">
        <v>356</v>
      </c>
      <c r="L2862" s="45"/>
      <c r="M2862" s="3"/>
    </row>
    <row r="2863" spans="1:13" ht="51" x14ac:dyDescent="0.25">
      <c r="A2863" s="46" t="s">
        <v>637</v>
      </c>
      <c r="B2863" s="46" t="s">
        <v>11644</v>
      </c>
      <c r="C2863" s="46" t="s">
        <v>14</v>
      </c>
      <c r="D2863" s="47">
        <v>7007</v>
      </c>
      <c r="E2863" s="50" t="s">
        <v>638</v>
      </c>
      <c r="F2863" s="48">
        <v>40225</v>
      </c>
      <c r="G2863" s="48">
        <v>40543</v>
      </c>
      <c r="H2863" s="46" t="s">
        <v>40</v>
      </c>
      <c r="I2863" s="45">
        <v>16782</v>
      </c>
      <c r="J2863" s="45">
        <v>8391</v>
      </c>
      <c r="K2863" s="49" t="s">
        <v>356</v>
      </c>
      <c r="L2863" s="45"/>
      <c r="M2863" s="3"/>
    </row>
    <row r="2864" spans="1:13" ht="51" x14ac:dyDescent="0.25">
      <c r="A2864" s="46" t="s">
        <v>639</v>
      </c>
      <c r="B2864" s="46" t="s">
        <v>11644</v>
      </c>
      <c r="C2864" s="46" t="s">
        <v>14</v>
      </c>
      <c r="D2864" s="47">
        <v>7008</v>
      </c>
      <c r="E2864" s="50" t="s">
        <v>640</v>
      </c>
      <c r="F2864" s="48">
        <v>40429</v>
      </c>
      <c r="G2864" s="48">
        <v>40543</v>
      </c>
      <c r="H2864" s="46" t="s">
        <v>40</v>
      </c>
      <c r="I2864" s="45">
        <v>16000</v>
      </c>
      <c r="J2864" s="45">
        <v>16000</v>
      </c>
      <c r="K2864" s="49" t="s">
        <v>356</v>
      </c>
      <c r="L2864" s="45"/>
      <c r="M2864" s="3"/>
    </row>
    <row r="2865" spans="1:13" ht="25.5" x14ac:dyDescent="0.25">
      <c r="A2865" s="46" t="s">
        <v>641</v>
      </c>
      <c r="B2865" s="46" t="s">
        <v>11644</v>
      </c>
      <c r="C2865" s="46" t="s">
        <v>14</v>
      </c>
      <c r="D2865" s="47">
        <v>7009</v>
      </c>
      <c r="E2865" s="46" t="s">
        <v>642</v>
      </c>
      <c r="F2865" s="48">
        <v>40225</v>
      </c>
      <c r="G2865" s="48">
        <v>40543</v>
      </c>
      <c r="H2865" s="46" t="s">
        <v>40</v>
      </c>
      <c r="I2865" s="45">
        <v>12000</v>
      </c>
      <c r="J2865" s="45">
        <v>6000</v>
      </c>
      <c r="K2865" s="49" t="s">
        <v>356</v>
      </c>
      <c r="L2865" s="45"/>
      <c r="M2865" s="3"/>
    </row>
    <row r="2866" spans="1:13" ht="25.5" x14ac:dyDescent="0.25">
      <c r="A2866" s="46" t="s">
        <v>643</v>
      </c>
      <c r="B2866" s="46" t="s">
        <v>11644</v>
      </c>
      <c r="C2866" s="46" t="s">
        <v>14</v>
      </c>
      <c r="D2866" s="47">
        <v>7010</v>
      </c>
      <c r="E2866" s="46" t="s">
        <v>644</v>
      </c>
      <c r="F2866" s="48">
        <v>40225</v>
      </c>
      <c r="G2866" s="48">
        <v>40908</v>
      </c>
      <c r="H2866" s="46" t="s">
        <v>40</v>
      </c>
      <c r="I2866" s="45">
        <v>9996</v>
      </c>
      <c r="J2866" s="45">
        <v>4998</v>
      </c>
      <c r="K2866" s="49" t="s">
        <v>356</v>
      </c>
      <c r="L2866" s="45"/>
      <c r="M2866" s="3"/>
    </row>
    <row r="2867" spans="1:13" ht="25.5" x14ac:dyDescent="0.25">
      <c r="A2867" s="46" t="s">
        <v>676</v>
      </c>
      <c r="B2867" s="46" t="s">
        <v>11644</v>
      </c>
      <c r="C2867" s="46" t="s">
        <v>14</v>
      </c>
      <c r="D2867" s="47">
        <v>8826</v>
      </c>
      <c r="E2867" s="46" t="s">
        <v>677</v>
      </c>
      <c r="F2867" s="48">
        <v>40478</v>
      </c>
      <c r="G2867" s="48">
        <v>40908</v>
      </c>
      <c r="H2867" s="46" t="s">
        <v>40</v>
      </c>
      <c r="I2867" s="45">
        <v>10166</v>
      </c>
      <c r="J2867" s="45">
        <v>5083</v>
      </c>
      <c r="K2867" s="49" t="s">
        <v>356</v>
      </c>
      <c r="L2867" s="45"/>
      <c r="M2867" s="3"/>
    </row>
    <row r="2868" spans="1:13" x14ac:dyDescent="0.25">
      <c r="A2868" s="46" t="s">
        <v>678</v>
      </c>
      <c r="B2868" s="46" t="s">
        <v>11644</v>
      </c>
      <c r="C2868" s="46" t="s">
        <v>14</v>
      </c>
      <c r="D2868" s="47">
        <v>8827</v>
      </c>
      <c r="E2868" s="46" t="s">
        <v>679</v>
      </c>
      <c r="F2868" s="48">
        <v>40527</v>
      </c>
      <c r="G2868" s="48">
        <v>40908</v>
      </c>
      <c r="H2868" s="46" t="s">
        <v>40</v>
      </c>
      <c r="I2868" s="45">
        <v>8402</v>
      </c>
      <c r="J2868" s="45">
        <v>4201</v>
      </c>
      <c r="K2868" s="49" t="s">
        <v>356</v>
      </c>
      <c r="L2868" s="45"/>
      <c r="M2868" s="3"/>
    </row>
    <row r="2869" spans="1:13" x14ac:dyDescent="0.25">
      <c r="A2869" s="46" t="s">
        <v>682</v>
      </c>
      <c r="B2869" s="46" t="s">
        <v>11644</v>
      </c>
      <c r="C2869" s="46" t="s">
        <v>14</v>
      </c>
      <c r="D2869" s="47">
        <v>8829</v>
      </c>
      <c r="E2869" s="46" t="s">
        <v>683</v>
      </c>
      <c r="F2869" s="48">
        <v>40604</v>
      </c>
      <c r="G2869" s="48">
        <v>40908</v>
      </c>
      <c r="H2869" s="46" t="s">
        <v>40</v>
      </c>
      <c r="I2869" s="45">
        <v>10500</v>
      </c>
      <c r="J2869" s="45">
        <v>5250</v>
      </c>
      <c r="K2869" s="49" t="s">
        <v>356</v>
      </c>
      <c r="L2869" s="45"/>
      <c r="M2869" s="3"/>
    </row>
    <row r="2870" spans="1:13" x14ac:dyDescent="0.25">
      <c r="A2870" s="46" t="s">
        <v>684</v>
      </c>
      <c r="B2870" s="46" t="s">
        <v>11644</v>
      </c>
      <c r="C2870" s="46" t="s">
        <v>14</v>
      </c>
      <c r="D2870" s="47">
        <v>8830</v>
      </c>
      <c r="E2870" s="46" t="s">
        <v>685</v>
      </c>
      <c r="F2870" s="48">
        <v>40296</v>
      </c>
      <c r="G2870" s="48">
        <v>40908</v>
      </c>
      <c r="H2870" s="46" t="s">
        <v>40</v>
      </c>
      <c r="I2870" s="45">
        <v>712</v>
      </c>
      <c r="J2870" s="45">
        <v>356</v>
      </c>
      <c r="K2870" s="49" t="s">
        <v>356</v>
      </c>
      <c r="L2870" s="45"/>
      <c r="M2870" s="3"/>
    </row>
    <row r="2871" spans="1:13" ht="25.5" x14ac:dyDescent="0.25">
      <c r="A2871" s="46" t="s">
        <v>686</v>
      </c>
      <c r="B2871" s="46" t="s">
        <v>11644</v>
      </c>
      <c r="C2871" s="46" t="s">
        <v>14</v>
      </c>
      <c r="D2871" s="47">
        <v>8831</v>
      </c>
      <c r="E2871" s="46" t="s">
        <v>687</v>
      </c>
      <c r="F2871" s="48">
        <v>40716</v>
      </c>
      <c r="G2871" s="48">
        <v>41274</v>
      </c>
      <c r="H2871" s="46" t="s">
        <v>40</v>
      </c>
      <c r="I2871" s="45">
        <v>4810</v>
      </c>
      <c r="J2871" s="45">
        <v>3405</v>
      </c>
      <c r="K2871" s="49" t="s">
        <v>356</v>
      </c>
      <c r="L2871" s="45"/>
      <c r="M2871" s="3"/>
    </row>
    <row r="2872" spans="1:13" x14ac:dyDescent="0.25">
      <c r="A2872" s="46" t="s">
        <v>688</v>
      </c>
      <c r="B2872" s="46" t="s">
        <v>11644</v>
      </c>
      <c r="C2872" s="46" t="s">
        <v>14</v>
      </c>
      <c r="D2872" s="47">
        <v>8832</v>
      </c>
      <c r="E2872" s="46" t="s">
        <v>689</v>
      </c>
      <c r="F2872" s="48">
        <v>40429</v>
      </c>
      <c r="G2872" s="48">
        <v>40908</v>
      </c>
      <c r="H2872" s="46" t="s">
        <v>40</v>
      </c>
      <c r="I2872" s="45">
        <v>10930</v>
      </c>
      <c r="J2872" s="45">
        <v>9965</v>
      </c>
      <c r="K2872" s="49" t="s">
        <v>356</v>
      </c>
      <c r="L2872" s="45"/>
      <c r="M2872" s="3"/>
    </row>
    <row r="2873" spans="1:13" ht="38.25" x14ac:dyDescent="0.25">
      <c r="A2873" s="46" t="s">
        <v>690</v>
      </c>
      <c r="B2873" s="46" t="s">
        <v>11644</v>
      </c>
      <c r="C2873" s="46" t="s">
        <v>14</v>
      </c>
      <c r="D2873" s="47">
        <v>8833</v>
      </c>
      <c r="E2873" s="50" t="s">
        <v>691</v>
      </c>
      <c r="F2873" s="48">
        <v>40604</v>
      </c>
      <c r="G2873" s="48">
        <v>40908</v>
      </c>
      <c r="H2873" s="46" t="s">
        <v>40</v>
      </c>
      <c r="I2873" s="45">
        <v>21312</v>
      </c>
      <c r="J2873" s="45">
        <v>14656</v>
      </c>
      <c r="K2873" s="49" t="s">
        <v>356</v>
      </c>
      <c r="L2873" s="45"/>
      <c r="M2873" s="3"/>
    </row>
    <row r="2874" spans="1:13" ht="38.25" x14ac:dyDescent="0.25">
      <c r="A2874" s="46" t="s">
        <v>692</v>
      </c>
      <c r="B2874" s="46" t="s">
        <v>11644</v>
      </c>
      <c r="C2874" s="46" t="s">
        <v>14</v>
      </c>
      <c r="D2874" s="47">
        <v>8834</v>
      </c>
      <c r="E2874" s="50" t="s">
        <v>693</v>
      </c>
      <c r="F2874" s="48">
        <v>40660</v>
      </c>
      <c r="G2874" s="48">
        <v>41274</v>
      </c>
      <c r="H2874" s="46" t="s">
        <v>40</v>
      </c>
      <c r="I2874" s="45">
        <v>8000</v>
      </c>
      <c r="J2874" s="45">
        <v>8000</v>
      </c>
      <c r="K2874" s="49" t="s">
        <v>356</v>
      </c>
      <c r="L2874" s="45"/>
      <c r="M2874" s="3"/>
    </row>
    <row r="2875" spans="1:13" ht="25.5" x14ac:dyDescent="0.25">
      <c r="A2875" s="46" t="s">
        <v>694</v>
      </c>
      <c r="B2875" s="46" t="s">
        <v>11644</v>
      </c>
      <c r="C2875" s="46" t="s">
        <v>14</v>
      </c>
      <c r="D2875" s="47">
        <v>8835</v>
      </c>
      <c r="E2875" s="46" t="s">
        <v>695</v>
      </c>
      <c r="F2875" s="48">
        <v>40716</v>
      </c>
      <c r="G2875" s="48">
        <v>40908</v>
      </c>
      <c r="H2875" s="46" t="s">
        <v>40</v>
      </c>
      <c r="I2875" s="45">
        <v>28230</v>
      </c>
      <c r="J2875" s="45">
        <v>14115</v>
      </c>
      <c r="K2875" s="49" t="s">
        <v>356</v>
      </c>
      <c r="L2875" s="45"/>
      <c r="M2875" s="3"/>
    </row>
    <row r="2876" spans="1:13" ht="25.5" x14ac:dyDescent="0.25">
      <c r="A2876" s="46" t="s">
        <v>696</v>
      </c>
      <c r="B2876" s="46" t="s">
        <v>11644</v>
      </c>
      <c r="C2876" s="46" t="s">
        <v>14</v>
      </c>
      <c r="D2876" s="47">
        <v>8836</v>
      </c>
      <c r="E2876" s="46" t="s">
        <v>697</v>
      </c>
      <c r="F2876" s="48">
        <v>40478</v>
      </c>
      <c r="G2876" s="48">
        <v>40908</v>
      </c>
      <c r="H2876" s="46" t="s">
        <v>40</v>
      </c>
      <c r="I2876" s="45">
        <v>22000</v>
      </c>
      <c r="J2876" s="45">
        <v>20000</v>
      </c>
      <c r="K2876" s="49" t="s">
        <v>356</v>
      </c>
      <c r="L2876" s="45"/>
      <c r="M2876" s="3"/>
    </row>
    <row r="2877" spans="1:13" ht="25.5" x14ac:dyDescent="0.25">
      <c r="A2877" s="46" t="s">
        <v>700</v>
      </c>
      <c r="B2877" s="46" t="s">
        <v>11644</v>
      </c>
      <c r="C2877" s="46" t="s">
        <v>14</v>
      </c>
      <c r="D2877" s="47">
        <v>8838</v>
      </c>
      <c r="E2877" s="46" t="s">
        <v>701</v>
      </c>
      <c r="F2877" s="48">
        <v>40716</v>
      </c>
      <c r="G2877" s="48">
        <v>41274</v>
      </c>
      <c r="H2877" s="46" t="s">
        <v>40</v>
      </c>
      <c r="I2877" s="45">
        <v>91518</v>
      </c>
      <c r="J2877" s="45">
        <v>55759</v>
      </c>
      <c r="K2877" s="49" t="s">
        <v>356</v>
      </c>
      <c r="L2877" s="45"/>
      <c r="M2877" s="3"/>
    </row>
    <row r="2878" spans="1:13" x14ac:dyDescent="0.25">
      <c r="A2878" s="46" t="s">
        <v>702</v>
      </c>
      <c r="B2878" s="46" t="s">
        <v>11644</v>
      </c>
      <c r="C2878" s="46" t="s">
        <v>14</v>
      </c>
      <c r="D2878" s="47">
        <v>8839</v>
      </c>
      <c r="E2878" s="46" t="s">
        <v>703</v>
      </c>
      <c r="F2878" s="48">
        <v>40544</v>
      </c>
      <c r="G2878" s="48">
        <v>40908</v>
      </c>
      <c r="H2878" s="46" t="s">
        <v>40</v>
      </c>
      <c r="I2878" s="45">
        <v>35756</v>
      </c>
      <c r="J2878" s="45">
        <v>17878</v>
      </c>
      <c r="K2878" s="49" t="s">
        <v>356</v>
      </c>
      <c r="L2878" s="45"/>
      <c r="M2878" s="3"/>
    </row>
    <row r="2879" spans="1:13" ht="25.5" x14ac:dyDescent="0.25">
      <c r="A2879" s="46" t="s">
        <v>706</v>
      </c>
      <c r="B2879" s="46" t="s">
        <v>11644</v>
      </c>
      <c r="C2879" s="46" t="s">
        <v>14</v>
      </c>
      <c r="D2879" s="47">
        <v>8841</v>
      </c>
      <c r="E2879" s="46" t="s">
        <v>707</v>
      </c>
      <c r="F2879" s="48">
        <v>40544</v>
      </c>
      <c r="G2879" s="48">
        <v>41274</v>
      </c>
      <c r="H2879" s="46" t="s">
        <v>40</v>
      </c>
      <c r="I2879" s="45">
        <v>28886</v>
      </c>
      <c r="J2879" s="45">
        <v>14443</v>
      </c>
      <c r="K2879" s="49" t="s">
        <v>356</v>
      </c>
      <c r="L2879" s="45"/>
      <c r="M2879" s="3"/>
    </row>
    <row r="2880" spans="1:13" ht="25.5" x14ac:dyDescent="0.25">
      <c r="A2880" s="46" t="s">
        <v>708</v>
      </c>
      <c r="B2880" s="46" t="s">
        <v>11644</v>
      </c>
      <c r="C2880" s="46" t="s">
        <v>14</v>
      </c>
      <c r="D2880" s="47">
        <v>8842</v>
      </c>
      <c r="E2880" s="46" t="s">
        <v>709</v>
      </c>
      <c r="F2880" s="48">
        <v>40544</v>
      </c>
      <c r="G2880" s="48">
        <v>40908</v>
      </c>
      <c r="H2880" s="46" t="s">
        <v>40</v>
      </c>
      <c r="I2880" s="45">
        <v>18618</v>
      </c>
      <c r="J2880" s="45">
        <v>9309</v>
      </c>
      <c r="K2880" s="49" t="s">
        <v>356</v>
      </c>
      <c r="L2880" s="45"/>
      <c r="M2880" s="3"/>
    </row>
    <row r="2881" spans="1:60" ht="38.25" x14ac:dyDescent="0.25">
      <c r="A2881" s="46" t="s">
        <v>710</v>
      </c>
      <c r="B2881" s="46" t="s">
        <v>11644</v>
      </c>
      <c r="C2881" s="46" t="s">
        <v>14</v>
      </c>
      <c r="D2881" s="47">
        <v>8843</v>
      </c>
      <c r="E2881" s="46" t="s">
        <v>711</v>
      </c>
      <c r="F2881" s="48">
        <v>40544</v>
      </c>
      <c r="G2881" s="48">
        <v>41274</v>
      </c>
      <c r="H2881" s="46" t="s">
        <v>40</v>
      </c>
      <c r="I2881" s="45">
        <v>9516</v>
      </c>
      <c r="J2881" s="45">
        <v>8758</v>
      </c>
      <c r="K2881" s="49" t="s">
        <v>356</v>
      </c>
      <c r="L2881" s="45"/>
      <c r="M2881" s="3"/>
    </row>
    <row r="2882" spans="1:60" ht="25.5" x14ac:dyDescent="0.25">
      <c r="A2882" s="46" t="s">
        <v>712</v>
      </c>
      <c r="B2882" s="46" t="s">
        <v>11644</v>
      </c>
      <c r="C2882" s="46" t="s">
        <v>14</v>
      </c>
      <c r="D2882" s="47">
        <v>8844</v>
      </c>
      <c r="E2882" s="46" t="s">
        <v>713</v>
      </c>
      <c r="F2882" s="48">
        <v>40544</v>
      </c>
      <c r="G2882" s="48">
        <v>40908</v>
      </c>
      <c r="H2882" s="46" t="s">
        <v>40</v>
      </c>
      <c r="I2882" s="45">
        <v>10098</v>
      </c>
      <c r="J2882" s="45">
        <v>6549</v>
      </c>
      <c r="K2882" s="49" t="s">
        <v>356</v>
      </c>
      <c r="L2882" s="45"/>
      <c r="M2882" s="3"/>
    </row>
    <row r="2883" spans="1:60" ht="25.5" x14ac:dyDescent="0.25">
      <c r="A2883" s="46" t="s">
        <v>714</v>
      </c>
      <c r="B2883" s="46" t="s">
        <v>11644</v>
      </c>
      <c r="C2883" s="46" t="s">
        <v>14</v>
      </c>
      <c r="D2883" s="47">
        <v>8845</v>
      </c>
      <c r="E2883" s="46" t="s">
        <v>715</v>
      </c>
      <c r="F2883" s="48">
        <v>40544</v>
      </c>
      <c r="G2883" s="48">
        <v>41274</v>
      </c>
      <c r="H2883" s="46" t="s">
        <v>40</v>
      </c>
      <c r="I2883" s="45">
        <v>39394</v>
      </c>
      <c r="J2883" s="45">
        <v>23697</v>
      </c>
      <c r="K2883" s="49" t="s">
        <v>356</v>
      </c>
      <c r="L2883" s="45"/>
      <c r="M2883" s="3"/>
    </row>
    <row r="2884" spans="1:60" ht="25.5" x14ac:dyDescent="0.25">
      <c r="A2884" s="46" t="s">
        <v>718</v>
      </c>
      <c r="B2884" s="46" t="s">
        <v>11644</v>
      </c>
      <c r="C2884" s="46" t="s">
        <v>14</v>
      </c>
      <c r="D2884" s="47">
        <v>8847</v>
      </c>
      <c r="E2884" s="46" t="s">
        <v>719</v>
      </c>
      <c r="F2884" s="48">
        <v>40544</v>
      </c>
      <c r="G2884" s="48">
        <v>41274</v>
      </c>
      <c r="H2884" s="46" t="s">
        <v>40</v>
      </c>
      <c r="I2884" s="45">
        <v>18298</v>
      </c>
      <c r="J2884" s="45">
        <v>13149</v>
      </c>
      <c r="K2884" s="49" t="s">
        <v>356</v>
      </c>
      <c r="L2884" s="45"/>
      <c r="M2884" s="3"/>
    </row>
    <row r="2885" spans="1:60" ht="25.5" x14ac:dyDescent="0.25">
      <c r="A2885" s="46" t="s">
        <v>722</v>
      </c>
      <c r="B2885" s="46" t="s">
        <v>11644</v>
      </c>
      <c r="C2885" s="46" t="s">
        <v>14</v>
      </c>
      <c r="D2885" s="47">
        <v>8849</v>
      </c>
      <c r="E2885" s="46" t="s">
        <v>723</v>
      </c>
      <c r="F2885" s="48">
        <v>40660</v>
      </c>
      <c r="G2885" s="48">
        <v>40908</v>
      </c>
      <c r="H2885" s="46" t="s">
        <v>40</v>
      </c>
      <c r="I2885" s="45">
        <v>4000</v>
      </c>
      <c r="J2885" s="45">
        <v>4000</v>
      </c>
      <c r="K2885" s="49" t="s">
        <v>356</v>
      </c>
      <c r="L2885" s="45"/>
      <c r="M2885" s="3"/>
    </row>
    <row r="2886" spans="1:60" ht="25.5" x14ac:dyDescent="0.25">
      <c r="A2886" s="46" t="s">
        <v>724</v>
      </c>
      <c r="B2886" s="46" t="s">
        <v>11644</v>
      </c>
      <c r="C2886" s="46" t="s">
        <v>14</v>
      </c>
      <c r="D2886" s="47">
        <v>8850</v>
      </c>
      <c r="E2886" s="46" t="s">
        <v>725</v>
      </c>
      <c r="F2886" s="48">
        <v>40478</v>
      </c>
      <c r="G2886" s="48">
        <v>40908</v>
      </c>
      <c r="H2886" s="46" t="s">
        <v>40</v>
      </c>
      <c r="I2886" s="45">
        <v>40000</v>
      </c>
      <c r="J2886" s="45">
        <v>20000</v>
      </c>
      <c r="K2886" s="49" t="s">
        <v>356</v>
      </c>
      <c r="L2886" s="45"/>
      <c r="M2886" s="3"/>
    </row>
    <row r="2887" spans="1:60" ht="25.5" x14ac:dyDescent="0.25">
      <c r="A2887" s="46" t="s">
        <v>728</v>
      </c>
      <c r="B2887" s="46" t="s">
        <v>11644</v>
      </c>
      <c r="C2887" s="46" t="s">
        <v>14</v>
      </c>
      <c r="D2887" s="47">
        <v>8852</v>
      </c>
      <c r="E2887" s="46" t="s">
        <v>729</v>
      </c>
      <c r="F2887" s="48">
        <v>40800</v>
      </c>
      <c r="G2887" s="48">
        <v>41274</v>
      </c>
      <c r="H2887" s="46" t="s">
        <v>40</v>
      </c>
      <c r="I2887" s="45">
        <v>17660</v>
      </c>
      <c r="J2887" s="45">
        <v>8830</v>
      </c>
      <c r="K2887" s="49" t="s">
        <v>356</v>
      </c>
      <c r="L2887" s="45"/>
      <c r="M2887" s="3"/>
    </row>
    <row r="2888" spans="1:60" ht="25.5" x14ac:dyDescent="0.25">
      <c r="A2888" s="46" t="s">
        <v>740</v>
      </c>
      <c r="B2888" s="46" t="s">
        <v>11644</v>
      </c>
      <c r="C2888" s="46" t="s">
        <v>14</v>
      </c>
      <c r="D2888" s="47">
        <v>10823</v>
      </c>
      <c r="E2888" s="46" t="s">
        <v>741</v>
      </c>
      <c r="F2888" s="48">
        <v>40909</v>
      </c>
      <c r="G2888" s="48">
        <v>41274</v>
      </c>
      <c r="H2888" s="46" t="s">
        <v>40</v>
      </c>
      <c r="I2888" s="45">
        <v>120000</v>
      </c>
      <c r="J2888" s="45">
        <v>60000</v>
      </c>
      <c r="K2888" s="49" t="s">
        <v>356</v>
      </c>
      <c r="L2888" s="45"/>
      <c r="M2888" s="3"/>
    </row>
    <row r="2889" spans="1:60" ht="25.5" x14ac:dyDescent="0.25">
      <c r="A2889" s="46" t="s">
        <v>742</v>
      </c>
      <c r="B2889" s="46" t="s">
        <v>11644</v>
      </c>
      <c r="C2889" s="46" t="s">
        <v>14</v>
      </c>
      <c r="D2889" s="47">
        <v>10824</v>
      </c>
      <c r="E2889" s="46" t="s">
        <v>743</v>
      </c>
      <c r="F2889" s="48">
        <v>40909</v>
      </c>
      <c r="G2889" s="48">
        <v>41274</v>
      </c>
      <c r="H2889" s="46" t="s">
        <v>40</v>
      </c>
      <c r="I2889" s="45">
        <v>20000</v>
      </c>
      <c r="J2889" s="45">
        <v>10000</v>
      </c>
      <c r="K2889" s="49" t="s">
        <v>356</v>
      </c>
      <c r="L2889" s="45"/>
      <c r="M2889" s="3"/>
    </row>
    <row r="2890" spans="1:60" x14ac:dyDescent="0.25">
      <c r="A2890" s="46" t="s">
        <v>744</v>
      </c>
      <c r="B2890" s="46" t="s">
        <v>11644</v>
      </c>
      <c r="C2890" s="46" t="s">
        <v>14</v>
      </c>
      <c r="D2890" s="47">
        <v>10825</v>
      </c>
      <c r="E2890" s="46" t="s">
        <v>745</v>
      </c>
      <c r="F2890" s="48">
        <v>40909</v>
      </c>
      <c r="G2890" s="48">
        <v>41274</v>
      </c>
      <c r="H2890" s="46" t="s">
        <v>40</v>
      </c>
      <c r="I2890" s="45">
        <v>1770</v>
      </c>
      <c r="J2890" s="45">
        <v>885</v>
      </c>
      <c r="K2890" s="49" t="s">
        <v>356</v>
      </c>
      <c r="L2890" s="45"/>
      <c r="M2890" s="3"/>
    </row>
    <row r="2891" spans="1:60" ht="25.5" x14ac:dyDescent="0.25">
      <c r="A2891" s="46" t="s">
        <v>746</v>
      </c>
      <c r="B2891" s="46" t="s">
        <v>11644</v>
      </c>
      <c r="C2891" s="46" t="s">
        <v>14</v>
      </c>
      <c r="D2891" s="47">
        <v>10826</v>
      </c>
      <c r="E2891" s="46" t="s">
        <v>747</v>
      </c>
      <c r="F2891" s="48">
        <v>40909</v>
      </c>
      <c r="G2891" s="48">
        <v>41639</v>
      </c>
      <c r="H2891" s="46" t="s">
        <v>40</v>
      </c>
      <c r="I2891" s="45">
        <f>8632+500</f>
        <v>9132</v>
      </c>
      <c r="J2891" s="45">
        <f>5316+250</f>
        <v>5566</v>
      </c>
      <c r="K2891" s="49" t="s">
        <v>356</v>
      </c>
      <c r="L2891" s="45"/>
      <c r="M2891" s="3"/>
    </row>
    <row r="2892" spans="1:60" s="21" customFormat="1" ht="25.5" x14ac:dyDescent="0.25">
      <c r="A2892" s="46" t="s">
        <v>750</v>
      </c>
      <c r="B2892" s="46" t="s">
        <v>11644</v>
      </c>
      <c r="C2892" s="46" t="s">
        <v>14</v>
      </c>
      <c r="D2892" s="47">
        <v>10829</v>
      </c>
      <c r="E2892" s="46" t="s">
        <v>751</v>
      </c>
      <c r="F2892" s="48">
        <v>40909</v>
      </c>
      <c r="G2892" s="48">
        <v>41274</v>
      </c>
      <c r="H2892" s="46" t="s">
        <v>40</v>
      </c>
      <c r="I2892" s="45">
        <v>4040</v>
      </c>
      <c r="J2892" s="45">
        <v>3520</v>
      </c>
      <c r="K2892" s="49" t="s">
        <v>356</v>
      </c>
      <c r="L2892" s="45"/>
      <c r="M2892" s="3"/>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row>
    <row r="2893" spans="1:60" s="21" customFormat="1" ht="25.5" x14ac:dyDescent="0.25">
      <c r="A2893" s="46" t="s">
        <v>760</v>
      </c>
      <c r="B2893" s="46" t="s">
        <v>11644</v>
      </c>
      <c r="C2893" s="46" t="s">
        <v>14</v>
      </c>
      <c r="D2893" s="47">
        <v>10838</v>
      </c>
      <c r="E2893" s="46" t="s">
        <v>761</v>
      </c>
      <c r="F2893" s="48">
        <v>40909</v>
      </c>
      <c r="G2893" s="48">
        <v>41274</v>
      </c>
      <c r="H2893" s="46" t="s">
        <v>40</v>
      </c>
      <c r="I2893" s="45">
        <v>8692</v>
      </c>
      <c r="J2893" s="45">
        <v>8346</v>
      </c>
      <c r="K2893" s="49" t="s">
        <v>356</v>
      </c>
      <c r="L2893" s="45"/>
      <c r="M2893" s="3"/>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row>
    <row r="2894" spans="1:60" s="21" customFormat="1" x14ac:dyDescent="0.25">
      <c r="A2894" s="46" t="s">
        <v>762</v>
      </c>
      <c r="B2894" s="46" t="s">
        <v>11644</v>
      </c>
      <c r="C2894" s="46" t="s">
        <v>14</v>
      </c>
      <c r="D2894" s="47">
        <v>10846</v>
      </c>
      <c r="E2894" s="46" t="s">
        <v>763</v>
      </c>
      <c r="F2894" s="48">
        <v>40909</v>
      </c>
      <c r="G2894" s="48">
        <v>41274</v>
      </c>
      <c r="H2894" s="46" t="s">
        <v>40</v>
      </c>
      <c r="I2894" s="45">
        <v>18970</v>
      </c>
      <c r="J2894" s="45">
        <v>9395</v>
      </c>
      <c r="K2894" s="49" t="s">
        <v>356</v>
      </c>
      <c r="L2894" s="45"/>
      <c r="M2894" s="3"/>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row>
    <row r="2895" spans="1:60" ht="25.5" x14ac:dyDescent="0.25">
      <c r="A2895" s="46" t="s">
        <v>764</v>
      </c>
      <c r="B2895" s="46" t="s">
        <v>11644</v>
      </c>
      <c r="C2895" s="46" t="s">
        <v>14</v>
      </c>
      <c r="D2895" s="47">
        <v>10847</v>
      </c>
      <c r="E2895" s="46" t="s">
        <v>765</v>
      </c>
      <c r="F2895" s="48">
        <v>40909</v>
      </c>
      <c r="G2895" s="48">
        <v>41274</v>
      </c>
      <c r="H2895" s="46" t="s">
        <v>40</v>
      </c>
      <c r="I2895" s="45">
        <v>4000</v>
      </c>
      <c r="J2895" s="45">
        <v>2000</v>
      </c>
      <c r="K2895" s="49" t="s">
        <v>356</v>
      </c>
      <c r="L2895" s="45"/>
      <c r="M2895" s="3"/>
    </row>
    <row r="2896" spans="1:60" ht="38.25" x14ac:dyDescent="0.25">
      <c r="A2896" s="46" t="s">
        <v>766</v>
      </c>
      <c r="B2896" s="46" t="s">
        <v>11644</v>
      </c>
      <c r="C2896" s="46" t="s">
        <v>14</v>
      </c>
      <c r="D2896" s="47">
        <v>10848</v>
      </c>
      <c r="E2896" s="46" t="s">
        <v>767</v>
      </c>
      <c r="F2896" s="48">
        <v>40909</v>
      </c>
      <c r="G2896" s="48">
        <v>41274</v>
      </c>
      <c r="H2896" s="46" t="s">
        <v>40</v>
      </c>
      <c r="I2896" s="45">
        <v>3750</v>
      </c>
      <c r="J2896" s="45">
        <v>3750</v>
      </c>
      <c r="K2896" s="49" t="s">
        <v>356</v>
      </c>
      <c r="L2896" s="45"/>
      <c r="M2896" s="3"/>
    </row>
    <row r="2897" spans="1:13" ht="25.5" x14ac:dyDescent="0.25">
      <c r="A2897" s="46" t="s">
        <v>768</v>
      </c>
      <c r="B2897" s="46" t="s">
        <v>11644</v>
      </c>
      <c r="C2897" s="46" t="s">
        <v>14</v>
      </c>
      <c r="D2897" s="47">
        <v>10849</v>
      </c>
      <c r="E2897" s="46" t="s">
        <v>769</v>
      </c>
      <c r="F2897" s="48">
        <v>40909</v>
      </c>
      <c r="G2897" s="48">
        <v>41274</v>
      </c>
      <c r="H2897" s="46" t="s">
        <v>40</v>
      </c>
      <c r="I2897" s="45">
        <v>1500</v>
      </c>
      <c r="J2897" s="45">
        <v>750</v>
      </c>
      <c r="K2897" s="49" t="s">
        <v>356</v>
      </c>
      <c r="L2897" s="45"/>
      <c r="M2897" s="3"/>
    </row>
    <row r="2898" spans="1:13" x14ac:dyDescent="0.25">
      <c r="A2898" s="46" t="s">
        <v>770</v>
      </c>
      <c r="B2898" s="46" t="s">
        <v>11644</v>
      </c>
      <c r="C2898" s="46" t="s">
        <v>14</v>
      </c>
      <c r="D2898" s="47">
        <v>10850</v>
      </c>
      <c r="E2898" s="46" t="s">
        <v>771</v>
      </c>
      <c r="F2898" s="48">
        <v>40909</v>
      </c>
      <c r="G2898" s="48">
        <v>41274</v>
      </c>
      <c r="H2898" s="46" t="s">
        <v>40</v>
      </c>
      <c r="I2898" s="45">
        <v>5000</v>
      </c>
      <c r="J2898" s="45">
        <v>5000</v>
      </c>
      <c r="K2898" s="49" t="s">
        <v>356</v>
      </c>
      <c r="L2898" s="45"/>
      <c r="M2898" s="3"/>
    </row>
    <row r="2899" spans="1:13" x14ac:dyDescent="0.25">
      <c r="A2899" s="46" t="s">
        <v>772</v>
      </c>
      <c r="B2899" s="46" t="s">
        <v>11644</v>
      </c>
      <c r="C2899" s="46" t="s">
        <v>14</v>
      </c>
      <c r="D2899" s="47">
        <v>10851</v>
      </c>
      <c r="E2899" s="46" t="s">
        <v>773</v>
      </c>
      <c r="F2899" s="48">
        <v>40909</v>
      </c>
      <c r="G2899" s="48">
        <v>41639</v>
      </c>
      <c r="H2899" s="46" t="s">
        <v>40</v>
      </c>
      <c r="I2899" s="45">
        <f>6074+1824</f>
        <v>7898</v>
      </c>
      <c r="J2899" s="45">
        <f>4250+912</f>
        <v>5162</v>
      </c>
      <c r="K2899" s="49" t="s">
        <v>356</v>
      </c>
      <c r="L2899" s="45"/>
      <c r="M2899" s="3"/>
    </row>
    <row r="2900" spans="1:13" ht="25.5" x14ac:dyDescent="0.25">
      <c r="A2900" s="46" t="s">
        <v>1399</v>
      </c>
      <c r="B2900" s="46" t="s">
        <v>11644</v>
      </c>
      <c r="C2900" s="46" t="s">
        <v>14</v>
      </c>
      <c r="D2900" s="47">
        <v>5658</v>
      </c>
      <c r="E2900" s="46" t="s">
        <v>1400</v>
      </c>
      <c r="F2900" s="48">
        <v>39814</v>
      </c>
      <c r="G2900" s="48">
        <v>41639</v>
      </c>
      <c r="H2900" s="46" t="s">
        <v>40</v>
      </c>
      <c r="I2900" s="45">
        <v>10000</v>
      </c>
      <c r="J2900" s="45">
        <v>10000</v>
      </c>
      <c r="K2900" s="49" t="s">
        <v>790</v>
      </c>
      <c r="L2900" s="45"/>
      <c r="M2900" s="3"/>
    </row>
    <row r="2901" spans="1:13" ht="38.25" x14ac:dyDescent="0.25">
      <c r="A2901" s="46" t="s">
        <v>1405</v>
      </c>
      <c r="B2901" s="46" t="s">
        <v>11644</v>
      </c>
      <c r="C2901" s="46" t="s">
        <v>14</v>
      </c>
      <c r="D2901" s="47">
        <v>5661</v>
      </c>
      <c r="E2901" s="46" t="s">
        <v>1406</v>
      </c>
      <c r="F2901" s="48">
        <v>39814</v>
      </c>
      <c r="G2901" s="48">
        <v>41639</v>
      </c>
      <c r="H2901" s="46" t="s">
        <v>40</v>
      </c>
      <c r="I2901" s="45">
        <v>18029.669999999998</v>
      </c>
      <c r="J2901" s="45">
        <v>16932.669999999998</v>
      </c>
      <c r="K2901" s="49" t="s">
        <v>790</v>
      </c>
      <c r="L2901" s="45"/>
      <c r="M2901" s="3"/>
    </row>
    <row r="2902" spans="1:13" ht="38.25" x14ac:dyDescent="0.25">
      <c r="A2902" s="46" t="s">
        <v>1407</v>
      </c>
      <c r="B2902" s="46" t="s">
        <v>11644</v>
      </c>
      <c r="C2902" s="46" t="s">
        <v>14</v>
      </c>
      <c r="D2902" s="47">
        <v>5662</v>
      </c>
      <c r="E2902" s="50" t="s">
        <v>1408</v>
      </c>
      <c r="F2902" s="48">
        <v>39814</v>
      </c>
      <c r="G2902" s="48">
        <v>41639</v>
      </c>
      <c r="H2902" s="46" t="s">
        <v>40</v>
      </c>
      <c r="I2902" s="45">
        <v>5000</v>
      </c>
      <c r="J2902" s="45">
        <v>5000</v>
      </c>
      <c r="K2902" s="49" t="s">
        <v>790</v>
      </c>
      <c r="L2902" s="45"/>
      <c r="M2902" s="3"/>
    </row>
    <row r="2903" spans="1:13" ht="25.5" x14ac:dyDescent="0.25">
      <c r="A2903" s="46" t="s">
        <v>1450</v>
      </c>
      <c r="B2903" s="46" t="s">
        <v>11644</v>
      </c>
      <c r="C2903" s="46" t="s">
        <v>14</v>
      </c>
      <c r="D2903" s="47">
        <v>6707</v>
      </c>
      <c r="E2903" s="46" t="s">
        <v>1451</v>
      </c>
      <c r="F2903" s="48">
        <v>40179</v>
      </c>
      <c r="G2903" s="48">
        <v>41639</v>
      </c>
      <c r="H2903" s="46" t="s">
        <v>40</v>
      </c>
      <c r="I2903" s="45">
        <v>30000</v>
      </c>
      <c r="J2903" s="45">
        <v>27500</v>
      </c>
      <c r="K2903" s="49" t="s">
        <v>790</v>
      </c>
      <c r="L2903" s="45"/>
      <c r="M2903" s="3"/>
    </row>
    <row r="2904" spans="1:13" ht="25.5" x14ac:dyDescent="0.25">
      <c r="A2904" s="46" t="s">
        <v>1452</v>
      </c>
      <c r="B2904" s="46" t="s">
        <v>11644</v>
      </c>
      <c r="C2904" s="46" t="s">
        <v>14</v>
      </c>
      <c r="D2904" s="47">
        <v>6729</v>
      </c>
      <c r="E2904" s="46" t="s">
        <v>1453</v>
      </c>
      <c r="F2904" s="48">
        <v>40179</v>
      </c>
      <c r="G2904" s="48">
        <v>41639</v>
      </c>
      <c r="H2904" s="46" t="s">
        <v>40</v>
      </c>
      <c r="I2904" s="45">
        <v>14053.5</v>
      </c>
      <c r="J2904" s="45">
        <v>9369</v>
      </c>
      <c r="K2904" s="49" t="s">
        <v>790</v>
      </c>
      <c r="L2904" s="45"/>
      <c r="M2904" s="3"/>
    </row>
    <row r="2905" spans="1:13" ht="25.5" x14ac:dyDescent="0.25">
      <c r="A2905" s="46" t="s">
        <v>1466</v>
      </c>
      <c r="B2905" s="46" t="s">
        <v>11644</v>
      </c>
      <c r="C2905" s="46" t="s">
        <v>14</v>
      </c>
      <c r="D2905" s="47">
        <v>6835</v>
      </c>
      <c r="E2905" s="46" t="s">
        <v>1467</v>
      </c>
      <c r="F2905" s="48">
        <v>40179</v>
      </c>
      <c r="G2905" s="48">
        <v>41639</v>
      </c>
      <c r="H2905" s="46" t="s">
        <v>40</v>
      </c>
      <c r="I2905" s="45">
        <v>14390.7</v>
      </c>
      <c r="J2905" s="45">
        <v>10917.6</v>
      </c>
      <c r="K2905" s="49" t="s">
        <v>790</v>
      </c>
      <c r="L2905" s="45"/>
      <c r="M2905" s="3"/>
    </row>
    <row r="2906" spans="1:13" ht="25.5" x14ac:dyDescent="0.25">
      <c r="A2906" s="46" t="s">
        <v>1476</v>
      </c>
      <c r="B2906" s="46" t="s">
        <v>11644</v>
      </c>
      <c r="C2906" s="46" t="s">
        <v>14</v>
      </c>
      <c r="D2906" s="47">
        <v>6846</v>
      </c>
      <c r="E2906" s="46" t="s">
        <v>1477</v>
      </c>
      <c r="F2906" s="48">
        <v>40179</v>
      </c>
      <c r="G2906" s="48">
        <v>41274</v>
      </c>
      <c r="H2906" s="46" t="s">
        <v>40</v>
      </c>
      <c r="I2906" s="45">
        <v>53000</v>
      </c>
      <c r="J2906" s="45">
        <v>43000</v>
      </c>
      <c r="K2906" s="49" t="s">
        <v>790</v>
      </c>
      <c r="L2906" s="45"/>
      <c r="M2906" s="3"/>
    </row>
    <row r="2907" spans="1:13" x14ac:dyDescent="0.25">
      <c r="A2907" s="46" t="s">
        <v>1478</v>
      </c>
      <c r="B2907" s="46" t="s">
        <v>11644</v>
      </c>
      <c r="C2907" s="46" t="s">
        <v>14</v>
      </c>
      <c r="D2907" s="47">
        <v>6849</v>
      </c>
      <c r="E2907" s="46" t="s">
        <v>1479</v>
      </c>
      <c r="F2907" s="48">
        <v>40179</v>
      </c>
      <c r="G2907" s="48">
        <v>41639</v>
      </c>
      <c r="H2907" s="46" t="s">
        <v>40</v>
      </c>
      <c r="I2907" s="45">
        <v>39996</v>
      </c>
      <c r="J2907" s="45">
        <v>20000</v>
      </c>
      <c r="K2907" s="49" t="s">
        <v>790</v>
      </c>
      <c r="L2907" s="45"/>
      <c r="M2907" s="3"/>
    </row>
    <row r="2908" spans="1:13" x14ac:dyDescent="0.25">
      <c r="A2908" s="46" t="s">
        <v>1486</v>
      </c>
      <c r="B2908" s="46" t="s">
        <v>11644</v>
      </c>
      <c r="C2908" s="46" t="s">
        <v>14</v>
      </c>
      <c r="D2908" s="47">
        <v>6853</v>
      </c>
      <c r="E2908" s="46" t="s">
        <v>1487</v>
      </c>
      <c r="F2908" s="48">
        <v>40179</v>
      </c>
      <c r="G2908" s="48">
        <v>41639</v>
      </c>
      <c r="H2908" s="46" t="s">
        <v>40</v>
      </c>
      <c r="I2908" s="45">
        <v>33869.480000000003</v>
      </c>
      <c r="J2908" s="45">
        <v>24434.74</v>
      </c>
      <c r="K2908" s="49" t="s">
        <v>790</v>
      </c>
      <c r="L2908" s="45"/>
      <c r="M2908" s="3"/>
    </row>
    <row r="2909" spans="1:13" ht="25.5" x14ac:dyDescent="0.25">
      <c r="A2909" s="46" t="s">
        <v>1407</v>
      </c>
      <c r="B2909" s="46" t="s">
        <v>11644</v>
      </c>
      <c r="C2909" s="46" t="s">
        <v>14</v>
      </c>
      <c r="D2909" s="47">
        <v>6855</v>
      </c>
      <c r="E2909" s="46" t="s">
        <v>1490</v>
      </c>
      <c r="F2909" s="48">
        <v>40179</v>
      </c>
      <c r="G2909" s="48">
        <v>41639</v>
      </c>
      <c r="H2909" s="46" t="s">
        <v>40</v>
      </c>
      <c r="I2909" s="45">
        <v>8349.4</v>
      </c>
      <c r="J2909" s="45">
        <v>7174.4</v>
      </c>
      <c r="K2909" s="49" t="s">
        <v>790</v>
      </c>
      <c r="L2909" s="45"/>
      <c r="M2909" s="3"/>
    </row>
    <row r="2910" spans="1:13" ht="25.5" x14ac:dyDescent="0.25">
      <c r="A2910" s="46" t="s">
        <v>1493</v>
      </c>
      <c r="B2910" s="46" t="s">
        <v>11644</v>
      </c>
      <c r="C2910" s="46" t="s">
        <v>14</v>
      </c>
      <c r="D2910" s="47">
        <v>6857</v>
      </c>
      <c r="E2910" s="46" t="s">
        <v>1494</v>
      </c>
      <c r="F2910" s="48">
        <v>40179</v>
      </c>
      <c r="G2910" s="48">
        <v>41639</v>
      </c>
      <c r="H2910" s="46" t="s">
        <v>40</v>
      </c>
      <c r="I2910" s="45">
        <v>12000</v>
      </c>
      <c r="J2910" s="45">
        <v>12000</v>
      </c>
      <c r="K2910" s="49" t="s">
        <v>790</v>
      </c>
      <c r="L2910" s="45"/>
      <c r="M2910" s="3"/>
    </row>
    <row r="2911" spans="1:13" ht="25.5" x14ac:dyDescent="0.25">
      <c r="A2911" s="46" t="s">
        <v>1504</v>
      </c>
      <c r="B2911" s="46" t="s">
        <v>11644</v>
      </c>
      <c r="C2911" s="46" t="s">
        <v>14</v>
      </c>
      <c r="D2911" s="47">
        <v>7139</v>
      </c>
      <c r="E2911" s="46" t="s">
        <v>1505</v>
      </c>
      <c r="F2911" s="48">
        <v>40322</v>
      </c>
      <c r="G2911" s="48">
        <v>40908</v>
      </c>
      <c r="H2911" s="46" t="s">
        <v>40</v>
      </c>
      <c r="I2911" s="45">
        <v>18000</v>
      </c>
      <c r="J2911" s="45">
        <v>18000</v>
      </c>
      <c r="K2911" s="49" t="s">
        <v>790</v>
      </c>
      <c r="L2911" s="45"/>
      <c r="M2911" s="3"/>
    </row>
    <row r="2912" spans="1:13" ht="25.5" x14ac:dyDescent="0.25">
      <c r="A2912" s="46" t="s">
        <v>1512</v>
      </c>
      <c r="B2912" s="46" t="s">
        <v>11644</v>
      </c>
      <c r="C2912" s="46" t="s">
        <v>14</v>
      </c>
      <c r="D2912" s="47">
        <v>7143</v>
      </c>
      <c r="E2912" s="46" t="s">
        <v>1513</v>
      </c>
      <c r="F2912" s="48">
        <v>40322</v>
      </c>
      <c r="G2912" s="48">
        <v>40543</v>
      </c>
      <c r="H2912" s="46" t="s">
        <v>40</v>
      </c>
      <c r="I2912" s="45">
        <v>2350.06</v>
      </c>
      <c r="J2912" s="45">
        <v>1175.03</v>
      </c>
      <c r="K2912" s="49" t="s">
        <v>790</v>
      </c>
      <c r="L2912" s="45"/>
      <c r="M2912" s="3"/>
    </row>
    <row r="2913" spans="1:13" ht="38.25" x14ac:dyDescent="0.25">
      <c r="A2913" s="46" t="s">
        <v>1553</v>
      </c>
      <c r="B2913" s="46" t="s">
        <v>11644</v>
      </c>
      <c r="C2913" s="46" t="s">
        <v>14</v>
      </c>
      <c r="D2913" s="47">
        <v>7403</v>
      </c>
      <c r="E2913" s="46" t="s">
        <v>1554</v>
      </c>
      <c r="F2913" s="48">
        <v>40323</v>
      </c>
      <c r="G2913" s="48">
        <v>40908</v>
      </c>
      <c r="H2913" s="46" t="s">
        <v>40</v>
      </c>
      <c r="I2913" s="45">
        <v>11278</v>
      </c>
      <c r="J2913" s="45">
        <v>5639</v>
      </c>
      <c r="K2913" s="49" t="s">
        <v>790</v>
      </c>
      <c r="L2913" s="45"/>
      <c r="M2913" s="3"/>
    </row>
    <row r="2914" spans="1:13" ht="38.25" x14ac:dyDescent="0.25">
      <c r="A2914" s="46" t="s">
        <v>1555</v>
      </c>
      <c r="B2914" s="46" t="s">
        <v>11644</v>
      </c>
      <c r="C2914" s="46" t="s">
        <v>14</v>
      </c>
      <c r="D2914" s="47">
        <v>7404</v>
      </c>
      <c r="E2914" s="46" t="s">
        <v>1556</v>
      </c>
      <c r="F2914" s="48">
        <v>40259</v>
      </c>
      <c r="G2914" s="48">
        <v>40908</v>
      </c>
      <c r="H2914" s="46" t="s">
        <v>40</v>
      </c>
      <c r="I2914" s="45">
        <v>27000</v>
      </c>
      <c r="J2914" s="45">
        <v>27000</v>
      </c>
      <c r="K2914" s="49" t="s">
        <v>790</v>
      </c>
      <c r="L2914" s="45"/>
      <c r="M2914" s="3"/>
    </row>
    <row r="2915" spans="1:13" ht="63.75" x14ac:dyDescent="0.25">
      <c r="A2915" s="46" t="s">
        <v>1557</v>
      </c>
      <c r="B2915" s="46" t="s">
        <v>11644</v>
      </c>
      <c r="C2915" s="46" t="s">
        <v>14</v>
      </c>
      <c r="D2915" s="47">
        <v>7405</v>
      </c>
      <c r="E2915" s="50" t="s">
        <v>1558</v>
      </c>
      <c r="F2915" s="48">
        <v>40259</v>
      </c>
      <c r="G2915" s="48">
        <v>40543</v>
      </c>
      <c r="H2915" s="46" t="s">
        <v>40</v>
      </c>
      <c r="I2915" s="45">
        <v>18000</v>
      </c>
      <c r="J2915" s="45">
        <v>18000</v>
      </c>
      <c r="K2915" s="49" t="s">
        <v>790</v>
      </c>
      <c r="L2915" s="45"/>
      <c r="M2915" s="3"/>
    </row>
    <row r="2916" spans="1:13" ht="38.25" x14ac:dyDescent="0.25">
      <c r="A2916" s="46" t="s">
        <v>1559</v>
      </c>
      <c r="B2916" s="46" t="s">
        <v>11644</v>
      </c>
      <c r="C2916" s="46" t="s">
        <v>14</v>
      </c>
      <c r="D2916" s="47">
        <v>7406</v>
      </c>
      <c r="E2916" s="46" t="s">
        <v>1560</v>
      </c>
      <c r="F2916" s="48">
        <v>40323</v>
      </c>
      <c r="G2916" s="46"/>
      <c r="H2916" s="46" t="s">
        <v>40</v>
      </c>
      <c r="I2916" s="45">
        <v>24952.2</v>
      </c>
      <c r="J2916" s="45">
        <v>12492.6</v>
      </c>
      <c r="K2916" s="49" t="s">
        <v>790</v>
      </c>
      <c r="L2916" s="45"/>
      <c r="M2916" s="3"/>
    </row>
    <row r="2917" spans="1:13" ht="25.5" x14ac:dyDescent="0.25">
      <c r="A2917" s="46" t="s">
        <v>1561</v>
      </c>
      <c r="B2917" s="46" t="s">
        <v>11644</v>
      </c>
      <c r="C2917" s="46" t="s">
        <v>14</v>
      </c>
      <c r="D2917" s="47">
        <v>7407</v>
      </c>
      <c r="E2917" s="46" t="s">
        <v>1562</v>
      </c>
      <c r="F2917" s="48">
        <v>40259</v>
      </c>
      <c r="G2917" s="48">
        <v>40908</v>
      </c>
      <c r="H2917" s="46" t="s">
        <v>40</v>
      </c>
      <c r="I2917" s="45">
        <v>18000</v>
      </c>
      <c r="J2917" s="45">
        <v>18000</v>
      </c>
      <c r="K2917" s="49" t="s">
        <v>790</v>
      </c>
      <c r="L2917" s="45"/>
      <c r="M2917" s="3"/>
    </row>
    <row r="2918" spans="1:13" ht="38.25" x14ac:dyDescent="0.25">
      <c r="A2918" s="46" t="s">
        <v>1565</v>
      </c>
      <c r="B2918" s="46" t="s">
        <v>11644</v>
      </c>
      <c r="C2918" s="46" t="s">
        <v>14</v>
      </c>
      <c r="D2918" s="47">
        <v>7410</v>
      </c>
      <c r="E2918" s="46" t="s">
        <v>1566</v>
      </c>
      <c r="F2918" s="48">
        <v>40323</v>
      </c>
      <c r="G2918" s="48">
        <v>40908</v>
      </c>
      <c r="H2918" s="46" t="s">
        <v>40</v>
      </c>
      <c r="I2918" s="45">
        <v>27000</v>
      </c>
      <c r="J2918" s="45">
        <v>27000</v>
      </c>
      <c r="K2918" s="49" t="s">
        <v>790</v>
      </c>
      <c r="L2918" s="45"/>
      <c r="M2918" s="3"/>
    </row>
    <row r="2919" spans="1:13" ht="25.5" x14ac:dyDescent="0.25">
      <c r="A2919" s="46" t="s">
        <v>1607</v>
      </c>
      <c r="B2919" s="46" t="s">
        <v>11644</v>
      </c>
      <c r="C2919" s="46" t="s">
        <v>14</v>
      </c>
      <c r="D2919" s="47">
        <v>7530</v>
      </c>
      <c r="E2919" s="46" t="s">
        <v>1608</v>
      </c>
      <c r="F2919" s="48">
        <v>40179</v>
      </c>
      <c r="G2919" s="48">
        <v>41639</v>
      </c>
      <c r="H2919" s="46" t="s">
        <v>40</v>
      </c>
      <c r="I2919" s="45">
        <v>29500</v>
      </c>
      <c r="J2919" s="45">
        <v>18500</v>
      </c>
      <c r="K2919" s="49" t="s">
        <v>790</v>
      </c>
      <c r="L2919" s="45"/>
      <c r="M2919" s="3"/>
    </row>
    <row r="2920" spans="1:13" ht="25.5" x14ac:dyDescent="0.25">
      <c r="A2920" s="46" t="s">
        <v>1637</v>
      </c>
      <c r="B2920" s="46" t="s">
        <v>11644</v>
      </c>
      <c r="C2920" s="46" t="s">
        <v>14</v>
      </c>
      <c r="D2920" s="47">
        <v>8619</v>
      </c>
      <c r="E2920" s="46" t="s">
        <v>1638</v>
      </c>
      <c r="F2920" s="48">
        <v>40525</v>
      </c>
      <c r="G2920" s="48">
        <v>40908</v>
      </c>
      <c r="H2920" s="46" t="s">
        <v>40</v>
      </c>
      <c r="I2920" s="45">
        <v>51853.64</v>
      </c>
      <c r="J2920" s="45">
        <v>25926.82</v>
      </c>
      <c r="K2920" s="49" t="s">
        <v>790</v>
      </c>
      <c r="L2920" s="45"/>
      <c r="M2920" s="3"/>
    </row>
    <row r="2921" spans="1:13" ht="25.5" x14ac:dyDescent="0.25">
      <c r="A2921" s="46" t="s">
        <v>1641</v>
      </c>
      <c r="B2921" s="46" t="s">
        <v>11644</v>
      </c>
      <c r="C2921" s="46" t="s">
        <v>14</v>
      </c>
      <c r="D2921" s="47">
        <v>8621</v>
      </c>
      <c r="E2921" s="46" t="s">
        <v>1642</v>
      </c>
      <c r="F2921" s="48">
        <v>40805</v>
      </c>
      <c r="G2921" s="48">
        <v>41274</v>
      </c>
      <c r="H2921" s="46" t="s">
        <v>40</v>
      </c>
      <c r="I2921" s="45">
        <v>80252.2</v>
      </c>
      <c r="J2921" s="45">
        <v>52126</v>
      </c>
      <c r="K2921" s="49" t="s">
        <v>790</v>
      </c>
      <c r="L2921" s="45"/>
      <c r="M2921" s="3"/>
    </row>
    <row r="2922" spans="1:13" ht="25.5" x14ac:dyDescent="0.25">
      <c r="A2922" s="46" t="s">
        <v>1643</v>
      </c>
      <c r="B2922" s="46" t="s">
        <v>11644</v>
      </c>
      <c r="C2922" s="46" t="s">
        <v>14</v>
      </c>
      <c r="D2922" s="47">
        <v>8622</v>
      </c>
      <c r="E2922" s="46" t="s">
        <v>1644</v>
      </c>
      <c r="F2922" s="48">
        <v>40588</v>
      </c>
      <c r="G2922" s="48">
        <v>40953</v>
      </c>
      <c r="H2922" s="46" t="s">
        <v>40</v>
      </c>
      <c r="I2922" s="45">
        <v>40779.1</v>
      </c>
      <c r="J2922" s="45">
        <v>27889.55</v>
      </c>
      <c r="K2922" s="49" t="s">
        <v>790</v>
      </c>
      <c r="L2922" s="45"/>
      <c r="M2922" s="3"/>
    </row>
    <row r="2923" spans="1:13" ht="25.5" x14ac:dyDescent="0.25">
      <c r="A2923" s="46" t="s">
        <v>1709</v>
      </c>
      <c r="B2923" s="46" t="s">
        <v>11644</v>
      </c>
      <c r="C2923" s="46" t="s">
        <v>14</v>
      </c>
      <c r="D2923" s="47">
        <v>9219</v>
      </c>
      <c r="E2923" s="46" t="s">
        <v>1710</v>
      </c>
      <c r="F2923" s="48">
        <v>40814</v>
      </c>
      <c r="G2923" s="48">
        <v>41274</v>
      </c>
      <c r="H2923" s="46" t="s">
        <v>40</v>
      </c>
      <c r="I2923" s="45">
        <f>35106.36+10288.64</f>
        <v>45395</v>
      </c>
      <c r="J2923" s="45">
        <f>31050.78+8894.32</f>
        <v>39945.1</v>
      </c>
      <c r="K2923" s="49" t="s">
        <v>790</v>
      </c>
      <c r="L2923" s="45"/>
      <c r="M2923" s="3"/>
    </row>
    <row r="2924" spans="1:13" ht="25.5" x14ac:dyDescent="0.25">
      <c r="A2924" s="46" t="s">
        <v>1711</v>
      </c>
      <c r="B2924" s="46" t="s">
        <v>11644</v>
      </c>
      <c r="C2924" s="46" t="s">
        <v>14</v>
      </c>
      <c r="D2924" s="47">
        <v>9220</v>
      </c>
      <c r="E2924" s="46" t="s">
        <v>1712</v>
      </c>
      <c r="F2924" s="48">
        <v>40814</v>
      </c>
      <c r="G2924" s="48">
        <v>41639</v>
      </c>
      <c r="H2924" s="46" t="s">
        <v>40</v>
      </c>
      <c r="I2924" s="45">
        <v>41914.32</v>
      </c>
      <c r="J2924" s="45">
        <v>35957.160000000003</v>
      </c>
      <c r="K2924" s="49" t="s">
        <v>790</v>
      </c>
      <c r="L2924" s="45"/>
      <c r="M2924" s="3"/>
    </row>
    <row r="2925" spans="1:13" ht="25.5" x14ac:dyDescent="0.25">
      <c r="A2925" s="46" t="s">
        <v>1715</v>
      </c>
      <c r="B2925" s="46" t="s">
        <v>11644</v>
      </c>
      <c r="C2925" s="46" t="s">
        <v>14</v>
      </c>
      <c r="D2925" s="47">
        <v>9222</v>
      </c>
      <c r="E2925" s="46" t="s">
        <v>1716</v>
      </c>
      <c r="F2925" s="48">
        <v>40849</v>
      </c>
      <c r="G2925" s="48">
        <v>41274</v>
      </c>
      <c r="H2925" s="46" t="s">
        <v>40</v>
      </c>
      <c r="I2925" s="45">
        <v>23937.42</v>
      </c>
      <c r="J2925" s="45">
        <v>19468.71</v>
      </c>
      <c r="K2925" s="49" t="s">
        <v>790</v>
      </c>
      <c r="L2925" s="45"/>
      <c r="M2925" s="3"/>
    </row>
    <row r="2926" spans="1:13" ht="38.25" x14ac:dyDescent="0.25">
      <c r="A2926" s="46" t="s">
        <v>1717</v>
      </c>
      <c r="B2926" s="46" t="s">
        <v>11644</v>
      </c>
      <c r="C2926" s="46" t="s">
        <v>14</v>
      </c>
      <c r="D2926" s="47">
        <v>9223</v>
      </c>
      <c r="E2926" s="46" t="s">
        <v>1718</v>
      </c>
      <c r="F2926" s="48">
        <v>40618</v>
      </c>
      <c r="G2926" s="48">
        <v>41639</v>
      </c>
      <c r="H2926" s="46" t="s">
        <v>40</v>
      </c>
      <c r="I2926" s="45">
        <v>16363.38</v>
      </c>
      <c r="J2926" s="45">
        <v>13181.69</v>
      </c>
      <c r="K2926" s="49" t="s">
        <v>790</v>
      </c>
      <c r="L2926" s="45"/>
      <c r="M2926" s="3"/>
    </row>
    <row r="2927" spans="1:13" ht="25.5" x14ac:dyDescent="0.25">
      <c r="A2927" s="46" t="s">
        <v>1719</v>
      </c>
      <c r="B2927" s="46" t="s">
        <v>11644</v>
      </c>
      <c r="C2927" s="46" t="s">
        <v>14</v>
      </c>
      <c r="D2927" s="47">
        <v>9224</v>
      </c>
      <c r="E2927" s="46" t="s">
        <v>1720</v>
      </c>
      <c r="F2927" s="48">
        <v>40852</v>
      </c>
      <c r="G2927" s="48">
        <v>41639</v>
      </c>
      <c r="H2927" s="46" t="s">
        <v>40</v>
      </c>
      <c r="I2927" s="45">
        <v>19089</v>
      </c>
      <c r="J2927" s="45">
        <v>11931</v>
      </c>
      <c r="K2927" s="49" t="s">
        <v>790</v>
      </c>
      <c r="L2927" s="45"/>
      <c r="M2927" s="3"/>
    </row>
    <row r="2928" spans="1:13" ht="38.25" x14ac:dyDescent="0.25">
      <c r="A2928" s="46" t="s">
        <v>1721</v>
      </c>
      <c r="B2928" s="46" t="s">
        <v>11644</v>
      </c>
      <c r="C2928" s="46" t="s">
        <v>14</v>
      </c>
      <c r="D2928" s="47">
        <v>9225</v>
      </c>
      <c r="E2928" s="46" t="s">
        <v>1722</v>
      </c>
      <c r="F2928" s="48">
        <v>40577</v>
      </c>
      <c r="G2928" s="48">
        <v>41639</v>
      </c>
      <c r="H2928" s="46" t="s">
        <v>40</v>
      </c>
      <c r="I2928" s="45">
        <v>71263.7</v>
      </c>
      <c r="J2928" s="45">
        <v>43131.85</v>
      </c>
      <c r="K2928" s="49" t="s">
        <v>790</v>
      </c>
      <c r="L2928" s="45"/>
      <c r="M2928" s="3"/>
    </row>
    <row r="2929" spans="1:13" ht="25.5" x14ac:dyDescent="0.25">
      <c r="A2929" s="46" t="s">
        <v>1723</v>
      </c>
      <c r="B2929" s="46" t="s">
        <v>11644</v>
      </c>
      <c r="C2929" s="46" t="s">
        <v>14</v>
      </c>
      <c r="D2929" s="47">
        <v>9226</v>
      </c>
      <c r="E2929" s="46" t="s">
        <v>1724</v>
      </c>
      <c r="F2929" s="48">
        <v>40668</v>
      </c>
      <c r="G2929" s="48">
        <v>41274</v>
      </c>
      <c r="H2929" s="46" t="s">
        <v>40</v>
      </c>
      <c r="I2929" s="45">
        <f>17955.16+25000</f>
        <v>42955.16</v>
      </c>
      <c r="J2929" s="45">
        <f>16477.58+25000</f>
        <v>41477.58</v>
      </c>
      <c r="K2929" s="49" t="s">
        <v>790</v>
      </c>
      <c r="L2929" s="45"/>
      <c r="M2929" s="3"/>
    </row>
    <row r="2930" spans="1:13" ht="25.5" x14ac:dyDescent="0.25">
      <c r="A2930" s="46" t="s">
        <v>1727</v>
      </c>
      <c r="B2930" s="46" t="s">
        <v>11644</v>
      </c>
      <c r="C2930" s="46" t="s">
        <v>14</v>
      </c>
      <c r="D2930" s="47">
        <v>9228</v>
      </c>
      <c r="E2930" s="46" t="s">
        <v>1728</v>
      </c>
      <c r="F2930" s="48">
        <v>40883</v>
      </c>
      <c r="G2930" s="48">
        <v>41639</v>
      </c>
      <c r="H2930" s="46" t="s">
        <v>40</v>
      </c>
      <c r="I2930" s="45">
        <f>7500+29100</f>
        <v>36600</v>
      </c>
      <c r="J2930" s="45">
        <f>7500+19550</f>
        <v>27050</v>
      </c>
      <c r="K2930" s="49" t="s">
        <v>790</v>
      </c>
      <c r="L2930" s="45"/>
      <c r="M2930" s="3"/>
    </row>
    <row r="2931" spans="1:13" ht="25.5" x14ac:dyDescent="0.25">
      <c r="A2931" s="46" t="s">
        <v>1729</v>
      </c>
      <c r="B2931" s="46" t="s">
        <v>11644</v>
      </c>
      <c r="C2931" s="46" t="s">
        <v>14</v>
      </c>
      <c r="D2931" s="47">
        <v>9229</v>
      </c>
      <c r="E2931" s="46" t="s">
        <v>1730</v>
      </c>
      <c r="F2931" s="48">
        <v>40883</v>
      </c>
      <c r="G2931" s="48">
        <v>41274</v>
      </c>
      <c r="H2931" s="46" t="s">
        <v>40</v>
      </c>
      <c r="I2931" s="45">
        <v>19350</v>
      </c>
      <c r="J2931" s="45">
        <v>17175</v>
      </c>
      <c r="K2931" s="49" t="s">
        <v>790</v>
      </c>
      <c r="L2931" s="45"/>
      <c r="M2931" s="3"/>
    </row>
    <row r="2932" spans="1:13" ht="25.5" x14ac:dyDescent="0.25">
      <c r="A2932" s="46" t="s">
        <v>1735</v>
      </c>
      <c r="B2932" s="46" t="s">
        <v>11644</v>
      </c>
      <c r="C2932" s="46" t="s">
        <v>14</v>
      </c>
      <c r="D2932" s="47">
        <v>9232</v>
      </c>
      <c r="E2932" s="46" t="s">
        <v>1736</v>
      </c>
      <c r="F2932" s="48">
        <v>40883</v>
      </c>
      <c r="G2932" s="48">
        <v>41639</v>
      </c>
      <c r="H2932" s="46" t="s">
        <v>40</v>
      </c>
      <c r="I2932" s="45">
        <v>40000</v>
      </c>
      <c r="J2932" s="45">
        <v>30000</v>
      </c>
      <c r="K2932" s="49" t="s">
        <v>790</v>
      </c>
      <c r="L2932" s="45"/>
      <c r="M2932" s="3"/>
    </row>
    <row r="2933" spans="1:13" ht="51" x14ac:dyDescent="0.25">
      <c r="A2933" s="46" t="s">
        <v>1737</v>
      </c>
      <c r="B2933" s="46" t="s">
        <v>11644</v>
      </c>
      <c r="C2933" s="46" t="s">
        <v>14</v>
      </c>
      <c r="D2933" s="47">
        <v>9233</v>
      </c>
      <c r="E2933" s="50" t="s">
        <v>1738</v>
      </c>
      <c r="F2933" s="48">
        <v>40708</v>
      </c>
      <c r="G2933" s="48">
        <v>41274</v>
      </c>
      <c r="H2933" s="46" t="s">
        <v>40</v>
      </c>
      <c r="I2933" s="45">
        <v>51250</v>
      </c>
      <c r="J2933" s="45">
        <v>36250</v>
      </c>
      <c r="K2933" s="49" t="s">
        <v>790</v>
      </c>
      <c r="L2933" s="45"/>
      <c r="M2933" s="3"/>
    </row>
    <row r="2934" spans="1:13" ht="25.5" x14ac:dyDescent="0.25">
      <c r="A2934" s="46" t="s">
        <v>1739</v>
      </c>
      <c r="B2934" s="46" t="s">
        <v>11644</v>
      </c>
      <c r="C2934" s="46" t="s">
        <v>14</v>
      </c>
      <c r="D2934" s="47">
        <v>9234</v>
      </c>
      <c r="E2934" s="46" t="s">
        <v>1740</v>
      </c>
      <c r="F2934" s="48">
        <v>40849</v>
      </c>
      <c r="G2934" s="48">
        <v>41639</v>
      </c>
      <c r="H2934" s="46" t="s">
        <v>40</v>
      </c>
      <c r="I2934" s="45">
        <v>10288.1</v>
      </c>
      <c r="J2934" s="45">
        <v>7644.05</v>
      </c>
      <c r="K2934" s="49" t="s">
        <v>790</v>
      </c>
      <c r="L2934" s="45"/>
      <c r="M2934" s="3"/>
    </row>
    <row r="2935" spans="1:13" ht="25.5" x14ac:dyDescent="0.25">
      <c r="A2935" s="46" t="s">
        <v>1741</v>
      </c>
      <c r="B2935" s="46" t="s">
        <v>11644</v>
      </c>
      <c r="C2935" s="46" t="s">
        <v>14</v>
      </c>
      <c r="D2935" s="47">
        <v>9235</v>
      </c>
      <c r="E2935" s="46" t="s">
        <v>1742</v>
      </c>
      <c r="F2935" s="48">
        <v>40708</v>
      </c>
      <c r="G2935" s="48">
        <v>41639</v>
      </c>
      <c r="H2935" s="46" t="s">
        <v>40</v>
      </c>
      <c r="I2935" s="45">
        <v>7414.28</v>
      </c>
      <c r="J2935" s="45">
        <v>6207.14</v>
      </c>
      <c r="K2935" s="49" t="s">
        <v>790</v>
      </c>
      <c r="L2935" s="45"/>
      <c r="M2935" s="3"/>
    </row>
    <row r="2936" spans="1:13" ht="25.5" x14ac:dyDescent="0.25">
      <c r="A2936" s="46" t="s">
        <v>1745</v>
      </c>
      <c r="B2936" s="46" t="s">
        <v>11644</v>
      </c>
      <c r="C2936" s="46" t="s">
        <v>14</v>
      </c>
      <c r="D2936" s="47">
        <v>9237</v>
      </c>
      <c r="E2936" s="46" t="s">
        <v>1746</v>
      </c>
      <c r="F2936" s="48">
        <v>40668</v>
      </c>
      <c r="G2936" s="48">
        <v>41639</v>
      </c>
      <c r="H2936" s="46" t="s">
        <v>40</v>
      </c>
      <c r="I2936" s="45">
        <v>6250.7</v>
      </c>
      <c r="J2936" s="45">
        <v>3125.35</v>
      </c>
      <c r="K2936" s="49" t="s">
        <v>790</v>
      </c>
      <c r="L2936" s="45"/>
      <c r="M2936" s="3"/>
    </row>
    <row r="2937" spans="1:13" x14ac:dyDescent="0.25">
      <c r="A2937" s="46" t="s">
        <v>1747</v>
      </c>
      <c r="B2937" s="46" t="s">
        <v>11644</v>
      </c>
      <c r="C2937" s="46" t="s">
        <v>14</v>
      </c>
      <c r="D2937" s="47">
        <v>9238</v>
      </c>
      <c r="E2937" s="46" t="s">
        <v>1748</v>
      </c>
      <c r="F2937" s="48">
        <v>40814</v>
      </c>
      <c r="G2937" s="48">
        <v>41274</v>
      </c>
      <c r="H2937" s="46" t="s">
        <v>40</v>
      </c>
      <c r="I2937" s="45">
        <f>39951.22+15000</f>
        <v>54951.22</v>
      </c>
      <c r="J2937" s="45">
        <f>23725.61+15000</f>
        <v>38725.61</v>
      </c>
      <c r="K2937" s="49" t="s">
        <v>790</v>
      </c>
      <c r="L2937" s="45"/>
      <c r="M2937" s="3"/>
    </row>
    <row r="2938" spans="1:13" x14ac:dyDescent="0.25">
      <c r="A2938" s="46" t="s">
        <v>1749</v>
      </c>
      <c r="B2938" s="46" t="s">
        <v>11644</v>
      </c>
      <c r="C2938" s="46" t="s">
        <v>14</v>
      </c>
      <c r="D2938" s="47">
        <v>9239</v>
      </c>
      <c r="E2938" s="46" t="s">
        <v>1750</v>
      </c>
      <c r="F2938" s="48">
        <v>40618</v>
      </c>
      <c r="G2938" s="48">
        <v>41274</v>
      </c>
      <c r="H2938" s="46" t="s">
        <v>40</v>
      </c>
      <c r="I2938" s="45">
        <v>29700.68</v>
      </c>
      <c r="J2938" s="45">
        <v>20546.52</v>
      </c>
      <c r="K2938" s="49" t="s">
        <v>790</v>
      </c>
      <c r="L2938" s="45"/>
      <c r="M2938" s="3"/>
    </row>
    <row r="2939" spans="1:13" x14ac:dyDescent="0.25">
      <c r="A2939" s="46" t="s">
        <v>1751</v>
      </c>
      <c r="B2939" s="46" t="s">
        <v>11644</v>
      </c>
      <c r="C2939" s="46" t="s">
        <v>14</v>
      </c>
      <c r="D2939" s="47">
        <v>9240</v>
      </c>
      <c r="E2939" s="46" t="s">
        <v>1752</v>
      </c>
      <c r="F2939" s="48">
        <v>40577</v>
      </c>
      <c r="G2939" s="48">
        <v>41639</v>
      </c>
      <c r="H2939" s="46" t="s">
        <v>40</v>
      </c>
      <c r="I2939" s="45">
        <v>40337.5</v>
      </c>
      <c r="J2939" s="45">
        <v>38918.75</v>
      </c>
      <c r="K2939" s="49" t="s">
        <v>790</v>
      </c>
      <c r="L2939" s="45"/>
      <c r="M2939" s="3"/>
    </row>
    <row r="2940" spans="1:13" ht="25.5" x14ac:dyDescent="0.25">
      <c r="A2940" s="46" t="s">
        <v>1753</v>
      </c>
      <c r="B2940" s="46" t="s">
        <v>11644</v>
      </c>
      <c r="C2940" s="46" t="s">
        <v>14</v>
      </c>
      <c r="D2940" s="47">
        <v>9241</v>
      </c>
      <c r="E2940" s="46" t="s">
        <v>1754</v>
      </c>
      <c r="F2940" s="48">
        <v>40544</v>
      </c>
      <c r="G2940" s="48">
        <v>41639</v>
      </c>
      <c r="H2940" s="46" t="s">
        <v>40</v>
      </c>
      <c r="I2940" s="45">
        <v>35000</v>
      </c>
      <c r="J2940" s="45">
        <v>25000</v>
      </c>
      <c r="K2940" s="49" t="s">
        <v>790</v>
      </c>
      <c r="L2940" s="45"/>
      <c r="M2940" s="3"/>
    </row>
    <row r="2941" spans="1:13" x14ac:dyDescent="0.25">
      <c r="A2941" s="46" t="s">
        <v>1755</v>
      </c>
      <c r="B2941" s="46" t="s">
        <v>11644</v>
      </c>
      <c r="C2941" s="46" t="s">
        <v>14</v>
      </c>
      <c r="D2941" s="47">
        <v>9242</v>
      </c>
      <c r="E2941" s="46" t="s">
        <v>1756</v>
      </c>
      <c r="F2941" s="48">
        <v>40668</v>
      </c>
      <c r="G2941" s="48">
        <v>41639</v>
      </c>
      <c r="H2941" s="46" t="s">
        <v>40</v>
      </c>
      <c r="I2941" s="45">
        <v>10000</v>
      </c>
      <c r="J2941" s="45">
        <v>10000</v>
      </c>
      <c r="K2941" s="49" t="s">
        <v>790</v>
      </c>
      <c r="L2941" s="45"/>
      <c r="M2941" s="3"/>
    </row>
    <row r="2942" spans="1:13" ht="25.5" x14ac:dyDescent="0.25">
      <c r="A2942" s="46" t="s">
        <v>1757</v>
      </c>
      <c r="B2942" s="46" t="s">
        <v>11644</v>
      </c>
      <c r="C2942" s="46" t="s">
        <v>14</v>
      </c>
      <c r="D2942" s="47">
        <v>9243</v>
      </c>
      <c r="E2942" s="46" t="s">
        <v>1758</v>
      </c>
      <c r="F2942" s="48">
        <v>40849</v>
      </c>
      <c r="G2942" s="48">
        <v>41639</v>
      </c>
      <c r="H2942" s="46" t="s">
        <v>40</v>
      </c>
      <c r="I2942" s="45">
        <v>5000</v>
      </c>
      <c r="J2942" s="45">
        <v>5000</v>
      </c>
      <c r="K2942" s="49" t="s">
        <v>790</v>
      </c>
      <c r="L2942" s="45"/>
      <c r="M2942" s="3"/>
    </row>
    <row r="2943" spans="1:13" x14ac:dyDescent="0.25">
      <c r="A2943" s="46" t="s">
        <v>1759</v>
      </c>
      <c r="B2943" s="46" t="s">
        <v>11644</v>
      </c>
      <c r="C2943" s="46" t="s">
        <v>14</v>
      </c>
      <c r="D2943" s="47">
        <v>9244</v>
      </c>
      <c r="E2943" s="46" t="s">
        <v>1760</v>
      </c>
      <c r="F2943" s="48">
        <v>40883</v>
      </c>
      <c r="G2943" s="48">
        <v>41639</v>
      </c>
      <c r="H2943" s="46" t="s">
        <v>40</v>
      </c>
      <c r="I2943" s="45">
        <v>7600</v>
      </c>
      <c r="J2943" s="45">
        <v>3800</v>
      </c>
      <c r="K2943" s="49" t="s">
        <v>790</v>
      </c>
      <c r="L2943" s="45"/>
      <c r="M2943" s="3"/>
    </row>
    <row r="2944" spans="1:13" ht="25.5" x14ac:dyDescent="0.25">
      <c r="A2944" s="46" t="s">
        <v>1763</v>
      </c>
      <c r="B2944" s="46" t="s">
        <v>11644</v>
      </c>
      <c r="C2944" s="46" t="s">
        <v>14</v>
      </c>
      <c r="D2944" s="47">
        <v>9246</v>
      </c>
      <c r="E2944" s="46" t="s">
        <v>1764</v>
      </c>
      <c r="F2944" s="48">
        <v>40849</v>
      </c>
      <c r="G2944" s="48">
        <v>41639</v>
      </c>
      <c r="H2944" s="46" t="s">
        <v>40</v>
      </c>
      <c r="I2944" s="45">
        <v>11328</v>
      </c>
      <c r="J2944" s="45">
        <v>9414</v>
      </c>
      <c r="K2944" s="49" t="s">
        <v>790</v>
      </c>
      <c r="L2944" s="45"/>
      <c r="M2944" s="3"/>
    </row>
    <row r="2945" spans="1:13" x14ac:dyDescent="0.25">
      <c r="A2945" s="46" t="s">
        <v>1783</v>
      </c>
      <c r="B2945" s="46" t="s">
        <v>11644</v>
      </c>
      <c r="C2945" s="46" t="s">
        <v>14</v>
      </c>
      <c r="D2945" s="47">
        <v>9397</v>
      </c>
      <c r="E2945" s="46" t="s">
        <v>1784</v>
      </c>
      <c r="F2945" s="48">
        <v>40519</v>
      </c>
      <c r="G2945" s="48">
        <v>40908</v>
      </c>
      <c r="H2945" s="46" t="s">
        <v>40</v>
      </c>
      <c r="I2945" s="45">
        <v>24000</v>
      </c>
      <c r="J2945" s="45">
        <v>12000</v>
      </c>
      <c r="K2945" s="49" t="s">
        <v>790</v>
      </c>
      <c r="L2945" s="45"/>
      <c r="M2945" s="3"/>
    </row>
    <row r="2946" spans="1:13" ht="63.75" x14ac:dyDescent="0.25">
      <c r="A2946" s="46" t="s">
        <v>1785</v>
      </c>
      <c r="B2946" s="46" t="s">
        <v>11644</v>
      </c>
      <c r="C2946" s="46" t="s">
        <v>14</v>
      </c>
      <c r="D2946" s="47">
        <v>9398</v>
      </c>
      <c r="E2946" s="50" t="s">
        <v>1786</v>
      </c>
      <c r="F2946" s="48">
        <v>40519</v>
      </c>
      <c r="G2946" s="48">
        <v>40765</v>
      </c>
      <c r="H2946" s="46" t="s">
        <v>40</v>
      </c>
      <c r="I2946" s="45">
        <v>9000</v>
      </c>
      <c r="J2946" s="45">
        <v>9000</v>
      </c>
      <c r="K2946" s="49" t="s">
        <v>790</v>
      </c>
      <c r="L2946" s="45"/>
      <c r="M2946" s="3"/>
    </row>
    <row r="2947" spans="1:13" ht="25.5" x14ac:dyDescent="0.25">
      <c r="A2947" s="46" t="s">
        <v>1787</v>
      </c>
      <c r="B2947" s="46" t="s">
        <v>11644</v>
      </c>
      <c r="C2947" s="46" t="s">
        <v>14</v>
      </c>
      <c r="D2947" s="47">
        <v>9399</v>
      </c>
      <c r="E2947" s="46" t="s">
        <v>1788</v>
      </c>
      <c r="F2947" s="48">
        <v>40714</v>
      </c>
      <c r="G2947" s="48">
        <v>41274</v>
      </c>
      <c r="H2947" s="46" t="s">
        <v>40</v>
      </c>
      <c r="I2947" s="45">
        <v>18000</v>
      </c>
      <c r="J2947" s="45">
        <v>18000</v>
      </c>
      <c r="K2947" s="49" t="s">
        <v>790</v>
      </c>
      <c r="L2947" s="45"/>
      <c r="M2947" s="3"/>
    </row>
    <row r="2948" spans="1:13" ht="25.5" x14ac:dyDescent="0.25">
      <c r="A2948" s="46" t="s">
        <v>1791</v>
      </c>
      <c r="B2948" s="46" t="s">
        <v>11644</v>
      </c>
      <c r="C2948" s="46" t="s">
        <v>14</v>
      </c>
      <c r="D2948" s="47">
        <v>9402</v>
      </c>
      <c r="E2948" s="46" t="s">
        <v>1792</v>
      </c>
      <c r="F2948" s="48">
        <v>40714</v>
      </c>
      <c r="G2948" s="48">
        <v>41274</v>
      </c>
      <c r="H2948" s="46" t="s">
        <v>40</v>
      </c>
      <c r="I2948" s="45">
        <v>80000</v>
      </c>
      <c r="J2948" s="45">
        <v>40000</v>
      </c>
      <c r="K2948" s="49" t="s">
        <v>790</v>
      </c>
      <c r="L2948" s="45"/>
      <c r="M2948" s="3"/>
    </row>
    <row r="2949" spans="1:13" ht="38.25" x14ac:dyDescent="0.25">
      <c r="A2949" s="46" t="s">
        <v>1793</v>
      </c>
      <c r="B2949" s="46" t="s">
        <v>11644</v>
      </c>
      <c r="C2949" s="46" t="s">
        <v>14</v>
      </c>
      <c r="D2949" s="47">
        <v>9403</v>
      </c>
      <c r="E2949" s="46" t="s">
        <v>1794</v>
      </c>
      <c r="F2949" s="48">
        <v>40812</v>
      </c>
      <c r="G2949" s="48">
        <v>41274</v>
      </c>
      <c r="H2949" s="46" t="s">
        <v>40</v>
      </c>
      <c r="I2949" s="45">
        <v>10000</v>
      </c>
      <c r="J2949" s="45">
        <v>5000</v>
      </c>
      <c r="K2949" s="49" t="s">
        <v>790</v>
      </c>
      <c r="L2949" s="45"/>
      <c r="M2949" s="3"/>
    </row>
    <row r="2950" spans="1:13" ht="38.25" x14ac:dyDescent="0.25">
      <c r="A2950" s="46" t="s">
        <v>1795</v>
      </c>
      <c r="B2950" s="46" t="s">
        <v>11644</v>
      </c>
      <c r="C2950" s="46" t="s">
        <v>14</v>
      </c>
      <c r="D2950" s="47">
        <v>9404</v>
      </c>
      <c r="E2950" s="46" t="s">
        <v>1796</v>
      </c>
      <c r="F2950" s="48">
        <v>40812</v>
      </c>
      <c r="G2950" s="48">
        <v>41274</v>
      </c>
      <c r="H2950" s="46" t="s">
        <v>40</v>
      </c>
      <c r="I2950" s="45">
        <v>76366</v>
      </c>
      <c r="J2950" s="45">
        <v>38183</v>
      </c>
      <c r="K2950" s="49" t="s">
        <v>790</v>
      </c>
      <c r="L2950" s="45"/>
      <c r="M2950" s="3"/>
    </row>
    <row r="2951" spans="1:13" ht="38.25" x14ac:dyDescent="0.25">
      <c r="A2951" s="46" t="s">
        <v>1862</v>
      </c>
      <c r="B2951" s="46" t="s">
        <v>11644</v>
      </c>
      <c r="C2951" s="46" t="s">
        <v>14</v>
      </c>
      <c r="D2951" s="47">
        <v>10294</v>
      </c>
      <c r="E2951" s="46" t="s">
        <v>1863</v>
      </c>
      <c r="F2951" s="48">
        <v>41015</v>
      </c>
      <c r="G2951" s="48">
        <v>41639</v>
      </c>
      <c r="H2951" s="46" t="s">
        <v>40</v>
      </c>
      <c r="I2951" s="45">
        <f>50000+10332.5</f>
        <v>60332.5</v>
      </c>
      <c r="J2951" s="45">
        <f>19833.75+5166.25</f>
        <v>25000</v>
      </c>
      <c r="K2951" s="49" t="s">
        <v>790</v>
      </c>
      <c r="L2951" s="45"/>
      <c r="M2951" s="3"/>
    </row>
    <row r="2952" spans="1:13" ht="63.75" x14ac:dyDescent="0.25">
      <c r="A2952" s="46" t="s">
        <v>1872</v>
      </c>
      <c r="B2952" s="46" t="s">
        <v>11644</v>
      </c>
      <c r="C2952" s="46" t="s">
        <v>14</v>
      </c>
      <c r="D2952" s="47">
        <v>10299</v>
      </c>
      <c r="E2952" s="50" t="s">
        <v>1873</v>
      </c>
      <c r="F2952" s="48">
        <v>40917</v>
      </c>
      <c r="G2952" s="48">
        <v>41639</v>
      </c>
      <c r="H2952" s="46" t="s">
        <v>40</v>
      </c>
      <c r="I2952" s="45">
        <f>78385.04+37090.18</f>
        <v>115475.22</v>
      </c>
      <c r="J2952" s="45">
        <f>20647.43+18545.09</f>
        <v>39192.520000000004</v>
      </c>
      <c r="K2952" s="49" t="s">
        <v>790</v>
      </c>
      <c r="L2952" s="45"/>
      <c r="M2952" s="3"/>
    </row>
    <row r="2953" spans="1:13" ht="51" x14ac:dyDescent="0.25">
      <c r="A2953" s="46" t="s">
        <v>1876</v>
      </c>
      <c r="B2953" s="46" t="s">
        <v>11644</v>
      </c>
      <c r="C2953" s="46" t="s">
        <v>14</v>
      </c>
      <c r="D2953" s="47">
        <v>10301</v>
      </c>
      <c r="E2953" s="50" t="s">
        <v>1877</v>
      </c>
      <c r="F2953" s="48">
        <v>41015</v>
      </c>
      <c r="G2953" s="48">
        <v>41274</v>
      </c>
      <c r="H2953" s="46" t="s">
        <v>40</v>
      </c>
      <c r="I2953" s="45">
        <v>16000</v>
      </c>
      <c r="J2953" s="45">
        <v>13000</v>
      </c>
      <c r="K2953" s="49" t="s">
        <v>790</v>
      </c>
      <c r="L2953" s="45"/>
      <c r="M2953" s="3"/>
    </row>
    <row r="2954" spans="1:13" ht="38.25" x14ac:dyDescent="0.25">
      <c r="A2954" s="46" t="s">
        <v>1878</v>
      </c>
      <c r="B2954" s="46" t="s">
        <v>11644</v>
      </c>
      <c r="C2954" s="46" t="s">
        <v>14</v>
      </c>
      <c r="D2954" s="47">
        <v>10302</v>
      </c>
      <c r="E2954" s="46" t="s">
        <v>1879</v>
      </c>
      <c r="F2954" s="48">
        <v>41015</v>
      </c>
      <c r="G2954" s="48">
        <v>41274</v>
      </c>
      <c r="H2954" s="46" t="s">
        <v>40</v>
      </c>
      <c r="I2954" s="45">
        <v>49330</v>
      </c>
      <c r="J2954" s="45">
        <v>24665</v>
      </c>
      <c r="K2954" s="49" t="s">
        <v>790</v>
      </c>
      <c r="L2954" s="45"/>
      <c r="M2954" s="3"/>
    </row>
    <row r="2955" spans="1:13" ht="25.5" x14ac:dyDescent="0.25">
      <c r="A2955" s="46" t="s">
        <v>1914</v>
      </c>
      <c r="B2955" s="46" t="s">
        <v>11644</v>
      </c>
      <c r="C2955" s="46" t="s">
        <v>14</v>
      </c>
      <c r="D2955" s="47">
        <v>10348</v>
      </c>
      <c r="E2955" s="46" t="s">
        <v>1915</v>
      </c>
      <c r="F2955" s="48">
        <v>41071</v>
      </c>
      <c r="G2955" s="48">
        <v>41274</v>
      </c>
      <c r="H2955" s="46" t="s">
        <v>40</v>
      </c>
      <c r="I2955" s="45">
        <v>20000</v>
      </c>
      <c r="J2955" s="45">
        <v>20000</v>
      </c>
      <c r="K2955" s="49" t="s">
        <v>790</v>
      </c>
      <c r="L2955" s="45"/>
      <c r="M2955" s="3"/>
    </row>
    <row r="2956" spans="1:13" ht="25.5" x14ac:dyDescent="0.25">
      <c r="A2956" s="46" t="s">
        <v>1916</v>
      </c>
      <c r="B2956" s="46" t="s">
        <v>11644</v>
      </c>
      <c r="C2956" s="46" t="s">
        <v>14</v>
      </c>
      <c r="D2956" s="47">
        <v>10356</v>
      </c>
      <c r="E2956" s="46" t="s">
        <v>1917</v>
      </c>
      <c r="F2956" s="48">
        <v>41071</v>
      </c>
      <c r="G2956" s="48">
        <v>41274</v>
      </c>
      <c r="H2956" s="46" t="s">
        <v>40</v>
      </c>
      <c r="I2956" s="45">
        <v>17240.28</v>
      </c>
      <c r="J2956" s="45">
        <v>8620.14</v>
      </c>
      <c r="K2956" s="49" t="s">
        <v>790</v>
      </c>
      <c r="L2956" s="45"/>
      <c r="M2956" s="3"/>
    </row>
    <row r="2957" spans="1:13" ht="25.5" x14ac:dyDescent="0.25">
      <c r="A2957" s="46" t="s">
        <v>1918</v>
      </c>
      <c r="B2957" s="46" t="s">
        <v>11644</v>
      </c>
      <c r="C2957" s="46" t="s">
        <v>14</v>
      </c>
      <c r="D2957" s="47">
        <v>10357</v>
      </c>
      <c r="E2957" s="46" t="s">
        <v>1919</v>
      </c>
      <c r="F2957" s="48">
        <v>41071</v>
      </c>
      <c r="G2957" s="48">
        <v>41274</v>
      </c>
      <c r="H2957" s="46" t="s">
        <v>40</v>
      </c>
      <c r="I2957" s="45">
        <v>50344</v>
      </c>
      <c r="J2957" s="45">
        <v>35797</v>
      </c>
      <c r="K2957" s="49" t="s">
        <v>790</v>
      </c>
      <c r="L2957" s="45"/>
      <c r="M2957" s="3"/>
    </row>
    <row r="2958" spans="1:13" ht="38.25" x14ac:dyDescent="0.25">
      <c r="A2958" s="46" t="s">
        <v>1974</v>
      </c>
      <c r="B2958" s="46" t="s">
        <v>11644</v>
      </c>
      <c r="C2958" s="46" t="s">
        <v>14</v>
      </c>
      <c r="D2958" s="47">
        <v>10870</v>
      </c>
      <c r="E2958" s="46" t="s">
        <v>1975</v>
      </c>
      <c r="F2958" s="48">
        <v>40968</v>
      </c>
      <c r="G2958" s="48">
        <v>41274</v>
      </c>
      <c r="H2958" s="46" t="s">
        <v>40</v>
      </c>
      <c r="I2958" s="45">
        <v>25038.959999999999</v>
      </c>
      <c r="J2958" s="45">
        <v>16269.48</v>
      </c>
      <c r="K2958" s="49" t="s">
        <v>790</v>
      </c>
      <c r="L2958" s="45"/>
      <c r="M2958" s="3"/>
    </row>
    <row r="2959" spans="1:13" ht="38.25" x14ac:dyDescent="0.25">
      <c r="A2959" s="46" t="s">
        <v>1976</v>
      </c>
      <c r="B2959" s="46" t="s">
        <v>11644</v>
      </c>
      <c r="C2959" s="46" t="s">
        <v>14</v>
      </c>
      <c r="D2959" s="47">
        <v>10871</v>
      </c>
      <c r="E2959" s="46" t="s">
        <v>1977</v>
      </c>
      <c r="F2959" s="48">
        <v>40996</v>
      </c>
      <c r="G2959" s="48">
        <v>41274</v>
      </c>
      <c r="H2959" s="46" t="s">
        <v>40</v>
      </c>
      <c r="I2959" s="45">
        <v>25690.59</v>
      </c>
      <c r="J2959" s="45">
        <v>18000</v>
      </c>
      <c r="K2959" s="49" t="s">
        <v>790</v>
      </c>
      <c r="L2959" s="45"/>
      <c r="M2959" s="3"/>
    </row>
    <row r="2960" spans="1:13" ht="25.5" x14ac:dyDescent="0.25">
      <c r="A2960" s="46" t="s">
        <v>1978</v>
      </c>
      <c r="B2960" s="46" t="s">
        <v>11644</v>
      </c>
      <c r="C2960" s="46" t="s">
        <v>14</v>
      </c>
      <c r="D2960" s="47">
        <v>10886</v>
      </c>
      <c r="E2960" s="46" t="s">
        <v>1979</v>
      </c>
      <c r="F2960" s="48">
        <v>40996</v>
      </c>
      <c r="G2960" s="48">
        <v>41274</v>
      </c>
      <c r="H2960" s="46" t="s">
        <v>40</v>
      </c>
      <c r="I2960" s="45">
        <v>40000</v>
      </c>
      <c r="J2960" s="45">
        <v>25000</v>
      </c>
      <c r="K2960" s="49" t="s">
        <v>790</v>
      </c>
      <c r="L2960" s="45"/>
      <c r="M2960" s="3"/>
    </row>
    <row r="2961" spans="1:13" ht="25.5" x14ac:dyDescent="0.25">
      <c r="A2961" s="46" t="s">
        <v>1980</v>
      </c>
      <c r="B2961" s="46" t="s">
        <v>11644</v>
      </c>
      <c r="C2961" s="46" t="s">
        <v>14</v>
      </c>
      <c r="D2961" s="47">
        <v>10887</v>
      </c>
      <c r="E2961" s="46" t="s">
        <v>1981</v>
      </c>
      <c r="F2961" s="48">
        <v>41207</v>
      </c>
      <c r="G2961" s="48">
        <v>41274</v>
      </c>
      <c r="H2961" s="46" t="s">
        <v>40</v>
      </c>
      <c r="I2961" s="45">
        <v>15000</v>
      </c>
      <c r="J2961" s="45">
        <v>15000</v>
      </c>
      <c r="K2961" s="49" t="s">
        <v>790</v>
      </c>
      <c r="L2961" s="45"/>
      <c r="M2961" s="3"/>
    </row>
    <row r="2962" spans="1:13" ht="25.5" x14ac:dyDescent="0.25">
      <c r="A2962" s="46" t="s">
        <v>1982</v>
      </c>
      <c r="B2962" s="46" t="s">
        <v>11644</v>
      </c>
      <c r="C2962" s="46" t="s">
        <v>14</v>
      </c>
      <c r="D2962" s="47">
        <v>10888</v>
      </c>
      <c r="E2962" s="46" t="s">
        <v>1983</v>
      </c>
      <c r="F2962" s="48">
        <v>41207</v>
      </c>
      <c r="G2962" s="48">
        <v>41274</v>
      </c>
      <c r="H2962" s="46" t="s">
        <v>40</v>
      </c>
      <c r="I2962" s="45">
        <f>34908.06+40000</f>
        <v>74908.06</v>
      </c>
      <c r="J2962" s="45">
        <v>44954.03</v>
      </c>
      <c r="K2962" s="49" t="s">
        <v>790</v>
      </c>
      <c r="L2962" s="45"/>
      <c r="M2962" s="3"/>
    </row>
    <row r="2963" spans="1:13" ht="25.5" x14ac:dyDescent="0.25">
      <c r="A2963" s="46" t="s">
        <v>1984</v>
      </c>
      <c r="B2963" s="46" t="s">
        <v>11644</v>
      </c>
      <c r="C2963" s="46" t="s">
        <v>14</v>
      </c>
      <c r="D2963" s="47">
        <v>10889</v>
      </c>
      <c r="E2963" s="46" t="s">
        <v>1985</v>
      </c>
      <c r="F2963" s="48">
        <v>41046</v>
      </c>
      <c r="G2963" s="48">
        <v>41274</v>
      </c>
      <c r="H2963" s="46" t="s">
        <v>40</v>
      </c>
      <c r="I2963" s="45">
        <v>10000</v>
      </c>
      <c r="J2963" s="45">
        <v>10000</v>
      </c>
      <c r="K2963" s="49" t="s">
        <v>790</v>
      </c>
      <c r="L2963" s="45"/>
      <c r="M2963" s="3"/>
    </row>
    <row r="2964" spans="1:13" ht="25.5" x14ac:dyDescent="0.25">
      <c r="A2964" s="46" t="s">
        <v>1994</v>
      </c>
      <c r="B2964" s="46" t="s">
        <v>11644</v>
      </c>
      <c r="C2964" s="46" t="s">
        <v>14</v>
      </c>
      <c r="D2964" s="47">
        <v>10906</v>
      </c>
      <c r="E2964" s="46" t="s">
        <v>1995</v>
      </c>
      <c r="F2964" s="48">
        <v>41172</v>
      </c>
      <c r="G2964" s="48">
        <v>41274</v>
      </c>
      <c r="H2964" s="46" t="s">
        <v>40</v>
      </c>
      <c r="I2964" s="45">
        <v>20000</v>
      </c>
      <c r="J2964" s="45">
        <v>10000</v>
      </c>
      <c r="K2964" s="49" t="s">
        <v>790</v>
      </c>
      <c r="L2964" s="45"/>
      <c r="M2964" s="3"/>
    </row>
    <row r="2965" spans="1:13" ht="25.5" x14ac:dyDescent="0.25">
      <c r="A2965" s="46" t="s">
        <v>1996</v>
      </c>
      <c r="B2965" s="46" t="s">
        <v>11644</v>
      </c>
      <c r="C2965" s="46" t="s">
        <v>14</v>
      </c>
      <c r="D2965" s="47">
        <v>10907</v>
      </c>
      <c r="E2965" s="46" t="s">
        <v>1997</v>
      </c>
      <c r="F2965" s="48">
        <v>40618</v>
      </c>
      <c r="G2965" s="48">
        <v>41274</v>
      </c>
      <c r="H2965" s="46" t="s">
        <v>40</v>
      </c>
      <c r="I2965" s="45">
        <v>10027.959999999999</v>
      </c>
      <c r="J2965" s="45">
        <v>5013.9799999999996</v>
      </c>
      <c r="K2965" s="49" t="s">
        <v>790</v>
      </c>
      <c r="L2965" s="45"/>
      <c r="M2965" s="3"/>
    </row>
    <row r="2966" spans="1:13" ht="25.5" x14ac:dyDescent="0.25">
      <c r="A2966" s="46" t="s">
        <v>2004</v>
      </c>
      <c r="B2966" s="46" t="s">
        <v>11644</v>
      </c>
      <c r="C2966" s="46" t="s">
        <v>14</v>
      </c>
      <c r="D2966" s="47">
        <v>10911</v>
      </c>
      <c r="E2966" s="46" t="s">
        <v>2005</v>
      </c>
      <c r="F2966" s="48">
        <v>40968</v>
      </c>
      <c r="G2966" s="48">
        <v>41274</v>
      </c>
      <c r="H2966" s="46" t="s">
        <v>40</v>
      </c>
      <c r="I2966" s="45">
        <v>36000</v>
      </c>
      <c r="J2966" s="45">
        <v>33000</v>
      </c>
      <c r="K2966" s="49" t="s">
        <v>790</v>
      </c>
      <c r="L2966" s="45"/>
      <c r="M2966" s="3"/>
    </row>
    <row r="2967" spans="1:13" ht="25.5" x14ac:dyDescent="0.25">
      <c r="A2967" s="46" t="s">
        <v>2008</v>
      </c>
      <c r="B2967" s="46" t="s">
        <v>11644</v>
      </c>
      <c r="C2967" s="46" t="s">
        <v>14</v>
      </c>
      <c r="D2967" s="47">
        <v>10913</v>
      </c>
      <c r="E2967" s="46" t="s">
        <v>2009</v>
      </c>
      <c r="F2967" s="48">
        <v>40996</v>
      </c>
      <c r="G2967" s="48">
        <v>41274</v>
      </c>
      <c r="H2967" s="46" t="s">
        <v>40</v>
      </c>
      <c r="I2967" s="45">
        <v>37500</v>
      </c>
      <c r="J2967" s="45">
        <v>37500</v>
      </c>
      <c r="K2967" s="49" t="s">
        <v>790</v>
      </c>
      <c r="L2967" s="45"/>
      <c r="M2967" s="3"/>
    </row>
    <row r="2968" spans="1:13" x14ac:dyDescent="0.25">
      <c r="A2968" s="46" t="s">
        <v>2012</v>
      </c>
      <c r="B2968" s="46" t="s">
        <v>11644</v>
      </c>
      <c r="C2968" s="46" t="s">
        <v>14</v>
      </c>
      <c r="D2968" s="47">
        <v>10915</v>
      </c>
      <c r="E2968" s="46" t="s">
        <v>2013</v>
      </c>
      <c r="F2968" s="48">
        <v>41107</v>
      </c>
      <c r="G2968" s="48">
        <v>41274</v>
      </c>
      <c r="H2968" s="46" t="s">
        <v>40</v>
      </c>
      <c r="I2968" s="45">
        <v>25000</v>
      </c>
      <c r="J2968" s="45">
        <v>25000</v>
      </c>
      <c r="K2968" s="49" t="s">
        <v>790</v>
      </c>
      <c r="L2968" s="45"/>
      <c r="M2968" s="3"/>
    </row>
    <row r="2969" spans="1:13" ht="25.5" x14ac:dyDescent="0.25">
      <c r="A2969" s="46" t="s">
        <v>2014</v>
      </c>
      <c r="B2969" s="46" t="s">
        <v>11644</v>
      </c>
      <c r="C2969" s="46" t="s">
        <v>14</v>
      </c>
      <c r="D2969" s="47">
        <v>10916</v>
      </c>
      <c r="E2969" s="46" t="s">
        <v>2015</v>
      </c>
      <c r="F2969" s="48">
        <v>40996</v>
      </c>
      <c r="G2969" s="48">
        <v>41274</v>
      </c>
      <c r="H2969" s="46" t="s">
        <v>40</v>
      </c>
      <c r="I2969" s="45">
        <v>22500</v>
      </c>
      <c r="J2969" s="45">
        <v>15000</v>
      </c>
      <c r="K2969" s="49" t="s">
        <v>790</v>
      </c>
      <c r="L2969" s="45"/>
      <c r="M2969" s="3"/>
    </row>
    <row r="2970" spans="1:13" ht="25.5" x14ac:dyDescent="0.25">
      <c r="A2970" s="46" t="s">
        <v>2016</v>
      </c>
      <c r="B2970" s="46" t="s">
        <v>11644</v>
      </c>
      <c r="C2970" s="46" t="s">
        <v>14</v>
      </c>
      <c r="D2970" s="47">
        <v>10917</v>
      </c>
      <c r="E2970" s="46" t="s">
        <v>2017</v>
      </c>
      <c r="F2970" s="48">
        <v>40968</v>
      </c>
      <c r="G2970" s="48">
        <v>41274</v>
      </c>
      <c r="H2970" s="46" t="s">
        <v>40</v>
      </c>
      <c r="I2970" s="45">
        <v>36000</v>
      </c>
      <c r="J2970" s="45">
        <v>25500</v>
      </c>
      <c r="K2970" s="49" t="s">
        <v>790</v>
      </c>
      <c r="L2970" s="45"/>
      <c r="M2970" s="3"/>
    </row>
    <row r="2971" spans="1:13" ht="25.5" x14ac:dyDescent="0.25">
      <c r="A2971" s="46" t="s">
        <v>2018</v>
      </c>
      <c r="B2971" s="46" t="s">
        <v>11644</v>
      </c>
      <c r="C2971" s="46" t="s">
        <v>14</v>
      </c>
      <c r="D2971" s="47">
        <v>10918</v>
      </c>
      <c r="E2971" s="46" t="s">
        <v>10322</v>
      </c>
      <c r="F2971" s="48">
        <v>40849</v>
      </c>
      <c r="G2971" s="48">
        <v>41274</v>
      </c>
      <c r="H2971" s="46" t="s">
        <v>40</v>
      </c>
      <c r="I2971" s="45">
        <f>33607.56+20000</f>
        <v>53607.56</v>
      </c>
      <c r="J2971" s="45">
        <f>19303.78+15000</f>
        <v>34303.78</v>
      </c>
      <c r="K2971" s="49" t="s">
        <v>790</v>
      </c>
      <c r="L2971" s="45"/>
      <c r="M2971" s="3"/>
    </row>
    <row r="2972" spans="1:13" ht="25.5" x14ac:dyDescent="0.25">
      <c r="A2972" s="46" t="s">
        <v>2019</v>
      </c>
      <c r="B2972" s="46" t="s">
        <v>11644</v>
      </c>
      <c r="C2972" s="46" t="s">
        <v>14</v>
      </c>
      <c r="D2972" s="47">
        <v>10919</v>
      </c>
      <c r="E2972" s="46" t="s">
        <v>2020</v>
      </c>
      <c r="F2972" s="48">
        <v>41207</v>
      </c>
      <c r="G2972" s="48">
        <v>41274</v>
      </c>
      <c r="H2972" s="46" t="s">
        <v>40</v>
      </c>
      <c r="I2972" s="45">
        <f>12165+26000</f>
        <v>38165</v>
      </c>
      <c r="J2972" s="45">
        <f>11082.75+23000</f>
        <v>34082.75</v>
      </c>
      <c r="K2972" s="49" t="s">
        <v>790</v>
      </c>
      <c r="L2972" s="45"/>
      <c r="M2972" s="3"/>
    </row>
    <row r="2973" spans="1:13" ht="25.5" x14ac:dyDescent="0.25">
      <c r="A2973" s="46" t="s">
        <v>2440</v>
      </c>
      <c r="B2973" s="46" t="s">
        <v>11644</v>
      </c>
      <c r="C2973" s="46" t="s">
        <v>14</v>
      </c>
      <c r="D2973" s="47">
        <v>7381</v>
      </c>
      <c r="E2973" s="46" t="s">
        <v>2441</v>
      </c>
      <c r="F2973" s="48">
        <v>40193</v>
      </c>
      <c r="G2973" s="48">
        <v>40407</v>
      </c>
      <c r="H2973" s="46" t="s">
        <v>40</v>
      </c>
      <c r="I2973" s="45">
        <f>15000+3750</f>
        <v>18750</v>
      </c>
      <c r="J2973" s="45">
        <f>15000+3750</f>
        <v>18750</v>
      </c>
      <c r="K2973" s="49" t="s">
        <v>2033</v>
      </c>
      <c r="L2973" s="45"/>
      <c r="M2973" s="3"/>
    </row>
    <row r="2974" spans="1:13" x14ac:dyDescent="0.25">
      <c r="A2974" s="46" t="s">
        <v>2444</v>
      </c>
      <c r="B2974" s="46" t="s">
        <v>11644</v>
      </c>
      <c r="C2974" s="46" t="s">
        <v>14</v>
      </c>
      <c r="D2974" s="47">
        <v>7497</v>
      </c>
      <c r="E2974" s="46" t="s">
        <v>2445</v>
      </c>
      <c r="F2974" s="48">
        <v>40320</v>
      </c>
      <c r="G2974" s="48">
        <v>40617</v>
      </c>
      <c r="H2974" s="46" t="s">
        <v>40</v>
      </c>
      <c r="I2974" s="45">
        <v>20000</v>
      </c>
      <c r="J2974" s="45">
        <v>20000</v>
      </c>
      <c r="K2974" s="49" t="s">
        <v>2033</v>
      </c>
      <c r="L2974" s="45"/>
      <c r="M2974" s="3"/>
    </row>
    <row r="2975" spans="1:13" x14ac:dyDescent="0.25">
      <c r="A2975" s="46" t="s">
        <v>2448</v>
      </c>
      <c r="B2975" s="46" t="s">
        <v>11644</v>
      </c>
      <c r="C2975" s="46" t="s">
        <v>14</v>
      </c>
      <c r="D2975" s="47">
        <v>7512</v>
      </c>
      <c r="E2975" s="46" t="s">
        <v>2449</v>
      </c>
      <c r="F2975" s="48">
        <v>40442</v>
      </c>
      <c r="G2975" s="48">
        <v>40590</v>
      </c>
      <c r="H2975" s="46" t="s">
        <v>40</v>
      </c>
      <c r="I2975" s="45">
        <v>15000</v>
      </c>
      <c r="J2975" s="45">
        <v>15000</v>
      </c>
      <c r="K2975" s="49" t="s">
        <v>2033</v>
      </c>
      <c r="L2975" s="45"/>
      <c r="M2975" s="3"/>
    </row>
    <row r="2976" spans="1:13" ht="25.5" x14ac:dyDescent="0.25">
      <c r="A2976" s="46" t="s">
        <v>2460</v>
      </c>
      <c r="B2976" s="46" t="s">
        <v>11644</v>
      </c>
      <c r="C2976" s="46" t="s">
        <v>14</v>
      </c>
      <c r="D2976" s="47">
        <v>7698</v>
      </c>
      <c r="E2976" s="46" t="s">
        <v>2461</v>
      </c>
      <c r="F2976" s="48">
        <v>40310</v>
      </c>
      <c r="G2976" s="48">
        <v>40584</v>
      </c>
      <c r="H2976" s="46" t="s">
        <v>40</v>
      </c>
      <c r="I2976" s="45">
        <v>7500</v>
      </c>
      <c r="J2976" s="45">
        <v>7500</v>
      </c>
      <c r="K2976" s="49" t="s">
        <v>2033</v>
      </c>
      <c r="L2976" s="45"/>
      <c r="M2976" s="3"/>
    </row>
    <row r="2977" spans="1:13" ht="25.5" x14ac:dyDescent="0.25">
      <c r="A2977" s="46" t="s">
        <v>2464</v>
      </c>
      <c r="B2977" s="46" t="s">
        <v>11644</v>
      </c>
      <c r="C2977" s="46" t="s">
        <v>14</v>
      </c>
      <c r="D2977" s="47">
        <v>7700</v>
      </c>
      <c r="E2977" s="46" t="s">
        <v>2465</v>
      </c>
      <c r="F2977" s="48">
        <v>40526</v>
      </c>
      <c r="G2977" s="48">
        <v>40617</v>
      </c>
      <c r="H2977" s="46" t="s">
        <v>40</v>
      </c>
      <c r="I2977" s="45">
        <v>7500</v>
      </c>
      <c r="J2977" s="45">
        <v>7500</v>
      </c>
      <c r="K2977" s="49" t="s">
        <v>2033</v>
      </c>
      <c r="L2977" s="45"/>
      <c r="M2977" s="3"/>
    </row>
    <row r="2978" spans="1:13" x14ac:dyDescent="0.25">
      <c r="A2978" s="46" t="s">
        <v>2466</v>
      </c>
      <c r="B2978" s="46" t="s">
        <v>11644</v>
      </c>
      <c r="C2978" s="46" t="s">
        <v>14</v>
      </c>
      <c r="D2978" s="47">
        <v>7701</v>
      </c>
      <c r="E2978" s="46" t="s">
        <v>2467</v>
      </c>
      <c r="F2978" s="48">
        <v>40259</v>
      </c>
      <c r="G2978" s="48">
        <v>40465</v>
      </c>
      <c r="H2978" s="46" t="s">
        <v>40</v>
      </c>
      <c r="I2978" s="45">
        <v>15000</v>
      </c>
      <c r="J2978" s="45">
        <v>15000</v>
      </c>
      <c r="K2978" s="49" t="s">
        <v>2033</v>
      </c>
      <c r="L2978" s="45"/>
      <c r="M2978" s="3"/>
    </row>
    <row r="2979" spans="1:13" ht="51" x14ac:dyDescent="0.25">
      <c r="A2979" s="46" t="s">
        <v>2468</v>
      </c>
      <c r="B2979" s="46" t="s">
        <v>11644</v>
      </c>
      <c r="C2979" s="46" t="s">
        <v>14</v>
      </c>
      <c r="D2979" s="47">
        <v>7702</v>
      </c>
      <c r="E2979" s="50" t="s">
        <v>2469</v>
      </c>
      <c r="F2979" s="48">
        <v>40310</v>
      </c>
      <c r="G2979" s="48">
        <v>41274</v>
      </c>
      <c r="H2979" s="46" t="s">
        <v>40</v>
      </c>
      <c r="I2979" s="45">
        <v>15000</v>
      </c>
      <c r="J2979" s="45">
        <v>15000</v>
      </c>
      <c r="K2979" s="49" t="s">
        <v>2033</v>
      </c>
      <c r="L2979" s="45"/>
      <c r="M2979" s="3"/>
    </row>
    <row r="2980" spans="1:13" ht="25.5" x14ac:dyDescent="0.25">
      <c r="A2980" s="46" t="s">
        <v>2497</v>
      </c>
      <c r="B2980" s="46" t="s">
        <v>11644</v>
      </c>
      <c r="C2980" s="46" t="s">
        <v>14</v>
      </c>
      <c r="D2980" s="47">
        <v>7806</v>
      </c>
      <c r="E2980" s="46" t="s">
        <v>2498</v>
      </c>
      <c r="F2980" s="48">
        <v>40400</v>
      </c>
      <c r="G2980" s="48">
        <v>40400</v>
      </c>
      <c r="H2980" s="46" t="s">
        <v>40</v>
      </c>
      <c r="I2980" s="45">
        <v>1875</v>
      </c>
      <c r="J2980" s="45">
        <v>1875</v>
      </c>
      <c r="K2980" s="49" t="s">
        <v>2033</v>
      </c>
      <c r="L2980" s="45"/>
      <c r="M2980" s="3"/>
    </row>
    <row r="2981" spans="1:13" ht="25.5" x14ac:dyDescent="0.25">
      <c r="A2981" s="46" t="s">
        <v>2499</v>
      </c>
      <c r="B2981" s="46" t="s">
        <v>11644</v>
      </c>
      <c r="C2981" s="46" t="s">
        <v>14</v>
      </c>
      <c r="D2981" s="47">
        <v>8559</v>
      </c>
      <c r="E2981" s="46" t="s">
        <v>2500</v>
      </c>
      <c r="F2981" s="48">
        <v>40882</v>
      </c>
      <c r="G2981" s="48">
        <v>41274</v>
      </c>
      <c r="H2981" s="46" t="s">
        <v>40</v>
      </c>
      <c r="I2981" s="45">
        <v>7500</v>
      </c>
      <c r="J2981" s="45">
        <v>7500</v>
      </c>
      <c r="K2981" s="49" t="s">
        <v>2033</v>
      </c>
      <c r="L2981" s="45"/>
      <c r="M2981" s="3"/>
    </row>
    <row r="2982" spans="1:13" ht="25.5" x14ac:dyDescent="0.25">
      <c r="A2982" s="46" t="s">
        <v>2505</v>
      </c>
      <c r="B2982" s="46" t="s">
        <v>11644</v>
      </c>
      <c r="C2982" s="46" t="s">
        <v>14</v>
      </c>
      <c r="D2982" s="47">
        <v>8562</v>
      </c>
      <c r="E2982" s="46" t="s">
        <v>2506</v>
      </c>
      <c r="F2982" s="48">
        <v>40784</v>
      </c>
      <c r="G2982" s="48">
        <v>41274</v>
      </c>
      <c r="H2982" s="46" t="s">
        <v>40</v>
      </c>
      <c r="I2982" s="45">
        <v>27500</v>
      </c>
      <c r="J2982" s="45">
        <v>25000</v>
      </c>
      <c r="K2982" s="49" t="s">
        <v>2033</v>
      </c>
      <c r="L2982" s="45"/>
      <c r="M2982" s="3"/>
    </row>
    <row r="2983" spans="1:13" ht="25.5" x14ac:dyDescent="0.25">
      <c r="A2983" s="46" t="s">
        <v>2507</v>
      </c>
      <c r="B2983" s="46" t="s">
        <v>11644</v>
      </c>
      <c r="C2983" s="46" t="s">
        <v>14</v>
      </c>
      <c r="D2983" s="47">
        <v>8563</v>
      </c>
      <c r="E2983" s="46" t="s">
        <v>2508</v>
      </c>
      <c r="F2983" s="48">
        <v>40882</v>
      </c>
      <c r="G2983" s="46"/>
      <c r="H2983" s="46" t="s">
        <v>40</v>
      </c>
      <c r="I2983" s="45">
        <v>3750</v>
      </c>
      <c r="J2983" s="45">
        <v>3750</v>
      </c>
      <c r="K2983" s="49" t="s">
        <v>2033</v>
      </c>
      <c r="L2983" s="45"/>
      <c r="M2983" s="3"/>
    </row>
    <row r="2984" spans="1:13" ht="25.5" x14ac:dyDescent="0.25">
      <c r="A2984" s="46" t="s">
        <v>2509</v>
      </c>
      <c r="B2984" s="46" t="s">
        <v>11644</v>
      </c>
      <c r="C2984" s="46" t="s">
        <v>14</v>
      </c>
      <c r="D2984" s="47">
        <v>8564</v>
      </c>
      <c r="E2984" s="46" t="s">
        <v>2510</v>
      </c>
      <c r="F2984" s="48">
        <v>40863</v>
      </c>
      <c r="G2984" s="46"/>
      <c r="H2984" s="46" t="s">
        <v>40</v>
      </c>
      <c r="I2984" s="45">
        <v>7500</v>
      </c>
      <c r="J2984" s="45">
        <v>7500</v>
      </c>
      <c r="K2984" s="49" t="s">
        <v>2033</v>
      </c>
      <c r="L2984" s="45"/>
      <c r="M2984" s="3"/>
    </row>
    <row r="2985" spans="1:13" ht="25.5" x14ac:dyDescent="0.25">
      <c r="A2985" s="46" t="s">
        <v>2513</v>
      </c>
      <c r="B2985" s="46" t="s">
        <v>11644</v>
      </c>
      <c r="C2985" s="46" t="s">
        <v>14</v>
      </c>
      <c r="D2985" s="47">
        <v>8566</v>
      </c>
      <c r="E2985" s="46" t="s">
        <v>2514</v>
      </c>
      <c r="F2985" s="48">
        <v>40896</v>
      </c>
      <c r="G2985" s="48">
        <v>41274</v>
      </c>
      <c r="H2985" s="46" t="s">
        <v>40</v>
      </c>
      <c r="I2985" s="45">
        <f>13750+7500</f>
        <v>21250</v>
      </c>
      <c r="J2985" s="45">
        <f>13750+7500</f>
        <v>21250</v>
      </c>
      <c r="K2985" s="49" t="s">
        <v>2033</v>
      </c>
      <c r="L2985" s="45"/>
      <c r="M2985" s="3"/>
    </row>
    <row r="2986" spans="1:13" ht="25.5" x14ac:dyDescent="0.25">
      <c r="A2986" s="46" t="s">
        <v>2517</v>
      </c>
      <c r="B2986" s="46" t="s">
        <v>11644</v>
      </c>
      <c r="C2986" s="46" t="s">
        <v>14</v>
      </c>
      <c r="D2986" s="47">
        <v>8568</v>
      </c>
      <c r="E2986" s="46" t="s">
        <v>2518</v>
      </c>
      <c r="F2986" s="48">
        <v>40891</v>
      </c>
      <c r="G2986" s="48">
        <v>41274</v>
      </c>
      <c r="H2986" s="46" t="s">
        <v>40</v>
      </c>
      <c r="I2986" s="45">
        <v>7500</v>
      </c>
      <c r="J2986" s="45">
        <v>7500</v>
      </c>
      <c r="K2986" s="49" t="s">
        <v>2033</v>
      </c>
      <c r="L2986" s="45"/>
      <c r="M2986" s="3"/>
    </row>
    <row r="2987" spans="1:13" x14ac:dyDescent="0.25">
      <c r="A2987" s="46" t="s">
        <v>2519</v>
      </c>
      <c r="B2987" s="46" t="s">
        <v>11644</v>
      </c>
      <c r="C2987" s="46" t="s">
        <v>14</v>
      </c>
      <c r="D2987" s="47">
        <v>8569</v>
      </c>
      <c r="E2987" s="46" t="s">
        <v>2520</v>
      </c>
      <c r="F2987" s="48">
        <v>40723</v>
      </c>
      <c r="G2987" s="48">
        <v>40840</v>
      </c>
      <c r="H2987" s="46" t="s">
        <v>40</v>
      </c>
      <c r="I2987" s="45">
        <v>7500</v>
      </c>
      <c r="J2987" s="45">
        <v>7500</v>
      </c>
      <c r="K2987" s="49" t="s">
        <v>2033</v>
      </c>
      <c r="L2987" s="45"/>
      <c r="M2987" s="3"/>
    </row>
    <row r="2988" spans="1:13" ht="25.5" x14ac:dyDescent="0.25">
      <c r="A2988" s="46" t="s">
        <v>2523</v>
      </c>
      <c r="B2988" s="46" t="s">
        <v>11644</v>
      </c>
      <c r="C2988" s="46" t="s">
        <v>14</v>
      </c>
      <c r="D2988" s="47">
        <v>8571</v>
      </c>
      <c r="E2988" s="46" t="s">
        <v>2524</v>
      </c>
      <c r="F2988" s="48">
        <v>40793</v>
      </c>
      <c r="G2988" s="48">
        <v>40793</v>
      </c>
      <c r="H2988" s="46" t="s">
        <v>40</v>
      </c>
      <c r="I2988" s="45">
        <v>7500</v>
      </c>
      <c r="J2988" s="45">
        <v>7500</v>
      </c>
      <c r="K2988" s="49" t="s">
        <v>2033</v>
      </c>
      <c r="L2988" s="45"/>
      <c r="M2988" s="3"/>
    </row>
    <row r="2989" spans="1:13" ht="25.5" x14ac:dyDescent="0.25">
      <c r="A2989" s="46" t="s">
        <v>2555</v>
      </c>
      <c r="B2989" s="46" t="s">
        <v>11644</v>
      </c>
      <c r="C2989" s="46" t="s">
        <v>14</v>
      </c>
      <c r="D2989" s="47">
        <v>10985</v>
      </c>
      <c r="E2989" s="46" t="s">
        <v>2556</v>
      </c>
      <c r="F2989" s="48">
        <v>40909</v>
      </c>
      <c r="G2989" s="48">
        <v>41274</v>
      </c>
      <c r="H2989" s="46" t="s">
        <v>40</v>
      </c>
      <c r="I2989" s="45">
        <f>36638.18+1540</f>
        <v>38178.18</v>
      </c>
      <c r="J2989" s="45">
        <f>18319.09+770</f>
        <v>19089.09</v>
      </c>
      <c r="K2989" s="49" t="s">
        <v>2033</v>
      </c>
      <c r="L2989" s="45"/>
      <c r="M2989" s="3"/>
    </row>
    <row r="2990" spans="1:13" ht="25.5" x14ac:dyDescent="0.25">
      <c r="A2990" s="46" t="s">
        <v>2557</v>
      </c>
      <c r="B2990" s="46" t="s">
        <v>11644</v>
      </c>
      <c r="C2990" s="46" t="s">
        <v>14</v>
      </c>
      <c r="D2990" s="47">
        <v>10986</v>
      </c>
      <c r="E2990" s="46" t="s">
        <v>2558</v>
      </c>
      <c r="F2990" s="48">
        <v>40909</v>
      </c>
      <c r="G2990" s="48">
        <v>41617</v>
      </c>
      <c r="H2990" s="46" t="s">
        <v>40</v>
      </c>
      <c r="I2990" s="45">
        <f>19151.52+2880</f>
        <v>22031.52</v>
      </c>
      <c r="J2990" s="45">
        <f>3825.55+750</f>
        <v>4575.55</v>
      </c>
      <c r="K2990" s="49" t="s">
        <v>2033</v>
      </c>
      <c r="L2990" s="45"/>
      <c r="M2990" s="3"/>
    </row>
    <row r="2991" spans="1:13" ht="38.25" x14ac:dyDescent="0.25">
      <c r="A2991" s="46" t="s">
        <v>2559</v>
      </c>
      <c r="B2991" s="46" t="s">
        <v>11644</v>
      </c>
      <c r="C2991" s="46" t="s">
        <v>14</v>
      </c>
      <c r="D2991" s="47">
        <v>10987</v>
      </c>
      <c r="E2991" s="46" t="s">
        <v>2560</v>
      </c>
      <c r="F2991" s="48">
        <v>40945</v>
      </c>
      <c r="G2991" s="48">
        <v>41274</v>
      </c>
      <c r="H2991" s="46" t="s">
        <v>40</v>
      </c>
      <c r="I2991" s="45">
        <v>15000</v>
      </c>
      <c r="J2991" s="45">
        <v>15000</v>
      </c>
      <c r="K2991" s="49" t="s">
        <v>2033</v>
      </c>
      <c r="L2991" s="45"/>
      <c r="M2991" s="3"/>
    </row>
    <row r="2992" spans="1:13" ht="25.5" x14ac:dyDescent="0.25">
      <c r="A2992" s="46" t="s">
        <v>2561</v>
      </c>
      <c r="B2992" s="46" t="s">
        <v>11644</v>
      </c>
      <c r="C2992" s="46" t="s">
        <v>14</v>
      </c>
      <c r="D2992" s="47">
        <v>10988</v>
      </c>
      <c r="E2992" s="46" t="s">
        <v>2562</v>
      </c>
      <c r="F2992" s="48">
        <v>40945</v>
      </c>
      <c r="G2992" s="48">
        <v>41274</v>
      </c>
      <c r="H2992" s="46" t="s">
        <v>40</v>
      </c>
      <c r="I2992" s="45">
        <v>30000</v>
      </c>
      <c r="J2992" s="45">
        <v>30000</v>
      </c>
      <c r="K2992" s="49" t="s">
        <v>2033</v>
      </c>
      <c r="L2992" s="45"/>
      <c r="M2992" s="3"/>
    </row>
    <row r="2993" spans="1:13" ht="25.5" x14ac:dyDescent="0.25">
      <c r="A2993" s="46" t="s">
        <v>2563</v>
      </c>
      <c r="B2993" s="46" t="s">
        <v>11644</v>
      </c>
      <c r="C2993" s="46" t="s">
        <v>14</v>
      </c>
      <c r="D2993" s="47">
        <v>10989</v>
      </c>
      <c r="E2993" s="46" t="s">
        <v>2564</v>
      </c>
      <c r="F2993" s="48">
        <v>40891</v>
      </c>
      <c r="G2993" s="48">
        <v>41274</v>
      </c>
      <c r="H2993" s="46" t="s">
        <v>40</v>
      </c>
      <c r="I2993" s="45">
        <v>15000</v>
      </c>
      <c r="J2993" s="45">
        <v>15000</v>
      </c>
      <c r="K2993" s="49" t="s">
        <v>2033</v>
      </c>
      <c r="L2993" s="45"/>
      <c r="M2993" s="3"/>
    </row>
    <row r="2994" spans="1:13" ht="25.5" x14ac:dyDescent="0.25">
      <c r="A2994" s="46" t="s">
        <v>2565</v>
      </c>
      <c r="B2994" s="46" t="s">
        <v>11644</v>
      </c>
      <c r="C2994" s="46" t="s">
        <v>14</v>
      </c>
      <c r="D2994" s="47">
        <v>10990</v>
      </c>
      <c r="E2994" s="46" t="s">
        <v>2566</v>
      </c>
      <c r="F2994" s="48">
        <v>41086</v>
      </c>
      <c r="G2994" s="48">
        <v>41274</v>
      </c>
      <c r="H2994" s="46" t="s">
        <v>40</v>
      </c>
      <c r="I2994" s="45">
        <v>50000</v>
      </c>
      <c r="J2994" s="45">
        <v>25000</v>
      </c>
      <c r="K2994" s="49" t="s">
        <v>2033</v>
      </c>
      <c r="L2994" s="45"/>
      <c r="M2994" s="3"/>
    </row>
    <row r="2995" spans="1:13" x14ac:dyDescent="0.25">
      <c r="A2995" s="46" t="s">
        <v>2569</v>
      </c>
      <c r="B2995" s="46" t="s">
        <v>11644</v>
      </c>
      <c r="C2995" s="46" t="s">
        <v>14</v>
      </c>
      <c r="D2995" s="47">
        <v>10993</v>
      </c>
      <c r="E2995" s="46" t="s">
        <v>2570</v>
      </c>
      <c r="F2995" s="48">
        <v>40945</v>
      </c>
      <c r="G2995" s="48">
        <v>41274</v>
      </c>
      <c r="H2995" s="46" t="s">
        <v>40</v>
      </c>
      <c r="I2995" s="45">
        <f>3750+3750</f>
        <v>7500</v>
      </c>
      <c r="J2995" s="45">
        <f>3750+3750</f>
        <v>7500</v>
      </c>
      <c r="K2995" s="49" t="s">
        <v>2033</v>
      </c>
      <c r="L2995" s="45"/>
      <c r="M2995" s="3"/>
    </row>
    <row r="2996" spans="1:13" ht="25.5" x14ac:dyDescent="0.25">
      <c r="A2996" s="46" t="s">
        <v>2571</v>
      </c>
      <c r="B2996" s="46" t="s">
        <v>11644</v>
      </c>
      <c r="C2996" s="46" t="s">
        <v>14</v>
      </c>
      <c r="D2996" s="47">
        <v>10996</v>
      </c>
      <c r="E2996" s="46" t="s">
        <v>2572</v>
      </c>
      <c r="F2996" s="48">
        <v>41018</v>
      </c>
      <c r="G2996" s="48">
        <v>41274</v>
      </c>
      <c r="H2996" s="46" t="s">
        <v>40</v>
      </c>
      <c r="I2996" s="45">
        <f>16987+7500</f>
        <v>24487</v>
      </c>
      <c r="J2996" s="45">
        <v>19743.5</v>
      </c>
      <c r="K2996" s="49" t="s">
        <v>2033</v>
      </c>
      <c r="L2996" s="45"/>
      <c r="M2996" s="3"/>
    </row>
    <row r="2997" spans="1:13" ht="25.5" x14ac:dyDescent="0.25">
      <c r="A2997" s="46" t="s">
        <v>3271</v>
      </c>
      <c r="B2997" s="46" t="s">
        <v>11644</v>
      </c>
      <c r="C2997" s="46" t="s">
        <v>14</v>
      </c>
      <c r="D2997" s="47">
        <v>7893</v>
      </c>
      <c r="E2997" s="46" t="s">
        <v>3272</v>
      </c>
      <c r="F2997" s="48">
        <v>40246</v>
      </c>
      <c r="G2997" s="48">
        <v>41639</v>
      </c>
      <c r="H2997" s="46" t="s">
        <v>40</v>
      </c>
      <c r="I2997" s="45">
        <v>5000</v>
      </c>
      <c r="J2997" s="45">
        <v>5000</v>
      </c>
      <c r="K2997" s="49" t="s">
        <v>2650</v>
      </c>
      <c r="L2997" s="45"/>
      <c r="M2997" s="3"/>
    </row>
    <row r="2998" spans="1:13" ht="25.5" x14ac:dyDescent="0.25">
      <c r="A2998" s="46" t="s">
        <v>3273</v>
      </c>
      <c r="B2998" s="46" t="s">
        <v>11644</v>
      </c>
      <c r="C2998" s="46" t="s">
        <v>14</v>
      </c>
      <c r="D2998" s="47">
        <v>7898</v>
      </c>
      <c r="E2998" s="46" t="s">
        <v>3274</v>
      </c>
      <c r="F2998" s="48">
        <v>40470</v>
      </c>
      <c r="G2998" s="48">
        <v>41639</v>
      </c>
      <c r="H2998" s="46" t="s">
        <v>40</v>
      </c>
      <c r="I2998" s="45">
        <v>11250</v>
      </c>
      <c r="J2998" s="45">
        <v>11250</v>
      </c>
      <c r="K2998" s="49" t="s">
        <v>2650</v>
      </c>
      <c r="L2998" s="45"/>
      <c r="M2998" s="3"/>
    </row>
    <row r="2999" spans="1:13" ht="25.5" x14ac:dyDescent="0.25">
      <c r="A2999" s="46" t="s">
        <v>3275</v>
      </c>
      <c r="B2999" s="46" t="s">
        <v>11644</v>
      </c>
      <c r="C2999" s="46" t="s">
        <v>14</v>
      </c>
      <c r="D2999" s="47">
        <v>7899</v>
      </c>
      <c r="E2999" s="46" t="s">
        <v>3276</v>
      </c>
      <c r="F2999" s="48">
        <v>40435</v>
      </c>
      <c r="G2999" s="48">
        <v>41639</v>
      </c>
      <c r="H2999" s="46" t="s">
        <v>40</v>
      </c>
      <c r="I2999" s="45">
        <v>3750</v>
      </c>
      <c r="J2999" s="45">
        <v>3750</v>
      </c>
      <c r="K2999" s="49" t="s">
        <v>2650</v>
      </c>
      <c r="L2999" s="45"/>
      <c r="M2999" s="3"/>
    </row>
    <row r="3000" spans="1:13" ht="25.5" x14ac:dyDescent="0.25">
      <c r="A3000" s="46" t="s">
        <v>3279</v>
      </c>
      <c r="B3000" s="46" t="s">
        <v>11644</v>
      </c>
      <c r="C3000" s="46" t="s">
        <v>14</v>
      </c>
      <c r="D3000" s="47">
        <v>7907</v>
      </c>
      <c r="E3000" s="46" t="s">
        <v>3280</v>
      </c>
      <c r="F3000" s="48">
        <v>40435</v>
      </c>
      <c r="G3000" s="48">
        <v>41639</v>
      </c>
      <c r="H3000" s="46" t="s">
        <v>40</v>
      </c>
      <c r="I3000" s="45">
        <v>3750</v>
      </c>
      <c r="J3000" s="45">
        <v>3750</v>
      </c>
      <c r="K3000" s="49" t="s">
        <v>2650</v>
      </c>
      <c r="L3000" s="45"/>
      <c r="M3000" s="3"/>
    </row>
    <row r="3001" spans="1:13" ht="25.5" x14ac:dyDescent="0.25">
      <c r="A3001" s="46" t="s">
        <v>3281</v>
      </c>
      <c r="B3001" s="46" t="s">
        <v>11644</v>
      </c>
      <c r="C3001" s="46" t="s">
        <v>14</v>
      </c>
      <c r="D3001" s="47">
        <v>7914</v>
      </c>
      <c r="E3001" s="46" t="s">
        <v>3282</v>
      </c>
      <c r="F3001" s="48">
        <v>40344</v>
      </c>
      <c r="G3001" s="48">
        <v>41639</v>
      </c>
      <c r="H3001" s="46" t="s">
        <v>40</v>
      </c>
      <c r="I3001" s="45">
        <v>2500</v>
      </c>
      <c r="J3001" s="45">
        <v>2500</v>
      </c>
      <c r="K3001" s="49" t="s">
        <v>2650</v>
      </c>
      <c r="L3001" s="45"/>
      <c r="M3001" s="3"/>
    </row>
    <row r="3002" spans="1:13" ht="25.5" x14ac:dyDescent="0.25">
      <c r="A3002" s="46" t="s">
        <v>3283</v>
      </c>
      <c r="B3002" s="46" t="s">
        <v>11644</v>
      </c>
      <c r="C3002" s="46" t="s">
        <v>14</v>
      </c>
      <c r="D3002" s="47">
        <v>7916</v>
      </c>
      <c r="E3002" s="46" t="s">
        <v>3284</v>
      </c>
      <c r="F3002" s="48">
        <v>40498</v>
      </c>
      <c r="G3002" s="48">
        <v>41639</v>
      </c>
      <c r="H3002" s="46" t="s">
        <v>40</v>
      </c>
      <c r="I3002" s="45">
        <v>15000</v>
      </c>
      <c r="J3002" s="45">
        <v>7500</v>
      </c>
      <c r="K3002" s="49" t="s">
        <v>2650</v>
      </c>
      <c r="L3002" s="45"/>
      <c r="M3002" s="3"/>
    </row>
    <row r="3003" spans="1:13" x14ac:dyDescent="0.25">
      <c r="A3003" s="46" t="s">
        <v>3312</v>
      </c>
      <c r="B3003" s="46" t="s">
        <v>11644</v>
      </c>
      <c r="C3003" s="46" t="s">
        <v>14</v>
      </c>
      <c r="D3003" s="47">
        <v>9015</v>
      </c>
      <c r="E3003" s="46" t="s">
        <v>3313</v>
      </c>
      <c r="F3003" s="48">
        <v>40344</v>
      </c>
      <c r="G3003" s="48">
        <v>41639</v>
      </c>
      <c r="H3003" s="46" t="s">
        <v>40</v>
      </c>
      <c r="I3003" s="45">
        <v>8000</v>
      </c>
      <c r="J3003" s="45">
        <v>4000</v>
      </c>
      <c r="K3003" s="49" t="s">
        <v>2650</v>
      </c>
      <c r="L3003" s="45"/>
      <c r="M3003" s="3"/>
    </row>
    <row r="3004" spans="1:13" ht="25.5" x14ac:dyDescent="0.25">
      <c r="A3004" s="46" t="s">
        <v>3314</v>
      </c>
      <c r="B3004" s="46" t="s">
        <v>11644</v>
      </c>
      <c r="C3004" s="46" t="s">
        <v>14</v>
      </c>
      <c r="D3004" s="47">
        <v>9016</v>
      </c>
      <c r="E3004" s="46" t="s">
        <v>3315</v>
      </c>
      <c r="F3004" s="48">
        <v>40530</v>
      </c>
      <c r="G3004" s="48">
        <v>41639</v>
      </c>
      <c r="H3004" s="46" t="s">
        <v>40</v>
      </c>
      <c r="I3004" s="45">
        <v>2500</v>
      </c>
      <c r="J3004" s="45">
        <v>2500</v>
      </c>
      <c r="K3004" s="49" t="s">
        <v>2650</v>
      </c>
      <c r="L3004" s="45"/>
      <c r="M3004" s="3"/>
    </row>
    <row r="3005" spans="1:13" ht="25.5" x14ac:dyDescent="0.25">
      <c r="A3005" s="46" t="s">
        <v>3320</v>
      </c>
      <c r="B3005" s="46" t="s">
        <v>11644</v>
      </c>
      <c r="C3005" s="46" t="s">
        <v>14</v>
      </c>
      <c r="D3005" s="47">
        <v>9019</v>
      </c>
      <c r="E3005" s="46" t="s">
        <v>3321</v>
      </c>
      <c r="F3005" s="48">
        <v>40498</v>
      </c>
      <c r="G3005" s="48">
        <v>41305</v>
      </c>
      <c r="H3005" s="46" t="s">
        <v>40</v>
      </c>
      <c r="I3005" s="45">
        <v>7500</v>
      </c>
      <c r="J3005" s="45">
        <v>7500</v>
      </c>
      <c r="K3005" s="49" t="s">
        <v>2650</v>
      </c>
      <c r="L3005" s="45"/>
      <c r="M3005" s="3"/>
    </row>
    <row r="3006" spans="1:13" ht="25.5" x14ac:dyDescent="0.25">
      <c r="A3006" s="46" t="s">
        <v>3322</v>
      </c>
      <c r="B3006" s="46" t="s">
        <v>11644</v>
      </c>
      <c r="C3006" s="46" t="s">
        <v>14</v>
      </c>
      <c r="D3006" s="47">
        <v>9020</v>
      </c>
      <c r="E3006" s="46" t="s">
        <v>3323</v>
      </c>
      <c r="F3006" s="48">
        <v>40382</v>
      </c>
      <c r="G3006" s="48">
        <v>41639</v>
      </c>
      <c r="H3006" s="46" t="s">
        <v>40</v>
      </c>
      <c r="I3006" s="45">
        <v>7332.12</v>
      </c>
      <c r="J3006" s="45">
        <v>3666.06</v>
      </c>
      <c r="K3006" s="49" t="s">
        <v>2650</v>
      </c>
      <c r="L3006" s="45"/>
      <c r="M3006" s="3"/>
    </row>
    <row r="3007" spans="1:13" ht="25.5" x14ac:dyDescent="0.25">
      <c r="A3007" s="46" t="s">
        <v>3326</v>
      </c>
      <c r="B3007" s="46" t="s">
        <v>11644</v>
      </c>
      <c r="C3007" s="46" t="s">
        <v>14</v>
      </c>
      <c r="D3007" s="47">
        <v>9022</v>
      </c>
      <c r="E3007" s="46" t="s">
        <v>3327</v>
      </c>
      <c r="F3007" s="48">
        <v>40470</v>
      </c>
      <c r="G3007" s="48">
        <v>41639</v>
      </c>
      <c r="H3007" s="46" t="s">
        <v>40</v>
      </c>
      <c r="I3007" s="45">
        <v>3750</v>
      </c>
      <c r="J3007" s="45">
        <v>3750</v>
      </c>
      <c r="K3007" s="49" t="s">
        <v>2650</v>
      </c>
      <c r="L3007" s="45"/>
      <c r="M3007" s="3"/>
    </row>
    <row r="3008" spans="1:13" ht="25.5" x14ac:dyDescent="0.25">
      <c r="A3008" s="46" t="s">
        <v>3332</v>
      </c>
      <c r="B3008" s="46" t="s">
        <v>11644</v>
      </c>
      <c r="C3008" s="46" t="s">
        <v>14</v>
      </c>
      <c r="D3008" s="47">
        <v>9025</v>
      </c>
      <c r="E3008" s="46" t="s">
        <v>3333</v>
      </c>
      <c r="F3008" s="48">
        <v>40645</v>
      </c>
      <c r="G3008" s="48">
        <v>41639</v>
      </c>
      <c r="H3008" s="46" t="s">
        <v>40</v>
      </c>
      <c r="I3008" s="45">
        <v>15000</v>
      </c>
      <c r="J3008" s="45">
        <v>7500</v>
      </c>
      <c r="K3008" s="49" t="s">
        <v>2650</v>
      </c>
      <c r="L3008" s="45"/>
      <c r="M3008" s="3"/>
    </row>
    <row r="3009" spans="1:13" ht="25.5" x14ac:dyDescent="0.25">
      <c r="A3009" s="46" t="s">
        <v>3336</v>
      </c>
      <c r="B3009" s="46" t="s">
        <v>11644</v>
      </c>
      <c r="C3009" s="46" t="s">
        <v>14</v>
      </c>
      <c r="D3009" s="47">
        <v>9027</v>
      </c>
      <c r="E3009" s="46" t="s">
        <v>3337</v>
      </c>
      <c r="F3009" s="48">
        <v>40862</v>
      </c>
      <c r="G3009" s="48">
        <v>41639</v>
      </c>
      <c r="H3009" s="46" t="s">
        <v>40</v>
      </c>
      <c r="I3009" s="45">
        <f>52500+26250</f>
        <v>78750</v>
      </c>
      <c r="J3009" s="45">
        <f>26250+26250</f>
        <v>52500</v>
      </c>
      <c r="K3009" s="49" t="s">
        <v>2650</v>
      </c>
      <c r="L3009" s="45"/>
      <c r="M3009" s="3"/>
    </row>
    <row r="3010" spans="1:13" ht="25.5" x14ac:dyDescent="0.25">
      <c r="A3010" s="46" t="s">
        <v>3340</v>
      </c>
      <c r="B3010" s="46" t="s">
        <v>11644</v>
      </c>
      <c r="C3010" s="46" t="s">
        <v>14</v>
      </c>
      <c r="D3010" s="47">
        <v>9029</v>
      </c>
      <c r="E3010" s="46" t="s">
        <v>3341</v>
      </c>
      <c r="F3010" s="48">
        <v>40470</v>
      </c>
      <c r="G3010" s="48">
        <v>41639</v>
      </c>
      <c r="H3010" s="46" t="s">
        <v>40</v>
      </c>
      <c r="I3010" s="45">
        <v>7500</v>
      </c>
      <c r="J3010" s="45">
        <v>7500</v>
      </c>
      <c r="K3010" s="49" t="s">
        <v>2650</v>
      </c>
      <c r="L3010" s="45"/>
      <c r="M3010" s="3"/>
    </row>
    <row r="3011" spans="1:13" ht="25.5" x14ac:dyDescent="0.25">
      <c r="A3011" s="46" t="s">
        <v>3342</v>
      </c>
      <c r="B3011" s="46" t="s">
        <v>11644</v>
      </c>
      <c r="C3011" s="46" t="s">
        <v>14</v>
      </c>
      <c r="D3011" s="47">
        <v>9030</v>
      </c>
      <c r="E3011" s="46" t="s">
        <v>3343</v>
      </c>
      <c r="F3011" s="48">
        <v>40520</v>
      </c>
      <c r="G3011" s="48">
        <v>41639</v>
      </c>
      <c r="H3011" s="46" t="s">
        <v>40</v>
      </c>
      <c r="I3011" s="45">
        <v>7500</v>
      </c>
      <c r="J3011" s="45">
        <v>7500</v>
      </c>
      <c r="K3011" s="49" t="s">
        <v>2650</v>
      </c>
      <c r="L3011" s="45"/>
      <c r="M3011" s="3"/>
    </row>
    <row r="3012" spans="1:13" ht="25.5" x14ac:dyDescent="0.25">
      <c r="A3012" s="46" t="s">
        <v>3344</v>
      </c>
      <c r="B3012" s="46" t="s">
        <v>11644</v>
      </c>
      <c r="C3012" s="46" t="s">
        <v>14</v>
      </c>
      <c r="D3012" s="47">
        <v>9031</v>
      </c>
      <c r="E3012" s="46" t="s">
        <v>3345</v>
      </c>
      <c r="F3012" s="48">
        <v>40645</v>
      </c>
      <c r="G3012" s="48">
        <v>41639</v>
      </c>
      <c r="H3012" s="46" t="s">
        <v>40</v>
      </c>
      <c r="I3012" s="45">
        <v>32500</v>
      </c>
      <c r="J3012" s="45">
        <v>27500</v>
      </c>
      <c r="K3012" s="49" t="s">
        <v>2650</v>
      </c>
      <c r="L3012" s="45"/>
      <c r="M3012" s="3"/>
    </row>
    <row r="3013" spans="1:13" ht="25.5" x14ac:dyDescent="0.25">
      <c r="A3013" s="46" t="s">
        <v>3346</v>
      </c>
      <c r="B3013" s="46" t="s">
        <v>11644</v>
      </c>
      <c r="C3013" s="46" t="s">
        <v>14</v>
      </c>
      <c r="D3013" s="47">
        <v>9032</v>
      </c>
      <c r="E3013" s="46" t="s">
        <v>3347</v>
      </c>
      <c r="F3013" s="48">
        <v>40379</v>
      </c>
      <c r="G3013" s="48">
        <v>41639</v>
      </c>
      <c r="H3013" s="46" t="s">
        <v>40</v>
      </c>
      <c r="I3013" s="45">
        <v>5149.6000000000004</v>
      </c>
      <c r="J3013" s="45">
        <v>2575</v>
      </c>
      <c r="K3013" s="49" t="s">
        <v>2650</v>
      </c>
      <c r="L3013" s="45"/>
      <c r="M3013" s="3"/>
    </row>
    <row r="3014" spans="1:13" ht="38.25" x14ac:dyDescent="0.25">
      <c r="A3014" s="46" t="s">
        <v>3348</v>
      </c>
      <c r="B3014" s="46" t="s">
        <v>11644</v>
      </c>
      <c r="C3014" s="46" t="s">
        <v>14</v>
      </c>
      <c r="D3014" s="47">
        <v>9033</v>
      </c>
      <c r="E3014" s="46" t="s">
        <v>3349</v>
      </c>
      <c r="F3014" s="48">
        <v>40344</v>
      </c>
      <c r="G3014" s="48">
        <v>41639</v>
      </c>
      <c r="H3014" s="46" t="s">
        <v>40</v>
      </c>
      <c r="I3014" s="45">
        <v>30000</v>
      </c>
      <c r="J3014" s="45">
        <v>15000</v>
      </c>
      <c r="K3014" s="49" t="s">
        <v>2650</v>
      </c>
      <c r="L3014" s="45"/>
      <c r="M3014" s="3"/>
    </row>
    <row r="3015" spans="1:13" ht="25.5" x14ac:dyDescent="0.25">
      <c r="A3015" s="46" t="s">
        <v>3350</v>
      </c>
      <c r="B3015" s="46" t="s">
        <v>11644</v>
      </c>
      <c r="C3015" s="46" t="s">
        <v>14</v>
      </c>
      <c r="D3015" s="47">
        <v>9034</v>
      </c>
      <c r="E3015" s="46" t="s">
        <v>3351</v>
      </c>
      <c r="F3015" s="48">
        <v>40743</v>
      </c>
      <c r="G3015" s="48">
        <v>41639</v>
      </c>
      <c r="H3015" s="46" t="s">
        <v>40</v>
      </c>
      <c r="I3015" s="45">
        <v>10000</v>
      </c>
      <c r="J3015" s="45">
        <v>5000</v>
      </c>
      <c r="K3015" s="49" t="s">
        <v>2650</v>
      </c>
      <c r="L3015" s="45"/>
      <c r="M3015" s="3"/>
    </row>
    <row r="3016" spans="1:13" ht="38.25" x14ac:dyDescent="0.25">
      <c r="A3016" s="46" t="s">
        <v>3352</v>
      </c>
      <c r="B3016" s="46" t="s">
        <v>11644</v>
      </c>
      <c r="C3016" s="46" t="s">
        <v>14</v>
      </c>
      <c r="D3016" s="47">
        <v>9035</v>
      </c>
      <c r="E3016" s="46" t="s">
        <v>3353</v>
      </c>
      <c r="F3016" s="48">
        <v>40435</v>
      </c>
      <c r="G3016" s="48">
        <v>41639</v>
      </c>
      <c r="H3016" s="46" t="s">
        <v>40</v>
      </c>
      <c r="I3016" s="45">
        <v>7500</v>
      </c>
      <c r="J3016" s="45">
        <v>7500</v>
      </c>
      <c r="K3016" s="49" t="s">
        <v>2650</v>
      </c>
      <c r="L3016" s="45"/>
      <c r="M3016" s="3"/>
    </row>
    <row r="3017" spans="1:13" ht="25.5" x14ac:dyDescent="0.25">
      <c r="A3017" s="46" t="s">
        <v>3356</v>
      </c>
      <c r="B3017" s="46" t="s">
        <v>11644</v>
      </c>
      <c r="C3017" s="46" t="s">
        <v>14</v>
      </c>
      <c r="D3017" s="47">
        <v>9037</v>
      </c>
      <c r="E3017" s="46" t="s">
        <v>3357</v>
      </c>
      <c r="F3017" s="48">
        <v>40883</v>
      </c>
      <c r="G3017" s="48">
        <v>41639</v>
      </c>
      <c r="H3017" s="46" t="s">
        <v>40</v>
      </c>
      <c r="I3017" s="45">
        <v>19674</v>
      </c>
      <c r="J3017" s="45">
        <v>17337</v>
      </c>
      <c r="K3017" s="49" t="s">
        <v>2650</v>
      </c>
      <c r="L3017" s="45"/>
      <c r="M3017" s="3"/>
    </row>
    <row r="3018" spans="1:13" ht="38.25" x14ac:dyDescent="0.25">
      <c r="A3018" s="46" t="s">
        <v>3362</v>
      </c>
      <c r="B3018" s="46" t="s">
        <v>11644</v>
      </c>
      <c r="C3018" s="46" t="s">
        <v>14</v>
      </c>
      <c r="D3018" s="47">
        <v>9040</v>
      </c>
      <c r="E3018" s="46" t="s">
        <v>3363</v>
      </c>
      <c r="F3018" s="48">
        <v>40871</v>
      </c>
      <c r="G3018" s="48">
        <v>41305</v>
      </c>
      <c r="H3018" s="46" t="s">
        <v>40</v>
      </c>
      <c r="I3018" s="45">
        <v>17377.599999999999</v>
      </c>
      <c r="J3018" s="45">
        <v>12438</v>
      </c>
      <c r="K3018" s="49" t="s">
        <v>2650</v>
      </c>
      <c r="L3018" s="45"/>
      <c r="M3018" s="3"/>
    </row>
    <row r="3019" spans="1:13" ht="25.5" x14ac:dyDescent="0.25">
      <c r="A3019" s="46" t="s">
        <v>3368</v>
      </c>
      <c r="B3019" s="46" t="s">
        <v>11644</v>
      </c>
      <c r="C3019" s="46" t="s">
        <v>14</v>
      </c>
      <c r="D3019" s="47">
        <v>9043</v>
      </c>
      <c r="E3019" s="46" t="s">
        <v>3369</v>
      </c>
      <c r="F3019" s="48">
        <v>40498</v>
      </c>
      <c r="G3019" s="48">
        <v>41639</v>
      </c>
      <c r="H3019" s="46" t="s">
        <v>40</v>
      </c>
      <c r="I3019" s="45">
        <v>5808.38</v>
      </c>
      <c r="J3019" s="45">
        <v>4779.1899999999996</v>
      </c>
      <c r="K3019" s="49" t="s">
        <v>2650</v>
      </c>
      <c r="L3019" s="45"/>
      <c r="M3019" s="3"/>
    </row>
    <row r="3020" spans="1:13" ht="25.5" x14ac:dyDescent="0.25">
      <c r="A3020" s="46" t="s">
        <v>3368</v>
      </c>
      <c r="B3020" s="46" t="s">
        <v>11644</v>
      </c>
      <c r="C3020" s="46" t="s">
        <v>14</v>
      </c>
      <c r="D3020" s="47">
        <v>9044</v>
      </c>
      <c r="E3020" s="46" t="s">
        <v>3370</v>
      </c>
      <c r="F3020" s="48">
        <v>40544</v>
      </c>
      <c r="G3020" s="48">
        <v>40908</v>
      </c>
      <c r="H3020" s="46" t="s">
        <v>40</v>
      </c>
      <c r="I3020" s="45">
        <v>12060</v>
      </c>
      <c r="J3020" s="45">
        <v>9780</v>
      </c>
      <c r="K3020" s="49" t="s">
        <v>2650</v>
      </c>
      <c r="L3020" s="45"/>
      <c r="M3020" s="3"/>
    </row>
    <row r="3021" spans="1:13" ht="25.5" x14ac:dyDescent="0.25">
      <c r="A3021" s="46" t="s">
        <v>3375</v>
      </c>
      <c r="B3021" s="46" t="s">
        <v>11644</v>
      </c>
      <c r="C3021" s="46" t="s">
        <v>14</v>
      </c>
      <c r="D3021" s="47">
        <v>9047</v>
      </c>
      <c r="E3021" s="46" t="s">
        <v>3376</v>
      </c>
      <c r="F3021" s="48">
        <v>40743</v>
      </c>
      <c r="G3021" s="48">
        <v>41639</v>
      </c>
      <c r="H3021" s="46" t="s">
        <v>40</v>
      </c>
      <c r="I3021" s="45">
        <v>39000</v>
      </c>
      <c r="J3021" s="45">
        <v>32000</v>
      </c>
      <c r="K3021" s="49" t="s">
        <v>2650</v>
      </c>
      <c r="L3021" s="45"/>
      <c r="M3021" s="3"/>
    </row>
    <row r="3022" spans="1:13" ht="25.5" x14ac:dyDescent="0.25">
      <c r="A3022" s="46" t="s">
        <v>3377</v>
      </c>
      <c r="B3022" s="46" t="s">
        <v>11644</v>
      </c>
      <c r="C3022" s="46" t="s">
        <v>14</v>
      </c>
      <c r="D3022" s="47">
        <v>9048</v>
      </c>
      <c r="E3022" s="46" t="s">
        <v>3378</v>
      </c>
      <c r="F3022" s="48">
        <v>40379</v>
      </c>
      <c r="G3022" s="48">
        <v>41639</v>
      </c>
      <c r="H3022" s="46" t="s">
        <v>40</v>
      </c>
      <c r="I3022" s="45">
        <v>3750</v>
      </c>
      <c r="J3022" s="45">
        <v>3750</v>
      </c>
      <c r="K3022" s="49" t="s">
        <v>2650</v>
      </c>
      <c r="L3022" s="45"/>
      <c r="M3022" s="3"/>
    </row>
    <row r="3023" spans="1:13" x14ac:dyDescent="0.25">
      <c r="A3023" s="46" t="s">
        <v>3381</v>
      </c>
      <c r="B3023" s="46" t="s">
        <v>11644</v>
      </c>
      <c r="C3023" s="46" t="s">
        <v>14</v>
      </c>
      <c r="D3023" s="47">
        <v>9051</v>
      </c>
      <c r="E3023" s="46" t="s">
        <v>3382</v>
      </c>
      <c r="F3023" s="48">
        <v>40344</v>
      </c>
      <c r="G3023" s="48">
        <v>41639</v>
      </c>
      <c r="H3023" s="46" t="s">
        <v>40</v>
      </c>
      <c r="I3023" s="45">
        <v>3750</v>
      </c>
      <c r="J3023" s="45">
        <v>3750</v>
      </c>
      <c r="K3023" s="49" t="s">
        <v>2650</v>
      </c>
      <c r="L3023" s="45"/>
      <c r="M3023" s="3"/>
    </row>
    <row r="3024" spans="1:13" ht="25.5" x14ac:dyDescent="0.25">
      <c r="A3024" s="46" t="s">
        <v>3383</v>
      </c>
      <c r="B3024" s="46" t="s">
        <v>11644</v>
      </c>
      <c r="C3024" s="46" t="s">
        <v>14</v>
      </c>
      <c r="D3024" s="47">
        <v>9052</v>
      </c>
      <c r="E3024" s="46" t="s">
        <v>3384</v>
      </c>
      <c r="F3024" s="48">
        <v>40645</v>
      </c>
      <c r="G3024" s="48">
        <v>41639</v>
      </c>
      <c r="H3024" s="46" t="s">
        <v>40</v>
      </c>
      <c r="I3024" s="45">
        <v>20674.22</v>
      </c>
      <c r="J3024" s="45">
        <v>17837.11</v>
      </c>
      <c r="K3024" s="49" t="s">
        <v>2650</v>
      </c>
      <c r="L3024" s="45"/>
      <c r="M3024" s="3"/>
    </row>
    <row r="3025" spans="1:13" ht="25.5" x14ac:dyDescent="0.25">
      <c r="A3025" s="46" t="s">
        <v>3387</v>
      </c>
      <c r="B3025" s="46" t="s">
        <v>11644</v>
      </c>
      <c r="C3025" s="46" t="s">
        <v>14</v>
      </c>
      <c r="D3025" s="47">
        <v>9054</v>
      </c>
      <c r="E3025" s="46" t="s">
        <v>3388</v>
      </c>
      <c r="F3025" s="48">
        <v>40883</v>
      </c>
      <c r="G3025" s="48">
        <v>41639</v>
      </c>
      <c r="H3025" s="46" t="s">
        <v>40</v>
      </c>
      <c r="I3025" s="45">
        <v>37500</v>
      </c>
      <c r="J3025" s="45">
        <v>37500</v>
      </c>
      <c r="K3025" s="49" t="s">
        <v>2650</v>
      </c>
      <c r="L3025" s="45"/>
      <c r="M3025" s="3"/>
    </row>
    <row r="3026" spans="1:13" ht="38.25" x14ac:dyDescent="0.25">
      <c r="A3026" s="46" t="s">
        <v>3389</v>
      </c>
      <c r="B3026" s="46" t="s">
        <v>11644</v>
      </c>
      <c r="C3026" s="46" t="s">
        <v>14</v>
      </c>
      <c r="D3026" s="47">
        <v>9055</v>
      </c>
      <c r="E3026" s="46" t="s">
        <v>3390</v>
      </c>
      <c r="F3026" s="48">
        <v>40743</v>
      </c>
      <c r="G3026" s="48">
        <v>40908</v>
      </c>
      <c r="H3026" s="46" t="s">
        <v>40</v>
      </c>
      <c r="I3026" s="45">
        <v>30281.599999999999</v>
      </c>
      <c r="J3026" s="45">
        <v>22640.799999999999</v>
      </c>
      <c r="K3026" s="49" t="s">
        <v>2650</v>
      </c>
      <c r="L3026" s="45"/>
      <c r="M3026" s="3"/>
    </row>
    <row r="3027" spans="1:13" ht="25.5" x14ac:dyDescent="0.25">
      <c r="A3027" s="46" t="s">
        <v>3391</v>
      </c>
      <c r="B3027" s="46" t="s">
        <v>11644</v>
      </c>
      <c r="C3027" s="46" t="s">
        <v>14</v>
      </c>
      <c r="D3027" s="47">
        <v>9056</v>
      </c>
      <c r="E3027" s="46" t="s">
        <v>3392</v>
      </c>
      <c r="F3027" s="48">
        <v>40743</v>
      </c>
      <c r="G3027" s="48">
        <v>41639</v>
      </c>
      <c r="H3027" s="46" t="s">
        <v>40</v>
      </c>
      <c r="I3027" s="45">
        <v>7500</v>
      </c>
      <c r="J3027" s="45">
        <v>7500</v>
      </c>
      <c r="K3027" s="49" t="s">
        <v>2650</v>
      </c>
      <c r="L3027" s="45"/>
      <c r="M3027" s="3"/>
    </row>
    <row r="3028" spans="1:13" ht="25.5" x14ac:dyDescent="0.25">
      <c r="A3028" s="46" t="s">
        <v>3397</v>
      </c>
      <c r="B3028" s="46" t="s">
        <v>11644</v>
      </c>
      <c r="C3028" s="46" t="s">
        <v>14</v>
      </c>
      <c r="D3028" s="47">
        <v>9059</v>
      </c>
      <c r="E3028" s="46" t="s">
        <v>3398</v>
      </c>
      <c r="F3028" s="48">
        <v>40743</v>
      </c>
      <c r="G3028" s="48">
        <v>41639</v>
      </c>
      <c r="H3028" s="46" t="s">
        <v>40</v>
      </c>
      <c r="I3028" s="45">
        <v>15000</v>
      </c>
      <c r="J3028" s="45">
        <v>15000</v>
      </c>
      <c r="K3028" s="49" t="s">
        <v>2650</v>
      </c>
      <c r="L3028" s="45"/>
      <c r="M3028" s="3"/>
    </row>
    <row r="3029" spans="1:13" ht="25.5" x14ac:dyDescent="0.25">
      <c r="A3029" s="46" t="s">
        <v>3401</v>
      </c>
      <c r="B3029" s="46" t="s">
        <v>11644</v>
      </c>
      <c r="C3029" s="46" t="s">
        <v>14</v>
      </c>
      <c r="D3029" s="47">
        <v>9061</v>
      </c>
      <c r="E3029" s="46" t="s">
        <v>3402</v>
      </c>
      <c r="F3029" s="48">
        <v>40498</v>
      </c>
      <c r="G3029" s="48">
        <v>41639</v>
      </c>
      <c r="H3029" s="46" t="s">
        <v>40</v>
      </c>
      <c r="I3029" s="45">
        <v>11000</v>
      </c>
      <c r="J3029" s="45">
        <v>5500</v>
      </c>
      <c r="K3029" s="49" t="s">
        <v>2650</v>
      </c>
      <c r="L3029" s="45"/>
      <c r="M3029" s="3"/>
    </row>
    <row r="3030" spans="1:13" ht="25.5" x14ac:dyDescent="0.25">
      <c r="A3030" s="46" t="s">
        <v>3405</v>
      </c>
      <c r="B3030" s="46" t="s">
        <v>11644</v>
      </c>
      <c r="C3030" s="46" t="s">
        <v>14</v>
      </c>
      <c r="D3030" s="47">
        <v>9063</v>
      </c>
      <c r="E3030" s="46" t="s">
        <v>3406</v>
      </c>
      <c r="F3030" s="48">
        <v>40470</v>
      </c>
      <c r="G3030" s="48">
        <v>41639</v>
      </c>
      <c r="H3030" s="46" t="s">
        <v>40</v>
      </c>
      <c r="I3030" s="45">
        <v>16250</v>
      </c>
      <c r="J3030" s="45">
        <v>13750</v>
      </c>
      <c r="K3030" s="49" t="s">
        <v>2650</v>
      </c>
      <c r="L3030" s="45"/>
      <c r="M3030" s="3"/>
    </row>
    <row r="3031" spans="1:13" ht="25.5" x14ac:dyDescent="0.25">
      <c r="A3031" s="46" t="s">
        <v>3407</v>
      </c>
      <c r="B3031" s="46" t="s">
        <v>11644</v>
      </c>
      <c r="C3031" s="46" t="s">
        <v>14</v>
      </c>
      <c r="D3031" s="47">
        <v>9064</v>
      </c>
      <c r="E3031" s="46" t="s">
        <v>3408</v>
      </c>
      <c r="F3031" s="48">
        <v>40659</v>
      </c>
      <c r="G3031" s="48">
        <v>41639</v>
      </c>
      <c r="H3031" s="46" t="s">
        <v>40</v>
      </c>
      <c r="I3031" s="45">
        <v>9000</v>
      </c>
      <c r="J3031" s="45">
        <v>9000</v>
      </c>
      <c r="K3031" s="49" t="s">
        <v>2650</v>
      </c>
      <c r="L3031" s="45"/>
      <c r="M3031" s="3"/>
    </row>
    <row r="3032" spans="1:13" ht="25.5" x14ac:dyDescent="0.25">
      <c r="A3032" s="46" t="s">
        <v>3409</v>
      </c>
      <c r="B3032" s="46" t="s">
        <v>11644</v>
      </c>
      <c r="C3032" s="46" t="s">
        <v>14</v>
      </c>
      <c r="D3032" s="47">
        <v>9065</v>
      </c>
      <c r="E3032" s="46" t="s">
        <v>3410</v>
      </c>
      <c r="F3032" s="48">
        <v>40344</v>
      </c>
      <c r="G3032" s="48">
        <v>41639</v>
      </c>
      <c r="H3032" s="46" t="s">
        <v>40</v>
      </c>
      <c r="I3032" s="45">
        <v>2500</v>
      </c>
      <c r="J3032" s="45">
        <v>2500</v>
      </c>
      <c r="K3032" s="49" t="s">
        <v>2650</v>
      </c>
      <c r="L3032" s="45"/>
      <c r="M3032" s="3"/>
    </row>
    <row r="3033" spans="1:13" ht="25.5" x14ac:dyDescent="0.25">
      <c r="A3033" s="46" t="s">
        <v>3419</v>
      </c>
      <c r="B3033" s="46" t="s">
        <v>11644</v>
      </c>
      <c r="C3033" s="46" t="s">
        <v>14</v>
      </c>
      <c r="D3033" s="47">
        <v>9071</v>
      </c>
      <c r="E3033" s="46" t="s">
        <v>3420</v>
      </c>
      <c r="F3033" s="48">
        <v>40470</v>
      </c>
      <c r="G3033" s="48">
        <v>41639</v>
      </c>
      <c r="H3033" s="46" t="s">
        <v>40</v>
      </c>
      <c r="I3033" s="45">
        <v>11250</v>
      </c>
      <c r="J3033" s="45">
        <v>11250</v>
      </c>
      <c r="K3033" s="49" t="s">
        <v>2650</v>
      </c>
      <c r="L3033" s="45"/>
      <c r="M3033" s="3"/>
    </row>
    <row r="3034" spans="1:13" ht="25.5" x14ac:dyDescent="0.25">
      <c r="A3034" s="46" t="s">
        <v>3423</v>
      </c>
      <c r="B3034" s="46" t="s">
        <v>11644</v>
      </c>
      <c r="C3034" s="46" t="s">
        <v>14</v>
      </c>
      <c r="D3034" s="47">
        <v>9074</v>
      </c>
      <c r="E3034" s="46" t="s">
        <v>3424</v>
      </c>
      <c r="F3034" s="48">
        <v>40645</v>
      </c>
      <c r="G3034" s="48">
        <v>41639</v>
      </c>
      <c r="H3034" s="46" t="s">
        <v>40</v>
      </c>
      <c r="I3034" s="45">
        <v>3500</v>
      </c>
      <c r="J3034" s="45">
        <v>3500</v>
      </c>
      <c r="K3034" s="49" t="s">
        <v>2650</v>
      </c>
      <c r="L3034" s="45"/>
      <c r="M3034" s="3"/>
    </row>
    <row r="3035" spans="1:13" ht="25.5" x14ac:dyDescent="0.25">
      <c r="A3035" s="46" t="s">
        <v>3425</v>
      </c>
      <c r="B3035" s="46" t="s">
        <v>11644</v>
      </c>
      <c r="C3035" s="46" t="s">
        <v>14</v>
      </c>
      <c r="D3035" s="47">
        <v>9076</v>
      </c>
      <c r="E3035" s="46" t="s">
        <v>3426</v>
      </c>
      <c r="F3035" s="48">
        <v>40520</v>
      </c>
      <c r="G3035" s="48">
        <v>41639</v>
      </c>
      <c r="H3035" s="46" t="s">
        <v>40</v>
      </c>
      <c r="I3035" s="45">
        <v>10000</v>
      </c>
      <c r="J3035" s="45">
        <v>10000</v>
      </c>
      <c r="K3035" s="49" t="s">
        <v>2650</v>
      </c>
      <c r="L3035" s="45"/>
      <c r="M3035" s="3"/>
    </row>
    <row r="3036" spans="1:13" ht="25.5" x14ac:dyDescent="0.25">
      <c r="A3036" s="46" t="s">
        <v>3427</v>
      </c>
      <c r="B3036" s="46" t="s">
        <v>11644</v>
      </c>
      <c r="C3036" s="46" t="s">
        <v>14</v>
      </c>
      <c r="D3036" s="47">
        <v>9094</v>
      </c>
      <c r="E3036" s="46" t="s">
        <v>3428</v>
      </c>
      <c r="F3036" s="48">
        <v>40645</v>
      </c>
      <c r="G3036" s="48">
        <v>41639</v>
      </c>
      <c r="H3036" s="46" t="s">
        <v>40</v>
      </c>
      <c r="I3036" s="45">
        <v>12482.2</v>
      </c>
      <c r="J3036" s="45">
        <v>8741.1</v>
      </c>
      <c r="K3036" s="49" t="s">
        <v>2650</v>
      </c>
      <c r="L3036" s="45"/>
      <c r="M3036" s="3"/>
    </row>
    <row r="3037" spans="1:13" ht="38.25" x14ac:dyDescent="0.25">
      <c r="A3037" s="46" t="s">
        <v>3429</v>
      </c>
      <c r="B3037" s="46" t="s">
        <v>11644</v>
      </c>
      <c r="C3037" s="46" t="s">
        <v>14</v>
      </c>
      <c r="D3037" s="47">
        <v>9097</v>
      </c>
      <c r="E3037" s="46" t="s">
        <v>3430</v>
      </c>
      <c r="F3037" s="48">
        <v>40799</v>
      </c>
      <c r="G3037" s="48">
        <v>41639</v>
      </c>
      <c r="H3037" s="46" t="s">
        <v>40</v>
      </c>
      <c r="I3037" s="45">
        <v>7500</v>
      </c>
      <c r="J3037" s="45">
        <v>7500</v>
      </c>
      <c r="K3037" s="49" t="s">
        <v>2650</v>
      </c>
      <c r="L3037" s="45"/>
      <c r="M3037" s="3"/>
    </row>
    <row r="3038" spans="1:13" ht="25.5" x14ac:dyDescent="0.25">
      <c r="A3038" s="46" t="s">
        <v>3435</v>
      </c>
      <c r="B3038" s="46" t="s">
        <v>11644</v>
      </c>
      <c r="C3038" s="46" t="s">
        <v>14</v>
      </c>
      <c r="D3038" s="47">
        <v>9106</v>
      </c>
      <c r="E3038" s="46" t="s">
        <v>3436</v>
      </c>
      <c r="F3038" s="48">
        <v>40520</v>
      </c>
      <c r="G3038" s="48">
        <v>41639</v>
      </c>
      <c r="H3038" s="46" t="s">
        <v>40</v>
      </c>
      <c r="I3038" s="45">
        <v>4687.5</v>
      </c>
      <c r="J3038" s="45">
        <v>3750</v>
      </c>
      <c r="K3038" s="49" t="s">
        <v>2650</v>
      </c>
      <c r="L3038" s="45"/>
      <c r="M3038" s="3"/>
    </row>
    <row r="3039" spans="1:13" ht="25.5" x14ac:dyDescent="0.25">
      <c r="A3039" s="46" t="s">
        <v>3439</v>
      </c>
      <c r="B3039" s="46" t="s">
        <v>11644</v>
      </c>
      <c r="C3039" s="46" t="s">
        <v>14</v>
      </c>
      <c r="D3039" s="47">
        <v>9111</v>
      </c>
      <c r="E3039" s="46" t="s">
        <v>3440</v>
      </c>
      <c r="F3039" s="48">
        <v>40583</v>
      </c>
      <c r="G3039" s="48">
        <v>41639</v>
      </c>
      <c r="H3039" s="46" t="s">
        <v>40</v>
      </c>
      <c r="I3039" s="45">
        <v>22500</v>
      </c>
      <c r="J3039" s="45">
        <v>22500</v>
      </c>
      <c r="K3039" s="49" t="s">
        <v>2650</v>
      </c>
      <c r="L3039" s="45"/>
      <c r="M3039" s="3"/>
    </row>
    <row r="3040" spans="1:13" ht="25.5" x14ac:dyDescent="0.25">
      <c r="A3040" s="46" t="s">
        <v>3441</v>
      </c>
      <c r="B3040" s="46" t="s">
        <v>11644</v>
      </c>
      <c r="C3040" s="46" t="s">
        <v>14</v>
      </c>
      <c r="D3040" s="47">
        <v>9113</v>
      </c>
      <c r="E3040" s="46" t="s">
        <v>3442</v>
      </c>
      <c r="F3040" s="48">
        <v>40520</v>
      </c>
      <c r="G3040" s="48">
        <v>41639</v>
      </c>
      <c r="H3040" s="46" t="s">
        <v>40</v>
      </c>
      <c r="I3040" s="45">
        <v>5000</v>
      </c>
      <c r="J3040" s="45">
        <v>5000</v>
      </c>
      <c r="K3040" s="49" t="s">
        <v>2650</v>
      </c>
      <c r="L3040" s="45"/>
      <c r="M3040" s="3"/>
    </row>
    <row r="3041" spans="1:60" ht="25.5" x14ac:dyDescent="0.25">
      <c r="A3041" s="46" t="s">
        <v>3443</v>
      </c>
      <c r="B3041" s="46" t="s">
        <v>11644</v>
      </c>
      <c r="C3041" s="46" t="s">
        <v>14</v>
      </c>
      <c r="D3041" s="47">
        <v>9116</v>
      </c>
      <c r="E3041" s="46" t="s">
        <v>3444</v>
      </c>
      <c r="F3041" s="48">
        <v>40799</v>
      </c>
      <c r="G3041" s="48">
        <v>41639</v>
      </c>
      <c r="H3041" s="46" t="s">
        <v>40</v>
      </c>
      <c r="I3041" s="45">
        <v>17500</v>
      </c>
      <c r="J3041" s="45">
        <v>20000</v>
      </c>
      <c r="K3041" s="49" t="s">
        <v>2650</v>
      </c>
      <c r="L3041" s="45"/>
      <c r="M3041" s="3"/>
    </row>
    <row r="3042" spans="1:60" ht="25.5" x14ac:dyDescent="0.25">
      <c r="A3042" s="46" t="s">
        <v>3445</v>
      </c>
      <c r="B3042" s="46" t="s">
        <v>11644</v>
      </c>
      <c r="C3042" s="46" t="s">
        <v>14</v>
      </c>
      <c r="D3042" s="47">
        <v>9117</v>
      </c>
      <c r="E3042" s="46" t="s">
        <v>3446</v>
      </c>
      <c r="F3042" s="48">
        <v>40708</v>
      </c>
      <c r="G3042" s="48">
        <v>41639</v>
      </c>
      <c r="H3042" s="46" t="s">
        <v>40</v>
      </c>
      <c r="I3042" s="45">
        <v>18560.8</v>
      </c>
      <c r="J3042" s="45">
        <v>9280.4</v>
      </c>
      <c r="K3042" s="49" t="s">
        <v>2650</v>
      </c>
      <c r="L3042" s="45"/>
      <c r="M3042" s="3"/>
    </row>
    <row r="3043" spans="1:60" ht="25.5" x14ac:dyDescent="0.25">
      <c r="A3043" s="46" t="s">
        <v>3453</v>
      </c>
      <c r="B3043" s="46" t="s">
        <v>11644</v>
      </c>
      <c r="C3043" s="46" t="s">
        <v>14</v>
      </c>
      <c r="D3043" s="47">
        <v>9126</v>
      </c>
      <c r="E3043" s="46" t="s">
        <v>3454</v>
      </c>
      <c r="F3043" s="48">
        <v>40708</v>
      </c>
      <c r="G3043" s="48">
        <v>41274</v>
      </c>
      <c r="H3043" s="46" t="s">
        <v>40</v>
      </c>
      <c r="I3043" s="45">
        <v>15000</v>
      </c>
      <c r="J3043" s="45">
        <v>15000</v>
      </c>
      <c r="K3043" s="49" t="s">
        <v>2650</v>
      </c>
      <c r="L3043" s="45"/>
      <c r="M3043" s="3"/>
    </row>
    <row r="3044" spans="1:60" ht="38.25" x14ac:dyDescent="0.25">
      <c r="A3044" s="46" t="s">
        <v>3459</v>
      </c>
      <c r="B3044" s="46" t="s">
        <v>11644</v>
      </c>
      <c r="C3044" s="46" t="s">
        <v>14</v>
      </c>
      <c r="D3044" s="47">
        <v>9130</v>
      </c>
      <c r="E3044" s="46" t="s">
        <v>3460</v>
      </c>
      <c r="F3044" s="48">
        <v>40645</v>
      </c>
      <c r="G3044" s="48">
        <v>41274</v>
      </c>
      <c r="H3044" s="46" t="s">
        <v>40</v>
      </c>
      <c r="I3044" s="45">
        <v>52500</v>
      </c>
      <c r="J3044" s="45">
        <v>30000</v>
      </c>
      <c r="K3044" s="49" t="s">
        <v>2650</v>
      </c>
      <c r="L3044" s="45"/>
      <c r="M3044" s="3"/>
    </row>
    <row r="3045" spans="1:60" ht="25.5" x14ac:dyDescent="0.25">
      <c r="A3045" s="46" t="s">
        <v>3461</v>
      </c>
      <c r="B3045" s="46" t="s">
        <v>11644</v>
      </c>
      <c r="C3045" s="46" t="s">
        <v>14</v>
      </c>
      <c r="D3045" s="47">
        <v>9133</v>
      </c>
      <c r="E3045" s="46" t="s">
        <v>3462</v>
      </c>
      <c r="F3045" s="48">
        <v>40520</v>
      </c>
      <c r="G3045" s="48">
        <v>41639</v>
      </c>
      <c r="H3045" s="46" t="s">
        <v>40</v>
      </c>
      <c r="I3045" s="45">
        <v>7500</v>
      </c>
      <c r="J3045" s="45">
        <v>10000</v>
      </c>
      <c r="K3045" s="49" t="s">
        <v>2650</v>
      </c>
      <c r="L3045" s="45"/>
      <c r="M3045" s="3"/>
    </row>
    <row r="3046" spans="1:60" ht="38.25" x14ac:dyDescent="0.25">
      <c r="A3046" s="46" t="s">
        <v>3465</v>
      </c>
      <c r="B3046" s="46" t="s">
        <v>11644</v>
      </c>
      <c r="C3046" s="46" t="s">
        <v>14</v>
      </c>
      <c r="D3046" s="47">
        <v>9137</v>
      </c>
      <c r="E3046" s="46" t="s">
        <v>3466</v>
      </c>
      <c r="F3046" s="48">
        <v>40435</v>
      </c>
      <c r="G3046" s="48">
        <v>41639</v>
      </c>
      <c r="H3046" s="46" t="s">
        <v>40</v>
      </c>
      <c r="I3046" s="45">
        <v>25000</v>
      </c>
      <c r="J3046" s="45">
        <v>12500</v>
      </c>
      <c r="K3046" s="49" t="s">
        <v>2650</v>
      </c>
      <c r="L3046" s="45"/>
      <c r="M3046" s="3"/>
    </row>
    <row r="3047" spans="1:60" ht="25.5" x14ac:dyDescent="0.25">
      <c r="A3047" s="46" t="s">
        <v>3467</v>
      </c>
      <c r="B3047" s="46" t="s">
        <v>11644</v>
      </c>
      <c r="C3047" s="46" t="s">
        <v>14</v>
      </c>
      <c r="D3047" s="47">
        <v>9139</v>
      </c>
      <c r="E3047" s="46" t="s">
        <v>3468</v>
      </c>
      <c r="F3047" s="48">
        <v>40799</v>
      </c>
      <c r="G3047" s="48">
        <v>41639</v>
      </c>
      <c r="H3047" s="46" t="s">
        <v>40</v>
      </c>
      <c r="I3047" s="45">
        <v>10396.66</v>
      </c>
      <c r="J3047" s="45">
        <v>16448.330000000002</v>
      </c>
      <c r="K3047" s="49" t="s">
        <v>2650</v>
      </c>
      <c r="L3047" s="45"/>
      <c r="M3047" s="3"/>
    </row>
    <row r="3048" spans="1:60" ht="25.5" x14ac:dyDescent="0.25">
      <c r="A3048" s="46" t="s">
        <v>3469</v>
      </c>
      <c r="B3048" s="46" t="s">
        <v>11644</v>
      </c>
      <c r="C3048" s="46" t="s">
        <v>14</v>
      </c>
      <c r="D3048" s="47">
        <v>10449</v>
      </c>
      <c r="E3048" s="46" t="s">
        <v>3470</v>
      </c>
      <c r="F3048" s="48">
        <v>41163</v>
      </c>
      <c r="G3048" s="48">
        <v>41639</v>
      </c>
      <c r="H3048" s="46" t="s">
        <v>40</v>
      </c>
      <c r="I3048" s="45">
        <v>7500</v>
      </c>
      <c r="J3048" s="45">
        <v>7500</v>
      </c>
      <c r="K3048" s="49" t="s">
        <v>2650</v>
      </c>
      <c r="L3048" s="45"/>
      <c r="M3048" s="3"/>
    </row>
    <row r="3049" spans="1:60" ht="25.5" x14ac:dyDescent="0.25">
      <c r="A3049" s="46" t="s">
        <v>3471</v>
      </c>
      <c r="B3049" s="46" t="s">
        <v>11644</v>
      </c>
      <c r="C3049" s="46" t="s">
        <v>14</v>
      </c>
      <c r="D3049" s="47">
        <v>10450</v>
      </c>
      <c r="E3049" s="46" t="s">
        <v>3472</v>
      </c>
      <c r="F3049" s="48">
        <v>40990</v>
      </c>
      <c r="G3049" s="48">
        <v>41274</v>
      </c>
      <c r="H3049" s="46" t="s">
        <v>40</v>
      </c>
      <c r="I3049" s="45">
        <v>18750</v>
      </c>
      <c r="J3049" s="45">
        <v>18750</v>
      </c>
      <c r="K3049" s="49" t="s">
        <v>2650</v>
      </c>
      <c r="L3049" s="45"/>
      <c r="M3049" s="3"/>
    </row>
    <row r="3050" spans="1:60" x14ac:dyDescent="0.25">
      <c r="A3050" s="46" t="s">
        <v>3475</v>
      </c>
      <c r="B3050" s="46" t="s">
        <v>11644</v>
      </c>
      <c r="C3050" s="46" t="s">
        <v>14</v>
      </c>
      <c r="D3050" s="47">
        <v>10452</v>
      </c>
      <c r="E3050" s="46" t="s">
        <v>3476</v>
      </c>
      <c r="F3050" s="48">
        <v>41114</v>
      </c>
      <c r="G3050" s="48">
        <v>41639</v>
      </c>
      <c r="H3050" s="46" t="s">
        <v>40</v>
      </c>
      <c r="I3050" s="45">
        <f>9500+5750</f>
        <v>15250</v>
      </c>
      <c r="J3050" s="45">
        <f>3750+4750</f>
        <v>8500</v>
      </c>
      <c r="K3050" s="49" t="s">
        <v>2650</v>
      </c>
      <c r="L3050" s="45"/>
      <c r="M3050" s="3"/>
    </row>
    <row r="3051" spans="1:60" s="21" customFormat="1" ht="25.5" x14ac:dyDescent="0.25">
      <c r="A3051" s="46" t="s">
        <v>3477</v>
      </c>
      <c r="B3051" s="46" t="s">
        <v>11644</v>
      </c>
      <c r="C3051" s="46" t="s">
        <v>14</v>
      </c>
      <c r="D3051" s="47">
        <v>10453</v>
      </c>
      <c r="E3051" s="46" t="s">
        <v>3478</v>
      </c>
      <c r="F3051" s="48">
        <v>40708</v>
      </c>
      <c r="G3051" s="48">
        <v>41274</v>
      </c>
      <c r="H3051" s="46" t="s">
        <v>40</v>
      </c>
      <c r="I3051" s="45">
        <v>3750</v>
      </c>
      <c r="J3051" s="45">
        <v>3750</v>
      </c>
      <c r="K3051" s="49" t="s">
        <v>2650</v>
      </c>
      <c r="L3051" s="45"/>
      <c r="M3051" s="3"/>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c r="BF3051" s="4"/>
      <c r="BG3051" s="4"/>
      <c r="BH3051" s="4"/>
    </row>
    <row r="3052" spans="1:60" s="21" customFormat="1" ht="25.5" x14ac:dyDescent="0.25">
      <c r="A3052" s="46" t="s">
        <v>3479</v>
      </c>
      <c r="B3052" s="46" t="s">
        <v>11644</v>
      </c>
      <c r="C3052" s="46" t="s">
        <v>14</v>
      </c>
      <c r="D3052" s="47">
        <v>10454</v>
      </c>
      <c r="E3052" s="46" t="s">
        <v>3480</v>
      </c>
      <c r="F3052" s="48">
        <v>41163</v>
      </c>
      <c r="G3052" s="48">
        <v>41274</v>
      </c>
      <c r="H3052" s="46" t="s">
        <v>40</v>
      </c>
      <c r="I3052" s="45">
        <v>7500</v>
      </c>
      <c r="J3052" s="45">
        <v>7500</v>
      </c>
      <c r="K3052" s="49" t="s">
        <v>2650</v>
      </c>
      <c r="L3052" s="45"/>
      <c r="M3052" s="3"/>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c r="AT3052" s="4"/>
      <c r="AU3052" s="4"/>
      <c r="AV3052" s="4"/>
      <c r="AW3052" s="4"/>
      <c r="AX3052" s="4"/>
      <c r="AY3052" s="4"/>
      <c r="AZ3052" s="4"/>
      <c r="BA3052" s="4"/>
      <c r="BB3052" s="4"/>
      <c r="BC3052" s="4"/>
      <c r="BD3052" s="4"/>
      <c r="BE3052" s="4"/>
      <c r="BF3052" s="4"/>
      <c r="BG3052" s="4"/>
      <c r="BH3052" s="4"/>
    </row>
    <row r="3053" spans="1:60" s="21" customFormat="1" ht="25.5" x14ac:dyDescent="0.25">
      <c r="A3053" s="46" t="s">
        <v>3483</v>
      </c>
      <c r="B3053" s="46" t="s">
        <v>11644</v>
      </c>
      <c r="C3053" s="46" t="s">
        <v>14</v>
      </c>
      <c r="D3053" s="47">
        <v>10671</v>
      </c>
      <c r="E3053" s="46" t="s">
        <v>3484</v>
      </c>
      <c r="F3053" s="48">
        <v>41163</v>
      </c>
      <c r="G3053" s="48">
        <v>41274</v>
      </c>
      <c r="H3053" s="46" t="s">
        <v>40</v>
      </c>
      <c r="I3053" s="45">
        <v>87028.44</v>
      </c>
      <c r="J3053" s="45">
        <v>58514.22</v>
      </c>
      <c r="K3053" s="49" t="s">
        <v>2650</v>
      </c>
      <c r="L3053" s="45"/>
      <c r="M3053" s="3"/>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c r="BF3053" s="4"/>
      <c r="BG3053" s="4"/>
      <c r="BH3053" s="4"/>
    </row>
    <row r="3054" spans="1:60" s="21" customFormat="1" ht="25.5" x14ac:dyDescent="0.25">
      <c r="A3054" s="46" t="s">
        <v>3487</v>
      </c>
      <c r="B3054" s="46" t="s">
        <v>11644</v>
      </c>
      <c r="C3054" s="46" t="s">
        <v>14</v>
      </c>
      <c r="D3054" s="47">
        <v>10673</v>
      </c>
      <c r="E3054" s="46" t="s">
        <v>3488</v>
      </c>
      <c r="F3054" s="48">
        <v>41072</v>
      </c>
      <c r="G3054" s="48">
        <v>41639</v>
      </c>
      <c r="H3054" s="46" t="s">
        <v>40</v>
      </c>
      <c r="I3054" s="45">
        <f>15000+7500</f>
        <v>22500</v>
      </c>
      <c r="J3054" s="45">
        <f>7500+7500</f>
        <v>15000</v>
      </c>
      <c r="K3054" s="49" t="s">
        <v>2650</v>
      </c>
      <c r="L3054" s="45"/>
      <c r="M3054" s="3"/>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c r="BF3054" s="4"/>
      <c r="BG3054" s="4"/>
      <c r="BH3054" s="4"/>
    </row>
    <row r="3055" spans="1:60" s="21" customFormat="1" ht="38.25" x14ac:dyDescent="0.25">
      <c r="A3055" s="46" t="s">
        <v>3489</v>
      </c>
      <c r="B3055" s="46" t="s">
        <v>11644</v>
      </c>
      <c r="C3055" s="46" t="s">
        <v>14</v>
      </c>
      <c r="D3055" s="47">
        <v>10674</v>
      </c>
      <c r="E3055" s="50" t="s">
        <v>3490</v>
      </c>
      <c r="F3055" s="48">
        <v>40862</v>
      </c>
      <c r="G3055" s="48">
        <v>41274</v>
      </c>
      <c r="H3055" s="46" t="s">
        <v>40</v>
      </c>
      <c r="I3055" s="45">
        <v>12398</v>
      </c>
      <c r="J3055" s="45">
        <v>6199</v>
      </c>
      <c r="K3055" s="49" t="s">
        <v>2650</v>
      </c>
      <c r="L3055" s="45"/>
      <c r="M3055" s="3"/>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4"/>
      <c r="AN3055" s="4"/>
      <c r="AO3055" s="4"/>
      <c r="AP3055" s="4"/>
      <c r="AQ3055" s="4"/>
      <c r="AR3055" s="4"/>
      <c r="AS3055" s="4"/>
      <c r="AT3055" s="4"/>
      <c r="AU3055" s="4"/>
      <c r="AV3055" s="4"/>
      <c r="AW3055" s="4"/>
      <c r="AX3055" s="4"/>
      <c r="AY3055" s="4"/>
      <c r="AZ3055" s="4"/>
      <c r="BA3055" s="4"/>
      <c r="BB3055" s="4"/>
      <c r="BC3055" s="4"/>
      <c r="BD3055" s="4"/>
      <c r="BE3055" s="4"/>
      <c r="BF3055" s="4"/>
      <c r="BG3055" s="4"/>
      <c r="BH3055" s="4"/>
    </row>
    <row r="3056" spans="1:60" ht="25.5" x14ac:dyDescent="0.25">
      <c r="A3056" s="46" t="s">
        <v>3491</v>
      </c>
      <c r="B3056" s="46" t="s">
        <v>11644</v>
      </c>
      <c r="C3056" s="46" t="s">
        <v>14</v>
      </c>
      <c r="D3056" s="47">
        <v>10675</v>
      </c>
      <c r="E3056" s="46" t="s">
        <v>3492</v>
      </c>
      <c r="F3056" s="48">
        <v>40883</v>
      </c>
      <c r="G3056" s="48">
        <v>41274</v>
      </c>
      <c r="H3056" s="46" t="s">
        <v>40</v>
      </c>
      <c r="I3056" s="45">
        <v>12205.1</v>
      </c>
      <c r="J3056" s="45">
        <v>9852.5499999999993</v>
      </c>
      <c r="K3056" s="49" t="s">
        <v>2650</v>
      </c>
      <c r="L3056" s="45"/>
      <c r="M3056" s="3"/>
    </row>
    <row r="3057" spans="1:13" ht="25.5" x14ac:dyDescent="0.25">
      <c r="A3057" s="46" t="s">
        <v>3499</v>
      </c>
      <c r="B3057" s="46" t="s">
        <v>11644</v>
      </c>
      <c r="C3057" s="46" t="s">
        <v>14</v>
      </c>
      <c r="D3057" s="47">
        <v>10681</v>
      </c>
      <c r="E3057" s="46" t="s">
        <v>3500</v>
      </c>
      <c r="F3057" s="48">
        <v>40946</v>
      </c>
      <c r="G3057" s="48">
        <v>41274</v>
      </c>
      <c r="H3057" s="46" t="s">
        <v>40</v>
      </c>
      <c r="I3057" s="45">
        <v>3750</v>
      </c>
      <c r="J3057" s="45">
        <v>3750</v>
      </c>
      <c r="K3057" s="49" t="s">
        <v>2650</v>
      </c>
      <c r="L3057" s="45"/>
      <c r="M3057" s="3"/>
    </row>
    <row r="3058" spans="1:13" ht="25.5" x14ac:dyDescent="0.25">
      <c r="A3058" s="46" t="s">
        <v>3503</v>
      </c>
      <c r="B3058" s="46" t="s">
        <v>11644</v>
      </c>
      <c r="C3058" s="46" t="s">
        <v>14</v>
      </c>
      <c r="D3058" s="47">
        <v>10683</v>
      </c>
      <c r="E3058" s="46" t="s">
        <v>3504</v>
      </c>
      <c r="F3058" s="48">
        <v>41072</v>
      </c>
      <c r="G3058" s="48">
        <v>41274</v>
      </c>
      <c r="H3058" s="46" t="s">
        <v>40</v>
      </c>
      <c r="I3058" s="45">
        <v>31250</v>
      </c>
      <c r="J3058" s="45">
        <v>21250</v>
      </c>
      <c r="K3058" s="49" t="s">
        <v>2650</v>
      </c>
      <c r="L3058" s="45"/>
      <c r="M3058" s="3"/>
    </row>
    <row r="3059" spans="1:13" ht="25.5" x14ac:dyDescent="0.25">
      <c r="A3059" s="46" t="s">
        <v>3505</v>
      </c>
      <c r="B3059" s="46" t="s">
        <v>11644</v>
      </c>
      <c r="C3059" s="46" t="s">
        <v>14</v>
      </c>
      <c r="D3059" s="47">
        <v>10684</v>
      </c>
      <c r="E3059" s="46" t="s">
        <v>3506</v>
      </c>
      <c r="F3059" s="48">
        <v>40743</v>
      </c>
      <c r="G3059" s="48">
        <v>41274</v>
      </c>
      <c r="H3059" s="46" t="s">
        <v>40</v>
      </c>
      <c r="I3059" s="45">
        <v>3750</v>
      </c>
      <c r="J3059" s="45">
        <v>3750</v>
      </c>
      <c r="K3059" s="49" t="s">
        <v>2650</v>
      </c>
      <c r="L3059" s="45"/>
      <c r="M3059" s="3"/>
    </row>
    <row r="3060" spans="1:13" ht="25.5" x14ac:dyDescent="0.25">
      <c r="A3060" s="46" t="s">
        <v>3513</v>
      </c>
      <c r="B3060" s="46" t="s">
        <v>11644</v>
      </c>
      <c r="C3060" s="46" t="s">
        <v>14</v>
      </c>
      <c r="D3060" s="47">
        <v>10693</v>
      </c>
      <c r="E3060" s="46" t="s">
        <v>3514</v>
      </c>
      <c r="F3060" s="48">
        <v>40883</v>
      </c>
      <c r="G3060" s="48">
        <v>41274</v>
      </c>
      <c r="H3060" s="46" t="s">
        <v>40</v>
      </c>
      <c r="I3060" s="45">
        <v>42500</v>
      </c>
      <c r="J3060" s="45">
        <v>32500</v>
      </c>
      <c r="K3060" s="49" t="s">
        <v>2650</v>
      </c>
      <c r="L3060" s="45"/>
      <c r="M3060" s="3"/>
    </row>
    <row r="3061" spans="1:13" ht="25.5" x14ac:dyDescent="0.25">
      <c r="A3061" s="46" t="s">
        <v>3521</v>
      </c>
      <c r="B3061" s="46" t="s">
        <v>11644</v>
      </c>
      <c r="C3061" s="46" t="s">
        <v>14</v>
      </c>
      <c r="D3061" s="47">
        <v>10719</v>
      </c>
      <c r="E3061" s="46" t="s">
        <v>3522</v>
      </c>
      <c r="F3061" s="48">
        <v>41072</v>
      </c>
      <c r="G3061" s="48">
        <v>41639</v>
      </c>
      <c r="H3061" s="46" t="s">
        <v>40</v>
      </c>
      <c r="I3061" s="45">
        <f>19000+2139</f>
        <v>21139</v>
      </c>
      <c r="J3061" s="45">
        <f>15930.5+1069.5</f>
        <v>17000</v>
      </c>
      <c r="K3061" s="49" t="s">
        <v>2650</v>
      </c>
      <c r="L3061" s="45"/>
      <c r="M3061" s="3"/>
    </row>
    <row r="3062" spans="1:13" ht="25.5" x14ac:dyDescent="0.25">
      <c r="A3062" s="46" t="s">
        <v>3527</v>
      </c>
      <c r="B3062" s="46" t="s">
        <v>11644</v>
      </c>
      <c r="C3062" s="46" t="s">
        <v>14</v>
      </c>
      <c r="D3062" s="47">
        <v>10747</v>
      </c>
      <c r="E3062" s="46" t="s">
        <v>3528</v>
      </c>
      <c r="F3062" s="48">
        <v>41030</v>
      </c>
      <c r="G3062" s="48">
        <v>41274</v>
      </c>
      <c r="H3062" s="46" t="s">
        <v>40</v>
      </c>
      <c r="I3062" s="45">
        <v>61250</v>
      </c>
      <c r="J3062" s="45">
        <v>40000</v>
      </c>
      <c r="K3062" s="49" t="s">
        <v>2650</v>
      </c>
      <c r="L3062" s="45"/>
      <c r="M3062" s="3"/>
    </row>
    <row r="3063" spans="1:13" ht="25.5" x14ac:dyDescent="0.25">
      <c r="A3063" s="46" t="s">
        <v>3529</v>
      </c>
      <c r="B3063" s="46" t="s">
        <v>11644</v>
      </c>
      <c r="C3063" s="46" t="s">
        <v>14</v>
      </c>
      <c r="D3063" s="47">
        <v>10748</v>
      </c>
      <c r="E3063" s="46" t="s">
        <v>3530</v>
      </c>
      <c r="F3063" s="48">
        <v>41072</v>
      </c>
      <c r="G3063" s="48">
        <v>41639</v>
      </c>
      <c r="H3063" s="46" t="s">
        <v>40</v>
      </c>
      <c r="I3063" s="45">
        <f>29522.3+13772.3</f>
        <v>43294.6</v>
      </c>
      <c r="J3063" s="45">
        <f>9750+10636.15</f>
        <v>20386.150000000001</v>
      </c>
      <c r="K3063" s="49" t="s">
        <v>2650</v>
      </c>
      <c r="L3063" s="45"/>
      <c r="M3063" s="3"/>
    </row>
    <row r="3064" spans="1:13" x14ac:dyDescent="0.25">
      <c r="A3064" s="46" t="s">
        <v>3531</v>
      </c>
      <c r="B3064" s="46" t="s">
        <v>11644</v>
      </c>
      <c r="C3064" s="46" t="s">
        <v>14</v>
      </c>
      <c r="D3064" s="47">
        <v>10749</v>
      </c>
      <c r="E3064" s="46" t="s">
        <v>3532</v>
      </c>
      <c r="F3064" s="48">
        <v>40645</v>
      </c>
      <c r="G3064" s="48">
        <v>41274</v>
      </c>
      <c r="H3064" s="46" t="s">
        <v>40</v>
      </c>
      <c r="I3064" s="45">
        <v>772.88</v>
      </c>
      <c r="J3064" s="45">
        <v>384</v>
      </c>
      <c r="K3064" s="49" t="s">
        <v>2650</v>
      </c>
      <c r="L3064" s="45"/>
      <c r="M3064" s="3"/>
    </row>
    <row r="3065" spans="1:13" ht="25.5" x14ac:dyDescent="0.25">
      <c r="A3065" s="46" t="s">
        <v>3533</v>
      </c>
      <c r="B3065" s="46" t="s">
        <v>11644</v>
      </c>
      <c r="C3065" s="46" t="s">
        <v>14</v>
      </c>
      <c r="D3065" s="47">
        <v>10750</v>
      </c>
      <c r="E3065" s="46" t="s">
        <v>3534</v>
      </c>
      <c r="F3065" s="48">
        <v>41030</v>
      </c>
      <c r="G3065" s="48">
        <v>41274</v>
      </c>
      <c r="H3065" s="46" t="s">
        <v>40</v>
      </c>
      <c r="I3065" s="45">
        <v>3750</v>
      </c>
      <c r="J3065" s="45">
        <v>3750</v>
      </c>
      <c r="K3065" s="49" t="s">
        <v>2650</v>
      </c>
      <c r="L3065" s="45"/>
      <c r="M3065" s="3"/>
    </row>
    <row r="3066" spans="1:13" x14ac:dyDescent="0.25">
      <c r="A3066" s="46" t="s">
        <v>3535</v>
      </c>
      <c r="B3066" s="46" t="s">
        <v>11644</v>
      </c>
      <c r="C3066" s="46" t="s">
        <v>14</v>
      </c>
      <c r="D3066" s="47">
        <v>10751</v>
      </c>
      <c r="E3066" s="46" t="s">
        <v>3536</v>
      </c>
      <c r="F3066" s="48">
        <v>41072</v>
      </c>
      <c r="G3066" s="48">
        <v>41639</v>
      </c>
      <c r="H3066" s="46" t="s">
        <v>40</v>
      </c>
      <c r="I3066" s="45">
        <f>7500+3750</f>
        <v>11250</v>
      </c>
      <c r="J3066" s="45">
        <f>3750+3750</f>
        <v>7500</v>
      </c>
      <c r="K3066" s="49" t="s">
        <v>2650</v>
      </c>
      <c r="L3066" s="45"/>
      <c r="M3066" s="3"/>
    </row>
    <row r="3067" spans="1:13" x14ac:dyDescent="0.25">
      <c r="A3067" s="46" t="s">
        <v>3537</v>
      </c>
      <c r="B3067" s="46" t="s">
        <v>11644</v>
      </c>
      <c r="C3067" s="46" t="s">
        <v>14</v>
      </c>
      <c r="D3067" s="47">
        <v>10753</v>
      </c>
      <c r="E3067" s="46" t="s">
        <v>3538</v>
      </c>
      <c r="F3067" s="48">
        <v>41030</v>
      </c>
      <c r="G3067" s="48">
        <v>41639</v>
      </c>
      <c r="H3067" s="46" t="s">
        <v>40</v>
      </c>
      <c r="I3067" s="45">
        <f>7500+3750</f>
        <v>11250</v>
      </c>
      <c r="J3067" s="45">
        <f>3750+3750</f>
        <v>7500</v>
      </c>
      <c r="K3067" s="49" t="s">
        <v>2650</v>
      </c>
      <c r="L3067" s="45"/>
      <c r="M3067" s="3"/>
    </row>
    <row r="3068" spans="1:13" x14ac:dyDescent="0.25">
      <c r="A3068" s="46" t="s">
        <v>3543</v>
      </c>
      <c r="B3068" s="46" t="s">
        <v>11644</v>
      </c>
      <c r="C3068" s="46" t="s">
        <v>14</v>
      </c>
      <c r="D3068" s="47">
        <v>10756</v>
      </c>
      <c r="E3068" s="46" t="s">
        <v>3544</v>
      </c>
      <c r="F3068" s="48">
        <v>41163</v>
      </c>
      <c r="G3068" s="48">
        <v>41274</v>
      </c>
      <c r="H3068" s="46" t="s">
        <v>40</v>
      </c>
      <c r="I3068" s="45">
        <v>8818</v>
      </c>
      <c r="J3068" s="45">
        <v>8159</v>
      </c>
      <c r="K3068" s="49" t="s">
        <v>2650</v>
      </c>
      <c r="L3068" s="45"/>
      <c r="M3068" s="3"/>
    </row>
    <row r="3069" spans="1:13" ht="25.5" x14ac:dyDescent="0.25">
      <c r="A3069" s="46" t="s">
        <v>3547</v>
      </c>
      <c r="B3069" s="46" t="s">
        <v>11644</v>
      </c>
      <c r="C3069" s="46" t="s">
        <v>14</v>
      </c>
      <c r="D3069" s="47">
        <v>10759</v>
      </c>
      <c r="E3069" s="46" t="s">
        <v>3548</v>
      </c>
      <c r="F3069" s="48">
        <v>40862</v>
      </c>
      <c r="G3069" s="48">
        <v>41274</v>
      </c>
      <c r="H3069" s="46" t="s">
        <v>40</v>
      </c>
      <c r="I3069" s="45">
        <v>6271.14</v>
      </c>
      <c r="J3069" s="45">
        <v>3135.57</v>
      </c>
      <c r="K3069" s="49" t="s">
        <v>2650</v>
      </c>
      <c r="L3069" s="45"/>
      <c r="M3069" s="3"/>
    </row>
    <row r="3070" spans="1:13" ht="25.5" x14ac:dyDescent="0.25">
      <c r="A3070" s="46" t="s">
        <v>3552</v>
      </c>
      <c r="B3070" s="46" t="s">
        <v>11644</v>
      </c>
      <c r="C3070" s="46" t="s">
        <v>14</v>
      </c>
      <c r="D3070" s="47">
        <v>10763</v>
      </c>
      <c r="E3070" s="46" t="s">
        <v>3553</v>
      </c>
      <c r="F3070" s="48">
        <v>40883</v>
      </c>
      <c r="G3070" s="48">
        <v>41639</v>
      </c>
      <c r="H3070" s="46" t="s">
        <v>40</v>
      </c>
      <c r="I3070" s="45">
        <f>9000+3750</f>
        <v>12750</v>
      </c>
      <c r="J3070" s="45">
        <f>4500+3750</f>
        <v>8250</v>
      </c>
      <c r="K3070" s="49" t="s">
        <v>2650</v>
      </c>
      <c r="L3070" s="45"/>
      <c r="M3070" s="3"/>
    </row>
    <row r="3071" spans="1:13" ht="25.5" x14ac:dyDescent="0.25">
      <c r="A3071" s="46" t="s">
        <v>3556</v>
      </c>
      <c r="B3071" s="46" t="s">
        <v>11644</v>
      </c>
      <c r="C3071" s="46" t="s">
        <v>14</v>
      </c>
      <c r="D3071" s="47">
        <v>10765</v>
      </c>
      <c r="E3071" s="46" t="s">
        <v>3557</v>
      </c>
      <c r="F3071" s="48">
        <v>41072</v>
      </c>
      <c r="G3071" s="48">
        <v>41639</v>
      </c>
      <c r="H3071" s="46" t="s">
        <v>40</v>
      </c>
      <c r="I3071" s="45">
        <f>19802+8300</f>
        <v>28102</v>
      </c>
      <c r="J3071" s="45">
        <f>9501+7900</f>
        <v>17401</v>
      </c>
      <c r="K3071" s="49" t="s">
        <v>2650</v>
      </c>
      <c r="L3071" s="45"/>
      <c r="M3071" s="3"/>
    </row>
    <row r="3072" spans="1:13" x14ac:dyDescent="0.2">
      <c r="A3072" s="46" t="s">
        <v>3798</v>
      </c>
      <c r="B3072" s="46" t="s">
        <v>11644</v>
      </c>
      <c r="C3072" s="46" t="s">
        <v>14</v>
      </c>
      <c r="D3072" s="47">
        <v>7079</v>
      </c>
      <c r="E3072" s="46" t="s">
        <v>3799</v>
      </c>
      <c r="F3072" s="48">
        <v>40162</v>
      </c>
      <c r="G3072" s="46"/>
      <c r="H3072" s="46" t="s">
        <v>40</v>
      </c>
      <c r="I3072" s="45">
        <v>8400</v>
      </c>
      <c r="J3072" s="45">
        <v>8400</v>
      </c>
      <c r="K3072" s="88" t="s">
        <v>11651</v>
      </c>
      <c r="L3072" s="45"/>
      <c r="M3072" s="3"/>
    </row>
    <row r="3073" spans="1:13" x14ac:dyDescent="0.2">
      <c r="A3073" s="46" t="s">
        <v>3804</v>
      </c>
      <c r="B3073" s="46" t="s">
        <v>11644</v>
      </c>
      <c r="C3073" s="46" t="s">
        <v>14</v>
      </c>
      <c r="D3073" s="47">
        <v>7082</v>
      </c>
      <c r="E3073" s="46" t="s">
        <v>3805</v>
      </c>
      <c r="F3073" s="48">
        <v>40204</v>
      </c>
      <c r="G3073" s="46"/>
      <c r="H3073" s="46" t="s">
        <v>40</v>
      </c>
      <c r="I3073" s="45">
        <v>10762</v>
      </c>
      <c r="J3073" s="45">
        <v>5381</v>
      </c>
      <c r="K3073" s="88" t="s">
        <v>11651</v>
      </c>
      <c r="L3073" s="45"/>
      <c r="M3073" s="3"/>
    </row>
    <row r="3074" spans="1:13" ht="25.5" x14ac:dyDescent="0.2">
      <c r="A3074" s="46" t="s">
        <v>3806</v>
      </c>
      <c r="B3074" s="46" t="s">
        <v>11644</v>
      </c>
      <c r="C3074" s="46" t="s">
        <v>14</v>
      </c>
      <c r="D3074" s="47">
        <v>7083</v>
      </c>
      <c r="E3074" s="46" t="s">
        <v>3807</v>
      </c>
      <c r="F3074" s="48">
        <v>40295</v>
      </c>
      <c r="G3074" s="46"/>
      <c r="H3074" s="46" t="s">
        <v>40</v>
      </c>
      <c r="I3074" s="45">
        <v>15000</v>
      </c>
      <c r="J3074" s="45">
        <v>15000</v>
      </c>
      <c r="K3074" s="88" t="s">
        <v>11651</v>
      </c>
      <c r="L3074" s="45"/>
      <c r="M3074" s="3"/>
    </row>
    <row r="3075" spans="1:13" ht="25.5" x14ac:dyDescent="0.2">
      <c r="A3075" s="46" t="s">
        <v>3808</v>
      </c>
      <c r="B3075" s="46" t="s">
        <v>11644</v>
      </c>
      <c r="C3075" s="46" t="s">
        <v>14</v>
      </c>
      <c r="D3075" s="47">
        <v>7084</v>
      </c>
      <c r="E3075" s="46" t="s">
        <v>3809</v>
      </c>
      <c r="F3075" s="48">
        <v>40234</v>
      </c>
      <c r="G3075" s="46"/>
      <c r="H3075" s="46" t="s">
        <v>40</v>
      </c>
      <c r="I3075" s="45">
        <v>45000</v>
      </c>
      <c r="J3075" s="45">
        <v>30000</v>
      </c>
      <c r="K3075" s="88" t="s">
        <v>11651</v>
      </c>
      <c r="L3075" s="45"/>
      <c r="M3075" s="3"/>
    </row>
    <row r="3076" spans="1:13" x14ac:dyDescent="0.2">
      <c r="A3076" s="46" t="s">
        <v>3820</v>
      </c>
      <c r="B3076" s="46" t="s">
        <v>11644</v>
      </c>
      <c r="C3076" s="46" t="s">
        <v>14</v>
      </c>
      <c r="D3076" s="47">
        <v>7366</v>
      </c>
      <c r="E3076" s="46" t="s">
        <v>3821</v>
      </c>
      <c r="F3076" s="48">
        <v>40295</v>
      </c>
      <c r="G3076" s="46"/>
      <c r="H3076" s="46" t="s">
        <v>40</v>
      </c>
      <c r="I3076" s="45">
        <v>55996</v>
      </c>
      <c r="J3076" s="45">
        <v>44348.88</v>
      </c>
      <c r="K3076" s="88" t="s">
        <v>11651</v>
      </c>
      <c r="L3076" s="45"/>
      <c r="M3076" s="3"/>
    </row>
    <row r="3077" spans="1:13" ht="25.5" x14ac:dyDescent="0.2">
      <c r="A3077" s="46" t="s">
        <v>3868</v>
      </c>
      <c r="B3077" s="46" t="s">
        <v>11644</v>
      </c>
      <c r="C3077" s="46" t="s">
        <v>14</v>
      </c>
      <c r="D3077" s="47">
        <v>7432</v>
      </c>
      <c r="E3077" s="46" t="s">
        <v>3869</v>
      </c>
      <c r="F3077" s="48">
        <v>40204</v>
      </c>
      <c r="G3077" s="46"/>
      <c r="H3077" s="46" t="s">
        <v>40</v>
      </c>
      <c r="I3077" s="45">
        <v>28451.62</v>
      </c>
      <c r="J3077" s="45">
        <v>14225.81</v>
      </c>
      <c r="K3077" s="88" t="s">
        <v>11651</v>
      </c>
      <c r="L3077" s="45"/>
      <c r="M3077" s="3"/>
    </row>
    <row r="3078" spans="1:13" x14ac:dyDescent="0.2">
      <c r="A3078" s="46" t="s">
        <v>3872</v>
      </c>
      <c r="B3078" s="46" t="s">
        <v>11644</v>
      </c>
      <c r="C3078" s="46" t="s">
        <v>14</v>
      </c>
      <c r="D3078" s="47">
        <v>7434</v>
      </c>
      <c r="E3078" s="46" t="s">
        <v>3873</v>
      </c>
      <c r="F3078" s="48">
        <v>40260</v>
      </c>
      <c r="G3078" s="46"/>
      <c r="H3078" s="46" t="s">
        <v>40</v>
      </c>
      <c r="I3078" s="45">
        <v>68569.58</v>
      </c>
      <c r="J3078" s="45">
        <v>34284.79</v>
      </c>
      <c r="K3078" s="88" t="s">
        <v>11651</v>
      </c>
      <c r="L3078" s="45"/>
      <c r="M3078" s="3"/>
    </row>
    <row r="3079" spans="1:13" x14ac:dyDescent="0.2">
      <c r="A3079" s="46" t="s">
        <v>3878</v>
      </c>
      <c r="B3079" s="46" t="s">
        <v>11644</v>
      </c>
      <c r="C3079" s="46" t="s">
        <v>14</v>
      </c>
      <c r="D3079" s="47">
        <v>7437</v>
      </c>
      <c r="E3079" s="46" t="s">
        <v>3879</v>
      </c>
      <c r="F3079" s="48">
        <v>40323</v>
      </c>
      <c r="G3079" s="46"/>
      <c r="H3079" s="46" t="s">
        <v>40</v>
      </c>
      <c r="I3079" s="45">
        <v>26975.4</v>
      </c>
      <c r="J3079" s="45">
        <v>25714.9</v>
      </c>
      <c r="K3079" s="88" t="s">
        <v>11651</v>
      </c>
      <c r="L3079" s="45"/>
      <c r="M3079" s="3"/>
    </row>
    <row r="3080" spans="1:13" x14ac:dyDescent="0.2">
      <c r="A3080" s="46" t="s">
        <v>3880</v>
      </c>
      <c r="B3080" s="46" t="s">
        <v>11644</v>
      </c>
      <c r="C3080" s="46" t="s">
        <v>14</v>
      </c>
      <c r="D3080" s="47">
        <v>7445</v>
      </c>
      <c r="E3080" s="46" t="s">
        <v>3881</v>
      </c>
      <c r="F3080" s="48">
        <v>40323</v>
      </c>
      <c r="G3080" s="46"/>
      <c r="H3080" s="46" t="s">
        <v>40</v>
      </c>
      <c r="I3080" s="45">
        <v>13125</v>
      </c>
      <c r="J3080" s="45">
        <v>13125</v>
      </c>
      <c r="K3080" s="88" t="s">
        <v>11651</v>
      </c>
      <c r="L3080" s="45"/>
      <c r="M3080" s="3"/>
    </row>
    <row r="3081" spans="1:13" x14ac:dyDescent="0.2">
      <c r="A3081" s="46" t="s">
        <v>3884</v>
      </c>
      <c r="B3081" s="46" t="s">
        <v>11644</v>
      </c>
      <c r="C3081" s="46" t="s">
        <v>14</v>
      </c>
      <c r="D3081" s="47">
        <v>7452</v>
      </c>
      <c r="E3081" s="46" t="s">
        <v>3885</v>
      </c>
      <c r="F3081" s="48">
        <v>40323</v>
      </c>
      <c r="G3081" s="46"/>
      <c r="H3081" s="46" t="s">
        <v>40</v>
      </c>
      <c r="I3081" s="45">
        <v>15000</v>
      </c>
      <c r="J3081" s="45">
        <v>15000</v>
      </c>
      <c r="K3081" s="88" t="s">
        <v>11651</v>
      </c>
      <c r="L3081" s="45"/>
      <c r="M3081" s="3"/>
    </row>
    <row r="3082" spans="1:13" ht="25.5" x14ac:dyDescent="0.2">
      <c r="A3082" s="46" t="s">
        <v>3890</v>
      </c>
      <c r="B3082" s="46" t="s">
        <v>11644</v>
      </c>
      <c r="C3082" s="46" t="s">
        <v>14</v>
      </c>
      <c r="D3082" s="47">
        <v>7457</v>
      </c>
      <c r="E3082" s="46" t="s">
        <v>3891</v>
      </c>
      <c r="F3082" s="48">
        <v>40323</v>
      </c>
      <c r="G3082" s="46"/>
      <c r="H3082" s="46" t="s">
        <v>40</v>
      </c>
      <c r="I3082" s="45">
        <v>18637.580000000002</v>
      </c>
      <c r="J3082" s="45">
        <v>10901.08</v>
      </c>
      <c r="K3082" s="88" t="s">
        <v>11651</v>
      </c>
      <c r="L3082" s="45"/>
      <c r="M3082" s="3"/>
    </row>
    <row r="3083" spans="1:13" x14ac:dyDescent="0.2">
      <c r="A3083" s="46" t="s">
        <v>3892</v>
      </c>
      <c r="B3083" s="46" t="s">
        <v>11644</v>
      </c>
      <c r="C3083" s="46" t="s">
        <v>14</v>
      </c>
      <c r="D3083" s="47">
        <v>7464</v>
      </c>
      <c r="E3083" s="46" t="s">
        <v>3893</v>
      </c>
      <c r="F3083" s="48">
        <v>40351</v>
      </c>
      <c r="G3083" s="46"/>
      <c r="H3083" s="46" t="s">
        <v>40</v>
      </c>
      <c r="I3083" s="45">
        <v>18417</v>
      </c>
      <c r="J3083" s="45">
        <v>11552</v>
      </c>
      <c r="K3083" s="88" t="s">
        <v>11651</v>
      </c>
      <c r="L3083" s="45"/>
      <c r="M3083" s="3"/>
    </row>
    <row r="3084" spans="1:13" x14ac:dyDescent="0.2">
      <c r="A3084" s="46" t="s">
        <v>3895</v>
      </c>
      <c r="B3084" s="46" t="s">
        <v>11644</v>
      </c>
      <c r="C3084" s="46" t="s">
        <v>14</v>
      </c>
      <c r="D3084" s="47">
        <v>7471</v>
      </c>
      <c r="E3084" s="46" t="s">
        <v>3896</v>
      </c>
      <c r="F3084" s="48">
        <v>40491</v>
      </c>
      <c r="G3084" s="46"/>
      <c r="H3084" s="46" t="s">
        <v>40</v>
      </c>
      <c r="I3084" s="45">
        <v>160000</v>
      </c>
      <c r="J3084" s="45">
        <v>80000</v>
      </c>
      <c r="K3084" s="88" t="s">
        <v>11651</v>
      </c>
      <c r="L3084" s="45"/>
      <c r="M3084" s="3"/>
    </row>
    <row r="3085" spans="1:13" x14ac:dyDescent="0.2">
      <c r="A3085" s="46" t="s">
        <v>3897</v>
      </c>
      <c r="B3085" s="46" t="s">
        <v>11644</v>
      </c>
      <c r="C3085" s="46" t="s">
        <v>14</v>
      </c>
      <c r="D3085" s="47">
        <v>7472</v>
      </c>
      <c r="E3085" s="46" t="s">
        <v>3898</v>
      </c>
      <c r="F3085" s="48">
        <v>40351</v>
      </c>
      <c r="G3085" s="46"/>
      <c r="H3085" s="46" t="s">
        <v>40</v>
      </c>
      <c r="I3085" s="45">
        <v>62526.32</v>
      </c>
      <c r="J3085" s="45">
        <v>36325.83</v>
      </c>
      <c r="K3085" s="88" t="s">
        <v>11651</v>
      </c>
      <c r="L3085" s="45"/>
      <c r="M3085" s="3"/>
    </row>
    <row r="3086" spans="1:13" ht="63.75" x14ac:dyDescent="0.2">
      <c r="A3086" s="46" t="s">
        <v>3905</v>
      </c>
      <c r="B3086" s="46" t="s">
        <v>11644</v>
      </c>
      <c r="C3086" s="46" t="s">
        <v>14</v>
      </c>
      <c r="D3086" s="47">
        <v>8687</v>
      </c>
      <c r="E3086" s="50" t="s">
        <v>3906</v>
      </c>
      <c r="F3086" s="48">
        <v>40498</v>
      </c>
      <c r="G3086" s="46"/>
      <c r="H3086" s="46" t="s">
        <v>40</v>
      </c>
      <c r="I3086" s="45">
        <v>19730</v>
      </c>
      <c r="J3086" s="45">
        <v>9865</v>
      </c>
      <c r="K3086" s="88" t="s">
        <v>11651</v>
      </c>
      <c r="L3086" s="45"/>
      <c r="M3086" s="3"/>
    </row>
    <row r="3087" spans="1:13" ht="38.25" x14ac:dyDescent="0.2">
      <c r="A3087" s="46" t="s">
        <v>3909</v>
      </c>
      <c r="B3087" s="46" t="s">
        <v>11644</v>
      </c>
      <c r="C3087" s="46" t="s">
        <v>14</v>
      </c>
      <c r="D3087" s="47">
        <v>8695</v>
      </c>
      <c r="E3087" s="46" t="s">
        <v>3910</v>
      </c>
      <c r="F3087" s="48">
        <v>40519</v>
      </c>
      <c r="G3087" s="46"/>
      <c r="H3087" s="46" t="s">
        <v>40</v>
      </c>
      <c r="I3087" s="45">
        <v>12820</v>
      </c>
      <c r="J3087" s="45">
        <v>12035</v>
      </c>
      <c r="K3087" s="88" t="s">
        <v>11651</v>
      </c>
      <c r="L3087" s="45"/>
      <c r="M3087" s="3"/>
    </row>
    <row r="3088" spans="1:13" x14ac:dyDescent="0.2">
      <c r="A3088" s="46" t="s">
        <v>3911</v>
      </c>
      <c r="B3088" s="46" t="s">
        <v>11644</v>
      </c>
      <c r="C3088" s="46" t="s">
        <v>14</v>
      </c>
      <c r="D3088" s="47">
        <v>8696</v>
      </c>
      <c r="E3088" s="46" t="s">
        <v>3912</v>
      </c>
      <c r="F3088" s="48">
        <v>40351</v>
      </c>
      <c r="G3088" s="46"/>
      <c r="H3088" s="46" t="s">
        <v>40</v>
      </c>
      <c r="I3088" s="45">
        <v>3376</v>
      </c>
      <c r="J3088" s="45">
        <v>1688</v>
      </c>
      <c r="K3088" s="88" t="s">
        <v>11651</v>
      </c>
      <c r="L3088" s="45"/>
      <c r="M3088" s="3"/>
    </row>
    <row r="3089" spans="1:13" ht="38.25" x14ac:dyDescent="0.2">
      <c r="A3089" s="46" t="s">
        <v>3915</v>
      </c>
      <c r="B3089" s="46" t="s">
        <v>11644</v>
      </c>
      <c r="C3089" s="46" t="s">
        <v>14</v>
      </c>
      <c r="D3089" s="47">
        <v>8699</v>
      </c>
      <c r="E3089" s="46" t="s">
        <v>3916</v>
      </c>
      <c r="F3089" s="48">
        <v>40519</v>
      </c>
      <c r="G3089" s="46"/>
      <c r="H3089" s="46" t="s">
        <v>40</v>
      </c>
      <c r="I3089" s="45">
        <v>15000</v>
      </c>
      <c r="J3089" s="45">
        <v>15000</v>
      </c>
      <c r="K3089" s="88" t="s">
        <v>11651</v>
      </c>
      <c r="L3089" s="45"/>
      <c r="M3089" s="3"/>
    </row>
    <row r="3090" spans="1:13" ht="25.5" x14ac:dyDescent="0.2">
      <c r="A3090" s="46" t="s">
        <v>3925</v>
      </c>
      <c r="B3090" s="46" t="s">
        <v>11644</v>
      </c>
      <c r="C3090" s="46" t="s">
        <v>14</v>
      </c>
      <c r="D3090" s="47">
        <v>8704</v>
      </c>
      <c r="E3090" s="46" t="s">
        <v>3926</v>
      </c>
      <c r="F3090" s="48">
        <v>40594</v>
      </c>
      <c r="G3090" s="46"/>
      <c r="H3090" s="46" t="s">
        <v>40</v>
      </c>
      <c r="I3090" s="45">
        <v>12375</v>
      </c>
      <c r="J3090" s="45">
        <v>12375</v>
      </c>
      <c r="K3090" s="88" t="s">
        <v>11651</v>
      </c>
      <c r="L3090" s="45"/>
      <c r="M3090" s="3"/>
    </row>
    <row r="3091" spans="1:13" ht="38.25" x14ac:dyDescent="0.2">
      <c r="A3091" s="46" t="s">
        <v>3927</v>
      </c>
      <c r="B3091" s="46" t="s">
        <v>11644</v>
      </c>
      <c r="C3091" s="46" t="s">
        <v>14</v>
      </c>
      <c r="D3091" s="47">
        <v>8705</v>
      </c>
      <c r="E3091" s="46" t="s">
        <v>3928</v>
      </c>
      <c r="F3091" s="48">
        <v>40519</v>
      </c>
      <c r="G3091" s="46"/>
      <c r="H3091" s="46" t="s">
        <v>40</v>
      </c>
      <c r="I3091" s="45">
        <v>31062.84</v>
      </c>
      <c r="J3091" s="45">
        <v>30218.92</v>
      </c>
      <c r="K3091" s="88" t="s">
        <v>11651</v>
      </c>
      <c r="L3091" s="45"/>
      <c r="M3091" s="3"/>
    </row>
    <row r="3092" spans="1:13" ht="25.5" x14ac:dyDescent="0.2">
      <c r="A3092" s="46" t="s">
        <v>3931</v>
      </c>
      <c r="B3092" s="46" t="s">
        <v>11644</v>
      </c>
      <c r="C3092" s="46" t="s">
        <v>14</v>
      </c>
      <c r="D3092" s="47">
        <v>8707</v>
      </c>
      <c r="E3092" s="46" t="s">
        <v>3932</v>
      </c>
      <c r="F3092" s="48">
        <v>40596</v>
      </c>
      <c r="G3092" s="46"/>
      <c r="H3092" s="46" t="s">
        <v>40</v>
      </c>
      <c r="I3092" s="45">
        <v>11250</v>
      </c>
      <c r="J3092" s="45">
        <v>11250</v>
      </c>
      <c r="K3092" s="88" t="s">
        <v>11651</v>
      </c>
      <c r="L3092" s="45"/>
      <c r="M3092" s="3"/>
    </row>
    <row r="3093" spans="1:13" ht="25.5" x14ac:dyDescent="0.2">
      <c r="A3093" s="46" t="s">
        <v>3935</v>
      </c>
      <c r="B3093" s="46" t="s">
        <v>11644</v>
      </c>
      <c r="C3093" s="46" t="s">
        <v>14</v>
      </c>
      <c r="D3093" s="47">
        <v>8719</v>
      </c>
      <c r="E3093" s="46" t="s">
        <v>3936</v>
      </c>
      <c r="F3093" s="48">
        <v>40568</v>
      </c>
      <c r="G3093" s="46"/>
      <c r="H3093" s="46" t="s">
        <v>40</v>
      </c>
      <c r="I3093" s="45">
        <v>12403.07</v>
      </c>
      <c r="J3093" s="45">
        <v>12403.07</v>
      </c>
      <c r="K3093" s="88" t="s">
        <v>11651</v>
      </c>
      <c r="L3093" s="45"/>
      <c r="M3093" s="3"/>
    </row>
    <row r="3094" spans="1:13" x14ac:dyDescent="0.2">
      <c r="A3094" s="46" t="s">
        <v>3937</v>
      </c>
      <c r="B3094" s="46" t="s">
        <v>11644</v>
      </c>
      <c r="C3094" s="46" t="s">
        <v>14</v>
      </c>
      <c r="D3094" s="47">
        <v>8720</v>
      </c>
      <c r="E3094" s="46" t="s">
        <v>3938</v>
      </c>
      <c r="F3094" s="48">
        <v>40841</v>
      </c>
      <c r="G3094" s="46"/>
      <c r="H3094" s="46" t="s">
        <v>40</v>
      </c>
      <c r="I3094" s="45">
        <v>10000</v>
      </c>
      <c r="J3094" s="45">
        <v>10000</v>
      </c>
      <c r="K3094" s="88" t="s">
        <v>11651</v>
      </c>
      <c r="L3094" s="45"/>
      <c r="M3094" s="3"/>
    </row>
    <row r="3095" spans="1:13" ht="38.25" x14ac:dyDescent="0.2">
      <c r="A3095" s="46" t="s">
        <v>3941</v>
      </c>
      <c r="B3095" s="46" t="s">
        <v>11644</v>
      </c>
      <c r="C3095" s="46" t="s">
        <v>14</v>
      </c>
      <c r="D3095" s="47">
        <v>8723</v>
      </c>
      <c r="E3095" s="46" t="s">
        <v>3942</v>
      </c>
      <c r="F3095" s="48">
        <v>40813</v>
      </c>
      <c r="G3095" s="46"/>
      <c r="H3095" s="46" t="s">
        <v>40</v>
      </c>
      <c r="I3095" s="45">
        <v>5000</v>
      </c>
      <c r="J3095" s="45">
        <v>5000</v>
      </c>
      <c r="K3095" s="88" t="s">
        <v>11651</v>
      </c>
      <c r="L3095" s="45"/>
      <c r="M3095" s="3"/>
    </row>
    <row r="3096" spans="1:13" x14ac:dyDescent="0.2">
      <c r="A3096" s="46" t="s">
        <v>3943</v>
      </c>
      <c r="B3096" s="46" t="s">
        <v>11644</v>
      </c>
      <c r="C3096" s="46" t="s">
        <v>14</v>
      </c>
      <c r="D3096" s="47">
        <v>8740</v>
      </c>
      <c r="E3096" s="46" t="s">
        <v>3944</v>
      </c>
      <c r="F3096" s="48">
        <v>40813</v>
      </c>
      <c r="G3096" s="46"/>
      <c r="H3096" s="46" t="s">
        <v>40</v>
      </c>
      <c r="I3096" s="45">
        <v>5000</v>
      </c>
      <c r="J3096" s="45">
        <v>5000</v>
      </c>
      <c r="K3096" s="88" t="s">
        <v>11651</v>
      </c>
      <c r="L3096" s="45"/>
      <c r="M3096" s="3"/>
    </row>
    <row r="3097" spans="1:13" ht="38.25" x14ac:dyDescent="0.2">
      <c r="A3097" s="46" t="s">
        <v>3948</v>
      </c>
      <c r="B3097" s="46" t="s">
        <v>11644</v>
      </c>
      <c r="C3097" s="46" t="s">
        <v>14</v>
      </c>
      <c r="D3097" s="47">
        <v>8747</v>
      </c>
      <c r="E3097" s="46" t="s">
        <v>3949</v>
      </c>
      <c r="F3097" s="48">
        <v>40813</v>
      </c>
      <c r="G3097" s="46"/>
      <c r="H3097" s="46" t="s">
        <v>40</v>
      </c>
      <c r="I3097" s="45">
        <v>4875</v>
      </c>
      <c r="J3097" s="45">
        <v>4875</v>
      </c>
      <c r="K3097" s="88" t="s">
        <v>11651</v>
      </c>
      <c r="L3097" s="45"/>
      <c r="M3097" s="3"/>
    </row>
    <row r="3098" spans="1:13" ht="38.25" x14ac:dyDescent="0.2">
      <c r="A3098" s="46" t="s">
        <v>3950</v>
      </c>
      <c r="B3098" s="46" t="s">
        <v>11644</v>
      </c>
      <c r="C3098" s="46" t="s">
        <v>14</v>
      </c>
      <c r="D3098" s="47">
        <v>8748</v>
      </c>
      <c r="E3098" s="46" t="s">
        <v>3951</v>
      </c>
      <c r="F3098" s="48">
        <v>40897</v>
      </c>
      <c r="G3098" s="46"/>
      <c r="H3098" s="46" t="s">
        <v>40</v>
      </c>
      <c r="I3098" s="45">
        <v>9000</v>
      </c>
      <c r="J3098" s="45">
        <v>9000</v>
      </c>
      <c r="K3098" s="88" t="s">
        <v>11651</v>
      </c>
      <c r="L3098" s="45"/>
      <c r="M3098" s="3"/>
    </row>
    <row r="3099" spans="1:13" ht="25.5" x14ac:dyDescent="0.2">
      <c r="A3099" s="46" t="s">
        <v>3956</v>
      </c>
      <c r="B3099" s="46" t="s">
        <v>11644</v>
      </c>
      <c r="C3099" s="46" t="s">
        <v>14</v>
      </c>
      <c r="D3099" s="47">
        <v>10743</v>
      </c>
      <c r="E3099" s="46" t="s">
        <v>3957</v>
      </c>
      <c r="F3099" s="48">
        <v>40869</v>
      </c>
      <c r="G3099" s="46"/>
      <c r="H3099" s="46" t="s">
        <v>40</v>
      </c>
      <c r="I3099" s="45">
        <v>782</v>
      </c>
      <c r="J3099" s="45">
        <v>782</v>
      </c>
      <c r="K3099" s="88" t="s">
        <v>11651</v>
      </c>
      <c r="L3099" s="45"/>
      <c r="M3099" s="3"/>
    </row>
    <row r="3100" spans="1:13" ht="25.5" x14ac:dyDescent="0.2">
      <c r="A3100" s="46" t="s">
        <v>3962</v>
      </c>
      <c r="B3100" s="46" t="s">
        <v>11644</v>
      </c>
      <c r="C3100" s="46" t="s">
        <v>14</v>
      </c>
      <c r="D3100" s="47">
        <v>10752</v>
      </c>
      <c r="E3100" s="46" t="s">
        <v>3963</v>
      </c>
      <c r="F3100" s="48">
        <v>40869</v>
      </c>
      <c r="G3100" s="46"/>
      <c r="H3100" s="46" t="s">
        <v>40</v>
      </c>
      <c r="I3100" s="45">
        <v>10261.299999999999</v>
      </c>
      <c r="J3100" s="45">
        <v>10261.299999999999</v>
      </c>
      <c r="K3100" s="88" t="s">
        <v>11651</v>
      </c>
      <c r="L3100" s="45"/>
      <c r="M3100" s="3"/>
    </row>
    <row r="3101" spans="1:13" x14ac:dyDescent="0.2">
      <c r="A3101" s="46" t="s">
        <v>3966</v>
      </c>
      <c r="B3101" s="46" t="s">
        <v>11644</v>
      </c>
      <c r="C3101" s="46" t="s">
        <v>14</v>
      </c>
      <c r="D3101" s="47">
        <v>10761</v>
      </c>
      <c r="E3101" s="46" t="s">
        <v>3967</v>
      </c>
      <c r="F3101" s="48">
        <v>40896</v>
      </c>
      <c r="G3101" s="46"/>
      <c r="H3101" s="46" t="s">
        <v>40</v>
      </c>
      <c r="I3101" s="45">
        <v>5000</v>
      </c>
      <c r="J3101" s="45">
        <v>5000</v>
      </c>
      <c r="K3101" s="88" t="s">
        <v>11651</v>
      </c>
      <c r="L3101" s="45"/>
      <c r="M3101" s="3"/>
    </row>
    <row r="3102" spans="1:13" ht="25.5" x14ac:dyDescent="0.2">
      <c r="A3102" s="46" t="s">
        <v>3968</v>
      </c>
      <c r="B3102" s="46" t="s">
        <v>11644</v>
      </c>
      <c r="C3102" s="46" t="s">
        <v>14</v>
      </c>
      <c r="D3102" s="47">
        <v>10766</v>
      </c>
      <c r="E3102" s="46" t="s">
        <v>3969</v>
      </c>
      <c r="F3102" s="48">
        <v>40624</v>
      </c>
      <c r="G3102" s="46"/>
      <c r="H3102" s="46" t="s">
        <v>40</v>
      </c>
      <c r="I3102" s="45">
        <v>3300</v>
      </c>
      <c r="J3102" s="45">
        <v>3300</v>
      </c>
      <c r="K3102" s="88" t="s">
        <v>11651</v>
      </c>
      <c r="L3102" s="45"/>
      <c r="M3102" s="3"/>
    </row>
    <row r="3103" spans="1:13" ht="25.5" x14ac:dyDescent="0.2">
      <c r="A3103" s="46" t="s">
        <v>3972</v>
      </c>
      <c r="B3103" s="46" t="s">
        <v>11644</v>
      </c>
      <c r="C3103" s="46" t="s">
        <v>14</v>
      </c>
      <c r="D3103" s="47">
        <v>10768</v>
      </c>
      <c r="E3103" s="46" t="s">
        <v>3973</v>
      </c>
      <c r="F3103" s="48">
        <v>40722</v>
      </c>
      <c r="G3103" s="46"/>
      <c r="H3103" s="46" t="s">
        <v>40</v>
      </c>
      <c r="I3103" s="45">
        <v>10000</v>
      </c>
      <c r="J3103" s="45">
        <v>10000</v>
      </c>
      <c r="K3103" s="88" t="s">
        <v>11651</v>
      </c>
      <c r="L3103" s="45"/>
      <c r="M3103" s="3"/>
    </row>
    <row r="3104" spans="1:13" ht="38.25" x14ac:dyDescent="0.2">
      <c r="A3104" s="46" t="s">
        <v>3974</v>
      </c>
      <c r="B3104" s="46" t="s">
        <v>11644</v>
      </c>
      <c r="C3104" s="46" t="s">
        <v>14</v>
      </c>
      <c r="D3104" s="47">
        <v>10769</v>
      </c>
      <c r="E3104" s="46" t="s">
        <v>3975</v>
      </c>
      <c r="F3104" s="48">
        <v>40624</v>
      </c>
      <c r="G3104" s="46"/>
      <c r="H3104" s="46" t="s">
        <v>40</v>
      </c>
      <c r="I3104" s="45">
        <v>2500</v>
      </c>
      <c r="J3104" s="45">
        <v>2500</v>
      </c>
      <c r="K3104" s="88" t="s">
        <v>11651</v>
      </c>
      <c r="L3104" s="45"/>
      <c r="M3104" s="3"/>
    </row>
    <row r="3105" spans="1:13" ht="25.5" x14ac:dyDescent="0.2">
      <c r="A3105" s="46" t="s">
        <v>3976</v>
      </c>
      <c r="B3105" s="46" t="s">
        <v>11644</v>
      </c>
      <c r="C3105" s="46" t="s">
        <v>14</v>
      </c>
      <c r="D3105" s="47">
        <v>10770</v>
      </c>
      <c r="E3105" s="46" t="s">
        <v>3977</v>
      </c>
      <c r="F3105" s="48">
        <v>40687</v>
      </c>
      <c r="G3105" s="46"/>
      <c r="H3105" s="46" t="s">
        <v>40</v>
      </c>
      <c r="I3105" s="45">
        <v>10000</v>
      </c>
      <c r="J3105" s="45">
        <v>10000</v>
      </c>
      <c r="K3105" s="88" t="s">
        <v>11651</v>
      </c>
      <c r="L3105" s="45"/>
      <c r="M3105" s="3"/>
    </row>
    <row r="3106" spans="1:13" ht="25.5" x14ac:dyDescent="0.2">
      <c r="A3106" s="46" t="s">
        <v>3978</v>
      </c>
      <c r="B3106" s="46" t="s">
        <v>11644</v>
      </c>
      <c r="C3106" s="46" t="s">
        <v>14</v>
      </c>
      <c r="D3106" s="47">
        <v>10771</v>
      </c>
      <c r="E3106" s="46" t="s">
        <v>3979</v>
      </c>
      <c r="F3106" s="48">
        <v>40967</v>
      </c>
      <c r="G3106" s="46"/>
      <c r="H3106" s="46" t="s">
        <v>40</v>
      </c>
      <c r="I3106" s="45">
        <v>18750</v>
      </c>
      <c r="J3106" s="45">
        <v>18750</v>
      </c>
      <c r="K3106" s="88" t="s">
        <v>11651</v>
      </c>
      <c r="L3106" s="45"/>
      <c r="M3106" s="3"/>
    </row>
    <row r="3107" spans="1:13" ht="25.5" x14ac:dyDescent="0.2">
      <c r="A3107" s="46" t="s">
        <v>3980</v>
      </c>
      <c r="B3107" s="46" t="s">
        <v>11644</v>
      </c>
      <c r="C3107" s="46" t="s">
        <v>14</v>
      </c>
      <c r="D3107" s="47">
        <v>10772</v>
      </c>
      <c r="E3107" s="46" t="s">
        <v>3981</v>
      </c>
      <c r="F3107" s="48">
        <v>40967</v>
      </c>
      <c r="G3107" s="46"/>
      <c r="H3107" s="46" t="s">
        <v>40</v>
      </c>
      <c r="I3107" s="45">
        <v>22125</v>
      </c>
      <c r="J3107" s="45">
        <v>22125</v>
      </c>
      <c r="K3107" s="88" t="s">
        <v>11651</v>
      </c>
      <c r="L3107" s="45"/>
      <c r="M3107" s="3"/>
    </row>
    <row r="3108" spans="1:13" ht="25.5" x14ac:dyDescent="0.2">
      <c r="A3108" s="46" t="s">
        <v>3982</v>
      </c>
      <c r="B3108" s="46" t="s">
        <v>11644</v>
      </c>
      <c r="C3108" s="46" t="s">
        <v>14</v>
      </c>
      <c r="D3108" s="47">
        <v>10773</v>
      </c>
      <c r="E3108" s="46" t="s">
        <v>3983</v>
      </c>
      <c r="F3108" s="48">
        <v>40995</v>
      </c>
      <c r="G3108" s="46"/>
      <c r="H3108" s="46" t="s">
        <v>40</v>
      </c>
      <c r="I3108" s="45">
        <v>7500</v>
      </c>
      <c r="J3108" s="45">
        <v>7500</v>
      </c>
      <c r="K3108" s="88" t="s">
        <v>11651</v>
      </c>
      <c r="L3108" s="45"/>
      <c r="M3108" s="3"/>
    </row>
    <row r="3109" spans="1:13" ht="38.25" x14ac:dyDescent="0.2">
      <c r="A3109" s="46" t="s">
        <v>3984</v>
      </c>
      <c r="B3109" s="46" t="s">
        <v>11644</v>
      </c>
      <c r="C3109" s="46" t="s">
        <v>14</v>
      </c>
      <c r="D3109" s="47">
        <v>10774</v>
      </c>
      <c r="E3109" s="46" t="s">
        <v>3922</v>
      </c>
      <c r="F3109" s="48">
        <v>40750</v>
      </c>
      <c r="G3109" s="46"/>
      <c r="H3109" s="46" t="s">
        <v>40</v>
      </c>
      <c r="I3109" s="45">
        <v>3750</v>
      </c>
      <c r="J3109" s="45">
        <v>3750</v>
      </c>
      <c r="K3109" s="88" t="s">
        <v>11651</v>
      </c>
      <c r="L3109" s="45"/>
      <c r="M3109" s="3"/>
    </row>
    <row r="3110" spans="1:13" x14ac:dyDescent="0.2">
      <c r="A3110" s="46" t="s">
        <v>3985</v>
      </c>
      <c r="B3110" s="46" t="s">
        <v>11644</v>
      </c>
      <c r="C3110" s="46" t="s">
        <v>14</v>
      </c>
      <c r="D3110" s="47">
        <v>10775</v>
      </c>
      <c r="E3110" s="46" t="s">
        <v>3986</v>
      </c>
      <c r="F3110" s="48">
        <v>40722</v>
      </c>
      <c r="G3110" s="46"/>
      <c r="H3110" s="46" t="s">
        <v>40</v>
      </c>
      <c r="I3110" s="45">
        <v>9687.5</v>
      </c>
      <c r="J3110" s="45">
        <v>9687.5</v>
      </c>
      <c r="K3110" s="88" t="s">
        <v>11651</v>
      </c>
      <c r="L3110" s="45"/>
      <c r="M3110" s="3"/>
    </row>
    <row r="3111" spans="1:13" ht="25.5" x14ac:dyDescent="0.2">
      <c r="A3111" s="46" t="s">
        <v>3989</v>
      </c>
      <c r="B3111" s="46" t="s">
        <v>11644</v>
      </c>
      <c r="C3111" s="46" t="s">
        <v>14</v>
      </c>
      <c r="D3111" s="47">
        <v>10783</v>
      </c>
      <c r="E3111" s="46" t="s">
        <v>3990</v>
      </c>
      <c r="F3111" s="48">
        <v>40967</v>
      </c>
      <c r="G3111" s="46"/>
      <c r="H3111" s="46" t="s">
        <v>40</v>
      </c>
      <c r="I3111" s="45">
        <v>5625</v>
      </c>
      <c r="J3111" s="45">
        <v>5625</v>
      </c>
      <c r="K3111" s="88" t="s">
        <v>11651</v>
      </c>
      <c r="L3111" s="45"/>
      <c r="M3111" s="3"/>
    </row>
    <row r="3112" spans="1:13" ht="25.5" x14ac:dyDescent="0.2">
      <c r="A3112" s="46" t="s">
        <v>3991</v>
      </c>
      <c r="B3112" s="46" t="s">
        <v>11644</v>
      </c>
      <c r="C3112" s="46" t="s">
        <v>14</v>
      </c>
      <c r="D3112" s="47">
        <v>10791</v>
      </c>
      <c r="E3112" s="46" t="s">
        <v>3992</v>
      </c>
      <c r="F3112" s="48">
        <v>41051</v>
      </c>
      <c r="G3112" s="46"/>
      <c r="H3112" s="46" t="s">
        <v>40</v>
      </c>
      <c r="I3112" s="45">
        <v>7500</v>
      </c>
      <c r="J3112" s="45">
        <v>7500</v>
      </c>
      <c r="K3112" s="88" t="s">
        <v>11651</v>
      </c>
      <c r="L3112" s="45"/>
      <c r="M3112" s="3"/>
    </row>
    <row r="3113" spans="1:13" x14ac:dyDescent="0.2">
      <c r="A3113" s="46" t="s">
        <v>3993</v>
      </c>
      <c r="B3113" s="46" t="s">
        <v>11644</v>
      </c>
      <c r="C3113" s="46" t="s">
        <v>14</v>
      </c>
      <c r="D3113" s="47">
        <v>10795</v>
      </c>
      <c r="E3113" s="46" t="s">
        <v>3994</v>
      </c>
      <c r="F3113" s="48">
        <v>41051</v>
      </c>
      <c r="G3113" s="46"/>
      <c r="H3113" s="46" t="s">
        <v>40</v>
      </c>
      <c r="I3113" s="45">
        <f>11625+4875</f>
        <v>16500</v>
      </c>
      <c r="J3113" s="45">
        <f>6750+4875</f>
        <v>11625</v>
      </c>
      <c r="K3113" s="88" t="s">
        <v>11651</v>
      </c>
      <c r="L3113" s="45"/>
      <c r="M3113" s="3"/>
    </row>
    <row r="3114" spans="1:13" ht="25.5" x14ac:dyDescent="0.2">
      <c r="A3114" s="46" t="s">
        <v>3995</v>
      </c>
      <c r="B3114" s="46" t="s">
        <v>11644</v>
      </c>
      <c r="C3114" s="46" t="s">
        <v>14</v>
      </c>
      <c r="D3114" s="47">
        <v>10801</v>
      </c>
      <c r="E3114" s="46" t="s">
        <v>3996</v>
      </c>
      <c r="F3114" s="48">
        <v>41051</v>
      </c>
      <c r="G3114" s="46"/>
      <c r="H3114" s="46" t="s">
        <v>40</v>
      </c>
      <c r="I3114" s="45">
        <f>7500+3750</f>
        <v>11250</v>
      </c>
      <c r="J3114" s="45">
        <f>3750+3750</f>
        <v>7500</v>
      </c>
      <c r="K3114" s="88" t="s">
        <v>11651</v>
      </c>
      <c r="L3114" s="45"/>
      <c r="M3114" s="3"/>
    </row>
    <row r="3115" spans="1:13" ht="38.25" x14ac:dyDescent="0.2">
      <c r="A3115" s="46" t="s">
        <v>3997</v>
      </c>
      <c r="B3115" s="46" t="s">
        <v>11644</v>
      </c>
      <c r="C3115" s="46" t="s">
        <v>14</v>
      </c>
      <c r="D3115" s="47">
        <v>10802</v>
      </c>
      <c r="E3115" s="46" t="s">
        <v>3998</v>
      </c>
      <c r="F3115" s="48">
        <v>40750</v>
      </c>
      <c r="G3115" s="46"/>
      <c r="H3115" s="46" t="s">
        <v>40</v>
      </c>
      <c r="I3115" s="45">
        <v>7500</v>
      </c>
      <c r="J3115" s="45">
        <v>7500</v>
      </c>
      <c r="K3115" s="88" t="s">
        <v>11651</v>
      </c>
      <c r="L3115" s="45"/>
      <c r="M3115" s="3"/>
    </row>
    <row r="3116" spans="1:13" ht="25.5" x14ac:dyDescent="0.2">
      <c r="A3116" s="46" t="s">
        <v>3999</v>
      </c>
      <c r="B3116" s="46" t="s">
        <v>11644</v>
      </c>
      <c r="C3116" s="46" t="s">
        <v>14</v>
      </c>
      <c r="D3116" s="47">
        <v>10803</v>
      </c>
      <c r="E3116" s="46" t="s">
        <v>4000</v>
      </c>
      <c r="F3116" s="48">
        <v>40995</v>
      </c>
      <c r="G3116" s="46"/>
      <c r="H3116" s="46" t="s">
        <v>40</v>
      </c>
      <c r="I3116" s="45">
        <f>26085.2+16133</f>
        <v>42218.2</v>
      </c>
      <c r="J3116" s="45">
        <f>9952.2+16133</f>
        <v>26085.200000000001</v>
      </c>
      <c r="K3116" s="88" t="s">
        <v>11651</v>
      </c>
      <c r="L3116" s="45"/>
      <c r="M3116" s="3"/>
    </row>
    <row r="3117" spans="1:13" ht="25.5" x14ac:dyDescent="0.2">
      <c r="A3117" s="46" t="s">
        <v>4001</v>
      </c>
      <c r="B3117" s="46" t="s">
        <v>11644</v>
      </c>
      <c r="C3117" s="46" t="s">
        <v>14</v>
      </c>
      <c r="D3117" s="47">
        <v>10804</v>
      </c>
      <c r="E3117" s="46" t="s">
        <v>4002</v>
      </c>
      <c r="F3117" s="48">
        <v>41205</v>
      </c>
      <c r="G3117" s="46"/>
      <c r="H3117" s="46" t="s">
        <v>40</v>
      </c>
      <c r="I3117" s="45">
        <v>9375</v>
      </c>
      <c r="J3117" s="45">
        <v>9375</v>
      </c>
      <c r="K3117" s="88" t="s">
        <v>11651</v>
      </c>
      <c r="L3117" s="45"/>
      <c r="M3117" s="3"/>
    </row>
    <row r="3118" spans="1:13" ht="51" x14ac:dyDescent="0.2">
      <c r="A3118" s="46" t="s">
        <v>4003</v>
      </c>
      <c r="B3118" s="46" t="s">
        <v>11644</v>
      </c>
      <c r="C3118" s="46" t="s">
        <v>14</v>
      </c>
      <c r="D3118" s="47">
        <v>10805</v>
      </c>
      <c r="E3118" s="50" t="s">
        <v>4004</v>
      </c>
      <c r="F3118" s="48">
        <v>41205</v>
      </c>
      <c r="G3118" s="46"/>
      <c r="H3118" s="46" t="s">
        <v>40</v>
      </c>
      <c r="I3118" s="45">
        <v>30000</v>
      </c>
      <c r="J3118" s="45">
        <v>30000</v>
      </c>
      <c r="K3118" s="88" t="s">
        <v>11651</v>
      </c>
      <c r="L3118" s="45"/>
      <c r="M3118" s="3"/>
    </row>
    <row r="3119" spans="1:13" ht="25.5" x14ac:dyDescent="0.25">
      <c r="A3119" s="46" t="s">
        <v>4169</v>
      </c>
      <c r="B3119" s="46" t="s">
        <v>11644</v>
      </c>
      <c r="C3119" s="46" t="s">
        <v>14</v>
      </c>
      <c r="D3119" s="47">
        <v>6996</v>
      </c>
      <c r="E3119" s="46" t="s">
        <v>4170</v>
      </c>
      <c r="F3119" s="48">
        <v>40359</v>
      </c>
      <c r="G3119" s="46"/>
      <c r="H3119" s="46" t="s">
        <v>40</v>
      </c>
      <c r="I3119" s="45">
        <v>10000</v>
      </c>
      <c r="J3119" s="45">
        <v>5000</v>
      </c>
      <c r="K3119" s="49" t="s">
        <v>4035</v>
      </c>
      <c r="L3119" s="45"/>
      <c r="M3119" s="3"/>
    </row>
    <row r="3120" spans="1:13" x14ac:dyDescent="0.25">
      <c r="A3120" s="46" t="s">
        <v>4171</v>
      </c>
      <c r="B3120" s="46" t="s">
        <v>11644</v>
      </c>
      <c r="C3120" s="46" t="s">
        <v>14</v>
      </c>
      <c r="D3120" s="47">
        <v>6997</v>
      </c>
      <c r="E3120" s="46" t="s">
        <v>4172</v>
      </c>
      <c r="F3120" s="48">
        <v>40359</v>
      </c>
      <c r="G3120" s="46"/>
      <c r="H3120" s="46" t="s">
        <v>40</v>
      </c>
      <c r="I3120" s="45">
        <v>5000</v>
      </c>
      <c r="J3120" s="45">
        <v>2500</v>
      </c>
      <c r="K3120" s="49" t="s">
        <v>4035</v>
      </c>
      <c r="L3120" s="45"/>
      <c r="M3120" s="3"/>
    </row>
    <row r="3121" spans="1:13" ht="63.75" x14ac:dyDescent="0.25">
      <c r="A3121" s="46" t="s">
        <v>4173</v>
      </c>
      <c r="B3121" s="46" t="s">
        <v>11644</v>
      </c>
      <c r="C3121" s="46" t="s">
        <v>14</v>
      </c>
      <c r="D3121" s="47">
        <v>6998</v>
      </c>
      <c r="E3121" s="50" t="s">
        <v>4174</v>
      </c>
      <c r="F3121" s="48">
        <v>40359</v>
      </c>
      <c r="G3121" s="46"/>
      <c r="H3121" s="46" t="s">
        <v>40</v>
      </c>
      <c r="I3121" s="45">
        <v>6000</v>
      </c>
      <c r="J3121" s="45">
        <v>3000</v>
      </c>
      <c r="K3121" s="49" t="s">
        <v>4035</v>
      </c>
      <c r="L3121" s="45"/>
      <c r="M3121" s="3"/>
    </row>
    <row r="3122" spans="1:13" ht="51" x14ac:dyDescent="0.25">
      <c r="A3122" s="46" t="s">
        <v>4175</v>
      </c>
      <c r="B3122" s="46" t="s">
        <v>11644</v>
      </c>
      <c r="C3122" s="46" t="s">
        <v>14</v>
      </c>
      <c r="D3122" s="47">
        <v>6999</v>
      </c>
      <c r="E3122" s="50" t="s">
        <v>4176</v>
      </c>
      <c r="F3122" s="48">
        <v>40304</v>
      </c>
      <c r="G3122" s="46"/>
      <c r="H3122" s="46" t="s">
        <v>40</v>
      </c>
      <c r="I3122" s="45">
        <v>10000</v>
      </c>
      <c r="J3122" s="45">
        <v>5000</v>
      </c>
      <c r="K3122" s="49" t="s">
        <v>4035</v>
      </c>
      <c r="L3122" s="45"/>
      <c r="M3122" s="3"/>
    </row>
    <row r="3123" spans="1:13" ht="38.25" x14ac:dyDescent="0.25">
      <c r="A3123" s="46" t="s">
        <v>4183</v>
      </c>
      <c r="B3123" s="46" t="s">
        <v>11644</v>
      </c>
      <c r="C3123" s="46" t="s">
        <v>14</v>
      </c>
      <c r="D3123" s="47">
        <v>7005</v>
      </c>
      <c r="E3123" s="50" t="s">
        <v>4184</v>
      </c>
      <c r="F3123" s="48">
        <v>40422</v>
      </c>
      <c r="G3123" s="46"/>
      <c r="H3123" s="46" t="s">
        <v>40</v>
      </c>
      <c r="I3123" s="45">
        <v>11550</v>
      </c>
      <c r="J3123" s="45">
        <v>5775</v>
      </c>
      <c r="K3123" s="49" t="s">
        <v>4035</v>
      </c>
      <c r="L3123" s="45"/>
      <c r="M3123" s="3"/>
    </row>
    <row r="3124" spans="1:13" ht="51" x14ac:dyDescent="0.25">
      <c r="A3124" s="46" t="s">
        <v>4185</v>
      </c>
      <c r="B3124" s="46" t="s">
        <v>11644</v>
      </c>
      <c r="C3124" s="46" t="s">
        <v>14</v>
      </c>
      <c r="D3124" s="47">
        <v>7610</v>
      </c>
      <c r="E3124" s="50" t="s">
        <v>4186</v>
      </c>
      <c r="F3124" s="48">
        <v>40156</v>
      </c>
      <c r="G3124" s="48">
        <v>40359</v>
      </c>
      <c r="H3124" s="46" t="s">
        <v>40</v>
      </c>
      <c r="I3124" s="45">
        <v>12500</v>
      </c>
      <c r="J3124" s="45">
        <v>12500</v>
      </c>
      <c r="K3124" s="49" t="s">
        <v>4035</v>
      </c>
      <c r="L3124" s="45"/>
      <c r="M3124" s="3"/>
    </row>
    <row r="3125" spans="1:13" ht="51" x14ac:dyDescent="0.25">
      <c r="A3125" s="46" t="s">
        <v>4189</v>
      </c>
      <c r="B3125" s="46" t="s">
        <v>11644</v>
      </c>
      <c r="C3125" s="46" t="s">
        <v>14</v>
      </c>
      <c r="D3125" s="47">
        <v>7612</v>
      </c>
      <c r="E3125" s="50" t="s">
        <v>4190</v>
      </c>
      <c r="F3125" s="48">
        <v>40304</v>
      </c>
      <c r="G3125" s="48">
        <v>40498</v>
      </c>
      <c r="H3125" s="46" t="s">
        <v>40</v>
      </c>
      <c r="I3125" s="45">
        <v>7500</v>
      </c>
      <c r="J3125" s="45">
        <v>7500</v>
      </c>
      <c r="K3125" s="49" t="s">
        <v>4035</v>
      </c>
      <c r="L3125" s="45"/>
      <c r="M3125" s="3"/>
    </row>
    <row r="3126" spans="1:13" ht="51" x14ac:dyDescent="0.25">
      <c r="A3126" s="46" t="s">
        <v>4191</v>
      </c>
      <c r="B3126" s="46" t="s">
        <v>11644</v>
      </c>
      <c r="C3126" s="46" t="s">
        <v>14</v>
      </c>
      <c r="D3126" s="47">
        <v>7613</v>
      </c>
      <c r="E3126" s="50" t="s">
        <v>4192</v>
      </c>
      <c r="F3126" s="48">
        <v>40485</v>
      </c>
      <c r="G3126" s="46"/>
      <c r="H3126" s="46" t="s">
        <v>40</v>
      </c>
      <c r="I3126" s="45">
        <v>10000</v>
      </c>
      <c r="J3126" s="45">
        <v>10000</v>
      </c>
      <c r="K3126" s="49" t="s">
        <v>4035</v>
      </c>
      <c r="L3126" s="45"/>
      <c r="M3126" s="3"/>
    </row>
    <row r="3127" spans="1:13" ht="25.5" x14ac:dyDescent="0.25">
      <c r="A3127" s="46" t="s">
        <v>4193</v>
      </c>
      <c r="B3127" s="46" t="s">
        <v>11644</v>
      </c>
      <c r="C3127" s="46" t="s">
        <v>14</v>
      </c>
      <c r="D3127" s="47">
        <v>7614</v>
      </c>
      <c r="E3127" s="46" t="s">
        <v>4194</v>
      </c>
      <c r="F3127" s="48">
        <v>40359</v>
      </c>
      <c r="G3127" s="46"/>
      <c r="H3127" s="46" t="s">
        <v>40</v>
      </c>
      <c r="I3127" s="45">
        <v>10000</v>
      </c>
      <c r="J3127" s="45">
        <v>10000</v>
      </c>
      <c r="K3127" s="49" t="s">
        <v>4035</v>
      </c>
      <c r="L3127" s="45"/>
      <c r="M3127" s="3"/>
    </row>
    <row r="3128" spans="1:13" ht="76.5" x14ac:dyDescent="0.25">
      <c r="A3128" s="46" t="s">
        <v>4195</v>
      </c>
      <c r="B3128" s="46" t="s">
        <v>11644</v>
      </c>
      <c r="C3128" s="46" t="s">
        <v>14</v>
      </c>
      <c r="D3128" s="47">
        <v>7615</v>
      </c>
      <c r="E3128" s="50" t="s">
        <v>4196</v>
      </c>
      <c r="F3128" s="48">
        <v>40422</v>
      </c>
      <c r="G3128" s="46"/>
      <c r="H3128" s="46" t="s">
        <v>40</v>
      </c>
      <c r="I3128" s="45">
        <v>10000</v>
      </c>
      <c r="J3128" s="45">
        <v>10000</v>
      </c>
      <c r="K3128" s="49" t="s">
        <v>4035</v>
      </c>
      <c r="L3128" s="45"/>
      <c r="M3128" s="3"/>
    </row>
    <row r="3129" spans="1:13" ht="38.25" x14ac:dyDescent="0.25">
      <c r="A3129" s="46" t="s">
        <v>4197</v>
      </c>
      <c r="B3129" s="46" t="s">
        <v>11644</v>
      </c>
      <c r="C3129" s="46" t="s">
        <v>14</v>
      </c>
      <c r="D3129" s="47">
        <v>7616</v>
      </c>
      <c r="E3129" s="46" t="s">
        <v>4198</v>
      </c>
      <c r="F3129" s="48">
        <v>40359</v>
      </c>
      <c r="G3129" s="46"/>
      <c r="H3129" s="46" t="s">
        <v>40</v>
      </c>
      <c r="I3129" s="45">
        <v>10000</v>
      </c>
      <c r="J3129" s="45">
        <v>10000</v>
      </c>
      <c r="K3129" s="49" t="s">
        <v>4035</v>
      </c>
      <c r="L3129" s="45"/>
      <c r="M3129" s="3"/>
    </row>
    <row r="3130" spans="1:13" x14ac:dyDescent="0.25">
      <c r="A3130" s="46" t="s">
        <v>4201</v>
      </c>
      <c r="B3130" s="46" t="s">
        <v>11644</v>
      </c>
      <c r="C3130" s="46" t="s">
        <v>14</v>
      </c>
      <c r="D3130" s="47">
        <v>7618</v>
      </c>
      <c r="E3130" s="46" t="s">
        <v>4202</v>
      </c>
      <c r="F3130" s="48">
        <v>40485</v>
      </c>
      <c r="G3130" s="48">
        <v>40498</v>
      </c>
      <c r="H3130" s="46" t="s">
        <v>40</v>
      </c>
      <c r="I3130" s="45">
        <v>20000</v>
      </c>
      <c r="J3130" s="45">
        <v>20000</v>
      </c>
      <c r="K3130" s="49" t="s">
        <v>4035</v>
      </c>
      <c r="L3130" s="45"/>
      <c r="M3130" s="3"/>
    </row>
    <row r="3131" spans="1:13" ht="38.25" x14ac:dyDescent="0.25">
      <c r="A3131" s="46" t="s">
        <v>4203</v>
      </c>
      <c r="B3131" s="46" t="s">
        <v>11644</v>
      </c>
      <c r="C3131" s="46" t="s">
        <v>14</v>
      </c>
      <c r="D3131" s="47">
        <v>7619</v>
      </c>
      <c r="E3131" s="46" t="s">
        <v>4204</v>
      </c>
      <c r="F3131" s="48">
        <v>40359</v>
      </c>
      <c r="G3131" s="46"/>
      <c r="H3131" s="46" t="s">
        <v>40</v>
      </c>
      <c r="I3131" s="45">
        <v>19809.5</v>
      </c>
      <c r="J3131" s="45">
        <v>19809.5</v>
      </c>
      <c r="K3131" s="49" t="s">
        <v>4035</v>
      </c>
      <c r="L3131" s="45"/>
      <c r="M3131" s="3"/>
    </row>
    <row r="3132" spans="1:13" ht="25.5" x14ac:dyDescent="0.25">
      <c r="A3132" s="46" t="s">
        <v>4205</v>
      </c>
      <c r="B3132" s="46" t="s">
        <v>11644</v>
      </c>
      <c r="C3132" s="46" t="s">
        <v>14</v>
      </c>
      <c r="D3132" s="47">
        <v>7620</v>
      </c>
      <c r="E3132" s="46" t="s">
        <v>4206</v>
      </c>
      <c r="F3132" s="48">
        <v>40422</v>
      </c>
      <c r="G3132" s="46"/>
      <c r="H3132" s="46" t="s">
        <v>40</v>
      </c>
      <c r="I3132" s="45">
        <v>32500</v>
      </c>
      <c r="J3132" s="45">
        <v>20000</v>
      </c>
      <c r="K3132" s="49" t="s">
        <v>4035</v>
      </c>
      <c r="L3132" s="45"/>
      <c r="M3132" s="3"/>
    </row>
    <row r="3133" spans="1:13" x14ac:dyDescent="0.25">
      <c r="A3133" s="46" t="s">
        <v>4207</v>
      </c>
      <c r="B3133" s="46" t="s">
        <v>11644</v>
      </c>
      <c r="C3133" s="46" t="s">
        <v>14</v>
      </c>
      <c r="D3133" s="47">
        <v>7621</v>
      </c>
      <c r="E3133" s="46" t="s">
        <v>4208</v>
      </c>
      <c r="F3133" s="48">
        <v>40422</v>
      </c>
      <c r="G3133" s="48">
        <v>40522</v>
      </c>
      <c r="H3133" s="46" t="s">
        <v>40</v>
      </c>
      <c r="I3133" s="45">
        <v>18331</v>
      </c>
      <c r="J3133" s="45">
        <v>9165.5</v>
      </c>
      <c r="K3133" s="49" t="s">
        <v>4035</v>
      </c>
      <c r="L3133" s="45"/>
      <c r="M3133" s="3"/>
    </row>
    <row r="3134" spans="1:13" ht="25.5" x14ac:dyDescent="0.25">
      <c r="A3134" s="46" t="s">
        <v>4209</v>
      </c>
      <c r="B3134" s="46" t="s">
        <v>11644</v>
      </c>
      <c r="C3134" s="46" t="s">
        <v>14</v>
      </c>
      <c r="D3134" s="47">
        <v>7622</v>
      </c>
      <c r="E3134" s="46" t="s">
        <v>4210</v>
      </c>
      <c r="F3134" s="48">
        <v>40485</v>
      </c>
      <c r="G3134" s="48">
        <v>40522</v>
      </c>
      <c r="H3134" s="46" t="s">
        <v>40</v>
      </c>
      <c r="I3134" s="45">
        <v>22500</v>
      </c>
      <c r="J3134" s="45">
        <v>22500</v>
      </c>
      <c r="K3134" s="49" t="s">
        <v>4035</v>
      </c>
      <c r="L3134" s="45"/>
      <c r="M3134" s="3"/>
    </row>
    <row r="3135" spans="1:13" x14ac:dyDescent="0.25">
      <c r="A3135" s="46" t="s">
        <v>4211</v>
      </c>
      <c r="B3135" s="46" t="s">
        <v>11644</v>
      </c>
      <c r="C3135" s="46" t="s">
        <v>14</v>
      </c>
      <c r="D3135" s="47">
        <v>8878</v>
      </c>
      <c r="E3135" s="46" t="s">
        <v>4212</v>
      </c>
      <c r="F3135" s="48">
        <v>40359</v>
      </c>
      <c r="G3135" s="46"/>
      <c r="H3135" s="46" t="s">
        <v>40</v>
      </c>
      <c r="I3135" s="45">
        <v>5500</v>
      </c>
      <c r="J3135" s="45">
        <v>2750</v>
      </c>
      <c r="K3135" s="49" t="s">
        <v>4035</v>
      </c>
      <c r="L3135" s="45"/>
      <c r="M3135" s="3"/>
    </row>
    <row r="3136" spans="1:13" ht="25.5" x14ac:dyDescent="0.25">
      <c r="A3136" s="46" t="s">
        <v>4213</v>
      </c>
      <c r="B3136" s="46" t="s">
        <v>11644</v>
      </c>
      <c r="C3136" s="46" t="s">
        <v>14</v>
      </c>
      <c r="D3136" s="47">
        <v>8879</v>
      </c>
      <c r="E3136" s="46" t="s">
        <v>4214</v>
      </c>
      <c r="F3136" s="48">
        <v>40849</v>
      </c>
      <c r="G3136" s="46"/>
      <c r="H3136" s="46" t="s">
        <v>40</v>
      </c>
      <c r="I3136" s="45">
        <v>43500</v>
      </c>
      <c r="J3136" s="45">
        <v>43500</v>
      </c>
      <c r="K3136" s="49" t="s">
        <v>4035</v>
      </c>
      <c r="L3136" s="45"/>
      <c r="M3136" s="3"/>
    </row>
    <row r="3137" spans="1:13" ht="25.5" x14ac:dyDescent="0.25">
      <c r="A3137" s="46" t="s">
        <v>4215</v>
      </c>
      <c r="B3137" s="46" t="s">
        <v>11644</v>
      </c>
      <c r="C3137" s="46" t="s">
        <v>14</v>
      </c>
      <c r="D3137" s="47">
        <v>8880</v>
      </c>
      <c r="E3137" s="46" t="s">
        <v>4216</v>
      </c>
      <c r="F3137" s="48">
        <v>40721</v>
      </c>
      <c r="G3137" s="46"/>
      <c r="H3137" s="46" t="s">
        <v>40</v>
      </c>
      <c r="I3137" s="45">
        <v>15000</v>
      </c>
      <c r="J3137" s="45">
        <v>12500</v>
      </c>
      <c r="K3137" s="49" t="s">
        <v>4035</v>
      </c>
      <c r="L3137" s="45"/>
      <c r="M3137" s="3"/>
    </row>
    <row r="3138" spans="1:13" ht="25.5" x14ac:dyDescent="0.25">
      <c r="A3138" s="46" t="s">
        <v>4219</v>
      </c>
      <c r="B3138" s="46" t="s">
        <v>11644</v>
      </c>
      <c r="C3138" s="46" t="s">
        <v>14</v>
      </c>
      <c r="D3138" s="47">
        <v>8882</v>
      </c>
      <c r="E3138" s="46" t="s">
        <v>4220</v>
      </c>
      <c r="F3138" s="48">
        <v>40485</v>
      </c>
      <c r="G3138" s="46"/>
      <c r="H3138" s="46" t="s">
        <v>40</v>
      </c>
      <c r="I3138" s="45">
        <v>7500</v>
      </c>
      <c r="J3138" s="45">
        <v>7500</v>
      </c>
      <c r="K3138" s="49" t="s">
        <v>4035</v>
      </c>
      <c r="L3138" s="45"/>
      <c r="M3138" s="3"/>
    </row>
    <row r="3139" spans="1:13" ht="25.5" x14ac:dyDescent="0.25">
      <c r="A3139" s="46" t="s">
        <v>4223</v>
      </c>
      <c r="B3139" s="46" t="s">
        <v>11644</v>
      </c>
      <c r="C3139" s="46" t="s">
        <v>14</v>
      </c>
      <c r="D3139" s="47">
        <v>8886</v>
      </c>
      <c r="E3139" s="46" t="s">
        <v>4224</v>
      </c>
      <c r="F3139" s="48">
        <v>40820</v>
      </c>
      <c r="G3139" s="46"/>
      <c r="H3139" s="46" t="s">
        <v>40</v>
      </c>
      <c r="I3139" s="45">
        <v>5000</v>
      </c>
      <c r="J3139" s="45">
        <v>2500</v>
      </c>
      <c r="K3139" s="49" t="s">
        <v>4035</v>
      </c>
      <c r="L3139" s="45"/>
      <c r="M3139" s="3"/>
    </row>
    <row r="3140" spans="1:13" ht="25.5" x14ac:dyDescent="0.25">
      <c r="A3140" s="46" t="s">
        <v>4225</v>
      </c>
      <c r="B3140" s="46" t="s">
        <v>11644</v>
      </c>
      <c r="C3140" s="46" t="s">
        <v>14</v>
      </c>
      <c r="D3140" s="47">
        <v>8887</v>
      </c>
      <c r="E3140" s="46" t="s">
        <v>4226</v>
      </c>
      <c r="F3140" s="48">
        <v>40820</v>
      </c>
      <c r="G3140" s="46"/>
      <c r="H3140" s="46" t="s">
        <v>40</v>
      </c>
      <c r="I3140" s="45">
        <v>16000</v>
      </c>
      <c r="J3140" s="45">
        <v>8000</v>
      </c>
      <c r="K3140" s="49" t="s">
        <v>4035</v>
      </c>
      <c r="L3140" s="45"/>
      <c r="M3140" s="3"/>
    </row>
    <row r="3141" spans="1:13" x14ac:dyDescent="0.25">
      <c r="A3141" s="46" t="s">
        <v>4231</v>
      </c>
      <c r="B3141" s="46" t="s">
        <v>11644</v>
      </c>
      <c r="C3141" s="46" t="s">
        <v>14</v>
      </c>
      <c r="D3141" s="47">
        <v>8890</v>
      </c>
      <c r="E3141" s="46" t="s">
        <v>4232</v>
      </c>
      <c r="F3141" s="48">
        <v>40156</v>
      </c>
      <c r="G3141" s="46"/>
      <c r="H3141" s="46" t="s">
        <v>40</v>
      </c>
      <c r="I3141" s="45">
        <v>52393.2</v>
      </c>
      <c r="J3141" s="45">
        <v>26196.6</v>
      </c>
      <c r="K3141" s="49" t="s">
        <v>4035</v>
      </c>
      <c r="L3141" s="45"/>
      <c r="M3141" s="3"/>
    </row>
    <row r="3142" spans="1:13" ht="25.5" x14ac:dyDescent="0.25">
      <c r="A3142" s="46" t="s">
        <v>4233</v>
      </c>
      <c r="B3142" s="46" t="s">
        <v>11644</v>
      </c>
      <c r="C3142" s="46" t="s">
        <v>14</v>
      </c>
      <c r="D3142" s="47">
        <v>8891</v>
      </c>
      <c r="E3142" s="46" t="s">
        <v>4234</v>
      </c>
      <c r="F3142" s="48">
        <v>40604</v>
      </c>
      <c r="G3142" s="46"/>
      <c r="H3142" s="46" t="s">
        <v>40</v>
      </c>
      <c r="I3142" s="45">
        <v>20000</v>
      </c>
      <c r="J3142" s="45">
        <v>10000</v>
      </c>
      <c r="K3142" s="49" t="s">
        <v>4035</v>
      </c>
      <c r="L3142" s="45"/>
      <c r="M3142" s="3"/>
    </row>
    <row r="3143" spans="1:13" ht="25.5" x14ac:dyDescent="0.25">
      <c r="A3143" s="46" t="s">
        <v>4235</v>
      </c>
      <c r="B3143" s="46" t="s">
        <v>11644</v>
      </c>
      <c r="C3143" s="46" t="s">
        <v>14</v>
      </c>
      <c r="D3143" s="47">
        <v>8892</v>
      </c>
      <c r="E3143" s="46" t="s">
        <v>4236</v>
      </c>
      <c r="F3143" s="48">
        <v>40520</v>
      </c>
      <c r="G3143" s="46"/>
      <c r="H3143" s="46" t="s">
        <v>40</v>
      </c>
      <c r="I3143" s="45">
        <v>20000</v>
      </c>
      <c r="J3143" s="45">
        <v>10000</v>
      </c>
      <c r="K3143" s="49" t="s">
        <v>4035</v>
      </c>
      <c r="L3143" s="45"/>
      <c r="M3143" s="3"/>
    </row>
    <row r="3144" spans="1:13" ht="25.5" x14ac:dyDescent="0.25">
      <c r="A3144" s="46" t="s">
        <v>4240</v>
      </c>
      <c r="B3144" s="46" t="s">
        <v>11644</v>
      </c>
      <c r="C3144" s="46" t="s">
        <v>14</v>
      </c>
      <c r="D3144" s="47">
        <v>8896</v>
      </c>
      <c r="E3144" s="46" t="s">
        <v>4241</v>
      </c>
      <c r="F3144" s="48">
        <v>40820</v>
      </c>
      <c r="G3144" s="46"/>
      <c r="H3144" s="46" t="s">
        <v>40</v>
      </c>
      <c r="I3144" s="45">
        <v>18550</v>
      </c>
      <c r="J3144" s="45">
        <v>11775</v>
      </c>
      <c r="K3144" s="49" t="s">
        <v>4035</v>
      </c>
      <c r="L3144" s="45"/>
      <c r="M3144" s="3"/>
    </row>
    <row r="3145" spans="1:13" ht="25.5" x14ac:dyDescent="0.25">
      <c r="A3145" s="46" t="s">
        <v>4242</v>
      </c>
      <c r="B3145" s="46" t="s">
        <v>11644</v>
      </c>
      <c r="C3145" s="46" t="s">
        <v>14</v>
      </c>
      <c r="D3145" s="47">
        <v>8897</v>
      </c>
      <c r="E3145" s="46" t="s">
        <v>4243</v>
      </c>
      <c r="F3145" s="48">
        <v>40820</v>
      </c>
      <c r="G3145" s="46"/>
      <c r="H3145" s="46" t="s">
        <v>40</v>
      </c>
      <c r="I3145" s="45">
        <v>6843.04</v>
      </c>
      <c r="J3145" s="45">
        <v>5921.52</v>
      </c>
      <c r="K3145" s="49" t="s">
        <v>4035</v>
      </c>
      <c r="L3145" s="45"/>
      <c r="M3145" s="3"/>
    </row>
    <row r="3146" spans="1:13" ht="51" x14ac:dyDescent="0.25">
      <c r="A3146" s="46" t="s">
        <v>4244</v>
      </c>
      <c r="B3146" s="46" t="s">
        <v>11644</v>
      </c>
      <c r="C3146" s="46" t="s">
        <v>14</v>
      </c>
      <c r="D3146" s="47">
        <v>8898</v>
      </c>
      <c r="E3146" s="50" t="s">
        <v>4245</v>
      </c>
      <c r="F3146" s="48">
        <v>40485</v>
      </c>
      <c r="G3146" s="46"/>
      <c r="H3146" s="46" t="s">
        <v>40</v>
      </c>
      <c r="I3146" s="45">
        <v>75000</v>
      </c>
      <c r="J3146" s="45">
        <v>10000</v>
      </c>
      <c r="K3146" s="49" t="s">
        <v>4035</v>
      </c>
      <c r="L3146" s="45"/>
      <c r="M3146" s="3"/>
    </row>
    <row r="3147" spans="1:13" x14ac:dyDescent="0.25">
      <c r="A3147" s="46" t="s">
        <v>4246</v>
      </c>
      <c r="B3147" s="46" t="s">
        <v>11644</v>
      </c>
      <c r="C3147" s="46" t="s">
        <v>14</v>
      </c>
      <c r="D3147" s="47">
        <v>8899</v>
      </c>
      <c r="E3147" s="46" t="s">
        <v>4247</v>
      </c>
      <c r="F3147" s="48">
        <v>40721</v>
      </c>
      <c r="G3147" s="46"/>
      <c r="H3147" s="46" t="s">
        <v>40</v>
      </c>
      <c r="I3147" s="45">
        <v>200000</v>
      </c>
      <c r="J3147" s="45">
        <v>100000</v>
      </c>
      <c r="K3147" s="49" t="s">
        <v>4035</v>
      </c>
      <c r="L3147" s="45"/>
      <c r="M3147" s="3"/>
    </row>
    <row r="3148" spans="1:13" ht="38.25" x14ac:dyDescent="0.25">
      <c r="A3148" s="46" t="s">
        <v>4248</v>
      </c>
      <c r="B3148" s="46" t="s">
        <v>11644</v>
      </c>
      <c r="C3148" s="46" t="s">
        <v>14</v>
      </c>
      <c r="D3148" s="47">
        <v>8900</v>
      </c>
      <c r="E3148" s="46" t="s">
        <v>4249</v>
      </c>
      <c r="F3148" s="48">
        <v>40849</v>
      </c>
      <c r="G3148" s="46"/>
      <c r="H3148" s="46" t="s">
        <v>40</v>
      </c>
      <c r="I3148" s="45">
        <v>20000</v>
      </c>
      <c r="J3148" s="45">
        <v>10000</v>
      </c>
      <c r="K3148" s="49" t="s">
        <v>4035</v>
      </c>
      <c r="L3148" s="45"/>
      <c r="M3148" s="3"/>
    </row>
    <row r="3149" spans="1:13" x14ac:dyDescent="0.25">
      <c r="A3149" s="46" t="s">
        <v>4250</v>
      </c>
      <c r="B3149" s="46" t="s">
        <v>11644</v>
      </c>
      <c r="C3149" s="46" t="s">
        <v>14</v>
      </c>
      <c r="D3149" s="47">
        <v>8901</v>
      </c>
      <c r="E3149" s="46" t="s">
        <v>4251</v>
      </c>
      <c r="F3149" s="48">
        <v>40520</v>
      </c>
      <c r="G3149" s="46"/>
      <c r="H3149" s="46" t="s">
        <v>40</v>
      </c>
      <c r="I3149" s="45">
        <v>2225.54</v>
      </c>
      <c r="J3149" s="45">
        <v>1112.77</v>
      </c>
      <c r="K3149" s="49" t="s">
        <v>4035</v>
      </c>
      <c r="L3149" s="45"/>
      <c r="M3149" s="3"/>
    </row>
    <row r="3150" spans="1:13" ht="25.5" x14ac:dyDescent="0.25">
      <c r="A3150" s="46" t="s">
        <v>4252</v>
      </c>
      <c r="B3150" s="46" t="s">
        <v>11644</v>
      </c>
      <c r="C3150" s="46" t="s">
        <v>14</v>
      </c>
      <c r="D3150" s="47">
        <v>8902</v>
      </c>
      <c r="E3150" s="46" t="s">
        <v>4253</v>
      </c>
      <c r="F3150" s="48">
        <v>40604</v>
      </c>
      <c r="G3150" s="46"/>
      <c r="H3150" s="46" t="s">
        <v>40</v>
      </c>
      <c r="I3150" s="45">
        <v>25000</v>
      </c>
      <c r="J3150" s="45">
        <v>25000</v>
      </c>
      <c r="K3150" s="49" t="s">
        <v>4035</v>
      </c>
      <c r="L3150" s="45"/>
      <c r="M3150" s="3"/>
    </row>
    <row r="3151" spans="1:13" ht="25.5" x14ac:dyDescent="0.25">
      <c r="A3151" s="46" t="s">
        <v>4254</v>
      </c>
      <c r="B3151" s="46" t="s">
        <v>11644</v>
      </c>
      <c r="C3151" s="46" t="s">
        <v>14</v>
      </c>
      <c r="D3151" s="47">
        <v>8903</v>
      </c>
      <c r="E3151" s="46" t="s">
        <v>4255</v>
      </c>
      <c r="F3151" s="48">
        <v>40820</v>
      </c>
      <c r="G3151" s="46"/>
      <c r="H3151" s="46" t="s">
        <v>40</v>
      </c>
      <c r="I3151" s="45">
        <v>8069.2</v>
      </c>
      <c r="J3151" s="45">
        <v>4999.6000000000004</v>
      </c>
      <c r="K3151" s="49" t="s">
        <v>4035</v>
      </c>
      <c r="L3151" s="45"/>
      <c r="M3151" s="3"/>
    </row>
    <row r="3152" spans="1:13" x14ac:dyDescent="0.25">
      <c r="A3152" s="46" t="s">
        <v>4256</v>
      </c>
      <c r="B3152" s="46" t="s">
        <v>11644</v>
      </c>
      <c r="C3152" s="46" t="s">
        <v>14</v>
      </c>
      <c r="D3152" s="47">
        <v>8904</v>
      </c>
      <c r="E3152" s="46" t="s">
        <v>4257</v>
      </c>
      <c r="F3152" s="48">
        <v>40304</v>
      </c>
      <c r="G3152" s="46"/>
      <c r="H3152" s="46" t="s">
        <v>40</v>
      </c>
      <c r="I3152" s="45">
        <v>15100</v>
      </c>
      <c r="J3152" s="45">
        <v>7550</v>
      </c>
      <c r="K3152" s="49" t="s">
        <v>4035</v>
      </c>
      <c r="L3152" s="45"/>
      <c r="M3152" s="3"/>
    </row>
    <row r="3153" spans="1:60" x14ac:dyDescent="0.25">
      <c r="A3153" s="46" t="s">
        <v>4260</v>
      </c>
      <c r="B3153" s="46" t="s">
        <v>11644</v>
      </c>
      <c r="C3153" s="46" t="s">
        <v>14</v>
      </c>
      <c r="D3153" s="47">
        <v>8906</v>
      </c>
      <c r="E3153" s="46" t="s">
        <v>4261</v>
      </c>
      <c r="F3153" s="48">
        <v>40849</v>
      </c>
      <c r="G3153" s="46"/>
      <c r="H3153" s="46" t="s">
        <v>40</v>
      </c>
      <c r="I3153" s="45">
        <v>18226</v>
      </c>
      <c r="J3153" s="45">
        <v>12863</v>
      </c>
      <c r="K3153" s="49" t="s">
        <v>4035</v>
      </c>
      <c r="L3153" s="45"/>
      <c r="M3153" s="3"/>
    </row>
    <row r="3154" spans="1:60" ht="25.5" x14ac:dyDescent="0.25">
      <c r="A3154" s="46" t="s">
        <v>4262</v>
      </c>
      <c r="B3154" s="46" t="s">
        <v>11644</v>
      </c>
      <c r="C3154" s="46" t="s">
        <v>14</v>
      </c>
      <c r="D3154" s="47">
        <v>8907</v>
      </c>
      <c r="E3154" s="46" t="s">
        <v>4263</v>
      </c>
      <c r="F3154" s="48">
        <v>40520</v>
      </c>
      <c r="G3154" s="46"/>
      <c r="H3154" s="46" t="s">
        <v>40</v>
      </c>
      <c r="I3154" s="45">
        <v>7500</v>
      </c>
      <c r="J3154" s="45">
        <v>7500</v>
      </c>
      <c r="K3154" s="49" t="s">
        <v>4035</v>
      </c>
      <c r="L3154" s="45"/>
      <c r="M3154" s="3"/>
    </row>
    <row r="3155" spans="1:60" ht="25.5" x14ac:dyDescent="0.25">
      <c r="A3155" s="46" t="s">
        <v>4270</v>
      </c>
      <c r="B3155" s="46" t="s">
        <v>11644</v>
      </c>
      <c r="C3155" s="46" t="s">
        <v>14</v>
      </c>
      <c r="D3155" s="47">
        <v>10637</v>
      </c>
      <c r="E3155" s="46" t="s">
        <v>4271</v>
      </c>
      <c r="F3155" s="48">
        <v>41157</v>
      </c>
      <c r="G3155" s="46"/>
      <c r="H3155" s="46" t="s">
        <v>40</v>
      </c>
      <c r="I3155" s="45">
        <v>60000</v>
      </c>
      <c r="J3155" s="45">
        <v>60000</v>
      </c>
      <c r="K3155" s="49" t="s">
        <v>4035</v>
      </c>
      <c r="L3155" s="45"/>
      <c r="M3155" s="3"/>
    </row>
    <row r="3156" spans="1:60" ht="25.5" x14ac:dyDescent="0.25">
      <c r="A3156" s="46" t="s">
        <v>4272</v>
      </c>
      <c r="B3156" s="46" t="s">
        <v>11644</v>
      </c>
      <c r="C3156" s="46" t="s">
        <v>14</v>
      </c>
      <c r="D3156" s="47">
        <v>10638</v>
      </c>
      <c r="E3156" s="46" t="s">
        <v>4273</v>
      </c>
      <c r="F3156" s="48">
        <v>41038</v>
      </c>
      <c r="G3156" s="46"/>
      <c r="H3156" s="46" t="s">
        <v>40</v>
      </c>
      <c r="I3156" s="45">
        <v>15000</v>
      </c>
      <c r="J3156" s="45">
        <v>15000</v>
      </c>
      <c r="K3156" s="49" t="s">
        <v>4035</v>
      </c>
      <c r="L3156" s="45"/>
      <c r="M3156" s="3"/>
    </row>
    <row r="3157" spans="1:60" ht="25.5" x14ac:dyDescent="0.25">
      <c r="A3157" s="46" t="s">
        <v>4276</v>
      </c>
      <c r="B3157" s="46" t="s">
        <v>11644</v>
      </c>
      <c r="C3157" s="46" t="s">
        <v>14</v>
      </c>
      <c r="D3157" s="47">
        <v>10640</v>
      </c>
      <c r="E3157" s="46" t="s">
        <v>4277</v>
      </c>
      <c r="F3157" s="48">
        <v>41220</v>
      </c>
      <c r="G3157" s="46"/>
      <c r="H3157" s="46" t="s">
        <v>40</v>
      </c>
      <c r="I3157" s="45">
        <v>10000</v>
      </c>
      <c r="J3157" s="45">
        <v>10000</v>
      </c>
      <c r="K3157" s="49" t="s">
        <v>4035</v>
      </c>
      <c r="L3157" s="45"/>
      <c r="M3157" s="3"/>
    </row>
    <row r="3158" spans="1:60" ht="25.5" x14ac:dyDescent="0.25">
      <c r="A3158" s="46" t="s">
        <v>4280</v>
      </c>
      <c r="B3158" s="46" t="s">
        <v>11644</v>
      </c>
      <c r="C3158" s="46" t="s">
        <v>14</v>
      </c>
      <c r="D3158" s="47">
        <v>10642</v>
      </c>
      <c r="E3158" s="46" t="s">
        <v>4281</v>
      </c>
      <c r="F3158" s="48">
        <v>41068</v>
      </c>
      <c r="G3158" s="46"/>
      <c r="H3158" s="46" t="s">
        <v>40</v>
      </c>
      <c r="I3158" s="45">
        <v>10000</v>
      </c>
      <c r="J3158" s="45">
        <v>10000</v>
      </c>
      <c r="K3158" s="49" t="s">
        <v>4035</v>
      </c>
      <c r="L3158" s="45"/>
      <c r="M3158" s="3"/>
    </row>
    <row r="3159" spans="1:60" ht="25.5" x14ac:dyDescent="0.25">
      <c r="A3159" s="46" t="s">
        <v>4282</v>
      </c>
      <c r="B3159" s="46" t="s">
        <v>11644</v>
      </c>
      <c r="C3159" s="46" t="s">
        <v>14</v>
      </c>
      <c r="D3159" s="47">
        <v>10643</v>
      </c>
      <c r="E3159" s="46" t="s">
        <v>4283</v>
      </c>
      <c r="F3159" s="48">
        <v>40982</v>
      </c>
      <c r="G3159" s="46"/>
      <c r="H3159" s="46" t="s">
        <v>40</v>
      </c>
      <c r="I3159" s="45">
        <v>80000</v>
      </c>
      <c r="J3159" s="45">
        <v>40000</v>
      </c>
      <c r="K3159" s="49" t="s">
        <v>4035</v>
      </c>
      <c r="L3159" s="45"/>
      <c r="M3159" s="3"/>
    </row>
    <row r="3160" spans="1:60" s="9" customFormat="1" ht="25.5" x14ac:dyDescent="0.25">
      <c r="A3160" s="46" t="s">
        <v>4284</v>
      </c>
      <c r="B3160" s="46" t="s">
        <v>11644</v>
      </c>
      <c r="C3160" s="46" t="s">
        <v>14</v>
      </c>
      <c r="D3160" s="47">
        <v>10644</v>
      </c>
      <c r="E3160" s="46" t="s">
        <v>4285</v>
      </c>
      <c r="F3160" s="48">
        <v>41220</v>
      </c>
      <c r="G3160" s="46"/>
      <c r="H3160" s="46" t="s">
        <v>40</v>
      </c>
      <c r="I3160" s="45">
        <v>18000</v>
      </c>
      <c r="J3160" s="45">
        <v>9000</v>
      </c>
      <c r="K3160" s="49" t="s">
        <v>4035</v>
      </c>
      <c r="L3160" s="45"/>
      <c r="M3160" s="3"/>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4"/>
      <c r="AN3160" s="4"/>
      <c r="AO3160" s="4"/>
      <c r="AP3160" s="4"/>
      <c r="AQ3160" s="4"/>
      <c r="AR3160" s="4"/>
      <c r="AS3160" s="4"/>
      <c r="AT3160" s="4"/>
      <c r="AU3160" s="4"/>
      <c r="AV3160" s="4"/>
      <c r="AW3160" s="4"/>
      <c r="AX3160" s="4"/>
      <c r="AY3160" s="4"/>
      <c r="AZ3160" s="4"/>
      <c r="BA3160" s="4"/>
      <c r="BB3160" s="4"/>
      <c r="BC3160" s="4"/>
      <c r="BD3160" s="4"/>
      <c r="BE3160" s="4"/>
      <c r="BF3160" s="4"/>
      <c r="BG3160" s="4"/>
      <c r="BH3160" s="4"/>
    </row>
    <row r="3161" spans="1:60" x14ac:dyDescent="0.25">
      <c r="A3161" s="46" t="s">
        <v>4242</v>
      </c>
      <c r="B3161" s="46" t="s">
        <v>11644</v>
      </c>
      <c r="C3161" s="46" t="s">
        <v>14</v>
      </c>
      <c r="D3161" s="47">
        <v>10645</v>
      </c>
      <c r="E3161" s="46" t="s">
        <v>4286</v>
      </c>
      <c r="F3161" s="48">
        <v>40820</v>
      </c>
      <c r="G3161" s="46"/>
      <c r="H3161" s="46" t="s">
        <v>40</v>
      </c>
      <c r="I3161" s="45">
        <v>2156.96</v>
      </c>
      <c r="J3161" s="45">
        <v>1078.48</v>
      </c>
      <c r="K3161" s="49" t="s">
        <v>4035</v>
      </c>
      <c r="L3161" s="45"/>
      <c r="M3161" s="3"/>
    </row>
    <row r="3162" spans="1:60" x14ac:dyDescent="0.25">
      <c r="A3162" s="46" t="s">
        <v>4289</v>
      </c>
      <c r="B3162" s="46" t="s">
        <v>11644</v>
      </c>
      <c r="C3162" s="46" t="s">
        <v>14</v>
      </c>
      <c r="D3162" s="47">
        <v>10647</v>
      </c>
      <c r="E3162" s="46" t="s">
        <v>4290</v>
      </c>
      <c r="F3162" s="48">
        <v>40977</v>
      </c>
      <c r="G3162" s="46"/>
      <c r="H3162" s="46" t="s">
        <v>40</v>
      </c>
      <c r="I3162" s="45">
        <v>3750</v>
      </c>
      <c r="J3162" s="45">
        <v>3750</v>
      </c>
      <c r="K3162" s="49" t="s">
        <v>4035</v>
      </c>
      <c r="L3162" s="45"/>
      <c r="M3162" s="3"/>
    </row>
    <row r="3163" spans="1:60" ht="25.5" x14ac:dyDescent="0.25">
      <c r="A3163" s="46" t="s">
        <v>4291</v>
      </c>
      <c r="B3163" s="46" t="s">
        <v>11644</v>
      </c>
      <c r="C3163" s="46" t="s">
        <v>14</v>
      </c>
      <c r="D3163" s="47">
        <v>10648</v>
      </c>
      <c r="E3163" s="46" t="s">
        <v>4292</v>
      </c>
      <c r="F3163" s="48">
        <v>40977</v>
      </c>
      <c r="G3163" s="46"/>
      <c r="H3163" s="46" t="s">
        <v>40</v>
      </c>
      <c r="I3163" s="45">
        <v>10000</v>
      </c>
      <c r="J3163" s="45">
        <v>10000</v>
      </c>
      <c r="K3163" s="49" t="s">
        <v>4035</v>
      </c>
      <c r="L3163" s="45"/>
      <c r="M3163" s="3"/>
    </row>
    <row r="3164" spans="1:60" ht="25.5" x14ac:dyDescent="0.25">
      <c r="A3164" s="46" t="s">
        <v>4296</v>
      </c>
      <c r="B3164" s="46" t="s">
        <v>11644</v>
      </c>
      <c r="C3164" s="46" t="s">
        <v>14</v>
      </c>
      <c r="D3164" s="47">
        <v>10650</v>
      </c>
      <c r="E3164" s="46" t="s">
        <v>4297</v>
      </c>
      <c r="F3164" s="48">
        <v>41069</v>
      </c>
      <c r="G3164" s="46"/>
      <c r="H3164" s="46" t="s">
        <v>40</v>
      </c>
      <c r="I3164" s="45">
        <v>10000</v>
      </c>
      <c r="J3164" s="45">
        <v>10000</v>
      </c>
      <c r="K3164" s="49" t="s">
        <v>4035</v>
      </c>
      <c r="L3164" s="45"/>
      <c r="M3164" s="3"/>
    </row>
    <row r="3165" spans="1:60" ht="25.5" x14ac:dyDescent="0.25">
      <c r="A3165" s="46" t="s">
        <v>4301</v>
      </c>
      <c r="B3165" s="46" t="s">
        <v>11644</v>
      </c>
      <c r="C3165" s="46" t="s">
        <v>14</v>
      </c>
      <c r="D3165" s="47">
        <v>10653</v>
      </c>
      <c r="E3165" s="46" t="s">
        <v>4302</v>
      </c>
      <c r="F3165" s="48">
        <v>40982</v>
      </c>
      <c r="G3165" s="46"/>
      <c r="H3165" s="46" t="s">
        <v>40</v>
      </c>
      <c r="I3165" s="45">
        <v>12638.46</v>
      </c>
      <c r="J3165" s="45">
        <v>6319.23</v>
      </c>
      <c r="K3165" s="49" t="s">
        <v>4035</v>
      </c>
      <c r="L3165" s="45"/>
      <c r="M3165" s="3"/>
    </row>
    <row r="3166" spans="1:60" ht="25.5" x14ac:dyDescent="0.25">
      <c r="A3166" s="46" t="s">
        <v>4303</v>
      </c>
      <c r="B3166" s="46" t="s">
        <v>11644</v>
      </c>
      <c r="C3166" s="46" t="s">
        <v>14</v>
      </c>
      <c r="D3166" s="47">
        <v>10654</v>
      </c>
      <c r="E3166" s="46" t="s">
        <v>4304</v>
      </c>
      <c r="F3166" s="48">
        <v>40849</v>
      </c>
      <c r="G3166" s="46"/>
      <c r="H3166" s="46" t="s">
        <v>40</v>
      </c>
      <c r="I3166" s="45">
        <v>2000</v>
      </c>
      <c r="J3166" s="45">
        <v>2000</v>
      </c>
      <c r="K3166" s="49" t="s">
        <v>4035</v>
      </c>
      <c r="L3166" s="45"/>
      <c r="M3166" s="3"/>
    </row>
    <row r="3167" spans="1:60" ht="25.5" x14ac:dyDescent="0.25">
      <c r="A3167" s="46" t="s">
        <v>4305</v>
      </c>
      <c r="B3167" s="46" t="s">
        <v>11644</v>
      </c>
      <c r="C3167" s="46" t="s">
        <v>14</v>
      </c>
      <c r="D3167" s="47">
        <v>10655</v>
      </c>
      <c r="E3167" s="46" t="s">
        <v>4306</v>
      </c>
      <c r="F3167" s="48">
        <v>40849</v>
      </c>
      <c r="G3167" s="46"/>
      <c r="H3167" s="46" t="s">
        <v>40</v>
      </c>
      <c r="I3167" s="45">
        <v>19456.48</v>
      </c>
      <c r="J3167" s="45">
        <v>9728.24</v>
      </c>
      <c r="K3167" s="49" t="s">
        <v>4035</v>
      </c>
      <c r="L3167" s="45"/>
      <c r="M3167" s="3"/>
    </row>
    <row r="3168" spans="1:60" ht="25.5" x14ac:dyDescent="0.25">
      <c r="A3168" s="46" t="s">
        <v>4509</v>
      </c>
      <c r="B3168" s="46" t="s">
        <v>11644</v>
      </c>
      <c r="C3168" s="46" t="s">
        <v>14</v>
      </c>
      <c r="D3168" s="47">
        <v>7205</v>
      </c>
      <c r="E3168" s="46" t="s">
        <v>4510</v>
      </c>
      <c r="F3168" s="48">
        <v>40210</v>
      </c>
      <c r="G3168" s="48">
        <v>40514</v>
      </c>
      <c r="H3168" s="46" t="s">
        <v>40</v>
      </c>
      <c r="I3168" s="45">
        <v>15000</v>
      </c>
      <c r="J3168" s="45">
        <v>15000</v>
      </c>
      <c r="K3168" s="49" t="s">
        <v>4318</v>
      </c>
      <c r="L3168" s="45"/>
      <c r="M3168" s="3"/>
    </row>
    <row r="3169" spans="1:13" x14ac:dyDescent="0.25">
      <c r="A3169" s="46" t="s">
        <v>4511</v>
      </c>
      <c r="B3169" s="46" t="s">
        <v>11644</v>
      </c>
      <c r="C3169" s="46" t="s">
        <v>14</v>
      </c>
      <c r="D3169" s="47">
        <v>7206</v>
      </c>
      <c r="E3169" s="46" t="s">
        <v>4512</v>
      </c>
      <c r="F3169" s="48">
        <v>40409</v>
      </c>
      <c r="G3169" s="48">
        <v>40641</v>
      </c>
      <c r="H3169" s="46" t="s">
        <v>40</v>
      </c>
      <c r="I3169" s="45">
        <v>9238</v>
      </c>
      <c r="J3169" s="45">
        <v>8369</v>
      </c>
      <c r="K3169" s="49" t="s">
        <v>4318</v>
      </c>
      <c r="L3169" s="45"/>
      <c r="M3169" s="3"/>
    </row>
    <row r="3170" spans="1:13" ht="25.5" x14ac:dyDescent="0.25">
      <c r="A3170" s="46" t="s">
        <v>4515</v>
      </c>
      <c r="B3170" s="46" t="s">
        <v>11644</v>
      </c>
      <c r="C3170" s="46" t="s">
        <v>14</v>
      </c>
      <c r="D3170" s="47">
        <v>7208</v>
      </c>
      <c r="E3170" s="46" t="s">
        <v>4516</v>
      </c>
      <c r="F3170" s="48">
        <v>40158</v>
      </c>
      <c r="G3170" s="48">
        <v>40528</v>
      </c>
      <c r="H3170" s="46" t="s">
        <v>40</v>
      </c>
      <c r="I3170" s="45">
        <v>21580</v>
      </c>
      <c r="J3170" s="45">
        <v>10790</v>
      </c>
      <c r="K3170" s="49" t="s">
        <v>4318</v>
      </c>
      <c r="L3170" s="45"/>
      <c r="M3170" s="3"/>
    </row>
    <row r="3171" spans="1:13" ht="25.5" x14ac:dyDescent="0.25">
      <c r="A3171" s="46" t="s">
        <v>4517</v>
      </c>
      <c r="B3171" s="46" t="s">
        <v>11644</v>
      </c>
      <c r="C3171" s="46" t="s">
        <v>14</v>
      </c>
      <c r="D3171" s="47">
        <v>7209</v>
      </c>
      <c r="E3171" s="46" t="s">
        <v>4518</v>
      </c>
      <c r="F3171" s="48">
        <v>40290</v>
      </c>
      <c r="G3171" s="48">
        <v>40618</v>
      </c>
      <c r="H3171" s="46" t="s">
        <v>40</v>
      </c>
      <c r="I3171" s="45">
        <v>16937.919999999998</v>
      </c>
      <c r="J3171" s="45">
        <v>10155.709999999999</v>
      </c>
      <c r="K3171" s="49" t="s">
        <v>4318</v>
      </c>
      <c r="L3171" s="45"/>
      <c r="M3171" s="3"/>
    </row>
    <row r="3172" spans="1:13" x14ac:dyDescent="0.25">
      <c r="A3172" s="46" t="s">
        <v>4529</v>
      </c>
      <c r="B3172" s="46" t="s">
        <v>11644</v>
      </c>
      <c r="C3172" s="46" t="s">
        <v>14</v>
      </c>
      <c r="D3172" s="47">
        <v>7215</v>
      </c>
      <c r="E3172" s="46" t="s">
        <v>4530</v>
      </c>
      <c r="F3172" s="48">
        <v>40290</v>
      </c>
      <c r="G3172" s="48">
        <v>40519</v>
      </c>
      <c r="H3172" s="46" t="s">
        <v>40</v>
      </c>
      <c r="I3172" s="45">
        <v>7980</v>
      </c>
      <c r="J3172" s="45">
        <v>7500</v>
      </c>
      <c r="K3172" s="49" t="s">
        <v>4318</v>
      </c>
      <c r="L3172" s="45"/>
      <c r="M3172" s="3"/>
    </row>
    <row r="3173" spans="1:13" x14ac:dyDescent="0.25">
      <c r="A3173" s="46" t="s">
        <v>4533</v>
      </c>
      <c r="B3173" s="46" t="s">
        <v>11644</v>
      </c>
      <c r="C3173" s="46" t="s">
        <v>14</v>
      </c>
      <c r="D3173" s="47">
        <v>7217</v>
      </c>
      <c r="E3173" s="46" t="s">
        <v>4534</v>
      </c>
      <c r="F3173" s="48">
        <v>40290</v>
      </c>
      <c r="G3173" s="46"/>
      <c r="H3173" s="46" t="s">
        <v>40</v>
      </c>
      <c r="I3173" s="45">
        <v>3750</v>
      </c>
      <c r="J3173" s="45">
        <v>3750</v>
      </c>
      <c r="K3173" s="49" t="s">
        <v>4318</v>
      </c>
      <c r="L3173" s="45"/>
      <c r="M3173" s="3"/>
    </row>
    <row r="3174" spans="1:13" x14ac:dyDescent="0.25">
      <c r="A3174" s="46" t="s">
        <v>4535</v>
      </c>
      <c r="B3174" s="46" t="s">
        <v>11644</v>
      </c>
      <c r="C3174" s="46" t="s">
        <v>14</v>
      </c>
      <c r="D3174" s="47">
        <v>7218</v>
      </c>
      <c r="E3174" s="46" t="s">
        <v>4536</v>
      </c>
      <c r="F3174" s="48">
        <v>40158</v>
      </c>
      <c r="G3174" s="48">
        <v>40302</v>
      </c>
      <c r="H3174" s="46" t="s">
        <v>40</v>
      </c>
      <c r="I3174" s="45">
        <v>12772.2</v>
      </c>
      <c r="J3174" s="45">
        <v>6386.1</v>
      </c>
      <c r="K3174" s="49" t="s">
        <v>4318</v>
      </c>
      <c r="L3174" s="45"/>
      <c r="M3174" s="3"/>
    </row>
    <row r="3175" spans="1:13" ht="25.5" x14ac:dyDescent="0.25">
      <c r="A3175" s="46" t="s">
        <v>4537</v>
      </c>
      <c r="B3175" s="46" t="s">
        <v>11644</v>
      </c>
      <c r="C3175" s="46" t="s">
        <v>14</v>
      </c>
      <c r="D3175" s="47">
        <v>7219</v>
      </c>
      <c r="E3175" s="46" t="s">
        <v>4538</v>
      </c>
      <c r="F3175" s="48">
        <v>40322</v>
      </c>
      <c r="G3175" s="48">
        <v>40682</v>
      </c>
      <c r="H3175" s="46" t="s">
        <v>40</v>
      </c>
      <c r="I3175" s="45">
        <v>6620</v>
      </c>
      <c r="J3175" s="45">
        <v>5000</v>
      </c>
      <c r="K3175" s="49" t="s">
        <v>4318</v>
      </c>
      <c r="L3175" s="45"/>
      <c r="M3175" s="3"/>
    </row>
    <row r="3176" spans="1:13" ht="25.5" x14ac:dyDescent="0.25">
      <c r="A3176" s="46" t="s">
        <v>4539</v>
      </c>
      <c r="B3176" s="46" t="s">
        <v>11644</v>
      </c>
      <c r="C3176" s="46" t="s">
        <v>14</v>
      </c>
      <c r="D3176" s="47">
        <v>7220</v>
      </c>
      <c r="E3176" s="46" t="s">
        <v>4540</v>
      </c>
      <c r="F3176" s="48">
        <v>40158</v>
      </c>
      <c r="G3176" s="46"/>
      <c r="H3176" s="46" t="s">
        <v>40</v>
      </c>
      <c r="I3176" s="45">
        <v>10000</v>
      </c>
      <c r="J3176" s="45">
        <v>10000</v>
      </c>
      <c r="K3176" s="49" t="s">
        <v>4318</v>
      </c>
      <c r="L3176" s="45"/>
      <c r="M3176" s="3"/>
    </row>
    <row r="3177" spans="1:13" ht="25.5" x14ac:dyDescent="0.25">
      <c r="A3177" s="46" t="s">
        <v>4543</v>
      </c>
      <c r="B3177" s="46" t="s">
        <v>11644</v>
      </c>
      <c r="C3177" s="46" t="s">
        <v>14</v>
      </c>
      <c r="D3177" s="47">
        <v>7222</v>
      </c>
      <c r="E3177" s="46" t="s">
        <v>4544</v>
      </c>
      <c r="F3177" s="48">
        <v>40448</v>
      </c>
      <c r="G3177" s="46"/>
      <c r="H3177" s="46" t="s">
        <v>40</v>
      </c>
      <c r="I3177" s="45">
        <v>2016</v>
      </c>
      <c r="J3177" s="45">
        <v>1008</v>
      </c>
      <c r="K3177" s="49" t="s">
        <v>4318</v>
      </c>
      <c r="L3177" s="45"/>
      <c r="M3177" s="3"/>
    </row>
    <row r="3178" spans="1:13" ht="25.5" x14ac:dyDescent="0.25">
      <c r="A3178" s="46" t="s">
        <v>4545</v>
      </c>
      <c r="B3178" s="46" t="s">
        <v>11644</v>
      </c>
      <c r="C3178" s="46" t="s">
        <v>14</v>
      </c>
      <c r="D3178" s="47">
        <v>7223</v>
      </c>
      <c r="E3178" s="46" t="s">
        <v>4546</v>
      </c>
      <c r="F3178" s="48">
        <v>40190</v>
      </c>
      <c r="G3178" s="48">
        <v>40550</v>
      </c>
      <c r="H3178" s="46" t="s">
        <v>40</v>
      </c>
      <c r="I3178" s="45">
        <v>57885.2</v>
      </c>
      <c r="J3178" s="45">
        <v>36442.6</v>
      </c>
      <c r="K3178" s="49" t="s">
        <v>4318</v>
      </c>
      <c r="L3178" s="45"/>
      <c r="M3178" s="3"/>
    </row>
    <row r="3179" spans="1:13" ht="25.5" x14ac:dyDescent="0.25">
      <c r="A3179" s="46" t="s">
        <v>4547</v>
      </c>
      <c r="B3179" s="46" t="s">
        <v>11644</v>
      </c>
      <c r="C3179" s="46" t="s">
        <v>14</v>
      </c>
      <c r="D3179" s="47">
        <v>7224</v>
      </c>
      <c r="E3179" s="46" t="s">
        <v>4548</v>
      </c>
      <c r="F3179" s="48">
        <v>40290</v>
      </c>
      <c r="G3179" s="48">
        <v>40553</v>
      </c>
      <c r="H3179" s="46" t="s">
        <v>40</v>
      </c>
      <c r="I3179" s="45">
        <v>20000</v>
      </c>
      <c r="J3179" s="45">
        <v>10000</v>
      </c>
      <c r="K3179" s="49" t="s">
        <v>4318</v>
      </c>
      <c r="L3179" s="45"/>
      <c r="M3179" s="3"/>
    </row>
    <row r="3180" spans="1:13" x14ac:dyDescent="0.25">
      <c r="A3180" s="46" t="s">
        <v>4559</v>
      </c>
      <c r="B3180" s="46" t="s">
        <v>11644</v>
      </c>
      <c r="C3180" s="46" t="s">
        <v>14</v>
      </c>
      <c r="D3180" s="47">
        <v>8587</v>
      </c>
      <c r="E3180" s="46" t="s">
        <v>4560</v>
      </c>
      <c r="F3180" s="48">
        <v>40290</v>
      </c>
      <c r="G3180" s="48">
        <v>40666</v>
      </c>
      <c r="H3180" s="46" t="s">
        <v>40</v>
      </c>
      <c r="I3180" s="45">
        <v>48550</v>
      </c>
      <c r="J3180" s="45">
        <v>15000</v>
      </c>
      <c r="K3180" s="49" t="s">
        <v>4318</v>
      </c>
      <c r="L3180" s="45"/>
      <c r="M3180" s="3"/>
    </row>
    <row r="3181" spans="1:13" ht="25.5" x14ac:dyDescent="0.25">
      <c r="A3181" s="46" t="s">
        <v>4561</v>
      </c>
      <c r="B3181" s="46" t="s">
        <v>11644</v>
      </c>
      <c r="C3181" s="46" t="s">
        <v>14</v>
      </c>
      <c r="D3181" s="47">
        <v>8591</v>
      </c>
      <c r="E3181" s="46" t="s">
        <v>4562</v>
      </c>
      <c r="F3181" s="48">
        <v>40609</v>
      </c>
      <c r="G3181" s="48">
        <v>41024</v>
      </c>
      <c r="H3181" s="46" t="s">
        <v>40</v>
      </c>
      <c r="I3181" s="45">
        <v>15000</v>
      </c>
      <c r="J3181" s="45">
        <v>15000</v>
      </c>
      <c r="K3181" s="49" t="s">
        <v>4318</v>
      </c>
      <c r="L3181" s="45"/>
      <c r="M3181" s="3"/>
    </row>
    <row r="3182" spans="1:13" ht="38.25" x14ac:dyDescent="0.25">
      <c r="A3182" s="46" t="s">
        <v>4563</v>
      </c>
      <c r="B3182" s="46" t="s">
        <v>11644</v>
      </c>
      <c r="C3182" s="46" t="s">
        <v>14</v>
      </c>
      <c r="D3182" s="47">
        <v>8593</v>
      </c>
      <c r="E3182" s="46" t="s">
        <v>4564</v>
      </c>
      <c r="F3182" s="48">
        <v>40686</v>
      </c>
      <c r="G3182" s="48">
        <v>41226</v>
      </c>
      <c r="H3182" s="46" t="s">
        <v>40</v>
      </c>
      <c r="I3182" s="45">
        <v>49193.14</v>
      </c>
      <c r="J3182" s="45">
        <v>30000</v>
      </c>
      <c r="K3182" s="49" t="s">
        <v>4318</v>
      </c>
      <c r="L3182" s="45"/>
      <c r="M3182" s="3"/>
    </row>
    <row r="3183" spans="1:13" ht="25.5" x14ac:dyDescent="0.25">
      <c r="A3183" s="46" t="s">
        <v>4565</v>
      </c>
      <c r="B3183" s="46" t="s">
        <v>11644</v>
      </c>
      <c r="C3183" s="46" t="s">
        <v>14</v>
      </c>
      <c r="D3183" s="47">
        <v>8594</v>
      </c>
      <c r="E3183" s="46" t="s">
        <v>4566</v>
      </c>
      <c r="F3183" s="48">
        <v>40844</v>
      </c>
      <c r="G3183" s="48">
        <v>40876</v>
      </c>
      <c r="H3183" s="46" t="s">
        <v>40</v>
      </c>
      <c r="I3183" s="45">
        <v>6250</v>
      </c>
      <c r="J3183" s="45">
        <v>5000</v>
      </c>
      <c r="K3183" s="49" t="s">
        <v>4318</v>
      </c>
      <c r="L3183" s="45"/>
      <c r="M3183" s="3"/>
    </row>
    <row r="3184" spans="1:13" ht="25.5" x14ac:dyDescent="0.25">
      <c r="A3184" s="46" t="s">
        <v>4567</v>
      </c>
      <c r="B3184" s="46" t="s">
        <v>11644</v>
      </c>
      <c r="C3184" s="46" t="s">
        <v>14</v>
      </c>
      <c r="D3184" s="47">
        <v>8638</v>
      </c>
      <c r="E3184" s="46" t="s">
        <v>4568</v>
      </c>
      <c r="F3184" s="48">
        <v>40413</v>
      </c>
      <c r="G3184" s="48">
        <v>40722</v>
      </c>
      <c r="H3184" s="46" t="s">
        <v>40</v>
      </c>
      <c r="I3184" s="45">
        <v>15000</v>
      </c>
      <c r="J3184" s="45">
        <v>15000</v>
      </c>
      <c r="K3184" s="49" t="s">
        <v>4318</v>
      </c>
      <c r="L3184" s="45"/>
      <c r="M3184" s="3"/>
    </row>
    <row r="3185" spans="1:13" ht="25.5" x14ac:dyDescent="0.25">
      <c r="A3185" s="46" t="s">
        <v>4569</v>
      </c>
      <c r="B3185" s="46" t="s">
        <v>11644</v>
      </c>
      <c r="C3185" s="46" t="s">
        <v>14</v>
      </c>
      <c r="D3185" s="47">
        <v>8639</v>
      </c>
      <c r="E3185" s="46" t="s">
        <v>4570</v>
      </c>
      <c r="F3185" s="48">
        <v>40484</v>
      </c>
      <c r="G3185" s="48">
        <v>40864</v>
      </c>
      <c r="H3185" s="46" t="s">
        <v>40</v>
      </c>
      <c r="I3185" s="45">
        <v>32250</v>
      </c>
      <c r="J3185" s="45">
        <v>20000</v>
      </c>
      <c r="K3185" s="49" t="s">
        <v>4318</v>
      </c>
      <c r="L3185" s="45"/>
      <c r="M3185" s="3"/>
    </row>
    <row r="3186" spans="1:13" ht="25.5" x14ac:dyDescent="0.25">
      <c r="A3186" s="46" t="s">
        <v>4571</v>
      </c>
      <c r="B3186" s="46" t="s">
        <v>11644</v>
      </c>
      <c r="C3186" s="46" t="s">
        <v>14</v>
      </c>
      <c r="D3186" s="47">
        <v>8640</v>
      </c>
      <c r="E3186" s="46" t="s">
        <v>4572</v>
      </c>
      <c r="F3186" s="48">
        <v>40610</v>
      </c>
      <c r="G3186" s="48">
        <v>40875</v>
      </c>
      <c r="H3186" s="46" t="s">
        <v>40</v>
      </c>
      <c r="I3186" s="45">
        <v>7500</v>
      </c>
      <c r="J3186" s="45">
        <v>7500</v>
      </c>
      <c r="K3186" s="49" t="s">
        <v>4318</v>
      </c>
      <c r="L3186" s="45"/>
      <c r="M3186" s="3"/>
    </row>
    <row r="3187" spans="1:13" ht="25.5" x14ac:dyDescent="0.25">
      <c r="A3187" s="46" t="s">
        <v>4573</v>
      </c>
      <c r="B3187" s="46" t="s">
        <v>11644</v>
      </c>
      <c r="C3187" s="46" t="s">
        <v>14</v>
      </c>
      <c r="D3187" s="47">
        <v>8641</v>
      </c>
      <c r="E3187" s="46" t="s">
        <v>4574</v>
      </c>
      <c r="F3187" s="48">
        <v>40569</v>
      </c>
      <c r="G3187" s="48">
        <v>40805</v>
      </c>
      <c r="H3187" s="46" t="s">
        <v>40</v>
      </c>
      <c r="I3187" s="45">
        <v>7500</v>
      </c>
      <c r="J3187" s="45">
        <v>7500</v>
      </c>
      <c r="K3187" s="49" t="s">
        <v>4318</v>
      </c>
      <c r="L3187" s="45"/>
      <c r="M3187" s="3"/>
    </row>
    <row r="3188" spans="1:13" x14ac:dyDescent="0.25">
      <c r="A3188" s="46" t="s">
        <v>4575</v>
      </c>
      <c r="B3188" s="46" t="s">
        <v>11644</v>
      </c>
      <c r="C3188" s="46" t="s">
        <v>14</v>
      </c>
      <c r="D3188" s="47">
        <v>8652</v>
      </c>
      <c r="E3188" s="46" t="s">
        <v>4576</v>
      </c>
      <c r="F3188" s="48">
        <v>40560</v>
      </c>
      <c r="G3188" s="48">
        <v>40788</v>
      </c>
      <c r="H3188" s="46" t="s">
        <v>40</v>
      </c>
      <c r="I3188" s="45">
        <v>7500</v>
      </c>
      <c r="J3188" s="45">
        <v>7500</v>
      </c>
      <c r="K3188" s="49" t="s">
        <v>4318</v>
      </c>
      <c r="L3188" s="45"/>
      <c r="M3188" s="3"/>
    </row>
    <row r="3189" spans="1:13" ht="25.5" x14ac:dyDescent="0.25">
      <c r="A3189" s="46" t="s">
        <v>4581</v>
      </c>
      <c r="B3189" s="46" t="s">
        <v>11644</v>
      </c>
      <c r="C3189" s="46" t="s">
        <v>14</v>
      </c>
      <c r="D3189" s="47">
        <v>8667</v>
      </c>
      <c r="E3189" s="46" t="s">
        <v>4582</v>
      </c>
      <c r="F3189" s="48">
        <v>40788</v>
      </c>
      <c r="G3189" s="48">
        <v>40898</v>
      </c>
      <c r="H3189" s="46" t="s">
        <v>40</v>
      </c>
      <c r="I3189" s="45">
        <v>10000</v>
      </c>
      <c r="J3189" s="45">
        <v>5000</v>
      </c>
      <c r="K3189" s="49" t="s">
        <v>4318</v>
      </c>
      <c r="L3189" s="45"/>
      <c r="M3189" s="3"/>
    </row>
    <row r="3190" spans="1:13" ht="25.5" x14ac:dyDescent="0.25">
      <c r="A3190" s="46" t="s">
        <v>4583</v>
      </c>
      <c r="B3190" s="46" t="s">
        <v>11644</v>
      </c>
      <c r="C3190" s="46" t="s">
        <v>14</v>
      </c>
      <c r="D3190" s="47">
        <v>8669</v>
      </c>
      <c r="E3190" s="46" t="s">
        <v>4584</v>
      </c>
      <c r="F3190" s="48">
        <v>40822</v>
      </c>
      <c r="G3190" s="48">
        <v>41120</v>
      </c>
      <c r="H3190" s="46" t="s">
        <v>40</v>
      </c>
      <c r="I3190" s="45">
        <v>22500</v>
      </c>
      <c r="J3190" s="45">
        <v>15000</v>
      </c>
      <c r="K3190" s="49" t="s">
        <v>4318</v>
      </c>
      <c r="L3190" s="45"/>
      <c r="M3190" s="3"/>
    </row>
    <row r="3191" spans="1:13" ht="25.5" x14ac:dyDescent="0.25">
      <c r="A3191" s="46" t="s">
        <v>4585</v>
      </c>
      <c r="B3191" s="46" t="s">
        <v>11644</v>
      </c>
      <c r="C3191" s="46" t="s">
        <v>14</v>
      </c>
      <c r="D3191" s="47">
        <v>8671</v>
      </c>
      <c r="E3191" s="46" t="s">
        <v>4586</v>
      </c>
      <c r="F3191" s="48">
        <v>40464</v>
      </c>
      <c r="G3191" s="48">
        <v>40742</v>
      </c>
      <c r="H3191" s="46" t="s">
        <v>40</v>
      </c>
      <c r="I3191" s="45">
        <v>7500</v>
      </c>
      <c r="J3191" s="45">
        <v>7500</v>
      </c>
      <c r="K3191" s="49" t="s">
        <v>4318</v>
      </c>
      <c r="L3191" s="45"/>
      <c r="M3191" s="3"/>
    </row>
    <row r="3192" spans="1:13" x14ac:dyDescent="0.25">
      <c r="A3192" s="46" t="s">
        <v>4587</v>
      </c>
      <c r="B3192" s="46" t="s">
        <v>11644</v>
      </c>
      <c r="C3192" s="46" t="s">
        <v>14</v>
      </c>
      <c r="D3192" s="47">
        <v>8672</v>
      </c>
      <c r="E3192" s="46" t="s">
        <v>4588</v>
      </c>
      <c r="F3192" s="48">
        <v>40494</v>
      </c>
      <c r="G3192" s="48">
        <v>41087</v>
      </c>
      <c r="H3192" s="46" t="s">
        <v>40</v>
      </c>
      <c r="I3192" s="45">
        <v>19000</v>
      </c>
      <c r="J3192" s="45">
        <v>15000</v>
      </c>
      <c r="K3192" s="49" t="s">
        <v>4318</v>
      </c>
      <c r="L3192" s="45"/>
      <c r="M3192" s="3"/>
    </row>
    <row r="3193" spans="1:13" ht="25.5" x14ac:dyDescent="0.25">
      <c r="A3193" s="46" t="s">
        <v>4539</v>
      </c>
      <c r="B3193" s="46" t="s">
        <v>11644</v>
      </c>
      <c r="C3193" s="46" t="s">
        <v>14</v>
      </c>
      <c r="D3193" s="47">
        <v>8673</v>
      </c>
      <c r="E3193" s="46" t="s">
        <v>4589</v>
      </c>
      <c r="F3193" s="48">
        <v>40464</v>
      </c>
      <c r="G3193" s="48">
        <v>40704</v>
      </c>
      <c r="H3193" s="46" t="s">
        <v>40</v>
      </c>
      <c r="I3193" s="45">
        <v>20000</v>
      </c>
      <c r="J3193" s="45">
        <v>10000</v>
      </c>
      <c r="K3193" s="49" t="s">
        <v>4318</v>
      </c>
      <c r="L3193" s="45"/>
      <c r="M3193" s="3"/>
    </row>
    <row r="3194" spans="1:13" x14ac:dyDescent="0.25">
      <c r="A3194" s="46" t="s">
        <v>4590</v>
      </c>
      <c r="B3194" s="46" t="s">
        <v>11644</v>
      </c>
      <c r="C3194" s="46" t="s">
        <v>14</v>
      </c>
      <c r="D3194" s="47">
        <v>8675</v>
      </c>
      <c r="E3194" s="46" t="s">
        <v>4591</v>
      </c>
      <c r="F3194" s="48">
        <v>40522</v>
      </c>
      <c r="G3194" s="48">
        <v>40834</v>
      </c>
      <c r="H3194" s="46" t="s">
        <v>40</v>
      </c>
      <c r="I3194" s="45">
        <v>15000</v>
      </c>
      <c r="J3194" s="45">
        <v>15000</v>
      </c>
      <c r="K3194" s="49" t="s">
        <v>4318</v>
      </c>
      <c r="L3194" s="45"/>
      <c r="M3194" s="3"/>
    </row>
    <row r="3195" spans="1:13" ht="25.5" x14ac:dyDescent="0.25">
      <c r="A3195" s="46" t="s">
        <v>4592</v>
      </c>
      <c r="B3195" s="46" t="s">
        <v>11644</v>
      </c>
      <c r="C3195" s="46" t="s">
        <v>14</v>
      </c>
      <c r="D3195" s="47">
        <v>8678</v>
      </c>
      <c r="E3195" s="46" t="s">
        <v>4593</v>
      </c>
      <c r="F3195" s="48">
        <v>40728</v>
      </c>
      <c r="G3195" s="48">
        <v>40885</v>
      </c>
      <c r="H3195" s="46" t="s">
        <v>40</v>
      </c>
      <c r="I3195" s="45">
        <v>7500</v>
      </c>
      <c r="J3195" s="45">
        <v>7500</v>
      </c>
      <c r="K3195" s="49" t="s">
        <v>4318</v>
      </c>
      <c r="L3195" s="45"/>
      <c r="M3195" s="3"/>
    </row>
    <row r="3196" spans="1:13" ht="25.5" x14ac:dyDescent="0.25">
      <c r="A3196" s="46" t="s">
        <v>4594</v>
      </c>
      <c r="B3196" s="46" t="s">
        <v>11644</v>
      </c>
      <c r="C3196" s="46" t="s">
        <v>14</v>
      </c>
      <c r="D3196" s="47">
        <v>8684</v>
      </c>
      <c r="E3196" s="46" t="s">
        <v>4595</v>
      </c>
      <c r="F3196" s="48">
        <v>40525</v>
      </c>
      <c r="G3196" s="48">
        <v>40772</v>
      </c>
      <c r="H3196" s="46" t="s">
        <v>40</v>
      </c>
      <c r="I3196" s="45">
        <v>15000</v>
      </c>
      <c r="J3196" s="45">
        <v>15000</v>
      </c>
      <c r="K3196" s="49" t="s">
        <v>4318</v>
      </c>
      <c r="L3196" s="45"/>
      <c r="M3196" s="3"/>
    </row>
    <row r="3197" spans="1:13" ht="25.5" x14ac:dyDescent="0.25">
      <c r="A3197" s="46" t="s">
        <v>4596</v>
      </c>
      <c r="B3197" s="46" t="s">
        <v>11644</v>
      </c>
      <c r="C3197" s="46" t="s">
        <v>14</v>
      </c>
      <c r="D3197" s="47">
        <v>8697</v>
      </c>
      <c r="E3197" s="46" t="s">
        <v>4597</v>
      </c>
      <c r="F3197" s="48">
        <v>40240</v>
      </c>
      <c r="G3197" s="48">
        <v>40646</v>
      </c>
      <c r="H3197" s="46" t="s">
        <v>40</v>
      </c>
      <c r="I3197" s="45">
        <v>14925</v>
      </c>
      <c r="J3197" s="45">
        <v>10000</v>
      </c>
      <c r="K3197" s="49" t="s">
        <v>4318</v>
      </c>
      <c r="L3197" s="45"/>
      <c r="M3197" s="3"/>
    </row>
    <row r="3198" spans="1:13" x14ac:dyDescent="0.25">
      <c r="A3198" s="46" t="s">
        <v>4598</v>
      </c>
      <c r="B3198" s="46" t="s">
        <v>11644</v>
      </c>
      <c r="C3198" s="46" t="s">
        <v>14</v>
      </c>
      <c r="D3198" s="47">
        <v>8709</v>
      </c>
      <c r="E3198" s="46" t="s">
        <v>4599</v>
      </c>
      <c r="F3198" s="48">
        <v>40525</v>
      </c>
      <c r="G3198" s="48">
        <v>40730</v>
      </c>
      <c r="H3198" s="46" t="s">
        <v>40</v>
      </c>
      <c r="I3198" s="45">
        <v>7500</v>
      </c>
      <c r="J3198" s="45">
        <v>7500</v>
      </c>
      <c r="K3198" s="49" t="s">
        <v>4318</v>
      </c>
      <c r="L3198" s="45"/>
      <c r="M3198" s="3"/>
    </row>
    <row r="3199" spans="1:13" ht="25.5" x14ac:dyDescent="0.25">
      <c r="A3199" s="46" t="s">
        <v>4600</v>
      </c>
      <c r="B3199" s="46" t="s">
        <v>11644</v>
      </c>
      <c r="C3199" s="46" t="s">
        <v>14</v>
      </c>
      <c r="D3199" s="47">
        <v>8718</v>
      </c>
      <c r="E3199" s="46" t="s">
        <v>4601</v>
      </c>
      <c r="F3199" s="48">
        <v>40809</v>
      </c>
      <c r="G3199" s="48">
        <v>40906</v>
      </c>
      <c r="H3199" s="46" t="s">
        <v>40</v>
      </c>
      <c r="I3199" s="45">
        <v>11509</v>
      </c>
      <c r="J3199" s="45">
        <v>7500</v>
      </c>
      <c r="K3199" s="49" t="s">
        <v>4318</v>
      </c>
      <c r="L3199" s="45"/>
      <c r="M3199" s="3"/>
    </row>
    <row r="3200" spans="1:13" ht="25.5" x14ac:dyDescent="0.25">
      <c r="A3200" s="46" t="s">
        <v>4612</v>
      </c>
      <c r="B3200" s="46" t="s">
        <v>11644</v>
      </c>
      <c r="C3200" s="46" t="s">
        <v>14</v>
      </c>
      <c r="D3200" s="47">
        <v>10590</v>
      </c>
      <c r="E3200" s="46" t="s">
        <v>4613</v>
      </c>
      <c r="F3200" s="48">
        <v>40952</v>
      </c>
      <c r="G3200" s="48">
        <v>41220</v>
      </c>
      <c r="H3200" s="46" t="s">
        <v>40</v>
      </c>
      <c r="I3200" s="45">
        <v>5000</v>
      </c>
      <c r="J3200" s="45">
        <v>5000</v>
      </c>
      <c r="K3200" s="49" t="s">
        <v>4318</v>
      </c>
      <c r="L3200" s="45"/>
      <c r="M3200" s="3"/>
    </row>
    <row r="3201" spans="1:13" x14ac:dyDescent="0.25">
      <c r="A3201" s="46" t="s">
        <v>4614</v>
      </c>
      <c r="B3201" s="46" t="s">
        <v>11644</v>
      </c>
      <c r="C3201" s="46" t="s">
        <v>14</v>
      </c>
      <c r="D3201" s="47">
        <v>10686</v>
      </c>
      <c r="E3201" s="46" t="s">
        <v>4615</v>
      </c>
      <c r="F3201" s="48">
        <v>40830</v>
      </c>
      <c r="G3201" s="48">
        <v>41297</v>
      </c>
      <c r="H3201" s="46" t="s">
        <v>40</v>
      </c>
      <c r="I3201" s="45">
        <f>18086+800</f>
        <v>18886</v>
      </c>
      <c r="J3201" s="45">
        <f>12393+400</f>
        <v>12793</v>
      </c>
      <c r="K3201" s="49" t="s">
        <v>4318</v>
      </c>
      <c r="L3201" s="45"/>
      <c r="M3201" s="3"/>
    </row>
    <row r="3202" spans="1:13" ht="25.5" x14ac:dyDescent="0.25">
      <c r="A3202" s="46" t="s">
        <v>4616</v>
      </c>
      <c r="B3202" s="46" t="s">
        <v>11644</v>
      </c>
      <c r="C3202" s="46" t="s">
        <v>14</v>
      </c>
      <c r="D3202" s="47">
        <v>10690</v>
      </c>
      <c r="E3202" s="46" t="s">
        <v>4617</v>
      </c>
      <c r="F3202" s="48">
        <v>40659</v>
      </c>
      <c r="G3202" s="48">
        <v>41079</v>
      </c>
      <c r="H3202" s="46" t="s">
        <v>40</v>
      </c>
      <c r="I3202" s="45">
        <v>9288</v>
      </c>
      <c r="J3202" s="45">
        <v>4644</v>
      </c>
      <c r="K3202" s="49" t="s">
        <v>4318</v>
      </c>
      <c r="L3202" s="45"/>
      <c r="M3202" s="3"/>
    </row>
    <row r="3203" spans="1:13" x14ac:dyDescent="0.25">
      <c r="A3203" s="46" t="s">
        <v>4620</v>
      </c>
      <c r="B3203" s="46" t="s">
        <v>11644</v>
      </c>
      <c r="C3203" s="46" t="s">
        <v>14</v>
      </c>
      <c r="D3203" s="47">
        <v>10712</v>
      </c>
      <c r="E3203" s="46" t="s">
        <v>4621</v>
      </c>
      <c r="F3203" s="48">
        <v>41087</v>
      </c>
      <c r="G3203" s="48">
        <v>41334</v>
      </c>
      <c r="H3203" s="46" t="s">
        <v>40</v>
      </c>
      <c r="I3203" s="45">
        <f>7500+3750</f>
        <v>11250</v>
      </c>
      <c r="J3203" s="45">
        <f>3750+3750</f>
        <v>7500</v>
      </c>
      <c r="K3203" s="49" t="s">
        <v>4318</v>
      </c>
      <c r="L3203" s="45"/>
      <c r="M3203" s="3"/>
    </row>
    <row r="3204" spans="1:13" x14ac:dyDescent="0.25">
      <c r="A3204" s="46" t="s">
        <v>4622</v>
      </c>
      <c r="B3204" s="46" t="s">
        <v>11644</v>
      </c>
      <c r="C3204" s="46" t="s">
        <v>14</v>
      </c>
      <c r="D3204" s="47">
        <v>10715</v>
      </c>
      <c r="E3204" s="46" t="s">
        <v>4623</v>
      </c>
      <c r="F3204" s="48">
        <v>40926</v>
      </c>
      <c r="G3204" s="48">
        <v>41123</v>
      </c>
      <c r="H3204" s="46" t="s">
        <v>40</v>
      </c>
      <c r="I3204" s="45">
        <v>15000</v>
      </c>
      <c r="J3204" s="45">
        <v>15000</v>
      </c>
      <c r="K3204" s="49" t="s">
        <v>4318</v>
      </c>
      <c r="L3204" s="45"/>
      <c r="M3204" s="3"/>
    </row>
    <row r="3205" spans="1:13" x14ac:dyDescent="0.25">
      <c r="A3205" s="46" t="s">
        <v>4630</v>
      </c>
      <c r="B3205" s="46" t="s">
        <v>11644</v>
      </c>
      <c r="C3205" s="46" t="s">
        <v>14</v>
      </c>
      <c r="D3205" s="47">
        <v>10726</v>
      </c>
      <c r="E3205" s="46" t="s">
        <v>4631</v>
      </c>
      <c r="F3205" s="48">
        <v>41082</v>
      </c>
      <c r="G3205" s="48">
        <v>41348</v>
      </c>
      <c r="H3205" s="46" t="s">
        <v>40</v>
      </c>
      <c r="I3205" s="45">
        <f>7500+3750</f>
        <v>11250</v>
      </c>
      <c r="J3205" s="45">
        <f>3750+3750</f>
        <v>7500</v>
      </c>
      <c r="K3205" s="49" t="s">
        <v>4318</v>
      </c>
      <c r="L3205" s="45"/>
      <c r="M3205" s="3"/>
    </row>
    <row r="3206" spans="1:13" ht="25.5" x14ac:dyDescent="0.25">
      <c r="A3206" s="46" t="s">
        <v>4634</v>
      </c>
      <c r="B3206" s="46" t="s">
        <v>11644</v>
      </c>
      <c r="C3206" s="46" t="s">
        <v>14</v>
      </c>
      <c r="D3206" s="47">
        <v>10733</v>
      </c>
      <c r="E3206" s="46" t="s">
        <v>4635</v>
      </c>
      <c r="F3206" s="48">
        <v>40994</v>
      </c>
      <c r="G3206" s="48">
        <v>41186</v>
      </c>
      <c r="H3206" s="46" t="s">
        <v>40</v>
      </c>
      <c r="I3206" s="45">
        <v>7500</v>
      </c>
      <c r="J3206" s="45">
        <v>7500</v>
      </c>
      <c r="K3206" s="49" t="s">
        <v>4318</v>
      </c>
      <c r="L3206" s="45"/>
      <c r="M3206" s="3"/>
    </row>
    <row r="3207" spans="1:13" ht="25.5" x14ac:dyDescent="0.25">
      <c r="A3207" s="46" t="s">
        <v>4638</v>
      </c>
      <c r="B3207" s="46" t="s">
        <v>11644</v>
      </c>
      <c r="C3207" s="46" t="s">
        <v>14</v>
      </c>
      <c r="D3207" s="47">
        <v>10735</v>
      </c>
      <c r="E3207" s="46" t="s">
        <v>4639</v>
      </c>
      <c r="F3207" s="48">
        <v>40554</v>
      </c>
      <c r="G3207" s="48">
        <v>41110</v>
      </c>
      <c r="H3207" s="46" t="s">
        <v>40</v>
      </c>
      <c r="I3207" s="45">
        <v>15474</v>
      </c>
      <c r="J3207" s="45">
        <v>11487</v>
      </c>
      <c r="K3207" s="49" t="s">
        <v>4318</v>
      </c>
      <c r="L3207" s="45"/>
      <c r="M3207" s="3"/>
    </row>
    <row r="3208" spans="1:13" x14ac:dyDescent="0.25">
      <c r="A3208" s="46" t="s">
        <v>4640</v>
      </c>
      <c r="B3208" s="46" t="s">
        <v>11644</v>
      </c>
      <c r="C3208" s="46" t="s">
        <v>14</v>
      </c>
      <c r="D3208" s="47">
        <v>10736</v>
      </c>
      <c r="E3208" s="46" t="s">
        <v>4641</v>
      </c>
      <c r="F3208" s="48">
        <v>40953</v>
      </c>
      <c r="G3208" s="48">
        <v>41401</v>
      </c>
      <c r="H3208" s="46" t="s">
        <v>40</v>
      </c>
      <c r="I3208" s="45">
        <f>22500+3750</f>
        <v>26250</v>
      </c>
      <c r="J3208" s="45">
        <f>18750+3750</f>
        <v>22500</v>
      </c>
      <c r="K3208" s="49" t="s">
        <v>4318</v>
      </c>
      <c r="L3208" s="45"/>
      <c r="M3208" s="3"/>
    </row>
    <row r="3209" spans="1:13" x14ac:dyDescent="0.25">
      <c r="A3209" s="46" t="s">
        <v>4644</v>
      </c>
      <c r="B3209" s="46" t="s">
        <v>11644</v>
      </c>
      <c r="C3209" s="46" t="s">
        <v>14</v>
      </c>
      <c r="D3209" s="47">
        <v>10740</v>
      </c>
      <c r="E3209" s="46" t="s">
        <v>4645</v>
      </c>
      <c r="F3209" s="48">
        <v>40855</v>
      </c>
      <c r="G3209" s="48">
        <v>41309</v>
      </c>
      <c r="H3209" s="46" t="s">
        <v>40</v>
      </c>
      <c r="I3209" s="45">
        <f>7500+3750</f>
        <v>11250</v>
      </c>
      <c r="J3209" s="45">
        <f>3750+3750</f>
        <v>7500</v>
      </c>
      <c r="K3209" s="49" t="s">
        <v>4318</v>
      </c>
      <c r="L3209" s="45"/>
      <c r="M3209" s="3"/>
    </row>
    <row r="3210" spans="1:13" x14ac:dyDescent="0.25">
      <c r="A3210" s="46" t="s">
        <v>4648</v>
      </c>
      <c r="B3210" s="46" t="s">
        <v>11644</v>
      </c>
      <c r="C3210" s="46" t="s">
        <v>14</v>
      </c>
      <c r="D3210" s="47">
        <v>10777</v>
      </c>
      <c r="E3210" s="46" t="s">
        <v>4649</v>
      </c>
      <c r="F3210" s="48">
        <v>40941</v>
      </c>
      <c r="G3210" s="48">
        <v>41219</v>
      </c>
      <c r="H3210" s="46" t="s">
        <v>40</v>
      </c>
      <c r="I3210" s="45">
        <v>7500</v>
      </c>
      <c r="J3210" s="45">
        <v>7500</v>
      </c>
      <c r="K3210" s="49" t="s">
        <v>4318</v>
      </c>
      <c r="L3210" s="45"/>
      <c r="M3210" s="3"/>
    </row>
    <row r="3211" spans="1:13" x14ac:dyDescent="0.25">
      <c r="A3211" s="46" t="s">
        <v>4652</v>
      </c>
      <c r="B3211" s="46" t="s">
        <v>11644</v>
      </c>
      <c r="C3211" s="46" t="s">
        <v>14</v>
      </c>
      <c r="D3211" s="47">
        <v>10779</v>
      </c>
      <c r="E3211" s="46" t="s">
        <v>4653</v>
      </c>
      <c r="F3211" s="48">
        <v>41169</v>
      </c>
      <c r="G3211" s="48">
        <v>41389</v>
      </c>
      <c r="H3211" s="46" t="s">
        <v>40</v>
      </c>
      <c r="I3211" s="45">
        <f>7500+3750</f>
        <v>11250</v>
      </c>
      <c r="J3211" s="45">
        <f>3750+3750</f>
        <v>7500</v>
      </c>
      <c r="K3211" s="49" t="s">
        <v>4318</v>
      </c>
      <c r="L3211" s="45"/>
      <c r="M3211" s="3"/>
    </row>
    <row r="3212" spans="1:13" x14ac:dyDescent="0.25">
      <c r="A3212" s="46" t="s">
        <v>4658</v>
      </c>
      <c r="B3212" s="46" t="s">
        <v>11644</v>
      </c>
      <c r="C3212" s="46" t="s">
        <v>14</v>
      </c>
      <c r="D3212" s="47">
        <v>10800</v>
      </c>
      <c r="E3212" s="46" t="s">
        <v>4659</v>
      </c>
      <c r="F3212" s="48">
        <v>40945</v>
      </c>
      <c r="G3212" s="48">
        <v>41263</v>
      </c>
      <c r="H3212" s="46" t="s">
        <v>40</v>
      </c>
      <c r="I3212" s="45">
        <v>6000</v>
      </c>
      <c r="J3212" s="45">
        <v>6000</v>
      </c>
      <c r="K3212" s="49" t="s">
        <v>4318</v>
      </c>
      <c r="L3212" s="45"/>
      <c r="M3212" s="3"/>
    </row>
    <row r="3213" spans="1:13" ht="25.5" x14ac:dyDescent="0.25">
      <c r="A3213" s="46" t="s">
        <v>4906</v>
      </c>
      <c r="B3213" s="46" t="s">
        <v>11644</v>
      </c>
      <c r="C3213" s="46" t="s">
        <v>14</v>
      </c>
      <c r="D3213" s="47">
        <v>6921</v>
      </c>
      <c r="E3213" s="46" t="s">
        <v>4907</v>
      </c>
      <c r="F3213" s="48">
        <v>40452</v>
      </c>
      <c r="G3213" s="46"/>
      <c r="H3213" s="46" t="s">
        <v>40</v>
      </c>
      <c r="I3213" s="45">
        <v>8000</v>
      </c>
      <c r="J3213" s="45">
        <v>8000</v>
      </c>
      <c r="K3213" s="49" t="s">
        <v>4667</v>
      </c>
      <c r="L3213" s="45"/>
      <c r="M3213" s="3"/>
    </row>
    <row r="3214" spans="1:13" x14ac:dyDescent="0.25">
      <c r="A3214" s="46" t="s">
        <v>4910</v>
      </c>
      <c r="B3214" s="46" t="s">
        <v>11644</v>
      </c>
      <c r="C3214" s="46" t="s">
        <v>14</v>
      </c>
      <c r="D3214" s="47">
        <v>6926</v>
      </c>
      <c r="E3214" s="46" t="s">
        <v>4911</v>
      </c>
      <c r="F3214" s="48">
        <v>40305</v>
      </c>
      <c r="G3214" s="46"/>
      <c r="H3214" s="46" t="s">
        <v>40</v>
      </c>
      <c r="I3214" s="45">
        <v>10000</v>
      </c>
      <c r="J3214" s="45">
        <v>10000</v>
      </c>
      <c r="K3214" s="49" t="s">
        <v>4667</v>
      </c>
      <c r="L3214" s="45"/>
      <c r="M3214" s="3"/>
    </row>
    <row r="3215" spans="1:13" ht="25.5" x14ac:dyDescent="0.25">
      <c r="A3215" s="46" t="s">
        <v>4954</v>
      </c>
      <c r="B3215" s="46" t="s">
        <v>11644</v>
      </c>
      <c r="C3215" s="46" t="s">
        <v>14</v>
      </c>
      <c r="D3215" s="47">
        <v>8784</v>
      </c>
      <c r="E3215" s="46" t="s">
        <v>4955</v>
      </c>
      <c r="F3215" s="48">
        <v>40550</v>
      </c>
      <c r="G3215" s="46"/>
      <c r="H3215" s="46" t="s">
        <v>40</v>
      </c>
      <c r="I3215" s="45">
        <v>25000</v>
      </c>
      <c r="J3215" s="45">
        <v>25000</v>
      </c>
      <c r="K3215" s="49" t="s">
        <v>4667</v>
      </c>
      <c r="L3215" s="45"/>
      <c r="M3215" s="3"/>
    </row>
    <row r="3216" spans="1:13" x14ac:dyDescent="0.25">
      <c r="A3216" s="46" t="s">
        <v>4958</v>
      </c>
      <c r="B3216" s="46" t="s">
        <v>11644</v>
      </c>
      <c r="C3216" s="46" t="s">
        <v>14</v>
      </c>
      <c r="D3216" s="47">
        <v>8802</v>
      </c>
      <c r="E3216" s="46" t="s">
        <v>4959</v>
      </c>
      <c r="F3216" s="48">
        <v>40553</v>
      </c>
      <c r="G3216" s="46"/>
      <c r="H3216" s="46" t="s">
        <v>40</v>
      </c>
      <c r="I3216" s="45">
        <v>7500</v>
      </c>
      <c r="J3216" s="45">
        <v>7500</v>
      </c>
      <c r="K3216" s="49" t="s">
        <v>4667</v>
      </c>
      <c r="L3216" s="45"/>
      <c r="M3216" s="3"/>
    </row>
    <row r="3217" spans="1:13" ht="25.5" x14ac:dyDescent="0.25">
      <c r="A3217" s="46" t="s">
        <v>4962</v>
      </c>
      <c r="B3217" s="46" t="s">
        <v>11644</v>
      </c>
      <c r="C3217" s="46" t="s">
        <v>14</v>
      </c>
      <c r="D3217" s="47">
        <v>8805</v>
      </c>
      <c r="E3217" s="46" t="s">
        <v>4963</v>
      </c>
      <c r="F3217" s="48">
        <v>40556</v>
      </c>
      <c r="G3217" s="46"/>
      <c r="H3217" s="46" t="s">
        <v>40</v>
      </c>
      <c r="I3217" s="45">
        <v>17248</v>
      </c>
      <c r="J3217" s="45">
        <v>12374</v>
      </c>
      <c r="K3217" s="49" t="s">
        <v>4667</v>
      </c>
      <c r="L3217" s="45"/>
      <c r="M3217" s="3"/>
    </row>
    <row r="3218" spans="1:13" ht="51" x14ac:dyDescent="0.25">
      <c r="A3218" s="46" t="s">
        <v>4964</v>
      </c>
      <c r="B3218" s="46" t="s">
        <v>11644</v>
      </c>
      <c r="C3218" s="46" t="s">
        <v>14</v>
      </c>
      <c r="D3218" s="47">
        <v>8809</v>
      </c>
      <c r="E3218" s="50" t="s">
        <v>4965</v>
      </c>
      <c r="F3218" s="48">
        <v>40553</v>
      </c>
      <c r="G3218" s="46"/>
      <c r="H3218" s="46" t="s">
        <v>40</v>
      </c>
      <c r="I3218" s="45">
        <v>46600</v>
      </c>
      <c r="J3218" s="45">
        <v>43300</v>
      </c>
      <c r="K3218" s="49" t="s">
        <v>4667</v>
      </c>
      <c r="L3218" s="45"/>
      <c r="M3218" s="3"/>
    </row>
    <row r="3219" spans="1:13" x14ac:dyDescent="0.25">
      <c r="A3219" s="46" t="s">
        <v>4966</v>
      </c>
      <c r="B3219" s="46" t="s">
        <v>11644</v>
      </c>
      <c r="C3219" s="46" t="s">
        <v>14</v>
      </c>
      <c r="D3219" s="47">
        <v>8810</v>
      </c>
      <c r="E3219" s="46" t="s">
        <v>4967</v>
      </c>
      <c r="F3219" s="48">
        <v>40560</v>
      </c>
      <c r="G3219" s="46"/>
      <c r="H3219" s="46" t="s">
        <v>40</v>
      </c>
      <c r="I3219" s="45">
        <v>3750</v>
      </c>
      <c r="J3219" s="45">
        <v>3750</v>
      </c>
      <c r="K3219" s="49" t="s">
        <v>4667</v>
      </c>
      <c r="L3219" s="45"/>
      <c r="M3219" s="3"/>
    </row>
    <row r="3220" spans="1:13" ht="25.5" x14ac:dyDescent="0.25">
      <c r="A3220" s="46" t="s">
        <v>4968</v>
      </c>
      <c r="B3220" s="46" t="s">
        <v>11644</v>
      </c>
      <c r="C3220" s="46" t="s">
        <v>14</v>
      </c>
      <c r="D3220" s="47">
        <v>8814</v>
      </c>
      <c r="E3220" s="46" t="s">
        <v>4969</v>
      </c>
      <c r="F3220" s="48">
        <v>40553</v>
      </c>
      <c r="G3220" s="46"/>
      <c r="H3220" s="46" t="s">
        <v>40</v>
      </c>
      <c r="I3220" s="45">
        <v>10000</v>
      </c>
      <c r="J3220" s="45">
        <v>10000</v>
      </c>
      <c r="K3220" s="49" t="s">
        <v>4667</v>
      </c>
      <c r="L3220" s="45"/>
      <c r="M3220" s="3"/>
    </row>
    <row r="3221" spans="1:13" ht="63.75" x14ac:dyDescent="0.25">
      <c r="A3221" s="46" t="s">
        <v>4970</v>
      </c>
      <c r="B3221" s="46" t="s">
        <v>11644</v>
      </c>
      <c r="C3221" s="46" t="s">
        <v>14</v>
      </c>
      <c r="D3221" s="47">
        <v>8908</v>
      </c>
      <c r="E3221" s="50" t="s">
        <v>4971</v>
      </c>
      <c r="F3221" s="48">
        <v>40833</v>
      </c>
      <c r="G3221" s="46"/>
      <c r="H3221" s="46" t="s">
        <v>40</v>
      </c>
      <c r="I3221" s="45">
        <v>48000</v>
      </c>
      <c r="J3221" s="45">
        <v>39000</v>
      </c>
      <c r="K3221" s="49" t="s">
        <v>4667</v>
      </c>
      <c r="L3221" s="45"/>
      <c r="M3221" s="3"/>
    </row>
    <row r="3222" spans="1:13" ht="25.5" x14ac:dyDescent="0.25">
      <c r="A3222" s="46" t="s">
        <v>4976</v>
      </c>
      <c r="B3222" s="46" t="s">
        <v>11644</v>
      </c>
      <c r="C3222" s="46" t="s">
        <v>14</v>
      </c>
      <c r="D3222" s="47">
        <v>8914</v>
      </c>
      <c r="E3222" s="46" t="s">
        <v>4977</v>
      </c>
      <c r="F3222" s="48">
        <v>40544</v>
      </c>
      <c r="G3222" s="46"/>
      <c r="H3222" s="46" t="s">
        <v>40</v>
      </c>
      <c r="I3222" s="45">
        <v>22500</v>
      </c>
      <c r="J3222" s="45">
        <v>22500</v>
      </c>
      <c r="K3222" s="49" t="s">
        <v>4667</v>
      </c>
      <c r="L3222" s="45"/>
      <c r="M3222" s="3"/>
    </row>
    <row r="3223" spans="1:13" ht="38.25" x14ac:dyDescent="0.25">
      <c r="A3223" s="46" t="s">
        <v>4976</v>
      </c>
      <c r="B3223" s="46" t="s">
        <v>11644</v>
      </c>
      <c r="C3223" s="46" t="s">
        <v>14</v>
      </c>
      <c r="D3223" s="47">
        <v>8915</v>
      </c>
      <c r="E3223" s="46" t="s">
        <v>4978</v>
      </c>
      <c r="F3223" s="48">
        <v>40831</v>
      </c>
      <c r="G3223" s="46"/>
      <c r="H3223" s="46" t="s">
        <v>40</v>
      </c>
      <c r="I3223" s="45">
        <v>22500</v>
      </c>
      <c r="J3223" s="45">
        <v>22500</v>
      </c>
      <c r="K3223" s="49" t="s">
        <v>4667</v>
      </c>
      <c r="L3223" s="45"/>
      <c r="M3223" s="3"/>
    </row>
    <row r="3224" spans="1:13" x14ac:dyDescent="0.25">
      <c r="A3224" s="46" t="s">
        <v>4983</v>
      </c>
      <c r="B3224" s="46" t="s">
        <v>11644</v>
      </c>
      <c r="C3224" s="46" t="s">
        <v>14</v>
      </c>
      <c r="D3224" s="47">
        <v>10593</v>
      </c>
      <c r="E3224" s="46" t="s">
        <v>4984</v>
      </c>
      <c r="F3224" s="48">
        <v>40820</v>
      </c>
      <c r="G3224" s="46"/>
      <c r="H3224" s="46" t="s">
        <v>40</v>
      </c>
      <c r="I3224" s="45">
        <v>20000</v>
      </c>
      <c r="J3224" s="45">
        <v>17500</v>
      </c>
      <c r="K3224" s="49" t="s">
        <v>4667</v>
      </c>
      <c r="L3224" s="45"/>
      <c r="M3224" s="3"/>
    </row>
    <row r="3225" spans="1:13" ht="25.5" x14ac:dyDescent="0.25">
      <c r="A3225" s="46" t="s">
        <v>4993</v>
      </c>
      <c r="B3225" s="46" t="s">
        <v>11644</v>
      </c>
      <c r="C3225" s="46" t="s">
        <v>14</v>
      </c>
      <c r="D3225" s="47">
        <v>10627</v>
      </c>
      <c r="E3225" s="46" t="s">
        <v>4994</v>
      </c>
      <c r="F3225" s="48">
        <v>41058</v>
      </c>
      <c r="G3225" s="46"/>
      <c r="H3225" s="46" t="s">
        <v>40</v>
      </c>
      <c r="I3225" s="45">
        <f>19000+4500</f>
        <v>23500</v>
      </c>
      <c r="J3225" s="45">
        <f>9500+4500</f>
        <v>14000</v>
      </c>
      <c r="K3225" s="49" t="s">
        <v>4667</v>
      </c>
      <c r="L3225" s="45"/>
      <c r="M3225" s="3"/>
    </row>
    <row r="3226" spans="1:13" ht="38.25" x14ac:dyDescent="0.25">
      <c r="A3226" s="46" t="s">
        <v>4997</v>
      </c>
      <c r="B3226" s="46" t="s">
        <v>11644</v>
      </c>
      <c r="C3226" s="46" t="s">
        <v>14</v>
      </c>
      <c r="D3226" s="47">
        <v>10629</v>
      </c>
      <c r="E3226" s="46" t="s">
        <v>4998</v>
      </c>
      <c r="F3226" s="48">
        <v>41148</v>
      </c>
      <c r="G3226" s="46"/>
      <c r="H3226" s="46" t="s">
        <v>40</v>
      </c>
      <c r="I3226" s="45">
        <v>530</v>
      </c>
      <c r="J3226" s="45">
        <v>265</v>
      </c>
      <c r="K3226" s="49" t="s">
        <v>4667</v>
      </c>
      <c r="L3226" s="45"/>
      <c r="M3226" s="3"/>
    </row>
    <row r="3227" spans="1:13" ht="25.5" x14ac:dyDescent="0.25">
      <c r="A3227" s="46" t="s">
        <v>5008</v>
      </c>
      <c r="B3227" s="46" t="s">
        <v>11644</v>
      </c>
      <c r="C3227" s="46" t="s">
        <v>14</v>
      </c>
      <c r="D3227" s="47">
        <v>10635</v>
      </c>
      <c r="E3227" s="46" t="s">
        <v>5009</v>
      </c>
      <c r="F3227" s="48">
        <v>41000</v>
      </c>
      <c r="G3227" s="46"/>
      <c r="H3227" s="46" t="s">
        <v>40</v>
      </c>
      <c r="I3227" s="45">
        <v>12000</v>
      </c>
      <c r="J3227" s="45">
        <v>12000</v>
      </c>
      <c r="K3227" s="49" t="s">
        <v>4667</v>
      </c>
      <c r="L3227" s="45"/>
      <c r="M3227" s="3"/>
    </row>
    <row r="3228" spans="1:13" x14ac:dyDescent="0.25">
      <c r="A3228" s="46" t="s">
        <v>5253</v>
      </c>
      <c r="B3228" s="46" t="s">
        <v>11644</v>
      </c>
      <c r="C3228" s="46" t="s">
        <v>14</v>
      </c>
      <c r="D3228" s="47">
        <v>1946</v>
      </c>
      <c r="E3228" s="46" t="s">
        <v>5254</v>
      </c>
      <c r="F3228" s="48">
        <v>39083</v>
      </c>
      <c r="G3228" s="48">
        <v>39447</v>
      </c>
      <c r="H3228" s="46" t="s">
        <v>40</v>
      </c>
      <c r="I3228" s="45">
        <v>2779.3</v>
      </c>
      <c r="J3228" s="45">
        <v>2579.3000000000002</v>
      </c>
      <c r="K3228" s="49" t="s">
        <v>5018</v>
      </c>
      <c r="L3228" s="45"/>
      <c r="M3228" s="3"/>
    </row>
    <row r="3229" spans="1:13" ht="38.25" x14ac:dyDescent="0.25">
      <c r="A3229" s="46" t="s">
        <v>5471</v>
      </c>
      <c r="B3229" s="46" t="s">
        <v>11644</v>
      </c>
      <c r="C3229" s="46" t="s">
        <v>14</v>
      </c>
      <c r="D3229" s="47">
        <v>7373</v>
      </c>
      <c r="E3229" s="46" t="s">
        <v>5472</v>
      </c>
      <c r="F3229" s="48">
        <v>40448</v>
      </c>
      <c r="G3229" s="48">
        <v>40908</v>
      </c>
      <c r="H3229" s="46" t="s">
        <v>40</v>
      </c>
      <c r="I3229" s="45">
        <v>6500</v>
      </c>
      <c r="J3229" s="45">
        <v>6500</v>
      </c>
      <c r="K3229" s="49" t="s">
        <v>5018</v>
      </c>
      <c r="L3229" s="45"/>
      <c r="M3229" s="3"/>
    </row>
    <row r="3230" spans="1:13" ht="38.25" x14ac:dyDescent="0.25">
      <c r="A3230" s="46" t="s">
        <v>5479</v>
      </c>
      <c r="B3230" s="46" t="s">
        <v>11644</v>
      </c>
      <c r="C3230" s="46" t="s">
        <v>14</v>
      </c>
      <c r="D3230" s="47">
        <v>7377</v>
      </c>
      <c r="E3230" s="46" t="s">
        <v>5480</v>
      </c>
      <c r="F3230" s="48">
        <v>40457</v>
      </c>
      <c r="G3230" s="48">
        <v>40532</v>
      </c>
      <c r="H3230" s="46" t="s">
        <v>40</v>
      </c>
      <c r="I3230" s="45">
        <v>11197</v>
      </c>
      <c r="J3230" s="45">
        <v>8411</v>
      </c>
      <c r="K3230" s="49" t="s">
        <v>5018</v>
      </c>
      <c r="L3230" s="45"/>
      <c r="M3230" s="3"/>
    </row>
    <row r="3231" spans="1:13" x14ac:dyDescent="0.25">
      <c r="A3231" s="46" t="s">
        <v>5562</v>
      </c>
      <c r="B3231" s="46" t="s">
        <v>11644</v>
      </c>
      <c r="C3231" s="46" t="s">
        <v>14</v>
      </c>
      <c r="D3231" s="47">
        <v>9211</v>
      </c>
      <c r="E3231" s="46" t="s">
        <v>5563</v>
      </c>
      <c r="F3231" s="48">
        <v>40758</v>
      </c>
      <c r="G3231" s="48">
        <v>41274</v>
      </c>
      <c r="H3231" s="46" t="s">
        <v>40</v>
      </c>
      <c r="I3231" s="45">
        <v>14531.5</v>
      </c>
      <c r="J3231" s="45">
        <v>14531.5</v>
      </c>
      <c r="K3231" s="49" t="s">
        <v>5018</v>
      </c>
      <c r="L3231" s="45"/>
      <c r="M3231" s="3"/>
    </row>
    <row r="3232" spans="1:13" ht="25.5" x14ac:dyDescent="0.25">
      <c r="A3232" s="46" t="s">
        <v>5564</v>
      </c>
      <c r="B3232" s="46" t="s">
        <v>11644</v>
      </c>
      <c r="C3232" s="46" t="s">
        <v>14</v>
      </c>
      <c r="D3232" s="47">
        <v>9212</v>
      </c>
      <c r="E3232" s="46" t="s">
        <v>5565</v>
      </c>
      <c r="F3232" s="48">
        <v>40861</v>
      </c>
      <c r="G3232" s="48">
        <v>41274</v>
      </c>
      <c r="H3232" s="46" t="s">
        <v>40</v>
      </c>
      <c r="I3232" s="45">
        <v>36375</v>
      </c>
      <c r="J3232" s="45">
        <v>36375</v>
      </c>
      <c r="K3232" s="49" t="s">
        <v>5018</v>
      </c>
      <c r="L3232" s="45"/>
      <c r="M3232" s="3"/>
    </row>
    <row r="3233" spans="1:13" x14ac:dyDescent="0.25">
      <c r="A3233" s="46" t="s">
        <v>5566</v>
      </c>
      <c r="B3233" s="46" t="s">
        <v>11644</v>
      </c>
      <c r="C3233" s="46" t="s">
        <v>14</v>
      </c>
      <c r="D3233" s="47">
        <v>9215</v>
      </c>
      <c r="E3233" s="46" t="s">
        <v>5567</v>
      </c>
      <c r="F3233" s="48">
        <v>40448</v>
      </c>
      <c r="G3233" s="48">
        <v>40813</v>
      </c>
      <c r="H3233" s="46" t="s">
        <v>40</v>
      </c>
      <c r="I3233" s="45">
        <v>133485.34</v>
      </c>
      <c r="J3233" s="45">
        <v>66742.67</v>
      </c>
      <c r="K3233" s="49" t="s">
        <v>5018</v>
      </c>
      <c r="L3233" s="45"/>
      <c r="M3233" s="3"/>
    </row>
    <row r="3234" spans="1:13" x14ac:dyDescent="0.25">
      <c r="A3234" s="46" t="s">
        <v>5572</v>
      </c>
      <c r="B3234" s="46" t="s">
        <v>11644</v>
      </c>
      <c r="C3234" s="46" t="s">
        <v>14</v>
      </c>
      <c r="D3234" s="47">
        <v>9218</v>
      </c>
      <c r="E3234" s="46" t="s">
        <v>5573</v>
      </c>
      <c r="F3234" s="48">
        <v>40812</v>
      </c>
      <c r="G3234" s="48">
        <v>41237</v>
      </c>
      <c r="H3234" s="46" t="s">
        <v>40</v>
      </c>
      <c r="I3234" s="45">
        <v>9256</v>
      </c>
      <c r="J3234" s="45">
        <v>9256</v>
      </c>
      <c r="K3234" s="49" t="s">
        <v>5018</v>
      </c>
      <c r="L3234" s="45"/>
      <c r="M3234" s="3"/>
    </row>
    <row r="3235" spans="1:13" ht="25.5" x14ac:dyDescent="0.25">
      <c r="A3235" s="46" t="s">
        <v>5578</v>
      </c>
      <c r="B3235" s="46" t="s">
        <v>11644</v>
      </c>
      <c r="C3235" s="46" t="s">
        <v>14</v>
      </c>
      <c r="D3235" s="47">
        <v>9250</v>
      </c>
      <c r="E3235" s="46" t="s">
        <v>5579</v>
      </c>
      <c r="F3235" s="48">
        <v>40813</v>
      </c>
      <c r="G3235" s="48">
        <v>40835</v>
      </c>
      <c r="H3235" s="46" t="s">
        <v>40</v>
      </c>
      <c r="I3235" s="45">
        <v>15700.2</v>
      </c>
      <c r="J3235" s="45">
        <v>7850.1</v>
      </c>
      <c r="K3235" s="49" t="s">
        <v>5018</v>
      </c>
      <c r="L3235" s="45"/>
      <c r="M3235" s="3"/>
    </row>
    <row r="3236" spans="1:13" x14ac:dyDescent="0.25">
      <c r="A3236" s="46" t="s">
        <v>5580</v>
      </c>
      <c r="B3236" s="46" t="s">
        <v>11644</v>
      </c>
      <c r="C3236" s="46" t="s">
        <v>14</v>
      </c>
      <c r="D3236" s="47">
        <v>9251</v>
      </c>
      <c r="E3236" s="46" t="s">
        <v>5581</v>
      </c>
      <c r="F3236" s="48">
        <v>40735</v>
      </c>
      <c r="G3236" s="48">
        <v>41263</v>
      </c>
      <c r="H3236" s="46" t="s">
        <v>40</v>
      </c>
      <c r="I3236" s="45">
        <v>61783</v>
      </c>
      <c r="J3236" s="45">
        <v>37641.5</v>
      </c>
      <c r="K3236" s="49" t="s">
        <v>5018</v>
      </c>
      <c r="L3236" s="45"/>
      <c r="M3236" s="3"/>
    </row>
    <row r="3237" spans="1:13" ht="25.5" x14ac:dyDescent="0.25">
      <c r="A3237" s="46" t="s">
        <v>5586</v>
      </c>
      <c r="B3237" s="46" t="s">
        <v>11644</v>
      </c>
      <c r="C3237" s="46" t="s">
        <v>14</v>
      </c>
      <c r="D3237" s="47">
        <v>9254</v>
      </c>
      <c r="E3237" s="46" t="s">
        <v>5587</v>
      </c>
      <c r="F3237" s="48">
        <v>40364</v>
      </c>
      <c r="G3237" s="48">
        <v>40729</v>
      </c>
      <c r="H3237" s="46" t="s">
        <v>40</v>
      </c>
      <c r="I3237" s="45">
        <v>9884</v>
      </c>
      <c r="J3237" s="45">
        <v>7754.5</v>
      </c>
      <c r="K3237" s="49" t="s">
        <v>5018</v>
      </c>
      <c r="L3237" s="45"/>
      <c r="M3237" s="3"/>
    </row>
    <row r="3238" spans="1:13" x14ac:dyDescent="0.25">
      <c r="A3238" s="46" t="s">
        <v>5673</v>
      </c>
      <c r="B3238" s="46" t="s">
        <v>11644</v>
      </c>
      <c r="C3238" s="46" t="s">
        <v>14</v>
      </c>
      <c r="D3238" s="47">
        <v>10657</v>
      </c>
      <c r="E3238" s="46" t="s">
        <v>5674</v>
      </c>
      <c r="F3238" s="48">
        <v>41022</v>
      </c>
      <c r="G3238" s="48">
        <v>41274</v>
      </c>
      <c r="H3238" s="46" t="s">
        <v>40</v>
      </c>
      <c r="I3238" s="45">
        <v>4687.5</v>
      </c>
      <c r="J3238" s="45">
        <v>4687.5</v>
      </c>
      <c r="K3238" s="49" t="s">
        <v>5018</v>
      </c>
      <c r="L3238" s="45"/>
      <c r="M3238" s="3"/>
    </row>
    <row r="3239" spans="1:13" x14ac:dyDescent="0.25">
      <c r="A3239" s="46" t="s">
        <v>5677</v>
      </c>
      <c r="B3239" s="46" t="s">
        <v>11644</v>
      </c>
      <c r="C3239" s="46" t="s">
        <v>14</v>
      </c>
      <c r="D3239" s="47">
        <v>10659</v>
      </c>
      <c r="E3239" s="46" t="s">
        <v>5678</v>
      </c>
      <c r="F3239" s="48">
        <v>41022</v>
      </c>
      <c r="G3239" s="48">
        <v>41274</v>
      </c>
      <c r="H3239" s="46" t="s">
        <v>40</v>
      </c>
      <c r="I3239" s="45">
        <v>5625</v>
      </c>
      <c r="J3239" s="45">
        <v>5625</v>
      </c>
      <c r="K3239" s="49" t="s">
        <v>5018</v>
      </c>
      <c r="L3239" s="45"/>
      <c r="M3239" s="3"/>
    </row>
    <row r="3240" spans="1:13" x14ac:dyDescent="0.25">
      <c r="A3240" s="46" t="s">
        <v>5683</v>
      </c>
      <c r="B3240" s="46" t="s">
        <v>11644</v>
      </c>
      <c r="C3240" s="46" t="s">
        <v>14</v>
      </c>
      <c r="D3240" s="47">
        <v>10662</v>
      </c>
      <c r="E3240" s="46" t="s">
        <v>5684</v>
      </c>
      <c r="F3240" s="48">
        <v>41057</v>
      </c>
      <c r="G3240" s="48">
        <v>41274</v>
      </c>
      <c r="H3240" s="46" t="s">
        <v>40</v>
      </c>
      <c r="I3240" s="45">
        <v>4729.5</v>
      </c>
      <c r="J3240" s="45">
        <v>4729.5</v>
      </c>
      <c r="K3240" s="49" t="s">
        <v>5018</v>
      </c>
      <c r="L3240" s="45"/>
      <c r="M3240" s="3"/>
    </row>
    <row r="3241" spans="1:13" x14ac:dyDescent="0.25">
      <c r="A3241" s="46" t="s">
        <v>5685</v>
      </c>
      <c r="B3241" s="46" t="s">
        <v>11644</v>
      </c>
      <c r="C3241" s="46" t="s">
        <v>14</v>
      </c>
      <c r="D3241" s="47">
        <v>10663</v>
      </c>
      <c r="E3241" s="46" t="s">
        <v>5686</v>
      </c>
      <c r="F3241" s="48">
        <v>41176</v>
      </c>
      <c r="G3241" s="48">
        <v>41274</v>
      </c>
      <c r="H3241" s="46" t="s">
        <v>40</v>
      </c>
      <c r="I3241" s="45">
        <v>45000</v>
      </c>
      <c r="J3241" s="45">
        <v>45000</v>
      </c>
      <c r="K3241" s="49" t="s">
        <v>5018</v>
      </c>
      <c r="L3241" s="45"/>
      <c r="M3241" s="3"/>
    </row>
    <row r="3242" spans="1:13" x14ac:dyDescent="0.25">
      <c r="A3242" s="46" t="s">
        <v>5688</v>
      </c>
      <c r="B3242" s="46" t="s">
        <v>11644</v>
      </c>
      <c r="C3242" s="46" t="s">
        <v>14</v>
      </c>
      <c r="D3242" s="47">
        <v>10665</v>
      </c>
      <c r="E3242" s="46" t="s">
        <v>5689</v>
      </c>
      <c r="F3242" s="48">
        <v>41253</v>
      </c>
      <c r="G3242" s="48">
        <v>41639</v>
      </c>
      <c r="H3242" s="46" t="s">
        <v>40</v>
      </c>
      <c r="I3242" s="45">
        <f>15000+3750</f>
        <v>18750</v>
      </c>
      <c r="J3242" s="45">
        <f>3750+3750</f>
        <v>7500</v>
      </c>
      <c r="K3242" s="49" t="s">
        <v>5018</v>
      </c>
      <c r="L3242" s="45"/>
      <c r="M3242" s="3"/>
    </row>
    <row r="3243" spans="1:13" x14ac:dyDescent="0.25">
      <c r="A3243" s="46" t="s">
        <v>5690</v>
      </c>
      <c r="B3243" s="46" t="s">
        <v>11644</v>
      </c>
      <c r="C3243" s="46" t="s">
        <v>14</v>
      </c>
      <c r="D3243" s="47">
        <v>10667</v>
      </c>
      <c r="E3243" s="46" t="s">
        <v>5691</v>
      </c>
      <c r="F3243" s="48">
        <v>41022</v>
      </c>
      <c r="G3243" s="48">
        <v>41274</v>
      </c>
      <c r="H3243" s="46" t="s">
        <v>40</v>
      </c>
      <c r="I3243" s="45">
        <v>13125</v>
      </c>
      <c r="J3243" s="45">
        <v>13125</v>
      </c>
      <c r="K3243" s="49" t="s">
        <v>5018</v>
      </c>
      <c r="L3243" s="45"/>
      <c r="M3243" s="3"/>
    </row>
    <row r="3244" spans="1:13" ht="25.5" x14ac:dyDescent="0.25">
      <c r="A3244" s="46" t="s">
        <v>5696</v>
      </c>
      <c r="B3244" s="46" t="s">
        <v>11644</v>
      </c>
      <c r="C3244" s="46" t="s">
        <v>14</v>
      </c>
      <c r="D3244" s="47">
        <v>10676</v>
      </c>
      <c r="E3244" s="46" t="s">
        <v>5697</v>
      </c>
      <c r="F3244" s="48">
        <v>41255</v>
      </c>
      <c r="G3244" s="48">
        <v>41274</v>
      </c>
      <c r="H3244" s="46" t="s">
        <v>40</v>
      </c>
      <c r="I3244" s="45">
        <v>3623</v>
      </c>
      <c r="J3244" s="45">
        <v>1811.5</v>
      </c>
      <c r="K3244" s="49" t="s">
        <v>5018</v>
      </c>
      <c r="L3244" s="45"/>
      <c r="M3244" s="3"/>
    </row>
    <row r="3245" spans="1:13" ht="51" x14ac:dyDescent="0.25">
      <c r="A3245" s="46" t="s">
        <v>6076</v>
      </c>
      <c r="B3245" s="46" t="s">
        <v>11644</v>
      </c>
      <c r="C3245" s="46" t="s">
        <v>14</v>
      </c>
      <c r="D3245" s="47">
        <v>7796</v>
      </c>
      <c r="E3245" s="50" t="s">
        <v>6077</v>
      </c>
      <c r="F3245" s="48">
        <v>40217</v>
      </c>
      <c r="G3245" s="48">
        <v>40854</v>
      </c>
      <c r="H3245" s="46" t="s">
        <v>40</v>
      </c>
      <c r="I3245" s="45">
        <v>28489.63</v>
      </c>
      <c r="J3245" s="45">
        <v>22994.63</v>
      </c>
      <c r="K3245" s="49" t="s">
        <v>5815</v>
      </c>
      <c r="L3245" s="45"/>
      <c r="M3245" s="3"/>
    </row>
    <row r="3246" spans="1:13" ht="25.5" x14ac:dyDescent="0.25">
      <c r="A3246" s="46" t="s">
        <v>6078</v>
      </c>
      <c r="B3246" s="46" t="s">
        <v>11644</v>
      </c>
      <c r="C3246" s="46" t="s">
        <v>14</v>
      </c>
      <c r="D3246" s="47">
        <v>7803</v>
      </c>
      <c r="E3246" s="46" t="s">
        <v>6079</v>
      </c>
      <c r="F3246" s="48">
        <v>40217</v>
      </c>
      <c r="G3246" s="48">
        <v>40563</v>
      </c>
      <c r="H3246" s="46" t="s">
        <v>40</v>
      </c>
      <c r="I3246" s="45">
        <v>19500</v>
      </c>
      <c r="J3246" s="45">
        <v>19500</v>
      </c>
      <c r="K3246" s="49" t="s">
        <v>5815</v>
      </c>
      <c r="L3246" s="45"/>
      <c r="M3246" s="3"/>
    </row>
    <row r="3247" spans="1:13" ht="25.5" x14ac:dyDescent="0.25">
      <c r="A3247" s="46" t="s">
        <v>6080</v>
      </c>
      <c r="B3247" s="46" t="s">
        <v>11644</v>
      </c>
      <c r="C3247" s="46" t="s">
        <v>14</v>
      </c>
      <c r="D3247" s="47">
        <v>7804</v>
      </c>
      <c r="E3247" s="46" t="s">
        <v>6081</v>
      </c>
      <c r="F3247" s="48">
        <v>40217</v>
      </c>
      <c r="G3247" s="48">
        <v>40506</v>
      </c>
      <c r="H3247" s="46" t="s">
        <v>40</v>
      </c>
      <c r="I3247" s="45">
        <v>10624.36</v>
      </c>
      <c r="J3247" s="45">
        <v>10321.18</v>
      </c>
      <c r="K3247" s="49" t="s">
        <v>5815</v>
      </c>
      <c r="L3247" s="45"/>
      <c r="M3247" s="3"/>
    </row>
    <row r="3248" spans="1:13" ht="25.5" x14ac:dyDescent="0.25">
      <c r="A3248" s="46" t="s">
        <v>6084</v>
      </c>
      <c r="B3248" s="46" t="s">
        <v>11644</v>
      </c>
      <c r="C3248" s="46" t="s">
        <v>14</v>
      </c>
      <c r="D3248" s="47">
        <v>7807</v>
      </c>
      <c r="E3248" s="46" t="s">
        <v>6085</v>
      </c>
      <c r="F3248" s="48">
        <v>40217</v>
      </c>
      <c r="G3248" s="48">
        <v>40660</v>
      </c>
      <c r="H3248" s="46" t="s">
        <v>40</v>
      </c>
      <c r="I3248" s="45">
        <v>15000</v>
      </c>
      <c r="J3248" s="45">
        <v>15000</v>
      </c>
      <c r="K3248" s="49" t="s">
        <v>5815</v>
      </c>
      <c r="L3248" s="45"/>
      <c r="M3248" s="3"/>
    </row>
    <row r="3249" spans="1:13" ht="25.5" x14ac:dyDescent="0.25">
      <c r="A3249" s="46" t="s">
        <v>6086</v>
      </c>
      <c r="B3249" s="46" t="s">
        <v>11644</v>
      </c>
      <c r="C3249" s="46" t="s">
        <v>14</v>
      </c>
      <c r="D3249" s="47">
        <v>7809</v>
      </c>
      <c r="E3249" s="46" t="s">
        <v>6087</v>
      </c>
      <c r="F3249" s="48">
        <v>40259</v>
      </c>
      <c r="G3249" s="48">
        <v>40563</v>
      </c>
      <c r="H3249" s="46" t="s">
        <v>40</v>
      </c>
      <c r="I3249" s="45">
        <v>14000</v>
      </c>
      <c r="J3249" s="45">
        <v>14000</v>
      </c>
      <c r="K3249" s="49" t="s">
        <v>5815</v>
      </c>
      <c r="L3249" s="45"/>
      <c r="M3249" s="3"/>
    </row>
    <row r="3250" spans="1:13" ht="25.5" x14ac:dyDescent="0.25">
      <c r="A3250" s="46" t="s">
        <v>6088</v>
      </c>
      <c r="B3250" s="46" t="s">
        <v>11644</v>
      </c>
      <c r="C3250" s="46" t="s">
        <v>14</v>
      </c>
      <c r="D3250" s="47">
        <v>7810</v>
      </c>
      <c r="E3250" s="46" t="s">
        <v>6089</v>
      </c>
      <c r="F3250" s="48">
        <v>40386</v>
      </c>
      <c r="G3250" s="46"/>
      <c r="H3250" s="46" t="s">
        <v>40</v>
      </c>
      <c r="I3250" s="45">
        <v>6292.83</v>
      </c>
      <c r="J3250" s="45">
        <v>4365.29</v>
      </c>
      <c r="K3250" s="49" t="s">
        <v>5815</v>
      </c>
      <c r="L3250" s="45"/>
      <c r="M3250" s="3"/>
    </row>
    <row r="3251" spans="1:13" ht="25.5" x14ac:dyDescent="0.25">
      <c r="A3251" s="46" t="s">
        <v>6090</v>
      </c>
      <c r="B3251" s="46" t="s">
        <v>11644</v>
      </c>
      <c r="C3251" s="46" t="s">
        <v>14</v>
      </c>
      <c r="D3251" s="47">
        <v>7814</v>
      </c>
      <c r="E3251" s="46" t="s">
        <v>6091</v>
      </c>
      <c r="F3251" s="48">
        <v>40473</v>
      </c>
      <c r="G3251" s="48">
        <v>40821</v>
      </c>
      <c r="H3251" s="46" t="s">
        <v>40</v>
      </c>
      <c r="I3251" s="45">
        <v>23060.71</v>
      </c>
      <c r="J3251" s="45">
        <v>12230.15</v>
      </c>
      <c r="K3251" s="49" t="s">
        <v>5815</v>
      </c>
      <c r="L3251" s="45"/>
      <c r="M3251" s="3"/>
    </row>
    <row r="3252" spans="1:13" ht="38.25" x14ac:dyDescent="0.25">
      <c r="A3252" s="46" t="s">
        <v>6100</v>
      </c>
      <c r="B3252" s="46" t="s">
        <v>11644</v>
      </c>
      <c r="C3252" s="46" t="s">
        <v>14</v>
      </c>
      <c r="D3252" s="47">
        <v>8681</v>
      </c>
      <c r="E3252" s="46" t="s">
        <v>6101</v>
      </c>
      <c r="F3252" s="48">
        <v>40596</v>
      </c>
      <c r="G3252" s="48">
        <v>40808</v>
      </c>
      <c r="H3252" s="46" t="s">
        <v>40</v>
      </c>
      <c r="I3252" s="45">
        <v>15000</v>
      </c>
      <c r="J3252" s="45">
        <v>15000</v>
      </c>
      <c r="K3252" s="49" t="s">
        <v>5815</v>
      </c>
      <c r="L3252" s="45"/>
      <c r="M3252" s="3"/>
    </row>
    <row r="3253" spans="1:13" ht="38.25" x14ac:dyDescent="0.25">
      <c r="A3253" s="46" t="s">
        <v>6102</v>
      </c>
      <c r="B3253" s="46" t="s">
        <v>11644</v>
      </c>
      <c r="C3253" s="46" t="s">
        <v>14</v>
      </c>
      <c r="D3253" s="47">
        <v>8685</v>
      </c>
      <c r="E3253" s="46" t="s">
        <v>6103</v>
      </c>
      <c r="F3253" s="48">
        <v>40604</v>
      </c>
      <c r="G3253" s="48">
        <v>40821</v>
      </c>
      <c r="H3253" s="46" t="s">
        <v>40</v>
      </c>
      <c r="I3253" s="45">
        <v>7500</v>
      </c>
      <c r="J3253" s="45">
        <v>7500</v>
      </c>
      <c r="K3253" s="49" t="s">
        <v>5815</v>
      </c>
      <c r="L3253" s="45"/>
      <c r="M3253" s="3"/>
    </row>
    <row r="3254" spans="1:13" ht="25.5" x14ac:dyDescent="0.25">
      <c r="A3254" s="46" t="s">
        <v>6104</v>
      </c>
      <c r="B3254" s="46" t="s">
        <v>11644</v>
      </c>
      <c r="C3254" s="46" t="s">
        <v>14</v>
      </c>
      <c r="D3254" s="47">
        <v>8686</v>
      </c>
      <c r="E3254" s="46" t="s">
        <v>6105</v>
      </c>
      <c r="F3254" s="48">
        <v>40623</v>
      </c>
      <c r="G3254" s="48">
        <v>40877</v>
      </c>
      <c r="H3254" s="46" t="s">
        <v>40</v>
      </c>
      <c r="I3254" s="45">
        <v>17500</v>
      </c>
      <c r="J3254" s="45">
        <v>12500</v>
      </c>
      <c r="K3254" s="49" t="s">
        <v>5815</v>
      </c>
      <c r="L3254" s="45"/>
      <c r="M3254" s="3"/>
    </row>
    <row r="3255" spans="1:13" ht="25.5" x14ac:dyDescent="0.25">
      <c r="A3255" s="46" t="s">
        <v>6110</v>
      </c>
      <c r="B3255" s="46" t="s">
        <v>11644</v>
      </c>
      <c r="C3255" s="46" t="s">
        <v>14</v>
      </c>
      <c r="D3255" s="47">
        <v>8717</v>
      </c>
      <c r="E3255" s="46" t="s">
        <v>6111</v>
      </c>
      <c r="F3255" s="48">
        <v>40749</v>
      </c>
      <c r="G3255" s="48">
        <v>40954</v>
      </c>
      <c r="H3255" s="46" t="s">
        <v>40</v>
      </c>
      <c r="I3255" s="45">
        <v>7500</v>
      </c>
      <c r="J3255" s="45">
        <v>7500</v>
      </c>
      <c r="K3255" s="49" t="s">
        <v>5815</v>
      </c>
      <c r="L3255" s="45"/>
      <c r="M3255" s="3"/>
    </row>
    <row r="3256" spans="1:13" ht="38.25" x14ac:dyDescent="0.25">
      <c r="A3256" s="46" t="s">
        <v>6112</v>
      </c>
      <c r="B3256" s="46" t="s">
        <v>11644</v>
      </c>
      <c r="C3256" s="46" t="s">
        <v>14</v>
      </c>
      <c r="D3256" s="47">
        <v>8734</v>
      </c>
      <c r="E3256" s="46" t="s">
        <v>6113</v>
      </c>
      <c r="F3256" s="48">
        <v>40749</v>
      </c>
      <c r="G3256" s="48">
        <v>41017</v>
      </c>
      <c r="H3256" s="46" t="s">
        <v>40</v>
      </c>
      <c r="I3256" s="45">
        <v>8000</v>
      </c>
      <c r="J3256" s="45">
        <v>8000</v>
      </c>
      <c r="K3256" s="49" t="s">
        <v>5815</v>
      </c>
      <c r="L3256" s="45"/>
      <c r="M3256" s="3"/>
    </row>
    <row r="3257" spans="1:13" ht="51" x14ac:dyDescent="0.25">
      <c r="A3257" s="46" t="s">
        <v>6114</v>
      </c>
      <c r="B3257" s="46" t="s">
        <v>11644</v>
      </c>
      <c r="C3257" s="46" t="s">
        <v>14</v>
      </c>
      <c r="D3257" s="47">
        <v>8742</v>
      </c>
      <c r="E3257" s="50" t="s">
        <v>6115</v>
      </c>
      <c r="F3257" s="48">
        <v>40821</v>
      </c>
      <c r="G3257" s="46"/>
      <c r="H3257" s="46" t="s">
        <v>40</v>
      </c>
      <c r="I3257" s="45">
        <v>27071.08</v>
      </c>
      <c r="J3257" s="45">
        <v>23535.54</v>
      </c>
      <c r="K3257" s="49" t="s">
        <v>5815</v>
      </c>
      <c r="L3257" s="45"/>
      <c r="M3257" s="3"/>
    </row>
    <row r="3258" spans="1:13" ht="51" x14ac:dyDescent="0.25">
      <c r="A3258" s="46" t="s">
        <v>6116</v>
      </c>
      <c r="B3258" s="46" t="s">
        <v>11644</v>
      </c>
      <c r="C3258" s="46" t="s">
        <v>14</v>
      </c>
      <c r="D3258" s="47">
        <v>8744</v>
      </c>
      <c r="E3258" s="50" t="s">
        <v>6117</v>
      </c>
      <c r="F3258" s="48">
        <v>40644</v>
      </c>
      <c r="G3258" s="48">
        <v>41088</v>
      </c>
      <c r="H3258" s="46" t="s">
        <v>40</v>
      </c>
      <c r="I3258" s="45">
        <v>20810.32</v>
      </c>
      <c r="J3258" s="45">
        <v>17905.16</v>
      </c>
      <c r="K3258" s="49" t="s">
        <v>5815</v>
      </c>
      <c r="L3258" s="45"/>
      <c r="M3258" s="3"/>
    </row>
    <row r="3259" spans="1:13" ht="25.5" x14ac:dyDescent="0.25">
      <c r="A3259" s="46" t="s">
        <v>6118</v>
      </c>
      <c r="B3259" s="46" t="s">
        <v>11644</v>
      </c>
      <c r="C3259" s="46" t="s">
        <v>14</v>
      </c>
      <c r="D3259" s="47">
        <v>8751</v>
      </c>
      <c r="E3259" s="46" t="s">
        <v>6119</v>
      </c>
      <c r="F3259" s="48">
        <v>40854</v>
      </c>
      <c r="G3259" s="48">
        <v>41089</v>
      </c>
      <c r="H3259" s="46" t="s">
        <v>40</v>
      </c>
      <c r="I3259" s="45">
        <v>9625</v>
      </c>
      <c r="J3259" s="45">
        <v>7625</v>
      </c>
      <c r="K3259" s="49" t="s">
        <v>5815</v>
      </c>
      <c r="L3259" s="45"/>
      <c r="M3259" s="3"/>
    </row>
    <row r="3260" spans="1:13" ht="38.25" x14ac:dyDescent="0.25">
      <c r="A3260" s="46" t="s">
        <v>6120</v>
      </c>
      <c r="B3260" s="46" t="s">
        <v>11644</v>
      </c>
      <c r="C3260" s="46" t="s">
        <v>14</v>
      </c>
      <c r="D3260" s="47">
        <v>8752</v>
      </c>
      <c r="E3260" s="46" t="s">
        <v>6121</v>
      </c>
      <c r="F3260" s="48">
        <v>40877</v>
      </c>
      <c r="G3260" s="48">
        <v>40877</v>
      </c>
      <c r="H3260" s="46" t="s">
        <v>40</v>
      </c>
      <c r="I3260" s="45">
        <v>14552</v>
      </c>
      <c r="J3260" s="45">
        <v>7276</v>
      </c>
      <c r="K3260" s="49" t="s">
        <v>5815</v>
      </c>
      <c r="L3260" s="45"/>
      <c r="M3260" s="3"/>
    </row>
    <row r="3261" spans="1:13" ht="38.25" x14ac:dyDescent="0.25">
      <c r="A3261" s="46" t="s">
        <v>6122</v>
      </c>
      <c r="B3261" s="46" t="s">
        <v>11644</v>
      </c>
      <c r="C3261" s="46" t="s">
        <v>14</v>
      </c>
      <c r="D3261" s="47">
        <v>8753</v>
      </c>
      <c r="E3261" s="46" t="s">
        <v>6123</v>
      </c>
      <c r="F3261" s="48">
        <v>40877</v>
      </c>
      <c r="G3261" s="48">
        <v>40889</v>
      </c>
      <c r="H3261" s="46" t="s">
        <v>40</v>
      </c>
      <c r="I3261" s="45">
        <v>530</v>
      </c>
      <c r="J3261" s="45">
        <v>265</v>
      </c>
      <c r="K3261" s="49" t="s">
        <v>5815</v>
      </c>
      <c r="L3261" s="45"/>
      <c r="M3261" s="3"/>
    </row>
    <row r="3262" spans="1:13" ht="38.25" x14ac:dyDescent="0.25">
      <c r="A3262" s="46" t="s">
        <v>6124</v>
      </c>
      <c r="B3262" s="46" t="s">
        <v>11644</v>
      </c>
      <c r="C3262" s="46" t="s">
        <v>14</v>
      </c>
      <c r="D3262" s="47">
        <v>8756</v>
      </c>
      <c r="E3262" s="46" t="s">
        <v>6125</v>
      </c>
      <c r="F3262" s="48">
        <v>40877</v>
      </c>
      <c r="G3262" s="46"/>
      <c r="H3262" s="46" t="s">
        <v>40</v>
      </c>
      <c r="I3262" s="45">
        <v>3750</v>
      </c>
      <c r="J3262" s="45">
        <v>3750</v>
      </c>
      <c r="K3262" s="49" t="s">
        <v>5815</v>
      </c>
      <c r="L3262" s="45"/>
      <c r="M3262" s="3"/>
    </row>
    <row r="3263" spans="1:13" ht="25.5" x14ac:dyDescent="0.25">
      <c r="A3263" s="46" t="s">
        <v>6146</v>
      </c>
      <c r="B3263" s="46" t="s">
        <v>11644</v>
      </c>
      <c r="C3263" s="46" t="s">
        <v>14</v>
      </c>
      <c r="D3263" s="47">
        <v>10588</v>
      </c>
      <c r="E3263" s="46" t="s">
        <v>6147</v>
      </c>
      <c r="F3263" s="48">
        <v>41099</v>
      </c>
      <c r="G3263" s="46"/>
      <c r="H3263" s="46" t="s">
        <v>40</v>
      </c>
      <c r="I3263" s="45">
        <f>3750+15495.86</f>
        <v>19245.86</v>
      </c>
      <c r="J3263" s="45">
        <v>13372.93</v>
      </c>
      <c r="K3263" s="49" t="s">
        <v>5815</v>
      </c>
      <c r="L3263" s="45"/>
      <c r="M3263" s="3"/>
    </row>
    <row r="3264" spans="1:13" ht="25.5" x14ac:dyDescent="0.25">
      <c r="A3264" s="46" t="s">
        <v>6148</v>
      </c>
      <c r="B3264" s="46" t="s">
        <v>11644</v>
      </c>
      <c r="C3264" s="46" t="s">
        <v>14</v>
      </c>
      <c r="D3264" s="47">
        <v>10589</v>
      </c>
      <c r="E3264" s="46" t="s">
        <v>6149</v>
      </c>
      <c r="F3264" s="48">
        <v>40854</v>
      </c>
      <c r="G3264" s="48">
        <v>41241</v>
      </c>
      <c r="H3264" s="46" t="s">
        <v>40</v>
      </c>
      <c r="I3264" s="45">
        <v>35000</v>
      </c>
      <c r="J3264" s="45">
        <v>25000</v>
      </c>
      <c r="K3264" s="49" t="s">
        <v>5815</v>
      </c>
      <c r="L3264" s="45"/>
      <c r="M3264" s="3"/>
    </row>
    <row r="3265" spans="1:13" x14ac:dyDescent="0.25">
      <c r="A3265" s="46" t="s">
        <v>6150</v>
      </c>
      <c r="B3265" s="46" t="s">
        <v>11644</v>
      </c>
      <c r="C3265" s="46" t="s">
        <v>14</v>
      </c>
      <c r="D3265" s="47">
        <v>10591</v>
      </c>
      <c r="E3265" s="46" t="s">
        <v>6151</v>
      </c>
      <c r="F3265" s="48">
        <v>41202</v>
      </c>
      <c r="G3265" s="46"/>
      <c r="H3265" s="46" t="s">
        <v>40</v>
      </c>
      <c r="I3265" s="45">
        <f>3750+2439.02</f>
        <v>6189.02</v>
      </c>
      <c r="J3265" s="45">
        <f>3750+1219.51</f>
        <v>4969.51</v>
      </c>
      <c r="K3265" s="49" t="s">
        <v>5815</v>
      </c>
      <c r="L3265" s="45"/>
      <c r="M3265" s="3"/>
    </row>
    <row r="3266" spans="1:13" ht="51" x14ac:dyDescent="0.25">
      <c r="A3266" s="46" t="s">
        <v>6152</v>
      </c>
      <c r="B3266" s="46" t="s">
        <v>11644</v>
      </c>
      <c r="C3266" s="46" t="s">
        <v>14</v>
      </c>
      <c r="D3266" s="47">
        <v>10594</v>
      </c>
      <c r="E3266" s="50" t="s">
        <v>6153</v>
      </c>
      <c r="F3266" s="48">
        <v>40984</v>
      </c>
      <c r="G3266" s="46"/>
      <c r="H3266" s="46" t="s">
        <v>40</v>
      </c>
      <c r="I3266" s="45">
        <v>3750</v>
      </c>
      <c r="J3266" s="45">
        <v>3750</v>
      </c>
      <c r="K3266" s="49" t="s">
        <v>5815</v>
      </c>
      <c r="L3266" s="45"/>
      <c r="M3266" s="3"/>
    </row>
    <row r="3267" spans="1:13" ht="38.25" x14ac:dyDescent="0.25">
      <c r="A3267" s="46" t="s">
        <v>6475</v>
      </c>
      <c r="B3267" s="46" t="s">
        <v>11644</v>
      </c>
      <c r="C3267" s="46" t="s">
        <v>14</v>
      </c>
      <c r="D3267" s="47">
        <v>7730</v>
      </c>
      <c r="E3267" s="46" t="s">
        <v>6476</v>
      </c>
      <c r="F3267" s="48">
        <v>40519</v>
      </c>
      <c r="G3267" s="46"/>
      <c r="H3267" s="46" t="s">
        <v>40</v>
      </c>
      <c r="I3267" s="45">
        <v>20500</v>
      </c>
      <c r="J3267" s="45">
        <v>20500</v>
      </c>
      <c r="K3267" s="49" t="s">
        <v>6182</v>
      </c>
      <c r="L3267" s="45"/>
      <c r="M3267" s="3"/>
    </row>
    <row r="3268" spans="1:13" ht="25.5" x14ac:dyDescent="0.25">
      <c r="A3268" s="46" t="s">
        <v>6477</v>
      </c>
      <c r="B3268" s="46" t="s">
        <v>11644</v>
      </c>
      <c r="C3268" s="46" t="s">
        <v>14</v>
      </c>
      <c r="D3268" s="47">
        <v>7733</v>
      </c>
      <c r="E3268" s="46" t="s">
        <v>6478</v>
      </c>
      <c r="F3268" s="48">
        <v>40303</v>
      </c>
      <c r="G3268" s="46"/>
      <c r="H3268" s="46" t="s">
        <v>40</v>
      </c>
      <c r="I3268" s="45">
        <v>3000</v>
      </c>
      <c r="J3268" s="45">
        <v>3000</v>
      </c>
      <c r="K3268" s="49" t="s">
        <v>6182</v>
      </c>
      <c r="L3268" s="45"/>
      <c r="M3268" s="3"/>
    </row>
    <row r="3269" spans="1:13" ht="25.5" x14ac:dyDescent="0.25">
      <c r="A3269" s="46" t="s">
        <v>6489</v>
      </c>
      <c r="B3269" s="46" t="s">
        <v>11644</v>
      </c>
      <c r="C3269" s="46" t="s">
        <v>14</v>
      </c>
      <c r="D3269" s="47">
        <v>7741</v>
      </c>
      <c r="E3269" s="46" t="s">
        <v>6490</v>
      </c>
      <c r="F3269" s="48">
        <v>40519</v>
      </c>
      <c r="G3269" s="46"/>
      <c r="H3269" s="46" t="s">
        <v>40</v>
      </c>
      <c r="I3269" s="45">
        <v>88570</v>
      </c>
      <c r="J3269" s="45">
        <v>26550</v>
      </c>
      <c r="K3269" s="49" t="s">
        <v>6182</v>
      </c>
      <c r="L3269" s="45"/>
      <c r="M3269" s="3"/>
    </row>
    <row r="3270" spans="1:13" x14ac:dyDescent="0.25">
      <c r="A3270" s="46" t="s">
        <v>6491</v>
      </c>
      <c r="B3270" s="46" t="s">
        <v>11644</v>
      </c>
      <c r="C3270" s="46" t="s">
        <v>14</v>
      </c>
      <c r="D3270" s="47">
        <v>7742</v>
      </c>
      <c r="E3270" s="46" t="s">
        <v>6492</v>
      </c>
      <c r="F3270" s="48">
        <v>40507</v>
      </c>
      <c r="G3270" s="46"/>
      <c r="H3270" s="46" t="s">
        <v>40</v>
      </c>
      <c r="I3270" s="45">
        <v>4000</v>
      </c>
      <c r="J3270" s="45">
        <v>4000</v>
      </c>
      <c r="K3270" s="49" t="s">
        <v>6182</v>
      </c>
      <c r="L3270" s="45"/>
      <c r="M3270" s="3"/>
    </row>
    <row r="3271" spans="1:13" ht="25.5" x14ac:dyDescent="0.25">
      <c r="A3271" s="46" t="s">
        <v>6495</v>
      </c>
      <c r="B3271" s="46" t="s">
        <v>11644</v>
      </c>
      <c r="C3271" s="46" t="s">
        <v>14</v>
      </c>
      <c r="D3271" s="47">
        <v>7744</v>
      </c>
      <c r="E3271" s="46" t="s">
        <v>6496</v>
      </c>
      <c r="F3271" s="48">
        <v>40351</v>
      </c>
      <c r="G3271" s="46"/>
      <c r="H3271" s="46" t="s">
        <v>40</v>
      </c>
      <c r="I3271" s="45">
        <v>9964</v>
      </c>
      <c r="J3271" s="45">
        <v>4982</v>
      </c>
      <c r="K3271" s="49" t="s">
        <v>6182</v>
      </c>
      <c r="L3271" s="45"/>
      <c r="M3271" s="3"/>
    </row>
    <row r="3272" spans="1:13" ht="38.25" x14ac:dyDescent="0.25">
      <c r="A3272" s="46" t="s">
        <v>6497</v>
      </c>
      <c r="B3272" s="46" t="s">
        <v>11644</v>
      </c>
      <c r="C3272" s="46" t="s">
        <v>14</v>
      </c>
      <c r="D3272" s="47">
        <v>7745</v>
      </c>
      <c r="E3272" s="46" t="s">
        <v>6498</v>
      </c>
      <c r="F3272" s="48">
        <v>40266</v>
      </c>
      <c r="G3272" s="46"/>
      <c r="H3272" s="46" t="s">
        <v>40</v>
      </c>
      <c r="I3272" s="45">
        <v>7500</v>
      </c>
      <c r="J3272" s="45">
        <v>7500</v>
      </c>
      <c r="K3272" s="49" t="s">
        <v>6182</v>
      </c>
      <c r="L3272" s="45"/>
      <c r="M3272" s="3"/>
    </row>
    <row r="3273" spans="1:13" ht="25.5" x14ac:dyDescent="0.25">
      <c r="A3273" s="46" t="s">
        <v>6499</v>
      </c>
      <c r="B3273" s="46" t="s">
        <v>11644</v>
      </c>
      <c r="C3273" s="46" t="s">
        <v>14</v>
      </c>
      <c r="D3273" s="47">
        <v>7746</v>
      </c>
      <c r="E3273" s="46" t="s">
        <v>6500</v>
      </c>
      <c r="F3273" s="48">
        <v>40394</v>
      </c>
      <c r="G3273" s="46"/>
      <c r="H3273" s="46" t="s">
        <v>40</v>
      </c>
      <c r="I3273" s="45">
        <v>9431</v>
      </c>
      <c r="J3273" s="45">
        <v>9431</v>
      </c>
      <c r="K3273" s="49" t="s">
        <v>6182</v>
      </c>
      <c r="L3273" s="45"/>
      <c r="M3273" s="3"/>
    </row>
    <row r="3274" spans="1:13" ht="51" x14ac:dyDescent="0.25">
      <c r="A3274" s="46" t="s">
        <v>6501</v>
      </c>
      <c r="B3274" s="46" t="s">
        <v>11644</v>
      </c>
      <c r="C3274" s="46" t="s">
        <v>14</v>
      </c>
      <c r="D3274" s="47">
        <v>7747</v>
      </c>
      <c r="E3274" s="50" t="s">
        <v>6502</v>
      </c>
      <c r="F3274" s="48">
        <v>40266</v>
      </c>
      <c r="G3274" s="46"/>
      <c r="H3274" s="46" t="s">
        <v>40</v>
      </c>
      <c r="I3274" s="45">
        <v>6000</v>
      </c>
      <c r="J3274" s="45">
        <v>6000</v>
      </c>
      <c r="K3274" s="49" t="s">
        <v>6182</v>
      </c>
      <c r="L3274" s="45"/>
      <c r="M3274" s="3"/>
    </row>
    <row r="3275" spans="1:13" ht="51" x14ac:dyDescent="0.25">
      <c r="A3275" s="46" t="s">
        <v>6505</v>
      </c>
      <c r="B3275" s="46" t="s">
        <v>11644</v>
      </c>
      <c r="C3275" s="46" t="s">
        <v>14</v>
      </c>
      <c r="D3275" s="47">
        <v>7749</v>
      </c>
      <c r="E3275" s="50" t="s">
        <v>6506</v>
      </c>
      <c r="F3275" s="48">
        <v>40529</v>
      </c>
      <c r="G3275" s="46"/>
      <c r="H3275" s="46" t="s">
        <v>40</v>
      </c>
      <c r="I3275" s="45">
        <v>137500</v>
      </c>
      <c r="J3275" s="45">
        <v>72500</v>
      </c>
      <c r="K3275" s="49" t="s">
        <v>6182</v>
      </c>
      <c r="L3275" s="45"/>
      <c r="M3275" s="3"/>
    </row>
    <row r="3276" spans="1:13" ht="25.5" x14ac:dyDescent="0.25">
      <c r="A3276" s="46" t="s">
        <v>6511</v>
      </c>
      <c r="B3276" s="46" t="s">
        <v>11644</v>
      </c>
      <c r="C3276" s="46" t="s">
        <v>14</v>
      </c>
      <c r="D3276" s="47">
        <v>7752</v>
      </c>
      <c r="E3276" s="46" t="s">
        <v>6512</v>
      </c>
      <c r="F3276" s="48">
        <v>40303</v>
      </c>
      <c r="G3276" s="46"/>
      <c r="H3276" s="46" t="s">
        <v>40</v>
      </c>
      <c r="I3276" s="45">
        <v>16000</v>
      </c>
      <c r="J3276" s="45">
        <v>16000</v>
      </c>
      <c r="K3276" s="49" t="s">
        <v>6182</v>
      </c>
      <c r="L3276" s="45"/>
      <c r="M3276" s="3"/>
    </row>
    <row r="3277" spans="1:13" ht="25.5" x14ac:dyDescent="0.25">
      <c r="A3277" s="46" t="s">
        <v>6565</v>
      </c>
      <c r="B3277" s="46" t="s">
        <v>11644</v>
      </c>
      <c r="C3277" s="46" t="s">
        <v>14</v>
      </c>
      <c r="D3277" s="47">
        <v>8967</v>
      </c>
      <c r="E3277" s="46" t="s">
        <v>6566</v>
      </c>
      <c r="F3277" s="48">
        <v>40483</v>
      </c>
      <c r="G3277" s="46"/>
      <c r="H3277" s="46" t="s">
        <v>40</v>
      </c>
      <c r="I3277" s="45">
        <v>28500</v>
      </c>
      <c r="J3277" s="45">
        <v>28500</v>
      </c>
      <c r="K3277" s="49" t="s">
        <v>6182</v>
      </c>
      <c r="L3277" s="45"/>
      <c r="M3277" s="3"/>
    </row>
    <row r="3278" spans="1:13" x14ac:dyDescent="0.25">
      <c r="A3278" s="46" t="s">
        <v>6569</v>
      </c>
      <c r="B3278" s="46" t="s">
        <v>11644</v>
      </c>
      <c r="C3278" s="46" t="s">
        <v>14</v>
      </c>
      <c r="D3278" s="47">
        <v>8970</v>
      </c>
      <c r="E3278" s="46" t="s">
        <v>6570</v>
      </c>
      <c r="F3278" s="48">
        <v>40686</v>
      </c>
      <c r="G3278" s="46"/>
      <c r="H3278" s="46" t="s">
        <v>40</v>
      </c>
      <c r="I3278" s="45">
        <v>15000</v>
      </c>
      <c r="J3278" s="45">
        <v>7500</v>
      </c>
      <c r="K3278" s="49" t="s">
        <v>6182</v>
      </c>
      <c r="L3278" s="45"/>
      <c r="M3278" s="3"/>
    </row>
    <row r="3279" spans="1:13" ht="38.25" x14ac:dyDescent="0.25">
      <c r="A3279" s="46" t="s">
        <v>6577</v>
      </c>
      <c r="B3279" s="46" t="s">
        <v>11644</v>
      </c>
      <c r="C3279" s="46" t="s">
        <v>14</v>
      </c>
      <c r="D3279" s="47">
        <v>8991</v>
      </c>
      <c r="E3279" s="46" t="s">
        <v>6578</v>
      </c>
      <c r="F3279" s="48">
        <v>40749</v>
      </c>
      <c r="G3279" s="46"/>
      <c r="H3279" s="46" t="s">
        <v>40</v>
      </c>
      <c r="I3279" s="45">
        <v>5625</v>
      </c>
      <c r="J3279" s="45">
        <v>5625</v>
      </c>
      <c r="K3279" s="49" t="s">
        <v>6182</v>
      </c>
      <c r="L3279" s="45"/>
      <c r="M3279" s="3"/>
    </row>
    <row r="3280" spans="1:13" ht="25.5" x14ac:dyDescent="0.25">
      <c r="A3280" s="46" t="s">
        <v>6579</v>
      </c>
      <c r="B3280" s="46" t="s">
        <v>11644</v>
      </c>
      <c r="C3280" s="46" t="s">
        <v>14</v>
      </c>
      <c r="D3280" s="47">
        <v>8992</v>
      </c>
      <c r="E3280" s="46" t="s">
        <v>6580</v>
      </c>
      <c r="F3280" s="48">
        <v>40774</v>
      </c>
      <c r="G3280" s="46"/>
      <c r="H3280" s="46" t="s">
        <v>40</v>
      </c>
      <c r="I3280" s="45">
        <f>15000+7500</f>
        <v>22500</v>
      </c>
      <c r="J3280" s="45">
        <f>7500+7500</f>
        <v>15000</v>
      </c>
      <c r="K3280" s="49" t="s">
        <v>6182</v>
      </c>
      <c r="L3280" s="45"/>
      <c r="M3280" s="3"/>
    </row>
    <row r="3281" spans="1:13" ht="38.25" x14ac:dyDescent="0.25">
      <c r="A3281" s="46" t="s">
        <v>6583</v>
      </c>
      <c r="B3281" s="46" t="s">
        <v>11644</v>
      </c>
      <c r="C3281" s="46" t="s">
        <v>14</v>
      </c>
      <c r="D3281" s="47">
        <v>8995</v>
      </c>
      <c r="E3281" s="46" t="s">
        <v>6584</v>
      </c>
      <c r="F3281" s="48">
        <v>40812</v>
      </c>
      <c r="G3281" s="46"/>
      <c r="H3281" s="46" t="s">
        <v>40</v>
      </c>
      <c r="I3281" s="45">
        <v>18750</v>
      </c>
      <c r="J3281" s="45">
        <v>18750</v>
      </c>
      <c r="K3281" s="49" t="s">
        <v>6182</v>
      </c>
      <c r="L3281" s="45"/>
      <c r="M3281" s="3"/>
    </row>
    <row r="3282" spans="1:13" ht="38.25" x14ac:dyDescent="0.25">
      <c r="A3282" s="46" t="s">
        <v>6585</v>
      </c>
      <c r="B3282" s="46" t="s">
        <v>11644</v>
      </c>
      <c r="C3282" s="46" t="s">
        <v>14</v>
      </c>
      <c r="D3282" s="47">
        <v>8997</v>
      </c>
      <c r="E3282" s="46" t="s">
        <v>6586</v>
      </c>
      <c r="F3282" s="48">
        <v>40630</v>
      </c>
      <c r="G3282" s="46"/>
      <c r="H3282" s="46" t="s">
        <v>40</v>
      </c>
      <c r="I3282" s="45">
        <v>6000</v>
      </c>
      <c r="J3282" s="45">
        <v>6000</v>
      </c>
      <c r="K3282" s="49" t="s">
        <v>6182</v>
      </c>
      <c r="L3282" s="45"/>
      <c r="M3282" s="3"/>
    </row>
    <row r="3283" spans="1:13" ht="38.25" x14ac:dyDescent="0.25">
      <c r="A3283" s="46" t="s">
        <v>6505</v>
      </c>
      <c r="B3283" s="46" t="s">
        <v>11644</v>
      </c>
      <c r="C3283" s="46" t="s">
        <v>14</v>
      </c>
      <c r="D3283" s="47">
        <v>8999</v>
      </c>
      <c r="E3283" s="46" t="s">
        <v>6587</v>
      </c>
      <c r="F3283" s="48">
        <v>40483</v>
      </c>
      <c r="G3283" s="46"/>
      <c r="H3283" s="46" t="s">
        <v>40</v>
      </c>
      <c r="I3283" s="45">
        <v>7500</v>
      </c>
      <c r="J3283" s="45">
        <v>7500</v>
      </c>
      <c r="K3283" s="49" t="s">
        <v>6182</v>
      </c>
      <c r="L3283" s="45"/>
      <c r="M3283" s="3"/>
    </row>
    <row r="3284" spans="1:13" ht="25.5" x14ac:dyDescent="0.25">
      <c r="A3284" s="46" t="s">
        <v>6598</v>
      </c>
      <c r="B3284" s="46" t="s">
        <v>11644</v>
      </c>
      <c r="C3284" s="46" t="s">
        <v>14</v>
      </c>
      <c r="D3284" s="47">
        <v>9006</v>
      </c>
      <c r="E3284" s="46" t="s">
        <v>6599</v>
      </c>
      <c r="F3284" s="48">
        <v>40840</v>
      </c>
      <c r="G3284" s="46"/>
      <c r="H3284" s="46" t="s">
        <v>40</v>
      </c>
      <c r="I3284" s="45">
        <v>9592</v>
      </c>
      <c r="J3284" s="45">
        <v>6296</v>
      </c>
      <c r="K3284" s="49" t="s">
        <v>6182</v>
      </c>
      <c r="L3284" s="45"/>
      <c r="M3284" s="3"/>
    </row>
    <row r="3285" spans="1:13" ht="25.5" x14ac:dyDescent="0.25">
      <c r="A3285" s="46" t="s">
        <v>6600</v>
      </c>
      <c r="B3285" s="46" t="s">
        <v>11644</v>
      </c>
      <c r="C3285" s="46" t="s">
        <v>14</v>
      </c>
      <c r="D3285" s="47">
        <v>9007</v>
      </c>
      <c r="E3285" s="46" t="s">
        <v>6601</v>
      </c>
      <c r="F3285" s="48">
        <v>40567</v>
      </c>
      <c r="G3285" s="46"/>
      <c r="H3285" s="46" t="s">
        <v>40</v>
      </c>
      <c r="I3285" s="45">
        <v>6000</v>
      </c>
      <c r="J3285" s="45">
        <v>6000</v>
      </c>
      <c r="K3285" s="49" t="s">
        <v>6182</v>
      </c>
      <c r="L3285" s="45"/>
      <c r="M3285" s="3"/>
    </row>
    <row r="3286" spans="1:13" ht="25.5" x14ac:dyDescent="0.25">
      <c r="A3286" s="46" t="s">
        <v>6602</v>
      </c>
      <c r="B3286" s="46" t="s">
        <v>11644</v>
      </c>
      <c r="C3286" s="46" t="s">
        <v>14</v>
      </c>
      <c r="D3286" s="47">
        <v>9008</v>
      </c>
      <c r="E3286" s="46" t="s">
        <v>6603</v>
      </c>
      <c r="F3286" s="48">
        <v>40567</v>
      </c>
      <c r="G3286" s="46"/>
      <c r="H3286" s="46" t="s">
        <v>40</v>
      </c>
      <c r="I3286" s="45">
        <v>12000</v>
      </c>
      <c r="J3286" s="45">
        <v>12000</v>
      </c>
      <c r="K3286" s="49" t="s">
        <v>6182</v>
      </c>
      <c r="L3286" s="45"/>
      <c r="M3286" s="3"/>
    </row>
    <row r="3287" spans="1:13" x14ac:dyDescent="0.25">
      <c r="A3287" s="46" t="s">
        <v>6499</v>
      </c>
      <c r="B3287" s="46" t="s">
        <v>11644</v>
      </c>
      <c r="C3287" s="46" t="s">
        <v>14</v>
      </c>
      <c r="D3287" s="47">
        <v>9009</v>
      </c>
      <c r="E3287" s="46" t="s">
        <v>6604</v>
      </c>
      <c r="F3287" s="48">
        <v>40322</v>
      </c>
      <c r="G3287" s="46"/>
      <c r="H3287" s="46" t="s">
        <v>40</v>
      </c>
      <c r="I3287" s="45">
        <v>9431</v>
      </c>
      <c r="J3287" s="45">
        <v>6000</v>
      </c>
      <c r="K3287" s="49" t="s">
        <v>6182</v>
      </c>
      <c r="L3287" s="45"/>
      <c r="M3287" s="3"/>
    </row>
    <row r="3288" spans="1:13" x14ac:dyDescent="0.25">
      <c r="A3288" s="46" t="s">
        <v>6689</v>
      </c>
      <c r="B3288" s="46" t="s">
        <v>11644</v>
      </c>
      <c r="C3288" s="46" t="s">
        <v>14</v>
      </c>
      <c r="D3288" s="47">
        <v>11092</v>
      </c>
      <c r="E3288" s="46" t="s">
        <v>6690</v>
      </c>
      <c r="F3288" s="48">
        <v>40940</v>
      </c>
      <c r="G3288" s="48">
        <v>41222</v>
      </c>
      <c r="H3288" s="46" t="s">
        <v>40</v>
      </c>
      <c r="I3288" s="45">
        <v>63722</v>
      </c>
      <c r="J3288" s="45">
        <v>63722</v>
      </c>
      <c r="K3288" s="49" t="s">
        <v>6182</v>
      </c>
      <c r="L3288" s="45"/>
      <c r="M3288" s="3"/>
    </row>
    <row r="3289" spans="1:13" ht="25.5" x14ac:dyDescent="0.25">
      <c r="A3289" s="46" t="s">
        <v>6691</v>
      </c>
      <c r="B3289" s="46" t="s">
        <v>11644</v>
      </c>
      <c r="C3289" s="46" t="s">
        <v>14</v>
      </c>
      <c r="D3289" s="47">
        <v>11094</v>
      </c>
      <c r="E3289" s="46" t="s">
        <v>6692</v>
      </c>
      <c r="F3289" s="48">
        <v>41114</v>
      </c>
      <c r="G3289" s="48">
        <v>41639</v>
      </c>
      <c r="H3289" s="46" t="s">
        <v>40</v>
      </c>
      <c r="I3289" s="45">
        <f>8000+4000</f>
        <v>12000</v>
      </c>
      <c r="J3289" s="45">
        <f>4000+4000</f>
        <v>8000</v>
      </c>
      <c r="K3289" s="49" t="s">
        <v>6182</v>
      </c>
      <c r="L3289" s="45"/>
      <c r="M3289" s="3"/>
    </row>
    <row r="3290" spans="1:13" ht="25.5" x14ac:dyDescent="0.25">
      <c r="A3290" s="46" t="s">
        <v>6696</v>
      </c>
      <c r="B3290" s="46" t="s">
        <v>11644</v>
      </c>
      <c r="C3290" s="46" t="s">
        <v>14</v>
      </c>
      <c r="D3290" s="47">
        <v>11097</v>
      </c>
      <c r="E3290" s="46" t="s">
        <v>6697</v>
      </c>
      <c r="F3290" s="48">
        <v>40995</v>
      </c>
      <c r="G3290" s="48">
        <v>41639</v>
      </c>
      <c r="H3290" s="46" t="s">
        <v>40</v>
      </c>
      <c r="I3290" s="45">
        <f>46898.1+60000</f>
        <v>106898.1</v>
      </c>
      <c r="J3290" s="45">
        <f>38449.05+30000</f>
        <v>68449.05</v>
      </c>
      <c r="K3290" s="49" t="s">
        <v>6182</v>
      </c>
      <c r="L3290" s="45"/>
      <c r="M3290" s="3"/>
    </row>
    <row r="3291" spans="1:13" x14ac:dyDescent="0.25">
      <c r="A3291" s="46" t="s">
        <v>6698</v>
      </c>
      <c r="B3291" s="46" t="s">
        <v>11644</v>
      </c>
      <c r="C3291" s="46" t="s">
        <v>14</v>
      </c>
      <c r="D3291" s="47">
        <v>11098</v>
      </c>
      <c r="E3291" s="46" t="s">
        <v>6699</v>
      </c>
      <c r="F3291" s="48">
        <v>40774</v>
      </c>
      <c r="G3291" s="46"/>
      <c r="H3291" s="46" t="s">
        <v>40</v>
      </c>
      <c r="I3291" s="45">
        <v>15000</v>
      </c>
      <c r="J3291" s="45">
        <v>15000</v>
      </c>
      <c r="K3291" s="49" t="s">
        <v>6182</v>
      </c>
      <c r="L3291" s="45"/>
      <c r="M3291" s="3"/>
    </row>
    <row r="3292" spans="1:13" ht="38.25" x14ac:dyDescent="0.25">
      <c r="A3292" s="46" t="s">
        <v>6583</v>
      </c>
      <c r="B3292" s="46" t="s">
        <v>11644</v>
      </c>
      <c r="C3292" s="46" t="s">
        <v>14</v>
      </c>
      <c r="D3292" s="47">
        <v>11099</v>
      </c>
      <c r="E3292" s="46" t="s">
        <v>6584</v>
      </c>
      <c r="F3292" s="48">
        <v>40812</v>
      </c>
      <c r="G3292" s="46"/>
      <c r="H3292" s="46" t="s">
        <v>40</v>
      </c>
      <c r="I3292" s="45">
        <v>18750</v>
      </c>
      <c r="J3292" s="45">
        <v>18750</v>
      </c>
      <c r="K3292" s="49" t="s">
        <v>6182</v>
      </c>
      <c r="L3292" s="45"/>
      <c r="M3292" s="3"/>
    </row>
    <row r="3293" spans="1:13" ht="25.5" x14ac:dyDescent="0.25">
      <c r="A3293" s="46" t="s">
        <v>6598</v>
      </c>
      <c r="B3293" s="46" t="s">
        <v>11644</v>
      </c>
      <c r="C3293" s="46" t="s">
        <v>14</v>
      </c>
      <c r="D3293" s="47">
        <v>11100</v>
      </c>
      <c r="E3293" s="46" t="s">
        <v>6599</v>
      </c>
      <c r="F3293" s="48">
        <v>40840</v>
      </c>
      <c r="G3293" s="48">
        <v>41075</v>
      </c>
      <c r="H3293" s="46" t="s">
        <v>40</v>
      </c>
      <c r="I3293" s="45">
        <v>5000</v>
      </c>
      <c r="J3293" s="45">
        <v>4000</v>
      </c>
      <c r="K3293" s="49" t="s">
        <v>6182</v>
      </c>
      <c r="L3293" s="45"/>
      <c r="M3293" s="3"/>
    </row>
    <row r="3294" spans="1:13" ht="25.5" x14ac:dyDescent="0.25">
      <c r="A3294" s="46" t="s">
        <v>6700</v>
      </c>
      <c r="B3294" s="46" t="s">
        <v>11644</v>
      </c>
      <c r="C3294" s="46" t="s">
        <v>14</v>
      </c>
      <c r="D3294" s="47">
        <v>11101</v>
      </c>
      <c r="E3294" s="46" t="s">
        <v>6701</v>
      </c>
      <c r="F3294" s="48">
        <v>40995</v>
      </c>
      <c r="G3294" s="48">
        <v>41107</v>
      </c>
      <c r="H3294" s="46" t="s">
        <v>40</v>
      </c>
      <c r="I3294" s="45">
        <v>11728</v>
      </c>
      <c r="J3294" s="45">
        <v>7864</v>
      </c>
      <c r="K3294" s="49" t="s">
        <v>6182</v>
      </c>
      <c r="L3294" s="45"/>
      <c r="M3294" s="3"/>
    </row>
    <row r="3295" spans="1:13" x14ac:dyDescent="0.25">
      <c r="A3295" s="46" t="s">
        <v>6702</v>
      </c>
      <c r="B3295" s="46" t="s">
        <v>11644</v>
      </c>
      <c r="C3295" s="46" t="s">
        <v>14</v>
      </c>
      <c r="D3295" s="47">
        <v>11102</v>
      </c>
      <c r="E3295" s="46" t="s">
        <v>6703</v>
      </c>
      <c r="F3295" s="48">
        <v>41114</v>
      </c>
      <c r="G3295" s="46"/>
      <c r="H3295" s="46" t="s">
        <v>40</v>
      </c>
      <c r="I3295" s="45">
        <f>19076+18152</f>
        <v>37228</v>
      </c>
      <c r="J3295" s="45">
        <f>4000+15076</f>
        <v>19076</v>
      </c>
      <c r="K3295" s="49" t="s">
        <v>6182</v>
      </c>
      <c r="L3295" s="45"/>
      <c r="M3295" s="3"/>
    </row>
    <row r="3296" spans="1:13" ht="25.5" x14ac:dyDescent="0.25">
      <c r="A3296" s="46" t="s">
        <v>6957</v>
      </c>
      <c r="B3296" s="46" t="s">
        <v>11644</v>
      </c>
      <c r="C3296" s="46" t="s">
        <v>14</v>
      </c>
      <c r="D3296" s="47">
        <v>7118</v>
      </c>
      <c r="E3296" s="46" t="s">
        <v>6958</v>
      </c>
      <c r="F3296" s="48">
        <v>40448</v>
      </c>
      <c r="G3296" s="46"/>
      <c r="H3296" s="46" t="s">
        <v>40</v>
      </c>
      <c r="I3296" s="45">
        <v>6250</v>
      </c>
      <c r="J3296" s="45">
        <v>6250</v>
      </c>
      <c r="K3296" s="49" t="s">
        <v>6720</v>
      </c>
      <c r="L3296" s="45"/>
      <c r="M3296" s="3"/>
    </row>
    <row r="3297" spans="1:13" ht="25.5" x14ac:dyDescent="0.25">
      <c r="A3297" s="46" t="s">
        <v>6967</v>
      </c>
      <c r="B3297" s="46" t="s">
        <v>11644</v>
      </c>
      <c r="C3297" s="46" t="s">
        <v>14</v>
      </c>
      <c r="D3297" s="47">
        <v>7123</v>
      </c>
      <c r="E3297" s="46" t="s">
        <v>6968</v>
      </c>
      <c r="F3297" s="48">
        <v>40448</v>
      </c>
      <c r="G3297" s="48">
        <v>40908</v>
      </c>
      <c r="H3297" s="46" t="s">
        <v>40</v>
      </c>
      <c r="I3297" s="45">
        <v>6000</v>
      </c>
      <c r="J3297" s="45">
        <v>6000</v>
      </c>
      <c r="K3297" s="49" t="s">
        <v>6720</v>
      </c>
      <c r="L3297" s="45"/>
      <c r="M3297" s="3"/>
    </row>
    <row r="3298" spans="1:13" ht="38.25" x14ac:dyDescent="0.25">
      <c r="A3298" s="46" t="s">
        <v>6985</v>
      </c>
      <c r="B3298" s="46" t="s">
        <v>11644</v>
      </c>
      <c r="C3298" s="46" t="s">
        <v>14</v>
      </c>
      <c r="D3298" s="47">
        <v>7133</v>
      </c>
      <c r="E3298" s="50" t="s">
        <v>6986</v>
      </c>
      <c r="F3298" s="48">
        <v>40357</v>
      </c>
      <c r="G3298" s="46"/>
      <c r="H3298" s="46" t="s">
        <v>40</v>
      </c>
      <c r="I3298" s="45">
        <v>25000</v>
      </c>
      <c r="J3298" s="45">
        <v>25000</v>
      </c>
      <c r="K3298" s="49" t="s">
        <v>6720</v>
      </c>
      <c r="L3298" s="45"/>
      <c r="M3298" s="3"/>
    </row>
    <row r="3299" spans="1:13" ht="25.5" x14ac:dyDescent="0.25">
      <c r="A3299" s="46" t="s">
        <v>6989</v>
      </c>
      <c r="B3299" s="46" t="s">
        <v>11644</v>
      </c>
      <c r="C3299" s="46" t="s">
        <v>14</v>
      </c>
      <c r="D3299" s="47">
        <v>7135</v>
      </c>
      <c r="E3299" s="46" t="s">
        <v>6990</v>
      </c>
      <c r="F3299" s="48">
        <v>40448</v>
      </c>
      <c r="G3299" s="46"/>
      <c r="H3299" s="46" t="s">
        <v>40</v>
      </c>
      <c r="I3299" s="45">
        <v>24000</v>
      </c>
      <c r="J3299" s="45">
        <v>12000</v>
      </c>
      <c r="K3299" s="49" t="s">
        <v>6720</v>
      </c>
      <c r="L3299" s="45"/>
      <c r="M3299" s="3"/>
    </row>
    <row r="3300" spans="1:13" ht="25.5" x14ac:dyDescent="0.25">
      <c r="A3300" s="46" t="s">
        <v>7001</v>
      </c>
      <c r="B3300" s="46" t="s">
        <v>11644</v>
      </c>
      <c r="C3300" s="46" t="s">
        <v>14</v>
      </c>
      <c r="D3300" s="47">
        <v>8916</v>
      </c>
      <c r="E3300" s="46" t="s">
        <v>7002</v>
      </c>
      <c r="F3300" s="48">
        <v>40504</v>
      </c>
      <c r="G3300" s="46"/>
      <c r="H3300" s="46" t="s">
        <v>40</v>
      </c>
      <c r="I3300" s="45">
        <v>10000</v>
      </c>
      <c r="J3300" s="45">
        <v>10000</v>
      </c>
      <c r="K3300" s="49" t="s">
        <v>6720</v>
      </c>
      <c r="L3300" s="45"/>
      <c r="M3300" s="3"/>
    </row>
    <row r="3301" spans="1:13" ht="25.5" x14ac:dyDescent="0.25">
      <c r="A3301" s="46" t="s">
        <v>7003</v>
      </c>
      <c r="B3301" s="46" t="s">
        <v>11644</v>
      </c>
      <c r="C3301" s="46" t="s">
        <v>14</v>
      </c>
      <c r="D3301" s="47">
        <v>8917</v>
      </c>
      <c r="E3301" s="46" t="s">
        <v>7004</v>
      </c>
      <c r="F3301" s="48">
        <v>40601</v>
      </c>
      <c r="G3301" s="46"/>
      <c r="H3301" s="46" t="s">
        <v>40</v>
      </c>
      <c r="I3301" s="45">
        <v>30000</v>
      </c>
      <c r="J3301" s="45">
        <v>30000</v>
      </c>
      <c r="K3301" s="49" t="s">
        <v>6720</v>
      </c>
      <c r="L3301" s="45"/>
      <c r="M3301" s="3"/>
    </row>
    <row r="3302" spans="1:13" ht="25.5" x14ac:dyDescent="0.25">
      <c r="A3302" s="46" t="s">
        <v>7011</v>
      </c>
      <c r="B3302" s="46" t="s">
        <v>11644</v>
      </c>
      <c r="C3302" s="46" t="s">
        <v>14</v>
      </c>
      <c r="D3302" s="47">
        <v>8929</v>
      </c>
      <c r="E3302" s="46" t="s">
        <v>7012</v>
      </c>
      <c r="F3302" s="48">
        <v>40525</v>
      </c>
      <c r="G3302" s="46"/>
      <c r="H3302" s="46" t="s">
        <v>40</v>
      </c>
      <c r="I3302" s="45">
        <v>15000</v>
      </c>
      <c r="J3302" s="45">
        <v>15000</v>
      </c>
      <c r="K3302" s="49" t="s">
        <v>6720</v>
      </c>
      <c r="L3302" s="45"/>
      <c r="M3302" s="3"/>
    </row>
    <row r="3303" spans="1:13" ht="25.5" x14ac:dyDescent="0.25">
      <c r="A3303" s="46" t="s">
        <v>7013</v>
      </c>
      <c r="B3303" s="46" t="s">
        <v>11644</v>
      </c>
      <c r="C3303" s="46" t="s">
        <v>14</v>
      </c>
      <c r="D3303" s="47">
        <v>8932</v>
      </c>
      <c r="E3303" s="46" t="s">
        <v>7014</v>
      </c>
      <c r="F3303" s="48">
        <v>40821</v>
      </c>
      <c r="G3303" s="46"/>
      <c r="H3303" s="46" t="s">
        <v>40</v>
      </c>
      <c r="I3303" s="45">
        <v>90000</v>
      </c>
      <c r="J3303" s="45">
        <v>50000</v>
      </c>
      <c r="K3303" s="49" t="s">
        <v>6720</v>
      </c>
      <c r="L3303" s="45"/>
      <c r="M3303" s="3"/>
    </row>
    <row r="3304" spans="1:13" ht="25.5" x14ac:dyDescent="0.25">
      <c r="A3304" s="46" t="s">
        <v>7015</v>
      </c>
      <c r="B3304" s="46" t="s">
        <v>11644</v>
      </c>
      <c r="C3304" s="46" t="s">
        <v>14</v>
      </c>
      <c r="D3304" s="47">
        <v>8936</v>
      </c>
      <c r="E3304" s="46" t="s">
        <v>7016</v>
      </c>
      <c r="F3304" s="48">
        <v>40602</v>
      </c>
      <c r="G3304" s="46"/>
      <c r="H3304" s="46" t="s">
        <v>40</v>
      </c>
      <c r="I3304" s="45">
        <v>12586</v>
      </c>
      <c r="J3304" s="45">
        <v>8168</v>
      </c>
      <c r="K3304" s="49" t="s">
        <v>6720</v>
      </c>
      <c r="L3304" s="45"/>
      <c r="M3304" s="3"/>
    </row>
    <row r="3305" spans="1:13" ht="25.5" x14ac:dyDescent="0.25">
      <c r="A3305" s="46" t="s">
        <v>7017</v>
      </c>
      <c r="B3305" s="46" t="s">
        <v>11644</v>
      </c>
      <c r="C3305" s="46" t="s">
        <v>14</v>
      </c>
      <c r="D3305" s="47">
        <v>8939</v>
      </c>
      <c r="E3305" s="46" t="s">
        <v>7018</v>
      </c>
      <c r="F3305" s="48">
        <v>40821</v>
      </c>
      <c r="G3305" s="46"/>
      <c r="H3305" s="46" t="s">
        <v>40</v>
      </c>
      <c r="I3305" s="45">
        <v>10000</v>
      </c>
      <c r="J3305" s="45">
        <v>10000</v>
      </c>
      <c r="K3305" s="49" t="s">
        <v>6720</v>
      </c>
      <c r="L3305" s="45"/>
      <c r="M3305" s="3"/>
    </row>
    <row r="3306" spans="1:13" ht="25.5" x14ac:dyDescent="0.25">
      <c r="A3306" s="46" t="s">
        <v>6967</v>
      </c>
      <c r="B3306" s="46" t="s">
        <v>11644</v>
      </c>
      <c r="C3306" s="46" t="s">
        <v>14</v>
      </c>
      <c r="D3306" s="47">
        <v>8941</v>
      </c>
      <c r="E3306" s="46" t="s">
        <v>7019</v>
      </c>
      <c r="F3306" s="48">
        <v>40602</v>
      </c>
      <c r="G3306" s="46"/>
      <c r="H3306" s="46" t="s">
        <v>40</v>
      </c>
      <c r="I3306" s="45">
        <v>4000</v>
      </c>
      <c r="J3306" s="45">
        <v>4000</v>
      </c>
      <c r="K3306" s="49" t="s">
        <v>6720</v>
      </c>
      <c r="L3306" s="45"/>
      <c r="M3306" s="3"/>
    </row>
    <row r="3307" spans="1:13" ht="25.5" x14ac:dyDescent="0.25">
      <c r="A3307" s="46" t="s">
        <v>7020</v>
      </c>
      <c r="B3307" s="46" t="s">
        <v>11644</v>
      </c>
      <c r="C3307" s="46" t="s">
        <v>14</v>
      </c>
      <c r="D3307" s="47">
        <v>8942</v>
      </c>
      <c r="E3307" s="46" t="s">
        <v>7021</v>
      </c>
      <c r="F3307" s="48">
        <v>40601</v>
      </c>
      <c r="G3307" s="46"/>
      <c r="H3307" s="46" t="s">
        <v>40</v>
      </c>
      <c r="I3307" s="45">
        <v>10112</v>
      </c>
      <c r="J3307" s="45">
        <v>5056</v>
      </c>
      <c r="K3307" s="49" t="s">
        <v>6720</v>
      </c>
      <c r="L3307" s="45"/>
      <c r="M3307" s="3"/>
    </row>
    <row r="3308" spans="1:13" ht="25.5" x14ac:dyDescent="0.25">
      <c r="A3308" s="46" t="s">
        <v>7026</v>
      </c>
      <c r="B3308" s="46" t="s">
        <v>11644</v>
      </c>
      <c r="C3308" s="46" t="s">
        <v>14</v>
      </c>
      <c r="D3308" s="47">
        <v>8945</v>
      </c>
      <c r="E3308" s="46" t="s">
        <v>7027</v>
      </c>
      <c r="F3308" s="48">
        <v>40449</v>
      </c>
      <c r="G3308" s="46"/>
      <c r="H3308" s="46" t="s">
        <v>40</v>
      </c>
      <c r="I3308" s="45">
        <v>7500</v>
      </c>
      <c r="J3308" s="45">
        <v>7500</v>
      </c>
      <c r="K3308" s="49" t="s">
        <v>6720</v>
      </c>
      <c r="L3308" s="45"/>
      <c r="M3308" s="3"/>
    </row>
    <row r="3309" spans="1:13" ht="25.5" x14ac:dyDescent="0.25">
      <c r="A3309" s="46" t="s">
        <v>7032</v>
      </c>
      <c r="B3309" s="46" t="s">
        <v>11644</v>
      </c>
      <c r="C3309" s="46" t="s">
        <v>14</v>
      </c>
      <c r="D3309" s="47">
        <v>8952</v>
      </c>
      <c r="E3309" s="46" t="s">
        <v>7033</v>
      </c>
      <c r="F3309" s="48">
        <v>40525</v>
      </c>
      <c r="G3309" s="46"/>
      <c r="H3309" s="46" t="s">
        <v>40</v>
      </c>
      <c r="I3309" s="45">
        <v>20427.77</v>
      </c>
      <c r="J3309" s="45">
        <v>5924</v>
      </c>
      <c r="K3309" s="49" t="s">
        <v>6720</v>
      </c>
      <c r="L3309" s="45"/>
      <c r="M3309" s="3"/>
    </row>
    <row r="3310" spans="1:13" ht="25.5" x14ac:dyDescent="0.25">
      <c r="A3310" s="46" t="s">
        <v>7034</v>
      </c>
      <c r="B3310" s="46" t="s">
        <v>11644</v>
      </c>
      <c r="C3310" s="46" t="s">
        <v>14</v>
      </c>
      <c r="D3310" s="47">
        <v>8954</v>
      </c>
      <c r="E3310" s="46" t="s">
        <v>7035</v>
      </c>
      <c r="F3310" s="48">
        <v>40602</v>
      </c>
      <c r="G3310" s="46"/>
      <c r="H3310" s="46" t="s">
        <v>40</v>
      </c>
      <c r="I3310" s="45">
        <v>15426</v>
      </c>
      <c r="J3310" s="45">
        <v>7713</v>
      </c>
      <c r="K3310" s="49" t="s">
        <v>6720</v>
      </c>
      <c r="L3310" s="45"/>
      <c r="M3310" s="3"/>
    </row>
    <row r="3311" spans="1:13" ht="25.5" x14ac:dyDescent="0.25">
      <c r="A3311" s="46" t="s">
        <v>7036</v>
      </c>
      <c r="B3311" s="46" t="s">
        <v>11644</v>
      </c>
      <c r="C3311" s="46" t="s">
        <v>14</v>
      </c>
      <c r="D3311" s="47">
        <v>8955</v>
      </c>
      <c r="E3311" s="46" t="s">
        <v>7037</v>
      </c>
      <c r="F3311" s="48">
        <v>40602</v>
      </c>
      <c r="G3311" s="46"/>
      <c r="H3311" s="46" t="s">
        <v>40</v>
      </c>
      <c r="I3311" s="45">
        <v>7000</v>
      </c>
      <c r="J3311" s="45">
        <v>7000</v>
      </c>
      <c r="K3311" s="49" t="s">
        <v>6720</v>
      </c>
      <c r="L3311" s="45"/>
      <c r="M3311" s="3"/>
    </row>
    <row r="3312" spans="1:13" ht="25.5" x14ac:dyDescent="0.25">
      <c r="A3312" s="46" t="s">
        <v>7038</v>
      </c>
      <c r="B3312" s="46" t="s">
        <v>11644</v>
      </c>
      <c r="C3312" s="46" t="s">
        <v>14</v>
      </c>
      <c r="D3312" s="47">
        <v>8956</v>
      </c>
      <c r="E3312" s="46" t="s">
        <v>7039</v>
      </c>
      <c r="F3312" s="48">
        <v>40721</v>
      </c>
      <c r="G3312" s="46"/>
      <c r="H3312" s="46" t="s">
        <v>40</v>
      </c>
      <c r="I3312" s="45">
        <v>56000</v>
      </c>
      <c r="J3312" s="45">
        <v>36000</v>
      </c>
      <c r="K3312" s="49" t="s">
        <v>6720</v>
      </c>
      <c r="L3312" s="45"/>
      <c r="M3312" s="3"/>
    </row>
    <row r="3313" spans="1:13" x14ac:dyDescent="0.25">
      <c r="A3313" s="46" t="s">
        <v>7040</v>
      </c>
      <c r="B3313" s="46" t="s">
        <v>11644</v>
      </c>
      <c r="C3313" s="46" t="s">
        <v>14</v>
      </c>
      <c r="D3313" s="47">
        <v>8957</v>
      </c>
      <c r="E3313" s="46" t="s">
        <v>7041</v>
      </c>
      <c r="F3313" s="48">
        <v>40885</v>
      </c>
      <c r="G3313" s="46"/>
      <c r="H3313" s="46" t="s">
        <v>40</v>
      </c>
      <c r="I3313" s="45">
        <v>10000</v>
      </c>
      <c r="J3313" s="45">
        <v>10000</v>
      </c>
      <c r="K3313" s="49" t="s">
        <v>6720</v>
      </c>
      <c r="L3313" s="45"/>
      <c r="M3313" s="3"/>
    </row>
    <row r="3314" spans="1:13" ht="38.25" x14ac:dyDescent="0.25">
      <c r="A3314" s="46" t="s">
        <v>7042</v>
      </c>
      <c r="B3314" s="46" t="s">
        <v>11644</v>
      </c>
      <c r="C3314" s="46" t="s">
        <v>14</v>
      </c>
      <c r="D3314" s="47">
        <v>8958</v>
      </c>
      <c r="E3314" s="46" t="s">
        <v>7043</v>
      </c>
      <c r="F3314" s="48">
        <v>40885</v>
      </c>
      <c r="G3314" s="46"/>
      <c r="H3314" s="46" t="s">
        <v>40</v>
      </c>
      <c r="I3314" s="45">
        <f>32004+26128</f>
        <v>58132</v>
      </c>
      <c r="J3314" s="45">
        <f>4188+13064</f>
        <v>17252</v>
      </c>
      <c r="K3314" s="49" t="s">
        <v>6720</v>
      </c>
      <c r="L3314" s="45"/>
      <c r="M3314" s="3"/>
    </row>
    <row r="3315" spans="1:13" x14ac:dyDescent="0.25">
      <c r="A3315" s="46" t="s">
        <v>7046</v>
      </c>
      <c r="B3315" s="46" t="s">
        <v>11644</v>
      </c>
      <c r="C3315" s="46" t="s">
        <v>14</v>
      </c>
      <c r="D3315" s="47">
        <v>8961</v>
      </c>
      <c r="E3315" s="46" t="s">
        <v>7047</v>
      </c>
      <c r="F3315" s="48">
        <v>40841</v>
      </c>
      <c r="G3315" s="46"/>
      <c r="H3315" s="46" t="s">
        <v>40</v>
      </c>
      <c r="I3315" s="45">
        <v>45000</v>
      </c>
      <c r="J3315" s="45">
        <v>25000</v>
      </c>
      <c r="K3315" s="49" t="s">
        <v>6720</v>
      </c>
      <c r="L3315" s="45"/>
      <c r="M3315" s="3"/>
    </row>
    <row r="3316" spans="1:13" ht="25.5" x14ac:dyDescent="0.25">
      <c r="A3316" s="46" t="s">
        <v>7048</v>
      </c>
      <c r="B3316" s="46" t="s">
        <v>11644</v>
      </c>
      <c r="C3316" s="46" t="s">
        <v>14</v>
      </c>
      <c r="D3316" s="47">
        <v>8962</v>
      </c>
      <c r="E3316" s="46" t="s">
        <v>7049</v>
      </c>
      <c r="F3316" s="48">
        <v>40504</v>
      </c>
      <c r="G3316" s="46"/>
      <c r="H3316" s="46" t="s">
        <v>40</v>
      </c>
      <c r="I3316" s="45">
        <v>7500</v>
      </c>
      <c r="J3316" s="45">
        <v>7500</v>
      </c>
      <c r="K3316" s="49" t="s">
        <v>6720</v>
      </c>
      <c r="L3316" s="45"/>
      <c r="M3316" s="3"/>
    </row>
    <row r="3317" spans="1:13" x14ac:dyDescent="0.25">
      <c r="A3317" s="46" t="s">
        <v>7050</v>
      </c>
      <c r="B3317" s="46" t="s">
        <v>11644</v>
      </c>
      <c r="C3317" s="46" t="s">
        <v>14</v>
      </c>
      <c r="D3317" s="47">
        <v>8963</v>
      </c>
      <c r="E3317" s="46" t="s">
        <v>7051</v>
      </c>
      <c r="F3317" s="48">
        <v>40841</v>
      </c>
      <c r="G3317" s="46"/>
      <c r="H3317" s="46" t="s">
        <v>40</v>
      </c>
      <c r="I3317" s="45">
        <v>10000</v>
      </c>
      <c r="J3317" s="45">
        <v>10000</v>
      </c>
      <c r="K3317" s="49" t="s">
        <v>6720</v>
      </c>
      <c r="L3317" s="45"/>
      <c r="M3317" s="3"/>
    </row>
    <row r="3318" spans="1:13" x14ac:dyDescent="0.25">
      <c r="A3318" s="46" t="s">
        <v>7052</v>
      </c>
      <c r="B3318" s="46" t="s">
        <v>11644</v>
      </c>
      <c r="C3318" s="46" t="s">
        <v>14</v>
      </c>
      <c r="D3318" s="47">
        <v>8964</v>
      </c>
      <c r="E3318" s="46" t="s">
        <v>7053</v>
      </c>
      <c r="F3318" s="48">
        <v>40504</v>
      </c>
      <c r="G3318" s="46"/>
      <c r="H3318" s="46" t="s">
        <v>40</v>
      </c>
      <c r="I3318" s="45">
        <v>10000</v>
      </c>
      <c r="J3318" s="45">
        <v>10000</v>
      </c>
      <c r="K3318" s="49" t="s">
        <v>6720</v>
      </c>
      <c r="L3318" s="45"/>
      <c r="M3318" s="3"/>
    </row>
    <row r="3319" spans="1:13" ht="38.25" x14ac:dyDescent="0.25">
      <c r="A3319" s="46" t="s">
        <v>7068</v>
      </c>
      <c r="B3319" s="46" t="s">
        <v>11644</v>
      </c>
      <c r="C3319" s="46" t="s">
        <v>14</v>
      </c>
      <c r="D3319" s="47">
        <v>10881</v>
      </c>
      <c r="E3319" s="50" t="s">
        <v>7069</v>
      </c>
      <c r="F3319" s="48">
        <v>41148</v>
      </c>
      <c r="G3319" s="46"/>
      <c r="H3319" s="46" t="s">
        <v>40</v>
      </c>
      <c r="I3319" s="45">
        <f>20000+15000</f>
        <v>35000</v>
      </c>
      <c r="J3319" s="45">
        <f>5000+15000</f>
        <v>20000</v>
      </c>
      <c r="K3319" s="49" t="s">
        <v>6720</v>
      </c>
      <c r="L3319" s="45"/>
      <c r="M3319" s="3"/>
    </row>
    <row r="3320" spans="1:13" ht="51" x14ac:dyDescent="0.25">
      <c r="A3320" s="46" t="s">
        <v>7070</v>
      </c>
      <c r="B3320" s="46" t="s">
        <v>11644</v>
      </c>
      <c r="C3320" s="46" t="s">
        <v>14</v>
      </c>
      <c r="D3320" s="47">
        <v>10882</v>
      </c>
      <c r="E3320" s="50" t="s">
        <v>7071</v>
      </c>
      <c r="F3320" s="48">
        <v>41148</v>
      </c>
      <c r="G3320" s="46"/>
      <c r="H3320" s="46" t="s">
        <v>40</v>
      </c>
      <c r="I3320" s="45">
        <v>10000</v>
      </c>
      <c r="J3320" s="45">
        <v>10000</v>
      </c>
      <c r="K3320" s="49" t="s">
        <v>6720</v>
      </c>
      <c r="L3320" s="45"/>
      <c r="M3320" s="3"/>
    </row>
    <row r="3321" spans="1:13" x14ac:dyDescent="0.25">
      <c r="A3321" s="46" t="s">
        <v>7072</v>
      </c>
      <c r="B3321" s="46" t="s">
        <v>11644</v>
      </c>
      <c r="C3321" s="46" t="s">
        <v>14</v>
      </c>
      <c r="D3321" s="47">
        <v>10883</v>
      </c>
      <c r="E3321" s="46" t="s">
        <v>7073</v>
      </c>
      <c r="F3321" s="48">
        <v>40959</v>
      </c>
      <c r="G3321" s="46"/>
      <c r="H3321" s="46" t="s">
        <v>40</v>
      </c>
      <c r="I3321" s="45">
        <v>5000</v>
      </c>
      <c r="J3321" s="45">
        <v>5000</v>
      </c>
      <c r="K3321" s="49" t="s">
        <v>6720</v>
      </c>
      <c r="L3321" s="45"/>
      <c r="M3321" s="3"/>
    </row>
    <row r="3322" spans="1:13" ht="25.5" x14ac:dyDescent="0.25">
      <c r="A3322" s="46" t="s">
        <v>7076</v>
      </c>
      <c r="B3322" s="46" t="s">
        <v>11644</v>
      </c>
      <c r="C3322" s="46" t="s">
        <v>14</v>
      </c>
      <c r="D3322" s="47">
        <v>10892</v>
      </c>
      <c r="E3322" s="46" t="s">
        <v>7077</v>
      </c>
      <c r="F3322" s="48">
        <v>40959</v>
      </c>
      <c r="G3322" s="46"/>
      <c r="H3322" s="46" t="s">
        <v>40</v>
      </c>
      <c r="I3322" s="45">
        <v>8000</v>
      </c>
      <c r="J3322" s="45">
        <v>8000</v>
      </c>
      <c r="K3322" s="49" t="s">
        <v>6720</v>
      </c>
      <c r="L3322" s="45"/>
      <c r="M3322" s="3"/>
    </row>
    <row r="3323" spans="1:13" ht="38.25" x14ac:dyDescent="0.25">
      <c r="A3323" s="46" t="s">
        <v>7078</v>
      </c>
      <c r="B3323" s="46" t="s">
        <v>11644</v>
      </c>
      <c r="C3323" s="46" t="s">
        <v>14</v>
      </c>
      <c r="D3323" s="47">
        <v>10893</v>
      </c>
      <c r="E3323" s="46" t="s">
        <v>7079</v>
      </c>
      <c r="F3323" s="48">
        <v>41120</v>
      </c>
      <c r="G3323" s="46"/>
      <c r="H3323" s="46" t="s">
        <v>40</v>
      </c>
      <c r="I3323" s="45">
        <v>25000</v>
      </c>
      <c r="J3323" s="45">
        <v>15000</v>
      </c>
      <c r="K3323" s="49" t="s">
        <v>6720</v>
      </c>
      <c r="L3323" s="45"/>
      <c r="M3323" s="3"/>
    </row>
    <row r="3324" spans="1:13" x14ac:dyDescent="0.25">
      <c r="A3324" s="46" t="s">
        <v>7087</v>
      </c>
      <c r="B3324" s="46" t="s">
        <v>11644</v>
      </c>
      <c r="C3324" s="46" t="s">
        <v>14</v>
      </c>
      <c r="D3324" s="47">
        <v>10898</v>
      </c>
      <c r="E3324" s="46" t="s">
        <v>7088</v>
      </c>
      <c r="F3324" s="48">
        <v>41022</v>
      </c>
      <c r="G3324" s="46"/>
      <c r="H3324" s="46" t="s">
        <v>40</v>
      </c>
      <c r="I3324" s="45">
        <v>6598</v>
      </c>
      <c r="J3324" s="45">
        <v>3299</v>
      </c>
      <c r="K3324" s="49" t="s">
        <v>6720</v>
      </c>
      <c r="L3324" s="45"/>
      <c r="M3324" s="3"/>
    </row>
    <row r="3325" spans="1:13" ht="25.5" x14ac:dyDescent="0.25">
      <c r="A3325" s="46" t="s">
        <v>7299</v>
      </c>
      <c r="B3325" s="46" t="s">
        <v>11644</v>
      </c>
      <c r="C3325" s="46" t="s">
        <v>14</v>
      </c>
      <c r="D3325" s="47">
        <v>7531</v>
      </c>
      <c r="E3325" s="46" t="s">
        <v>7300</v>
      </c>
      <c r="F3325" s="48">
        <v>40246</v>
      </c>
      <c r="G3325" s="48">
        <v>40533</v>
      </c>
      <c r="H3325" s="46" t="s">
        <v>40</v>
      </c>
      <c r="I3325" s="45">
        <v>22500</v>
      </c>
      <c r="J3325" s="45">
        <v>11250</v>
      </c>
      <c r="K3325" s="49" t="s">
        <v>7102</v>
      </c>
      <c r="L3325" s="45"/>
      <c r="M3325" s="3"/>
    </row>
    <row r="3326" spans="1:13" ht="25.5" x14ac:dyDescent="0.25">
      <c r="A3326" s="46" t="s">
        <v>7305</v>
      </c>
      <c r="B3326" s="46" t="s">
        <v>11644</v>
      </c>
      <c r="C3326" s="46" t="s">
        <v>14</v>
      </c>
      <c r="D3326" s="47">
        <v>7534</v>
      </c>
      <c r="E3326" s="46" t="s">
        <v>7306</v>
      </c>
      <c r="F3326" s="48">
        <v>40162</v>
      </c>
      <c r="G3326" s="48">
        <v>40338</v>
      </c>
      <c r="H3326" s="46" t="s">
        <v>40</v>
      </c>
      <c r="I3326" s="45">
        <v>8368</v>
      </c>
      <c r="J3326" s="45">
        <v>4184</v>
      </c>
      <c r="K3326" s="49" t="s">
        <v>7102</v>
      </c>
      <c r="L3326" s="45"/>
      <c r="M3326" s="3"/>
    </row>
    <row r="3327" spans="1:13" x14ac:dyDescent="0.25">
      <c r="A3327" s="46" t="s">
        <v>7307</v>
      </c>
      <c r="B3327" s="46" t="s">
        <v>11644</v>
      </c>
      <c r="C3327" s="46" t="s">
        <v>14</v>
      </c>
      <c r="D3327" s="47">
        <v>7535</v>
      </c>
      <c r="E3327" s="46" t="s">
        <v>7308</v>
      </c>
      <c r="F3327" s="48">
        <v>40121</v>
      </c>
      <c r="G3327" s="48">
        <v>40534</v>
      </c>
      <c r="H3327" s="46" t="s">
        <v>40</v>
      </c>
      <c r="I3327" s="45">
        <v>36365</v>
      </c>
      <c r="J3327" s="45">
        <v>23149.5</v>
      </c>
      <c r="K3327" s="49" t="s">
        <v>7102</v>
      </c>
      <c r="L3327" s="45"/>
      <c r="M3327" s="3"/>
    </row>
    <row r="3328" spans="1:13" ht="38.25" x14ac:dyDescent="0.25">
      <c r="A3328" s="46" t="s">
        <v>7309</v>
      </c>
      <c r="B3328" s="46" t="s">
        <v>11644</v>
      </c>
      <c r="C3328" s="46" t="s">
        <v>14</v>
      </c>
      <c r="D3328" s="47">
        <v>7536</v>
      </c>
      <c r="E3328" s="46" t="s">
        <v>7310</v>
      </c>
      <c r="F3328" s="48">
        <v>40435</v>
      </c>
      <c r="G3328" s="48">
        <v>40534</v>
      </c>
      <c r="H3328" s="46" t="s">
        <v>40</v>
      </c>
      <c r="I3328" s="45">
        <v>25896.58</v>
      </c>
      <c r="J3328" s="45">
        <v>12948</v>
      </c>
      <c r="K3328" s="49" t="s">
        <v>7102</v>
      </c>
      <c r="L3328" s="45"/>
      <c r="M3328" s="3"/>
    </row>
    <row r="3329" spans="1:13" ht="25.5" x14ac:dyDescent="0.25">
      <c r="A3329" s="46" t="s">
        <v>7311</v>
      </c>
      <c r="B3329" s="46" t="s">
        <v>11644</v>
      </c>
      <c r="C3329" s="46" t="s">
        <v>14</v>
      </c>
      <c r="D3329" s="47">
        <v>7537</v>
      </c>
      <c r="E3329" s="46" t="s">
        <v>7312</v>
      </c>
      <c r="F3329" s="48">
        <v>40330</v>
      </c>
      <c r="G3329" s="48">
        <v>40520</v>
      </c>
      <c r="H3329" s="46" t="s">
        <v>40</v>
      </c>
      <c r="I3329" s="45">
        <v>5609</v>
      </c>
      <c r="J3329" s="45">
        <v>5000</v>
      </c>
      <c r="K3329" s="49" t="s">
        <v>7102</v>
      </c>
      <c r="L3329" s="45"/>
      <c r="M3329" s="3"/>
    </row>
    <row r="3330" spans="1:13" ht="25.5" x14ac:dyDescent="0.25">
      <c r="A3330" s="46" t="s">
        <v>7321</v>
      </c>
      <c r="B3330" s="46" t="s">
        <v>11644</v>
      </c>
      <c r="C3330" s="46" t="s">
        <v>14</v>
      </c>
      <c r="D3330" s="47">
        <v>7542</v>
      </c>
      <c r="E3330" s="46" t="s">
        <v>7322</v>
      </c>
      <c r="F3330" s="48">
        <v>40435</v>
      </c>
      <c r="G3330" s="48">
        <v>40514</v>
      </c>
      <c r="H3330" s="46" t="s">
        <v>40</v>
      </c>
      <c r="I3330" s="45">
        <v>4260</v>
      </c>
      <c r="J3330" s="45">
        <v>2130</v>
      </c>
      <c r="K3330" s="49" t="s">
        <v>7102</v>
      </c>
      <c r="L3330" s="45"/>
      <c r="M3330" s="3"/>
    </row>
    <row r="3331" spans="1:13" ht="25.5" x14ac:dyDescent="0.25">
      <c r="A3331" s="46" t="s">
        <v>7325</v>
      </c>
      <c r="B3331" s="46" t="s">
        <v>11644</v>
      </c>
      <c r="C3331" s="46" t="s">
        <v>14</v>
      </c>
      <c r="D3331" s="47">
        <v>7544</v>
      </c>
      <c r="E3331" s="46" t="s">
        <v>7326</v>
      </c>
      <c r="F3331" s="48">
        <v>40246</v>
      </c>
      <c r="G3331" s="48">
        <v>40466</v>
      </c>
      <c r="H3331" s="46" t="s">
        <v>40</v>
      </c>
      <c r="I3331" s="45">
        <v>54000</v>
      </c>
      <c r="J3331" s="45">
        <v>27000</v>
      </c>
      <c r="K3331" s="49" t="s">
        <v>7102</v>
      </c>
      <c r="L3331" s="45"/>
      <c r="M3331" s="3"/>
    </row>
    <row r="3332" spans="1:13" ht="25.5" x14ac:dyDescent="0.25">
      <c r="A3332" s="46" t="s">
        <v>7327</v>
      </c>
      <c r="B3332" s="46" t="s">
        <v>11644</v>
      </c>
      <c r="C3332" s="46" t="s">
        <v>14</v>
      </c>
      <c r="D3332" s="47">
        <v>7545</v>
      </c>
      <c r="E3332" s="46" t="s">
        <v>7328</v>
      </c>
      <c r="F3332" s="48">
        <v>40330</v>
      </c>
      <c r="G3332" s="48">
        <v>40526</v>
      </c>
      <c r="H3332" s="46" t="s">
        <v>40</v>
      </c>
      <c r="I3332" s="45">
        <v>20000</v>
      </c>
      <c r="J3332" s="45">
        <v>10000</v>
      </c>
      <c r="K3332" s="49" t="s">
        <v>7102</v>
      </c>
      <c r="L3332" s="45"/>
      <c r="M3332" s="3"/>
    </row>
    <row r="3333" spans="1:13" ht="25.5" x14ac:dyDescent="0.25">
      <c r="A3333" s="46" t="s">
        <v>7331</v>
      </c>
      <c r="B3333" s="46" t="s">
        <v>11644</v>
      </c>
      <c r="C3333" s="46" t="s">
        <v>14</v>
      </c>
      <c r="D3333" s="47">
        <v>7547</v>
      </c>
      <c r="E3333" s="46" t="s">
        <v>7332</v>
      </c>
      <c r="F3333" s="48">
        <v>40162</v>
      </c>
      <c r="G3333" s="48">
        <v>40526</v>
      </c>
      <c r="H3333" s="46" t="s">
        <v>40</v>
      </c>
      <c r="I3333" s="45">
        <v>80000</v>
      </c>
      <c r="J3333" s="45">
        <v>40000</v>
      </c>
      <c r="K3333" s="49" t="s">
        <v>7102</v>
      </c>
      <c r="L3333" s="45"/>
      <c r="M3333" s="3"/>
    </row>
    <row r="3334" spans="1:13" ht="25.5" x14ac:dyDescent="0.25">
      <c r="A3334" s="46" t="s">
        <v>7339</v>
      </c>
      <c r="B3334" s="46" t="s">
        <v>11644</v>
      </c>
      <c r="C3334" s="46" t="s">
        <v>14</v>
      </c>
      <c r="D3334" s="47">
        <v>7551</v>
      </c>
      <c r="E3334" s="46" t="s">
        <v>7340</v>
      </c>
      <c r="F3334" s="48">
        <v>40435</v>
      </c>
      <c r="G3334" s="46"/>
      <c r="H3334" s="46" t="s">
        <v>40</v>
      </c>
      <c r="I3334" s="45">
        <v>4136</v>
      </c>
      <c r="J3334" s="45">
        <v>2068</v>
      </c>
      <c r="K3334" s="49" t="s">
        <v>7102</v>
      </c>
      <c r="L3334" s="45"/>
      <c r="M3334" s="3"/>
    </row>
    <row r="3335" spans="1:13" ht="38.25" x14ac:dyDescent="0.25">
      <c r="A3335" s="46" t="s">
        <v>7341</v>
      </c>
      <c r="B3335" s="46" t="s">
        <v>11644</v>
      </c>
      <c r="C3335" s="46" t="s">
        <v>14</v>
      </c>
      <c r="D3335" s="47">
        <v>8854</v>
      </c>
      <c r="E3335" s="46" t="s">
        <v>7342</v>
      </c>
      <c r="F3335" s="48">
        <v>40610</v>
      </c>
      <c r="G3335" s="48">
        <v>40764</v>
      </c>
      <c r="H3335" s="46" t="s">
        <v>40</v>
      </c>
      <c r="I3335" s="45">
        <v>59938</v>
      </c>
      <c r="J3335" s="45">
        <v>29969</v>
      </c>
      <c r="K3335" s="49" t="s">
        <v>7102</v>
      </c>
      <c r="L3335" s="45"/>
      <c r="M3335" s="3"/>
    </row>
    <row r="3336" spans="1:13" ht="25.5" x14ac:dyDescent="0.25">
      <c r="A3336" s="46" t="s">
        <v>7345</v>
      </c>
      <c r="B3336" s="46" t="s">
        <v>11644</v>
      </c>
      <c r="C3336" s="46" t="s">
        <v>14</v>
      </c>
      <c r="D3336" s="47">
        <v>8857</v>
      </c>
      <c r="E3336" s="46" t="s">
        <v>7346</v>
      </c>
      <c r="F3336" s="48">
        <v>40862</v>
      </c>
      <c r="G3336" s="48">
        <v>41138</v>
      </c>
      <c r="H3336" s="46" t="s">
        <v>40</v>
      </c>
      <c r="I3336" s="45">
        <v>12100</v>
      </c>
      <c r="J3336" s="45">
        <v>9800</v>
      </c>
      <c r="K3336" s="49" t="s">
        <v>7102</v>
      </c>
      <c r="L3336" s="45"/>
      <c r="M3336" s="3"/>
    </row>
    <row r="3337" spans="1:13" ht="25.5" x14ac:dyDescent="0.25">
      <c r="A3337" s="46" t="s">
        <v>7349</v>
      </c>
      <c r="B3337" s="46" t="s">
        <v>11644</v>
      </c>
      <c r="C3337" s="46" t="s">
        <v>14</v>
      </c>
      <c r="D3337" s="47">
        <v>8861</v>
      </c>
      <c r="E3337" s="46" t="s">
        <v>7350</v>
      </c>
      <c r="F3337" s="48">
        <v>40680</v>
      </c>
      <c r="G3337" s="48">
        <v>40816</v>
      </c>
      <c r="H3337" s="46" t="s">
        <v>40</v>
      </c>
      <c r="I3337" s="45">
        <v>4320</v>
      </c>
      <c r="J3337" s="45">
        <v>2160</v>
      </c>
      <c r="K3337" s="49" t="s">
        <v>7102</v>
      </c>
      <c r="L3337" s="45"/>
      <c r="M3337" s="3"/>
    </row>
    <row r="3338" spans="1:13" ht="25.5" x14ac:dyDescent="0.25">
      <c r="A3338" s="46" t="s">
        <v>7353</v>
      </c>
      <c r="B3338" s="46" t="s">
        <v>11644</v>
      </c>
      <c r="C3338" s="46" t="s">
        <v>14</v>
      </c>
      <c r="D3338" s="47">
        <v>8863</v>
      </c>
      <c r="E3338" s="46" t="s">
        <v>7354</v>
      </c>
      <c r="F3338" s="48">
        <v>40435</v>
      </c>
      <c r="G3338" s="48">
        <v>40694</v>
      </c>
      <c r="H3338" s="46" t="s">
        <v>40</v>
      </c>
      <c r="I3338" s="45">
        <v>9906</v>
      </c>
      <c r="J3338" s="45">
        <v>4953</v>
      </c>
      <c r="K3338" s="49" t="s">
        <v>7102</v>
      </c>
      <c r="L3338" s="45"/>
      <c r="M3338" s="3"/>
    </row>
    <row r="3339" spans="1:13" ht="25.5" x14ac:dyDescent="0.25">
      <c r="A3339" s="46" t="s">
        <v>7359</v>
      </c>
      <c r="B3339" s="46" t="s">
        <v>11644</v>
      </c>
      <c r="C3339" s="46" t="s">
        <v>14</v>
      </c>
      <c r="D3339" s="47">
        <v>8867</v>
      </c>
      <c r="E3339" s="46" t="s">
        <v>7360</v>
      </c>
      <c r="F3339" s="48">
        <v>40528</v>
      </c>
      <c r="G3339" s="48">
        <v>40617</v>
      </c>
      <c r="H3339" s="46" t="s">
        <v>40</v>
      </c>
      <c r="I3339" s="45">
        <v>6561</v>
      </c>
      <c r="J3339" s="45">
        <v>4481</v>
      </c>
      <c r="K3339" s="49" t="s">
        <v>7102</v>
      </c>
      <c r="L3339" s="45"/>
      <c r="M3339" s="3"/>
    </row>
    <row r="3340" spans="1:13" ht="25.5" x14ac:dyDescent="0.25">
      <c r="A3340" s="46" t="s">
        <v>7365</v>
      </c>
      <c r="B3340" s="46" t="s">
        <v>11644</v>
      </c>
      <c r="C3340" s="46" t="s">
        <v>14</v>
      </c>
      <c r="D3340" s="47">
        <v>8870</v>
      </c>
      <c r="E3340" s="46" t="s">
        <v>7366</v>
      </c>
      <c r="F3340" s="48">
        <v>40527</v>
      </c>
      <c r="G3340" s="48">
        <v>40633</v>
      </c>
      <c r="H3340" s="46" t="s">
        <v>40</v>
      </c>
      <c r="I3340" s="45">
        <v>4100</v>
      </c>
      <c r="J3340" s="45">
        <v>2050</v>
      </c>
      <c r="K3340" s="49" t="s">
        <v>7102</v>
      </c>
      <c r="L3340" s="45"/>
      <c r="M3340" s="3"/>
    </row>
    <row r="3341" spans="1:13" ht="25.5" x14ac:dyDescent="0.25">
      <c r="A3341" s="46" t="s">
        <v>7369</v>
      </c>
      <c r="B3341" s="46" t="s">
        <v>11644</v>
      </c>
      <c r="C3341" s="46" t="s">
        <v>14</v>
      </c>
      <c r="D3341" s="47">
        <v>8872</v>
      </c>
      <c r="E3341" s="46" t="s">
        <v>7370</v>
      </c>
      <c r="F3341" s="48">
        <v>40435</v>
      </c>
      <c r="G3341" s="48">
        <v>40798</v>
      </c>
      <c r="H3341" s="46" t="s">
        <v>40</v>
      </c>
      <c r="I3341" s="45">
        <v>19552</v>
      </c>
      <c r="J3341" s="45">
        <v>9776</v>
      </c>
      <c r="K3341" s="49" t="s">
        <v>7102</v>
      </c>
      <c r="L3341" s="45"/>
      <c r="M3341" s="3"/>
    </row>
    <row r="3342" spans="1:13" ht="25.5" x14ac:dyDescent="0.25">
      <c r="A3342" s="46" t="s">
        <v>7375</v>
      </c>
      <c r="B3342" s="46" t="s">
        <v>11644</v>
      </c>
      <c r="C3342" s="46" t="s">
        <v>14</v>
      </c>
      <c r="D3342" s="47">
        <v>8875</v>
      </c>
      <c r="E3342" s="46" t="s">
        <v>7376</v>
      </c>
      <c r="F3342" s="48">
        <v>40527</v>
      </c>
      <c r="G3342" s="48">
        <v>40666</v>
      </c>
      <c r="H3342" s="46" t="s">
        <v>40</v>
      </c>
      <c r="I3342" s="45">
        <v>2980</v>
      </c>
      <c r="J3342" s="45">
        <v>1490</v>
      </c>
      <c r="K3342" s="49" t="s">
        <v>7102</v>
      </c>
      <c r="L3342" s="45"/>
      <c r="M3342" s="3"/>
    </row>
    <row r="3343" spans="1:13" ht="25.5" x14ac:dyDescent="0.25">
      <c r="A3343" s="46" t="s">
        <v>7377</v>
      </c>
      <c r="B3343" s="46" t="s">
        <v>11644</v>
      </c>
      <c r="C3343" s="46" t="s">
        <v>14</v>
      </c>
      <c r="D3343" s="47">
        <v>8876</v>
      </c>
      <c r="E3343" s="46" t="s">
        <v>7378</v>
      </c>
      <c r="F3343" s="48">
        <v>40680</v>
      </c>
      <c r="G3343" s="48">
        <v>40886</v>
      </c>
      <c r="H3343" s="46" t="s">
        <v>40</v>
      </c>
      <c r="I3343" s="45">
        <v>2376</v>
      </c>
      <c r="J3343" s="45">
        <v>1188</v>
      </c>
      <c r="K3343" s="49" t="s">
        <v>7102</v>
      </c>
      <c r="L3343" s="45"/>
      <c r="M3343" s="3"/>
    </row>
    <row r="3344" spans="1:13" ht="25.5" x14ac:dyDescent="0.25">
      <c r="A3344" s="46" t="s">
        <v>7379</v>
      </c>
      <c r="B3344" s="46" t="s">
        <v>11644</v>
      </c>
      <c r="C3344" s="46" t="s">
        <v>14</v>
      </c>
      <c r="D3344" s="47">
        <v>8877</v>
      </c>
      <c r="E3344" s="46" t="s">
        <v>7380</v>
      </c>
      <c r="F3344" s="48">
        <v>40527</v>
      </c>
      <c r="G3344" s="48">
        <v>40792</v>
      </c>
      <c r="H3344" s="46" t="s">
        <v>40</v>
      </c>
      <c r="I3344" s="45">
        <v>17173</v>
      </c>
      <c r="J3344" s="45">
        <v>8586</v>
      </c>
      <c r="K3344" s="49" t="s">
        <v>7102</v>
      </c>
      <c r="L3344" s="45"/>
      <c r="M3344" s="3"/>
    </row>
    <row r="3345" spans="1:13" ht="38.25" x14ac:dyDescent="0.25">
      <c r="A3345" s="46" t="s">
        <v>7381</v>
      </c>
      <c r="B3345" s="46" t="s">
        <v>11644</v>
      </c>
      <c r="C3345" s="46" t="s">
        <v>14</v>
      </c>
      <c r="D3345" s="47">
        <v>8883</v>
      </c>
      <c r="E3345" s="46" t="s">
        <v>7382</v>
      </c>
      <c r="F3345" s="48">
        <v>40680</v>
      </c>
      <c r="G3345" s="48">
        <v>40854</v>
      </c>
      <c r="H3345" s="46" t="s">
        <v>40</v>
      </c>
      <c r="I3345" s="45">
        <v>3552</v>
      </c>
      <c r="J3345" s="45">
        <v>1776</v>
      </c>
      <c r="K3345" s="49" t="s">
        <v>7102</v>
      </c>
      <c r="L3345" s="45"/>
      <c r="M3345" s="3"/>
    </row>
    <row r="3346" spans="1:13" ht="25.5" x14ac:dyDescent="0.25">
      <c r="A3346" s="46" t="s">
        <v>7383</v>
      </c>
      <c r="B3346" s="46" t="s">
        <v>11644</v>
      </c>
      <c r="C3346" s="46" t="s">
        <v>14</v>
      </c>
      <c r="D3346" s="47">
        <v>8885</v>
      </c>
      <c r="E3346" s="46" t="s">
        <v>7384</v>
      </c>
      <c r="F3346" s="48">
        <v>40435</v>
      </c>
      <c r="G3346" s="48">
        <v>40829</v>
      </c>
      <c r="H3346" s="46" t="s">
        <v>40</v>
      </c>
      <c r="I3346" s="45">
        <v>19354</v>
      </c>
      <c r="J3346" s="45">
        <v>9677</v>
      </c>
      <c r="K3346" s="49" t="s">
        <v>7102</v>
      </c>
      <c r="L3346" s="45"/>
      <c r="M3346" s="3"/>
    </row>
    <row r="3347" spans="1:13" ht="25.5" x14ac:dyDescent="0.25">
      <c r="A3347" s="46" t="s">
        <v>7403</v>
      </c>
      <c r="B3347" s="46" t="s">
        <v>11644</v>
      </c>
      <c r="C3347" s="46" t="s">
        <v>14</v>
      </c>
      <c r="D3347" s="47">
        <v>10923</v>
      </c>
      <c r="E3347" s="46" t="s">
        <v>7404</v>
      </c>
      <c r="F3347" s="48">
        <v>41072</v>
      </c>
      <c r="G3347" s="48">
        <v>41261</v>
      </c>
      <c r="H3347" s="46" t="s">
        <v>40</v>
      </c>
      <c r="I3347" s="45">
        <v>16252</v>
      </c>
      <c r="J3347" s="45">
        <v>8126</v>
      </c>
      <c r="K3347" s="49" t="s">
        <v>7102</v>
      </c>
      <c r="L3347" s="45"/>
      <c r="M3347" s="3"/>
    </row>
    <row r="3348" spans="1:13" ht="38.25" x14ac:dyDescent="0.25">
      <c r="A3348" s="46" t="s">
        <v>7405</v>
      </c>
      <c r="B3348" s="46" t="s">
        <v>11644</v>
      </c>
      <c r="C3348" s="46" t="s">
        <v>14</v>
      </c>
      <c r="D3348" s="47">
        <v>10924</v>
      </c>
      <c r="E3348" s="46" t="s">
        <v>7406</v>
      </c>
      <c r="F3348" s="48">
        <v>40953</v>
      </c>
      <c r="G3348" s="48">
        <v>41261</v>
      </c>
      <c r="H3348" s="46" t="s">
        <v>40</v>
      </c>
      <c r="I3348" s="45">
        <v>63472</v>
      </c>
      <c r="J3348" s="45">
        <v>31736</v>
      </c>
      <c r="K3348" s="49" t="s">
        <v>7102</v>
      </c>
      <c r="L3348" s="45"/>
      <c r="M3348" s="3"/>
    </row>
    <row r="3349" spans="1:13" ht="25.5" x14ac:dyDescent="0.25">
      <c r="A3349" s="46" t="s">
        <v>7407</v>
      </c>
      <c r="B3349" s="46" t="s">
        <v>11644</v>
      </c>
      <c r="C3349" s="46" t="s">
        <v>14</v>
      </c>
      <c r="D3349" s="47">
        <v>10925</v>
      </c>
      <c r="E3349" s="46" t="s">
        <v>7408</v>
      </c>
      <c r="F3349" s="48">
        <v>40799</v>
      </c>
      <c r="G3349" s="48">
        <v>40998</v>
      </c>
      <c r="H3349" s="46" t="s">
        <v>40</v>
      </c>
      <c r="I3349" s="45">
        <v>60000</v>
      </c>
      <c r="J3349" s="45">
        <v>30000</v>
      </c>
      <c r="K3349" s="49" t="s">
        <v>7102</v>
      </c>
      <c r="L3349" s="45"/>
      <c r="M3349" s="3"/>
    </row>
    <row r="3350" spans="1:13" ht="38.25" x14ac:dyDescent="0.25">
      <c r="A3350" s="46" t="s">
        <v>7409</v>
      </c>
      <c r="B3350" s="46" t="s">
        <v>11644</v>
      </c>
      <c r="C3350" s="46" t="s">
        <v>14</v>
      </c>
      <c r="D3350" s="47">
        <v>10926</v>
      </c>
      <c r="E3350" s="46" t="s">
        <v>7410</v>
      </c>
      <c r="F3350" s="48">
        <v>40611</v>
      </c>
      <c r="G3350" s="48">
        <v>41148</v>
      </c>
      <c r="H3350" s="46" t="s">
        <v>40</v>
      </c>
      <c r="I3350" s="45">
        <v>18902</v>
      </c>
      <c r="J3350" s="45">
        <v>9451</v>
      </c>
      <c r="K3350" s="49" t="s">
        <v>7102</v>
      </c>
      <c r="L3350" s="45"/>
      <c r="M3350" s="3"/>
    </row>
    <row r="3351" spans="1:13" ht="38.25" x14ac:dyDescent="0.25">
      <c r="A3351" s="46" t="s">
        <v>7411</v>
      </c>
      <c r="B3351" s="46" t="s">
        <v>11644</v>
      </c>
      <c r="C3351" s="46" t="s">
        <v>14</v>
      </c>
      <c r="D3351" s="47">
        <v>10928</v>
      </c>
      <c r="E3351" s="46" t="s">
        <v>7412</v>
      </c>
      <c r="F3351" s="48">
        <v>40799</v>
      </c>
      <c r="G3351" s="48">
        <v>40909</v>
      </c>
      <c r="H3351" s="46" t="s">
        <v>40</v>
      </c>
      <c r="I3351" s="45">
        <v>17830</v>
      </c>
      <c r="J3351" s="45">
        <v>10000</v>
      </c>
      <c r="K3351" s="49" t="s">
        <v>7102</v>
      </c>
      <c r="L3351" s="45"/>
      <c r="M3351" s="3"/>
    </row>
    <row r="3352" spans="1:13" ht="25.5" x14ac:dyDescent="0.25">
      <c r="A3352" s="46" t="s">
        <v>7413</v>
      </c>
      <c r="B3352" s="46" t="s">
        <v>11644</v>
      </c>
      <c r="C3352" s="46" t="s">
        <v>14</v>
      </c>
      <c r="D3352" s="47">
        <v>10929</v>
      </c>
      <c r="E3352" s="46" t="s">
        <v>7414</v>
      </c>
      <c r="F3352" s="48">
        <v>40162</v>
      </c>
      <c r="G3352" s="48">
        <v>41261</v>
      </c>
      <c r="H3352" s="46" t="s">
        <v>40</v>
      </c>
      <c r="I3352" s="45">
        <v>37341</v>
      </c>
      <c r="J3352" s="45">
        <v>18670</v>
      </c>
      <c r="K3352" s="49" t="s">
        <v>7102</v>
      </c>
      <c r="L3352" s="45"/>
      <c r="M3352" s="3"/>
    </row>
    <row r="3353" spans="1:13" ht="25.5" x14ac:dyDescent="0.25">
      <c r="A3353" s="46" t="s">
        <v>7415</v>
      </c>
      <c r="B3353" s="46" t="s">
        <v>11644</v>
      </c>
      <c r="C3353" s="46" t="s">
        <v>14</v>
      </c>
      <c r="D3353" s="47">
        <v>10930</v>
      </c>
      <c r="E3353" s="46" t="s">
        <v>7416</v>
      </c>
      <c r="F3353" s="48">
        <v>41072</v>
      </c>
      <c r="G3353" s="48">
        <v>41465</v>
      </c>
      <c r="H3353" s="46" t="s">
        <v>40</v>
      </c>
      <c r="I3353" s="45">
        <f>19326+15206</f>
        <v>34532</v>
      </c>
      <c r="J3353" s="45">
        <f>2150+7513</f>
        <v>9663</v>
      </c>
      <c r="K3353" s="49" t="s">
        <v>7102</v>
      </c>
      <c r="L3353" s="45"/>
      <c r="M3353" s="3"/>
    </row>
    <row r="3354" spans="1:13" ht="38.25" x14ac:dyDescent="0.25">
      <c r="A3354" s="46" t="s">
        <v>7417</v>
      </c>
      <c r="B3354" s="46" t="s">
        <v>11644</v>
      </c>
      <c r="C3354" s="46" t="s">
        <v>14</v>
      </c>
      <c r="D3354" s="47">
        <v>10931</v>
      </c>
      <c r="E3354" s="46" t="s">
        <v>7418</v>
      </c>
      <c r="F3354" s="48">
        <v>40953</v>
      </c>
      <c r="G3354" s="48">
        <v>41261</v>
      </c>
      <c r="H3354" s="46" t="s">
        <v>40</v>
      </c>
      <c r="I3354" s="45">
        <v>53852</v>
      </c>
      <c r="J3354" s="45">
        <v>31352</v>
      </c>
      <c r="K3354" s="49" t="s">
        <v>7102</v>
      </c>
      <c r="L3354" s="45"/>
      <c r="M3354" s="3"/>
    </row>
    <row r="3355" spans="1:13" ht="25.5" x14ac:dyDescent="0.25">
      <c r="A3355" s="46" t="s">
        <v>7420</v>
      </c>
      <c r="B3355" s="46" t="s">
        <v>11644</v>
      </c>
      <c r="C3355" s="46" t="s">
        <v>14</v>
      </c>
      <c r="D3355" s="47">
        <v>10933</v>
      </c>
      <c r="E3355" s="46" t="s">
        <v>7421</v>
      </c>
      <c r="F3355" s="48">
        <v>41016</v>
      </c>
      <c r="G3355" s="48">
        <v>41241</v>
      </c>
      <c r="H3355" s="46" t="s">
        <v>40</v>
      </c>
      <c r="I3355" s="45">
        <f>36766.69+14230.04</f>
        <v>50996.73</v>
      </c>
      <c r="J3355" s="45">
        <f>13143+8990</f>
        <v>22133</v>
      </c>
      <c r="K3355" s="49" t="s">
        <v>7102</v>
      </c>
      <c r="L3355" s="45"/>
      <c r="M3355" s="3"/>
    </row>
    <row r="3356" spans="1:13" ht="25.5" x14ac:dyDescent="0.25">
      <c r="A3356" s="46" t="s">
        <v>7690</v>
      </c>
      <c r="B3356" s="46" t="s">
        <v>11644</v>
      </c>
      <c r="C3356" s="46" t="s">
        <v>14</v>
      </c>
      <c r="D3356" s="47">
        <v>6575</v>
      </c>
      <c r="E3356" s="46" t="s">
        <v>7691</v>
      </c>
      <c r="F3356" s="48">
        <v>40479</v>
      </c>
      <c r="G3356" s="48">
        <v>40543</v>
      </c>
      <c r="H3356" s="46" t="s">
        <v>40</v>
      </c>
      <c r="I3356" s="45">
        <v>3750</v>
      </c>
      <c r="J3356" s="45">
        <v>3750</v>
      </c>
      <c r="K3356" s="49" t="s">
        <v>7456</v>
      </c>
      <c r="L3356" s="45"/>
      <c r="M3356" s="3"/>
    </row>
    <row r="3357" spans="1:13" ht="25.5" x14ac:dyDescent="0.25">
      <c r="A3357" s="46" t="s">
        <v>7700</v>
      </c>
      <c r="B3357" s="46" t="s">
        <v>11644</v>
      </c>
      <c r="C3357" s="46" t="s">
        <v>14</v>
      </c>
      <c r="D3357" s="47">
        <v>6580</v>
      </c>
      <c r="E3357" s="46" t="s">
        <v>7701</v>
      </c>
      <c r="F3357" s="48">
        <v>40239</v>
      </c>
      <c r="G3357" s="48">
        <v>40710</v>
      </c>
      <c r="H3357" s="46" t="s">
        <v>40</v>
      </c>
      <c r="I3357" s="45">
        <v>78376.3</v>
      </c>
      <c r="J3357" s="45">
        <v>54188.15</v>
      </c>
      <c r="K3357" s="49" t="s">
        <v>7456</v>
      </c>
      <c r="L3357" s="45"/>
      <c r="M3357" s="3"/>
    </row>
    <row r="3358" spans="1:13" ht="25.5" x14ac:dyDescent="0.25">
      <c r="A3358" s="46" t="s">
        <v>7706</v>
      </c>
      <c r="B3358" s="46" t="s">
        <v>11644</v>
      </c>
      <c r="C3358" s="46" t="s">
        <v>14</v>
      </c>
      <c r="D3358" s="47">
        <v>6975</v>
      </c>
      <c r="E3358" s="46" t="s">
        <v>7707</v>
      </c>
      <c r="F3358" s="48">
        <v>40485</v>
      </c>
      <c r="G3358" s="46"/>
      <c r="H3358" s="46" t="s">
        <v>40</v>
      </c>
      <c r="I3358" s="45">
        <v>7936.72</v>
      </c>
      <c r="J3358" s="45">
        <v>7936.72</v>
      </c>
      <c r="K3358" s="49" t="s">
        <v>7456</v>
      </c>
      <c r="L3358" s="45"/>
      <c r="M3358" s="3"/>
    </row>
    <row r="3359" spans="1:13" ht="25.5" x14ac:dyDescent="0.25">
      <c r="A3359" s="46" t="s">
        <v>7708</v>
      </c>
      <c r="B3359" s="46" t="s">
        <v>11644</v>
      </c>
      <c r="C3359" s="46" t="s">
        <v>14</v>
      </c>
      <c r="D3359" s="47">
        <v>6976</v>
      </c>
      <c r="E3359" s="46" t="s">
        <v>7709</v>
      </c>
      <c r="F3359" s="48">
        <v>40520</v>
      </c>
      <c r="G3359" s="46"/>
      <c r="H3359" s="46" t="s">
        <v>40</v>
      </c>
      <c r="I3359" s="45">
        <v>12000</v>
      </c>
      <c r="J3359" s="45">
        <v>12000</v>
      </c>
      <c r="K3359" s="49" t="s">
        <v>7456</v>
      </c>
      <c r="L3359" s="45"/>
      <c r="M3359" s="3"/>
    </row>
    <row r="3360" spans="1:13" ht="25.5" x14ac:dyDescent="0.25">
      <c r="A3360" s="46" t="s">
        <v>7710</v>
      </c>
      <c r="B3360" s="46" t="s">
        <v>11644</v>
      </c>
      <c r="C3360" s="46" t="s">
        <v>14</v>
      </c>
      <c r="D3360" s="47">
        <v>6977</v>
      </c>
      <c r="E3360" s="46" t="s">
        <v>7711</v>
      </c>
      <c r="F3360" s="48">
        <v>40520</v>
      </c>
      <c r="G3360" s="46"/>
      <c r="H3360" s="46" t="s">
        <v>40</v>
      </c>
      <c r="I3360" s="45">
        <v>35000</v>
      </c>
      <c r="J3360" s="45">
        <v>40000</v>
      </c>
      <c r="K3360" s="49" t="s">
        <v>7456</v>
      </c>
      <c r="L3360" s="45"/>
      <c r="M3360" s="3"/>
    </row>
    <row r="3361" spans="1:13" x14ac:dyDescent="0.25">
      <c r="A3361" s="46" t="s">
        <v>7712</v>
      </c>
      <c r="B3361" s="46" t="s">
        <v>11644</v>
      </c>
      <c r="C3361" s="46" t="s">
        <v>14</v>
      </c>
      <c r="D3361" s="47">
        <v>6979</v>
      </c>
      <c r="E3361" s="46" t="s">
        <v>7713</v>
      </c>
      <c r="F3361" s="48">
        <v>40158</v>
      </c>
      <c r="G3361" s="48">
        <v>40523</v>
      </c>
      <c r="H3361" s="46" t="s">
        <v>40</v>
      </c>
      <c r="I3361" s="45">
        <v>7500</v>
      </c>
      <c r="J3361" s="45">
        <v>7500</v>
      </c>
      <c r="K3361" s="49" t="s">
        <v>7456</v>
      </c>
      <c r="L3361" s="45"/>
      <c r="M3361" s="3"/>
    </row>
    <row r="3362" spans="1:13" ht="25.5" x14ac:dyDescent="0.25">
      <c r="A3362" s="46" t="s">
        <v>7714</v>
      </c>
      <c r="B3362" s="46" t="s">
        <v>11644</v>
      </c>
      <c r="C3362" s="46" t="s">
        <v>14</v>
      </c>
      <c r="D3362" s="47">
        <v>6981</v>
      </c>
      <c r="E3362" s="46" t="s">
        <v>7715</v>
      </c>
      <c r="F3362" s="48">
        <v>40233</v>
      </c>
      <c r="G3362" s="48">
        <v>41274</v>
      </c>
      <c r="H3362" s="46" t="s">
        <v>40</v>
      </c>
      <c r="I3362" s="45">
        <v>8000</v>
      </c>
      <c r="J3362" s="45">
        <v>8000</v>
      </c>
      <c r="K3362" s="49" t="s">
        <v>7456</v>
      </c>
      <c r="L3362" s="45"/>
      <c r="M3362" s="3"/>
    </row>
    <row r="3363" spans="1:13" ht="25.5" x14ac:dyDescent="0.25">
      <c r="A3363" s="46" t="s">
        <v>7716</v>
      </c>
      <c r="B3363" s="46" t="s">
        <v>11644</v>
      </c>
      <c r="C3363" s="46" t="s">
        <v>14</v>
      </c>
      <c r="D3363" s="47">
        <v>6983</v>
      </c>
      <c r="E3363" s="46" t="s">
        <v>7717</v>
      </c>
      <c r="F3363" s="48">
        <v>40520</v>
      </c>
      <c r="G3363" s="48">
        <v>40543</v>
      </c>
      <c r="H3363" s="46" t="s">
        <v>40</v>
      </c>
      <c r="I3363" s="45">
        <v>9000</v>
      </c>
      <c r="J3363" s="45">
        <v>9000</v>
      </c>
      <c r="K3363" s="49" t="s">
        <v>7456</v>
      </c>
      <c r="L3363" s="45"/>
      <c r="M3363" s="3"/>
    </row>
    <row r="3364" spans="1:13" ht="25.5" x14ac:dyDescent="0.25">
      <c r="A3364" s="46" t="s">
        <v>7718</v>
      </c>
      <c r="B3364" s="46" t="s">
        <v>11644</v>
      </c>
      <c r="C3364" s="46" t="s">
        <v>14</v>
      </c>
      <c r="D3364" s="47">
        <v>6984</v>
      </c>
      <c r="E3364" s="46" t="s">
        <v>7719</v>
      </c>
      <c r="F3364" s="48">
        <v>40520</v>
      </c>
      <c r="G3364" s="46"/>
      <c r="H3364" s="46" t="s">
        <v>40</v>
      </c>
      <c r="I3364" s="45">
        <v>27306</v>
      </c>
      <c r="J3364" s="45">
        <v>29125</v>
      </c>
      <c r="K3364" s="49" t="s">
        <v>7456</v>
      </c>
      <c r="L3364" s="45"/>
      <c r="M3364" s="3"/>
    </row>
    <row r="3365" spans="1:13" x14ac:dyDescent="0.25">
      <c r="A3365" s="46" t="s">
        <v>7720</v>
      </c>
      <c r="B3365" s="46" t="s">
        <v>11644</v>
      </c>
      <c r="C3365" s="46" t="s">
        <v>14</v>
      </c>
      <c r="D3365" s="47">
        <v>6985</v>
      </c>
      <c r="E3365" s="46" t="s">
        <v>7721</v>
      </c>
      <c r="F3365" s="48">
        <v>40261</v>
      </c>
      <c r="G3365" s="46"/>
      <c r="H3365" s="46" t="s">
        <v>40</v>
      </c>
      <c r="I3365" s="45">
        <v>16000</v>
      </c>
      <c r="J3365" s="45">
        <v>16000</v>
      </c>
      <c r="K3365" s="49" t="s">
        <v>7456</v>
      </c>
      <c r="L3365" s="45"/>
      <c r="M3365" s="3"/>
    </row>
    <row r="3366" spans="1:13" ht="25.5" x14ac:dyDescent="0.25">
      <c r="A3366" s="46" t="s">
        <v>7722</v>
      </c>
      <c r="B3366" s="46" t="s">
        <v>11644</v>
      </c>
      <c r="C3366" s="46" t="s">
        <v>14</v>
      </c>
      <c r="D3366" s="47">
        <v>6986</v>
      </c>
      <c r="E3366" s="46" t="s">
        <v>7723</v>
      </c>
      <c r="F3366" s="48">
        <v>40485</v>
      </c>
      <c r="G3366" s="46"/>
      <c r="H3366" s="46" t="s">
        <v>40</v>
      </c>
      <c r="I3366" s="45">
        <v>8000</v>
      </c>
      <c r="J3366" s="45">
        <v>8000</v>
      </c>
      <c r="K3366" s="49" t="s">
        <v>7456</v>
      </c>
      <c r="L3366" s="45"/>
      <c r="M3366" s="3"/>
    </row>
    <row r="3367" spans="1:13" ht="25.5" x14ac:dyDescent="0.25">
      <c r="A3367" s="46" t="s">
        <v>7726</v>
      </c>
      <c r="B3367" s="46" t="s">
        <v>11644</v>
      </c>
      <c r="C3367" s="46" t="s">
        <v>14</v>
      </c>
      <c r="D3367" s="47">
        <v>6988</v>
      </c>
      <c r="E3367" s="46" t="s">
        <v>7727</v>
      </c>
      <c r="F3367" s="48">
        <v>40520</v>
      </c>
      <c r="G3367" s="46"/>
      <c r="H3367" s="46" t="s">
        <v>40</v>
      </c>
      <c r="I3367" s="45">
        <v>6750</v>
      </c>
      <c r="J3367" s="45">
        <v>6750</v>
      </c>
      <c r="K3367" s="49" t="s">
        <v>7456</v>
      </c>
      <c r="L3367" s="45"/>
      <c r="M3367" s="3"/>
    </row>
    <row r="3368" spans="1:13" ht="25.5" x14ac:dyDescent="0.25">
      <c r="A3368" s="46" t="s">
        <v>7728</v>
      </c>
      <c r="B3368" s="46" t="s">
        <v>11644</v>
      </c>
      <c r="C3368" s="46" t="s">
        <v>14</v>
      </c>
      <c r="D3368" s="47">
        <v>6989</v>
      </c>
      <c r="E3368" s="46" t="s">
        <v>7729</v>
      </c>
      <c r="F3368" s="48">
        <v>40485</v>
      </c>
      <c r="G3368" s="46"/>
      <c r="H3368" s="46" t="s">
        <v>40</v>
      </c>
      <c r="I3368" s="45">
        <v>5000</v>
      </c>
      <c r="J3368" s="45">
        <v>5000</v>
      </c>
      <c r="K3368" s="49" t="s">
        <v>7456</v>
      </c>
      <c r="L3368" s="45"/>
      <c r="M3368" s="3"/>
    </row>
    <row r="3369" spans="1:13" ht="25.5" x14ac:dyDescent="0.25">
      <c r="A3369" s="46" t="s">
        <v>7758</v>
      </c>
      <c r="B3369" s="46" t="s">
        <v>11644</v>
      </c>
      <c r="C3369" s="46" t="s">
        <v>14</v>
      </c>
      <c r="D3369" s="47">
        <v>8539</v>
      </c>
      <c r="E3369" s="46" t="s">
        <v>7759</v>
      </c>
      <c r="F3369" s="48">
        <v>40588</v>
      </c>
      <c r="G3369" s="48">
        <v>40908</v>
      </c>
      <c r="H3369" s="46" t="s">
        <v>40</v>
      </c>
      <c r="I3369" s="45">
        <v>8000</v>
      </c>
      <c r="J3369" s="45">
        <v>8000</v>
      </c>
      <c r="K3369" s="49" t="s">
        <v>7456</v>
      </c>
      <c r="L3369" s="45"/>
      <c r="M3369" s="3"/>
    </row>
    <row r="3370" spans="1:13" x14ac:dyDescent="0.25">
      <c r="A3370" s="46" t="s">
        <v>7760</v>
      </c>
      <c r="B3370" s="46" t="s">
        <v>11644</v>
      </c>
      <c r="C3370" s="46" t="s">
        <v>14</v>
      </c>
      <c r="D3370" s="47">
        <v>8542</v>
      </c>
      <c r="E3370" s="46" t="s">
        <v>7761</v>
      </c>
      <c r="F3370" s="48">
        <v>40744</v>
      </c>
      <c r="G3370" s="48">
        <v>40908</v>
      </c>
      <c r="H3370" s="46" t="s">
        <v>40</v>
      </c>
      <c r="I3370" s="45">
        <v>12000</v>
      </c>
      <c r="J3370" s="45">
        <v>12000</v>
      </c>
      <c r="K3370" s="49" t="s">
        <v>7456</v>
      </c>
      <c r="L3370" s="45"/>
      <c r="M3370" s="3"/>
    </row>
    <row r="3371" spans="1:13" ht="25.5" x14ac:dyDescent="0.25">
      <c r="A3371" s="46" t="s">
        <v>7762</v>
      </c>
      <c r="B3371" s="46" t="s">
        <v>11644</v>
      </c>
      <c r="C3371" s="46" t="s">
        <v>14</v>
      </c>
      <c r="D3371" s="47">
        <v>8543</v>
      </c>
      <c r="E3371" s="46" t="s">
        <v>7763</v>
      </c>
      <c r="F3371" s="48">
        <v>40547</v>
      </c>
      <c r="G3371" s="48">
        <v>40908</v>
      </c>
      <c r="H3371" s="46" t="s">
        <v>40</v>
      </c>
      <c r="I3371" s="45">
        <v>6750</v>
      </c>
      <c r="J3371" s="45">
        <v>6750</v>
      </c>
      <c r="K3371" s="49" t="s">
        <v>7456</v>
      </c>
      <c r="L3371" s="45"/>
      <c r="M3371" s="3"/>
    </row>
    <row r="3372" spans="1:13" ht="38.25" x14ac:dyDescent="0.25">
      <c r="A3372" s="46" t="s">
        <v>7764</v>
      </c>
      <c r="B3372" s="46" t="s">
        <v>11644</v>
      </c>
      <c r="C3372" s="46" t="s">
        <v>14</v>
      </c>
      <c r="D3372" s="47">
        <v>8544</v>
      </c>
      <c r="E3372" s="46" t="s">
        <v>7765</v>
      </c>
      <c r="F3372" s="48">
        <v>40860</v>
      </c>
      <c r="G3372" s="48">
        <v>40908</v>
      </c>
      <c r="H3372" s="46" t="s">
        <v>40</v>
      </c>
      <c r="I3372" s="45">
        <v>5000</v>
      </c>
      <c r="J3372" s="45">
        <v>5000</v>
      </c>
      <c r="K3372" s="49" t="s">
        <v>7456</v>
      </c>
      <c r="L3372" s="45"/>
      <c r="M3372" s="3"/>
    </row>
    <row r="3373" spans="1:13" x14ac:dyDescent="0.25">
      <c r="A3373" s="46" t="s">
        <v>7766</v>
      </c>
      <c r="B3373" s="46" t="s">
        <v>11644</v>
      </c>
      <c r="C3373" s="46" t="s">
        <v>14</v>
      </c>
      <c r="D3373" s="47">
        <v>8545</v>
      </c>
      <c r="E3373" s="46" t="s">
        <v>7767</v>
      </c>
      <c r="F3373" s="48">
        <v>40609</v>
      </c>
      <c r="G3373" s="48">
        <v>40908</v>
      </c>
      <c r="H3373" s="46" t="s">
        <v>40</v>
      </c>
      <c r="I3373" s="45">
        <v>4000</v>
      </c>
      <c r="J3373" s="45">
        <v>4000</v>
      </c>
      <c r="K3373" s="49" t="s">
        <v>7456</v>
      </c>
      <c r="L3373" s="45"/>
      <c r="M3373" s="3"/>
    </row>
    <row r="3374" spans="1:13" ht="25.5" x14ac:dyDescent="0.25">
      <c r="A3374" s="46" t="s">
        <v>7768</v>
      </c>
      <c r="B3374" s="46" t="s">
        <v>11644</v>
      </c>
      <c r="C3374" s="46" t="s">
        <v>14</v>
      </c>
      <c r="D3374" s="47">
        <v>8546</v>
      </c>
      <c r="E3374" s="46" t="s">
        <v>7769</v>
      </c>
      <c r="F3374" s="48">
        <v>40632</v>
      </c>
      <c r="G3374" s="48">
        <v>40908</v>
      </c>
      <c r="H3374" s="46" t="s">
        <v>40</v>
      </c>
      <c r="I3374" s="45">
        <v>16000</v>
      </c>
      <c r="J3374" s="45">
        <v>16000</v>
      </c>
      <c r="K3374" s="49" t="s">
        <v>7456</v>
      </c>
      <c r="L3374" s="45"/>
      <c r="M3374" s="3"/>
    </row>
    <row r="3375" spans="1:13" x14ac:dyDescent="0.25">
      <c r="A3375" s="46" t="s">
        <v>7770</v>
      </c>
      <c r="B3375" s="46" t="s">
        <v>11644</v>
      </c>
      <c r="C3375" s="46" t="s">
        <v>14</v>
      </c>
      <c r="D3375" s="47">
        <v>8547</v>
      </c>
      <c r="E3375" s="46" t="s">
        <v>7771</v>
      </c>
      <c r="F3375" s="48">
        <v>40663</v>
      </c>
      <c r="G3375" s="48">
        <v>40908</v>
      </c>
      <c r="H3375" s="46" t="s">
        <v>40</v>
      </c>
      <c r="I3375" s="45">
        <v>20000</v>
      </c>
      <c r="J3375" s="45">
        <v>20000</v>
      </c>
      <c r="K3375" s="49" t="s">
        <v>7456</v>
      </c>
      <c r="L3375" s="45"/>
      <c r="M3375" s="3"/>
    </row>
    <row r="3376" spans="1:13" ht="25.5" x14ac:dyDescent="0.25">
      <c r="A3376" s="46" t="s">
        <v>7776</v>
      </c>
      <c r="B3376" s="46" t="s">
        <v>11644</v>
      </c>
      <c r="C3376" s="46" t="s">
        <v>14</v>
      </c>
      <c r="D3376" s="47">
        <v>8584</v>
      </c>
      <c r="E3376" s="46" t="s">
        <v>7777</v>
      </c>
      <c r="F3376" s="48">
        <v>40884</v>
      </c>
      <c r="G3376" s="48">
        <v>40908</v>
      </c>
      <c r="H3376" s="46" t="s">
        <v>40</v>
      </c>
      <c r="I3376" s="45">
        <v>4000</v>
      </c>
      <c r="J3376" s="45">
        <v>4000</v>
      </c>
      <c r="K3376" s="49" t="s">
        <v>7456</v>
      </c>
      <c r="L3376" s="45"/>
      <c r="M3376" s="3"/>
    </row>
    <row r="3377" spans="1:13" x14ac:dyDescent="0.25">
      <c r="A3377" s="46" t="s">
        <v>7778</v>
      </c>
      <c r="B3377" s="46" t="s">
        <v>11644</v>
      </c>
      <c r="C3377" s="46" t="s">
        <v>14</v>
      </c>
      <c r="D3377" s="47">
        <v>8588</v>
      </c>
      <c r="E3377" s="46" t="s">
        <v>7779</v>
      </c>
      <c r="F3377" s="48">
        <v>40688</v>
      </c>
      <c r="G3377" s="48">
        <v>40908</v>
      </c>
      <c r="H3377" s="46" t="s">
        <v>40</v>
      </c>
      <c r="I3377" s="45">
        <v>3750</v>
      </c>
      <c r="J3377" s="45">
        <v>3750</v>
      </c>
      <c r="K3377" s="49" t="s">
        <v>7456</v>
      </c>
      <c r="L3377" s="45"/>
      <c r="M3377" s="3"/>
    </row>
    <row r="3378" spans="1:13" ht="25.5" x14ac:dyDescent="0.25">
      <c r="A3378" s="46" t="s">
        <v>7780</v>
      </c>
      <c r="B3378" s="46" t="s">
        <v>11644</v>
      </c>
      <c r="C3378" s="46" t="s">
        <v>14</v>
      </c>
      <c r="D3378" s="47">
        <v>8592</v>
      </c>
      <c r="E3378" s="46" t="s">
        <v>7781</v>
      </c>
      <c r="F3378" s="48">
        <v>40544</v>
      </c>
      <c r="G3378" s="48">
        <v>40908</v>
      </c>
      <c r="H3378" s="46" t="s">
        <v>40</v>
      </c>
      <c r="I3378" s="45">
        <v>6000</v>
      </c>
      <c r="J3378" s="45">
        <v>6000</v>
      </c>
      <c r="K3378" s="49" t="s">
        <v>7456</v>
      </c>
      <c r="L3378" s="45"/>
      <c r="M3378" s="3"/>
    </row>
    <row r="3379" spans="1:13" ht="38.25" x14ac:dyDescent="0.25">
      <c r="A3379" s="46" t="s">
        <v>7782</v>
      </c>
      <c r="B3379" s="46" t="s">
        <v>11644</v>
      </c>
      <c r="C3379" s="46" t="s">
        <v>14</v>
      </c>
      <c r="D3379" s="47">
        <v>8595</v>
      </c>
      <c r="E3379" s="46" t="s">
        <v>7783</v>
      </c>
      <c r="F3379" s="48">
        <v>40784</v>
      </c>
      <c r="G3379" s="48">
        <v>40908</v>
      </c>
      <c r="H3379" s="46" t="s">
        <v>40</v>
      </c>
      <c r="I3379" s="45">
        <v>13000</v>
      </c>
      <c r="J3379" s="45">
        <v>13000</v>
      </c>
      <c r="K3379" s="49" t="s">
        <v>7456</v>
      </c>
      <c r="L3379" s="45"/>
      <c r="M3379" s="3"/>
    </row>
    <row r="3380" spans="1:13" ht="25.5" x14ac:dyDescent="0.25">
      <c r="A3380" s="46" t="s">
        <v>7690</v>
      </c>
      <c r="B3380" s="46" t="s">
        <v>11644</v>
      </c>
      <c r="C3380" s="46" t="s">
        <v>14</v>
      </c>
      <c r="D3380" s="47">
        <v>8596</v>
      </c>
      <c r="E3380" s="46" t="s">
        <v>7784</v>
      </c>
      <c r="F3380" s="48">
        <v>40261</v>
      </c>
      <c r="G3380" s="48">
        <v>40908</v>
      </c>
      <c r="H3380" s="46" t="s">
        <v>40</v>
      </c>
      <c r="I3380" s="45">
        <v>3750</v>
      </c>
      <c r="J3380" s="45">
        <v>3750</v>
      </c>
      <c r="K3380" s="49" t="s">
        <v>7456</v>
      </c>
      <c r="L3380" s="45"/>
      <c r="M3380" s="3"/>
    </row>
    <row r="3381" spans="1:13" x14ac:dyDescent="0.25">
      <c r="A3381" s="46" t="s">
        <v>7785</v>
      </c>
      <c r="B3381" s="46" t="s">
        <v>11644</v>
      </c>
      <c r="C3381" s="46" t="s">
        <v>14</v>
      </c>
      <c r="D3381" s="47">
        <v>8597</v>
      </c>
      <c r="E3381" s="46" t="s">
        <v>7786</v>
      </c>
      <c r="F3381" s="48">
        <v>40822</v>
      </c>
      <c r="G3381" s="48">
        <v>40908</v>
      </c>
      <c r="H3381" s="46" t="s">
        <v>40</v>
      </c>
      <c r="I3381" s="45">
        <v>4000</v>
      </c>
      <c r="J3381" s="45">
        <v>4000</v>
      </c>
      <c r="K3381" s="49" t="s">
        <v>7456</v>
      </c>
      <c r="L3381" s="45"/>
      <c r="M3381" s="3"/>
    </row>
    <row r="3382" spans="1:13" x14ac:dyDescent="0.25">
      <c r="A3382" s="46" t="s">
        <v>7787</v>
      </c>
      <c r="B3382" s="46" t="s">
        <v>11644</v>
      </c>
      <c r="C3382" s="46" t="s">
        <v>14</v>
      </c>
      <c r="D3382" s="47">
        <v>8598</v>
      </c>
      <c r="E3382" s="46" t="s">
        <v>7788</v>
      </c>
      <c r="F3382" s="48">
        <v>40822</v>
      </c>
      <c r="G3382" s="48">
        <v>40908</v>
      </c>
      <c r="H3382" s="46" t="s">
        <v>40</v>
      </c>
      <c r="I3382" s="45">
        <v>13616.5</v>
      </c>
      <c r="J3382" s="45">
        <v>9308.25</v>
      </c>
      <c r="K3382" s="49" t="s">
        <v>7456</v>
      </c>
      <c r="L3382" s="45"/>
      <c r="M3382" s="3"/>
    </row>
    <row r="3383" spans="1:13" ht="25.5" x14ac:dyDescent="0.25">
      <c r="A3383" s="46" t="s">
        <v>7789</v>
      </c>
      <c r="B3383" s="46" t="s">
        <v>11644</v>
      </c>
      <c r="C3383" s="46" t="s">
        <v>14</v>
      </c>
      <c r="D3383" s="47">
        <v>8599</v>
      </c>
      <c r="E3383" s="46" t="s">
        <v>7790</v>
      </c>
      <c r="F3383" s="48">
        <v>40486</v>
      </c>
      <c r="G3383" s="48">
        <v>40908</v>
      </c>
      <c r="H3383" s="46" t="s">
        <v>40</v>
      </c>
      <c r="I3383" s="45">
        <v>5000</v>
      </c>
      <c r="J3383" s="45">
        <v>5000</v>
      </c>
      <c r="K3383" s="49" t="s">
        <v>7456</v>
      </c>
      <c r="L3383" s="45"/>
      <c r="M3383" s="3"/>
    </row>
    <row r="3384" spans="1:13" x14ac:dyDescent="0.25">
      <c r="A3384" s="46" t="s">
        <v>7793</v>
      </c>
      <c r="B3384" s="46" t="s">
        <v>11644</v>
      </c>
      <c r="C3384" s="46" t="s">
        <v>14</v>
      </c>
      <c r="D3384" s="47">
        <v>8601</v>
      </c>
      <c r="E3384" s="46" t="s">
        <v>7794</v>
      </c>
      <c r="F3384" s="48">
        <v>40570</v>
      </c>
      <c r="G3384" s="48">
        <v>40908</v>
      </c>
      <c r="H3384" s="46" t="s">
        <v>40</v>
      </c>
      <c r="I3384" s="45">
        <v>8000</v>
      </c>
      <c r="J3384" s="45">
        <v>8000</v>
      </c>
      <c r="K3384" s="49" t="s">
        <v>7456</v>
      </c>
      <c r="L3384" s="45"/>
      <c r="M3384" s="3"/>
    </row>
    <row r="3385" spans="1:13" x14ac:dyDescent="0.25">
      <c r="A3385" s="46" t="s">
        <v>7825</v>
      </c>
      <c r="B3385" s="46" t="s">
        <v>11644</v>
      </c>
      <c r="C3385" s="46" t="s">
        <v>14</v>
      </c>
      <c r="D3385" s="47">
        <v>8712</v>
      </c>
      <c r="E3385" s="46" t="s">
        <v>7826</v>
      </c>
      <c r="F3385" s="48">
        <v>40688</v>
      </c>
      <c r="G3385" s="48">
        <v>40908</v>
      </c>
      <c r="H3385" s="46" t="s">
        <v>40</v>
      </c>
      <c r="I3385" s="45">
        <v>4000</v>
      </c>
      <c r="J3385" s="45">
        <v>4000</v>
      </c>
      <c r="K3385" s="49" t="s">
        <v>7456</v>
      </c>
      <c r="L3385" s="45"/>
      <c r="M3385" s="3"/>
    </row>
    <row r="3386" spans="1:13" ht="25.5" x14ac:dyDescent="0.25">
      <c r="A3386" s="46" t="s">
        <v>7827</v>
      </c>
      <c r="B3386" s="46" t="s">
        <v>11644</v>
      </c>
      <c r="C3386" s="46" t="s">
        <v>14</v>
      </c>
      <c r="D3386" s="47">
        <v>10456</v>
      </c>
      <c r="E3386" s="46" t="s">
        <v>7828</v>
      </c>
      <c r="F3386" s="48">
        <v>40912</v>
      </c>
      <c r="G3386" s="48">
        <v>41274</v>
      </c>
      <c r="H3386" s="46" t="s">
        <v>40</v>
      </c>
      <c r="I3386" s="45">
        <v>14601.74</v>
      </c>
      <c r="J3386" s="45">
        <v>11300.87</v>
      </c>
      <c r="K3386" s="49" t="s">
        <v>7456</v>
      </c>
      <c r="L3386" s="45"/>
      <c r="M3386" s="3"/>
    </row>
    <row r="3387" spans="1:13" x14ac:dyDescent="0.25">
      <c r="A3387" s="46" t="s">
        <v>7829</v>
      </c>
      <c r="B3387" s="46" t="s">
        <v>11644</v>
      </c>
      <c r="C3387" s="46" t="s">
        <v>14</v>
      </c>
      <c r="D3387" s="47">
        <v>10457</v>
      </c>
      <c r="E3387" s="46" t="s">
        <v>7830</v>
      </c>
      <c r="F3387" s="48">
        <v>40912</v>
      </c>
      <c r="G3387" s="48">
        <v>41274</v>
      </c>
      <c r="H3387" s="46" t="s">
        <v>40</v>
      </c>
      <c r="I3387" s="45">
        <v>6000</v>
      </c>
      <c r="J3387" s="45">
        <v>6000</v>
      </c>
      <c r="K3387" s="49" t="s">
        <v>7456</v>
      </c>
      <c r="L3387" s="45"/>
      <c r="M3387" s="3"/>
    </row>
    <row r="3388" spans="1:13" ht="25.5" x14ac:dyDescent="0.25">
      <c r="A3388" s="46" t="s">
        <v>7831</v>
      </c>
      <c r="B3388" s="46" t="s">
        <v>11644</v>
      </c>
      <c r="C3388" s="46" t="s">
        <v>14</v>
      </c>
      <c r="D3388" s="47">
        <v>10458</v>
      </c>
      <c r="E3388" s="46" t="s">
        <v>7832</v>
      </c>
      <c r="F3388" s="48">
        <v>40942</v>
      </c>
      <c r="G3388" s="48">
        <v>41274</v>
      </c>
      <c r="H3388" s="46" t="s">
        <v>40</v>
      </c>
      <c r="I3388" s="45">
        <v>31250</v>
      </c>
      <c r="J3388" s="45">
        <v>21250</v>
      </c>
      <c r="K3388" s="49" t="s">
        <v>7456</v>
      </c>
      <c r="L3388" s="45"/>
      <c r="M3388" s="3"/>
    </row>
    <row r="3389" spans="1:13" ht="25.5" x14ac:dyDescent="0.25">
      <c r="A3389" s="46" t="s">
        <v>7833</v>
      </c>
      <c r="B3389" s="46" t="s">
        <v>11644</v>
      </c>
      <c r="C3389" s="46" t="s">
        <v>14</v>
      </c>
      <c r="D3389" s="47">
        <v>10459</v>
      </c>
      <c r="E3389" s="46" t="s">
        <v>7834</v>
      </c>
      <c r="F3389" s="48">
        <v>40942</v>
      </c>
      <c r="G3389" s="48">
        <v>41274</v>
      </c>
      <c r="H3389" s="46" t="s">
        <v>40</v>
      </c>
      <c r="I3389" s="45">
        <v>6000</v>
      </c>
      <c r="J3389" s="45">
        <v>6000</v>
      </c>
      <c r="K3389" s="49" t="s">
        <v>7456</v>
      </c>
      <c r="L3389" s="45"/>
      <c r="M3389" s="3"/>
    </row>
    <row r="3390" spans="1:13" x14ac:dyDescent="0.25">
      <c r="A3390" s="46" t="s">
        <v>7835</v>
      </c>
      <c r="B3390" s="46" t="s">
        <v>11644</v>
      </c>
      <c r="C3390" s="46" t="s">
        <v>14</v>
      </c>
      <c r="D3390" s="47">
        <v>10460</v>
      </c>
      <c r="E3390" s="46" t="s">
        <v>7836</v>
      </c>
      <c r="F3390" s="48">
        <v>40946</v>
      </c>
      <c r="G3390" s="48">
        <v>41274</v>
      </c>
      <c r="H3390" s="46" t="s">
        <v>40</v>
      </c>
      <c r="I3390" s="45">
        <v>16000</v>
      </c>
      <c r="J3390" s="45">
        <v>16000</v>
      </c>
      <c r="K3390" s="49" t="s">
        <v>7456</v>
      </c>
      <c r="L3390" s="45"/>
      <c r="M3390" s="3"/>
    </row>
    <row r="3391" spans="1:13" x14ac:dyDescent="0.25">
      <c r="A3391" s="46" t="s">
        <v>7837</v>
      </c>
      <c r="B3391" s="46" t="s">
        <v>11644</v>
      </c>
      <c r="C3391" s="46" t="s">
        <v>14</v>
      </c>
      <c r="D3391" s="47">
        <v>10461</v>
      </c>
      <c r="E3391" s="46" t="s">
        <v>7838</v>
      </c>
      <c r="F3391" s="48">
        <v>40946</v>
      </c>
      <c r="G3391" s="48">
        <v>41274</v>
      </c>
      <c r="H3391" s="46" t="s">
        <v>40</v>
      </c>
      <c r="I3391" s="45">
        <v>5000</v>
      </c>
      <c r="J3391" s="45">
        <v>5000</v>
      </c>
      <c r="K3391" s="49" t="s">
        <v>7456</v>
      </c>
      <c r="L3391" s="45"/>
      <c r="M3391" s="3"/>
    </row>
    <row r="3392" spans="1:13" x14ac:dyDescent="0.25">
      <c r="A3392" s="46" t="s">
        <v>7839</v>
      </c>
      <c r="B3392" s="46" t="s">
        <v>11644</v>
      </c>
      <c r="C3392" s="46" t="s">
        <v>14</v>
      </c>
      <c r="D3392" s="47">
        <v>10462</v>
      </c>
      <c r="E3392" s="46" t="s">
        <v>7840</v>
      </c>
      <c r="F3392" s="48">
        <v>40961</v>
      </c>
      <c r="G3392" s="48">
        <v>41274</v>
      </c>
      <c r="H3392" s="46" t="s">
        <v>40</v>
      </c>
      <c r="I3392" s="45">
        <v>16000</v>
      </c>
      <c r="J3392" s="45">
        <v>16000</v>
      </c>
      <c r="K3392" s="49" t="s">
        <v>7456</v>
      </c>
      <c r="L3392" s="45"/>
      <c r="M3392" s="3"/>
    </row>
    <row r="3393" spans="1:13" x14ac:dyDescent="0.25">
      <c r="A3393" s="46" t="s">
        <v>7841</v>
      </c>
      <c r="B3393" s="46" t="s">
        <v>11644</v>
      </c>
      <c r="C3393" s="46" t="s">
        <v>14</v>
      </c>
      <c r="D3393" s="47">
        <v>10463</v>
      </c>
      <c r="E3393" s="46" t="s">
        <v>7842</v>
      </c>
      <c r="F3393" s="48">
        <v>40982</v>
      </c>
      <c r="G3393" s="48">
        <v>41274</v>
      </c>
      <c r="H3393" s="46" t="s">
        <v>40</v>
      </c>
      <c r="I3393" s="45">
        <v>8000</v>
      </c>
      <c r="J3393" s="45">
        <v>8000</v>
      </c>
      <c r="K3393" s="49" t="s">
        <v>7456</v>
      </c>
      <c r="L3393" s="45"/>
      <c r="M3393" s="3"/>
    </row>
    <row r="3394" spans="1:13" x14ac:dyDescent="0.25">
      <c r="A3394" s="46" t="s">
        <v>7843</v>
      </c>
      <c r="B3394" s="46" t="s">
        <v>11644</v>
      </c>
      <c r="C3394" s="46" t="s">
        <v>14</v>
      </c>
      <c r="D3394" s="47">
        <v>10464</v>
      </c>
      <c r="E3394" s="46" t="s">
        <v>7844</v>
      </c>
      <c r="F3394" s="48">
        <v>40962</v>
      </c>
      <c r="G3394" s="48">
        <v>41274</v>
      </c>
      <c r="H3394" s="46" t="s">
        <v>40</v>
      </c>
      <c r="I3394" s="45">
        <v>15306</v>
      </c>
      <c r="J3394" s="45">
        <v>8253</v>
      </c>
      <c r="K3394" s="49" t="s">
        <v>7456</v>
      </c>
      <c r="L3394" s="45"/>
      <c r="M3394" s="3"/>
    </row>
    <row r="3395" spans="1:13" x14ac:dyDescent="0.25">
      <c r="A3395" s="46" t="s">
        <v>7845</v>
      </c>
      <c r="B3395" s="46" t="s">
        <v>11644</v>
      </c>
      <c r="C3395" s="46" t="s">
        <v>14</v>
      </c>
      <c r="D3395" s="47">
        <v>10465</v>
      </c>
      <c r="E3395" s="46" t="s">
        <v>7846</v>
      </c>
      <c r="F3395" s="48">
        <v>40912</v>
      </c>
      <c r="G3395" s="48">
        <v>41274</v>
      </c>
      <c r="H3395" s="46" t="s">
        <v>40</v>
      </c>
      <c r="I3395" s="45">
        <v>4000</v>
      </c>
      <c r="J3395" s="45">
        <v>4000</v>
      </c>
      <c r="K3395" s="49" t="s">
        <v>7456</v>
      </c>
      <c r="L3395" s="45"/>
      <c r="M3395" s="3"/>
    </row>
    <row r="3396" spans="1:13" x14ac:dyDescent="0.25">
      <c r="A3396" s="46" t="s">
        <v>7849</v>
      </c>
      <c r="B3396" s="46" t="s">
        <v>11644</v>
      </c>
      <c r="C3396" s="46" t="s">
        <v>14</v>
      </c>
      <c r="D3396" s="47">
        <v>10467</v>
      </c>
      <c r="E3396" s="46" t="s">
        <v>7850</v>
      </c>
      <c r="F3396" s="48">
        <v>40914</v>
      </c>
      <c r="G3396" s="48">
        <v>41274</v>
      </c>
      <c r="H3396" s="46" t="s">
        <v>40</v>
      </c>
      <c r="I3396" s="45">
        <v>4250</v>
      </c>
      <c r="J3396" s="45">
        <v>4250</v>
      </c>
      <c r="K3396" s="49" t="s">
        <v>7456</v>
      </c>
      <c r="L3396" s="45"/>
      <c r="M3396" s="3"/>
    </row>
    <row r="3397" spans="1:13" x14ac:dyDescent="0.25">
      <c r="A3397" s="46" t="s">
        <v>7853</v>
      </c>
      <c r="B3397" s="46" t="s">
        <v>11644</v>
      </c>
      <c r="C3397" s="46" t="s">
        <v>14</v>
      </c>
      <c r="D3397" s="47">
        <v>10469</v>
      </c>
      <c r="E3397" s="46" t="s">
        <v>7854</v>
      </c>
      <c r="F3397" s="48">
        <v>41003</v>
      </c>
      <c r="G3397" s="48">
        <v>41274</v>
      </c>
      <c r="H3397" s="46" t="s">
        <v>40</v>
      </c>
      <c r="I3397" s="45">
        <v>12000</v>
      </c>
      <c r="J3397" s="45">
        <v>12000</v>
      </c>
      <c r="K3397" s="49" t="s">
        <v>7456</v>
      </c>
      <c r="L3397" s="45"/>
      <c r="M3397" s="3"/>
    </row>
    <row r="3398" spans="1:13" x14ac:dyDescent="0.25">
      <c r="A3398" s="46" t="s">
        <v>7855</v>
      </c>
      <c r="B3398" s="46" t="s">
        <v>11644</v>
      </c>
      <c r="C3398" s="46" t="s">
        <v>14</v>
      </c>
      <c r="D3398" s="47">
        <v>10470</v>
      </c>
      <c r="E3398" s="46" t="s">
        <v>7856</v>
      </c>
      <c r="F3398" s="48">
        <v>41003</v>
      </c>
      <c r="G3398" s="48">
        <v>41274</v>
      </c>
      <c r="H3398" s="46" t="s">
        <v>40</v>
      </c>
      <c r="I3398" s="45">
        <v>5000</v>
      </c>
      <c r="J3398" s="45">
        <v>5000</v>
      </c>
      <c r="K3398" s="49" t="s">
        <v>7456</v>
      </c>
      <c r="L3398" s="45"/>
      <c r="M3398" s="3"/>
    </row>
    <row r="3399" spans="1:13" ht="25.5" x14ac:dyDescent="0.25">
      <c r="A3399" s="46" t="s">
        <v>7857</v>
      </c>
      <c r="B3399" s="46" t="s">
        <v>11644</v>
      </c>
      <c r="C3399" s="46" t="s">
        <v>14</v>
      </c>
      <c r="D3399" s="47">
        <v>10471</v>
      </c>
      <c r="E3399" s="46" t="s">
        <v>7858</v>
      </c>
      <c r="F3399" s="48">
        <v>41016</v>
      </c>
      <c r="G3399" s="48">
        <v>41274</v>
      </c>
      <c r="H3399" s="46" t="s">
        <v>40</v>
      </c>
      <c r="I3399" s="45">
        <v>8000</v>
      </c>
      <c r="J3399" s="45">
        <v>8000</v>
      </c>
      <c r="K3399" s="49" t="s">
        <v>7456</v>
      </c>
      <c r="L3399" s="45"/>
      <c r="M3399" s="3"/>
    </row>
    <row r="3400" spans="1:13" x14ac:dyDescent="0.25">
      <c r="A3400" s="46" t="s">
        <v>7859</v>
      </c>
      <c r="B3400" s="46" t="s">
        <v>11644</v>
      </c>
      <c r="C3400" s="46" t="s">
        <v>14</v>
      </c>
      <c r="D3400" s="47">
        <v>10472</v>
      </c>
      <c r="E3400" s="46" t="s">
        <v>7860</v>
      </c>
      <c r="F3400" s="48">
        <v>41051</v>
      </c>
      <c r="G3400" s="48">
        <v>41274</v>
      </c>
      <c r="H3400" s="46" t="s">
        <v>40</v>
      </c>
      <c r="I3400" s="45">
        <v>8000</v>
      </c>
      <c r="J3400" s="45">
        <v>8000</v>
      </c>
      <c r="K3400" s="49" t="s">
        <v>7456</v>
      </c>
      <c r="L3400" s="45"/>
      <c r="M3400" s="3"/>
    </row>
    <row r="3401" spans="1:13" ht="25.5" x14ac:dyDescent="0.25">
      <c r="A3401" s="46" t="s">
        <v>7863</v>
      </c>
      <c r="B3401" s="46" t="s">
        <v>11644</v>
      </c>
      <c r="C3401" s="46" t="s">
        <v>14</v>
      </c>
      <c r="D3401" s="47">
        <v>10474</v>
      </c>
      <c r="E3401" s="46" t="s">
        <v>7864</v>
      </c>
      <c r="F3401" s="48">
        <v>41051</v>
      </c>
      <c r="G3401" s="48">
        <v>41274</v>
      </c>
      <c r="H3401" s="46" t="s">
        <v>40</v>
      </c>
      <c r="I3401" s="45">
        <v>33750</v>
      </c>
      <c r="J3401" s="45">
        <v>33750</v>
      </c>
      <c r="K3401" s="49" t="s">
        <v>7456</v>
      </c>
      <c r="L3401" s="45"/>
      <c r="M3401" s="3"/>
    </row>
    <row r="3402" spans="1:13" ht="38.25" x14ac:dyDescent="0.25">
      <c r="A3402" s="46" t="s">
        <v>7865</v>
      </c>
      <c r="B3402" s="46" t="s">
        <v>11644</v>
      </c>
      <c r="C3402" s="46" t="s">
        <v>14</v>
      </c>
      <c r="D3402" s="47">
        <v>10476</v>
      </c>
      <c r="E3402" s="46" t="s">
        <v>7848</v>
      </c>
      <c r="F3402" s="48">
        <v>41142</v>
      </c>
      <c r="G3402" s="48">
        <v>41274</v>
      </c>
      <c r="H3402" s="46" t="s">
        <v>40</v>
      </c>
      <c r="I3402" s="45">
        <v>22500</v>
      </c>
      <c r="J3402" s="45">
        <v>22500</v>
      </c>
      <c r="K3402" s="49" t="s">
        <v>7456</v>
      </c>
      <c r="L3402" s="45"/>
      <c r="M3402" s="3"/>
    </row>
    <row r="3403" spans="1:13" x14ac:dyDescent="0.25">
      <c r="A3403" s="46" t="s">
        <v>7714</v>
      </c>
      <c r="B3403" s="46" t="s">
        <v>11644</v>
      </c>
      <c r="C3403" s="46" t="s">
        <v>14</v>
      </c>
      <c r="D3403" s="47">
        <v>10481</v>
      </c>
      <c r="E3403" s="46" t="s">
        <v>7866</v>
      </c>
      <c r="F3403" s="48">
        <v>41144</v>
      </c>
      <c r="G3403" s="48">
        <v>41274</v>
      </c>
      <c r="H3403" s="46" t="s">
        <v>40</v>
      </c>
      <c r="I3403" s="45">
        <v>8000</v>
      </c>
      <c r="J3403" s="45">
        <v>8000</v>
      </c>
      <c r="K3403" s="49" t="s">
        <v>7456</v>
      </c>
      <c r="L3403" s="45"/>
      <c r="M3403" s="3"/>
    </row>
    <row r="3404" spans="1:13" ht="25.5" x14ac:dyDescent="0.25">
      <c r="A3404" s="46" t="s">
        <v>7867</v>
      </c>
      <c r="B3404" s="46" t="s">
        <v>11644</v>
      </c>
      <c r="C3404" s="46" t="s">
        <v>14</v>
      </c>
      <c r="D3404" s="47">
        <v>10486</v>
      </c>
      <c r="E3404" s="46" t="s">
        <v>7868</v>
      </c>
      <c r="F3404" s="48">
        <v>41144</v>
      </c>
      <c r="G3404" s="48">
        <v>41274</v>
      </c>
      <c r="H3404" s="46" t="s">
        <v>40</v>
      </c>
      <c r="I3404" s="45">
        <v>31250</v>
      </c>
      <c r="J3404" s="45">
        <v>20000</v>
      </c>
      <c r="K3404" s="49" t="s">
        <v>7456</v>
      </c>
      <c r="L3404" s="45"/>
      <c r="M3404" s="3"/>
    </row>
    <row r="3405" spans="1:13" x14ac:dyDescent="0.25">
      <c r="A3405" s="46" t="s">
        <v>7869</v>
      </c>
      <c r="B3405" s="46" t="s">
        <v>11644</v>
      </c>
      <c r="C3405" s="46" t="s">
        <v>14</v>
      </c>
      <c r="D3405" s="47">
        <v>10489</v>
      </c>
      <c r="E3405" s="46" t="s">
        <v>7870</v>
      </c>
      <c r="F3405" s="48">
        <v>41225</v>
      </c>
      <c r="G3405" s="48">
        <v>41274</v>
      </c>
      <c r="H3405" s="46" t="s">
        <v>40</v>
      </c>
      <c r="I3405" s="45">
        <v>10000</v>
      </c>
      <c r="J3405" s="45">
        <v>10000</v>
      </c>
      <c r="K3405" s="49" t="s">
        <v>7456</v>
      </c>
      <c r="L3405" s="45"/>
      <c r="M3405" s="3"/>
    </row>
    <row r="3406" spans="1:13" x14ac:dyDescent="0.25">
      <c r="A3406" s="46" t="s">
        <v>7871</v>
      </c>
      <c r="B3406" s="46" t="s">
        <v>11644</v>
      </c>
      <c r="C3406" s="46" t="s">
        <v>14</v>
      </c>
      <c r="D3406" s="47">
        <v>10491</v>
      </c>
      <c r="E3406" s="46" t="s">
        <v>7872</v>
      </c>
      <c r="F3406" s="48">
        <v>41240</v>
      </c>
      <c r="G3406" s="48">
        <v>41274</v>
      </c>
      <c r="H3406" s="46" t="s">
        <v>40</v>
      </c>
      <c r="I3406" s="45">
        <v>30000</v>
      </c>
      <c r="J3406" s="45">
        <v>30000</v>
      </c>
      <c r="K3406" s="49" t="s">
        <v>7456</v>
      </c>
      <c r="L3406" s="45"/>
      <c r="M3406" s="3"/>
    </row>
    <row r="3407" spans="1:13" ht="25.5" x14ac:dyDescent="0.25">
      <c r="A3407" s="46" t="s">
        <v>7875</v>
      </c>
      <c r="B3407" s="46" t="s">
        <v>11644</v>
      </c>
      <c r="C3407" s="46" t="s">
        <v>14</v>
      </c>
      <c r="D3407" s="47">
        <v>10496</v>
      </c>
      <c r="E3407" s="46" t="s">
        <v>7876</v>
      </c>
      <c r="F3407" s="48">
        <v>41226</v>
      </c>
      <c r="G3407" s="48">
        <v>41274</v>
      </c>
      <c r="H3407" s="46" t="s">
        <v>40</v>
      </c>
      <c r="I3407" s="45">
        <v>8000</v>
      </c>
      <c r="J3407" s="45">
        <v>8000</v>
      </c>
      <c r="K3407" s="49" t="s">
        <v>7456</v>
      </c>
      <c r="L3407" s="45"/>
      <c r="M3407" s="3"/>
    </row>
    <row r="3408" spans="1:13" x14ac:dyDescent="0.25">
      <c r="A3408" s="46" t="s">
        <v>7825</v>
      </c>
      <c r="B3408" s="46" t="s">
        <v>11644</v>
      </c>
      <c r="C3408" s="46" t="s">
        <v>14</v>
      </c>
      <c r="D3408" s="47">
        <v>10510</v>
      </c>
      <c r="E3408" s="46" t="s">
        <v>7826</v>
      </c>
      <c r="F3408" s="48">
        <v>41149</v>
      </c>
      <c r="G3408" s="48">
        <v>41274</v>
      </c>
      <c r="H3408" s="46" t="s">
        <v>40</v>
      </c>
      <c r="I3408" s="45">
        <v>4000</v>
      </c>
      <c r="J3408" s="45">
        <v>4000</v>
      </c>
      <c r="K3408" s="49" t="s">
        <v>7456</v>
      </c>
      <c r="L3408" s="45"/>
      <c r="M3408" s="3"/>
    </row>
    <row r="3409" spans="1:13" ht="25.5" x14ac:dyDescent="0.25">
      <c r="A3409" s="46" t="s">
        <v>7881</v>
      </c>
      <c r="B3409" s="46" t="s">
        <v>11644</v>
      </c>
      <c r="C3409" s="46" t="s">
        <v>14</v>
      </c>
      <c r="D3409" s="47">
        <v>10511</v>
      </c>
      <c r="E3409" s="46" t="s">
        <v>7882</v>
      </c>
      <c r="F3409" s="48">
        <v>41149</v>
      </c>
      <c r="G3409" s="48">
        <v>41274</v>
      </c>
      <c r="H3409" s="46" t="s">
        <v>40</v>
      </c>
      <c r="I3409" s="45">
        <v>5000</v>
      </c>
      <c r="J3409" s="45">
        <v>5000</v>
      </c>
      <c r="K3409" s="49" t="s">
        <v>7456</v>
      </c>
      <c r="L3409" s="45"/>
      <c r="M3409" s="3"/>
    </row>
    <row r="3410" spans="1:13" ht="38.25" x14ac:dyDescent="0.25">
      <c r="A3410" s="46" t="s">
        <v>7883</v>
      </c>
      <c r="B3410" s="46" t="s">
        <v>11644</v>
      </c>
      <c r="C3410" s="46" t="s">
        <v>14</v>
      </c>
      <c r="D3410" s="47">
        <v>10512</v>
      </c>
      <c r="E3410" s="46" t="s">
        <v>7884</v>
      </c>
      <c r="F3410" s="48">
        <v>41241</v>
      </c>
      <c r="G3410" s="48">
        <v>41274</v>
      </c>
      <c r="H3410" s="46" t="s">
        <v>40</v>
      </c>
      <c r="I3410" s="45">
        <v>4000</v>
      </c>
      <c r="J3410" s="45">
        <v>4000</v>
      </c>
      <c r="K3410" s="49" t="s">
        <v>7456</v>
      </c>
      <c r="L3410" s="45"/>
      <c r="M3410" s="3"/>
    </row>
    <row r="3411" spans="1:13" ht="25.5" x14ac:dyDescent="0.25">
      <c r="A3411" s="46" t="s">
        <v>7885</v>
      </c>
      <c r="B3411" s="46" t="s">
        <v>11644</v>
      </c>
      <c r="C3411" s="46" t="s">
        <v>14</v>
      </c>
      <c r="D3411" s="47">
        <v>10513</v>
      </c>
      <c r="E3411" s="46" t="s">
        <v>7886</v>
      </c>
      <c r="F3411" s="48">
        <v>41249</v>
      </c>
      <c r="G3411" s="48">
        <v>41274</v>
      </c>
      <c r="H3411" s="46" t="s">
        <v>40</v>
      </c>
      <c r="I3411" s="45">
        <v>16000</v>
      </c>
      <c r="J3411" s="45">
        <v>16000</v>
      </c>
      <c r="K3411" s="49" t="s">
        <v>7456</v>
      </c>
      <c r="L3411" s="45"/>
      <c r="M3411" s="3"/>
    </row>
    <row r="3412" spans="1:13" x14ac:dyDescent="0.25">
      <c r="A3412" s="46" t="s">
        <v>7889</v>
      </c>
      <c r="B3412" s="46" t="s">
        <v>11644</v>
      </c>
      <c r="C3412" s="46" t="s">
        <v>14</v>
      </c>
      <c r="D3412" s="47">
        <v>10515</v>
      </c>
      <c r="E3412" s="46" t="s">
        <v>7890</v>
      </c>
      <c r="F3412" s="48">
        <v>41254</v>
      </c>
      <c r="G3412" s="48">
        <v>41274</v>
      </c>
      <c r="H3412" s="46" t="s">
        <v>40</v>
      </c>
      <c r="I3412" s="45">
        <v>14000</v>
      </c>
      <c r="J3412" s="45">
        <v>11000</v>
      </c>
      <c r="K3412" s="49" t="s">
        <v>7456</v>
      </c>
      <c r="L3412" s="45"/>
      <c r="M3412" s="3"/>
    </row>
    <row r="3413" spans="1:13" x14ac:dyDescent="0.25">
      <c r="A3413" s="46" t="s">
        <v>7891</v>
      </c>
      <c r="B3413" s="46" t="s">
        <v>11644</v>
      </c>
      <c r="C3413" s="46" t="s">
        <v>14</v>
      </c>
      <c r="D3413" s="47">
        <v>10516</v>
      </c>
      <c r="E3413" s="46" t="s">
        <v>7892</v>
      </c>
      <c r="F3413" s="48">
        <v>41256</v>
      </c>
      <c r="G3413" s="48">
        <v>41274</v>
      </c>
      <c r="H3413" s="46" t="s">
        <v>40</v>
      </c>
      <c r="I3413" s="45">
        <v>10000</v>
      </c>
      <c r="J3413" s="45">
        <v>10000</v>
      </c>
      <c r="K3413" s="49" t="s">
        <v>7456</v>
      </c>
      <c r="L3413" s="45"/>
      <c r="M3413" s="3"/>
    </row>
    <row r="3414" spans="1:13" ht="38.25" x14ac:dyDescent="0.25">
      <c r="A3414" s="46" t="s">
        <v>7893</v>
      </c>
      <c r="B3414" s="46" t="s">
        <v>11644</v>
      </c>
      <c r="C3414" s="46" t="s">
        <v>14</v>
      </c>
      <c r="D3414" s="47">
        <v>10517</v>
      </c>
      <c r="E3414" s="46" t="s">
        <v>7894</v>
      </c>
      <c r="F3414" s="48">
        <v>41261</v>
      </c>
      <c r="G3414" s="48">
        <v>41274</v>
      </c>
      <c r="H3414" s="46" t="s">
        <v>40</v>
      </c>
      <c r="I3414" s="45">
        <v>10000</v>
      </c>
      <c r="J3414" s="45">
        <v>10000</v>
      </c>
      <c r="K3414" s="49" t="s">
        <v>7456</v>
      </c>
      <c r="L3414" s="45"/>
      <c r="M3414" s="3"/>
    </row>
    <row r="3415" spans="1:13" ht="25.5" x14ac:dyDescent="0.25">
      <c r="A3415" s="46" t="s">
        <v>7895</v>
      </c>
      <c r="B3415" s="46" t="s">
        <v>11644</v>
      </c>
      <c r="C3415" s="46" t="s">
        <v>14</v>
      </c>
      <c r="D3415" s="47">
        <v>10519</v>
      </c>
      <c r="E3415" s="46" t="s">
        <v>7896</v>
      </c>
      <c r="F3415" s="48">
        <v>41263</v>
      </c>
      <c r="G3415" s="48">
        <v>41274</v>
      </c>
      <c r="H3415" s="46" t="s">
        <v>40</v>
      </c>
      <c r="I3415" s="45">
        <v>8000</v>
      </c>
      <c r="J3415" s="45">
        <v>8000</v>
      </c>
      <c r="K3415" s="49" t="s">
        <v>7456</v>
      </c>
      <c r="L3415" s="45"/>
      <c r="M3415" s="3"/>
    </row>
    <row r="3416" spans="1:13" ht="38.25" x14ac:dyDescent="0.25">
      <c r="A3416" s="46" t="s">
        <v>7897</v>
      </c>
      <c r="B3416" s="46" t="s">
        <v>11644</v>
      </c>
      <c r="C3416" s="46" t="s">
        <v>14</v>
      </c>
      <c r="D3416" s="47">
        <v>10521</v>
      </c>
      <c r="E3416" s="46" t="s">
        <v>7898</v>
      </c>
      <c r="F3416" s="48">
        <v>41264</v>
      </c>
      <c r="G3416" s="48">
        <v>41274</v>
      </c>
      <c r="H3416" s="46" t="s">
        <v>40</v>
      </c>
      <c r="I3416" s="45">
        <v>20000</v>
      </c>
      <c r="J3416" s="45">
        <v>20000</v>
      </c>
      <c r="K3416" s="49" t="s">
        <v>7456</v>
      </c>
      <c r="L3416" s="45"/>
      <c r="M3416" s="3"/>
    </row>
    <row r="3417" spans="1:13" x14ac:dyDescent="0.25">
      <c r="A3417" s="46" t="s">
        <v>7766</v>
      </c>
      <c r="B3417" s="46" t="s">
        <v>11644</v>
      </c>
      <c r="C3417" s="46" t="s">
        <v>14</v>
      </c>
      <c r="D3417" s="47">
        <v>11113</v>
      </c>
      <c r="E3417" s="46" t="s">
        <v>7928</v>
      </c>
      <c r="F3417" s="48">
        <v>40982</v>
      </c>
      <c r="G3417" s="48">
        <v>41274</v>
      </c>
      <c r="H3417" s="46" t="s">
        <v>40</v>
      </c>
      <c r="I3417" s="45">
        <v>4000</v>
      </c>
      <c r="J3417" s="45">
        <v>4000</v>
      </c>
      <c r="K3417" s="49" t="s">
        <v>7456</v>
      </c>
      <c r="L3417" s="45"/>
      <c r="M3417" s="3"/>
    </row>
    <row r="3418" spans="1:13" ht="38.25" x14ac:dyDescent="0.25">
      <c r="A3418" s="46" t="s">
        <v>7929</v>
      </c>
      <c r="B3418" s="46" t="s">
        <v>11644</v>
      </c>
      <c r="C3418" s="46" t="s">
        <v>14</v>
      </c>
      <c r="D3418" s="47">
        <v>11179</v>
      </c>
      <c r="E3418" s="46" t="s">
        <v>7783</v>
      </c>
      <c r="F3418" s="48">
        <v>40909</v>
      </c>
      <c r="G3418" s="48">
        <v>41274</v>
      </c>
      <c r="H3418" s="46" t="s">
        <v>40</v>
      </c>
      <c r="I3418" s="45">
        <v>13000</v>
      </c>
      <c r="J3418" s="45">
        <v>13000</v>
      </c>
      <c r="K3418" s="49" t="s">
        <v>7456</v>
      </c>
      <c r="L3418" s="45"/>
      <c r="M3418" s="3"/>
    </row>
    <row r="3419" spans="1:13" x14ac:dyDescent="0.25">
      <c r="A3419" s="46" t="s">
        <v>8043</v>
      </c>
      <c r="B3419" s="46" t="s">
        <v>11644</v>
      </c>
      <c r="C3419" s="46" t="s">
        <v>14</v>
      </c>
      <c r="D3419" s="47">
        <v>2213</v>
      </c>
      <c r="E3419" s="46" t="s">
        <v>8044</v>
      </c>
      <c r="F3419" s="48">
        <v>39114</v>
      </c>
      <c r="G3419" s="48">
        <v>39813</v>
      </c>
      <c r="H3419" s="46" t="s">
        <v>40</v>
      </c>
      <c r="I3419" s="45">
        <v>2042</v>
      </c>
      <c r="J3419" s="45">
        <v>1517</v>
      </c>
      <c r="K3419" s="49" t="s">
        <v>7941</v>
      </c>
      <c r="L3419" s="45"/>
      <c r="M3419" s="3"/>
    </row>
    <row r="3420" spans="1:13" x14ac:dyDescent="0.25">
      <c r="A3420" s="46" t="s">
        <v>8051</v>
      </c>
      <c r="B3420" s="46" t="s">
        <v>11644</v>
      </c>
      <c r="C3420" s="46" t="s">
        <v>14</v>
      </c>
      <c r="D3420" s="47">
        <v>2223</v>
      </c>
      <c r="E3420" s="46" t="s">
        <v>8052</v>
      </c>
      <c r="F3420" s="48">
        <v>39114</v>
      </c>
      <c r="G3420" s="48">
        <v>41639</v>
      </c>
      <c r="H3420" s="46" t="s">
        <v>40</v>
      </c>
      <c r="I3420" s="45">
        <v>1896.55</v>
      </c>
      <c r="J3420" s="45">
        <v>1896.55</v>
      </c>
      <c r="K3420" s="49" t="s">
        <v>7941</v>
      </c>
      <c r="L3420" s="45"/>
      <c r="M3420" s="3"/>
    </row>
    <row r="3421" spans="1:13" x14ac:dyDescent="0.25">
      <c r="A3421" s="46" t="s">
        <v>8237</v>
      </c>
      <c r="B3421" s="46" t="s">
        <v>11644</v>
      </c>
      <c r="C3421" s="46" t="s">
        <v>14</v>
      </c>
      <c r="D3421" s="47">
        <v>7078</v>
      </c>
      <c r="E3421" s="46" t="s">
        <v>8238</v>
      </c>
      <c r="F3421" s="48">
        <v>40329</v>
      </c>
      <c r="G3421" s="48">
        <v>40694</v>
      </c>
      <c r="H3421" s="46" t="s">
        <v>40</v>
      </c>
      <c r="I3421" s="45">
        <v>8000</v>
      </c>
      <c r="J3421" s="45">
        <v>12000</v>
      </c>
      <c r="K3421" s="49" t="s">
        <v>7941</v>
      </c>
      <c r="L3421" s="45"/>
      <c r="M3421" s="3"/>
    </row>
    <row r="3422" spans="1:13" ht="25.5" x14ac:dyDescent="0.25">
      <c r="A3422" s="46" t="s">
        <v>8239</v>
      </c>
      <c r="B3422" s="46" t="s">
        <v>11644</v>
      </c>
      <c r="C3422" s="46" t="s">
        <v>14</v>
      </c>
      <c r="D3422" s="47">
        <v>7085</v>
      </c>
      <c r="E3422" s="46" t="s">
        <v>8240</v>
      </c>
      <c r="F3422" s="48">
        <v>40526</v>
      </c>
      <c r="G3422" s="48">
        <v>40908</v>
      </c>
      <c r="H3422" s="46" t="s">
        <v>40</v>
      </c>
      <c r="I3422" s="45">
        <v>12598</v>
      </c>
      <c r="J3422" s="45">
        <v>10299</v>
      </c>
      <c r="K3422" s="49" t="s">
        <v>7941</v>
      </c>
      <c r="L3422" s="45"/>
      <c r="M3422" s="3"/>
    </row>
    <row r="3423" spans="1:13" ht="25.5" x14ac:dyDescent="0.25">
      <c r="A3423" s="46" t="s">
        <v>8241</v>
      </c>
      <c r="B3423" s="46" t="s">
        <v>11644</v>
      </c>
      <c r="C3423" s="46" t="s">
        <v>14</v>
      </c>
      <c r="D3423" s="47">
        <v>7088</v>
      </c>
      <c r="E3423" s="46" t="s">
        <v>8242</v>
      </c>
      <c r="F3423" s="48">
        <v>40259</v>
      </c>
      <c r="G3423" s="48">
        <v>40623</v>
      </c>
      <c r="H3423" s="46" t="s">
        <v>40</v>
      </c>
      <c r="I3423" s="45">
        <v>8000</v>
      </c>
      <c r="J3423" s="45">
        <v>8000</v>
      </c>
      <c r="K3423" s="49" t="s">
        <v>7941</v>
      </c>
      <c r="L3423" s="45"/>
      <c r="M3423" s="3"/>
    </row>
    <row r="3424" spans="1:13" ht="25.5" x14ac:dyDescent="0.25">
      <c r="A3424" s="46" t="s">
        <v>8245</v>
      </c>
      <c r="B3424" s="46" t="s">
        <v>11644</v>
      </c>
      <c r="C3424" s="46" t="s">
        <v>14</v>
      </c>
      <c r="D3424" s="47">
        <v>7103</v>
      </c>
      <c r="E3424" s="46" t="s">
        <v>8246</v>
      </c>
      <c r="F3424" s="48">
        <v>40259</v>
      </c>
      <c r="G3424" s="48">
        <v>40623</v>
      </c>
      <c r="H3424" s="46" t="s">
        <v>40</v>
      </c>
      <c r="I3424" s="45">
        <v>4000</v>
      </c>
      <c r="J3424" s="45">
        <v>4000</v>
      </c>
      <c r="K3424" s="49" t="s">
        <v>7941</v>
      </c>
      <c r="L3424" s="45"/>
      <c r="M3424" s="3"/>
    </row>
    <row r="3425" spans="1:13" ht="38.25" x14ac:dyDescent="0.25">
      <c r="A3425" s="46" t="s">
        <v>8247</v>
      </c>
      <c r="B3425" s="46" t="s">
        <v>11644</v>
      </c>
      <c r="C3425" s="46" t="s">
        <v>14</v>
      </c>
      <c r="D3425" s="47">
        <v>7104</v>
      </c>
      <c r="E3425" s="46" t="s">
        <v>8248</v>
      </c>
      <c r="F3425" s="48">
        <v>40329</v>
      </c>
      <c r="G3425" s="48">
        <v>40693</v>
      </c>
      <c r="H3425" s="46" t="s">
        <v>40</v>
      </c>
      <c r="I3425" s="45">
        <v>8000</v>
      </c>
      <c r="J3425" s="45">
        <v>8000</v>
      </c>
      <c r="K3425" s="49" t="s">
        <v>7941</v>
      </c>
      <c r="L3425" s="45"/>
      <c r="M3425" s="3"/>
    </row>
    <row r="3426" spans="1:13" ht="25.5" x14ac:dyDescent="0.25">
      <c r="A3426" s="46" t="s">
        <v>8249</v>
      </c>
      <c r="B3426" s="46" t="s">
        <v>11644</v>
      </c>
      <c r="C3426" s="46" t="s">
        <v>14</v>
      </c>
      <c r="D3426" s="47">
        <v>7105</v>
      </c>
      <c r="E3426" s="46" t="s">
        <v>8250</v>
      </c>
      <c r="F3426" s="48">
        <v>40526</v>
      </c>
      <c r="G3426" s="48">
        <v>40890</v>
      </c>
      <c r="H3426" s="46" t="s">
        <v>40</v>
      </c>
      <c r="I3426" s="45">
        <v>32534</v>
      </c>
      <c r="J3426" s="45">
        <v>25267</v>
      </c>
      <c r="K3426" s="49" t="s">
        <v>7941</v>
      </c>
      <c r="L3426" s="45"/>
      <c r="M3426" s="3"/>
    </row>
    <row r="3427" spans="1:13" ht="25.5" x14ac:dyDescent="0.25">
      <c r="A3427" s="46" t="s">
        <v>8253</v>
      </c>
      <c r="B3427" s="46" t="s">
        <v>11644</v>
      </c>
      <c r="C3427" s="46" t="s">
        <v>14</v>
      </c>
      <c r="D3427" s="47">
        <v>7107</v>
      </c>
      <c r="E3427" s="46" t="s">
        <v>8254</v>
      </c>
      <c r="F3427" s="48">
        <v>40329</v>
      </c>
      <c r="G3427" s="48">
        <v>40693</v>
      </c>
      <c r="H3427" s="46" t="s">
        <v>40</v>
      </c>
      <c r="I3427" s="45">
        <v>8000</v>
      </c>
      <c r="J3427" s="45">
        <v>4000</v>
      </c>
      <c r="K3427" s="49" t="s">
        <v>7941</v>
      </c>
      <c r="L3427" s="45"/>
      <c r="M3427" s="3"/>
    </row>
    <row r="3428" spans="1:13" ht="25.5" x14ac:dyDescent="0.25">
      <c r="A3428" s="46" t="s">
        <v>8255</v>
      </c>
      <c r="B3428" s="46" t="s">
        <v>11644</v>
      </c>
      <c r="C3428" s="46" t="s">
        <v>14</v>
      </c>
      <c r="D3428" s="47">
        <v>7108</v>
      </c>
      <c r="E3428" s="46" t="s">
        <v>8256</v>
      </c>
      <c r="F3428" s="48">
        <v>40833</v>
      </c>
      <c r="G3428" s="48">
        <v>40908</v>
      </c>
      <c r="H3428" s="46" t="s">
        <v>40</v>
      </c>
      <c r="I3428" s="45">
        <v>12500</v>
      </c>
      <c r="J3428" s="45">
        <v>12500</v>
      </c>
      <c r="K3428" s="49" t="s">
        <v>7941</v>
      </c>
      <c r="L3428" s="45"/>
      <c r="M3428" s="3"/>
    </row>
    <row r="3429" spans="1:13" ht="25.5" x14ac:dyDescent="0.25">
      <c r="A3429" s="46" t="s">
        <v>8269</v>
      </c>
      <c r="B3429" s="46" t="s">
        <v>11644</v>
      </c>
      <c r="C3429" s="46" t="s">
        <v>14</v>
      </c>
      <c r="D3429" s="47">
        <v>8628</v>
      </c>
      <c r="E3429" s="46" t="s">
        <v>8270</v>
      </c>
      <c r="F3429" s="48">
        <v>40623</v>
      </c>
      <c r="G3429" s="48">
        <v>40908</v>
      </c>
      <c r="H3429" s="46" t="s">
        <v>40</v>
      </c>
      <c r="I3429" s="45">
        <v>9200</v>
      </c>
      <c r="J3429" s="45">
        <v>8600</v>
      </c>
      <c r="K3429" s="49" t="s">
        <v>7941</v>
      </c>
      <c r="L3429" s="45"/>
      <c r="M3429" s="3"/>
    </row>
    <row r="3430" spans="1:13" x14ac:dyDescent="0.25">
      <c r="A3430" s="46" t="s">
        <v>8275</v>
      </c>
      <c r="B3430" s="46" t="s">
        <v>11644</v>
      </c>
      <c r="C3430" s="46" t="s">
        <v>14</v>
      </c>
      <c r="D3430" s="47">
        <v>8631</v>
      </c>
      <c r="E3430" s="46" t="s">
        <v>8276</v>
      </c>
      <c r="F3430" s="48">
        <v>40623</v>
      </c>
      <c r="G3430" s="48">
        <v>40908</v>
      </c>
      <c r="H3430" s="46" t="s">
        <v>40</v>
      </c>
      <c r="I3430" s="45">
        <v>4000</v>
      </c>
      <c r="J3430" s="45">
        <v>4000</v>
      </c>
      <c r="K3430" s="49" t="s">
        <v>7941</v>
      </c>
      <c r="L3430" s="45"/>
      <c r="M3430" s="3"/>
    </row>
    <row r="3431" spans="1:13" ht="38.25" x14ac:dyDescent="0.25">
      <c r="A3431" s="46" t="s">
        <v>8287</v>
      </c>
      <c r="B3431" s="46" t="s">
        <v>11644</v>
      </c>
      <c r="C3431" s="46" t="s">
        <v>14</v>
      </c>
      <c r="D3431" s="47">
        <v>8637</v>
      </c>
      <c r="E3431" s="46" t="s">
        <v>8288</v>
      </c>
      <c r="F3431" s="48">
        <v>40833</v>
      </c>
      <c r="G3431" s="48">
        <v>41274</v>
      </c>
      <c r="H3431" s="46" t="s">
        <v>40</v>
      </c>
      <c r="I3431" s="45">
        <v>8000</v>
      </c>
      <c r="J3431" s="45">
        <v>8000</v>
      </c>
      <c r="K3431" s="49" t="s">
        <v>7941</v>
      </c>
      <c r="L3431" s="45"/>
      <c r="M3431" s="3"/>
    </row>
    <row r="3432" spans="1:13" ht="25.5" x14ac:dyDescent="0.25">
      <c r="A3432" s="46" t="s">
        <v>8299</v>
      </c>
      <c r="B3432" s="46" t="s">
        <v>11644</v>
      </c>
      <c r="C3432" s="46" t="s">
        <v>14</v>
      </c>
      <c r="D3432" s="47">
        <v>10414</v>
      </c>
      <c r="E3432" s="46" t="s">
        <v>8300</v>
      </c>
      <c r="F3432" s="48">
        <v>41037</v>
      </c>
      <c r="G3432" s="48">
        <v>41402</v>
      </c>
      <c r="H3432" s="46" t="s">
        <v>40</v>
      </c>
      <c r="I3432" s="45">
        <f>8492+2372</f>
        <v>10864</v>
      </c>
      <c r="J3432" s="45">
        <f>3060+1186</f>
        <v>4246</v>
      </c>
      <c r="K3432" s="49" t="s">
        <v>7941</v>
      </c>
      <c r="L3432" s="45"/>
      <c r="M3432" s="3"/>
    </row>
    <row r="3433" spans="1:13" ht="25.5" x14ac:dyDescent="0.25">
      <c r="A3433" s="46" t="s">
        <v>8311</v>
      </c>
      <c r="B3433" s="46" t="s">
        <v>11644</v>
      </c>
      <c r="C3433" s="46" t="s">
        <v>14</v>
      </c>
      <c r="D3433" s="47">
        <v>10443</v>
      </c>
      <c r="E3433" s="46" t="s">
        <v>8312</v>
      </c>
      <c r="F3433" s="48">
        <v>40974</v>
      </c>
      <c r="G3433" s="48">
        <v>41339</v>
      </c>
      <c r="H3433" s="46" t="s">
        <v>40</v>
      </c>
      <c r="I3433" s="45">
        <v>10000</v>
      </c>
      <c r="J3433" s="45">
        <v>9000</v>
      </c>
      <c r="K3433" s="49" t="s">
        <v>7941</v>
      </c>
      <c r="L3433" s="45"/>
      <c r="M3433" s="3"/>
    </row>
    <row r="3434" spans="1:13" x14ac:dyDescent="0.25">
      <c r="A3434" s="46" t="s">
        <v>8313</v>
      </c>
      <c r="B3434" s="46" t="s">
        <v>11644</v>
      </c>
      <c r="C3434" s="46" t="s">
        <v>14</v>
      </c>
      <c r="D3434" s="47">
        <v>10445</v>
      </c>
      <c r="E3434" s="46" t="s">
        <v>8314</v>
      </c>
      <c r="F3434" s="48">
        <v>41037</v>
      </c>
      <c r="G3434" s="48">
        <v>41402</v>
      </c>
      <c r="H3434" s="46" t="s">
        <v>40</v>
      </c>
      <c r="I3434" s="45">
        <v>23982</v>
      </c>
      <c r="J3434" s="45">
        <v>17991</v>
      </c>
      <c r="K3434" s="49" t="s">
        <v>7941</v>
      </c>
      <c r="L3434" s="45"/>
      <c r="M3434" s="3"/>
    </row>
    <row r="3435" spans="1:13" ht="25.5" x14ac:dyDescent="0.25">
      <c r="A3435" s="46" t="s">
        <v>8321</v>
      </c>
      <c r="B3435" s="46" t="s">
        <v>11644</v>
      </c>
      <c r="C3435" s="46" t="s">
        <v>14</v>
      </c>
      <c r="D3435" s="47">
        <v>10482</v>
      </c>
      <c r="E3435" s="46" t="s">
        <v>8322</v>
      </c>
      <c r="F3435" s="48">
        <v>40974</v>
      </c>
      <c r="G3435" s="48">
        <v>41339</v>
      </c>
      <c r="H3435" s="46" t="s">
        <v>40</v>
      </c>
      <c r="I3435" s="45">
        <f>23734+5592</f>
        <v>29326</v>
      </c>
      <c r="J3435" s="45">
        <f>13071+2796</f>
        <v>15867</v>
      </c>
      <c r="K3435" s="49" t="s">
        <v>7941</v>
      </c>
      <c r="L3435" s="45"/>
      <c r="M3435" s="3"/>
    </row>
    <row r="3436" spans="1:13" ht="25.5" x14ac:dyDescent="0.25">
      <c r="A3436" s="46" t="s">
        <v>8325</v>
      </c>
      <c r="B3436" s="46" t="s">
        <v>11644</v>
      </c>
      <c r="C3436" s="46" t="s">
        <v>14</v>
      </c>
      <c r="D3436" s="47">
        <v>10485</v>
      </c>
      <c r="E3436" s="46" t="s">
        <v>8326</v>
      </c>
      <c r="F3436" s="48">
        <v>41037</v>
      </c>
      <c r="G3436" s="48">
        <v>41402</v>
      </c>
      <c r="H3436" s="46" t="s">
        <v>40</v>
      </c>
      <c r="I3436" s="45">
        <f>9974+750</f>
        <v>10724</v>
      </c>
      <c r="J3436" s="45">
        <v>8987</v>
      </c>
      <c r="K3436" s="49" t="s">
        <v>7941</v>
      </c>
      <c r="L3436" s="45"/>
      <c r="M3436" s="3"/>
    </row>
    <row r="3437" spans="1:13" x14ac:dyDescent="0.25">
      <c r="A3437" s="46" t="s">
        <v>8327</v>
      </c>
      <c r="B3437" s="46" t="s">
        <v>11644</v>
      </c>
      <c r="C3437" s="46" t="s">
        <v>14</v>
      </c>
      <c r="D3437" s="47">
        <v>10487</v>
      </c>
      <c r="E3437" s="46" t="s">
        <v>8328</v>
      </c>
      <c r="F3437" s="48">
        <v>40974</v>
      </c>
      <c r="G3437" s="48">
        <v>41339</v>
      </c>
      <c r="H3437" s="46" t="s">
        <v>40</v>
      </c>
      <c r="I3437" s="45">
        <f>13334+6368</f>
        <v>19702</v>
      </c>
      <c r="J3437" s="45">
        <v>8667</v>
      </c>
      <c r="K3437" s="49" t="s">
        <v>7941</v>
      </c>
      <c r="L3437" s="45"/>
      <c r="M3437" s="3"/>
    </row>
    <row r="3438" spans="1:13" ht="25.5" x14ac:dyDescent="0.25">
      <c r="A3438" s="46" t="s">
        <v>8659</v>
      </c>
      <c r="B3438" s="46" t="s">
        <v>11644</v>
      </c>
      <c r="C3438" s="46" t="s">
        <v>14</v>
      </c>
      <c r="D3438" s="47">
        <v>6882</v>
      </c>
      <c r="E3438" s="46" t="s">
        <v>8660</v>
      </c>
      <c r="F3438" s="48">
        <v>40389</v>
      </c>
      <c r="G3438" s="48">
        <v>40522</v>
      </c>
      <c r="H3438" s="46" t="s">
        <v>40</v>
      </c>
      <c r="I3438" s="45">
        <v>31437.5</v>
      </c>
      <c r="J3438" s="45">
        <v>15718.75</v>
      </c>
      <c r="K3438" s="49" t="s">
        <v>8348</v>
      </c>
      <c r="L3438" s="45"/>
      <c r="M3438" s="3"/>
    </row>
    <row r="3439" spans="1:13" ht="38.25" x14ac:dyDescent="0.25">
      <c r="A3439" s="46" t="s">
        <v>8661</v>
      </c>
      <c r="B3439" s="46" t="s">
        <v>11644</v>
      </c>
      <c r="C3439" s="46" t="s">
        <v>14</v>
      </c>
      <c r="D3439" s="47">
        <v>6884</v>
      </c>
      <c r="E3439" s="46" t="s">
        <v>8662</v>
      </c>
      <c r="F3439" s="48">
        <v>40389</v>
      </c>
      <c r="G3439" s="48">
        <v>40680</v>
      </c>
      <c r="H3439" s="46" t="s">
        <v>40</v>
      </c>
      <c r="I3439" s="45">
        <v>10000</v>
      </c>
      <c r="J3439" s="45">
        <v>10000</v>
      </c>
      <c r="K3439" s="49" t="s">
        <v>8348</v>
      </c>
      <c r="L3439" s="45"/>
      <c r="M3439" s="3"/>
    </row>
    <row r="3440" spans="1:13" ht="25.5" x14ac:dyDescent="0.25">
      <c r="A3440" s="46" t="s">
        <v>8663</v>
      </c>
      <c r="B3440" s="46" t="s">
        <v>11644</v>
      </c>
      <c r="C3440" s="46" t="s">
        <v>14</v>
      </c>
      <c r="D3440" s="47">
        <v>6886</v>
      </c>
      <c r="E3440" s="46" t="s">
        <v>8664</v>
      </c>
      <c r="F3440" s="48">
        <v>40238</v>
      </c>
      <c r="G3440" s="48">
        <v>40639</v>
      </c>
      <c r="H3440" s="46" t="s">
        <v>40</v>
      </c>
      <c r="I3440" s="45">
        <v>3750</v>
      </c>
      <c r="J3440" s="45">
        <v>3750</v>
      </c>
      <c r="K3440" s="49" t="s">
        <v>8348</v>
      </c>
      <c r="L3440" s="45"/>
      <c r="M3440" s="3"/>
    </row>
    <row r="3441" spans="1:13" ht="38.25" x14ac:dyDescent="0.25">
      <c r="A3441" s="46" t="s">
        <v>8665</v>
      </c>
      <c r="B3441" s="46" t="s">
        <v>11644</v>
      </c>
      <c r="C3441" s="46" t="s">
        <v>14</v>
      </c>
      <c r="D3441" s="47">
        <v>6888</v>
      </c>
      <c r="E3441" s="46" t="s">
        <v>8666</v>
      </c>
      <c r="F3441" s="48">
        <v>40179</v>
      </c>
      <c r="G3441" s="48">
        <v>40231</v>
      </c>
      <c r="H3441" s="46" t="s">
        <v>40</v>
      </c>
      <c r="I3441" s="45">
        <v>43761.599999999999</v>
      </c>
      <c r="J3441" s="45">
        <v>23401.7</v>
      </c>
      <c r="K3441" s="49" t="s">
        <v>8348</v>
      </c>
      <c r="L3441" s="45"/>
      <c r="M3441" s="3"/>
    </row>
    <row r="3442" spans="1:13" x14ac:dyDescent="0.25">
      <c r="A3442" s="46" t="s">
        <v>8667</v>
      </c>
      <c r="B3442" s="46" t="s">
        <v>11644</v>
      </c>
      <c r="C3442" s="46" t="s">
        <v>14</v>
      </c>
      <c r="D3442" s="47">
        <v>6889</v>
      </c>
      <c r="E3442" s="46" t="s">
        <v>8668</v>
      </c>
      <c r="F3442" s="48">
        <v>40389</v>
      </c>
      <c r="G3442" s="48">
        <v>40522</v>
      </c>
      <c r="H3442" s="46" t="s">
        <v>40</v>
      </c>
      <c r="I3442" s="45">
        <v>15000</v>
      </c>
      <c r="J3442" s="45">
        <v>11500</v>
      </c>
      <c r="K3442" s="49" t="s">
        <v>8348</v>
      </c>
      <c r="L3442" s="45"/>
      <c r="M3442" s="3"/>
    </row>
    <row r="3443" spans="1:13" ht="38.25" x14ac:dyDescent="0.25">
      <c r="A3443" s="46" t="s">
        <v>8671</v>
      </c>
      <c r="B3443" s="46" t="s">
        <v>11644</v>
      </c>
      <c r="C3443" s="46" t="s">
        <v>14</v>
      </c>
      <c r="D3443" s="47">
        <v>6898</v>
      </c>
      <c r="E3443" s="46" t="s">
        <v>8672</v>
      </c>
      <c r="F3443" s="48">
        <v>40179</v>
      </c>
      <c r="G3443" s="48">
        <v>40330</v>
      </c>
      <c r="H3443" s="46" t="s">
        <v>40</v>
      </c>
      <c r="I3443" s="45">
        <v>5000</v>
      </c>
      <c r="J3443" s="45">
        <v>5000</v>
      </c>
      <c r="K3443" s="49" t="s">
        <v>8348</v>
      </c>
      <c r="L3443" s="45"/>
      <c r="M3443" s="3"/>
    </row>
    <row r="3444" spans="1:13" ht="38.25" x14ac:dyDescent="0.25">
      <c r="A3444" s="46" t="s">
        <v>8673</v>
      </c>
      <c r="B3444" s="46" t="s">
        <v>11644</v>
      </c>
      <c r="C3444" s="46" t="s">
        <v>14</v>
      </c>
      <c r="D3444" s="47">
        <v>6900</v>
      </c>
      <c r="E3444" s="46" t="s">
        <v>8674</v>
      </c>
      <c r="F3444" s="48">
        <v>40164</v>
      </c>
      <c r="G3444" s="48">
        <v>40654</v>
      </c>
      <c r="H3444" s="46" t="s">
        <v>40</v>
      </c>
      <c r="I3444" s="45">
        <v>24102.959999999999</v>
      </c>
      <c r="J3444" s="45">
        <v>12051.48</v>
      </c>
      <c r="K3444" s="49" t="s">
        <v>8348</v>
      </c>
      <c r="L3444" s="45"/>
      <c r="M3444" s="3"/>
    </row>
    <row r="3445" spans="1:13" x14ac:dyDescent="0.25">
      <c r="A3445" s="46" t="s">
        <v>8675</v>
      </c>
      <c r="B3445" s="46" t="s">
        <v>11644</v>
      </c>
      <c r="C3445" s="46" t="s">
        <v>14</v>
      </c>
      <c r="D3445" s="47">
        <v>7454</v>
      </c>
      <c r="E3445" s="46" t="s">
        <v>8676</v>
      </c>
      <c r="F3445" s="48">
        <v>40207</v>
      </c>
      <c r="G3445" s="48">
        <v>40401</v>
      </c>
      <c r="H3445" s="46" t="s">
        <v>40</v>
      </c>
      <c r="I3445" s="45">
        <v>5000</v>
      </c>
      <c r="J3445" s="45">
        <v>5000</v>
      </c>
      <c r="K3445" s="49" t="s">
        <v>8348</v>
      </c>
      <c r="L3445" s="45"/>
      <c r="M3445" s="3"/>
    </row>
    <row r="3446" spans="1:13" x14ac:dyDescent="0.25">
      <c r="A3446" s="46" t="s">
        <v>8677</v>
      </c>
      <c r="B3446" s="46" t="s">
        <v>11644</v>
      </c>
      <c r="C3446" s="46" t="s">
        <v>14</v>
      </c>
      <c r="D3446" s="47">
        <v>7455</v>
      </c>
      <c r="E3446" s="46" t="s">
        <v>8678</v>
      </c>
      <c r="F3446" s="48">
        <v>40293</v>
      </c>
      <c r="G3446" s="48">
        <v>40344</v>
      </c>
      <c r="H3446" s="46" t="s">
        <v>40</v>
      </c>
      <c r="I3446" s="45">
        <v>45000.02</v>
      </c>
      <c r="J3446" s="45">
        <v>22500.01</v>
      </c>
      <c r="K3446" s="49" t="s">
        <v>8348</v>
      </c>
      <c r="L3446" s="45"/>
      <c r="M3446" s="3"/>
    </row>
    <row r="3447" spans="1:13" ht="38.25" x14ac:dyDescent="0.25">
      <c r="A3447" s="46" t="s">
        <v>8679</v>
      </c>
      <c r="B3447" s="46" t="s">
        <v>11644</v>
      </c>
      <c r="C3447" s="46" t="s">
        <v>14</v>
      </c>
      <c r="D3447" s="47">
        <v>7649</v>
      </c>
      <c r="E3447" s="50" t="s">
        <v>8680</v>
      </c>
      <c r="F3447" s="48">
        <v>40296</v>
      </c>
      <c r="G3447" s="48">
        <v>40522</v>
      </c>
      <c r="H3447" s="46" t="s">
        <v>40</v>
      </c>
      <c r="I3447" s="45">
        <v>4000</v>
      </c>
      <c r="J3447" s="45">
        <v>4000</v>
      </c>
      <c r="K3447" s="49" t="s">
        <v>8348</v>
      </c>
      <c r="L3447" s="45"/>
      <c r="M3447" s="3"/>
    </row>
    <row r="3448" spans="1:13" x14ac:dyDescent="0.25">
      <c r="A3448" s="46" t="s">
        <v>8681</v>
      </c>
      <c r="B3448" s="46" t="s">
        <v>11644</v>
      </c>
      <c r="C3448" s="46" t="s">
        <v>14</v>
      </c>
      <c r="D3448" s="47">
        <v>7650</v>
      </c>
      <c r="E3448" s="46" t="s">
        <v>8682</v>
      </c>
      <c r="F3448" s="48">
        <v>40456</v>
      </c>
      <c r="G3448" s="48">
        <v>40543</v>
      </c>
      <c r="H3448" s="46" t="s">
        <v>40</v>
      </c>
      <c r="I3448" s="45">
        <v>18000</v>
      </c>
      <c r="J3448" s="45">
        <v>9000</v>
      </c>
      <c r="K3448" s="49" t="s">
        <v>8348</v>
      </c>
      <c r="L3448" s="45"/>
      <c r="M3448" s="3"/>
    </row>
    <row r="3449" spans="1:13" ht="38.25" x14ac:dyDescent="0.25">
      <c r="A3449" s="46" t="s">
        <v>8685</v>
      </c>
      <c r="B3449" s="46" t="s">
        <v>11644</v>
      </c>
      <c r="C3449" s="46" t="s">
        <v>14</v>
      </c>
      <c r="D3449" s="47">
        <v>7652</v>
      </c>
      <c r="E3449" s="50" t="s">
        <v>8686</v>
      </c>
      <c r="F3449" s="48">
        <v>40389</v>
      </c>
      <c r="G3449" s="48">
        <v>40800</v>
      </c>
      <c r="H3449" s="46" t="s">
        <v>40</v>
      </c>
      <c r="I3449" s="45">
        <v>10050</v>
      </c>
      <c r="J3449" s="45">
        <v>10050</v>
      </c>
      <c r="K3449" s="49" t="s">
        <v>8348</v>
      </c>
      <c r="L3449" s="45"/>
      <c r="M3449" s="3"/>
    </row>
    <row r="3450" spans="1:13" ht="25.5" x14ac:dyDescent="0.25">
      <c r="A3450" s="46" t="s">
        <v>8687</v>
      </c>
      <c r="B3450" s="46" t="s">
        <v>11644</v>
      </c>
      <c r="C3450" s="46" t="s">
        <v>14</v>
      </c>
      <c r="D3450" s="47">
        <v>7654</v>
      </c>
      <c r="E3450" s="46" t="s">
        <v>8688</v>
      </c>
      <c r="F3450" s="48">
        <v>40522</v>
      </c>
      <c r="G3450" s="48">
        <v>40543</v>
      </c>
      <c r="H3450" s="46" t="s">
        <v>40</v>
      </c>
      <c r="I3450" s="45">
        <v>4774.5</v>
      </c>
      <c r="J3450" s="45">
        <v>2387.25</v>
      </c>
      <c r="K3450" s="49" t="s">
        <v>8348</v>
      </c>
      <c r="L3450" s="45"/>
      <c r="M3450" s="3"/>
    </row>
    <row r="3451" spans="1:13" ht="63.75" x14ac:dyDescent="0.25">
      <c r="A3451" s="46" t="s">
        <v>8691</v>
      </c>
      <c r="B3451" s="46" t="s">
        <v>11644</v>
      </c>
      <c r="C3451" s="46" t="s">
        <v>14</v>
      </c>
      <c r="D3451" s="47">
        <v>7657</v>
      </c>
      <c r="E3451" s="50" t="s">
        <v>8692</v>
      </c>
      <c r="F3451" s="48">
        <v>40522</v>
      </c>
      <c r="G3451" s="48">
        <v>40693</v>
      </c>
      <c r="H3451" s="46" t="s">
        <v>40</v>
      </c>
      <c r="I3451" s="45">
        <v>7482</v>
      </c>
      <c r="J3451" s="45">
        <v>7482</v>
      </c>
      <c r="K3451" s="49" t="s">
        <v>8348</v>
      </c>
      <c r="L3451" s="45"/>
      <c r="M3451" s="3"/>
    </row>
    <row r="3452" spans="1:13" x14ac:dyDescent="0.25">
      <c r="A3452" s="46" t="s">
        <v>8693</v>
      </c>
      <c r="B3452" s="46" t="s">
        <v>11644</v>
      </c>
      <c r="C3452" s="46" t="s">
        <v>14</v>
      </c>
      <c r="D3452" s="47">
        <v>7658</v>
      </c>
      <c r="E3452" s="46" t="s">
        <v>8694</v>
      </c>
      <c r="F3452" s="48">
        <v>40532</v>
      </c>
      <c r="G3452" s="48">
        <v>40701</v>
      </c>
      <c r="H3452" s="46" t="s">
        <v>40</v>
      </c>
      <c r="I3452" s="45">
        <v>37029.599999999999</v>
      </c>
      <c r="J3452" s="45">
        <v>18514.8</v>
      </c>
      <c r="K3452" s="49" t="s">
        <v>8348</v>
      </c>
      <c r="L3452" s="45"/>
      <c r="M3452" s="3"/>
    </row>
    <row r="3453" spans="1:13" ht="25.5" x14ac:dyDescent="0.25">
      <c r="A3453" s="46" t="s">
        <v>8695</v>
      </c>
      <c r="B3453" s="46" t="s">
        <v>11644</v>
      </c>
      <c r="C3453" s="46" t="s">
        <v>14</v>
      </c>
      <c r="D3453" s="47">
        <v>7659</v>
      </c>
      <c r="E3453" s="46" t="s">
        <v>8696</v>
      </c>
      <c r="F3453" s="48">
        <v>40525</v>
      </c>
      <c r="G3453" s="48">
        <v>40889</v>
      </c>
      <c r="H3453" s="46" t="s">
        <v>40</v>
      </c>
      <c r="I3453" s="45">
        <v>10386</v>
      </c>
      <c r="J3453" s="45">
        <v>5193</v>
      </c>
      <c r="K3453" s="49" t="s">
        <v>8348</v>
      </c>
      <c r="L3453" s="45"/>
      <c r="M3453" s="3"/>
    </row>
    <row r="3454" spans="1:13" ht="25.5" x14ac:dyDescent="0.25">
      <c r="A3454" s="46" t="s">
        <v>8747</v>
      </c>
      <c r="B3454" s="46" t="s">
        <v>11644</v>
      </c>
      <c r="C3454" s="46" t="s">
        <v>14</v>
      </c>
      <c r="D3454" s="47">
        <v>9145</v>
      </c>
      <c r="E3454" s="46" t="s">
        <v>8748</v>
      </c>
      <c r="F3454" s="48">
        <v>40688</v>
      </c>
      <c r="G3454" s="48">
        <v>40908</v>
      </c>
      <c r="H3454" s="46" t="s">
        <v>40</v>
      </c>
      <c r="I3454" s="45">
        <v>3600</v>
      </c>
      <c r="J3454" s="45">
        <v>3600</v>
      </c>
      <c r="K3454" s="49" t="s">
        <v>8348</v>
      </c>
      <c r="L3454" s="45"/>
      <c r="M3454" s="3"/>
    </row>
    <row r="3455" spans="1:13" x14ac:dyDescent="0.25">
      <c r="A3455" s="46" t="s">
        <v>8749</v>
      </c>
      <c r="B3455" s="46" t="s">
        <v>11644</v>
      </c>
      <c r="C3455" s="46" t="s">
        <v>14</v>
      </c>
      <c r="D3455" s="47">
        <v>9146</v>
      </c>
      <c r="E3455" s="46" t="s">
        <v>8750</v>
      </c>
      <c r="F3455" s="48">
        <v>40553</v>
      </c>
      <c r="G3455" s="48">
        <v>40774</v>
      </c>
      <c r="H3455" s="46" t="s">
        <v>40</v>
      </c>
      <c r="I3455" s="45">
        <v>14400</v>
      </c>
      <c r="J3455" s="45">
        <v>14400</v>
      </c>
      <c r="K3455" s="49" t="s">
        <v>8348</v>
      </c>
      <c r="L3455" s="45"/>
      <c r="M3455" s="3"/>
    </row>
    <row r="3456" spans="1:13" x14ac:dyDescent="0.25">
      <c r="A3456" s="46" t="s">
        <v>8751</v>
      </c>
      <c r="B3456" s="46" t="s">
        <v>11644</v>
      </c>
      <c r="C3456" s="46" t="s">
        <v>14</v>
      </c>
      <c r="D3456" s="47">
        <v>9147</v>
      </c>
      <c r="E3456" s="46" t="s">
        <v>8752</v>
      </c>
      <c r="F3456" s="48">
        <v>40688</v>
      </c>
      <c r="G3456" s="48">
        <v>40842</v>
      </c>
      <c r="H3456" s="46" t="s">
        <v>40</v>
      </c>
      <c r="I3456" s="45">
        <v>20375</v>
      </c>
      <c r="J3456" s="45">
        <v>10000</v>
      </c>
      <c r="K3456" s="49" t="s">
        <v>8348</v>
      </c>
      <c r="L3456" s="45"/>
      <c r="M3456" s="3"/>
    </row>
    <row r="3457" spans="1:13" ht="38.25" x14ac:dyDescent="0.25">
      <c r="A3457" s="46" t="s">
        <v>8753</v>
      </c>
      <c r="B3457" s="46" t="s">
        <v>11644</v>
      </c>
      <c r="C3457" s="46" t="s">
        <v>14</v>
      </c>
      <c r="D3457" s="47">
        <v>9148</v>
      </c>
      <c r="E3457" s="50" t="s">
        <v>8754</v>
      </c>
      <c r="F3457" s="48">
        <v>40597</v>
      </c>
      <c r="G3457" s="48">
        <v>40625</v>
      </c>
      <c r="H3457" s="46" t="s">
        <v>40</v>
      </c>
      <c r="I3457" s="45">
        <v>2000</v>
      </c>
      <c r="J3457" s="45">
        <v>2000</v>
      </c>
      <c r="K3457" s="49" t="s">
        <v>8348</v>
      </c>
      <c r="L3457" s="45"/>
      <c r="M3457" s="3"/>
    </row>
    <row r="3458" spans="1:13" x14ac:dyDescent="0.25">
      <c r="A3458" s="46" t="s">
        <v>8759</v>
      </c>
      <c r="B3458" s="46" t="s">
        <v>11644</v>
      </c>
      <c r="C3458" s="46" t="s">
        <v>14</v>
      </c>
      <c r="D3458" s="47">
        <v>9152</v>
      </c>
      <c r="E3458" s="46" t="s">
        <v>8760</v>
      </c>
      <c r="F3458" s="48">
        <v>40668</v>
      </c>
      <c r="G3458" s="48">
        <v>40900</v>
      </c>
      <c r="H3458" s="46" t="s">
        <v>40</v>
      </c>
      <c r="I3458" s="45">
        <v>8117.5</v>
      </c>
      <c r="J3458" s="45">
        <v>4250</v>
      </c>
      <c r="K3458" s="49" t="s">
        <v>8348</v>
      </c>
      <c r="L3458" s="45"/>
      <c r="M3458" s="3"/>
    </row>
    <row r="3459" spans="1:13" x14ac:dyDescent="0.25">
      <c r="A3459" s="46" t="s">
        <v>8763</v>
      </c>
      <c r="B3459" s="46" t="s">
        <v>11644</v>
      </c>
      <c r="C3459" s="46" t="s">
        <v>14</v>
      </c>
      <c r="D3459" s="47">
        <v>9154</v>
      </c>
      <c r="E3459" s="46" t="s">
        <v>8764</v>
      </c>
      <c r="F3459" s="48">
        <v>40668</v>
      </c>
      <c r="G3459" s="48">
        <v>40843</v>
      </c>
      <c r="H3459" s="46" t="s">
        <v>40</v>
      </c>
      <c r="I3459" s="45">
        <v>6000</v>
      </c>
      <c r="J3459" s="45">
        <v>6000</v>
      </c>
      <c r="K3459" s="49" t="s">
        <v>8348</v>
      </c>
      <c r="L3459" s="45"/>
      <c r="M3459" s="3"/>
    </row>
    <row r="3460" spans="1:13" ht="25.5" x14ac:dyDescent="0.25">
      <c r="A3460" s="46" t="s">
        <v>8765</v>
      </c>
      <c r="B3460" s="46" t="s">
        <v>11644</v>
      </c>
      <c r="C3460" s="46" t="s">
        <v>14</v>
      </c>
      <c r="D3460" s="47">
        <v>9155</v>
      </c>
      <c r="E3460" s="46" t="s">
        <v>8766</v>
      </c>
      <c r="F3460" s="48">
        <v>40597</v>
      </c>
      <c r="G3460" s="48">
        <v>40862</v>
      </c>
      <c r="H3460" s="46" t="s">
        <v>40</v>
      </c>
      <c r="I3460" s="45">
        <v>6750.02</v>
      </c>
      <c r="J3460" s="45">
        <v>4125.01</v>
      </c>
      <c r="K3460" s="49" t="s">
        <v>8348</v>
      </c>
      <c r="L3460" s="45"/>
      <c r="M3460" s="3"/>
    </row>
    <row r="3461" spans="1:13" ht="25.5" x14ac:dyDescent="0.25">
      <c r="A3461" s="46" t="s">
        <v>8767</v>
      </c>
      <c r="B3461" s="46" t="s">
        <v>11644</v>
      </c>
      <c r="C3461" s="46" t="s">
        <v>14</v>
      </c>
      <c r="D3461" s="47">
        <v>9156</v>
      </c>
      <c r="E3461" s="46" t="s">
        <v>8768</v>
      </c>
      <c r="F3461" s="48">
        <v>40814</v>
      </c>
      <c r="G3461" s="48">
        <v>41019</v>
      </c>
      <c r="H3461" s="46" t="s">
        <v>40</v>
      </c>
      <c r="I3461" s="45">
        <v>10000</v>
      </c>
      <c r="J3461" s="45">
        <v>10000</v>
      </c>
      <c r="K3461" s="49" t="s">
        <v>8348</v>
      </c>
      <c r="L3461" s="45"/>
      <c r="M3461" s="3"/>
    </row>
    <row r="3462" spans="1:13" ht="25.5" x14ac:dyDescent="0.25">
      <c r="A3462" s="46" t="s">
        <v>8769</v>
      </c>
      <c r="B3462" s="46" t="s">
        <v>11644</v>
      </c>
      <c r="C3462" s="46" t="s">
        <v>14</v>
      </c>
      <c r="D3462" s="47">
        <v>9157</v>
      </c>
      <c r="E3462" s="46" t="s">
        <v>8770</v>
      </c>
      <c r="F3462" s="48">
        <v>40737</v>
      </c>
      <c r="G3462" s="48">
        <v>41047</v>
      </c>
      <c r="H3462" s="46" t="s">
        <v>40</v>
      </c>
      <c r="I3462" s="45">
        <v>69999.8</v>
      </c>
      <c r="J3462" s="45">
        <v>35000</v>
      </c>
      <c r="K3462" s="49" t="s">
        <v>8348</v>
      </c>
      <c r="L3462" s="45"/>
      <c r="M3462" s="3"/>
    </row>
    <row r="3463" spans="1:13" x14ac:dyDescent="0.25">
      <c r="A3463" s="46" t="s">
        <v>8771</v>
      </c>
      <c r="B3463" s="46" t="s">
        <v>11644</v>
      </c>
      <c r="C3463" s="46" t="s">
        <v>14</v>
      </c>
      <c r="D3463" s="47">
        <v>9158</v>
      </c>
      <c r="E3463" s="46" t="s">
        <v>8772</v>
      </c>
      <c r="F3463" s="48">
        <v>40814</v>
      </c>
      <c r="G3463" s="48">
        <v>41025</v>
      </c>
      <c r="H3463" s="46" t="s">
        <v>40</v>
      </c>
      <c r="I3463" s="45">
        <v>8000</v>
      </c>
      <c r="J3463" s="45">
        <v>8000</v>
      </c>
      <c r="K3463" s="49" t="s">
        <v>8348</v>
      </c>
      <c r="L3463" s="45"/>
      <c r="M3463" s="3"/>
    </row>
    <row r="3464" spans="1:13" ht="38.25" x14ac:dyDescent="0.25">
      <c r="A3464" s="46" t="s">
        <v>8773</v>
      </c>
      <c r="B3464" s="46" t="s">
        <v>11644</v>
      </c>
      <c r="C3464" s="46" t="s">
        <v>14</v>
      </c>
      <c r="D3464" s="47">
        <v>9159</v>
      </c>
      <c r="E3464" s="50" t="s">
        <v>8774</v>
      </c>
      <c r="F3464" s="48">
        <v>40688</v>
      </c>
      <c r="G3464" s="48">
        <v>40890</v>
      </c>
      <c r="H3464" s="46" t="s">
        <v>40</v>
      </c>
      <c r="I3464" s="45">
        <v>2600</v>
      </c>
      <c r="J3464" s="45">
        <v>2600</v>
      </c>
      <c r="K3464" s="49" t="s">
        <v>8348</v>
      </c>
      <c r="L3464" s="45"/>
      <c r="M3464" s="3"/>
    </row>
    <row r="3465" spans="1:13" ht="25.5" x14ac:dyDescent="0.25">
      <c r="A3465" s="46" t="s">
        <v>8775</v>
      </c>
      <c r="B3465" s="46" t="s">
        <v>11644</v>
      </c>
      <c r="C3465" s="46" t="s">
        <v>14</v>
      </c>
      <c r="D3465" s="47">
        <v>9160</v>
      </c>
      <c r="E3465" s="46" t="s">
        <v>8776</v>
      </c>
      <c r="F3465" s="48">
        <v>40814</v>
      </c>
      <c r="G3465" s="48">
        <v>41019</v>
      </c>
      <c r="H3465" s="46" t="s">
        <v>40</v>
      </c>
      <c r="I3465" s="45">
        <v>4625</v>
      </c>
      <c r="J3465" s="45">
        <v>4625</v>
      </c>
      <c r="K3465" s="49" t="s">
        <v>8348</v>
      </c>
      <c r="L3465" s="45"/>
      <c r="M3465" s="3"/>
    </row>
    <row r="3466" spans="1:13" ht="25.5" x14ac:dyDescent="0.25">
      <c r="A3466" s="46" t="s">
        <v>8777</v>
      </c>
      <c r="B3466" s="46" t="s">
        <v>11644</v>
      </c>
      <c r="C3466" s="46" t="s">
        <v>14</v>
      </c>
      <c r="D3466" s="47">
        <v>9161</v>
      </c>
      <c r="E3466" s="46" t="s">
        <v>8778</v>
      </c>
      <c r="F3466" s="48">
        <v>40688</v>
      </c>
      <c r="G3466" s="48">
        <v>40735</v>
      </c>
      <c r="H3466" s="46" t="s">
        <v>40</v>
      </c>
      <c r="I3466" s="45">
        <v>3600</v>
      </c>
      <c r="J3466" s="45">
        <v>3600</v>
      </c>
      <c r="K3466" s="49" t="s">
        <v>8348</v>
      </c>
      <c r="L3466" s="45"/>
      <c r="M3466" s="3"/>
    </row>
    <row r="3467" spans="1:13" ht="25.5" x14ac:dyDescent="0.25">
      <c r="A3467" s="46" t="s">
        <v>8779</v>
      </c>
      <c r="B3467" s="46" t="s">
        <v>11644</v>
      </c>
      <c r="C3467" s="46" t="s">
        <v>14</v>
      </c>
      <c r="D3467" s="47">
        <v>9162</v>
      </c>
      <c r="E3467" s="46" t="s">
        <v>8780</v>
      </c>
      <c r="F3467" s="48">
        <v>40737</v>
      </c>
      <c r="G3467" s="48">
        <v>40939</v>
      </c>
      <c r="H3467" s="46" t="s">
        <v>40</v>
      </c>
      <c r="I3467" s="45">
        <v>4500</v>
      </c>
      <c r="J3467" s="45">
        <v>4500</v>
      </c>
      <c r="K3467" s="49" t="s">
        <v>8348</v>
      </c>
      <c r="L3467" s="45"/>
      <c r="M3467" s="3"/>
    </row>
    <row r="3468" spans="1:13" ht="38.25" x14ac:dyDescent="0.25">
      <c r="A3468" s="46" t="s">
        <v>8781</v>
      </c>
      <c r="B3468" s="46" t="s">
        <v>11644</v>
      </c>
      <c r="C3468" s="46" t="s">
        <v>14</v>
      </c>
      <c r="D3468" s="47">
        <v>9163</v>
      </c>
      <c r="E3468" s="46" t="s">
        <v>8782</v>
      </c>
      <c r="F3468" s="48">
        <v>40814</v>
      </c>
      <c r="G3468" s="48">
        <v>41011</v>
      </c>
      <c r="H3468" s="46" t="s">
        <v>40</v>
      </c>
      <c r="I3468" s="45">
        <v>5550</v>
      </c>
      <c r="J3468" s="45">
        <v>5550</v>
      </c>
      <c r="K3468" s="49" t="s">
        <v>8348</v>
      </c>
      <c r="L3468" s="45"/>
      <c r="M3468" s="3"/>
    </row>
    <row r="3469" spans="1:13" ht="38.25" x14ac:dyDescent="0.25">
      <c r="A3469" s="46" t="s">
        <v>8842</v>
      </c>
      <c r="B3469" s="46" t="s">
        <v>11644</v>
      </c>
      <c r="C3469" s="46" t="s">
        <v>14</v>
      </c>
      <c r="D3469" s="47">
        <v>10494</v>
      </c>
      <c r="E3469" s="50" t="s">
        <v>8843</v>
      </c>
      <c r="F3469" s="48">
        <v>40917</v>
      </c>
      <c r="G3469" s="48">
        <v>41172</v>
      </c>
      <c r="H3469" s="46" t="s">
        <v>40</v>
      </c>
      <c r="I3469" s="45">
        <v>8000</v>
      </c>
      <c r="J3469" s="45">
        <v>8000</v>
      </c>
      <c r="K3469" s="49" t="s">
        <v>8348</v>
      </c>
      <c r="L3469" s="45"/>
      <c r="M3469" s="3"/>
    </row>
    <row r="3470" spans="1:13" ht="25.5" x14ac:dyDescent="0.25">
      <c r="A3470" s="46" t="s">
        <v>8844</v>
      </c>
      <c r="B3470" s="46" t="s">
        <v>11644</v>
      </c>
      <c r="C3470" s="46" t="s">
        <v>14</v>
      </c>
      <c r="D3470" s="47">
        <v>10498</v>
      </c>
      <c r="E3470" s="46" t="s">
        <v>8845</v>
      </c>
      <c r="F3470" s="48">
        <v>40896</v>
      </c>
      <c r="G3470" s="48">
        <v>41082</v>
      </c>
      <c r="H3470" s="46" t="s">
        <v>40</v>
      </c>
      <c r="I3470" s="45">
        <v>4000</v>
      </c>
      <c r="J3470" s="45">
        <v>4000</v>
      </c>
      <c r="K3470" s="49" t="s">
        <v>8348</v>
      </c>
      <c r="L3470" s="45"/>
      <c r="M3470" s="3"/>
    </row>
    <row r="3471" spans="1:13" ht="51" x14ac:dyDescent="0.25">
      <c r="A3471" s="46" t="s">
        <v>8849</v>
      </c>
      <c r="B3471" s="46" t="s">
        <v>11644</v>
      </c>
      <c r="C3471" s="46" t="s">
        <v>14</v>
      </c>
      <c r="D3471" s="47">
        <v>10506</v>
      </c>
      <c r="E3471" s="50" t="s">
        <v>8850</v>
      </c>
      <c r="F3471" s="48">
        <v>41087</v>
      </c>
      <c r="G3471" s="48">
        <v>41185</v>
      </c>
      <c r="H3471" s="46" t="s">
        <v>40</v>
      </c>
      <c r="I3471" s="45">
        <v>14000</v>
      </c>
      <c r="J3471" s="45">
        <v>14000</v>
      </c>
      <c r="K3471" s="49" t="s">
        <v>8348</v>
      </c>
      <c r="L3471" s="45"/>
      <c r="M3471" s="3"/>
    </row>
    <row r="3472" spans="1:13" ht="38.25" x14ac:dyDescent="0.25">
      <c r="A3472" s="46" t="s">
        <v>8851</v>
      </c>
      <c r="B3472" s="46" t="s">
        <v>11644</v>
      </c>
      <c r="C3472" s="46" t="s">
        <v>14</v>
      </c>
      <c r="D3472" s="47">
        <v>10507</v>
      </c>
      <c r="E3472" s="50" t="s">
        <v>8852</v>
      </c>
      <c r="F3472" s="48">
        <v>40967</v>
      </c>
      <c r="G3472" s="48">
        <v>40997</v>
      </c>
      <c r="H3472" s="46" t="s">
        <v>40</v>
      </c>
      <c r="I3472" s="45">
        <v>5000</v>
      </c>
      <c r="J3472" s="45">
        <v>5000</v>
      </c>
      <c r="K3472" s="49" t="s">
        <v>8348</v>
      </c>
      <c r="L3472" s="45"/>
      <c r="M3472" s="3"/>
    </row>
    <row r="3473" spans="1:13" ht="38.25" x14ac:dyDescent="0.25">
      <c r="A3473" s="46" t="s">
        <v>8853</v>
      </c>
      <c r="B3473" s="46" t="s">
        <v>11644</v>
      </c>
      <c r="C3473" s="46" t="s">
        <v>14</v>
      </c>
      <c r="D3473" s="47">
        <v>10523</v>
      </c>
      <c r="E3473" s="46" t="s">
        <v>8854</v>
      </c>
      <c r="F3473" s="48">
        <v>40912</v>
      </c>
      <c r="G3473" s="48">
        <v>41145</v>
      </c>
      <c r="H3473" s="46" t="s">
        <v>40</v>
      </c>
      <c r="I3473" s="45">
        <v>43000</v>
      </c>
      <c r="J3473" s="45">
        <v>8600</v>
      </c>
      <c r="K3473" s="49" t="s">
        <v>8348</v>
      </c>
      <c r="L3473" s="45"/>
      <c r="M3473" s="3"/>
    </row>
    <row r="3474" spans="1:13" ht="38.25" x14ac:dyDescent="0.25">
      <c r="A3474" s="46" t="s">
        <v>8855</v>
      </c>
      <c r="B3474" s="46" t="s">
        <v>11644</v>
      </c>
      <c r="C3474" s="46" t="s">
        <v>14</v>
      </c>
      <c r="D3474" s="47">
        <v>10529</v>
      </c>
      <c r="E3474" s="46" t="s">
        <v>8856</v>
      </c>
      <c r="F3474" s="48">
        <v>40863</v>
      </c>
      <c r="G3474" s="48">
        <v>40948</v>
      </c>
      <c r="H3474" s="46" t="s">
        <v>40</v>
      </c>
      <c r="I3474" s="45">
        <v>4878.0600000000004</v>
      </c>
      <c r="J3474" s="45">
        <v>2439.0300000000002</v>
      </c>
      <c r="K3474" s="49" t="s">
        <v>8348</v>
      </c>
      <c r="L3474" s="45"/>
      <c r="M3474" s="3"/>
    </row>
    <row r="3475" spans="1:13" ht="25.5" x14ac:dyDescent="0.25">
      <c r="A3475" s="46" t="s">
        <v>8857</v>
      </c>
      <c r="B3475" s="46" t="s">
        <v>11644</v>
      </c>
      <c r="C3475" s="46" t="s">
        <v>14</v>
      </c>
      <c r="D3475" s="47">
        <v>10535</v>
      </c>
      <c r="E3475" s="46" t="s">
        <v>8858</v>
      </c>
      <c r="F3475" s="48">
        <v>41032</v>
      </c>
      <c r="G3475" s="48">
        <v>41093</v>
      </c>
      <c r="H3475" s="46" t="s">
        <v>40</v>
      </c>
      <c r="I3475" s="45">
        <v>2500</v>
      </c>
      <c r="J3475" s="45">
        <v>2500</v>
      </c>
      <c r="K3475" s="49" t="s">
        <v>8348</v>
      </c>
      <c r="L3475" s="45"/>
      <c r="M3475" s="3"/>
    </row>
    <row r="3476" spans="1:13" ht="38.25" x14ac:dyDescent="0.25">
      <c r="A3476" s="46" t="s">
        <v>8859</v>
      </c>
      <c r="B3476" s="46" t="s">
        <v>11644</v>
      </c>
      <c r="C3476" s="46" t="s">
        <v>14</v>
      </c>
      <c r="D3476" s="47">
        <v>10541</v>
      </c>
      <c r="E3476" s="50" t="s">
        <v>8860</v>
      </c>
      <c r="F3476" s="48">
        <v>41087</v>
      </c>
      <c r="G3476" s="48">
        <v>41123</v>
      </c>
      <c r="H3476" s="46" t="s">
        <v>40</v>
      </c>
      <c r="I3476" s="45">
        <v>4000</v>
      </c>
      <c r="J3476" s="45">
        <v>4000</v>
      </c>
      <c r="K3476" s="49" t="s">
        <v>8348</v>
      </c>
      <c r="L3476" s="45"/>
      <c r="M3476" s="3"/>
    </row>
    <row r="3477" spans="1:13" ht="25.5" x14ac:dyDescent="0.25">
      <c r="A3477" s="46" t="s">
        <v>8861</v>
      </c>
      <c r="B3477" s="46" t="s">
        <v>11644</v>
      </c>
      <c r="C3477" s="46" t="s">
        <v>14</v>
      </c>
      <c r="D3477" s="47">
        <v>10543</v>
      </c>
      <c r="E3477" s="46" t="s">
        <v>8862</v>
      </c>
      <c r="F3477" s="48">
        <v>41001</v>
      </c>
      <c r="G3477" s="48">
        <v>41047</v>
      </c>
      <c r="H3477" s="46" t="s">
        <v>40</v>
      </c>
      <c r="I3477" s="45">
        <v>1000</v>
      </c>
      <c r="J3477" s="45">
        <v>1000</v>
      </c>
      <c r="K3477" s="49" t="s">
        <v>8348</v>
      </c>
      <c r="L3477" s="45"/>
      <c r="M3477" s="3"/>
    </row>
    <row r="3478" spans="1:13" ht="25.5" x14ac:dyDescent="0.25">
      <c r="A3478" s="46" t="s">
        <v>8863</v>
      </c>
      <c r="B3478" s="46" t="s">
        <v>11644</v>
      </c>
      <c r="C3478" s="46" t="s">
        <v>14</v>
      </c>
      <c r="D3478" s="47">
        <v>10544</v>
      </c>
      <c r="E3478" s="46" t="s">
        <v>8864</v>
      </c>
      <c r="F3478" s="48">
        <v>40961</v>
      </c>
      <c r="G3478" s="48">
        <v>41172</v>
      </c>
      <c r="H3478" s="46" t="s">
        <v>40</v>
      </c>
      <c r="I3478" s="45">
        <v>8000</v>
      </c>
      <c r="J3478" s="45">
        <v>8000</v>
      </c>
      <c r="K3478" s="49" t="s">
        <v>8348</v>
      </c>
      <c r="L3478" s="45"/>
      <c r="M3478" s="3"/>
    </row>
    <row r="3479" spans="1:13" ht="25.5" x14ac:dyDescent="0.25">
      <c r="A3479" s="46" t="s">
        <v>8867</v>
      </c>
      <c r="B3479" s="46" t="s">
        <v>11644</v>
      </c>
      <c r="C3479" s="46" t="s">
        <v>14</v>
      </c>
      <c r="D3479" s="47">
        <v>10546</v>
      </c>
      <c r="E3479" s="46" t="s">
        <v>8868</v>
      </c>
      <c r="F3479" s="48">
        <v>40814</v>
      </c>
      <c r="G3479" s="48">
        <v>41137</v>
      </c>
      <c r="H3479" s="46" t="s">
        <v>40</v>
      </c>
      <c r="I3479" s="45">
        <v>5000</v>
      </c>
      <c r="J3479" s="45">
        <v>5000</v>
      </c>
      <c r="K3479" s="49" t="s">
        <v>8348</v>
      </c>
      <c r="L3479" s="45"/>
      <c r="M3479" s="3"/>
    </row>
    <row r="3480" spans="1:13" ht="38.25" x14ac:dyDescent="0.25">
      <c r="A3480" s="46" t="s">
        <v>8869</v>
      </c>
      <c r="B3480" s="46" t="s">
        <v>11644</v>
      </c>
      <c r="C3480" s="46" t="s">
        <v>14</v>
      </c>
      <c r="D3480" s="47">
        <v>10547</v>
      </c>
      <c r="E3480" s="46" t="s">
        <v>8870</v>
      </c>
      <c r="F3480" s="48">
        <v>40967</v>
      </c>
      <c r="G3480" s="48">
        <v>41158</v>
      </c>
      <c r="H3480" s="46" t="s">
        <v>40</v>
      </c>
      <c r="I3480" s="45">
        <v>6000</v>
      </c>
      <c r="J3480" s="45">
        <v>6000</v>
      </c>
      <c r="K3480" s="49" t="s">
        <v>8348</v>
      </c>
      <c r="L3480" s="45"/>
      <c r="M3480" s="3"/>
    </row>
    <row r="3481" spans="1:13" ht="25.5" x14ac:dyDescent="0.25">
      <c r="A3481" s="46" t="s">
        <v>9096</v>
      </c>
      <c r="B3481" s="46" t="s">
        <v>11644</v>
      </c>
      <c r="C3481" s="46" t="s">
        <v>14</v>
      </c>
      <c r="D3481" s="47">
        <v>7340</v>
      </c>
      <c r="E3481" s="46" t="s">
        <v>9097</v>
      </c>
      <c r="F3481" s="48">
        <v>40224</v>
      </c>
      <c r="G3481" s="48">
        <v>40543</v>
      </c>
      <c r="H3481" s="46" t="s">
        <v>40</v>
      </c>
      <c r="I3481" s="45">
        <v>7500</v>
      </c>
      <c r="J3481" s="45">
        <v>7500</v>
      </c>
      <c r="K3481" s="49" t="s">
        <v>8905</v>
      </c>
      <c r="L3481" s="45"/>
      <c r="M3481" s="3"/>
    </row>
    <row r="3482" spans="1:13" x14ac:dyDescent="0.25">
      <c r="A3482" s="46" t="s">
        <v>9098</v>
      </c>
      <c r="B3482" s="46" t="s">
        <v>11644</v>
      </c>
      <c r="C3482" s="46" t="s">
        <v>14</v>
      </c>
      <c r="D3482" s="47">
        <v>7341</v>
      </c>
      <c r="E3482" s="46" t="s">
        <v>9099</v>
      </c>
      <c r="F3482" s="48">
        <v>40441</v>
      </c>
      <c r="G3482" s="48">
        <v>40682</v>
      </c>
      <c r="H3482" s="46" t="s">
        <v>40</v>
      </c>
      <c r="I3482" s="45">
        <v>7500</v>
      </c>
      <c r="J3482" s="45">
        <v>7500</v>
      </c>
      <c r="K3482" s="49" t="s">
        <v>8905</v>
      </c>
      <c r="L3482" s="45"/>
      <c r="M3482" s="3"/>
    </row>
    <row r="3483" spans="1:13" ht="25.5" x14ac:dyDescent="0.25">
      <c r="A3483" s="46" t="s">
        <v>9102</v>
      </c>
      <c r="B3483" s="46" t="s">
        <v>11644</v>
      </c>
      <c r="C3483" s="46" t="s">
        <v>14</v>
      </c>
      <c r="D3483" s="47">
        <v>7344</v>
      </c>
      <c r="E3483" s="46" t="s">
        <v>9103</v>
      </c>
      <c r="F3483" s="48">
        <v>40350</v>
      </c>
      <c r="G3483" s="46"/>
      <c r="H3483" s="46" t="s">
        <v>40</v>
      </c>
      <c r="I3483" s="45">
        <v>52997.58</v>
      </c>
      <c r="J3483" s="45">
        <v>24667</v>
      </c>
      <c r="K3483" s="49" t="s">
        <v>8905</v>
      </c>
      <c r="L3483" s="45"/>
      <c r="M3483" s="3"/>
    </row>
    <row r="3484" spans="1:13" x14ac:dyDescent="0.25">
      <c r="A3484" s="46" t="s">
        <v>9104</v>
      </c>
      <c r="B3484" s="46" t="s">
        <v>11644</v>
      </c>
      <c r="C3484" s="46" t="s">
        <v>14</v>
      </c>
      <c r="D3484" s="47">
        <v>7345</v>
      </c>
      <c r="E3484" s="46" t="s">
        <v>9105</v>
      </c>
      <c r="F3484" s="48">
        <v>40350</v>
      </c>
      <c r="G3484" s="46"/>
      <c r="H3484" s="46" t="s">
        <v>40</v>
      </c>
      <c r="I3484" s="45">
        <v>7500</v>
      </c>
      <c r="J3484" s="45">
        <v>7500</v>
      </c>
      <c r="K3484" s="49" t="s">
        <v>8905</v>
      </c>
      <c r="L3484" s="45"/>
      <c r="M3484" s="3"/>
    </row>
    <row r="3485" spans="1:13" x14ac:dyDescent="0.25">
      <c r="A3485" s="46" t="s">
        <v>9106</v>
      </c>
      <c r="B3485" s="46" t="s">
        <v>11644</v>
      </c>
      <c r="C3485" s="46" t="s">
        <v>14</v>
      </c>
      <c r="D3485" s="47">
        <v>7346</v>
      </c>
      <c r="E3485" s="46" t="s">
        <v>9107</v>
      </c>
      <c r="F3485" s="48">
        <v>40224</v>
      </c>
      <c r="G3485" s="46"/>
      <c r="H3485" s="46" t="s">
        <v>40</v>
      </c>
      <c r="I3485" s="45">
        <v>7500</v>
      </c>
      <c r="J3485" s="45">
        <v>7500</v>
      </c>
      <c r="K3485" s="49" t="s">
        <v>8905</v>
      </c>
      <c r="L3485" s="45"/>
      <c r="M3485" s="3"/>
    </row>
    <row r="3486" spans="1:13" x14ac:dyDescent="0.25">
      <c r="A3486" s="46" t="s">
        <v>9108</v>
      </c>
      <c r="B3486" s="46" t="s">
        <v>11644</v>
      </c>
      <c r="C3486" s="46" t="s">
        <v>14</v>
      </c>
      <c r="D3486" s="47">
        <v>7347</v>
      </c>
      <c r="E3486" s="46" t="s">
        <v>9109</v>
      </c>
      <c r="F3486" s="48">
        <v>40224</v>
      </c>
      <c r="G3486" s="46"/>
      <c r="H3486" s="46" t="s">
        <v>40</v>
      </c>
      <c r="I3486" s="45">
        <v>3750</v>
      </c>
      <c r="J3486" s="45">
        <v>3750</v>
      </c>
      <c r="K3486" s="49" t="s">
        <v>8905</v>
      </c>
      <c r="L3486" s="45"/>
      <c r="M3486" s="3"/>
    </row>
    <row r="3487" spans="1:13" x14ac:dyDescent="0.25">
      <c r="A3487" s="46" t="s">
        <v>9110</v>
      </c>
      <c r="B3487" s="46" t="s">
        <v>11644</v>
      </c>
      <c r="C3487" s="46" t="s">
        <v>14</v>
      </c>
      <c r="D3487" s="47">
        <v>7348</v>
      </c>
      <c r="E3487" s="46" t="s">
        <v>9111</v>
      </c>
      <c r="F3487" s="48">
        <v>40441</v>
      </c>
      <c r="G3487" s="46"/>
      <c r="H3487" s="46" t="s">
        <v>40</v>
      </c>
      <c r="I3487" s="45">
        <v>7500</v>
      </c>
      <c r="J3487" s="45">
        <v>7500</v>
      </c>
      <c r="K3487" s="49" t="s">
        <v>8905</v>
      </c>
      <c r="L3487" s="45"/>
      <c r="M3487" s="3"/>
    </row>
    <row r="3488" spans="1:13" x14ac:dyDescent="0.25">
      <c r="A3488" s="46" t="s">
        <v>9112</v>
      </c>
      <c r="B3488" s="46" t="s">
        <v>11644</v>
      </c>
      <c r="C3488" s="46" t="s">
        <v>14</v>
      </c>
      <c r="D3488" s="47">
        <v>7349</v>
      </c>
      <c r="E3488" s="46" t="s">
        <v>9113</v>
      </c>
      <c r="F3488" s="48">
        <v>40441</v>
      </c>
      <c r="G3488" s="46"/>
      <c r="H3488" s="46" t="s">
        <v>40</v>
      </c>
      <c r="I3488" s="45">
        <v>3750</v>
      </c>
      <c r="J3488" s="45">
        <v>3750</v>
      </c>
      <c r="K3488" s="49" t="s">
        <v>8905</v>
      </c>
      <c r="L3488" s="45"/>
      <c r="M3488" s="3"/>
    </row>
    <row r="3489" spans="1:13" ht="25.5" x14ac:dyDescent="0.25">
      <c r="A3489" s="46" t="s">
        <v>9114</v>
      </c>
      <c r="B3489" s="46" t="s">
        <v>11644</v>
      </c>
      <c r="C3489" s="46" t="s">
        <v>14</v>
      </c>
      <c r="D3489" s="47">
        <v>7350</v>
      </c>
      <c r="E3489" s="46" t="s">
        <v>9115</v>
      </c>
      <c r="F3489" s="48">
        <v>40140</v>
      </c>
      <c r="G3489" s="46"/>
      <c r="H3489" s="46" t="s">
        <v>40</v>
      </c>
      <c r="I3489" s="45">
        <v>9200</v>
      </c>
      <c r="J3489" s="45">
        <v>4600</v>
      </c>
      <c r="K3489" s="49" t="s">
        <v>8905</v>
      </c>
      <c r="L3489" s="45"/>
      <c r="M3489" s="3"/>
    </row>
    <row r="3490" spans="1:13" x14ac:dyDescent="0.25">
      <c r="A3490" s="46" t="s">
        <v>9116</v>
      </c>
      <c r="B3490" s="46" t="s">
        <v>11644</v>
      </c>
      <c r="C3490" s="46" t="s">
        <v>14</v>
      </c>
      <c r="D3490" s="47">
        <v>7352</v>
      </c>
      <c r="E3490" s="46" t="s">
        <v>9117</v>
      </c>
      <c r="F3490" s="48">
        <v>40287</v>
      </c>
      <c r="G3490" s="46"/>
      <c r="H3490" s="46" t="s">
        <v>40</v>
      </c>
      <c r="I3490" s="45">
        <v>8708.36</v>
      </c>
      <c r="J3490" s="45">
        <v>4354.18</v>
      </c>
      <c r="K3490" s="49" t="s">
        <v>8905</v>
      </c>
      <c r="L3490" s="45"/>
      <c r="M3490" s="3"/>
    </row>
    <row r="3491" spans="1:13" ht="25.5" x14ac:dyDescent="0.25">
      <c r="A3491" s="46" t="s">
        <v>9120</v>
      </c>
      <c r="B3491" s="46" t="s">
        <v>11644</v>
      </c>
      <c r="C3491" s="46" t="s">
        <v>14</v>
      </c>
      <c r="D3491" s="47">
        <v>7354</v>
      </c>
      <c r="E3491" s="46" t="s">
        <v>9121</v>
      </c>
      <c r="F3491" s="48">
        <v>40287</v>
      </c>
      <c r="G3491" s="46"/>
      <c r="H3491" s="46" t="s">
        <v>40</v>
      </c>
      <c r="I3491" s="45">
        <v>7500</v>
      </c>
      <c r="J3491" s="45">
        <v>7500</v>
      </c>
      <c r="K3491" s="49" t="s">
        <v>8905</v>
      </c>
      <c r="L3491" s="45"/>
      <c r="M3491" s="3"/>
    </row>
    <row r="3492" spans="1:13" ht="25.5" x14ac:dyDescent="0.25">
      <c r="A3492" s="46" t="s">
        <v>9122</v>
      </c>
      <c r="B3492" s="46" t="s">
        <v>11644</v>
      </c>
      <c r="C3492" s="46" t="s">
        <v>14</v>
      </c>
      <c r="D3492" s="47">
        <v>7355</v>
      </c>
      <c r="E3492" s="46" t="s">
        <v>9123</v>
      </c>
      <c r="F3492" s="48">
        <v>40441</v>
      </c>
      <c r="G3492" s="46"/>
      <c r="H3492" s="46" t="s">
        <v>40</v>
      </c>
      <c r="I3492" s="45">
        <f>105768.46+47850</f>
        <v>153618.46000000002</v>
      </c>
      <c r="J3492" s="45">
        <f>43959.23+29550</f>
        <v>73509.23000000001</v>
      </c>
      <c r="K3492" s="49" t="s">
        <v>8905</v>
      </c>
      <c r="L3492" s="45"/>
      <c r="M3492" s="3"/>
    </row>
    <row r="3493" spans="1:13" x14ac:dyDescent="0.25">
      <c r="A3493" s="46" t="s">
        <v>9134</v>
      </c>
      <c r="B3493" s="46" t="s">
        <v>11644</v>
      </c>
      <c r="C3493" s="46" t="s">
        <v>14</v>
      </c>
      <c r="D3493" s="47">
        <v>8487</v>
      </c>
      <c r="E3493" s="46" t="s">
        <v>9135</v>
      </c>
      <c r="F3493" s="48">
        <v>40595</v>
      </c>
      <c r="G3493" s="46"/>
      <c r="H3493" s="46" t="s">
        <v>40</v>
      </c>
      <c r="I3493" s="45">
        <v>45000</v>
      </c>
      <c r="J3493" s="45">
        <v>45000</v>
      </c>
      <c r="K3493" s="49" t="s">
        <v>8905</v>
      </c>
      <c r="L3493" s="45"/>
      <c r="M3493" s="3"/>
    </row>
    <row r="3494" spans="1:13" ht="25.5" x14ac:dyDescent="0.25">
      <c r="A3494" s="46" t="s">
        <v>9136</v>
      </c>
      <c r="B3494" s="46" t="s">
        <v>11644</v>
      </c>
      <c r="C3494" s="46" t="s">
        <v>14</v>
      </c>
      <c r="D3494" s="47">
        <v>8488</v>
      </c>
      <c r="E3494" s="46" t="s">
        <v>9137</v>
      </c>
      <c r="F3494" s="48">
        <v>40434</v>
      </c>
      <c r="G3494" s="48">
        <v>40869</v>
      </c>
      <c r="H3494" s="46" t="s">
        <v>40</v>
      </c>
      <c r="I3494" s="45">
        <v>7500</v>
      </c>
      <c r="J3494" s="45">
        <v>7500</v>
      </c>
      <c r="K3494" s="49" t="s">
        <v>8905</v>
      </c>
      <c r="L3494" s="45"/>
      <c r="M3494" s="3"/>
    </row>
    <row r="3495" spans="1:13" x14ac:dyDescent="0.25">
      <c r="A3495" s="46" t="s">
        <v>9138</v>
      </c>
      <c r="B3495" s="46" t="s">
        <v>11644</v>
      </c>
      <c r="C3495" s="46" t="s">
        <v>14</v>
      </c>
      <c r="D3495" s="47">
        <v>8489</v>
      </c>
      <c r="E3495" s="46" t="s">
        <v>9139</v>
      </c>
      <c r="F3495" s="48">
        <v>40350</v>
      </c>
      <c r="G3495" s="46"/>
      <c r="H3495" s="46" t="s">
        <v>40</v>
      </c>
      <c r="I3495" s="45">
        <v>3750</v>
      </c>
      <c r="J3495" s="45">
        <v>3750</v>
      </c>
      <c r="K3495" s="49" t="s">
        <v>8905</v>
      </c>
      <c r="L3495" s="45"/>
      <c r="M3495" s="3"/>
    </row>
    <row r="3496" spans="1:13" x14ac:dyDescent="0.25">
      <c r="A3496" s="46" t="s">
        <v>9140</v>
      </c>
      <c r="B3496" s="46" t="s">
        <v>11644</v>
      </c>
      <c r="C3496" s="46" t="s">
        <v>14</v>
      </c>
      <c r="D3496" s="47">
        <v>8490</v>
      </c>
      <c r="E3496" s="46" t="s">
        <v>9141</v>
      </c>
      <c r="F3496" s="48">
        <v>40504</v>
      </c>
      <c r="G3496" s="48">
        <v>40758</v>
      </c>
      <c r="H3496" s="46" t="s">
        <v>40</v>
      </c>
      <c r="I3496" s="45">
        <v>7600.74</v>
      </c>
      <c r="J3496" s="45">
        <v>3800.37</v>
      </c>
      <c r="K3496" s="49" t="s">
        <v>8905</v>
      </c>
      <c r="L3496" s="45"/>
      <c r="M3496" s="3"/>
    </row>
    <row r="3497" spans="1:13" ht="38.25" x14ac:dyDescent="0.25">
      <c r="A3497" s="46" t="s">
        <v>9146</v>
      </c>
      <c r="B3497" s="46" t="s">
        <v>11644</v>
      </c>
      <c r="C3497" s="46" t="s">
        <v>14</v>
      </c>
      <c r="D3497" s="47">
        <v>8493</v>
      </c>
      <c r="E3497" s="46" t="s">
        <v>9147</v>
      </c>
      <c r="F3497" s="48">
        <v>40868</v>
      </c>
      <c r="G3497" s="46"/>
      <c r="H3497" s="46" t="s">
        <v>40</v>
      </c>
      <c r="I3497" s="45">
        <v>18750</v>
      </c>
      <c r="J3497" s="45">
        <v>18750</v>
      </c>
      <c r="K3497" s="49" t="s">
        <v>8905</v>
      </c>
      <c r="L3497" s="45"/>
      <c r="M3497" s="3"/>
    </row>
    <row r="3498" spans="1:13" x14ac:dyDescent="0.25">
      <c r="A3498" s="46" t="s">
        <v>9148</v>
      </c>
      <c r="B3498" s="46" t="s">
        <v>11644</v>
      </c>
      <c r="C3498" s="46" t="s">
        <v>14</v>
      </c>
      <c r="D3498" s="47">
        <v>8494</v>
      </c>
      <c r="E3498" s="46" t="s">
        <v>9149</v>
      </c>
      <c r="F3498" s="48">
        <v>40504</v>
      </c>
      <c r="G3498" s="46"/>
      <c r="H3498" s="46" t="s">
        <v>40</v>
      </c>
      <c r="I3498" s="45">
        <v>8450</v>
      </c>
      <c r="J3498" s="45">
        <v>2112.5</v>
      </c>
      <c r="K3498" s="49" t="s">
        <v>8905</v>
      </c>
      <c r="L3498" s="45"/>
      <c r="M3498" s="3"/>
    </row>
    <row r="3499" spans="1:13" x14ac:dyDescent="0.25">
      <c r="A3499" s="46" t="s">
        <v>9155</v>
      </c>
      <c r="B3499" s="46" t="s">
        <v>11644</v>
      </c>
      <c r="C3499" s="46" t="s">
        <v>14</v>
      </c>
      <c r="D3499" s="47">
        <v>8498</v>
      </c>
      <c r="E3499" s="46" t="s">
        <v>9156</v>
      </c>
      <c r="F3499" s="48">
        <v>40595</v>
      </c>
      <c r="G3499" s="46"/>
      <c r="H3499" s="46" t="s">
        <v>40</v>
      </c>
      <c r="I3499" s="45">
        <v>7500</v>
      </c>
      <c r="J3499" s="45">
        <v>7500</v>
      </c>
      <c r="K3499" s="49" t="s">
        <v>8905</v>
      </c>
      <c r="L3499" s="45"/>
      <c r="M3499" s="3"/>
    </row>
    <row r="3500" spans="1:13" x14ac:dyDescent="0.25">
      <c r="A3500" s="46" t="s">
        <v>9157</v>
      </c>
      <c r="B3500" s="46" t="s">
        <v>11644</v>
      </c>
      <c r="C3500" s="46" t="s">
        <v>14</v>
      </c>
      <c r="D3500" s="47">
        <v>8499</v>
      </c>
      <c r="E3500" s="46" t="s">
        <v>9158</v>
      </c>
      <c r="F3500" s="48">
        <v>40651</v>
      </c>
      <c r="G3500" s="48">
        <v>40893</v>
      </c>
      <c r="H3500" s="46" t="s">
        <v>40</v>
      </c>
      <c r="I3500" s="45">
        <v>7500</v>
      </c>
      <c r="J3500" s="45">
        <v>7500</v>
      </c>
      <c r="K3500" s="49" t="s">
        <v>8905</v>
      </c>
      <c r="L3500" s="45"/>
      <c r="M3500" s="3"/>
    </row>
    <row r="3501" spans="1:13" ht="25.5" x14ac:dyDescent="0.25">
      <c r="A3501" s="46" t="s">
        <v>9159</v>
      </c>
      <c r="B3501" s="46" t="s">
        <v>11644</v>
      </c>
      <c r="C3501" s="46" t="s">
        <v>14</v>
      </c>
      <c r="D3501" s="47">
        <v>8500</v>
      </c>
      <c r="E3501" s="46" t="s">
        <v>9160</v>
      </c>
      <c r="F3501" s="48">
        <v>40651</v>
      </c>
      <c r="G3501" s="46"/>
      <c r="H3501" s="46" t="s">
        <v>40</v>
      </c>
      <c r="I3501" s="45">
        <v>6614.08</v>
      </c>
      <c r="J3501" s="45">
        <v>1653.52</v>
      </c>
      <c r="K3501" s="49" t="s">
        <v>8905</v>
      </c>
      <c r="L3501" s="45"/>
      <c r="M3501" s="3"/>
    </row>
    <row r="3502" spans="1:13" x14ac:dyDescent="0.25">
      <c r="A3502" s="46" t="s">
        <v>9163</v>
      </c>
      <c r="B3502" s="46" t="s">
        <v>11644</v>
      </c>
      <c r="C3502" s="46" t="s">
        <v>14</v>
      </c>
      <c r="D3502" s="47">
        <v>8502</v>
      </c>
      <c r="E3502" s="46" t="s">
        <v>9164</v>
      </c>
      <c r="F3502" s="48">
        <v>40868</v>
      </c>
      <c r="G3502" s="46"/>
      <c r="H3502" s="46" t="s">
        <v>40</v>
      </c>
      <c r="I3502" s="45">
        <v>11250</v>
      </c>
      <c r="J3502" s="45">
        <v>11250</v>
      </c>
      <c r="K3502" s="49" t="s">
        <v>8905</v>
      </c>
      <c r="L3502" s="45"/>
      <c r="M3502" s="3"/>
    </row>
    <row r="3503" spans="1:13" ht="25.5" x14ac:dyDescent="0.25">
      <c r="A3503" s="46" t="s">
        <v>9165</v>
      </c>
      <c r="B3503" s="46" t="s">
        <v>11644</v>
      </c>
      <c r="C3503" s="46" t="s">
        <v>14</v>
      </c>
      <c r="D3503" s="47">
        <v>8503</v>
      </c>
      <c r="E3503" s="46" t="s">
        <v>9166</v>
      </c>
      <c r="F3503" s="48">
        <v>40504</v>
      </c>
      <c r="G3503" s="46"/>
      <c r="H3503" s="46" t="s">
        <v>40</v>
      </c>
      <c r="I3503" s="45">
        <v>2912.84</v>
      </c>
      <c r="J3503" s="45">
        <v>1456.42</v>
      </c>
      <c r="K3503" s="49" t="s">
        <v>8905</v>
      </c>
      <c r="L3503" s="45"/>
      <c r="M3503" s="3"/>
    </row>
    <row r="3504" spans="1:13" x14ac:dyDescent="0.25">
      <c r="A3504" s="46" t="s">
        <v>9167</v>
      </c>
      <c r="B3504" s="46" t="s">
        <v>11644</v>
      </c>
      <c r="C3504" s="46" t="s">
        <v>14</v>
      </c>
      <c r="D3504" s="47">
        <v>8504</v>
      </c>
      <c r="E3504" s="46" t="s">
        <v>9168</v>
      </c>
      <c r="F3504" s="48">
        <v>40728</v>
      </c>
      <c r="G3504" s="46"/>
      <c r="H3504" s="46" t="s">
        <v>40</v>
      </c>
      <c r="I3504" s="45">
        <v>7500</v>
      </c>
      <c r="J3504" s="45">
        <v>7500</v>
      </c>
      <c r="K3504" s="49" t="s">
        <v>8905</v>
      </c>
      <c r="L3504" s="45"/>
      <c r="M3504" s="3"/>
    </row>
    <row r="3505" spans="1:13" ht="25.5" x14ac:dyDescent="0.25">
      <c r="A3505" s="46" t="s">
        <v>9169</v>
      </c>
      <c r="B3505" s="46" t="s">
        <v>11644</v>
      </c>
      <c r="C3505" s="46" t="s">
        <v>14</v>
      </c>
      <c r="D3505" s="47">
        <v>8505</v>
      </c>
      <c r="E3505" s="46" t="s">
        <v>9170</v>
      </c>
      <c r="F3505" s="48">
        <v>40651</v>
      </c>
      <c r="G3505" s="46"/>
      <c r="H3505" s="46" t="s">
        <v>40</v>
      </c>
      <c r="I3505" s="45">
        <f>4630.86+292.56</f>
        <v>4923.42</v>
      </c>
      <c r="J3505" s="45">
        <f>2169.15+146.28</f>
        <v>2315.4300000000003</v>
      </c>
      <c r="K3505" s="49" t="s">
        <v>8905</v>
      </c>
      <c r="L3505" s="45"/>
      <c r="M3505" s="3"/>
    </row>
    <row r="3506" spans="1:13" ht="25.5" x14ac:dyDescent="0.25">
      <c r="A3506" s="46" t="s">
        <v>9171</v>
      </c>
      <c r="B3506" s="46" t="s">
        <v>11644</v>
      </c>
      <c r="C3506" s="46" t="s">
        <v>14</v>
      </c>
      <c r="D3506" s="47">
        <v>8506</v>
      </c>
      <c r="E3506" s="46" t="s">
        <v>9172</v>
      </c>
      <c r="F3506" s="48">
        <v>40728</v>
      </c>
      <c r="G3506" s="46"/>
      <c r="H3506" s="46" t="s">
        <v>40</v>
      </c>
      <c r="I3506" s="45">
        <v>3750</v>
      </c>
      <c r="J3506" s="45">
        <v>3750</v>
      </c>
      <c r="K3506" s="49" t="s">
        <v>8905</v>
      </c>
      <c r="L3506" s="45"/>
      <c r="M3506" s="3"/>
    </row>
    <row r="3507" spans="1:13" ht="25.5" x14ac:dyDescent="0.25">
      <c r="A3507" s="46" t="s">
        <v>9173</v>
      </c>
      <c r="B3507" s="46" t="s">
        <v>11644</v>
      </c>
      <c r="C3507" s="46" t="s">
        <v>14</v>
      </c>
      <c r="D3507" s="47">
        <v>8507</v>
      </c>
      <c r="E3507" s="46" t="s">
        <v>9174</v>
      </c>
      <c r="F3507" s="48">
        <v>40868</v>
      </c>
      <c r="G3507" s="46"/>
      <c r="H3507" s="46" t="s">
        <v>40</v>
      </c>
      <c r="I3507" s="45">
        <v>3750</v>
      </c>
      <c r="J3507" s="45">
        <v>3750</v>
      </c>
      <c r="K3507" s="49" t="s">
        <v>8905</v>
      </c>
      <c r="L3507" s="45"/>
      <c r="M3507" s="3"/>
    </row>
    <row r="3508" spans="1:13" ht="25.5" x14ac:dyDescent="0.25">
      <c r="A3508" s="46" t="s">
        <v>9177</v>
      </c>
      <c r="B3508" s="46" t="s">
        <v>11644</v>
      </c>
      <c r="C3508" s="46" t="s">
        <v>14</v>
      </c>
      <c r="D3508" s="47">
        <v>8509</v>
      </c>
      <c r="E3508" s="46" t="s">
        <v>9178</v>
      </c>
      <c r="F3508" s="48">
        <v>40503</v>
      </c>
      <c r="G3508" s="46"/>
      <c r="H3508" s="46" t="s">
        <v>40</v>
      </c>
      <c r="I3508" s="45">
        <f>27061.95+7270</f>
        <v>34331.949999999997</v>
      </c>
      <c r="J3508" s="45">
        <f>13975.98+3635</f>
        <v>17610.98</v>
      </c>
      <c r="K3508" s="49" t="s">
        <v>8905</v>
      </c>
      <c r="L3508" s="45"/>
      <c r="M3508" s="3"/>
    </row>
    <row r="3509" spans="1:13" x14ac:dyDescent="0.25">
      <c r="A3509" s="46" t="s">
        <v>9179</v>
      </c>
      <c r="B3509" s="46" t="s">
        <v>11644</v>
      </c>
      <c r="C3509" s="46" t="s">
        <v>14</v>
      </c>
      <c r="D3509" s="47">
        <v>8510</v>
      </c>
      <c r="E3509" s="46" t="s">
        <v>9180</v>
      </c>
      <c r="F3509" s="48">
        <v>40441</v>
      </c>
      <c r="G3509" s="48">
        <v>40758</v>
      </c>
      <c r="H3509" s="46" t="s">
        <v>40</v>
      </c>
      <c r="I3509" s="45">
        <v>7500</v>
      </c>
      <c r="J3509" s="45">
        <v>7500</v>
      </c>
      <c r="K3509" s="49" t="s">
        <v>8905</v>
      </c>
      <c r="L3509" s="45"/>
      <c r="M3509" s="3"/>
    </row>
    <row r="3510" spans="1:13" x14ac:dyDescent="0.25">
      <c r="A3510" s="46" t="s">
        <v>9181</v>
      </c>
      <c r="B3510" s="46" t="s">
        <v>11644</v>
      </c>
      <c r="C3510" s="46" t="s">
        <v>14</v>
      </c>
      <c r="D3510" s="47">
        <v>8511</v>
      </c>
      <c r="E3510" s="46" t="s">
        <v>9182</v>
      </c>
      <c r="F3510" s="48">
        <v>40651</v>
      </c>
      <c r="G3510" s="48">
        <v>40841</v>
      </c>
      <c r="H3510" s="46" t="s">
        <v>40</v>
      </c>
      <c r="I3510" s="45">
        <v>15000</v>
      </c>
      <c r="J3510" s="45">
        <v>15000</v>
      </c>
      <c r="K3510" s="49" t="s">
        <v>8905</v>
      </c>
      <c r="L3510" s="45"/>
      <c r="M3510" s="3"/>
    </row>
    <row r="3511" spans="1:13" ht="38.25" x14ac:dyDescent="0.25">
      <c r="A3511" s="46" t="s">
        <v>9185</v>
      </c>
      <c r="B3511" s="46" t="s">
        <v>11644</v>
      </c>
      <c r="C3511" s="46" t="s">
        <v>14</v>
      </c>
      <c r="D3511" s="47">
        <v>8513</v>
      </c>
      <c r="E3511" s="46" t="s">
        <v>9186</v>
      </c>
      <c r="F3511" s="48">
        <v>40868</v>
      </c>
      <c r="G3511" s="46"/>
      <c r="H3511" s="46" t="s">
        <v>40</v>
      </c>
      <c r="I3511" s="45">
        <v>7500</v>
      </c>
      <c r="J3511" s="45">
        <v>7500</v>
      </c>
      <c r="K3511" s="49" t="s">
        <v>8905</v>
      </c>
      <c r="L3511" s="45"/>
      <c r="M3511" s="3"/>
    </row>
    <row r="3512" spans="1:13" ht="25.5" x14ac:dyDescent="0.25">
      <c r="A3512" s="46" t="s">
        <v>9193</v>
      </c>
      <c r="B3512" s="46" t="s">
        <v>11644</v>
      </c>
      <c r="C3512" s="46" t="s">
        <v>14</v>
      </c>
      <c r="D3512" s="47">
        <v>8549</v>
      </c>
      <c r="E3512" s="46" t="s">
        <v>9194</v>
      </c>
      <c r="F3512" s="48">
        <v>40868</v>
      </c>
      <c r="G3512" s="46"/>
      <c r="H3512" s="46" t="s">
        <v>40</v>
      </c>
      <c r="I3512" s="45">
        <f>30250+15250</f>
        <v>45500</v>
      </c>
      <c r="J3512" s="45">
        <f>15000+15250</f>
        <v>30250</v>
      </c>
      <c r="K3512" s="49" t="s">
        <v>8905</v>
      </c>
      <c r="L3512" s="45"/>
      <c r="M3512" s="3"/>
    </row>
    <row r="3513" spans="1:13" x14ac:dyDescent="0.25">
      <c r="A3513" s="46" t="s">
        <v>9207</v>
      </c>
      <c r="B3513" s="46" t="s">
        <v>11644</v>
      </c>
      <c r="C3513" s="46" t="s">
        <v>14</v>
      </c>
      <c r="D3513" s="47">
        <v>10418</v>
      </c>
      <c r="E3513" s="46" t="s">
        <v>9208</v>
      </c>
      <c r="F3513" s="48">
        <v>40966</v>
      </c>
      <c r="G3513" s="46"/>
      <c r="H3513" s="46" t="s">
        <v>40</v>
      </c>
      <c r="I3513" s="45">
        <f>16902.82+8794.8</f>
        <v>25697.62</v>
      </c>
      <c r="J3513" s="45">
        <f>4054.01+8147.4</f>
        <v>12201.41</v>
      </c>
      <c r="K3513" s="49" t="s">
        <v>8905</v>
      </c>
      <c r="L3513" s="45"/>
      <c r="M3513" s="3"/>
    </row>
    <row r="3514" spans="1:13" x14ac:dyDescent="0.25">
      <c r="A3514" s="46" t="s">
        <v>9215</v>
      </c>
      <c r="B3514" s="46" t="s">
        <v>11644</v>
      </c>
      <c r="C3514" s="46" t="s">
        <v>14</v>
      </c>
      <c r="D3514" s="47">
        <v>10425</v>
      </c>
      <c r="E3514" s="46" t="s">
        <v>9216</v>
      </c>
      <c r="F3514" s="48">
        <v>40728</v>
      </c>
      <c r="G3514" s="46"/>
      <c r="H3514" s="46" t="s">
        <v>40</v>
      </c>
      <c r="I3514" s="45">
        <v>3088</v>
      </c>
      <c r="J3514" s="45">
        <v>1544</v>
      </c>
      <c r="K3514" s="49" t="s">
        <v>8905</v>
      </c>
      <c r="L3514" s="45"/>
      <c r="M3514" s="3"/>
    </row>
    <row r="3515" spans="1:13" x14ac:dyDescent="0.25">
      <c r="A3515" s="46" t="s">
        <v>9217</v>
      </c>
      <c r="B3515" s="46" t="s">
        <v>11644</v>
      </c>
      <c r="C3515" s="46" t="s">
        <v>14</v>
      </c>
      <c r="D3515" s="47">
        <v>10426</v>
      </c>
      <c r="E3515" s="46" t="s">
        <v>9218</v>
      </c>
      <c r="F3515" s="48">
        <v>40728</v>
      </c>
      <c r="G3515" s="46"/>
      <c r="H3515" s="46" t="s">
        <v>40</v>
      </c>
      <c r="I3515" s="45">
        <v>7500</v>
      </c>
      <c r="J3515" s="45">
        <v>7500</v>
      </c>
      <c r="K3515" s="49" t="s">
        <v>8905</v>
      </c>
      <c r="L3515" s="45"/>
      <c r="M3515" s="3"/>
    </row>
    <row r="3516" spans="1:13" x14ac:dyDescent="0.25">
      <c r="A3516" s="46" t="s">
        <v>9221</v>
      </c>
      <c r="B3516" s="46" t="s">
        <v>11644</v>
      </c>
      <c r="C3516" s="46" t="s">
        <v>14</v>
      </c>
      <c r="D3516" s="47">
        <v>10429</v>
      </c>
      <c r="E3516" s="46" t="s">
        <v>9222</v>
      </c>
      <c r="F3516" s="48">
        <v>41183</v>
      </c>
      <c r="G3516" s="46"/>
      <c r="H3516" s="46" t="s">
        <v>40</v>
      </c>
      <c r="I3516" s="45">
        <f>7500+3750</f>
        <v>11250</v>
      </c>
      <c r="J3516" s="45">
        <f>3750+3750</f>
        <v>7500</v>
      </c>
      <c r="K3516" s="49" t="s">
        <v>8905</v>
      </c>
      <c r="L3516" s="45"/>
      <c r="M3516" s="3"/>
    </row>
    <row r="3517" spans="1:13" ht="25.5" x14ac:dyDescent="0.25">
      <c r="A3517" s="46" t="s">
        <v>9225</v>
      </c>
      <c r="B3517" s="46" t="s">
        <v>11644</v>
      </c>
      <c r="C3517" s="46" t="s">
        <v>14</v>
      </c>
      <c r="D3517" s="47">
        <v>10432</v>
      </c>
      <c r="E3517" s="46" t="s">
        <v>9226</v>
      </c>
      <c r="F3517" s="48">
        <v>41246</v>
      </c>
      <c r="G3517" s="46"/>
      <c r="H3517" s="46" t="s">
        <v>40</v>
      </c>
      <c r="I3517" s="45">
        <v>6250</v>
      </c>
      <c r="J3517" s="45">
        <v>6250</v>
      </c>
      <c r="K3517" s="49" t="s">
        <v>8905</v>
      </c>
      <c r="L3517" s="45"/>
      <c r="M3517" s="3"/>
    </row>
    <row r="3518" spans="1:13" ht="25.5" x14ac:dyDescent="0.25">
      <c r="A3518" s="46" t="s">
        <v>9227</v>
      </c>
      <c r="B3518" s="46" t="s">
        <v>11644</v>
      </c>
      <c r="C3518" s="46" t="s">
        <v>14</v>
      </c>
      <c r="D3518" s="47">
        <v>10433</v>
      </c>
      <c r="E3518" s="46" t="s">
        <v>9228</v>
      </c>
      <c r="F3518" s="48">
        <v>41050</v>
      </c>
      <c r="G3518" s="46"/>
      <c r="H3518" s="46" t="s">
        <v>40</v>
      </c>
      <c r="I3518" s="45">
        <v>7500</v>
      </c>
      <c r="J3518" s="45">
        <v>7500</v>
      </c>
      <c r="K3518" s="49" t="s">
        <v>8905</v>
      </c>
      <c r="L3518" s="45"/>
      <c r="M3518" s="3"/>
    </row>
    <row r="3519" spans="1:13" x14ac:dyDescent="0.25">
      <c r="A3519" s="46" t="s">
        <v>9530</v>
      </c>
      <c r="B3519" s="46" t="s">
        <v>11644</v>
      </c>
      <c r="C3519" s="46" t="s">
        <v>14</v>
      </c>
      <c r="D3519" s="47">
        <v>7351</v>
      </c>
      <c r="E3519" s="46" t="s">
        <v>9531</v>
      </c>
      <c r="F3519" s="48">
        <v>40225</v>
      </c>
      <c r="G3519" s="48">
        <v>40543</v>
      </c>
      <c r="H3519" s="46" t="s">
        <v>40</v>
      </c>
      <c r="I3519" s="45">
        <v>8462.5</v>
      </c>
      <c r="J3519" s="45">
        <v>4231.25</v>
      </c>
      <c r="K3519" s="49" t="s">
        <v>9243</v>
      </c>
      <c r="L3519" s="46"/>
    </row>
    <row r="3520" spans="1:13" x14ac:dyDescent="0.25">
      <c r="A3520" s="46" t="s">
        <v>9534</v>
      </c>
      <c r="B3520" s="46" t="s">
        <v>11644</v>
      </c>
      <c r="C3520" s="46" t="s">
        <v>14</v>
      </c>
      <c r="D3520" s="47">
        <v>7637</v>
      </c>
      <c r="E3520" s="46" t="s">
        <v>9535</v>
      </c>
      <c r="F3520" s="48">
        <v>40087</v>
      </c>
      <c r="G3520" s="48">
        <v>40452</v>
      </c>
      <c r="H3520" s="46" t="s">
        <v>40</v>
      </c>
      <c r="I3520" s="45">
        <v>21512.68</v>
      </c>
      <c r="J3520" s="45">
        <v>10756.34</v>
      </c>
      <c r="K3520" s="49" t="s">
        <v>9243</v>
      </c>
      <c r="L3520" s="46"/>
    </row>
    <row r="3521" spans="1:12" ht="25.5" x14ac:dyDescent="0.25">
      <c r="A3521" s="46" t="s">
        <v>9536</v>
      </c>
      <c r="B3521" s="46" t="s">
        <v>11644</v>
      </c>
      <c r="C3521" s="46" t="s">
        <v>14</v>
      </c>
      <c r="D3521" s="47">
        <v>7638</v>
      </c>
      <c r="E3521" s="46" t="s">
        <v>9537</v>
      </c>
      <c r="F3521" s="48">
        <v>40470</v>
      </c>
      <c r="G3521" s="48">
        <v>40835</v>
      </c>
      <c r="H3521" s="46" t="s">
        <v>40</v>
      </c>
      <c r="I3521" s="45">
        <v>6255.78</v>
      </c>
      <c r="J3521" s="45">
        <v>5003.3900000000003</v>
      </c>
      <c r="K3521" s="49" t="s">
        <v>9243</v>
      </c>
      <c r="L3521" s="46"/>
    </row>
    <row r="3522" spans="1:12" ht="25.5" x14ac:dyDescent="0.25">
      <c r="A3522" s="46" t="s">
        <v>9538</v>
      </c>
      <c r="B3522" s="46" t="s">
        <v>11644</v>
      </c>
      <c r="C3522" s="46" t="s">
        <v>14</v>
      </c>
      <c r="D3522" s="47">
        <v>7639</v>
      </c>
      <c r="E3522" s="46" t="s">
        <v>9539</v>
      </c>
      <c r="F3522" s="48">
        <v>40497</v>
      </c>
      <c r="G3522" s="48">
        <v>40954</v>
      </c>
      <c r="H3522" s="46" t="s">
        <v>40</v>
      </c>
      <c r="I3522" s="45">
        <v>4250</v>
      </c>
      <c r="J3522" s="45">
        <v>4000</v>
      </c>
      <c r="K3522" s="49" t="s">
        <v>9243</v>
      </c>
      <c r="L3522" s="46"/>
    </row>
    <row r="3523" spans="1:12" ht="25.5" x14ac:dyDescent="0.25">
      <c r="A3523" s="46" t="s">
        <v>9540</v>
      </c>
      <c r="B3523" s="46" t="s">
        <v>11644</v>
      </c>
      <c r="C3523" s="46" t="s">
        <v>14</v>
      </c>
      <c r="D3523" s="47">
        <v>7640</v>
      </c>
      <c r="E3523" s="46" t="s">
        <v>9541</v>
      </c>
      <c r="F3523" s="48">
        <v>40344</v>
      </c>
      <c r="G3523" s="48">
        <v>40710</v>
      </c>
      <c r="H3523" s="46" t="s">
        <v>40</v>
      </c>
      <c r="I3523" s="45">
        <v>7500</v>
      </c>
      <c r="J3523" s="45">
        <v>7500</v>
      </c>
      <c r="K3523" s="49" t="s">
        <v>9243</v>
      </c>
      <c r="L3523" s="46"/>
    </row>
    <row r="3524" spans="1:12" x14ac:dyDescent="0.25">
      <c r="A3524" s="46" t="s">
        <v>9542</v>
      </c>
      <c r="B3524" s="46" t="s">
        <v>11644</v>
      </c>
      <c r="C3524" s="46" t="s">
        <v>14</v>
      </c>
      <c r="D3524" s="47">
        <v>7641</v>
      </c>
      <c r="E3524" s="46" t="s">
        <v>9543</v>
      </c>
      <c r="F3524" s="48">
        <v>40345</v>
      </c>
      <c r="G3524" s="48">
        <v>40709</v>
      </c>
      <c r="H3524" s="46" t="s">
        <v>40</v>
      </c>
      <c r="I3524" s="45">
        <v>3750</v>
      </c>
      <c r="J3524" s="45">
        <v>3750</v>
      </c>
      <c r="K3524" s="49" t="s">
        <v>9243</v>
      </c>
      <c r="L3524" s="46"/>
    </row>
    <row r="3525" spans="1:12" ht="25.5" x14ac:dyDescent="0.25">
      <c r="A3525" s="46" t="s">
        <v>9544</v>
      </c>
      <c r="B3525" s="46" t="s">
        <v>11644</v>
      </c>
      <c r="C3525" s="46" t="s">
        <v>14</v>
      </c>
      <c r="D3525" s="47">
        <v>7642</v>
      </c>
      <c r="E3525" s="46" t="s">
        <v>9545</v>
      </c>
      <c r="F3525" s="48">
        <v>40344</v>
      </c>
      <c r="G3525" s="48">
        <v>40709</v>
      </c>
      <c r="H3525" s="46" t="s">
        <v>40</v>
      </c>
      <c r="I3525" s="45">
        <v>3750</v>
      </c>
      <c r="J3525" s="45">
        <v>3750</v>
      </c>
      <c r="K3525" s="49" t="s">
        <v>9243</v>
      </c>
      <c r="L3525" s="46"/>
    </row>
    <row r="3526" spans="1:12" ht="25.5" x14ac:dyDescent="0.25">
      <c r="A3526" s="46" t="s">
        <v>9546</v>
      </c>
      <c r="B3526" s="46" t="s">
        <v>11644</v>
      </c>
      <c r="C3526" s="46" t="s">
        <v>14</v>
      </c>
      <c r="D3526" s="47">
        <v>7643</v>
      </c>
      <c r="E3526" s="46" t="s">
        <v>9547</v>
      </c>
      <c r="F3526" s="48">
        <v>40252</v>
      </c>
      <c r="G3526" s="48">
        <v>40617</v>
      </c>
      <c r="H3526" s="46" t="s">
        <v>40</v>
      </c>
      <c r="I3526" s="45">
        <v>30000</v>
      </c>
      <c r="J3526" s="45">
        <v>30000</v>
      </c>
      <c r="K3526" s="49" t="s">
        <v>9243</v>
      </c>
      <c r="L3526" s="46"/>
    </row>
    <row r="3527" spans="1:12" ht="25.5" x14ac:dyDescent="0.25">
      <c r="A3527" s="46" t="s">
        <v>9548</v>
      </c>
      <c r="B3527" s="46" t="s">
        <v>11644</v>
      </c>
      <c r="C3527" s="46" t="s">
        <v>14</v>
      </c>
      <c r="D3527" s="47">
        <v>7644</v>
      </c>
      <c r="E3527" s="46" t="s">
        <v>9549</v>
      </c>
      <c r="F3527" s="48">
        <v>40344</v>
      </c>
      <c r="G3527" s="48">
        <v>40709</v>
      </c>
      <c r="H3527" s="46" t="s">
        <v>40</v>
      </c>
      <c r="I3527" s="45">
        <v>18750</v>
      </c>
      <c r="J3527" s="45">
        <v>18750</v>
      </c>
      <c r="K3527" s="49" t="s">
        <v>9243</v>
      </c>
      <c r="L3527" s="46"/>
    </row>
    <row r="3528" spans="1:12" ht="25.5" x14ac:dyDescent="0.25">
      <c r="A3528" s="46" t="s">
        <v>9550</v>
      </c>
      <c r="B3528" s="46" t="s">
        <v>11644</v>
      </c>
      <c r="C3528" s="46" t="s">
        <v>14</v>
      </c>
      <c r="D3528" s="47">
        <v>7645</v>
      </c>
      <c r="E3528" s="46" t="s">
        <v>9551</v>
      </c>
      <c r="F3528" s="48">
        <v>40344</v>
      </c>
      <c r="G3528" s="48">
        <v>40709</v>
      </c>
      <c r="H3528" s="46" t="s">
        <v>40</v>
      </c>
      <c r="I3528" s="45">
        <v>15000</v>
      </c>
      <c r="J3528" s="45">
        <v>15000</v>
      </c>
      <c r="K3528" s="49" t="s">
        <v>9243</v>
      </c>
      <c r="L3528" s="46"/>
    </row>
    <row r="3529" spans="1:12" ht="25.5" x14ac:dyDescent="0.25">
      <c r="A3529" s="46" t="s">
        <v>9552</v>
      </c>
      <c r="B3529" s="46" t="s">
        <v>11644</v>
      </c>
      <c r="C3529" s="46" t="s">
        <v>14</v>
      </c>
      <c r="D3529" s="47">
        <v>7646</v>
      </c>
      <c r="E3529" s="46" t="s">
        <v>9553</v>
      </c>
      <c r="F3529" s="48">
        <v>40344</v>
      </c>
      <c r="G3529" s="48">
        <v>40709</v>
      </c>
      <c r="H3529" s="46" t="s">
        <v>40</v>
      </c>
      <c r="I3529" s="45">
        <v>3750</v>
      </c>
      <c r="J3529" s="45">
        <v>3750</v>
      </c>
      <c r="K3529" s="49" t="s">
        <v>9243</v>
      </c>
      <c r="L3529" s="46"/>
    </row>
    <row r="3530" spans="1:12" ht="25.5" x14ac:dyDescent="0.25">
      <c r="A3530" s="46" t="s">
        <v>9554</v>
      </c>
      <c r="B3530" s="46" t="s">
        <v>11644</v>
      </c>
      <c r="C3530" s="46" t="s">
        <v>14</v>
      </c>
      <c r="D3530" s="47">
        <v>7647</v>
      </c>
      <c r="E3530" s="46" t="s">
        <v>9555</v>
      </c>
      <c r="F3530" s="48">
        <v>40471</v>
      </c>
      <c r="G3530" s="48">
        <v>40836</v>
      </c>
      <c r="H3530" s="46" t="s">
        <v>40</v>
      </c>
      <c r="I3530" s="45">
        <v>7500</v>
      </c>
      <c r="J3530" s="45">
        <v>7500</v>
      </c>
      <c r="K3530" s="49" t="s">
        <v>9243</v>
      </c>
      <c r="L3530" s="46"/>
    </row>
    <row r="3531" spans="1:12" ht="25.5" x14ac:dyDescent="0.25">
      <c r="A3531" s="46" t="s">
        <v>9556</v>
      </c>
      <c r="B3531" s="46" t="s">
        <v>11644</v>
      </c>
      <c r="C3531" s="46" t="s">
        <v>14</v>
      </c>
      <c r="D3531" s="47">
        <v>7648</v>
      </c>
      <c r="E3531" s="46" t="s">
        <v>9557</v>
      </c>
      <c r="F3531" s="48">
        <v>40470</v>
      </c>
      <c r="G3531" s="48">
        <v>40835</v>
      </c>
      <c r="H3531" s="46" t="s">
        <v>40</v>
      </c>
      <c r="I3531" s="45">
        <v>3750</v>
      </c>
      <c r="J3531" s="45">
        <v>3750</v>
      </c>
      <c r="K3531" s="49" t="s">
        <v>9243</v>
      </c>
      <c r="L3531" s="46"/>
    </row>
    <row r="3532" spans="1:12" ht="25.5" x14ac:dyDescent="0.25">
      <c r="A3532" s="46" t="s">
        <v>9558</v>
      </c>
      <c r="B3532" s="46" t="s">
        <v>11644</v>
      </c>
      <c r="C3532" s="46" t="s">
        <v>14</v>
      </c>
      <c r="D3532" s="47">
        <v>7653</v>
      </c>
      <c r="E3532" s="46" t="s">
        <v>9559</v>
      </c>
      <c r="F3532" s="48">
        <v>40252</v>
      </c>
      <c r="G3532" s="48">
        <v>40617</v>
      </c>
      <c r="H3532" s="46" t="s">
        <v>40</v>
      </c>
      <c r="I3532" s="45">
        <v>3750</v>
      </c>
      <c r="J3532" s="45">
        <v>3750</v>
      </c>
      <c r="K3532" s="49" t="s">
        <v>9243</v>
      </c>
      <c r="L3532" s="46"/>
    </row>
    <row r="3533" spans="1:12" x14ac:dyDescent="0.25">
      <c r="A3533" s="46" t="s">
        <v>9588</v>
      </c>
      <c r="B3533" s="46" t="s">
        <v>11644</v>
      </c>
      <c r="C3533" s="46" t="s">
        <v>14</v>
      </c>
      <c r="D3533" s="47">
        <v>7681</v>
      </c>
      <c r="E3533" s="46" t="s">
        <v>9589</v>
      </c>
      <c r="F3533" s="48">
        <v>40225</v>
      </c>
      <c r="G3533" s="48">
        <v>40590</v>
      </c>
      <c r="H3533" s="46" t="s">
        <v>40</v>
      </c>
      <c r="I3533" s="45">
        <v>27500</v>
      </c>
      <c r="J3533" s="45">
        <v>27500</v>
      </c>
      <c r="K3533" s="49" t="s">
        <v>9243</v>
      </c>
      <c r="L3533" s="46"/>
    </row>
    <row r="3534" spans="1:12" x14ac:dyDescent="0.25">
      <c r="A3534" s="46" t="s">
        <v>9604</v>
      </c>
      <c r="B3534" s="46" t="s">
        <v>11644</v>
      </c>
      <c r="C3534" s="46" t="s">
        <v>14</v>
      </c>
      <c r="D3534" s="47">
        <v>8557</v>
      </c>
      <c r="E3534" s="46" t="s">
        <v>9605</v>
      </c>
      <c r="F3534" s="48">
        <v>40687</v>
      </c>
      <c r="G3534" s="48">
        <v>41639</v>
      </c>
      <c r="H3534" s="46" t="s">
        <v>40</v>
      </c>
      <c r="I3534" s="45">
        <v>11250</v>
      </c>
      <c r="J3534" s="45">
        <v>11250</v>
      </c>
      <c r="K3534" s="49" t="s">
        <v>9243</v>
      </c>
      <c r="L3534" s="46"/>
    </row>
    <row r="3535" spans="1:12" ht="25.5" x14ac:dyDescent="0.25">
      <c r="A3535" s="46" t="s">
        <v>9606</v>
      </c>
      <c r="B3535" s="46" t="s">
        <v>11644</v>
      </c>
      <c r="C3535" s="46" t="s">
        <v>14</v>
      </c>
      <c r="D3535" s="47">
        <v>8558</v>
      </c>
      <c r="E3535" s="46" t="s">
        <v>9607</v>
      </c>
      <c r="F3535" s="48">
        <v>40841</v>
      </c>
      <c r="G3535" s="48">
        <v>41639</v>
      </c>
      <c r="H3535" s="46" t="s">
        <v>40</v>
      </c>
      <c r="I3535" s="45">
        <v>3750</v>
      </c>
      <c r="J3535" s="45">
        <v>3750</v>
      </c>
      <c r="K3535" s="49" t="s">
        <v>9243</v>
      </c>
      <c r="L3535" s="46"/>
    </row>
    <row r="3536" spans="1:12" ht="25.5" x14ac:dyDescent="0.25">
      <c r="A3536" s="46" t="s">
        <v>9610</v>
      </c>
      <c r="B3536" s="46" t="s">
        <v>11644</v>
      </c>
      <c r="C3536" s="46" t="s">
        <v>14</v>
      </c>
      <c r="D3536" s="47">
        <v>8574</v>
      </c>
      <c r="E3536" s="46" t="s">
        <v>9611</v>
      </c>
      <c r="F3536" s="48">
        <v>40841</v>
      </c>
      <c r="G3536" s="48">
        <v>41639</v>
      </c>
      <c r="H3536" s="46" t="s">
        <v>40</v>
      </c>
      <c r="I3536" s="45">
        <v>3750</v>
      </c>
      <c r="J3536" s="45">
        <v>3750</v>
      </c>
      <c r="K3536" s="49" t="s">
        <v>9243</v>
      </c>
      <c r="L3536" s="46"/>
    </row>
    <row r="3537" spans="1:13" ht="25.5" x14ac:dyDescent="0.25">
      <c r="A3537" s="46" t="s">
        <v>9614</v>
      </c>
      <c r="B3537" s="46" t="s">
        <v>11644</v>
      </c>
      <c r="C3537" s="46" t="s">
        <v>14</v>
      </c>
      <c r="D3537" s="47">
        <v>8577</v>
      </c>
      <c r="E3537" s="46" t="s">
        <v>9615</v>
      </c>
      <c r="F3537" s="48">
        <v>40841</v>
      </c>
      <c r="G3537" s="48">
        <v>41639</v>
      </c>
      <c r="H3537" s="46" t="s">
        <v>40</v>
      </c>
      <c r="I3537" s="45">
        <v>3750</v>
      </c>
      <c r="J3537" s="45">
        <v>3750</v>
      </c>
      <c r="K3537" s="49" t="s">
        <v>9243</v>
      </c>
      <c r="L3537" s="46"/>
    </row>
    <row r="3538" spans="1:13" x14ac:dyDescent="0.25">
      <c r="A3538" s="46" t="s">
        <v>9624</v>
      </c>
      <c r="B3538" s="46" t="s">
        <v>11644</v>
      </c>
      <c r="C3538" s="46" t="s">
        <v>14</v>
      </c>
      <c r="D3538" s="47">
        <v>8583</v>
      </c>
      <c r="E3538" s="46" t="s">
        <v>9625</v>
      </c>
      <c r="F3538" s="48">
        <v>40687</v>
      </c>
      <c r="G3538" s="48">
        <v>41639</v>
      </c>
      <c r="H3538" s="46" t="s">
        <v>40</v>
      </c>
      <c r="I3538" s="45">
        <v>11250</v>
      </c>
      <c r="J3538" s="45">
        <v>11250</v>
      </c>
      <c r="K3538" s="49" t="s">
        <v>9243</v>
      </c>
      <c r="L3538" s="46"/>
    </row>
    <row r="3539" spans="1:13" x14ac:dyDescent="0.25">
      <c r="A3539" s="46" t="s">
        <v>9636</v>
      </c>
      <c r="B3539" s="46" t="s">
        <v>11644</v>
      </c>
      <c r="C3539" s="46" t="s">
        <v>14</v>
      </c>
      <c r="D3539" s="47">
        <v>8611</v>
      </c>
      <c r="E3539" s="46" t="s">
        <v>9637</v>
      </c>
      <c r="F3539" s="48">
        <v>40596</v>
      </c>
      <c r="G3539" s="48">
        <v>41639</v>
      </c>
      <c r="H3539" s="46" t="s">
        <v>40</v>
      </c>
      <c r="I3539" s="45">
        <v>23081.64</v>
      </c>
      <c r="J3539" s="45">
        <v>19040.82</v>
      </c>
      <c r="K3539" s="49" t="s">
        <v>9243</v>
      </c>
      <c r="L3539" s="46"/>
    </row>
    <row r="3540" spans="1:13" ht="25.5" x14ac:dyDescent="0.25">
      <c r="A3540" s="46" t="s">
        <v>9641</v>
      </c>
      <c r="B3540" s="46" t="s">
        <v>11644</v>
      </c>
      <c r="C3540" s="46" t="s">
        <v>14</v>
      </c>
      <c r="D3540" s="47">
        <v>8616</v>
      </c>
      <c r="E3540" s="46" t="s">
        <v>9642</v>
      </c>
      <c r="F3540" s="48">
        <v>40687</v>
      </c>
      <c r="G3540" s="48">
        <v>41639</v>
      </c>
      <c r="H3540" s="46" t="s">
        <v>40</v>
      </c>
      <c r="I3540" s="45">
        <v>87516.33</v>
      </c>
      <c r="J3540" s="45">
        <v>40170.18</v>
      </c>
      <c r="K3540" s="49" t="s">
        <v>9243</v>
      </c>
      <c r="L3540" s="46"/>
    </row>
    <row r="3541" spans="1:13" x14ac:dyDescent="0.25">
      <c r="A3541" s="46" t="s">
        <v>9706</v>
      </c>
      <c r="B3541" s="46" t="s">
        <v>11644</v>
      </c>
      <c r="C3541" s="46" t="s">
        <v>14</v>
      </c>
      <c r="D3541" s="47">
        <v>10525</v>
      </c>
      <c r="E3541" s="46" t="s">
        <v>9707</v>
      </c>
      <c r="F3541" s="48">
        <v>40967</v>
      </c>
      <c r="G3541" s="48">
        <v>41274</v>
      </c>
      <c r="H3541" s="46" t="s">
        <v>40</v>
      </c>
      <c r="I3541" s="45">
        <v>13929.32</v>
      </c>
      <c r="J3541" s="45">
        <v>10714.66</v>
      </c>
      <c r="K3541" s="49" t="s">
        <v>9243</v>
      </c>
      <c r="L3541" s="46"/>
    </row>
    <row r="3542" spans="1:13" x14ac:dyDescent="0.25">
      <c r="A3542" s="46" t="s">
        <v>9708</v>
      </c>
      <c r="B3542" s="46" t="s">
        <v>11644</v>
      </c>
      <c r="C3542" s="46" t="s">
        <v>14</v>
      </c>
      <c r="D3542" s="47">
        <v>10526</v>
      </c>
      <c r="E3542" s="46" t="s">
        <v>9709</v>
      </c>
      <c r="F3542" s="48">
        <v>40939</v>
      </c>
      <c r="G3542" s="48">
        <v>41274</v>
      </c>
      <c r="H3542" s="46" t="s">
        <v>40</v>
      </c>
      <c r="I3542" s="45">
        <v>15000</v>
      </c>
      <c r="J3542" s="45">
        <v>15000</v>
      </c>
      <c r="K3542" s="49" t="s">
        <v>9243</v>
      </c>
      <c r="L3542" s="46"/>
    </row>
    <row r="3543" spans="1:13" ht="25.5" x14ac:dyDescent="0.25">
      <c r="A3543" s="46" t="s">
        <v>9710</v>
      </c>
      <c r="B3543" s="46" t="s">
        <v>11644</v>
      </c>
      <c r="C3543" s="46" t="s">
        <v>14</v>
      </c>
      <c r="D3543" s="47">
        <v>10527</v>
      </c>
      <c r="E3543" s="46" t="s">
        <v>9711</v>
      </c>
      <c r="F3543" s="48">
        <v>40939</v>
      </c>
      <c r="G3543" s="48">
        <v>41274</v>
      </c>
      <c r="H3543" s="46" t="s">
        <v>40</v>
      </c>
      <c r="I3543" s="45">
        <v>60000</v>
      </c>
      <c r="J3543" s="45">
        <v>60000</v>
      </c>
      <c r="K3543" s="49" t="s">
        <v>9243</v>
      </c>
      <c r="L3543" s="46"/>
    </row>
    <row r="3544" spans="1:13" ht="25.5" x14ac:dyDescent="0.25">
      <c r="A3544" s="46" t="s">
        <v>9717</v>
      </c>
      <c r="B3544" s="46" t="s">
        <v>11644</v>
      </c>
      <c r="C3544" s="46" t="s">
        <v>14</v>
      </c>
      <c r="D3544" s="47">
        <v>10532</v>
      </c>
      <c r="E3544" s="46" t="s">
        <v>9718</v>
      </c>
      <c r="F3544" s="48">
        <v>41170</v>
      </c>
      <c r="G3544" s="48">
        <v>41274</v>
      </c>
      <c r="H3544" s="46" t="s">
        <v>40</v>
      </c>
      <c r="I3544" s="45">
        <v>1247.26</v>
      </c>
      <c r="J3544" s="45">
        <v>623.63</v>
      </c>
      <c r="K3544" s="49" t="s">
        <v>9243</v>
      </c>
      <c r="L3544" s="45"/>
      <c r="M3544" s="3"/>
    </row>
    <row r="3545" spans="1:13" ht="25.5" x14ac:dyDescent="0.25">
      <c r="A3545" s="46" t="s">
        <v>9719</v>
      </c>
      <c r="B3545" s="46" t="s">
        <v>11644</v>
      </c>
      <c r="C3545" s="46" t="s">
        <v>14</v>
      </c>
      <c r="D3545" s="47">
        <v>10534</v>
      </c>
      <c r="E3545" s="46" t="s">
        <v>9720</v>
      </c>
      <c r="F3545" s="48">
        <v>40939</v>
      </c>
      <c r="G3545" s="48">
        <v>41274</v>
      </c>
      <c r="H3545" s="46" t="s">
        <v>40</v>
      </c>
      <c r="I3545" s="45">
        <v>17152.52</v>
      </c>
      <c r="J3545" s="45">
        <v>16076.29</v>
      </c>
      <c r="K3545" s="49" t="s">
        <v>9243</v>
      </c>
      <c r="L3545" s="45"/>
      <c r="M3545" s="3"/>
    </row>
    <row r="3546" spans="1:13" x14ac:dyDescent="0.25">
      <c r="A3546" s="46" t="s">
        <v>9725</v>
      </c>
      <c r="B3546" s="46" t="s">
        <v>11644</v>
      </c>
      <c r="C3546" s="46" t="s">
        <v>14</v>
      </c>
      <c r="D3546" s="47">
        <v>10538</v>
      </c>
      <c r="E3546" s="46" t="s">
        <v>9726</v>
      </c>
      <c r="F3546" s="48">
        <v>41002</v>
      </c>
      <c r="G3546" s="48">
        <v>41274</v>
      </c>
      <c r="H3546" s="46" t="s">
        <v>40</v>
      </c>
      <c r="I3546" s="45">
        <v>3750</v>
      </c>
      <c r="J3546" s="45">
        <v>3750</v>
      </c>
      <c r="K3546" s="49" t="s">
        <v>9243</v>
      </c>
      <c r="L3546" s="45"/>
      <c r="M3546" s="3"/>
    </row>
    <row r="3547" spans="1:13" ht="25.5" x14ac:dyDescent="0.25">
      <c r="A3547" s="46" t="s">
        <v>9733</v>
      </c>
      <c r="B3547" s="46" t="s">
        <v>11644</v>
      </c>
      <c r="C3547" s="46" t="s">
        <v>14</v>
      </c>
      <c r="D3547" s="47">
        <v>10549</v>
      </c>
      <c r="E3547" s="46" t="s">
        <v>9734</v>
      </c>
      <c r="F3547" s="48">
        <v>40967</v>
      </c>
      <c r="G3547" s="48">
        <v>41274</v>
      </c>
      <c r="H3547" s="46" t="s">
        <v>40</v>
      </c>
      <c r="I3547" s="45">
        <v>3750</v>
      </c>
      <c r="J3547" s="45">
        <v>3750</v>
      </c>
      <c r="K3547" s="49" t="s">
        <v>9243</v>
      </c>
      <c r="L3547" s="45"/>
      <c r="M3547" s="3"/>
    </row>
    <row r="3548" spans="1:13" ht="38.25" x14ac:dyDescent="0.25">
      <c r="A3548" s="46" t="s">
        <v>9786</v>
      </c>
      <c r="B3548" s="46" t="s">
        <v>11644</v>
      </c>
      <c r="C3548" s="46" t="s">
        <v>14</v>
      </c>
      <c r="D3548" s="47">
        <v>537</v>
      </c>
      <c r="E3548" s="46" t="s">
        <v>9787</v>
      </c>
      <c r="F3548" s="48">
        <v>39127</v>
      </c>
      <c r="G3548" s="46"/>
      <c r="H3548" s="46" t="s">
        <v>40</v>
      </c>
      <c r="I3548" s="45">
        <v>7500</v>
      </c>
      <c r="J3548" s="45">
        <v>7500</v>
      </c>
      <c r="K3548" s="49" t="s">
        <v>9751</v>
      </c>
      <c r="L3548" s="45"/>
      <c r="M3548" s="3"/>
    </row>
    <row r="3549" spans="1:13" ht="25.5" x14ac:dyDescent="0.25">
      <c r="A3549" s="46" t="s">
        <v>9788</v>
      </c>
      <c r="B3549" s="46" t="s">
        <v>11644</v>
      </c>
      <c r="C3549" s="46" t="s">
        <v>14</v>
      </c>
      <c r="D3549" s="47">
        <v>538</v>
      </c>
      <c r="E3549" s="46" t="s">
        <v>9789</v>
      </c>
      <c r="F3549" s="48">
        <v>39140</v>
      </c>
      <c r="G3549" s="46"/>
      <c r="H3549" s="46" t="s">
        <v>40</v>
      </c>
      <c r="I3549" s="45">
        <v>100000</v>
      </c>
      <c r="J3549" s="45">
        <v>50000</v>
      </c>
      <c r="K3549" s="49" t="s">
        <v>9751</v>
      </c>
      <c r="L3549" s="45"/>
      <c r="M3549" s="3"/>
    </row>
    <row r="3550" spans="1:13" x14ac:dyDescent="0.25">
      <c r="A3550" s="46" t="s">
        <v>9790</v>
      </c>
      <c r="B3550" s="46" t="s">
        <v>11644</v>
      </c>
      <c r="C3550" s="46" t="s">
        <v>14</v>
      </c>
      <c r="D3550" s="47">
        <v>540</v>
      </c>
      <c r="E3550" s="46" t="s">
        <v>9791</v>
      </c>
      <c r="F3550" s="48">
        <v>39127</v>
      </c>
      <c r="G3550" s="46"/>
      <c r="H3550" s="46" t="s">
        <v>40</v>
      </c>
      <c r="I3550" s="45">
        <v>21553.18</v>
      </c>
      <c r="J3550" s="45">
        <v>10776.59</v>
      </c>
      <c r="K3550" s="49" t="s">
        <v>9751</v>
      </c>
      <c r="L3550" s="45"/>
      <c r="M3550" s="3"/>
    </row>
    <row r="3551" spans="1:13" ht="25.5" x14ac:dyDescent="0.25">
      <c r="A3551" s="46" t="s">
        <v>9792</v>
      </c>
      <c r="B3551" s="46" t="s">
        <v>11644</v>
      </c>
      <c r="C3551" s="46" t="s">
        <v>14</v>
      </c>
      <c r="D3551" s="47">
        <v>542</v>
      </c>
      <c r="E3551" s="46" t="s">
        <v>9793</v>
      </c>
      <c r="F3551" s="48">
        <v>39127</v>
      </c>
      <c r="G3551" s="46"/>
      <c r="H3551" s="46" t="s">
        <v>40</v>
      </c>
      <c r="I3551" s="45">
        <v>15000</v>
      </c>
      <c r="J3551" s="45">
        <v>15000</v>
      </c>
      <c r="K3551" s="49" t="s">
        <v>9751</v>
      </c>
      <c r="L3551" s="45"/>
      <c r="M3551" s="3"/>
    </row>
    <row r="3552" spans="1:13" x14ac:dyDescent="0.25">
      <c r="A3552" s="46" t="s">
        <v>9794</v>
      </c>
      <c r="B3552" s="46" t="s">
        <v>11644</v>
      </c>
      <c r="C3552" s="46" t="s">
        <v>14</v>
      </c>
      <c r="D3552" s="47">
        <v>544</v>
      </c>
      <c r="E3552" s="46" t="s">
        <v>9795</v>
      </c>
      <c r="F3552" s="48">
        <v>39253</v>
      </c>
      <c r="G3552" s="46"/>
      <c r="H3552" s="46" t="s">
        <v>40</v>
      </c>
      <c r="I3552" s="45">
        <v>79500</v>
      </c>
      <c r="J3552" s="45">
        <v>39750</v>
      </c>
      <c r="K3552" s="49" t="s">
        <v>9751</v>
      </c>
      <c r="L3552" s="45"/>
      <c r="M3552" s="3"/>
    </row>
    <row r="3553" spans="1:13" x14ac:dyDescent="0.25">
      <c r="A3553" s="46" t="s">
        <v>9796</v>
      </c>
      <c r="B3553" s="46" t="s">
        <v>11644</v>
      </c>
      <c r="C3553" s="46" t="s">
        <v>14</v>
      </c>
      <c r="D3553" s="47">
        <v>545</v>
      </c>
      <c r="E3553" s="46" t="s">
        <v>9797</v>
      </c>
      <c r="F3553" s="48">
        <v>39190</v>
      </c>
      <c r="G3553" s="46"/>
      <c r="H3553" s="46" t="s">
        <v>40</v>
      </c>
      <c r="I3553" s="45">
        <v>3750</v>
      </c>
      <c r="J3553" s="45">
        <v>3750</v>
      </c>
      <c r="K3553" s="49" t="s">
        <v>9751</v>
      </c>
      <c r="L3553" s="45"/>
      <c r="M3553" s="3"/>
    </row>
    <row r="3554" spans="1:13" x14ac:dyDescent="0.25">
      <c r="A3554" s="46" t="s">
        <v>9798</v>
      </c>
      <c r="B3554" s="46" t="s">
        <v>11644</v>
      </c>
      <c r="C3554" s="46" t="s">
        <v>14</v>
      </c>
      <c r="D3554" s="47">
        <v>546</v>
      </c>
      <c r="E3554" s="46" t="s">
        <v>9799</v>
      </c>
      <c r="F3554" s="48">
        <v>39253</v>
      </c>
      <c r="G3554" s="46"/>
      <c r="H3554" s="46" t="s">
        <v>40</v>
      </c>
      <c r="I3554" s="45">
        <v>77430.36</v>
      </c>
      <c r="J3554" s="45">
        <v>38715.18</v>
      </c>
      <c r="K3554" s="49" t="s">
        <v>9751</v>
      </c>
      <c r="L3554" s="45"/>
      <c r="M3554" s="3"/>
    </row>
    <row r="3555" spans="1:13" x14ac:dyDescent="0.25">
      <c r="A3555" s="46" t="s">
        <v>9800</v>
      </c>
      <c r="B3555" s="46" t="s">
        <v>11644</v>
      </c>
      <c r="C3555" s="46" t="s">
        <v>14</v>
      </c>
      <c r="D3555" s="47">
        <v>547</v>
      </c>
      <c r="E3555" s="46" t="s">
        <v>9801</v>
      </c>
      <c r="F3555" s="48">
        <v>39127</v>
      </c>
      <c r="G3555" s="46"/>
      <c r="H3555" s="46" t="s">
        <v>40</v>
      </c>
      <c r="I3555" s="45">
        <v>7500</v>
      </c>
      <c r="J3555" s="45">
        <v>7500</v>
      </c>
      <c r="K3555" s="49" t="s">
        <v>9751</v>
      </c>
      <c r="L3555" s="45"/>
      <c r="M3555" s="3"/>
    </row>
    <row r="3556" spans="1:13" ht="38.25" x14ac:dyDescent="0.25">
      <c r="A3556" s="46" t="s">
        <v>9802</v>
      </c>
      <c r="B3556" s="46" t="s">
        <v>11644</v>
      </c>
      <c r="C3556" s="46" t="s">
        <v>14</v>
      </c>
      <c r="D3556" s="47">
        <v>548</v>
      </c>
      <c r="E3556" s="46" t="s">
        <v>9803</v>
      </c>
      <c r="F3556" s="48">
        <v>39337</v>
      </c>
      <c r="G3556" s="46"/>
      <c r="H3556" s="46" t="s">
        <v>40</v>
      </c>
      <c r="I3556" s="45">
        <v>7500</v>
      </c>
      <c r="J3556" s="45">
        <v>7500</v>
      </c>
      <c r="K3556" s="49" t="s">
        <v>9751</v>
      </c>
      <c r="L3556" s="45"/>
      <c r="M3556" s="3"/>
    </row>
    <row r="3557" spans="1:13" x14ac:dyDescent="0.25">
      <c r="A3557" s="46" t="s">
        <v>9804</v>
      </c>
      <c r="B3557" s="46" t="s">
        <v>11644</v>
      </c>
      <c r="C3557" s="46" t="s">
        <v>14</v>
      </c>
      <c r="D3557" s="47">
        <v>549</v>
      </c>
      <c r="E3557" s="46" t="s">
        <v>9805</v>
      </c>
      <c r="F3557" s="48">
        <v>39189</v>
      </c>
      <c r="G3557" s="46"/>
      <c r="H3557" s="46" t="s">
        <v>40</v>
      </c>
      <c r="I3557" s="45">
        <v>7500</v>
      </c>
      <c r="J3557" s="45">
        <v>7500</v>
      </c>
      <c r="K3557" s="49" t="s">
        <v>9751</v>
      </c>
      <c r="L3557" s="45"/>
      <c r="M3557" s="3"/>
    </row>
    <row r="3558" spans="1:13" x14ac:dyDescent="0.25">
      <c r="A3558" s="46" t="s">
        <v>9806</v>
      </c>
      <c r="B3558" s="46" t="s">
        <v>11644</v>
      </c>
      <c r="C3558" s="46" t="s">
        <v>14</v>
      </c>
      <c r="D3558" s="47">
        <v>550</v>
      </c>
      <c r="E3558" s="46" t="s">
        <v>9807</v>
      </c>
      <c r="F3558" s="48">
        <v>39400</v>
      </c>
      <c r="G3558" s="46"/>
      <c r="H3558" s="46" t="s">
        <v>40</v>
      </c>
      <c r="I3558" s="45">
        <v>3750</v>
      </c>
      <c r="J3558" s="45">
        <v>3750</v>
      </c>
      <c r="K3558" s="49" t="s">
        <v>9751</v>
      </c>
      <c r="L3558" s="45"/>
      <c r="M3558" s="3"/>
    </row>
    <row r="3559" spans="1:13" ht="25.5" x14ac:dyDescent="0.25">
      <c r="A3559" s="46" t="s">
        <v>9808</v>
      </c>
      <c r="B3559" s="46" t="s">
        <v>11644</v>
      </c>
      <c r="C3559" s="46" t="s">
        <v>14</v>
      </c>
      <c r="D3559" s="47">
        <v>552</v>
      </c>
      <c r="E3559" s="46" t="s">
        <v>9809</v>
      </c>
      <c r="F3559" s="48">
        <v>39505</v>
      </c>
      <c r="G3559" s="46"/>
      <c r="H3559" s="46" t="s">
        <v>40</v>
      </c>
      <c r="I3559" s="45">
        <v>7500</v>
      </c>
      <c r="J3559" s="45">
        <v>7500</v>
      </c>
      <c r="K3559" s="49" t="s">
        <v>9751</v>
      </c>
      <c r="L3559" s="45"/>
      <c r="M3559" s="3"/>
    </row>
    <row r="3560" spans="1:13" x14ac:dyDescent="0.25">
      <c r="A3560" s="46" t="s">
        <v>9810</v>
      </c>
      <c r="B3560" s="46" t="s">
        <v>11644</v>
      </c>
      <c r="C3560" s="46" t="s">
        <v>14</v>
      </c>
      <c r="D3560" s="47">
        <v>553</v>
      </c>
      <c r="E3560" s="46" t="s">
        <v>9811</v>
      </c>
      <c r="F3560" s="48">
        <v>39505</v>
      </c>
      <c r="G3560" s="46"/>
      <c r="H3560" s="46" t="s">
        <v>40</v>
      </c>
      <c r="I3560" s="45">
        <v>150000</v>
      </c>
      <c r="J3560" s="45">
        <v>75000</v>
      </c>
      <c r="K3560" s="49" t="s">
        <v>9751</v>
      </c>
      <c r="L3560" s="45"/>
      <c r="M3560" s="3"/>
    </row>
    <row r="3561" spans="1:13" x14ac:dyDescent="0.25">
      <c r="A3561" s="46" t="s">
        <v>9812</v>
      </c>
      <c r="B3561" s="46" t="s">
        <v>11644</v>
      </c>
      <c r="C3561" s="46" t="s">
        <v>14</v>
      </c>
      <c r="D3561" s="47">
        <v>554</v>
      </c>
      <c r="E3561" s="46" t="s">
        <v>9813</v>
      </c>
      <c r="F3561" s="48">
        <v>39400</v>
      </c>
      <c r="G3561" s="46"/>
      <c r="H3561" s="46" t="s">
        <v>40</v>
      </c>
      <c r="I3561" s="45">
        <v>8991.82</v>
      </c>
      <c r="J3561" s="45">
        <v>4495.91</v>
      </c>
      <c r="K3561" s="49" t="s">
        <v>9751</v>
      </c>
      <c r="L3561" s="45"/>
      <c r="M3561" s="3"/>
    </row>
    <row r="3562" spans="1:13" x14ac:dyDescent="0.25">
      <c r="A3562" s="46" t="s">
        <v>9814</v>
      </c>
      <c r="B3562" s="46" t="s">
        <v>11644</v>
      </c>
      <c r="C3562" s="46" t="s">
        <v>14</v>
      </c>
      <c r="D3562" s="47">
        <v>555</v>
      </c>
      <c r="E3562" s="46" t="s">
        <v>9815</v>
      </c>
      <c r="F3562" s="48">
        <v>39505</v>
      </c>
      <c r="G3562" s="46"/>
      <c r="H3562" s="46" t="s">
        <v>40</v>
      </c>
      <c r="I3562" s="45">
        <v>80000</v>
      </c>
      <c r="J3562" s="45">
        <v>40000</v>
      </c>
      <c r="K3562" s="49" t="s">
        <v>9751</v>
      </c>
      <c r="L3562" s="45"/>
      <c r="M3562" s="3"/>
    </row>
    <row r="3563" spans="1:13" ht="25.5" x14ac:dyDescent="0.25">
      <c r="A3563" s="46" t="s">
        <v>9816</v>
      </c>
      <c r="B3563" s="46" t="s">
        <v>11644</v>
      </c>
      <c r="C3563" s="46" t="s">
        <v>14</v>
      </c>
      <c r="D3563" s="47">
        <v>556</v>
      </c>
      <c r="E3563" s="46" t="s">
        <v>9817</v>
      </c>
      <c r="F3563" s="48">
        <v>39610</v>
      </c>
      <c r="G3563" s="48">
        <v>40178</v>
      </c>
      <c r="H3563" s="46" t="s">
        <v>40</v>
      </c>
      <c r="I3563" s="45">
        <v>55000</v>
      </c>
      <c r="J3563" s="45">
        <v>27500</v>
      </c>
      <c r="K3563" s="49" t="s">
        <v>9751</v>
      </c>
      <c r="L3563" s="45"/>
      <c r="M3563" s="3"/>
    </row>
    <row r="3564" spans="1:13" ht="25.5" x14ac:dyDescent="0.25">
      <c r="A3564" s="46" t="s">
        <v>9818</v>
      </c>
      <c r="B3564" s="46" t="s">
        <v>11644</v>
      </c>
      <c r="C3564" s="46" t="s">
        <v>14</v>
      </c>
      <c r="D3564" s="47">
        <v>557</v>
      </c>
      <c r="E3564" s="46" t="s">
        <v>9819</v>
      </c>
      <c r="F3564" s="48">
        <v>39610</v>
      </c>
      <c r="G3564" s="46"/>
      <c r="H3564" s="46" t="s">
        <v>40</v>
      </c>
      <c r="I3564" s="45">
        <v>103883</v>
      </c>
      <c r="J3564" s="45">
        <v>51941.5</v>
      </c>
      <c r="K3564" s="49" t="s">
        <v>9751</v>
      </c>
      <c r="L3564" s="45"/>
      <c r="M3564" s="3"/>
    </row>
    <row r="3565" spans="1:13" x14ac:dyDescent="0.25">
      <c r="A3565" s="46" t="s">
        <v>9820</v>
      </c>
      <c r="B3565" s="46" t="s">
        <v>11644</v>
      </c>
      <c r="C3565" s="46" t="s">
        <v>14</v>
      </c>
      <c r="D3565" s="47">
        <v>558</v>
      </c>
      <c r="E3565" s="46" t="s">
        <v>9821</v>
      </c>
      <c r="F3565" s="48">
        <v>39554</v>
      </c>
      <c r="G3565" s="46"/>
      <c r="H3565" s="46" t="s">
        <v>40</v>
      </c>
      <c r="I3565" s="45">
        <v>78203.100000000006</v>
      </c>
      <c r="J3565" s="45">
        <v>39101.550000000003</v>
      </c>
      <c r="K3565" s="49" t="s">
        <v>9751</v>
      </c>
      <c r="L3565" s="45"/>
      <c r="M3565" s="3"/>
    </row>
    <row r="3566" spans="1:13" x14ac:dyDescent="0.25">
      <c r="A3566" s="46" t="s">
        <v>9822</v>
      </c>
      <c r="B3566" s="46" t="s">
        <v>11644</v>
      </c>
      <c r="C3566" s="46" t="s">
        <v>14</v>
      </c>
      <c r="D3566" s="47">
        <v>559</v>
      </c>
      <c r="E3566" s="46" t="s">
        <v>9823</v>
      </c>
      <c r="F3566" s="48">
        <v>39554</v>
      </c>
      <c r="G3566" s="46"/>
      <c r="H3566" s="46" t="s">
        <v>40</v>
      </c>
      <c r="I3566" s="45">
        <v>10200</v>
      </c>
      <c r="J3566" s="45">
        <v>5100</v>
      </c>
      <c r="K3566" s="49" t="s">
        <v>9751</v>
      </c>
      <c r="L3566" s="45"/>
      <c r="M3566" s="3"/>
    </row>
    <row r="3567" spans="1:13" x14ac:dyDescent="0.25">
      <c r="A3567" s="46" t="s">
        <v>9824</v>
      </c>
      <c r="B3567" s="46" t="s">
        <v>11644</v>
      </c>
      <c r="C3567" s="46" t="s">
        <v>14</v>
      </c>
      <c r="D3567" s="47">
        <v>560</v>
      </c>
      <c r="E3567" s="46" t="s">
        <v>9825</v>
      </c>
      <c r="F3567" s="48">
        <v>39554</v>
      </c>
      <c r="G3567" s="46"/>
      <c r="H3567" s="46" t="s">
        <v>40</v>
      </c>
      <c r="I3567" s="45">
        <v>10200</v>
      </c>
      <c r="J3567" s="45">
        <v>5100</v>
      </c>
      <c r="K3567" s="49" t="s">
        <v>9751</v>
      </c>
      <c r="L3567" s="45"/>
      <c r="M3567" s="3"/>
    </row>
    <row r="3568" spans="1:13" ht="25.5" x14ac:dyDescent="0.25">
      <c r="A3568" s="46" t="s">
        <v>9826</v>
      </c>
      <c r="B3568" s="46" t="s">
        <v>11644</v>
      </c>
      <c r="C3568" s="46" t="s">
        <v>14</v>
      </c>
      <c r="D3568" s="47">
        <v>561</v>
      </c>
      <c r="E3568" s="46" t="s">
        <v>9827</v>
      </c>
      <c r="F3568" s="48">
        <v>39750</v>
      </c>
      <c r="G3568" s="46"/>
      <c r="H3568" s="46" t="s">
        <v>40</v>
      </c>
      <c r="I3568" s="45">
        <v>10200</v>
      </c>
      <c r="J3568" s="45">
        <v>5100</v>
      </c>
      <c r="K3568" s="49" t="s">
        <v>9751</v>
      </c>
      <c r="L3568" s="45"/>
      <c r="M3568" s="3"/>
    </row>
    <row r="3569" spans="1:13" ht="25.5" x14ac:dyDescent="0.25">
      <c r="A3569" s="46" t="s">
        <v>9828</v>
      </c>
      <c r="B3569" s="46" t="s">
        <v>11644</v>
      </c>
      <c r="C3569" s="46" t="s">
        <v>14</v>
      </c>
      <c r="D3569" s="47">
        <v>562</v>
      </c>
      <c r="E3569" s="46" t="s">
        <v>9829</v>
      </c>
      <c r="F3569" s="48">
        <v>39750</v>
      </c>
      <c r="G3569" s="46"/>
      <c r="H3569" s="46" t="s">
        <v>40</v>
      </c>
      <c r="I3569" s="45">
        <v>24904.18</v>
      </c>
      <c r="J3569" s="45">
        <v>12452.09</v>
      </c>
      <c r="K3569" s="49" t="s">
        <v>9751</v>
      </c>
      <c r="L3569" s="45"/>
      <c r="M3569" s="3"/>
    </row>
    <row r="3570" spans="1:13" ht="51" x14ac:dyDescent="0.25">
      <c r="A3570" s="46" t="s">
        <v>9965</v>
      </c>
      <c r="B3570" s="46" t="s">
        <v>11644</v>
      </c>
      <c r="C3570" s="46" t="s">
        <v>14</v>
      </c>
      <c r="D3570" s="47">
        <v>5122</v>
      </c>
      <c r="E3570" s="50" t="s">
        <v>9966</v>
      </c>
      <c r="F3570" s="48">
        <v>39610</v>
      </c>
      <c r="G3570" s="48">
        <v>39974</v>
      </c>
      <c r="H3570" s="46" t="s">
        <v>40</v>
      </c>
      <c r="I3570" s="45">
        <v>10200</v>
      </c>
      <c r="J3570" s="45">
        <v>5100</v>
      </c>
      <c r="K3570" s="49" t="s">
        <v>9751</v>
      </c>
      <c r="L3570" s="45"/>
      <c r="M3570" s="3"/>
    </row>
    <row r="3571" spans="1:13" ht="38.25" x14ac:dyDescent="0.25">
      <c r="A3571" s="46" t="s">
        <v>9967</v>
      </c>
      <c r="B3571" s="46" t="s">
        <v>11644</v>
      </c>
      <c r="C3571" s="46" t="s">
        <v>14</v>
      </c>
      <c r="D3571" s="47">
        <v>5123</v>
      </c>
      <c r="E3571" s="46" t="s">
        <v>9968</v>
      </c>
      <c r="F3571" s="48">
        <v>39750</v>
      </c>
      <c r="G3571" s="48">
        <v>39931</v>
      </c>
      <c r="H3571" s="46" t="s">
        <v>40</v>
      </c>
      <c r="I3571" s="45">
        <v>10200</v>
      </c>
      <c r="J3571" s="45">
        <v>5100</v>
      </c>
      <c r="K3571" s="49" t="s">
        <v>9751</v>
      </c>
      <c r="L3571" s="45"/>
      <c r="M3571" s="3"/>
    </row>
    <row r="3572" spans="1:13" ht="38.25" x14ac:dyDescent="0.25">
      <c r="A3572" s="46" t="s">
        <v>9969</v>
      </c>
      <c r="B3572" s="46" t="s">
        <v>11644</v>
      </c>
      <c r="C3572" s="46" t="s">
        <v>14</v>
      </c>
      <c r="D3572" s="47">
        <v>5126</v>
      </c>
      <c r="E3572" s="46" t="s">
        <v>9970</v>
      </c>
      <c r="F3572" s="48">
        <v>39988</v>
      </c>
      <c r="G3572" s="48">
        <v>40352</v>
      </c>
      <c r="H3572" s="46" t="s">
        <v>40</v>
      </c>
      <c r="I3572" s="45">
        <v>60000</v>
      </c>
      <c r="J3572" s="45">
        <v>30000</v>
      </c>
      <c r="K3572" s="49" t="s">
        <v>9751</v>
      </c>
      <c r="L3572" s="45"/>
      <c r="M3572" s="3"/>
    </row>
    <row r="3573" spans="1:13" x14ac:dyDescent="0.25">
      <c r="A3573" s="46" t="s">
        <v>9971</v>
      </c>
      <c r="B3573" s="46" t="s">
        <v>11644</v>
      </c>
      <c r="C3573" s="46" t="s">
        <v>14</v>
      </c>
      <c r="D3573" s="47">
        <v>5128</v>
      </c>
      <c r="E3573" s="46" t="s">
        <v>9972</v>
      </c>
      <c r="F3573" s="48">
        <v>39869</v>
      </c>
      <c r="G3573" s="48">
        <v>40233</v>
      </c>
      <c r="H3573" s="46" t="s">
        <v>40</v>
      </c>
      <c r="I3573" s="45">
        <v>5000</v>
      </c>
      <c r="J3573" s="45">
        <v>2500</v>
      </c>
      <c r="K3573" s="49" t="s">
        <v>9751</v>
      </c>
      <c r="L3573" s="45"/>
      <c r="M3573" s="3"/>
    </row>
    <row r="3574" spans="1:13" x14ac:dyDescent="0.25">
      <c r="A3574" s="46" t="s">
        <v>9973</v>
      </c>
      <c r="B3574" s="46" t="s">
        <v>11644</v>
      </c>
      <c r="C3574" s="46" t="s">
        <v>14</v>
      </c>
      <c r="D3574" s="47">
        <v>5132</v>
      </c>
      <c r="E3574" s="46" t="s">
        <v>9974</v>
      </c>
      <c r="F3574" s="48">
        <v>39750</v>
      </c>
      <c r="G3574" s="48">
        <v>39931</v>
      </c>
      <c r="H3574" s="46" t="s">
        <v>40</v>
      </c>
      <c r="I3574" s="45">
        <v>10200</v>
      </c>
      <c r="J3574" s="45">
        <v>5100</v>
      </c>
      <c r="K3574" s="49" t="s">
        <v>9751</v>
      </c>
      <c r="L3574" s="45"/>
      <c r="M3574" s="3"/>
    </row>
    <row r="3575" spans="1:13" ht="25.5" x14ac:dyDescent="0.25">
      <c r="A3575" s="46" t="s">
        <v>9975</v>
      </c>
      <c r="B3575" s="46" t="s">
        <v>11644</v>
      </c>
      <c r="C3575" s="46" t="s">
        <v>14</v>
      </c>
      <c r="D3575" s="47">
        <v>5134</v>
      </c>
      <c r="E3575" s="46" t="s">
        <v>9976</v>
      </c>
      <c r="F3575" s="48">
        <v>39869</v>
      </c>
      <c r="G3575" s="48">
        <v>40233</v>
      </c>
      <c r="H3575" s="46" t="s">
        <v>40</v>
      </c>
      <c r="I3575" s="45">
        <v>22500</v>
      </c>
      <c r="J3575" s="45">
        <v>22500</v>
      </c>
      <c r="K3575" s="49" t="s">
        <v>9751</v>
      </c>
      <c r="L3575" s="45"/>
      <c r="M3575" s="3"/>
    </row>
    <row r="3576" spans="1:13" ht="25.5" x14ac:dyDescent="0.25">
      <c r="A3576" s="46" t="s">
        <v>9977</v>
      </c>
      <c r="B3576" s="46" t="s">
        <v>11644</v>
      </c>
      <c r="C3576" s="46" t="s">
        <v>14</v>
      </c>
      <c r="D3576" s="47">
        <v>5137</v>
      </c>
      <c r="E3576" s="46" t="s">
        <v>9978</v>
      </c>
      <c r="F3576" s="48">
        <v>39918</v>
      </c>
      <c r="G3576" s="48">
        <v>40282</v>
      </c>
      <c r="H3576" s="46" t="s">
        <v>40</v>
      </c>
      <c r="I3576" s="45">
        <v>22500</v>
      </c>
      <c r="J3576" s="45">
        <v>22500</v>
      </c>
      <c r="K3576" s="49" t="s">
        <v>9751</v>
      </c>
      <c r="L3576" s="45"/>
      <c r="M3576" s="3"/>
    </row>
    <row r="3577" spans="1:13" ht="25.5" x14ac:dyDescent="0.25">
      <c r="A3577" s="46" t="s">
        <v>9979</v>
      </c>
      <c r="B3577" s="46" t="s">
        <v>11644</v>
      </c>
      <c r="C3577" s="46" t="s">
        <v>14</v>
      </c>
      <c r="D3577" s="47">
        <v>5142</v>
      </c>
      <c r="E3577" s="46" t="s">
        <v>9980</v>
      </c>
      <c r="F3577" s="48">
        <v>39988</v>
      </c>
      <c r="G3577" s="48">
        <v>40352</v>
      </c>
      <c r="H3577" s="46" t="s">
        <v>40</v>
      </c>
      <c r="I3577" s="45">
        <v>7500</v>
      </c>
      <c r="J3577" s="45">
        <v>7500</v>
      </c>
      <c r="K3577" s="49" t="s">
        <v>9751</v>
      </c>
      <c r="L3577" s="45"/>
      <c r="M3577" s="3"/>
    </row>
    <row r="3578" spans="1:13" ht="38.25" x14ac:dyDescent="0.25">
      <c r="A3578" s="46" t="s">
        <v>9981</v>
      </c>
      <c r="B3578" s="46" t="s">
        <v>11644</v>
      </c>
      <c r="C3578" s="46" t="s">
        <v>14</v>
      </c>
      <c r="D3578" s="47">
        <v>5144</v>
      </c>
      <c r="E3578" s="46" t="s">
        <v>9982</v>
      </c>
      <c r="F3578" s="48">
        <v>39918</v>
      </c>
      <c r="G3578" s="48">
        <v>40282</v>
      </c>
      <c r="H3578" s="46" t="s">
        <v>40</v>
      </c>
      <c r="I3578" s="45">
        <v>15667.76</v>
      </c>
      <c r="J3578" s="45">
        <v>7833.88</v>
      </c>
      <c r="K3578" s="49" t="s">
        <v>9751</v>
      </c>
      <c r="L3578" s="45"/>
      <c r="M3578" s="3"/>
    </row>
    <row r="3579" spans="1:13" ht="25.5" x14ac:dyDescent="0.25">
      <c r="A3579" s="46" t="s">
        <v>9977</v>
      </c>
      <c r="B3579" s="46" t="s">
        <v>11644</v>
      </c>
      <c r="C3579" s="46" t="s">
        <v>14</v>
      </c>
      <c r="D3579" s="47">
        <v>5146</v>
      </c>
      <c r="E3579" s="46" t="s">
        <v>9983</v>
      </c>
      <c r="F3579" s="48">
        <v>40106</v>
      </c>
      <c r="G3579" s="48">
        <v>40470</v>
      </c>
      <c r="H3579" s="46" t="s">
        <v>40</v>
      </c>
      <c r="I3579" s="45">
        <v>65000</v>
      </c>
      <c r="J3579" s="45">
        <v>32500</v>
      </c>
      <c r="K3579" s="49" t="s">
        <v>9751</v>
      </c>
      <c r="L3579" s="45"/>
      <c r="M3579" s="3"/>
    </row>
    <row r="3580" spans="1:13" ht="25.5" x14ac:dyDescent="0.25">
      <c r="A3580" s="46" t="s">
        <v>9984</v>
      </c>
      <c r="B3580" s="46" t="s">
        <v>11644</v>
      </c>
      <c r="C3580" s="46" t="s">
        <v>14</v>
      </c>
      <c r="D3580" s="47">
        <v>5148</v>
      </c>
      <c r="E3580" s="46" t="s">
        <v>9985</v>
      </c>
      <c r="F3580" s="48">
        <v>40065</v>
      </c>
      <c r="G3580" s="48">
        <v>40429</v>
      </c>
      <c r="H3580" s="46" t="s">
        <v>40</v>
      </c>
      <c r="I3580" s="45">
        <v>4149.8</v>
      </c>
      <c r="J3580" s="45">
        <v>2074.9</v>
      </c>
      <c r="K3580" s="49" t="s">
        <v>9751</v>
      </c>
      <c r="L3580" s="45"/>
      <c r="M3580" s="3"/>
    </row>
    <row r="3581" spans="1:13" ht="38.25" x14ac:dyDescent="0.25">
      <c r="A3581" s="46" t="s">
        <v>9986</v>
      </c>
      <c r="B3581" s="46" t="s">
        <v>11644</v>
      </c>
      <c r="C3581" s="46" t="s">
        <v>14</v>
      </c>
      <c r="D3581" s="47">
        <v>5151</v>
      </c>
      <c r="E3581" s="46" t="s">
        <v>9987</v>
      </c>
      <c r="F3581" s="48">
        <v>39918</v>
      </c>
      <c r="G3581" s="48">
        <v>40282</v>
      </c>
      <c r="H3581" s="46" t="s">
        <v>40</v>
      </c>
      <c r="I3581" s="45">
        <v>41544</v>
      </c>
      <c r="J3581" s="45">
        <v>20772</v>
      </c>
      <c r="K3581" s="49" t="s">
        <v>9751</v>
      </c>
      <c r="L3581" s="45"/>
      <c r="M3581" s="3"/>
    </row>
    <row r="3582" spans="1:13" ht="38.25" x14ac:dyDescent="0.25">
      <c r="A3582" s="46" t="s">
        <v>9988</v>
      </c>
      <c r="B3582" s="46" t="s">
        <v>11644</v>
      </c>
      <c r="C3582" s="46" t="s">
        <v>14</v>
      </c>
      <c r="D3582" s="47">
        <v>5153</v>
      </c>
      <c r="E3582" s="46" t="s">
        <v>9970</v>
      </c>
      <c r="F3582" s="48">
        <v>39988</v>
      </c>
      <c r="G3582" s="48">
        <v>40170</v>
      </c>
      <c r="H3582" s="46" t="s">
        <v>40</v>
      </c>
      <c r="I3582" s="45">
        <v>10000</v>
      </c>
      <c r="J3582" s="45">
        <v>5000</v>
      </c>
      <c r="K3582" s="49" t="s">
        <v>9751</v>
      </c>
      <c r="L3582" s="45"/>
      <c r="M3582" s="3"/>
    </row>
    <row r="3583" spans="1:13" ht="25.5" x14ac:dyDescent="0.25">
      <c r="A3583" s="46" t="s">
        <v>9989</v>
      </c>
      <c r="B3583" s="46" t="s">
        <v>11644</v>
      </c>
      <c r="C3583" s="46" t="s">
        <v>14</v>
      </c>
      <c r="D3583" s="47">
        <v>5155</v>
      </c>
      <c r="E3583" s="46" t="s">
        <v>9990</v>
      </c>
      <c r="F3583" s="48">
        <v>39750</v>
      </c>
      <c r="G3583" s="48">
        <v>40479</v>
      </c>
      <c r="H3583" s="46" t="s">
        <v>40</v>
      </c>
      <c r="I3583" s="45">
        <v>18342.14</v>
      </c>
      <c r="J3583" s="45">
        <v>9171.07</v>
      </c>
      <c r="K3583" s="49" t="s">
        <v>9751</v>
      </c>
      <c r="L3583" s="45"/>
      <c r="M3583" s="3"/>
    </row>
    <row r="3584" spans="1:13" ht="25.5" x14ac:dyDescent="0.25">
      <c r="A3584" s="46" t="s">
        <v>9991</v>
      </c>
      <c r="B3584" s="46" t="s">
        <v>11644</v>
      </c>
      <c r="C3584" s="46" t="s">
        <v>14</v>
      </c>
      <c r="D3584" s="47">
        <v>5157</v>
      </c>
      <c r="E3584" s="46" t="s">
        <v>9992</v>
      </c>
      <c r="F3584" s="48">
        <v>39988</v>
      </c>
      <c r="G3584" s="48">
        <v>40170</v>
      </c>
      <c r="H3584" s="46" t="s">
        <v>40</v>
      </c>
      <c r="I3584" s="45">
        <v>6941</v>
      </c>
      <c r="J3584" s="45">
        <v>3470.5</v>
      </c>
      <c r="K3584" s="49" t="s">
        <v>9751</v>
      </c>
      <c r="L3584" s="45"/>
      <c r="M3584" s="3"/>
    </row>
    <row r="3585" spans="1:13" ht="51" x14ac:dyDescent="0.25">
      <c r="A3585" s="46" t="s">
        <v>9993</v>
      </c>
      <c r="B3585" s="46" t="s">
        <v>11644</v>
      </c>
      <c r="C3585" s="46" t="s">
        <v>14</v>
      </c>
      <c r="D3585" s="47">
        <v>5160</v>
      </c>
      <c r="E3585" s="50" t="s">
        <v>9994</v>
      </c>
      <c r="F3585" s="48">
        <v>40065</v>
      </c>
      <c r="G3585" s="48">
        <v>40429</v>
      </c>
      <c r="H3585" s="46" t="s">
        <v>40</v>
      </c>
      <c r="I3585" s="45">
        <v>141900</v>
      </c>
      <c r="J3585" s="45">
        <v>70950</v>
      </c>
      <c r="K3585" s="49" t="s">
        <v>9751</v>
      </c>
      <c r="L3585" s="45"/>
      <c r="M3585" s="3"/>
    </row>
    <row r="3586" spans="1:13" ht="25.5" x14ac:dyDescent="0.25">
      <c r="A3586" s="46" t="s">
        <v>9995</v>
      </c>
      <c r="B3586" s="46" t="s">
        <v>11644</v>
      </c>
      <c r="C3586" s="46" t="s">
        <v>14</v>
      </c>
      <c r="D3586" s="47">
        <v>5162</v>
      </c>
      <c r="E3586" s="46" t="s">
        <v>9996</v>
      </c>
      <c r="F3586" s="48">
        <v>40149</v>
      </c>
      <c r="G3586" s="48">
        <v>40170</v>
      </c>
      <c r="H3586" s="46" t="s">
        <v>40</v>
      </c>
      <c r="I3586" s="45">
        <v>7500</v>
      </c>
      <c r="J3586" s="45">
        <v>7500</v>
      </c>
      <c r="K3586" s="49" t="s">
        <v>9751</v>
      </c>
      <c r="L3586" s="45"/>
      <c r="M3586" s="3"/>
    </row>
    <row r="3587" spans="1:13" ht="38.25" x14ac:dyDescent="0.25">
      <c r="A3587" s="46" t="s">
        <v>9997</v>
      </c>
      <c r="B3587" s="46" t="s">
        <v>11644</v>
      </c>
      <c r="C3587" s="46" t="s">
        <v>14</v>
      </c>
      <c r="D3587" s="47">
        <v>5164</v>
      </c>
      <c r="E3587" s="46" t="s">
        <v>9998</v>
      </c>
      <c r="F3587" s="48">
        <v>39988</v>
      </c>
      <c r="G3587" s="48">
        <v>40170</v>
      </c>
      <c r="H3587" s="46" t="s">
        <v>40</v>
      </c>
      <c r="I3587" s="45">
        <v>9174.74</v>
      </c>
      <c r="J3587" s="45">
        <v>4587.37</v>
      </c>
      <c r="K3587" s="49" t="s">
        <v>9751</v>
      </c>
      <c r="L3587" s="45"/>
      <c r="M3587" s="3"/>
    </row>
    <row r="3588" spans="1:13" ht="25.5" x14ac:dyDescent="0.25">
      <c r="A3588" s="46" t="s">
        <v>9997</v>
      </c>
      <c r="B3588" s="46" t="s">
        <v>11644</v>
      </c>
      <c r="C3588" s="46" t="s">
        <v>14</v>
      </c>
      <c r="D3588" s="47">
        <v>5165</v>
      </c>
      <c r="E3588" s="50" t="s">
        <v>9999</v>
      </c>
      <c r="F3588" s="48">
        <v>40149</v>
      </c>
      <c r="G3588" s="48">
        <v>40170</v>
      </c>
      <c r="H3588" s="46" t="s">
        <v>40</v>
      </c>
      <c r="I3588" s="45">
        <v>10000</v>
      </c>
      <c r="J3588" s="45">
        <v>10000</v>
      </c>
      <c r="K3588" s="49" t="s">
        <v>9751</v>
      </c>
      <c r="L3588" s="45"/>
      <c r="M3588" s="3"/>
    </row>
    <row r="3589" spans="1:13" ht="25.5" x14ac:dyDescent="0.25">
      <c r="A3589" s="46" t="s">
        <v>10000</v>
      </c>
      <c r="B3589" s="46" t="s">
        <v>11644</v>
      </c>
      <c r="C3589" s="46" t="s">
        <v>14</v>
      </c>
      <c r="D3589" s="47">
        <v>5167</v>
      </c>
      <c r="E3589" s="46" t="s">
        <v>10001</v>
      </c>
      <c r="F3589" s="48">
        <v>40114</v>
      </c>
      <c r="G3589" s="48">
        <v>40478</v>
      </c>
      <c r="H3589" s="46" t="s">
        <v>40</v>
      </c>
      <c r="I3589" s="45">
        <v>7500</v>
      </c>
      <c r="J3589" s="45">
        <v>7500</v>
      </c>
      <c r="K3589" s="49" t="s">
        <v>9751</v>
      </c>
      <c r="L3589" s="45"/>
      <c r="M3589" s="3"/>
    </row>
    <row r="3590" spans="1:13" ht="38.25" x14ac:dyDescent="0.25">
      <c r="A3590" s="46" t="s">
        <v>10002</v>
      </c>
      <c r="B3590" s="46" t="s">
        <v>11644</v>
      </c>
      <c r="C3590" s="46" t="s">
        <v>14</v>
      </c>
      <c r="D3590" s="47">
        <v>5170</v>
      </c>
      <c r="E3590" s="46" t="s">
        <v>10003</v>
      </c>
      <c r="F3590" s="48">
        <v>40149</v>
      </c>
      <c r="G3590" s="48">
        <v>40170</v>
      </c>
      <c r="H3590" s="46" t="s">
        <v>40</v>
      </c>
      <c r="I3590" s="45">
        <v>17350</v>
      </c>
      <c r="J3590" s="45">
        <v>10550</v>
      </c>
      <c r="K3590" s="49" t="s">
        <v>9751</v>
      </c>
      <c r="L3590" s="45"/>
      <c r="M3590" s="3"/>
    </row>
    <row r="3591" spans="1:13" ht="38.25" x14ac:dyDescent="0.25">
      <c r="A3591" s="46" t="s">
        <v>10006</v>
      </c>
      <c r="B3591" s="46" t="s">
        <v>11644</v>
      </c>
      <c r="C3591" s="46" t="s">
        <v>14</v>
      </c>
      <c r="D3591" s="47">
        <v>6514</v>
      </c>
      <c r="E3591" s="46" t="s">
        <v>10007</v>
      </c>
      <c r="F3591" s="48">
        <v>39988</v>
      </c>
      <c r="G3591" s="48">
        <v>40209</v>
      </c>
      <c r="H3591" s="46" t="s">
        <v>40</v>
      </c>
      <c r="I3591" s="45">
        <v>10200</v>
      </c>
      <c r="J3591" s="45">
        <v>5100</v>
      </c>
      <c r="K3591" s="49" t="s">
        <v>9751</v>
      </c>
      <c r="L3591" s="45"/>
      <c r="M3591" s="3"/>
    </row>
    <row r="3592" spans="1:13" ht="63.75" x14ac:dyDescent="0.25">
      <c r="A3592" s="46" t="s">
        <v>10010</v>
      </c>
      <c r="B3592" s="46" t="s">
        <v>11644</v>
      </c>
      <c r="C3592" s="46" t="s">
        <v>14</v>
      </c>
      <c r="D3592" s="47">
        <v>7194</v>
      </c>
      <c r="E3592" s="50" t="s">
        <v>10011</v>
      </c>
      <c r="F3592" s="48">
        <v>40149</v>
      </c>
      <c r="G3592" s="48">
        <v>40514</v>
      </c>
      <c r="H3592" s="46" t="s">
        <v>40</v>
      </c>
      <c r="I3592" s="45">
        <v>94382.46</v>
      </c>
      <c r="J3592" s="45">
        <v>50941.23</v>
      </c>
      <c r="K3592" s="49" t="s">
        <v>9751</v>
      </c>
      <c r="L3592" s="45"/>
      <c r="M3592" s="3"/>
    </row>
    <row r="3593" spans="1:13" x14ac:dyDescent="0.25">
      <c r="A3593" s="46" t="s">
        <v>10012</v>
      </c>
      <c r="B3593" s="46" t="s">
        <v>11644</v>
      </c>
      <c r="C3593" s="46" t="s">
        <v>14</v>
      </c>
      <c r="D3593" s="47">
        <v>7195</v>
      </c>
      <c r="E3593" s="46" t="s">
        <v>10013</v>
      </c>
      <c r="F3593" s="48">
        <v>40114</v>
      </c>
      <c r="G3593" s="48">
        <v>40479</v>
      </c>
      <c r="H3593" s="46" t="s">
        <v>40</v>
      </c>
      <c r="I3593" s="45">
        <v>3750</v>
      </c>
      <c r="J3593" s="45">
        <v>3750</v>
      </c>
      <c r="K3593" s="49" t="s">
        <v>9751</v>
      </c>
      <c r="L3593" s="45"/>
      <c r="M3593" s="3"/>
    </row>
    <row r="3594" spans="1:13" ht="25.5" x14ac:dyDescent="0.25">
      <c r="A3594" s="46" t="s">
        <v>10014</v>
      </c>
      <c r="B3594" s="46" t="s">
        <v>11644</v>
      </c>
      <c r="C3594" s="46" t="s">
        <v>14</v>
      </c>
      <c r="D3594" s="47">
        <v>7196</v>
      </c>
      <c r="E3594" s="46" t="s">
        <v>10015</v>
      </c>
      <c r="F3594" s="48">
        <v>40233</v>
      </c>
      <c r="G3594" s="48">
        <v>40597</v>
      </c>
      <c r="H3594" s="46" t="s">
        <v>40</v>
      </c>
      <c r="I3594" s="45">
        <v>5000</v>
      </c>
      <c r="J3594" s="45">
        <v>5000</v>
      </c>
      <c r="K3594" s="49" t="s">
        <v>9751</v>
      </c>
      <c r="L3594" s="45"/>
      <c r="M3594" s="3"/>
    </row>
    <row r="3595" spans="1:13" ht="25.5" x14ac:dyDescent="0.25">
      <c r="A3595" s="46" t="s">
        <v>10016</v>
      </c>
      <c r="B3595" s="46" t="s">
        <v>11644</v>
      </c>
      <c r="C3595" s="46" t="s">
        <v>14</v>
      </c>
      <c r="D3595" s="47">
        <v>7197</v>
      </c>
      <c r="E3595" s="46" t="s">
        <v>10017</v>
      </c>
      <c r="F3595" s="48">
        <v>40296</v>
      </c>
      <c r="G3595" s="48">
        <v>40660</v>
      </c>
      <c r="H3595" s="46" t="s">
        <v>40</v>
      </c>
      <c r="I3595" s="45">
        <v>15000</v>
      </c>
      <c r="J3595" s="45">
        <v>15000</v>
      </c>
      <c r="K3595" s="49" t="s">
        <v>9751</v>
      </c>
      <c r="L3595" s="45"/>
      <c r="M3595" s="3"/>
    </row>
    <row r="3596" spans="1:13" ht="25.5" x14ac:dyDescent="0.25">
      <c r="A3596" s="46" t="s">
        <v>10018</v>
      </c>
      <c r="B3596" s="46" t="s">
        <v>11644</v>
      </c>
      <c r="C3596" s="46" t="s">
        <v>14</v>
      </c>
      <c r="D3596" s="47">
        <v>7198</v>
      </c>
      <c r="E3596" s="46" t="s">
        <v>10019</v>
      </c>
      <c r="F3596" s="48">
        <v>40296</v>
      </c>
      <c r="G3596" s="48">
        <v>40660</v>
      </c>
      <c r="H3596" s="46" t="s">
        <v>40</v>
      </c>
      <c r="I3596" s="45">
        <v>21000</v>
      </c>
      <c r="J3596" s="45">
        <v>21000</v>
      </c>
      <c r="K3596" s="49" t="s">
        <v>9751</v>
      </c>
      <c r="L3596" s="45"/>
      <c r="M3596" s="3"/>
    </row>
    <row r="3597" spans="1:13" ht="25.5" x14ac:dyDescent="0.25">
      <c r="A3597" s="46" t="s">
        <v>10022</v>
      </c>
      <c r="B3597" s="46" t="s">
        <v>11644</v>
      </c>
      <c r="C3597" s="46" t="s">
        <v>14</v>
      </c>
      <c r="D3597" s="47">
        <v>7200</v>
      </c>
      <c r="E3597" s="46" t="s">
        <v>10023</v>
      </c>
      <c r="F3597" s="48">
        <v>40233</v>
      </c>
      <c r="G3597" s="48">
        <v>40597</v>
      </c>
      <c r="H3597" s="46" t="s">
        <v>40</v>
      </c>
      <c r="I3597" s="45">
        <v>3750</v>
      </c>
      <c r="J3597" s="45">
        <v>3750</v>
      </c>
      <c r="K3597" s="49" t="s">
        <v>9751</v>
      </c>
      <c r="L3597" s="45"/>
      <c r="M3597" s="3"/>
    </row>
    <row r="3598" spans="1:13" ht="25.5" x14ac:dyDescent="0.25">
      <c r="A3598" s="46" t="s">
        <v>10024</v>
      </c>
      <c r="B3598" s="46" t="s">
        <v>11644</v>
      </c>
      <c r="C3598" s="46" t="s">
        <v>14</v>
      </c>
      <c r="D3598" s="47">
        <v>7201</v>
      </c>
      <c r="E3598" s="46" t="s">
        <v>10025</v>
      </c>
      <c r="F3598" s="48">
        <v>40233</v>
      </c>
      <c r="G3598" s="48">
        <v>40597</v>
      </c>
      <c r="H3598" s="46" t="s">
        <v>40</v>
      </c>
      <c r="I3598" s="45">
        <v>7500</v>
      </c>
      <c r="J3598" s="45">
        <v>7500</v>
      </c>
      <c r="K3598" s="49" t="s">
        <v>9751</v>
      </c>
      <c r="L3598" s="45"/>
      <c r="M3598" s="3"/>
    </row>
    <row r="3599" spans="1:13" ht="38.25" x14ac:dyDescent="0.25">
      <c r="A3599" s="46" t="s">
        <v>10026</v>
      </c>
      <c r="B3599" s="46" t="s">
        <v>11644</v>
      </c>
      <c r="C3599" s="46" t="s">
        <v>14</v>
      </c>
      <c r="D3599" s="47">
        <v>7202</v>
      </c>
      <c r="E3599" s="46" t="s">
        <v>10027</v>
      </c>
      <c r="F3599" s="48">
        <v>40359</v>
      </c>
      <c r="G3599" s="48">
        <v>40723</v>
      </c>
      <c r="H3599" s="46" t="s">
        <v>40</v>
      </c>
      <c r="I3599" s="45">
        <v>7500</v>
      </c>
      <c r="J3599" s="45">
        <v>7500</v>
      </c>
      <c r="K3599" s="49" t="s">
        <v>9751</v>
      </c>
      <c r="L3599" s="45"/>
      <c r="M3599" s="3"/>
    </row>
    <row r="3600" spans="1:13" ht="25.5" x14ac:dyDescent="0.25">
      <c r="A3600" s="46" t="s">
        <v>10028</v>
      </c>
      <c r="B3600" s="46" t="s">
        <v>11644</v>
      </c>
      <c r="C3600" s="46" t="s">
        <v>14</v>
      </c>
      <c r="D3600" s="47">
        <v>7203</v>
      </c>
      <c r="E3600" s="46" t="s">
        <v>10029</v>
      </c>
      <c r="F3600" s="48">
        <v>40359</v>
      </c>
      <c r="G3600" s="48">
        <v>40723</v>
      </c>
      <c r="H3600" s="46" t="s">
        <v>40</v>
      </c>
      <c r="I3600" s="45">
        <v>7500</v>
      </c>
      <c r="J3600" s="45">
        <v>7500</v>
      </c>
      <c r="K3600" s="49" t="s">
        <v>9751</v>
      </c>
      <c r="L3600" s="45"/>
      <c r="M3600" s="3"/>
    </row>
    <row r="3601" spans="1:13" ht="38.25" x14ac:dyDescent="0.25">
      <c r="A3601" s="46" t="s">
        <v>10040</v>
      </c>
      <c r="B3601" s="46" t="s">
        <v>11644</v>
      </c>
      <c r="C3601" s="46" t="s">
        <v>14</v>
      </c>
      <c r="D3601" s="47">
        <v>7235</v>
      </c>
      <c r="E3601" s="46" t="s">
        <v>10041</v>
      </c>
      <c r="F3601" s="48">
        <v>40233</v>
      </c>
      <c r="G3601" s="48">
        <v>40597</v>
      </c>
      <c r="H3601" s="46" t="s">
        <v>40</v>
      </c>
      <c r="I3601" s="45">
        <v>7500</v>
      </c>
      <c r="J3601" s="45">
        <v>7500</v>
      </c>
      <c r="K3601" s="49" t="s">
        <v>9751</v>
      </c>
      <c r="L3601" s="45"/>
      <c r="M3601" s="3"/>
    </row>
    <row r="3602" spans="1:13" ht="25.5" x14ac:dyDescent="0.25">
      <c r="A3602" s="46" t="s">
        <v>10042</v>
      </c>
      <c r="B3602" s="46" t="s">
        <v>11644</v>
      </c>
      <c r="C3602" s="46" t="s">
        <v>14</v>
      </c>
      <c r="D3602" s="47">
        <v>7236</v>
      </c>
      <c r="E3602" s="46" t="s">
        <v>10043</v>
      </c>
      <c r="F3602" s="48">
        <v>40233</v>
      </c>
      <c r="G3602" s="48">
        <v>40597</v>
      </c>
      <c r="H3602" s="46" t="s">
        <v>40</v>
      </c>
      <c r="I3602" s="45">
        <v>20000</v>
      </c>
      <c r="J3602" s="45">
        <v>20000</v>
      </c>
      <c r="K3602" s="49" t="s">
        <v>9751</v>
      </c>
      <c r="L3602" s="45"/>
      <c r="M3602" s="3"/>
    </row>
    <row r="3603" spans="1:13" ht="51" x14ac:dyDescent="0.25">
      <c r="A3603" s="46" t="s">
        <v>10044</v>
      </c>
      <c r="B3603" s="46" t="s">
        <v>11644</v>
      </c>
      <c r="C3603" s="46" t="s">
        <v>14</v>
      </c>
      <c r="D3603" s="47">
        <v>7237</v>
      </c>
      <c r="E3603" s="50" t="s">
        <v>10045</v>
      </c>
      <c r="F3603" s="48">
        <v>40359</v>
      </c>
      <c r="G3603" s="48">
        <v>40723</v>
      </c>
      <c r="H3603" s="46" t="s">
        <v>40</v>
      </c>
      <c r="I3603" s="45">
        <v>3750</v>
      </c>
      <c r="J3603" s="45">
        <v>3750</v>
      </c>
      <c r="K3603" s="49" t="s">
        <v>9751</v>
      </c>
      <c r="L3603" s="45"/>
      <c r="M3603" s="3"/>
    </row>
    <row r="3604" spans="1:13" ht="25.5" x14ac:dyDescent="0.25">
      <c r="A3604" s="46" t="s">
        <v>10046</v>
      </c>
      <c r="B3604" s="46" t="s">
        <v>11644</v>
      </c>
      <c r="C3604" s="46" t="s">
        <v>14</v>
      </c>
      <c r="D3604" s="47">
        <v>7238</v>
      </c>
      <c r="E3604" s="46" t="s">
        <v>10047</v>
      </c>
      <c r="F3604" s="48">
        <v>40233</v>
      </c>
      <c r="G3604" s="48">
        <v>40597</v>
      </c>
      <c r="H3604" s="46" t="s">
        <v>40</v>
      </c>
      <c r="I3604" s="45">
        <v>11250</v>
      </c>
      <c r="J3604" s="45">
        <v>11250</v>
      </c>
      <c r="K3604" s="49" t="s">
        <v>9751</v>
      </c>
      <c r="L3604" s="45"/>
      <c r="M3604" s="3"/>
    </row>
    <row r="3605" spans="1:13" ht="25.5" x14ac:dyDescent="0.25">
      <c r="A3605" s="46" t="s">
        <v>10052</v>
      </c>
      <c r="B3605" s="46" t="s">
        <v>11644</v>
      </c>
      <c r="C3605" s="46" t="s">
        <v>14</v>
      </c>
      <c r="D3605" s="47">
        <v>7241</v>
      </c>
      <c r="E3605" s="46" t="s">
        <v>10053</v>
      </c>
      <c r="F3605" s="48">
        <v>40359</v>
      </c>
      <c r="G3605" s="48">
        <v>40723</v>
      </c>
      <c r="H3605" s="46" t="s">
        <v>40</v>
      </c>
      <c r="I3605" s="45">
        <v>38893.64</v>
      </c>
      <c r="J3605" s="45">
        <v>26946.82</v>
      </c>
      <c r="K3605" s="49" t="s">
        <v>9751</v>
      </c>
      <c r="L3605" s="45"/>
      <c r="M3605" s="3"/>
    </row>
    <row r="3606" spans="1:13" ht="51" x14ac:dyDescent="0.25">
      <c r="A3606" s="46" t="s">
        <v>10058</v>
      </c>
      <c r="B3606" s="46" t="s">
        <v>11644</v>
      </c>
      <c r="C3606" s="46" t="s">
        <v>14</v>
      </c>
      <c r="D3606" s="47">
        <v>7244</v>
      </c>
      <c r="E3606" s="50" t="s">
        <v>10059</v>
      </c>
      <c r="F3606" s="48">
        <v>40359</v>
      </c>
      <c r="G3606" s="48">
        <v>40723</v>
      </c>
      <c r="H3606" s="46" t="s">
        <v>40</v>
      </c>
      <c r="I3606" s="45">
        <v>62410.8</v>
      </c>
      <c r="J3606" s="45">
        <v>38705.4</v>
      </c>
      <c r="K3606" s="49" t="s">
        <v>9751</v>
      </c>
      <c r="L3606" s="45"/>
      <c r="M3606" s="3"/>
    </row>
    <row r="3607" spans="1:13" ht="25.5" x14ac:dyDescent="0.25">
      <c r="A3607" s="46" t="s">
        <v>10060</v>
      </c>
      <c r="B3607" s="46" t="s">
        <v>11644</v>
      </c>
      <c r="C3607" s="46" t="s">
        <v>14</v>
      </c>
      <c r="D3607" s="47">
        <v>7245</v>
      </c>
      <c r="E3607" s="46" t="s">
        <v>10061</v>
      </c>
      <c r="F3607" s="48">
        <v>40233</v>
      </c>
      <c r="G3607" s="48">
        <v>40597</v>
      </c>
      <c r="H3607" s="46" t="s">
        <v>40</v>
      </c>
      <c r="I3607" s="45">
        <v>24940</v>
      </c>
      <c r="J3607" s="45">
        <v>12470</v>
      </c>
      <c r="K3607" s="49" t="s">
        <v>9751</v>
      </c>
      <c r="L3607" s="45"/>
      <c r="M3607" s="3"/>
    </row>
    <row r="3608" spans="1:13" ht="38.25" x14ac:dyDescent="0.25">
      <c r="A3608" s="46" t="s">
        <v>10062</v>
      </c>
      <c r="B3608" s="46" t="s">
        <v>11644</v>
      </c>
      <c r="C3608" s="46" t="s">
        <v>14</v>
      </c>
      <c r="D3608" s="47">
        <v>7246</v>
      </c>
      <c r="E3608" s="46" t="s">
        <v>10063</v>
      </c>
      <c r="F3608" s="48">
        <v>40359</v>
      </c>
      <c r="G3608" s="48">
        <v>40723</v>
      </c>
      <c r="H3608" s="46" t="s">
        <v>40</v>
      </c>
      <c r="I3608" s="45">
        <v>18750</v>
      </c>
      <c r="J3608" s="45">
        <v>18750</v>
      </c>
      <c r="K3608" s="49" t="s">
        <v>9751</v>
      </c>
      <c r="L3608" s="45"/>
      <c r="M3608" s="3"/>
    </row>
    <row r="3609" spans="1:13" ht="51" x14ac:dyDescent="0.25">
      <c r="A3609" s="46" t="s">
        <v>10064</v>
      </c>
      <c r="B3609" s="46" t="s">
        <v>11644</v>
      </c>
      <c r="C3609" s="46" t="s">
        <v>14</v>
      </c>
      <c r="D3609" s="47">
        <v>7247</v>
      </c>
      <c r="E3609" s="50" t="s">
        <v>10065</v>
      </c>
      <c r="F3609" s="48">
        <v>40492</v>
      </c>
      <c r="G3609" s="48">
        <v>40856</v>
      </c>
      <c r="H3609" s="46" t="s">
        <v>40</v>
      </c>
      <c r="I3609" s="45">
        <v>10000</v>
      </c>
      <c r="J3609" s="45">
        <v>10000</v>
      </c>
      <c r="K3609" s="49" t="s">
        <v>9751</v>
      </c>
      <c r="L3609" s="45"/>
      <c r="M3609" s="3"/>
    </row>
    <row r="3610" spans="1:13" ht="38.25" x14ac:dyDescent="0.25">
      <c r="A3610" s="46" t="s">
        <v>10066</v>
      </c>
      <c r="B3610" s="46" t="s">
        <v>11644</v>
      </c>
      <c r="C3610" s="46" t="s">
        <v>14</v>
      </c>
      <c r="D3610" s="47">
        <v>7248</v>
      </c>
      <c r="E3610" s="46" t="s">
        <v>10067</v>
      </c>
      <c r="F3610" s="48">
        <v>40492</v>
      </c>
      <c r="G3610" s="48">
        <v>40856</v>
      </c>
      <c r="H3610" s="46" t="s">
        <v>40</v>
      </c>
      <c r="I3610" s="45">
        <v>52754</v>
      </c>
      <c r="J3610" s="45">
        <v>29754</v>
      </c>
      <c r="K3610" s="49" t="s">
        <v>9751</v>
      </c>
      <c r="L3610" s="45"/>
      <c r="M3610" s="3"/>
    </row>
    <row r="3611" spans="1:13" x14ac:dyDescent="0.25">
      <c r="A3611" s="46" t="s">
        <v>10098</v>
      </c>
      <c r="B3611" s="46" t="s">
        <v>11644</v>
      </c>
      <c r="C3611" s="46" t="s">
        <v>14</v>
      </c>
      <c r="D3611" s="47">
        <v>8527</v>
      </c>
      <c r="E3611" s="46" t="s">
        <v>10099</v>
      </c>
      <c r="F3611" s="48">
        <v>40842</v>
      </c>
      <c r="G3611" s="48">
        <v>41208</v>
      </c>
      <c r="H3611" s="46" t="s">
        <v>40</v>
      </c>
      <c r="I3611" s="45">
        <v>9018.42</v>
      </c>
      <c r="J3611" s="45">
        <v>4509.21</v>
      </c>
      <c r="K3611" s="49" t="s">
        <v>9751</v>
      </c>
      <c r="L3611" s="45"/>
      <c r="M3611" s="3"/>
    </row>
    <row r="3612" spans="1:13" ht="25.5" x14ac:dyDescent="0.25">
      <c r="A3612" s="46" t="s">
        <v>10100</v>
      </c>
      <c r="B3612" s="46" t="s">
        <v>11644</v>
      </c>
      <c r="C3612" s="46" t="s">
        <v>14</v>
      </c>
      <c r="D3612" s="47">
        <v>8528</v>
      </c>
      <c r="E3612" s="46" t="s">
        <v>10101</v>
      </c>
      <c r="F3612" s="48">
        <v>40610</v>
      </c>
      <c r="G3612" s="48">
        <v>40976</v>
      </c>
      <c r="H3612" s="46" t="s">
        <v>40</v>
      </c>
      <c r="I3612" s="45">
        <v>26250</v>
      </c>
      <c r="J3612" s="45">
        <v>26250</v>
      </c>
      <c r="K3612" s="49" t="s">
        <v>9751</v>
      </c>
      <c r="L3612" s="45"/>
      <c r="M3612" s="3"/>
    </row>
    <row r="3613" spans="1:13" ht="38.25" x14ac:dyDescent="0.25">
      <c r="A3613" s="46" t="s">
        <v>10102</v>
      </c>
      <c r="B3613" s="46" t="s">
        <v>11644</v>
      </c>
      <c r="C3613" s="46" t="s">
        <v>14</v>
      </c>
      <c r="D3613" s="47">
        <v>8529</v>
      </c>
      <c r="E3613" s="46" t="s">
        <v>10103</v>
      </c>
      <c r="F3613" s="48">
        <v>40610</v>
      </c>
      <c r="G3613" s="48">
        <v>40976</v>
      </c>
      <c r="H3613" s="46" t="s">
        <v>40</v>
      </c>
      <c r="I3613" s="45">
        <v>16550.8</v>
      </c>
      <c r="J3613" s="45">
        <v>12025.4</v>
      </c>
      <c r="K3613" s="49" t="s">
        <v>9751</v>
      </c>
      <c r="L3613" s="45"/>
      <c r="M3613" s="3"/>
    </row>
    <row r="3614" spans="1:13" ht="51" x14ac:dyDescent="0.25">
      <c r="A3614" s="46" t="s">
        <v>10106</v>
      </c>
      <c r="B3614" s="46" t="s">
        <v>11644</v>
      </c>
      <c r="C3614" s="46" t="s">
        <v>14</v>
      </c>
      <c r="D3614" s="47">
        <v>8531</v>
      </c>
      <c r="E3614" s="50" t="s">
        <v>10107</v>
      </c>
      <c r="F3614" s="48">
        <v>40610</v>
      </c>
      <c r="G3614" s="48">
        <v>40976</v>
      </c>
      <c r="H3614" s="46" t="s">
        <v>40</v>
      </c>
      <c r="I3614" s="45">
        <v>43665.440000000002</v>
      </c>
      <c r="J3614" s="45">
        <v>29332.720000000001</v>
      </c>
      <c r="K3614" s="49" t="s">
        <v>9751</v>
      </c>
      <c r="L3614" s="45"/>
      <c r="M3614" s="3"/>
    </row>
    <row r="3615" spans="1:13" x14ac:dyDescent="0.25">
      <c r="A3615" s="46" t="s">
        <v>10108</v>
      </c>
      <c r="B3615" s="46" t="s">
        <v>11644</v>
      </c>
      <c r="C3615" s="46" t="s">
        <v>14</v>
      </c>
      <c r="D3615" s="47">
        <v>8532</v>
      </c>
      <c r="E3615" s="46" t="s">
        <v>10109</v>
      </c>
      <c r="F3615" s="48">
        <v>40443</v>
      </c>
      <c r="G3615" s="48">
        <v>40808</v>
      </c>
      <c r="H3615" s="46" t="s">
        <v>40</v>
      </c>
      <c r="I3615" s="45">
        <v>3750</v>
      </c>
      <c r="J3615" s="45">
        <v>3750</v>
      </c>
      <c r="K3615" s="49" t="s">
        <v>9751</v>
      </c>
      <c r="L3615" s="45"/>
      <c r="M3615" s="3"/>
    </row>
    <row r="3616" spans="1:13" ht="63.75" x14ac:dyDescent="0.25">
      <c r="A3616" s="46" t="s">
        <v>10110</v>
      </c>
      <c r="B3616" s="46" t="s">
        <v>11644</v>
      </c>
      <c r="C3616" s="46" t="s">
        <v>14</v>
      </c>
      <c r="D3616" s="47">
        <v>8533</v>
      </c>
      <c r="E3616" s="50" t="s">
        <v>10111</v>
      </c>
      <c r="F3616" s="48">
        <v>40610</v>
      </c>
      <c r="G3616" s="48">
        <v>40976</v>
      </c>
      <c r="H3616" s="46" t="s">
        <v>40</v>
      </c>
      <c r="I3616" s="45">
        <v>15000</v>
      </c>
      <c r="J3616" s="45">
        <v>15000</v>
      </c>
      <c r="K3616" s="49" t="s">
        <v>9751</v>
      </c>
      <c r="L3616" s="45"/>
      <c r="M3616" s="3"/>
    </row>
    <row r="3617" spans="1:13" x14ac:dyDescent="0.25">
      <c r="A3617" s="46" t="s">
        <v>10112</v>
      </c>
      <c r="B3617" s="46" t="s">
        <v>11644</v>
      </c>
      <c r="C3617" s="46" t="s">
        <v>14</v>
      </c>
      <c r="D3617" s="47">
        <v>8534</v>
      </c>
      <c r="E3617" s="46" t="s">
        <v>10113</v>
      </c>
      <c r="F3617" s="48">
        <v>40610</v>
      </c>
      <c r="G3617" s="48">
        <v>40976</v>
      </c>
      <c r="H3617" s="46" t="s">
        <v>40</v>
      </c>
      <c r="I3617" s="45">
        <v>10445.620000000001</v>
      </c>
      <c r="J3617" s="45">
        <v>5222.8100000000004</v>
      </c>
      <c r="K3617" s="49" t="s">
        <v>9751</v>
      </c>
      <c r="L3617" s="45"/>
      <c r="M3617" s="3"/>
    </row>
    <row r="3618" spans="1:13" ht="25.5" x14ac:dyDescent="0.25">
      <c r="A3618" s="46" t="s">
        <v>10128</v>
      </c>
      <c r="B3618" s="46" t="s">
        <v>11644</v>
      </c>
      <c r="C3618" s="46" t="s">
        <v>14</v>
      </c>
      <c r="D3618" s="47">
        <v>10328</v>
      </c>
      <c r="E3618" s="46" t="s">
        <v>10129</v>
      </c>
      <c r="F3618" s="48">
        <v>41087</v>
      </c>
      <c r="G3618" s="48">
        <v>41451</v>
      </c>
      <c r="H3618" s="46" t="s">
        <v>40</v>
      </c>
      <c r="I3618" s="45">
        <v>15000</v>
      </c>
      <c r="J3618" s="45">
        <v>7500</v>
      </c>
      <c r="K3618" s="49" t="s">
        <v>9751</v>
      </c>
      <c r="L3618" s="45"/>
      <c r="M3618" s="3"/>
    </row>
    <row r="3619" spans="1:13" ht="25.5" x14ac:dyDescent="0.25">
      <c r="A3619" s="46" t="s">
        <v>10130</v>
      </c>
      <c r="B3619" s="46" t="s">
        <v>11644</v>
      </c>
      <c r="C3619" s="46" t="s">
        <v>14</v>
      </c>
      <c r="D3619" s="47">
        <v>10329</v>
      </c>
      <c r="E3619" s="46" t="s">
        <v>10131</v>
      </c>
      <c r="F3619" s="48">
        <v>40737</v>
      </c>
      <c r="G3619" s="48">
        <v>41102</v>
      </c>
      <c r="H3619" s="46" t="s">
        <v>40</v>
      </c>
      <c r="I3619" s="45">
        <v>50375.360000000001</v>
      </c>
      <c r="J3619" s="45">
        <v>28937.68</v>
      </c>
      <c r="K3619" s="49" t="s">
        <v>9751</v>
      </c>
      <c r="L3619" s="45"/>
      <c r="M3619" s="3"/>
    </row>
    <row r="3620" spans="1:13" ht="38.25" x14ac:dyDescent="0.25">
      <c r="A3620" s="46" t="s">
        <v>10132</v>
      </c>
      <c r="B3620" s="46" t="s">
        <v>11644</v>
      </c>
      <c r="C3620" s="46" t="s">
        <v>14</v>
      </c>
      <c r="D3620" s="47">
        <v>10330</v>
      </c>
      <c r="E3620" s="46" t="s">
        <v>10133</v>
      </c>
      <c r="F3620" s="48">
        <v>40961</v>
      </c>
      <c r="G3620" s="48">
        <v>41326</v>
      </c>
      <c r="H3620" s="46" t="s">
        <v>40</v>
      </c>
      <c r="I3620" s="45">
        <f>51191.66+3750</f>
        <v>54941.66</v>
      </c>
      <c r="J3620" s="45">
        <f>29345.83+3750</f>
        <v>33095.83</v>
      </c>
      <c r="K3620" s="49" t="s">
        <v>9751</v>
      </c>
      <c r="L3620" s="45"/>
      <c r="M3620" s="3"/>
    </row>
    <row r="3621" spans="1:13" ht="38.25" x14ac:dyDescent="0.25">
      <c r="A3621" s="46" t="s">
        <v>10134</v>
      </c>
      <c r="B3621" s="46" t="s">
        <v>11644</v>
      </c>
      <c r="C3621" s="46" t="s">
        <v>14</v>
      </c>
      <c r="D3621" s="47">
        <v>10331</v>
      </c>
      <c r="E3621" s="46" t="s">
        <v>10135</v>
      </c>
      <c r="F3621" s="48">
        <v>40961</v>
      </c>
      <c r="G3621" s="48">
        <v>41326</v>
      </c>
      <c r="H3621" s="46" t="s">
        <v>40</v>
      </c>
      <c r="I3621" s="45">
        <v>11700</v>
      </c>
      <c r="J3621" s="45">
        <v>9600</v>
      </c>
      <c r="K3621" s="49" t="s">
        <v>9751</v>
      </c>
      <c r="L3621" s="45"/>
      <c r="M3621" s="3"/>
    </row>
    <row r="3622" spans="1:13" ht="51" x14ac:dyDescent="0.25">
      <c r="A3622" s="46" t="s">
        <v>10136</v>
      </c>
      <c r="B3622" s="46" t="s">
        <v>11644</v>
      </c>
      <c r="C3622" s="46" t="s">
        <v>14</v>
      </c>
      <c r="D3622" s="47">
        <v>10332</v>
      </c>
      <c r="E3622" s="50" t="s">
        <v>10137</v>
      </c>
      <c r="F3622" s="48">
        <v>41087</v>
      </c>
      <c r="G3622" s="48">
        <v>41451</v>
      </c>
      <c r="H3622" s="46" t="s">
        <v>40</v>
      </c>
      <c r="I3622" s="45">
        <f>13625+3750</f>
        <v>17375</v>
      </c>
      <c r="J3622" s="45">
        <f>6812.5+3750</f>
        <v>10562.5</v>
      </c>
      <c r="K3622" s="49" t="s">
        <v>9751</v>
      </c>
      <c r="L3622" s="45"/>
      <c r="M3622" s="3"/>
    </row>
    <row r="3623" spans="1:13" ht="38.25" x14ac:dyDescent="0.25">
      <c r="A3623" s="46" t="s">
        <v>10138</v>
      </c>
      <c r="B3623" s="46" t="s">
        <v>11644</v>
      </c>
      <c r="C3623" s="46" t="s">
        <v>14</v>
      </c>
      <c r="D3623" s="47">
        <v>10333</v>
      </c>
      <c r="E3623" s="50" t="s">
        <v>10139</v>
      </c>
      <c r="F3623" s="48">
        <v>41024</v>
      </c>
      <c r="G3623" s="48">
        <v>41388</v>
      </c>
      <c r="H3623" s="46" t="s">
        <v>40</v>
      </c>
      <c r="I3623" s="45">
        <v>7500</v>
      </c>
      <c r="J3623" s="45">
        <v>7500</v>
      </c>
      <c r="K3623" s="49" t="s">
        <v>9751</v>
      </c>
      <c r="L3623" s="45"/>
      <c r="M3623" s="3"/>
    </row>
    <row r="3624" spans="1:13" ht="38.25" x14ac:dyDescent="0.25">
      <c r="A3624" s="46" t="s">
        <v>10146</v>
      </c>
      <c r="B3624" s="46" t="s">
        <v>11644</v>
      </c>
      <c r="C3624" s="46" t="s">
        <v>14</v>
      </c>
      <c r="D3624" s="47">
        <v>10337</v>
      </c>
      <c r="E3624" s="46" t="s">
        <v>10147</v>
      </c>
      <c r="F3624" s="48">
        <v>41087</v>
      </c>
      <c r="G3624" s="48">
        <v>41451</v>
      </c>
      <c r="H3624" s="46" t="s">
        <v>40</v>
      </c>
      <c r="I3624" s="45">
        <f>15345.46+3750</f>
        <v>19095.46</v>
      </c>
      <c r="J3624" s="45">
        <f>7672.73+3750</f>
        <v>11422.73</v>
      </c>
      <c r="K3624" s="49" t="s">
        <v>9751</v>
      </c>
      <c r="L3624" s="45"/>
      <c r="M3624" s="3"/>
    </row>
    <row r="3625" spans="1:13" ht="25.5" x14ac:dyDescent="0.25">
      <c r="A3625" s="46" t="s">
        <v>10148</v>
      </c>
      <c r="B3625" s="46" t="s">
        <v>11644</v>
      </c>
      <c r="C3625" s="46" t="s">
        <v>14</v>
      </c>
      <c r="D3625" s="47">
        <v>10338</v>
      </c>
      <c r="E3625" s="46" t="s">
        <v>10149</v>
      </c>
      <c r="F3625" s="48">
        <v>41087</v>
      </c>
      <c r="G3625" s="48">
        <v>41451</v>
      </c>
      <c r="H3625" s="46" t="s">
        <v>40</v>
      </c>
      <c r="I3625" s="45">
        <v>16654.240000000002</v>
      </c>
      <c r="J3625" s="45">
        <v>12077.12</v>
      </c>
      <c r="K3625" s="49" t="s">
        <v>9751</v>
      </c>
      <c r="L3625" s="45"/>
      <c r="M3625" s="3"/>
    </row>
    <row r="3626" spans="1:13" x14ac:dyDescent="0.25">
      <c r="A3626" s="46" t="s">
        <v>10154</v>
      </c>
      <c r="B3626" s="46" t="s">
        <v>11644</v>
      </c>
      <c r="C3626" s="46" t="s">
        <v>14</v>
      </c>
      <c r="D3626" s="47">
        <v>10341</v>
      </c>
      <c r="E3626" s="46" t="s">
        <v>10155</v>
      </c>
      <c r="F3626" s="48">
        <v>41157</v>
      </c>
      <c r="G3626" s="48">
        <v>41521</v>
      </c>
      <c r="H3626" s="46" t="s">
        <v>40</v>
      </c>
      <c r="I3626" s="45">
        <v>26090.98</v>
      </c>
      <c r="J3626" s="45">
        <v>20545.490000000002</v>
      </c>
      <c r="K3626" s="49" t="s">
        <v>9751</v>
      </c>
      <c r="L3626" s="45"/>
      <c r="M3626" s="3"/>
    </row>
    <row r="3627" spans="1:13" ht="51" x14ac:dyDescent="0.25">
      <c r="A3627" s="46" t="s">
        <v>10156</v>
      </c>
      <c r="B3627" s="46" t="s">
        <v>11644</v>
      </c>
      <c r="C3627" s="46" t="s">
        <v>14</v>
      </c>
      <c r="D3627" s="47">
        <v>10342</v>
      </c>
      <c r="E3627" s="50" t="s">
        <v>10157</v>
      </c>
      <c r="F3627" s="48">
        <v>41157</v>
      </c>
      <c r="G3627" s="48">
        <v>41521</v>
      </c>
      <c r="H3627" s="46" t="s">
        <v>40</v>
      </c>
      <c r="I3627" s="45">
        <f>15000+7500</f>
        <v>22500</v>
      </c>
      <c r="J3627" s="45">
        <f>7500+7500</f>
        <v>15000</v>
      </c>
      <c r="K3627" s="49" t="s">
        <v>9751</v>
      </c>
      <c r="L3627" s="45"/>
      <c r="M3627" s="3"/>
    </row>
    <row r="3628" spans="1:13" ht="25.5" x14ac:dyDescent="0.25">
      <c r="A3628" s="46" t="s">
        <v>10158</v>
      </c>
      <c r="B3628" s="46" t="s">
        <v>11644</v>
      </c>
      <c r="C3628" s="46" t="s">
        <v>14</v>
      </c>
      <c r="D3628" s="47">
        <v>10343</v>
      </c>
      <c r="E3628" s="46" t="s">
        <v>10159</v>
      </c>
      <c r="F3628" s="48">
        <v>41024</v>
      </c>
      <c r="G3628" s="48">
        <v>41388</v>
      </c>
      <c r="H3628" s="46" t="s">
        <v>40</v>
      </c>
      <c r="I3628" s="45">
        <f>11714.84+3750</f>
        <v>15464.84</v>
      </c>
      <c r="J3628" s="45">
        <f>5857.42+3750</f>
        <v>9607.42</v>
      </c>
      <c r="K3628" s="49" t="s">
        <v>9751</v>
      </c>
      <c r="L3628" s="45"/>
      <c r="M3628" s="3"/>
    </row>
    <row r="3629" spans="1:13" ht="38.25" x14ac:dyDescent="0.25">
      <c r="A3629" s="46" t="s">
        <v>10166</v>
      </c>
      <c r="B3629" s="46" t="s">
        <v>11644</v>
      </c>
      <c r="C3629" s="46" t="s">
        <v>14</v>
      </c>
      <c r="D3629" s="47">
        <v>10347</v>
      </c>
      <c r="E3629" s="50" t="s">
        <v>10167</v>
      </c>
      <c r="F3629" s="48">
        <v>41024</v>
      </c>
      <c r="G3629" s="48">
        <v>41388</v>
      </c>
      <c r="H3629" s="46" t="s">
        <v>40</v>
      </c>
      <c r="I3629" s="45">
        <f>28589.4+9375</f>
        <v>37964.400000000001</v>
      </c>
      <c r="J3629" s="45">
        <f>14294.7+9375</f>
        <v>23669.7</v>
      </c>
      <c r="K3629" s="49" t="s">
        <v>9751</v>
      </c>
      <c r="L3629" s="45"/>
      <c r="M3629" s="3"/>
    </row>
    <row r="3630" spans="1:13" ht="25.5" x14ac:dyDescent="0.25">
      <c r="A3630" s="46" t="s">
        <v>10191</v>
      </c>
      <c r="B3630" s="46" t="s">
        <v>11645</v>
      </c>
      <c r="C3630" s="46" t="s">
        <v>14</v>
      </c>
      <c r="D3630" s="47">
        <v>12475</v>
      </c>
      <c r="E3630" s="46" t="s">
        <v>10193</v>
      </c>
      <c r="F3630" s="48">
        <v>41470</v>
      </c>
      <c r="G3630" s="46"/>
      <c r="H3630" s="46" t="s">
        <v>651</v>
      </c>
      <c r="I3630" s="45">
        <v>2000</v>
      </c>
      <c r="J3630" s="45">
        <v>2000</v>
      </c>
      <c r="K3630" s="49" t="s">
        <v>17</v>
      </c>
      <c r="L3630" s="46"/>
    </row>
    <row r="3631" spans="1:13" x14ac:dyDescent="0.25">
      <c r="A3631" s="46" t="s">
        <v>10199</v>
      </c>
      <c r="B3631" s="46" t="s">
        <v>11645</v>
      </c>
      <c r="C3631" s="46" t="s">
        <v>14</v>
      </c>
      <c r="D3631" s="47">
        <v>12580</v>
      </c>
      <c r="E3631" s="46" t="s">
        <v>10200</v>
      </c>
      <c r="F3631" s="48">
        <v>41340</v>
      </c>
      <c r="G3631" s="48">
        <v>41639</v>
      </c>
      <c r="H3631" s="46" t="s">
        <v>651</v>
      </c>
      <c r="I3631" s="45">
        <v>7500</v>
      </c>
      <c r="J3631" s="45">
        <v>7500</v>
      </c>
      <c r="K3631" s="49" t="s">
        <v>17</v>
      </c>
      <c r="L3631" s="46"/>
    </row>
    <row r="3632" spans="1:13" ht="25.5" x14ac:dyDescent="0.25">
      <c r="A3632" s="46" t="s">
        <v>10203</v>
      </c>
      <c r="B3632" s="46" t="s">
        <v>11645</v>
      </c>
      <c r="C3632" s="46" t="s">
        <v>14</v>
      </c>
      <c r="D3632" s="47">
        <v>12582</v>
      </c>
      <c r="E3632" s="46" t="s">
        <v>10204</v>
      </c>
      <c r="F3632" s="48">
        <v>41536</v>
      </c>
      <c r="G3632" s="48">
        <v>41639</v>
      </c>
      <c r="H3632" s="46" t="s">
        <v>651</v>
      </c>
      <c r="I3632" s="45">
        <v>375</v>
      </c>
      <c r="J3632" s="45">
        <v>375</v>
      </c>
      <c r="K3632" s="49" t="s">
        <v>17</v>
      </c>
      <c r="L3632" s="46"/>
    </row>
    <row r="3633" spans="1:12" ht="38.25" x14ac:dyDescent="0.25">
      <c r="A3633" s="46" t="s">
        <v>10207</v>
      </c>
      <c r="B3633" s="46" t="s">
        <v>11645</v>
      </c>
      <c r="C3633" s="46" t="s">
        <v>14</v>
      </c>
      <c r="D3633" s="47">
        <v>12584</v>
      </c>
      <c r="E3633" s="46" t="s">
        <v>10208</v>
      </c>
      <c r="F3633" s="48">
        <v>41340</v>
      </c>
      <c r="G3633" s="48">
        <v>41639</v>
      </c>
      <c r="H3633" s="46" t="s">
        <v>651</v>
      </c>
      <c r="I3633" s="45">
        <v>5000</v>
      </c>
      <c r="J3633" s="45">
        <v>5000</v>
      </c>
      <c r="K3633" s="49" t="s">
        <v>17</v>
      </c>
      <c r="L3633" s="46"/>
    </row>
    <row r="3634" spans="1:12" x14ac:dyDescent="0.25">
      <c r="A3634" s="46" t="s">
        <v>10209</v>
      </c>
      <c r="B3634" s="46" t="s">
        <v>11645</v>
      </c>
      <c r="C3634" s="46" t="s">
        <v>14</v>
      </c>
      <c r="D3634" s="47">
        <v>12586</v>
      </c>
      <c r="E3634" s="46" t="s">
        <v>10210</v>
      </c>
      <c r="F3634" s="48">
        <v>41193</v>
      </c>
      <c r="G3634" s="48">
        <v>41639</v>
      </c>
      <c r="H3634" s="46" t="s">
        <v>651</v>
      </c>
      <c r="I3634" s="45">
        <v>7500</v>
      </c>
      <c r="J3634" s="45">
        <v>7500</v>
      </c>
      <c r="K3634" s="49" t="s">
        <v>17</v>
      </c>
      <c r="L3634" s="46"/>
    </row>
    <row r="3635" spans="1:12" ht="25.5" x14ac:dyDescent="0.25">
      <c r="A3635" s="46" t="s">
        <v>10211</v>
      </c>
      <c r="B3635" s="46" t="s">
        <v>11645</v>
      </c>
      <c r="C3635" s="46" t="s">
        <v>14</v>
      </c>
      <c r="D3635" s="47">
        <v>12591</v>
      </c>
      <c r="E3635" s="46" t="s">
        <v>10212</v>
      </c>
      <c r="F3635" s="48">
        <v>41456</v>
      </c>
      <c r="G3635" s="46"/>
      <c r="H3635" s="46" t="s">
        <v>651</v>
      </c>
      <c r="I3635" s="45">
        <v>10500</v>
      </c>
      <c r="J3635" s="45">
        <v>10500</v>
      </c>
      <c r="K3635" s="49" t="s">
        <v>17</v>
      </c>
      <c r="L3635" s="46"/>
    </row>
    <row r="3636" spans="1:12" ht="25.5" x14ac:dyDescent="0.25">
      <c r="A3636" s="46" t="s">
        <v>10213</v>
      </c>
      <c r="B3636" s="46" t="s">
        <v>11645</v>
      </c>
      <c r="C3636" s="46" t="s">
        <v>14</v>
      </c>
      <c r="D3636" s="47">
        <v>12215</v>
      </c>
      <c r="E3636" s="46" t="s">
        <v>10214</v>
      </c>
      <c r="F3636" s="48">
        <v>41437</v>
      </c>
      <c r="G3636" s="48">
        <v>41639</v>
      </c>
      <c r="H3636" s="46" t="s">
        <v>651</v>
      </c>
      <c r="I3636" s="45">
        <v>1302</v>
      </c>
      <c r="J3636" s="45">
        <v>651</v>
      </c>
      <c r="K3636" s="49" t="s">
        <v>356</v>
      </c>
      <c r="L3636" s="46"/>
    </row>
    <row r="3637" spans="1:12" ht="25.5" x14ac:dyDescent="0.25">
      <c r="A3637" s="46" t="s">
        <v>10215</v>
      </c>
      <c r="B3637" s="46" t="s">
        <v>11645</v>
      </c>
      <c r="C3637" s="46" t="s">
        <v>14</v>
      </c>
      <c r="D3637" s="47">
        <v>12217</v>
      </c>
      <c r="E3637" s="46" t="s">
        <v>10216</v>
      </c>
      <c r="F3637" s="48">
        <v>41388</v>
      </c>
      <c r="G3637" s="48">
        <v>41639</v>
      </c>
      <c r="H3637" s="46" t="s">
        <v>651</v>
      </c>
      <c r="I3637" s="45">
        <v>6034</v>
      </c>
      <c r="J3637" s="45">
        <v>3017</v>
      </c>
      <c r="K3637" s="49" t="s">
        <v>356</v>
      </c>
      <c r="L3637" s="46"/>
    </row>
    <row r="3638" spans="1:12" ht="25.5" x14ac:dyDescent="0.25">
      <c r="A3638" s="46" t="s">
        <v>10222</v>
      </c>
      <c r="B3638" s="46" t="s">
        <v>11645</v>
      </c>
      <c r="C3638" s="46" t="s">
        <v>14</v>
      </c>
      <c r="D3638" s="47">
        <v>12225</v>
      </c>
      <c r="E3638" s="46" t="s">
        <v>10223</v>
      </c>
      <c r="F3638" s="48">
        <v>41388</v>
      </c>
      <c r="G3638" s="48">
        <v>41639</v>
      </c>
      <c r="H3638" s="46" t="s">
        <v>651</v>
      </c>
      <c r="I3638" s="45">
        <v>50000</v>
      </c>
      <c r="J3638" s="45">
        <v>50000</v>
      </c>
      <c r="K3638" s="49" t="s">
        <v>356</v>
      </c>
      <c r="L3638" s="46"/>
    </row>
    <row r="3639" spans="1:12" ht="25.5" x14ac:dyDescent="0.25">
      <c r="A3639" s="46" t="s">
        <v>10230</v>
      </c>
      <c r="B3639" s="46" t="s">
        <v>11645</v>
      </c>
      <c r="C3639" s="46" t="s">
        <v>14</v>
      </c>
      <c r="D3639" s="47">
        <v>12230</v>
      </c>
      <c r="E3639" s="46" t="s">
        <v>10231</v>
      </c>
      <c r="F3639" s="48">
        <v>41275</v>
      </c>
      <c r="G3639" s="48">
        <v>41639</v>
      </c>
      <c r="H3639" s="46" t="s">
        <v>651</v>
      </c>
      <c r="I3639" s="45">
        <v>10000</v>
      </c>
      <c r="J3639" s="45">
        <v>5000</v>
      </c>
      <c r="K3639" s="49" t="s">
        <v>356</v>
      </c>
      <c r="L3639" s="46"/>
    </row>
    <row r="3640" spans="1:12" x14ac:dyDescent="0.25">
      <c r="A3640" s="46" t="s">
        <v>10232</v>
      </c>
      <c r="B3640" s="46" t="s">
        <v>11645</v>
      </c>
      <c r="C3640" s="46" t="s">
        <v>14</v>
      </c>
      <c r="D3640" s="47">
        <v>12231</v>
      </c>
      <c r="E3640" s="46" t="s">
        <v>10233</v>
      </c>
      <c r="F3640" s="48">
        <v>41275</v>
      </c>
      <c r="G3640" s="48">
        <v>41639</v>
      </c>
      <c r="H3640" s="46" t="s">
        <v>651</v>
      </c>
      <c r="I3640" s="45">
        <v>10000</v>
      </c>
      <c r="J3640" s="45">
        <v>5000</v>
      </c>
      <c r="K3640" s="49" t="s">
        <v>356</v>
      </c>
      <c r="L3640" s="46"/>
    </row>
    <row r="3641" spans="1:12" x14ac:dyDescent="0.25">
      <c r="A3641" s="46" t="s">
        <v>10234</v>
      </c>
      <c r="B3641" s="46" t="s">
        <v>11645</v>
      </c>
      <c r="C3641" s="46" t="s">
        <v>14</v>
      </c>
      <c r="D3641" s="47">
        <v>12232</v>
      </c>
      <c r="E3641" s="46" t="s">
        <v>10235</v>
      </c>
      <c r="F3641" s="48">
        <v>41388</v>
      </c>
      <c r="G3641" s="48">
        <v>41639</v>
      </c>
      <c r="H3641" s="46" t="s">
        <v>651</v>
      </c>
      <c r="I3641" s="45">
        <v>4526</v>
      </c>
      <c r="J3641" s="45">
        <v>2263</v>
      </c>
      <c r="K3641" s="49" t="s">
        <v>356</v>
      </c>
      <c r="L3641" s="46"/>
    </row>
    <row r="3642" spans="1:12" x14ac:dyDescent="0.25">
      <c r="A3642" s="46" t="s">
        <v>10236</v>
      </c>
      <c r="B3642" s="46" t="s">
        <v>11645</v>
      </c>
      <c r="C3642" s="46" t="s">
        <v>14</v>
      </c>
      <c r="D3642" s="47">
        <v>12233</v>
      </c>
      <c r="E3642" s="46" t="s">
        <v>10237</v>
      </c>
      <c r="F3642" s="48">
        <v>41528</v>
      </c>
      <c r="G3642" s="48">
        <v>41639</v>
      </c>
      <c r="H3642" s="46" t="s">
        <v>651</v>
      </c>
      <c r="I3642" s="45">
        <v>15000</v>
      </c>
      <c r="J3642" s="45">
        <v>15000</v>
      </c>
      <c r="K3642" s="49" t="s">
        <v>356</v>
      </c>
      <c r="L3642" s="46"/>
    </row>
    <row r="3643" spans="1:12" x14ac:dyDescent="0.25">
      <c r="A3643" s="46" t="s">
        <v>10238</v>
      </c>
      <c r="B3643" s="46" t="s">
        <v>11645</v>
      </c>
      <c r="C3643" s="46" t="s">
        <v>14</v>
      </c>
      <c r="D3643" s="47">
        <v>12234</v>
      </c>
      <c r="E3643" s="46" t="s">
        <v>10239</v>
      </c>
      <c r="F3643" s="48">
        <v>41437</v>
      </c>
      <c r="G3643" s="48">
        <v>41639</v>
      </c>
      <c r="H3643" s="46" t="s">
        <v>651</v>
      </c>
      <c r="I3643" s="45">
        <v>59296</v>
      </c>
      <c r="J3643" s="45">
        <v>31648</v>
      </c>
      <c r="K3643" s="49" t="s">
        <v>356</v>
      </c>
      <c r="L3643" s="46"/>
    </row>
    <row r="3644" spans="1:12" x14ac:dyDescent="0.25">
      <c r="A3644" s="46" t="s">
        <v>10244</v>
      </c>
      <c r="B3644" s="46" t="s">
        <v>11645</v>
      </c>
      <c r="C3644" s="46" t="s">
        <v>14</v>
      </c>
      <c r="D3644" s="47">
        <v>12237</v>
      </c>
      <c r="E3644" s="46" t="s">
        <v>10245</v>
      </c>
      <c r="F3644" s="48">
        <v>41275</v>
      </c>
      <c r="G3644" s="48">
        <v>41639</v>
      </c>
      <c r="H3644" s="46" t="s">
        <v>651</v>
      </c>
      <c r="I3644" s="45">
        <v>1532</v>
      </c>
      <c r="J3644" s="45">
        <v>766</v>
      </c>
      <c r="K3644" s="49" t="s">
        <v>356</v>
      </c>
      <c r="L3644" s="46"/>
    </row>
    <row r="3645" spans="1:12" x14ac:dyDescent="0.25">
      <c r="A3645" s="46" t="s">
        <v>10246</v>
      </c>
      <c r="B3645" s="46" t="s">
        <v>11645</v>
      </c>
      <c r="C3645" s="46" t="s">
        <v>14</v>
      </c>
      <c r="D3645" s="47">
        <v>12238</v>
      </c>
      <c r="E3645" s="46" t="s">
        <v>10247</v>
      </c>
      <c r="F3645" s="48">
        <v>41275</v>
      </c>
      <c r="G3645" s="48">
        <v>41639</v>
      </c>
      <c r="H3645" s="46" t="s">
        <v>651</v>
      </c>
      <c r="I3645" s="45">
        <v>13558</v>
      </c>
      <c r="J3645" s="45">
        <v>6779</v>
      </c>
      <c r="K3645" s="49" t="s">
        <v>356</v>
      </c>
      <c r="L3645" s="46"/>
    </row>
    <row r="3646" spans="1:12" ht="38.25" x14ac:dyDescent="0.25">
      <c r="A3646" s="46" t="s">
        <v>10248</v>
      </c>
      <c r="B3646" s="46" t="s">
        <v>11645</v>
      </c>
      <c r="C3646" s="46" t="s">
        <v>14</v>
      </c>
      <c r="D3646" s="47">
        <v>12241</v>
      </c>
      <c r="E3646" s="46" t="s">
        <v>10249</v>
      </c>
      <c r="F3646" s="48">
        <v>41275</v>
      </c>
      <c r="G3646" s="48">
        <v>41639</v>
      </c>
      <c r="H3646" s="46" t="s">
        <v>651</v>
      </c>
      <c r="I3646" s="45">
        <v>3616</v>
      </c>
      <c r="J3646" s="45">
        <v>1808</v>
      </c>
      <c r="K3646" s="49" t="s">
        <v>356</v>
      </c>
      <c r="L3646" s="46"/>
    </row>
    <row r="3647" spans="1:12" ht="25.5" x14ac:dyDescent="0.25">
      <c r="A3647" s="46" t="s">
        <v>10250</v>
      </c>
      <c r="B3647" s="46" t="s">
        <v>11645</v>
      </c>
      <c r="C3647" s="46" t="s">
        <v>14</v>
      </c>
      <c r="D3647" s="47">
        <v>12242</v>
      </c>
      <c r="E3647" s="46" t="s">
        <v>10251</v>
      </c>
      <c r="F3647" s="48">
        <v>41528</v>
      </c>
      <c r="G3647" s="48">
        <v>41639</v>
      </c>
      <c r="H3647" s="46" t="s">
        <v>651</v>
      </c>
      <c r="I3647" s="45">
        <v>8742</v>
      </c>
      <c r="J3647" s="45">
        <v>4371</v>
      </c>
      <c r="K3647" s="49" t="s">
        <v>356</v>
      </c>
      <c r="L3647" s="46"/>
    </row>
    <row r="3648" spans="1:12" x14ac:dyDescent="0.25">
      <c r="A3648" s="46" t="s">
        <v>10252</v>
      </c>
      <c r="B3648" s="46" t="s">
        <v>11645</v>
      </c>
      <c r="C3648" s="46" t="s">
        <v>14</v>
      </c>
      <c r="D3648" s="47">
        <v>12243</v>
      </c>
      <c r="E3648" s="46" t="s">
        <v>10253</v>
      </c>
      <c r="F3648" s="48">
        <v>41220</v>
      </c>
      <c r="G3648" s="48">
        <v>41639</v>
      </c>
      <c r="H3648" s="46" t="s">
        <v>651</v>
      </c>
      <c r="I3648" s="45">
        <v>10450</v>
      </c>
      <c r="J3648" s="45">
        <v>5225</v>
      </c>
      <c r="K3648" s="49" t="s">
        <v>356</v>
      </c>
      <c r="L3648" s="46"/>
    </row>
    <row r="3649" spans="1:60" x14ac:dyDescent="0.25">
      <c r="A3649" s="46" t="s">
        <v>10256</v>
      </c>
      <c r="B3649" s="46" t="s">
        <v>11645</v>
      </c>
      <c r="C3649" s="46" t="s">
        <v>14</v>
      </c>
      <c r="D3649" s="47">
        <v>12245</v>
      </c>
      <c r="E3649" s="46" t="s">
        <v>10257</v>
      </c>
      <c r="F3649" s="48">
        <v>41164</v>
      </c>
      <c r="G3649" s="48">
        <v>41639</v>
      </c>
      <c r="H3649" s="46" t="s">
        <v>651</v>
      </c>
      <c r="I3649" s="45">
        <v>8306</v>
      </c>
      <c r="J3649" s="45">
        <v>4153</v>
      </c>
      <c r="K3649" s="49" t="s">
        <v>356</v>
      </c>
      <c r="L3649" s="46"/>
    </row>
    <row r="3650" spans="1:60" x14ac:dyDescent="0.25">
      <c r="A3650" s="46" t="s">
        <v>10258</v>
      </c>
      <c r="B3650" s="46" t="s">
        <v>11645</v>
      </c>
      <c r="C3650" s="46" t="s">
        <v>14</v>
      </c>
      <c r="D3650" s="47">
        <v>12246</v>
      </c>
      <c r="E3650" s="46" t="s">
        <v>10259</v>
      </c>
      <c r="F3650" s="48">
        <v>41339</v>
      </c>
      <c r="G3650" s="48">
        <v>41639</v>
      </c>
      <c r="H3650" s="46" t="s">
        <v>651</v>
      </c>
      <c r="I3650" s="45">
        <v>4380</v>
      </c>
      <c r="J3650" s="45">
        <v>2190</v>
      </c>
      <c r="K3650" s="49" t="s">
        <v>356</v>
      </c>
      <c r="L3650" s="46"/>
    </row>
    <row r="3651" spans="1:60" ht="63.75" x14ac:dyDescent="0.25">
      <c r="A3651" s="46" t="s">
        <v>10356</v>
      </c>
      <c r="B3651" s="46" t="s">
        <v>11645</v>
      </c>
      <c r="C3651" s="46" t="s">
        <v>14</v>
      </c>
      <c r="D3651" s="47">
        <v>12108</v>
      </c>
      <c r="E3651" s="46" t="s">
        <v>10357</v>
      </c>
      <c r="F3651" s="48">
        <v>41323</v>
      </c>
      <c r="G3651" s="48">
        <v>41639</v>
      </c>
      <c r="H3651" s="46" t="s">
        <v>651</v>
      </c>
      <c r="I3651" s="45">
        <v>37870</v>
      </c>
      <c r="J3651" s="45">
        <v>37870</v>
      </c>
      <c r="K3651" s="49" t="s">
        <v>790</v>
      </c>
      <c r="L3651" s="46"/>
    </row>
    <row r="3652" spans="1:60" ht="51" x14ac:dyDescent="0.25">
      <c r="A3652" s="46" t="s">
        <v>10358</v>
      </c>
      <c r="B3652" s="46" t="s">
        <v>11645</v>
      </c>
      <c r="C3652" s="46" t="s">
        <v>14</v>
      </c>
      <c r="D3652" s="47">
        <v>12109</v>
      </c>
      <c r="E3652" s="46" t="s">
        <v>10359</v>
      </c>
      <c r="F3652" s="48">
        <v>41576</v>
      </c>
      <c r="G3652" s="46"/>
      <c r="H3652" s="46" t="s">
        <v>651</v>
      </c>
      <c r="I3652" s="45">
        <v>8550</v>
      </c>
      <c r="J3652" s="45">
        <v>6150</v>
      </c>
      <c r="K3652" s="49" t="s">
        <v>790</v>
      </c>
      <c r="L3652" s="46"/>
    </row>
    <row r="3653" spans="1:60" ht="63.75" x14ac:dyDescent="0.25">
      <c r="A3653" s="46" t="s">
        <v>10362</v>
      </c>
      <c r="B3653" s="46" t="s">
        <v>11645</v>
      </c>
      <c r="C3653" s="46" t="s">
        <v>14</v>
      </c>
      <c r="D3653" s="47">
        <v>12111</v>
      </c>
      <c r="E3653" s="46" t="s">
        <v>10363</v>
      </c>
      <c r="F3653" s="48">
        <v>41576</v>
      </c>
      <c r="G3653" s="46"/>
      <c r="H3653" s="46" t="s">
        <v>651</v>
      </c>
      <c r="I3653" s="45">
        <v>5000</v>
      </c>
      <c r="J3653" s="45">
        <v>5000</v>
      </c>
      <c r="K3653" s="49" t="s">
        <v>790</v>
      </c>
      <c r="L3653" s="46"/>
    </row>
    <row r="3654" spans="1:60" s="21" customFormat="1" ht="51" x14ac:dyDescent="0.25">
      <c r="A3654" s="46" t="s">
        <v>10364</v>
      </c>
      <c r="B3654" s="46" t="s">
        <v>11645</v>
      </c>
      <c r="C3654" s="46" t="s">
        <v>14</v>
      </c>
      <c r="D3654" s="47">
        <v>12112</v>
      </c>
      <c r="E3654" s="46" t="s">
        <v>10365</v>
      </c>
      <c r="F3654" s="48">
        <v>41463</v>
      </c>
      <c r="G3654" s="48">
        <v>41639</v>
      </c>
      <c r="H3654" s="46" t="s">
        <v>651</v>
      </c>
      <c r="I3654" s="45">
        <v>27073</v>
      </c>
      <c r="J3654" s="45">
        <v>13536</v>
      </c>
      <c r="K3654" s="49" t="s">
        <v>790</v>
      </c>
      <c r="L3654" s="46"/>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c r="BF3654" s="4"/>
      <c r="BG3654" s="4"/>
      <c r="BH3654" s="4"/>
    </row>
    <row r="3655" spans="1:60" ht="38.25" x14ac:dyDescent="0.25">
      <c r="A3655" s="46" t="s">
        <v>10366</v>
      </c>
      <c r="B3655" s="46" t="s">
        <v>11645</v>
      </c>
      <c r="C3655" s="46" t="s">
        <v>14</v>
      </c>
      <c r="D3655" s="47">
        <v>12113</v>
      </c>
      <c r="E3655" s="46" t="s">
        <v>10367</v>
      </c>
      <c r="F3655" s="48">
        <v>41463</v>
      </c>
      <c r="G3655" s="46"/>
      <c r="H3655" s="46" t="s">
        <v>651</v>
      </c>
      <c r="I3655" s="45">
        <v>20635.11</v>
      </c>
      <c r="J3655" s="45">
        <v>10317.4</v>
      </c>
      <c r="K3655" s="49" t="s">
        <v>790</v>
      </c>
      <c r="L3655" s="46"/>
    </row>
    <row r="3656" spans="1:60" s="21" customFormat="1" x14ac:dyDescent="0.25">
      <c r="A3656" s="46" t="s">
        <v>10368</v>
      </c>
      <c r="B3656" s="46" t="s">
        <v>11645</v>
      </c>
      <c r="C3656" s="46" t="s">
        <v>14</v>
      </c>
      <c r="D3656" s="47">
        <v>12114</v>
      </c>
      <c r="E3656" s="46" t="s">
        <v>10369</v>
      </c>
      <c r="F3656" s="48">
        <v>41071</v>
      </c>
      <c r="G3656" s="48">
        <v>41639</v>
      </c>
      <c r="H3656" s="46" t="s">
        <v>651</v>
      </c>
      <c r="I3656" s="45">
        <v>20000</v>
      </c>
      <c r="J3656" s="45">
        <v>20000</v>
      </c>
      <c r="K3656" s="49" t="s">
        <v>790</v>
      </c>
      <c r="L3656" s="46"/>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c r="BF3656" s="4"/>
      <c r="BG3656" s="4"/>
      <c r="BH3656" s="4"/>
    </row>
    <row r="3657" spans="1:60" s="21" customFormat="1" ht="25.5" x14ac:dyDescent="0.25">
      <c r="A3657" s="46" t="s">
        <v>10371</v>
      </c>
      <c r="B3657" s="46" t="s">
        <v>11645</v>
      </c>
      <c r="C3657" s="46" t="s">
        <v>14</v>
      </c>
      <c r="D3657" s="47">
        <v>12117</v>
      </c>
      <c r="E3657" s="46" t="s">
        <v>10372</v>
      </c>
      <c r="F3657" s="48">
        <v>41477</v>
      </c>
      <c r="G3657" s="48">
        <v>41639</v>
      </c>
      <c r="H3657" s="46" t="s">
        <v>651</v>
      </c>
      <c r="I3657" s="45">
        <v>7500</v>
      </c>
      <c r="J3657" s="45">
        <v>7500</v>
      </c>
      <c r="K3657" s="49" t="s">
        <v>790</v>
      </c>
      <c r="L3657" s="46"/>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c r="BF3657" s="4"/>
      <c r="BG3657" s="4"/>
      <c r="BH3657" s="4"/>
    </row>
    <row r="3658" spans="1:60" s="21" customFormat="1" x14ac:dyDescent="0.25">
      <c r="A3658" s="46" t="s">
        <v>10373</v>
      </c>
      <c r="B3658" s="46" t="s">
        <v>11645</v>
      </c>
      <c r="C3658" s="46" t="s">
        <v>14</v>
      </c>
      <c r="D3658" s="47">
        <v>12118</v>
      </c>
      <c r="E3658" s="46" t="s">
        <v>10374</v>
      </c>
      <c r="F3658" s="48">
        <v>41477</v>
      </c>
      <c r="G3658" s="48">
        <v>41639</v>
      </c>
      <c r="H3658" s="46" t="s">
        <v>651</v>
      </c>
      <c r="I3658" s="45">
        <v>7951.92</v>
      </c>
      <c r="J3658" s="45">
        <v>3975.96</v>
      </c>
      <c r="K3658" s="49" t="s">
        <v>790</v>
      </c>
      <c r="L3658" s="46"/>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row>
    <row r="3659" spans="1:60" s="21" customFormat="1" ht="25.5" x14ac:dyDescent="0.25">
      <c r="A3659" s="46" t="s">
        <v>10375</v>
      </c>
      <c r="B3659" s="46" t="s">
        <v>11645</v>
      </c>
      <c r="C3659" s="46" t="s">
        <v>14</v>
      </c>
      <c r="D3659" s="47">
        <v>12119</v>
      </c>
      <c r="E3659" s="46" t="s">
        <v>10376</v>
      </c>
      <c r="F3659" s="48">
        <v>41071</v>
      </c>
      <c r="G3659" s="48">
        <v>41639</v>
      </c>
      <c r="H3659" s="46" t="s">
        <v>651</v>
      </c>
      <c r="I3659" s="45">
        <v>2366.84</v>
      </c>
      <c r="J3659" s="45">
        <v>1183.42</v>
      </c>
      <c r="K3659" s="49" t="s">
        <v>790</v>
      </c>
      <c r="L3659" s="46"/>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c r="BF3659" s="4"/>
      <c r="BG3659" s="4"/>
      <c r="BH3659" s="4"/>
    </row>
    <row r="3660" spans="1:60" s="21" customFormat="1" x14ac:dyDescent="0.25">
      <c r="A3660" s="46" t="s">
        <v>10377</v>
      </c>
      <c r="B3660" s="46" t="s">
        <v>11645</v>
      </c>
      <c r="C3660" s="46" t="s">
        <v>14</v>
      </c>
      <c r="D3660" s="47">
        <v>12120</v>
      </c>
      <c r="E3660" s="46" t="s">
        <v>10378</v>
      </c>
      <c r="F3660" s="48">
        <v>41596</v>
      </c>
      <c r="G3660" s="48">
        <v>41639</v>
      </c>
      <c r="H3660" s="46" t="s">
        <v>651</v>
      </c>
      <c r="I3660" s="45">
        <v>16650.060000000001</v>
      </c>
      <c r="J3660" s="45">
        <v>8325.0300000000007</v>
      </c>
      <c r="K3660" s="49" t="s">
        <v>790</v>
      </c>
      <c r="L3660" s="46"/>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c r="BF3660" s="4"/>
      <c r="BG3660" s="4"/>
      <c r="BH3660" s="4"/>
    </row>
    <row r="3661" spans="1:60" s="21" customFormat="1" ht="25.5" x14ac:dyDescent="0.25">
      <c r="A3661" s="46" t="s">
        <v>10379</v>
      </c>
      <c r="B3661" s="46" t="s">
        <v>11645</v>
      </c>
      <c r="C3661" s="46" t="s">
        <v>14</v>
      </c>
      <c r="D3661" s="47">
        <v>12123</v>
      </c>
      <c r="E3661" s="46" t="s">
        <v>10380</v>
      </c>
      <c r="F3661" s="48">
        <v>41477</v>
      </c>
      <c r="G3661" s="48">
        <v>41639</v>
      </c>
      <c r="H3661" s="46" t="s">
        <v>651</v>
      </c>
      <c r="I3661" s="45">
        <v>20000</v>
      </c>
      <c r="J3661" s="45">
        <v>10000</v>
      </c>
      <c r="K3661" s="49" t="s">
        <v>790</v>
      </c>
      <c r="L3661" s="46"/>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c r="AP3661" s="4"/>
      <c r="AQ3661" s="4"/>
      <c r="AR3661" s="4"/>
      <c r="AS3661" s="4"/>
      <c r="AT3661" s="4"/>
      <c r="AU3661" s="4"/>
      <c r="AV3661" s="4"/>
      <c r="AW3661" s="4"/>
      <c r="AX3661" s="4"/>
      <c r="AY3661" s="4"/>
      <c r="AZ3661" s="4"/>
      <c r="BA3661" s="4"/>
      <c r="BB3661" s="4"/>
      <c r="BC3661" s="4"/>
      <c r="BD3661" s="4"/>
      <c r="BE3661" s="4"/>
      <c r="BF3661" s="4"/>
      <c r="BG3661" s="4"/>
      <c r="BH3661" s="4"/>
    </row>
    <row r="3662" spans="1:60" s="21" customFormat="1" ht="25.5" x14ac:dyDescent="0.25">
      <c r="A3662" s="46" t="s">
        <v>10381</v>
      </c>
      <c r="B3662" s="46" t="s">
        <v>11645</v>
      </c>
      <c r="C3662" s="46" t="s">
        <v>14</v>
      </c>
      <c r="D3662" s="47">
        <v>12125</v>
      </c>
      <c r="E3662" s="46" t="s">
        <v>10382</v>
      </c>
      <c r="F3662" s="48">
        <v>41037</v>
      </c>
      <c r="G3662" s="48">
        <v>41639</v>
      </c>
      <c r="H3662" s="46" t="s">
        <v>651</v>
      </c>
      <c r="I3662" s="45">
        <v>21250</v>
      </c>
      <c r="J3662" s="45">
        <v>21250</v>
      </c>
      <c r="K3662" s="49" t="s">
        <v>790</v>
      </c>
      <c r="L3662" s="46"/>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c r="BF3662" s="4"/>
      <c r="BG3662" s="4"/>
      <c r="BH3662" s="4"/>
    </row>
    <row r="3663" spans="1:60" s="21" customFormat="1" ht="25.5" x14ac:dyDescent="0.25">
      <c r="A3663" s="46" t="s">
        <v>10383</v>
      </c>
      <c r="B3663" s="46" t="s">
        <v>11645</v>
      </c>
      <c r="C3663" s="46" t="s">
        <v>14</v>
      </c>
      <c r="D3663" s="47">
        <v>12126</v>
      </c>
      <c r="E3663" s="46" t="s">
        <v>10384</v>
      </c>
      <c r="F3663" s="48">
        <v>41071</v>
      </c>
      <c r="G3663" s="48">
        <v>41639</v>
      </c>
      <c r="H3663" s="46" t="s">
        <v>651</v>
      </c>
      <c r="I3663" s="45">
        <v>31000</v>
      </c>
      <c r="J3663" s="45">
        <v>15500</v>
      </c>
      <c r="K3663" s="49" t="s">
        <v>790</v>
      </c>
      <c r="L3663" s="46"/>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4"/>
      <c r="AN3663" s="4"/>
      <c r="AO3663" s="4"/>
      <c r="AP3663" s="4"/>
      <c r="AQ3663" s="4"/>
      <c r="AR3663" s="4"/>
      <c r="AS3663" s="4"/>
      <c r="AT3663" s="4"/>
      <c r="AU3663" s="4"/>
      <c r="AV3663" s="4"/>
      <c r="AW3663" s="4"/>
      <c r="AX3663" s="4"/>
      <c r="AY3663" s="4"/>
      <c r="AZ3663" s="4"/>
      <c r="BA3663" s="4"/>
      <c r="BB3663" s="4"/>
      <c r="BC3663" s="4"/>
      <c r="BD3663" s="4"/>
      <c r="BE3663" s="4"/>
      <c r="BF3663" s="4"/>
      <c r="BG3663" s="4"/>
      <c r="BH3663" s="4"/>
    </row>
    <row r="3664" spans="1:60" s="21" customFormat="1" x14ac:dyDescent="0.25">
      <c r="A3664" s="46" t="s">
        <v>10385</v>
      </c>
      <c r="B3664" s="46" t="s">
        <v>11645</v>
      </c>
      <c r="C3664" s="46" t="s">
        <v>14</v>
      </c>
      <c r="D3664" s="47">
        <v>12128</v>
      </c>
      <c r="E3664" s="46" t="s">
        <v>10386</v>
      </c>
      <c r="F3664" s="48">
        <v>41393</v>
      </c>
      <c r="G3664" s="48">
        <v>41639</v>
      </c>
      <c r="H3664" s="46" t="s">
        <v>651</v>
      </c>
      <c r="I3664" s="45">
        <v>5046.5200000000004</v>
      </c>
      <c r="J3664" s="45">
        <v>2523.2600000000002</v>
      </c>
      <c r="K3664" s="49" t="s">
        <v>790</v>
      </c>
      <c r="L3664" s="46"/>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c r="BF3664" s="4"/>
      <c r="BG3664" s="4"/>
      <c r="BH3664" s="4"/>
    </row>
    <row r="3665" spans="1:60" s="21" customFormat="1" x14ac:dyDescent="0.25">
      <c r="A3665" s="46" t="s">
        <v>10387</v>
      </c>
      <c r="B3665" s="46" t="s">
        <v>11645</v>
      </c>
      <c r="C3665" s="46" t="s">
        <v>14</v>
      </c>
      <c r="D3665" s="47">
        <v>12129</v>
      </c>
      <c r="E3665" s="46" t="s">
        <v>10388</v>
      </c>
      <c r="F3665" s="48">
        <v>41477</v>
      </c>
      <c r="G3665" s="48">
        <v>41639</v>
      </c>
      <c r="H3665" s="46" t="s">
        <v>651</v>
      </c>
      <c r="I3665" s="45">
        <v>50000</v>
      </c>
      <c r="J3665" s="45">
        <v>25000</v>
      </c>
      <c r="K3665" s="49" t="s">
        <v>790</v>
      </c>
      <c r="L3665" s="46"/>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c r="BF3665" s="4"/>
      <c r="BG3665" s="4"/>
      <c r="BH3665" s="4"/>
    </row>
    <row r="3666" spans="1:60" ht="25.5" x14ac:dyDescent="0.25">
      <c r="A3666" s="46" t="s">
        <v>10389</v>
      </c>
      <c r="B3666" s="46" t="s">
        <v>11645</v>
      </c>
      <c r="C3666" s="46" t="s">
        <v>14</v>
      </c>
      <c r="D3666" s="47">
        <v>12130</v>
      </c>
      <c r="E3666" s="46" t="s">
        <v>10390</v>
      </c>
      <c r="F3666" s="48">
        <v>41358</v>
      </c>
      <c r="G3666" s="48">
        <v>41639</v>
      </c>
      <c r="H3666" s="46" t="s">
        <v>651</v>
      </c>
      <c r="I3666" s="45">
        <v>35000</v>
      </c>
      <c r="J3666" s="45">
        <v>25000</v>
      </c>
      <c r="K3666" s="49" t="s">
        <v>790</v>
      </c>
      <c r="L3666" s="46"/>
    </row>
    <row r="3667" spans="1:60" x14ac:dyDescent="0.25">
      <c r="A3667" s="46" t="s">
        <v>10437</v>
      </c>
      <c r="B3667" s="46" t="s">
        <v>11645</v>
      </c>
      <c r="C3667" s="46" t="s">
        <v>14</v>
      </c>
      <c r="D3667" s="47">
        <v>12868</v>
      </c>
      <c r="E3667" s="46" t="s">
        <v>10438</v>
      </c>
      <c r="F3667" s="48">
        <v>41317</v>
      </c>
      <c r="G3667" s="46"/>
      <c r="H3667" s="46" t="s">
        <v>651</v>
      </c>
      <c r="I3667" s="45">
        <v>4526.84</v>
      </c>
      <c r="J3667" s="45">
        <v>2263.42</v>
      </c>
      <c r="K3667" s="49" t="s">
        <v>790</v>
      </c>
      <c r="L3667" s="46"/>
    </row>
    <row r="3668" spans="1:60" ht="25.5" x14ac:dyDescent="0.25">
      <c r="A3668" s="46" t="s">
        <v>10439</v>
      </c>
      <c r="B3668" s="46" t="s">
        <v>11645</v>
      </c>
      <c r="C3668" s="46" t="s">
        <v>14</v>
      </c>
      <c r="D3668" s="47">
        <v>12869</v>
      </c>
      <c r="E3668" s="46" t="s">
        <v>10440</v>
      </c>
      <c r="F3668" s="48">
        <v>41578</v>
      </c>
      <c r="G3668" s="46"/>
      <c r="H3668" s="46" t="s">
        <v>651</v>
      </c>
      <c r="I3668" s="45">
        <v>30000</v>
      </c>
      <c r="J3668" s="45">
        <v>30000</v>
      </c>
      <c r="K3668" s="49" t="s">
        <v>790</v>
      </c>
      <c r="L3668" s="46"/>
    </row>
    <row r="3669" spans="1:60" ht="25.5" x14ac:dyDescent="0.25">
      <c r="A3669" s="46" t="s">
        <v>10441</v>
      </c>
      <c r="B3669" s="46" t="s">
        <v>11645</v>
      </c>
      <c r="C3669" s="46" t="s">
        <v>14</v>
      </c>
      <c r="D3669" s="47">
        <v>12870</v>
      </c>
      <c r="E3669" s="46" t="s">
        <v>10442</v>
      </c>
      <c r="F3669" s="48">
        <v>41599</v>
      </c>
      <c r="G3669" s="46"/>
      <c r="H3669" s="46" t="s">
        <v>651</v>
      </c>
      <c r="I3669" s="45">
        <v>15000</v>
      </c>
      <c r="J3669" s="45">
        <v>15000</v>
      </c>
      <c r="K3669" s="49" t="s">
        <v>790</v>
      </c>
      <c r="L3669" s="46"/>
    </row>
    <row r="3670" spans="1:60" ht="25.5" x14ac:dyDescent="0.25">
      <c r="A3670" s="46" t="s">
        <v>10443</v>
      </c>
      <c r="B3670" s="46" t="s">
        <v>11645</v>
      </c>
      <c r="C3670" s="46" t="s">
        <v>14</v>
      </c>
      <c r="D3670" s="47">
        <v>12871</v>
      </c>
      <c r="E3670" s="46" t="s">
        <v>10444</v>
      </c>
      <c r="F3670" s="48">
        <v>41578</v>
      </c>
      <c r="G3670" s="46"/>
      <c r="H3670" s="46" t="s">
        <v>651</v>
      </c>
      <c r="I3670" s="45">
        <v>31716</v>
      </c>
      <c r="J3670" s="45">
        <v>23358</v>
      </c>
      <c r="K3670" s="49" t="s">
        <v>790</v>
      </c>
      <c r="L3670" s="46"/>
    </row>
    <row r="3671" spans="1:60" ht="25.5" x14ac:dyDescent="0.25">
      <c r="A3671" s="46" t="s">
        <v>10445</v>
      </c>
      <c r="B3671" s="46" t="s">
        <v>11645</v>
      </c>
      <c r="C3671" s="46" t="s">
        <v>14</v>
      </c>
      <c r="D3671" s="47">
        <v>12872</v>
      </c>
      <c r="E3671" s="46" t="s">
        <v>10446</v>
      </c>
      <c r="F3671" s="48">
        <v>41578</v>
      </c>
      <c r="G3671" s="46"/>
      <c r="H3671" s="46" t="s">
        <v>651</v>
      </c>
      <c r="I3671" s="45">
        <v>23746.68</v>
      </c>
      <c r="J3671" s="45">
        <v>19373.34</v>
      </c>
      <c r="K3671" s="49" t="s">
        <v>790</v>
      </c>
      <c r="L3671" s="46"/>
    </row>
    <row r="3672" spans="1:60" ht="25.5" x14ac:dyDescent="0.25">
      <c r="A3672" s="46" t="s">
        <v>10447</v>
      </c>
      <c r="B3672" s="46" t="s">
        <v>11645</v>
      </c>
      <c r="C3672" s="46" t="s">
        <v>14</v>
      </c>
      <c r="D3672" s="47">
        <v>12873</v>
      </c>
      <c r="E3672" s="46" t="s">
        <v>10448</v>
      </c>
      <c r="F3672" s="48">
        <v>41411</v>
      </c>
      <c r="G3672" s="46"/>
      <c r="H3672" s="46" t="s">
        <v>651</v>
      </c>
      <c r="I3672" s="45">
        <v>15178.92</v>
      </c>
      <c r="J3672" s="45">
        <v>7589.46</v>
      </c>
      <c r="K3672" s="49" t="s">
        <v>790</v>
      </c>
      <c r="L3672" s="46"/>
    </row>
    <row r="3673" spans="1:60" ht="25.5" x14ac:dyDescent="0.25">
      <c r="A3673" s="46" t="s">
        <v>10453</v>
      </c>
      <c r="B3673" s="46" t="s">
        <v>11645</v>
      </c>
      <c r="C3673" s="46" t="s">
        <v>14</v>
      </c>
      <c r="D3673" s="47">
        <v>12876</v>
      </c>
      <c r="E3673" s="46" t="s">
        <v>10454</v>
      </c>
      <c r="F3673" s="48">
        <v>41578</v>
      </c>
      <c r="G3673" s="46"/>
      <c r="H3673" s="46" t="s">
        <v>651</v>
      </c>
      <c r="I3673" s="45">
        <v>25000</v>
      </c>
      <c r="J3673" s="45">
        <v>20000</v>
      </c>
      <c r="K3673" s="49" t="s">
        <v>790</v>
      </c>
      <c r="L3673" s="46"/>
    </row>
    <row r="3674" spans="1:60" ht="25.5" x14ac:dyDescent="0.25">
      <c r="A3674" s="46" t="s">
        <v>10457</v>
      </c>
      <c r="B3674" s="46" t="s">
        <v>11645</v>
      </c>
      <c r="C3674" s="46" t="s">
        <v>14</v>
      </c>
      <c r="D3674" s="47">
        <v>12878</v>
      </c>
      <c r="E3674" s="46" t="s">
        <v>10458</v>
      </c>
      <c r="F3674" s="48">
        <v>41361</v>
      </c>
      <c r="G3674" s="46"/>
      <c r="H3674" s="46" t="s">
        <v>651</v>
      </c>
      <c r="I3674" s="45">
        <v>13463.9</v>
      </c>
      <c r="J3674" s="45">
        <v>6731.95</v>
      </c>
      <c r="K3674" s="49" t="s">
        <v>790</v>
      </c>
      <c r="L3674" s="46"/>
    </row>
    <row r="3675" spans="1:60" ht="25.5" x14ac:dyDescent="0.25">
      <c r="A3675" s="46" t="s">
        <v>10459</v>
      </c>
      <c r="B3675" s="46" t="s">
        <v>11645</v>
      </c>
      <c r="C3675" s="46" t="s">
        <v>14</v>
      </c>
      <c r="D3675" s="47">
        <v>12879</v>
      </c>
      <c r="E3675" s="46" t="s">
        <v>10460</v>
      </c>
      <c r="F3675" s="48">
        <v>41410</v>
      </c>
      <c r="G3675" s="46"/>
      <c r="H3675" s="46" t="s">
        <v>651</v>
      </c>
      <c r="I3675" s="45">
        <v>5000</v>
      </c>
      <c r="J3675" s="45">
        <v>5000</v>
      </c>
      <c r="K3675" s="49" t="s">
        <v>790</v>
      </c>
      <c r="L3675" s="46"/>
    </row>
    <row r="3676" spans="1:60" ht="25.5" x14ac:dyDescent="0.25">
      <c r="A3676" s="46" t="s">
        <v>10461</v>
      </c>
      <c r="B3676" s="46" t="s">
        <v>11645</v>
      </c>
      <c r="C3676" s="46" t="s">
        <v>14</v>
      </c>
      <c r="D3676" s="47">
        <v>12880</v>
      </c>
      <c r="E3676" s="46" t="s">
        <v>10462</v>
      </c>
      <c r="F3676" s="48">
        <v>41578</v>
      </c>
      <c r="G3676" s="46"/>
      <c r="H3676" s="46" t="s">
        <v>651</v>
      </c>
      <c r="I3676" s="45">
        <v>15000</v>
      </c>
      <c r="J3676" s="45">
        <v>15000</v>
      </c>
      <c r="K3676" s="49" t="s">
        <v>790</v>
      </c>
      <c r="L3676" s="46"/>
    </row>
    <row r="3677" spans="1:60" ht="25.5" x14ac:dyDescent="0.25">
      <c r="A3677" s="46" t="s">
        <v>10467</v>
      </c>
      <c r="B3677" s="46" t="s">
        <v>11645</v>
      </c>
      <c r="C3677" s="46" t="s">
        <v>14</v>
      </c>
      <c r="D3677" s="47">
        <v>12883</v>
      </c>
      <c r="E3677" s="46" t="s">
        <v>10468</v>
      </c>
      <c r="F3677" s="48">
        <v>41361</v>
      </c>
      <c r="G3677" s="46"/>
      <c r="H3677" s="46" t="s">
        <v>651</v>
      </c>
      <c r="I3677" s="45">
        <v>17500</v>
      </c>
      <c r="J3677" s="45">
        <v>12500</v>
      </c>
      <c r="K3677" s="49" t="s">
        <v>790</v>
      </c>
      <c r="L3677" s="46"/>
    </row>
    <row r="3678" spans="1:60" ht="25.5" x14ac:dyDescent="0.25">
      <c r="A3678" s="46" t="s">
        <v>10469</v>
      </c>
      <c r="B3678" s="46" t="s">
        <v>11645</v>
      </c>
      <c r="C3678" s="46" t="s">
        <v>14</v>
      </c>
      <c r="D3678" s="47">
        <v>12884</v>
      </c>
      <c r="E3678" s="46" t="s">
        <v>10470</v>
      </c>
      <c r="F3678" s="48">
        <v>41361</v>
      </c>
      <c r="G3678" s="46"/>
      <c r="H3678" s="46" t="s">
        <v>651</v>
      </c>
      <c r="I3678" s="45">
        <v>26196.799999999999</v>
      </c>
      <c r="J3678" s="45">
        <v>15598.4</v>
      </c>
      <c r="K3678" s="49" t="s">
        <v>790</v>
      </c>
      <c r="L3678" s="46"/>
    </row>
    <row r="3679" spans="1:60" x14ac:dyDescent="0.25">
      <c r="A3679" s="46" t="s">
        <v>10471</v>
      </c>
      <c r="B3679" s="46" t="s">
        <v>11645</v>
      </c>
      <c r="C3679" s="46" t="s">
        <v>14</v>
      </c>
      <c r="D3679" s="47">
        <v>12885</v>
      </c>
      <c r="E3679" s="46" t="s">
        <v>10472</v>
      </c>
      <c r="F3679" s="48">
        <v>41172</v>
      </c>
      <c r="G3679" s="46"/>
      <c r="H3679" s="46" t="s">
        <v>651</v>
      </c>
      <c r="I3679" s="45">
        <v>3344.24</v>
      </c>
      <c r="J3679" s="45">
        <v>1672.12</v>
      </c>
      <c r="K3679" s="49" t="s">
        <v>790</v>
      </c>
      <c r="L3679" s="46"/>
    </row>
    <row r="3680" spans="1:60" ht="25.5" x14ac:dyDescent="0.25">
      <c r="A3680" s="46" t="s">
        <v>10473</v>
      </c>
      <c r="B3680" s="46" t="s">
        <v>11645</v>
      </c>
      <c r="C3680" s="46" t="s">
        <v>14</v>
      </c>
      <c r="D3680" s="47">
        <v>12886</v>
      </c>
      <c r="E3680" s="46" t="s">
        <v>10474</v>
      </c>
      <c r="F3680" s="48">
        <v>41599</v>
      </c>
      <c r="G3680" s="46"/>
      <c r="H3680" s="46" t="s">
        <v>651</v>
      </c>
      <c r="I3680" s="45">
        <v>39100</v>
      </c>
      <c r="J3680" s="45">
        <v>27014.73</v>
      </c>
      <c r="K3680" s="49" t="s">
        <v>790</v>
      </c>
      <c r="L3680" s="46"/>
    </row>
    <row r="3681" spans="1:12" ht="25.5" x14ac:dyDescent="0.25">
      <c r="A3681" s="46" t="s">
        <v>10475</v>
      </c>
      <c r="B3681" s="46" t="s">
        <v>11645</v>
      </c>
      <c r="C3681" s="46" t="s">
        <v>14</v>
      </c>
      <c r="D3681" s="47">
        <v>12887</v>
      </c>
      <c r="E3681" s="46" t="s">
        <v>10476</v>
      </c>
      <c r="F3681" s="48">
        <v>41578</v>
      </c>
      <c r="G3681" s="46"/>
      <c r="H3681" s="46" t="s">
        <v>651</v>
      </c>
      <c r="I3681" s="45">
        <v>50000</v>
      </c>
      <c r="J3681" s="45">
        <v>25000</v>
      </c>
      <c r="K3681" s="49" t="s">
        <v>790</v>
      </c>
      <c r="L3681" s="46"/>
    </row>
    <row r="3682" spans="1:12" ht="25.5" x14ac:dyDescent="0.25">
      <c r="A3682" s="46" t="s">
        <v>10477</v>
      </c>
      <c r="B3682" s="46" t="s">
        <v>11645</v>
      </c>
      <c r="C3682" s="46" t="s">
        <v>14</v>
      </c>
      <c r="D3682" s="47">
        <v>12888</v>
      </c>
      <c r="E3682" s="46" t="s">
        <v>10478</v>
      </c>
      <c r="F3682" s="48">
        <v>41578</v>
      </c>
      <c r="G3682" s="46"/>
      <c r="H3682" s="46" t="s">
        <v>651</v>
      </c>
      <c r="I3682" s="45">
        <v>26496</v>
      </c>
      <c r="J3682" s="45">
        <v>20748</v>
      </c>
      <c r="K3682" s="49" t="s">
        <v>790</v>
      </c>
      <c r="L3682" s="46"/>
    </row>
    <row r="3683" spans="1:12" ht="25.5" x14ac:dyDescent="0.25">
      <c r="A3683" s="46" t="s">
        <v>10479</v>
      </c>
      <c r="B3683" s="46" t="s">
        <v>11645</v>
      </c>
      <c r="C3683" s="46" t="s">
        <v>14</v>
      </c>
      <c r="D3683" s="47">
        <v>12889</v>
      </c>
      <c r="E3683" s="46" t="s">
        <v>10480</v>
      </c>
      <c r="F3683" s="48">
        <v>41410</v>
      </c>
      <c r="G3683" s="46"/>
      <c r="H3683" s="46" t="s">
        <v>651</v>
      </c>
      <c r="I3683" s="45">
        <v>20000</v>
      </c>
      <c r="J3683" s="45">
        <v>13750</v>
      </c>
      <c r="K3683" s="49" t="s">
        <v>790</v>
      </c>
      <c r="L3683" s="46"/>
    </row>
    <row r="3684" spans="1:12" x14ac:dyDescent="0.25">
      <c r="A3684" s="46" t="s">
        <v>10481</v>
      </c>
      <c r="B3684" s="46" t="s">
        <v>11645</v>
      </c>
      <c r="C3684" s="46" t="s">
        <v>14</v>
      </c>
      <c r="D3684" s="47">
        <v>12890</v>
      </c>
      <c r="E3684" s="46" t="s">
        <v>10482</v>
      </c>
      <c r="F3684" s="48">
        <v>41317</v>
      </c>
      <c r="G3684" s="46"/>
      <c r="H3684" s="46" t="s">
        <v>651</v>
      </c>
      <c r="I3684" s="45">
        <v>30000</v>
      </c>
      <c r="J3684" s="45">
        <v>20000</v>
      </c>
      <c r="K3684" s="49" t="s">
        <v>790</v>
      </c>
      <c r="L3684" s="46"/>
    </row>
    <row r="3685" spans="1:12" ht="25.5" x14ac:dyDescent="0.25">
      <c r="A3685" s="46" t="s">
        <v>10485</v>
      </c>
      <c r="B3685" s="46" t="s">
        <v>11645</v>
      </c>
      <c r="C3685" s="46" t="s">
        <v>14</v>
      </c>
      <c r="D3685" s="47">
        <v>12892</v>
      </c>
      <c r="E3685" s="46" t="s">
        <v>10486</v>
      </c>
      <c r="F3685" s="48">
        <v>41578</v>
      </c>
      <c r="G3685" s="46"/>
      <c r="H3685" s="46" t="s">
        <v>651</v>
      </c>
      <c r="I3685" s="45">
        <v>15000</v>
      </c>
      <c r="J3685" s="45">
        <v>15000</v>
      </c>
      <c r="K3685" s="49" t="s">
        <v>790</v>
      </c>
      <c r="L3685" s="46"/>
    </row>
    <row r="3686" spans="1:12" x14ac:dyDescent="0.25">
      <c r="A3686" s="46" t="s">
        <v>10272</v>
      </c>
      <c r="B3686" s="46" t="s">
        <v>11645</v>
      </c>
      <c r="C3686" s="46" t="s">
        <v>14</v>
      </c>
      <c r="D3686" s="47">
        <v>12749</v>
      </c>
      <c r="E3686" s="46" t="s">
        <v>10273</v>
      </c>
      <c r="F3686" s="48">
        <v>41275</v>
      </c>
      <c r="G3686" s="48">
        <v>41639</v>
      </c>
      <c r="H3686" s="46" t="s">
        <v>651</v>
      </c>
      <c r="I3686" s="45">
        <v>10000</v>
      </c>
      <c r="J3686" s="45">
        <v>10000</v>
      </c>
      <c r="K3686" s="49" t="s">
        <v>2033</v>
      </c>
      <c r="L3686" s="46"/>
    </row>
    <row r="3687" spans="1:12" ht="25.5" x14ac:dyDescent="0.25">
      <c r="A3687" s="46" t="s">
        <v>10274</v>
      </c>
      <c r="B3687" s="46" t="s">
        <v>11645</v>
      </c>
      <c r="C3687" s="46" t="s">
        <v>14</v>
      </c>
      <c r="D3687" s="47">
        <v>12755</v>
      </c>
      <c r="E3687" s="46" t="s">
        <v>10276</v>
      </c>
      <c r="F3687" s="48">
        <v>41275</v>
      </c>
      <c r="G3687" s="48">
        <v>41639</v>
      </c>
      <c r="H3687" s="46" t="s">
        <v>651</v>
      </c>
      <c r="I3687" s="45">
        <v>7500</v>
      </c>
      <c r="J3687" s="45">
        <v>7500</v>
      </c>
      <c r="K3687" s="49" t="s">
        <v>2033</v>
      </c>
      <c r="L3687" s="46"/>
    </row>
    <row r="3688" spans="1:12" ht="25.5" x14ac:dyDescent="0.25">
      <c r="A3688" s="46" t="s">
        <v>10277</v>
      </c>
      <c r="B3688" s="46" t="s">
        <v>11645</v>
      </c>
      <c r="C3688" s="46" t="s">
        <v>14</v>
      </c>
      <c r="D3688" s="47">
        <v>12756</v>
      </c>
      <c r="E3688" s="46" t="s">
        <v>10278</v>
      </c>
      <c r="F3688" s="48">
        <v>41275</v>
      </c>
      <c r="G3688" s="48">
        <v>41639</v>
      </c>
      <c r="H3688" s="46" t="s">
        <v>651</v>
      </c>
      <c r="I3688" s="45">
        <v>10000.42</v>
      </c>
      <c r="J3688" s="45">
        <v>5000.21</v>
      </c>
      <c r="K3688" s="49" t="s">
        <v>2033</v>
      </c>
      <c r="L3688" s="46"/>
    </row>
    <row r="3689" spans="1:12" ht="25.5" x14ac:dyDescent="0.25">
      <c r="A3689" s="46" t="s">
        <v>10281</v>
      </c>
      <c r="B3689" s="46" t="s">
        <v>11645</v>
      </c>
      <c r="C3689" s="46" t="s">
        <v>14</v>
      </c>
      <c r="D3689" s="47">
        <v>12759</v>
      </c>
      <c r="E3689" s="46" t="s">
        <v>10282</v>
      </c>
      <c r="F3689" s="48">
        <v>41275</v>
      </c>
      <c r="G3689" s="48">
        <v>41639</v>
      </c>
      <c r="H3689" s="46" t="s">
        <v>651</v>
      </c>
      <c r="I3689" s="45">
        <v>12739.32</v>
      </c>
      <c r="J3689" s="45">
        <v>11369.66</v>
      </c>
      <c r="K3689" s="49" t="s">
        <v>2033</v>
      </c>
      <c r="L3689" s="46"/>
    </row>
    <row r="3690" spans="1:12" ht="25.5" x14ac:dyDescent="0.25">
      <c r="A3690" s="46" t="s">
        <v>10283</v>
      </c>
      <c r="B3690" s="46" t="s">
        <v>11645</v>
      </c>
      <c r="C3690" s="46" t="s">
        <v>14</v>
      </c>
      <c r="D3690" s="47">
        <v>12760</v>
      </c>
      <c r="E3690" s="46" t="s">
        <v>10284</v>
      </c>
      <c r="F3690" s="48">
        <v>41275</v>
      </c>
      <c r="G3690" s="48">
        <v>41639</v>
      </c>
      <c r="H3690" s="46" t="s">
        <v>651</v>
      </c>
      <c r="I3690" s="45">
        <v>43225.52</v>
      </c>
      <c r="J3690" s="45">
        <v>27237.759999999998</v>
      </c>
      <c r="K3690" s="49" t="s">
        <v>2033</v>
      </c>
      <c r="L3690" s="46"/>
    </row>
    <row r="3691" spans="1:12" x14ac:dyDescent="0.25">
      <c r="A3691" s="46" t="s">
        <v>10285</v>
      </c>
      <c r="B3691" s="46" t="s">
        <v>11645</v>
      </c>
      <c r="C3691" s="46" t="s">
        <v>14</v>
      </c>
      <c r="D3691" s="47">
        <v>12762</v>
      </c>
      <c r="E3691" s="46" t="s">
        <v>10286</v>
      </c>
      <c r="F3691" s="48">
        <v>41275</v>
      </c>
      <c r="G3691" s="48">
        <v>41639</v>
      </c>
      <c r="H3691" s="46" t="s">
        <v>651</v>
      </c>
      <c r="I3691" s="45">
        <v>17235</v>
      </c>
      <c r="J3691" s="45">
        <v>12367.5</v>
      </c>
      <c r="K3691" s="49" t="s">
        <v>2033</v>
      </c>
      <c r="L3691" s="46"/>
    </row>
    <row r="3692" spans="1:12" ht="25.5" x14ac:dyDescent="0.25">
      <c r="A3692" s="46" t="s">
        <v>10287</v>
      </c>
      <c r="B3692" s="46" t="s">
        <v>11645</v>
      </c>
      <c r="C3692" s="46" t="s">
        <v>14</v>
      </c>
      <c r="D3692" s="47">
        <v>12763</v>
      </c>
      <c r="E3692" s="46" t="s">
        <v>10288</v>
      </c>
      <c r="F3692" s="48">
        <v>41275</v>
      </c>
      <c r="G3692" s="48">
        <v>41639</v>
      </c>
      <c r="H3692" s="46" t="s">
        <v>651</v>
      </c>
      <c r="I3692" s="45">
        <v>15000</v>
      </c>
      <c r="J3692" s="45">
        <v>15000</v>
      </c>
      <c r="K3692" s="49" t="s">
        <v>2033</v>
      </c>
      <c r="L3692" s="46"/>
    </row>
    <row r="3693" spans="1:12" ht="38.25" x14ac:dyDescent="0.25">
      <c r="A3693" s="46" t="s">
        <v>10291</v>
      </c>
      <c r="B3693" s="46" t="s">
        <v>11645</v>
      </c>
      <c r="C3693" s="46" t="s">
        <v>14</v>
      </c>
      <c r="D3693" s="47">
        <v>12766</v>
      </c>
      <c r="E3693" s="46" t="s">
        <v>10292</v>
      </c>
      <c r="F3693" s="48">
        <v>41275</v>
      </c>
      <c r="G3693" s="48">
        <v>41639</v>
      </c>
      <c r="H3693" s="46" t="s">
        <v>651</v>
      </c>
      <c r="I3693" s="45">
        <v>7500</v>
      </c>
      <c r="J3693" s="45">
        <v>7500</v>
      </c>
      <c r="K3693" s="49" t="s">
        <v>2033</v>
      </c>
      <c r="L3693" s="46"/>
    </row>
    <row r="3694" spans="1:12" x14ac:dyDescent="0.25">
      <c r="A3694" s="46" t="s">
        <v>10293</v>
      </c>
      <c r="B3694" s="46" t="s">
        <v>11645</v>
      </c>
      <c r="C3694" s="46" t="s">
        <v>14</v>
      </c>
      <c r="D3694" s="47">
        <v>12767</v>
      </c>
      <c r="E3694" s="46" t="s">
        <v>10294</v>
      </c>
      <c r="F3694" s="48">
        <v>41275</v>
      </c>
      <c r="G3694" s="48">
        <v>41639</v>
      </c>
      <c r="H3694" s="46" t="s">
        <v>651</v>
      </c>
      <c r="I3694" s="45">
        <v>11963.6</v>
      </c>
      <c r="J3694" s="45">
        <v>5981.8</v>
      </c>
      <c r="K3694" s="49" t="s">
        <v>2033</v>
      </c>
      <c r="L3694" s="46"/>
    </row>
    <row r="3695" spans="1:12" ht="25.5" x14ac:dyDescent="0.25">
      <c r="A3695" s="46" t="s">
        <v>10297</v>
      </c>
      <c r="B3695" s="46" t="s">
        <v>11645</v>
      </c>
      <c r="C3695" s="46" t="s">
        <v>14</v>
      </c>
      <c r="D3695" s="47">
        <v>12770</v>
      </c>
      <c r="E3695" s="46" t="s">
        <v>10298</v>
      </c>
      <c r="F3695" s="48">
        <v>41275</v>
      </c>
      <c r="G3695" s="48">
        <v>41639</v>
      </c>
      <c r="H3695" s="46" t="s">
        <v>651</v>
      </c>
      <c r="I3695" s="45">
        <v>15000</v>
      </c>
      <c r="J3695" s="45">
        <v>15000</v>
      </c>
      <c r="K3695" s="49" t="s">
        <v>2033</v>
      </c>
      <c r="L3695" s="46"/>
    </row>
    <row r="3696" spans="1:12" ht="25.5" x14ac:dyDescent="0.25">
      <c r="A3696" s="46" t="s">
        <v>10299</v>
      </c>
      <c r="B3696" s="46" t="s">
        <v>11645</v>
      </c>
      <c r="C3696" s="46" t="s">
        <v>14</v>
      </c>
      <c r="D3696" s="47">
        <v>12771</v>
      </c>
      <c r="E3696" s="46" t="s">
        <v>10300</v>
      </c>
      <c r="F3696" s="48">
        <v>41275</v>
      </c>
      <c r="G3696" s="48">
        <v>41639</v>
      </c>
      <c r="H3696" s="46" t="s">
        <v>651</v>
      </c>
      <c r="I3696" s="45">
        <v>5000</v>
      </c>
      <c r="J3696" s="45">
        <v>5000</v>
      </c>
      <c r="K3696" s="49" t="s">
        <v>2033</v>
      </c>
      <c r="L3696" s="46"/>
    </row>
    <row r="3697" spans="1:12" x14ac:dyDescent="0.25">
      <c r="A3697" s="46" t="s">
        <v>10301</v>
      </c>
      <c r="B3697" s="46" t="s">
        <v>11645</v>
      </c>
      <c r="C3697" s="46" t="s">
        <v>14</v>
      </c>
      <c r="D3697" s="47">
        <v>12773</v>
      </c>
      <c r="E3697" s="46" t="s">
        <v>10302</v>
      </c>
      <c r="F3697" s="48">
        <v>41275</v>
      </c>
      <c r="G3697" s="48">
        <v>41639</v>
      </c>
      <c r="H3697" s="46" t="s">
        <v>651</v>
      </c>
      <c r="I3697" s="45">
        <v>2969.51</v>
      </c>
      <c r="J3697" s="45">
        <v>1484.74</v>
      </c>
      <c r="K3697" s="49" t="s">
        <v>2033</v>
      </c>
      <c r="L3697" s="46"/>
    </row>
    <row r="3698" spans="1:12" ht="25.5" x14ac:dyDescent="0.25">
      <c r="A3698" s="46" t="s">
        <v>10303</v>
      </c>
      <c r="B3698" s="46" t="s">
        <v>11645</v>
      </c>
      <c r="C3698" s="46" t="s">
        <v>14</v>
      </c>
      <c r="D3698" s="47">
        <v>12774</v>
      </c>
      <c r="E3698" s="46" t="s">
        <v>10304</v>
      </c>
      <c r="F3698" s="48">
        <v>41275</v>
      </c>
      <c r="G3698" s="48">
        <v>41639</v>
      </c>
      <c r="H3698" s="46" t="s">
        <v>651</v>
      </c>
      <c r="I3698" s="45">
        <v>2900</v>
      </c>
      <c r="J3698" s="45">
        <v>1450</v>
      </c>
      <c r="K3698" s="49" t="s">
        <v>2033</v>
      </c>
      <c r="L3698" s="46"/>
    </row>
    <row r="3699" spans="1:12" ht="25.5" x14ac:dyDescent="0.25">
      <c r="A3699" s="46" t="s">
        <v>10305</v>
      </c>
      <c r="B3699" s="46" t="s">
        <v>11645</v>
      </c>
      <c r="C3699" s="46" t="s">
        <v>14</v>
      </c>
      <c r="D3699" s="47">
        <v>12775</v>
      </c>
      <c r="E3699" s="46" t="s">
        <v>10306</v>
      </c>
      <c r="F3699" s="48">
        <v>41275</v>
      </c>
      <c r="G3699" s="48">
        <v>41639</v>
      </c>
      <c r="H3699" s="46" t="s">
        <v>651</v>
      </c>
      <c r="I3699" s="45">
        <v>7169.7</v>
      </c>
      <c r="J3699" s="45">
        <v>3584.85</v>
      </c>
      <c r="K3699" s="49" t="s">
        <v>2033</v>
      </c>
      <c r="L3699" s="46"/>
    </row>
    <row r="3700" spans="1:12" ht="25.5" x14ac:dyDescent="0.25">
      <c r="A3700" s="46" t="s">
        <v>10309</v>
      </c>
      <c r="B3700" s="46" t="s">
        <v>11645</v>
      </c>
      <c r="C3700" s="46" t="s">
        <v>14</v>
      </c>
      <c r="D3700" s="47">
        <v>12777</v>
      </c>
      <c r="E3700" s="46" t="s">
        <v>10310</v>
      </c>
      <c r="F3700" s="48">
        <v>41275</v>
      </c>
      <c r="G3700" s="48">
        <v>41639</v>
      </c>
      <c r="H3700" s="46" t="s">
        <v>651</v>
      </c>
      <c r="I3700" s="45">
        <v>3750</v>
      </c>
      <c r="J3700" s="45">
        <v>3750</v>
      </c>
      <c r="K3700" s="49" t="s">
        <v>2033</v>
      </c>
      <c r="L3700" s="46"/>
    </row>
    <row r="3701" spans="1:12" x14ac:dyDescent="0.25">
      <c r="A3701" s="46" t="s">
        <v>10497</v>
      </c>
      <c r="B3701" s="46" t="s">
        <v>11645</v>
      </c>
      <c r="C3701" s="46" t="s">
        <v>14</v>
      </c>
      <c r="D3701" s="47">
        <v>12487</v>
      </c>
      <c r="E3701" s="46" t="s">
        <v>10498</v>
      </c>
      <c r="F3701" s="48">
        <v>41275</v>
      </c>
      <c r="G3701" s="48">
        <v>41639</v>
      </c>
      <c r="H3701" s="46" t="s">
        <v>651</v>
      </c>
      <c r="I3701" s="45">
        <v>3750</v>
      </c>
      <c r="J3701" s="45">
        <v>3750</v>
      </c>
      <c r="K3701" s="49" t="s">
        <v>2650</v>
      </c>
      <c r="L3701" s="46"/>
    </row>
    <row r="3702" spans="1:12" ht="25.5" x14ac:dyDescent="0.25">
      <c r="A3702" s="46" t="s">
        <v>10499</v>
      </c>
      <c r="B3702" s="46" t="s">
        <v>11645</v>
      </c>
      <c r="C3702" s="46" t="s">
        <v>14</v>
      </c>
      <c r="D3702" s="47">
        <v>12488</v>
      </c>
      <c r="E3702" s="46" t="s">
        <v>10500</v>
      </c>
      <c r="F3702" s="48">
        <v>41373</v>
      </c>
      <c r="G3702" s="48">
        <v>41639</v>
      </c>
      <c r="H3702" s="46" t="s">
        <v>651</v>
      </c>
      <c r="I3702" s="45">
        <v>11250</v>
      </c>
      <c r="J3702" s="45">
        <v>11250</v>
      </c>
      <c r="K3702" s="49" t="s">
        <v>2650</v>
      </c>
      <c r="L3702" s="46"/>
    </row>
    <row r="3703" spans="1:12" ht="51" x14ac:dyDescent="0.25">
      <c r="A3703" s="46" t="s">
        <v>10503</v>
      </c>
      <c r="B3703" s="46" t="s">
        <v>11645</v>
      </c>
      <c r="C3703" s="46" t="s">
        <v>14</v>
      </c>
      <c r="D3703" s="47">
        <v>12490</v>
      </c>
      <c r="E3703" s="46" t="s">
        <v>10504</v>
      </c>
      <c r="F3703" s="48">
        <v>41373</v>
      </c>
      <c r="G3703" s="48">
        <v>41639</v>
      </c>
      <c r="H3703" s="46" t="s">
        <v>651</v>
      </c>
      <c r="I3703" s="45">
        <v>11250</v>
      </c>
      <c r="J3703" s="45">
        <v>11250</v>
      </c>
      <c r="K3703" s="49" t="s">
        <v>2650</v>
      </c>
      <c r="L3703" s="46"/>
    </row>
    <row r="3704" spans="1:12" ht="25.5" x14ac:dyDescent="0.25">
      <c r="A3704" s="46" t="s">
        <v>10507</v>
      </c>
      <c r="B3704" s="46" t="s">
        <v>11645</v>
      </c>
      <c r="C3704" s="46" t="s">
        <v>14</v>
      </c>
      <c r="D3704" s="47">
        <v>12493</v>
      </c>
      <c r="E3704" s="46" t="s">
        <v>10508</v>
      </c>
      <c r="F3704" s="48">
        <v>41310</v>
      </c>
      <c r="G3704" s="48">
        <v>41639</v>
      </c>
      <c r="H3704" s="46" t="s">
        <v>651</v>
      </c>
      <c r="I3704" s="45">
        <v>33000</v>
      </c>
      <c r="J3704" s="45">
        <v>24000</v>
      </c>
      <c r="K3704" s="49" t="s">
        <v>2650</v>
      </c>
      <c r="L3704" s="46"/>
    </row>
    <row r="3705" spans="1:12" ht="38.25" x14ac:dyDescent="0.25">
      <c r="A3705" s="46" t="s">
        <v>10511</v>
      </c>
      <c r="B3705" s="46" t="s">
        <v>11645</v>
      </c>
      <c r="C3705" s="46" t="s">
        <v>14</v>
      </c>
      <c r="D3705" s="47">
        <v>12496</v>
      </c>
      <c r="E3705" s="46" t="s">
        <v>10512</v>
      </c>
      <c r="F3705" s="48">
        <v>41275</v>
      </c>
      <c r="G3705" s="48">
        <v>41639</v>
      </c>
      <c r="H3705" s="46" t="s">
        <v>651</v>
      </c>
      <c r="I3705" s="45">
        <v>11250</v>
      </c>
      <c r="J3705" s="45">
        <v>11250</v>
      </c>
      <c r="K3705" s="49" t="s">
        <v>2650</v>
      </c>
      <c r="L3705" s="46"/>
    </row>
    <row r="3706" spans="1:12" ht="25.5" x14ac:dyDescent="0.25">
      <c r="A3706" s="46" t="s">
        <v>10513</v>
      </c>
      <c r="B3706" s="46" t="s">
        <v>11645</v>
      </c>
      <c r="C3706" s="46" t="s">
        <v>14</v>
      </c>
      <c r="D3706" s="47">
        <v>12497</v>
      </c>
      <c r="E3706" s="46" t="s">
        <v>10514</v>
      </c>
      <c r="F3706" s="48">
        <v>41422</v>
      </c>
      <c r="G3706" s="48">
        <v>41639</v>
      </c>
      <c r="H3706" s="46" t="s">
        <v>651</v>
      </c>
      <c r="I3706" s="45">
        <v>3750</v>
      </c>
      <c r="J3706" s="45">
        <v>3750</v>
      </c>
      <c r="K3706" s="49" t="s">
        <v>2650</v>
      </c>
      <c r="L3706" s="46"/>
    </row>
    <row r="3707" spans="1:12" ht="25.5" x14ac:dyDescent="0.25">
      <c r="A3707" s="46" t="s">
        <v>10515</v>
      </c>
      <c r="B3707" s="46" t="s">
        <v>11645</v>
      </c>
      <c r="C3707" s="46" t="s">
        <v>14</v>
      </c>
      <c r="D3707" s="47">
        <v>12498</v>
      </c>
      <c r="E3707" s="46" t="s">
        <v>10516</v>
      </c>
      <c r="F3707" s="48">
        <v>41541</v>
      </c>
      <c r="G3707" s="48">
        <v>41639</v>
      </c>
      <c r="H3707" s="46" t="s">
        <v>651</v>
      </c>
      <c r="I3707" s="45">
        <v>7500</v>
      </c>
      <c r="J3707" s="45">
        <v>7500</v>
      </c>
      <c r="K3707" s="49" t="s">
        <v>2650</v>
      </c>
      <c r="L3707" s="46"/>
    </row>
    <row r="3708" spans="1:12" ht="38.25" x14ac:dyDescent="0.25">
      <c r="A3708" s="46" t="s">
        <v>10517</v>
      </c>
      <c r="B3708" s="46" t="s">
        <v>11645</v>
      </c>
      <c r="C3708" s="46" t="s">
        <v>14</v>
      </c>
      <c r="D3708" s="47">
        <v>12500</v>
      </c>
      <c r="E3708" s="46" t="s">
        <v>10518</v>
      </c>
      <c r="F3708" s="48">
        <v>41275</v>
      </c>
      <c r="G3708" s="48">
        <v>41639</v>
      </c>
      <c r="H3708" s="46" t="s">
        <v>651</v>
      </c>
      <c r="I3708" s="45">
        <v>15000</v>
      </c>
      <c r="J3708" s="45">
        <v>15000</v>
      </c>
      <c r="K3708" s="49" t="s">
        <v>2650</v>
      </c>
      <c r="L3708" s="46"/>
    </row>
    <row r="3709" spans="1:12" ht="25.5" x14ac:dyDescent="0.25">
      <c r="A3709" s="46" t="s">
        <v>10519</v>
      </c>
      <c r="B3709" s="46" t="s">
        <v>11645</v>
      </c>
      <c r="C3709" s="46" t="s">
        <v>14</v>
      </c>
      <c r="D3709" s="47">
        <v>12501</v>
      </c>
      <c r="E3709" s="46" t="s">
        <v>10520</v>
      </c>
      <c r="F3709" s="48">
        <v>41275</v>
      </c>
      <c r="G3709" s="48">
        <v>41639</v>
      </c>
      <c r="H3709" s="46" t="s">
        <v>651</v>
      </c>
      <c r="I3709" s="45">
        <v>11348</v>
      </c>
      <c r="J3709" s="45">
        <v>9424</v>
      </c>
      <c r="K3709" s="49" t="s">
        <v>2650</v>
      </c>
      <c r="L3709" s="46"/>
    </row>
    <row r="3710" spans="1:12" ht="25.5" x14ac:dyDescent="0.25">
      <c r="A3710" s="46" t="s">
        <v>10523</v>
      </c>
      <c r="B3710" s="46" t="s">
        <v>11645</v>
      </c>
      <c r="C3710" s="46" t="s">
        <v>14</v>
      </c>
      <c r="D3710" s="47">
        <v>12509</v>
      </c>
      <c r="E3710" s="46" t="s">
        <v>10524</v>
      </c>
      <c r="F3710" s="48">
        <v>41422</v>
      </c>
      <c r="G3710" s="48">
        <v>41639</v>
      </c>
      <c r="H3710" s="46" t="s">
        <v>651</v>
      </c>
      <c r="I3710" s="45">
        <v>32500</v>
      </c>
      <c r="J3710" s="45">
        <v>20000</v>
      </c>
      <c r="K3710" s="49" t="s">
        <v>2650</v>
      </c>
      <c r="L3710" s="46"/>
    </row>
    <row r="3711" spans="1:12" ht="25.5" x14ac:dyDescent="0.25">
      <c r="A3711" s="46" t="s">
        <v>10525</v>
      </c>
      <c r="B3711" s="46" t="s">
        <v>11645</v>
      </c>
      <c r="C3711" s="46" t="s">
        <v>14</v>
      </c>
      <c r="D3711" s="47">
        <v>12510</v>
      </c>
      <c r="E3711" s="46" t="s">
        <v>10526</v>
      </c>
      <c r="F3711" s="48">
        <v>41478</v>
      </c>
      <c r="G3711" s="48">
        <v>41639</v>
      </c>
      <c r="H3711" s="46" t="s">
        <v>651</v>
      </c>
      <c r="I3711" s="45">
        <v>5100</v>
      </c>
      <c r="J3711" s="45">
        <v>4425</v>
      </c>
      <c r="K3711" s="49" t="s">
        <v>2650</v>
      </c>
      <c r="L3711" s="46"/>
    </row>
    <row r="3712" spans="1:12" ht="38.25" x14ac:dyDescent="0.25">
      <c r="A3712" s="46" t="s">
        <v>10529</v>
      </c>
      <c r="B3712" s="46" t="s">
        <v>11645</v>
      </c>
      <c r="C3712" s="46" t="s">
        <v>14</v>
      </c>
      <c r="D3712" s="47">
        <v>12512</v>
      </c>
      <c r="E3712" s="46" t="s">
        <v>10530</v>
      </c>
      <c r="F3712" s="48">
        <v>41275</v>
      </c>
      <c r="G3712" s="48">
        <v>41639</v>
      </c>
      <c r="H3712" s="46" t="s">
        <v>651</v>
      </c>
      <c r="I3712" s="45">
        <v>9304</v>
      </c>
      <c r="J3712" s="45">
        <v>4652</v>
      </c>
      <c r="K3712" s="49" t="s">
        <v>2650</v>
      </c>
      <c r="L3712" s="46"/>
    </row>
    <row r="3713" spans="1:12" ht="25.5" x14ac:dyDescent="0.25">
      <c r="A3713" s="46" t="s">
        <v>10531</v>
      </c>
      <c r="B3713" s="46" t="s">
        <v>11645</v>
      </c>
      <c r="C3713" s="46" t="s">
        <v>14</v>
      </c>
      <c r="D3713" s="47">
        <v>12513</v>
      </c>
      <c r="E3713" s="46" t="s">
        <v>10532</v>
      </c>
      <c r="F3713" s="48">
        <v>41275</v>
      </c>
      <c r="G3713" s="48">
        <v>41639</v>
      </c>
      <c r="H3713" s="46" t="s">
        <v>651</v>
      </c>
      <c r="I3713" s="45">
        <v>7500</v>
      </c>
      <c r="J3713" s="45">
        <v>7500</v>
      </c>
      <c r="K3713" s="49" t="s">
        <v>2650</v>
      </c>
      <c r="L3713" s="46"/>
    </row>
    <row r="3714" spans="1:12" ht="25.5" x14ac:dyDescent="0.25">
      <c r="A3714" s="46" t="s">
        <v>10533</v>
      </c>
      <c r="B3714" s="46" t="s">
        <v>11645</v>
      </c>
      <c r="C3714" s="46" t="s">
        <v>14</v>
      </c>
      <c r="D3714" s="47">
        <v>12514</v>
      </c>
      <c r="E3714" s="46" t="s">
        <v>10534</v>
      </c>
      <c r="F3714" s="48">
        <v>41275</v>
      </c>
      <c r="G3714" s="48">
        <v>41639</v>
      </c>
      <c r="H3714" s="46" t="s">
        <v>651</v>
      </c>
      <c r="I3714" s="45">
        <v>28786</v>
      </c>
      <c r="J3714" s="45">
        <v>20018</v>
      </c>
      <c r="K3714" s="49" t="s">
        <v>2650</v>
      </c>
      <c r="L3714" s="46"/>
    </row>
    <row r="3715" spans="1:12" ht="25.5" x14ac:dyDescent="0.25">
      <c r="A3715" s="46" t="s">
        <v>10535</v>
      </c>
      <c r="B3715" s="46" t="s">
        <v>11645</v>
      </c>
      <c r="C3715" s="46" t="s">
        <v>14</v>
      </c>
      <c r="D3715" s="47">
        <v>12515</v>
      </c>
      <c r="E3715" s="46" t="s">
        <v>10536</v>
      </c>
      <c r="F3715" s="48">
        <v>41422</v>
      </c>
      <c r="G3715" s="48">
        <v>41639</v>
      </c>
      <c r="H3715" s="46" t="s">
        <v>651</v>
      </c>
      <c r="I3715" s="45">
        <v>8750</v>
      </c>
      <c r="J3715" s="45">
        <v>6250</v>
      </c>
      <c r="K3715" s="49" t="s">
        <v>2650</v>
      </c>
      <c r="L3715" s="46"/>
    </row>
    <row r="3716" spans="1:12" ht="25.5" x14ac:dyDescent="0.25">
      <c r="A3716" s="46" t="s">
        <v>10537</v>
      </c>
      <c r="B3716" s="46" t="s">
        <v>11645</v>
      </c>
      <c r="C3716" s="46" t="s">
        <v>14</v>
      </c>
      <c r="D3716" s="47">
        <v>12516</v>
      </c>
      <c r="E3716" s="46" t="s">
        <v>10538</v>
      </c>
      <c r="F3716" s="48">
        <v>41355</v>
      </c>
      <c r="G3716" s="48">
        <v>41639</v>
      </c>
      <c r="H3716" s="46" t="s">
        <v>651</v>
      </c>
      <c r="I3716" s="45">
        <v>7500</v>
      </c>
      <c r="J3716" s="45">
        <v>7500</v>
      </c>
      <c r="K3716" s="49" t="s">
        <v>2650</v>
      </c>
      <c r="L3716" s="46"/>
    </row>
    <row r="3717" spans="1:12" ht="25.5" x14ac:dyDescent="0.25">
      <c r="A3717" s="46" t="s">
        <v>10539</v>
      </c>
      <c r="B3717" s="46" t="s">
        <v>11645</v>
      </c>
      <c r="C3717" s="46" t="s">
        <v>14</v>
      </c>
      <c r="D3717" s="47">
        <v>12517</v>
      </c>
      <c r="E3717" s="46" t="s">
        <v>10540</v>
      </c>
      <c r="F3717" s="48">
        <v>41478</v>
      </c>
      <c r="G3717" s="48">
        <v>41639</v>
      </c>
      <c r="H3717" s="46" t="s">
        <v>651</v>
      </c>
      <c r="I3717" s="45">
        <v>18750</v>
      </c>
      <c r="J3717" s="45">
        <v>18750</v>
      </c>
      <c r="K3717" s="49" t="s">
        <v>2650</v>
      </c>
      <c r="L3717" s="46"/>
    </row>
    <row r="3718" spans="1:12" ht="38.25" x14ac:dyDescent="0.25">
      <c r="A3718" s="46" t="s">
        <v>10541</v>
      </c>
      <c r="B3718" s="46" t="s">
        <v>11645</v>
      </c>
      <c r="C3718" s="46" t="s">
        <v>14</v>
      </c>
      <c r="D3718" s="47">
        <v>12518</v>
      </c>
      <c r="E3718" s="46" t="s">
        <v>10542</v>
      </c>
      <c r="F3718" s="48">
        <v>41310</v>
      </c>
      <c r="G3718" s="48">
        <v>41639</v>
      </c>
      <c r="H3718" s="46" t="s">
        <v>651</v>
      </c>
      <c r="I3718" s="45">
        <v>7500</v>
      </c>
      <c r="J3718" s="45">
        <v>7500</v>
      </c>
      <c r="K3718" s="49" t="s">
        <v>2650</v>
      </c>
      <c r="L3718" s="46"/>
    </row>
    <row r="3719" spans="1:12" x14ac:dyDescent="0.25">
      <c r="A3719" s="46" t="s">
        <v>10543</v>
      </c>
      <c r="B3719" s="46" t="s">
        <v>11645</v>
      </c>
      <c r="C3719" s="46" t="s">
        <v>14</v>
      </c>
      <c r="D3719" s="47">
        <v>12519</v>
      </c>
      <c r="E3719" s="46" t="s">
        <v>10544</v>
      </c>
      <c r="F3719" s="48">
        <v>41310</v>
      </c>
      <c r="G3719" s="48">
        <v>41639</v>
      </c>
      <c r="H3719" s="46" t="s">
        <v>651</v>
      </c>
      <c r="I3719" s="45">
        <v>8333.16</v>
      </c>
      <c r="J3719" s="45">
        <v>6041.58</v>
      </c>
      <c r="K3719" s="49" t="s">
        <v>2650</v>
      </c>
      <c r="L3719" s="46"/>
    </row>
    <row r="3720" spans="1:12" ht="25.5" x14ac:dyDescent="0.25">
      <c r="A3720" s="46" t="s">
        <v>10547</v>
      </c>
      <c r="B3720" s="46" t="s">
        <v>11645</v>
      </c>
      <c r="C3720" s="46" t="s">
        <v>14</v>
      </c>
      <c r="D3720" s="47">
        <v>12539</v>
      </c>
      <c r="E3720" s="46" t="s">
        <v>10548</v>
      </c>
      <c r="F3720" s="48">
        <v>41422</v>
      </c>
      <c r="G3720" s="48">
        <v>41639</v>
      </c>
      <c r="H3720" s="46" t="s">
        <v>651</v>
      </c>
      <c r="I3720" s="45">
        <v>7500</v>
      </c>
      <c r="J3720" s="45">
        <v>7500</v>
      </c>
      <c r="K3720" s="49" t="s">
        <v>2650</v>
      </c>
      <c r="L3720" s="46"/>
    </row>
    <row r="3721" spans="1:12" ht="25.5" x14ac:dyDescent="0.25">
      <c r="A3721" s="46" t="s">
        <v>10549</v>
      </c>
      <c r="B3721" s="46" t="s">
        <v>11645</v>
      </c>
      <c r="C3721" s="46" t="s">
        <v>14</v>
      </c>
      <c r="D3721" s="47">
        <v>12540</v>
      </c>
      <c r="E3721" s="46" t="s">
        <v>10550</v>
      </c>
      <c r="F3721" s="48">
        <v>41422</v>
      </c>
      <c r="G3721" s="48">
        <v>41639</v>
      </c>
      <c r="H3721" s="46" t="s">
        <v>651</v>
      </c>
      <c r="I3721" s="45">
        <v>18800.96</v>
      </c>
      <c r="J3721" s="45">
        <v>11275.48</v>
      </c>
      <c r="K3721" s="49" t="s">
        <v>2650</v>
      </c>
      <c r="L3721" s="46"/>
    </row>
    <row r="3722" spans="1:12" ht="25.5" x14ac:dyDescent="0.25">
      <c r="A3722" s="46" t="s">
        <v>10557</v>
      </c>
      <c r="B3722" s="46" t="s">
        <v>11645</v>
      </c>
      <c r="C3722" s="46" t="s">
        <v>14</v>
      </c>
      <c r="D3722" s="47">
        <v>12545</v>
      </c>
      <c r="E3722" s="46" t="s">
        <v>10558</v>
      </c>
      <c r="F3722" s="48">
        <v>41569</v>
      </c>
      <c r="G3722" s="48">
        <v>41639</v>
      </c>
      <c r="H3722" s="46" t="s">
        <v>651</v>
      </c>
      <c r="I3722" s="45">
        <v>4962.5</v>
      </c>
      <c r="J3722" s="45">
        <v>4355.25</v>
      </c>
      <c r="K3722" s="49" t="s">
        <v>2650</v>
      </c>
      <c r="L3722" s="46"/>
    </row>
    <row r="3723" spans="1:12" ht="25.5" x14ac:dyDescent="0.25">
      <c r="A3723" s="46" t="s">
        <v>10559</v>
      </c>
      <c r="B3723" s="46" t="s">
        <v>11645</v>
      </c>
      <c r="C3723" s="46" t="s">
        <v>14</v>
      </c>
      <c r="D3723" s="47">
        <v>12547</v>
      </c>
      <c r="E3723" s="46" t="s">
        <v>10560</v>
      </c>
      <c r="F3723" s="48">
        <v>41275</v>
      </c>
      <c r="G3723" s="48">
        <v>41639</v>
      </c>
      <c r="H3723" s="46" t="s">
        <v>651</v>
      </c>
      <c r="I3723" s="45">
        <v>5007.3599999999997</v>
      </c>
      <c r="J3723" s="45">
        <v>4378.12</v>
      </c>
      <c r="K3723" s="49" t="s">
        <v>2650</v>
      </c>
      <c r="L3723" s="46"/>
    </row>
    <row r="3724" spans="1:12" ht="25.5" x14ac:dyDescent="0.25">
      <c r="A3724" s="46" t="s">
        <v>10563</v>
      </c>
      <c r="B3724" s="46" t="s">
        <v>11645</v>
      </c>
      <c r="C3724" s="46" t="s">
        <v>14</v>
      </c>
      <c r="D3724" s="47">
        <v>12549</v>
      </c>
      <c r="E3724" s="46" t="s">
        <v>10564</v>
      </c>
      <c r="F3724" s="48">
        <v>41275</v>
      </c>
      <c r="G3724" s="48">
        <v>41639</v>
      </c>
      <c r="H3724" s="46" t="s">
        <v>651</v>
      </c>
      <c r="I3724" s="45">
        <v>7500</v>
      </c>
      <c r="J3724" s="45">
        <v>7500</v>
      </c>
      <c r="K3724" s="49" t="s">
        <v>2650</v>
      </c>
      <c r="L3724" s="46"/>
    </row>
    <row r="3725" spans="1:12" ht="25.5" x14ac:dyDescent="0.25">
      <c r="A3725" s="46" t="s">
        <v>10565</v>
      </c>
      <c r="B3725" s="46" t="s">
        <v>11645</v>
      </c>
      <c r="C3725" s="46" t="s">
        <v>14</v>
      </c>
      <c r="D3725" s="47">
        <v>12552</v>
      </c>
      <c r="E3725" s="46" t="s">
        <v>10566</v>
      </c>
      <c r="F3725" s="48">
        <v>41541</v>
      </c>
      <c r="G3725" s="48">
        <v>41639</v>
      </c>
      <c r="H3725" s="46" t="s">
        <v>651</v>
      </c>
      <c r="I3725" s="45">
        <v>7500</v>
      </c>
      <c r="J3725" s="45">
        <v>7500</v>
      </c>
      <c r="K3725" s="49" t="s">
        <v>2650</v>
      </c>
      <c r="L3725" s="46"/>
    </row>
    <row r="3726" spans="1:12" ht="25.5" x14ac:dyDescent="0.2">
      <c r="A3726" s="46" t="s">
        <v>10575</v>
      </c>
      <c r="B3726" s="46" t="s">
        <v>11645</v>
      </c>
      <c r="C3726" s="46" t="s">
        <v>14</v>
      </c>
      <c r="D3726" s="47">
        <v>12369</v>
      </c>
      <c r="E3726" s="46" t="s">
        <v>10576</v>
      </c>
      <c r="F3726" s="48">
        <v>40967</v>
      </c>
      <c r="G3726" s="46"/>
      <c r="H3726" s="46" t="s">
        <v>651</v>
      </c>
      <c r="I3726" s="45">
        <v>9187</v>
      </c>
      <c r="J3726" s="45">
        <v>9187</v>
      </c>
      <c r="K3726" s="88" t="s">
        <v>11651</v>
      </c>
      <c r="L3726" s="46"/>
    </row>
    <row r="3727" spans="1:12" ht="51" x14ac:dyDescent="0.2">
      <c r="A3727" s="46" t="s">
        <v>10577</v>
      </c>
      <c r="B3727" s="46" t="s">
        <v>11645</v>
      </c>
      <c r="C3727" s="46" t="s">
        <v>14</v>
      </c>
      <c r="D3727" s="47">
        <v>12370</v>
      </c>
      <c r="E3727" s="46" t="s">
        <v>10578</v>
      </c>
      <c r="F3727" s="48">
        <v>41261</v>
      </c>
      <c r="G3727" s="46"/>
      <c r="H3727" s="46" t="s">
        <v>651</v>
      </c>
      <c r="I3727" s="45">
        <v>6325</v>
      </c>
      <c r="J3727" s="45">
        <v>6325</v>
      </c>
      <c r="K3727" s="88" t="s">
        <v>11651</v>
      </c>
      <c r="L3727" s="46"/>
    </row>
    <row r="3728" spans="1:12" ht="38.25" x14ac:dyDescent="0.2">
      <c r="A3728" s="46" t="s">
        <v>10579</v>
      </c>
      <c r="B3728" s="46" t="s">
        <v>11645</v>
      </c>
      <c r="C3728" s="46" t="s">
        <v>14</v>
      </c>
      <c r="D3728" s="47">
        <v>12371</v>
      </c>
      <c r="E3728" s="46" t="s">
        <v>10580</v>
      </c>
      <c r="F3728" s="48">
        <v>41261</v>
      </c>
      <c r="G3728" s="46"/>
      <c r="H3728" s="46" t="s">
        <v>651</v>
      </c>
      <c r="I3728" s="45">
        <v>4168</v>
      </c>
      <c r="J3728" s="45">
        <v>4168</v>
      </c>
      <c r="K3728" s="88" t="s">
        <v>11651</v>
      </c>
      <c r="L3728" s="46"/>
    </row>
    <row r="3729" spans="1:12" ht="38.25" x14ac:dyDescent="0.2">
      <c r="A3729" s="46" t="s">
        <v>10581</v>
      </c>
      <c r="B3729" s="46" t="s">
        <v>11645</v>
      </c>
      <c r="C3729" s="46" t="s">
        <v>14</v>
      </c>
      <c r="D3729" s="47">
        <v>12372</v>
      </c>
      <c r="E3729" s="46" t="s">
        <v>10582</v>
      </c>
      <c r="F3729" s="48">
        <v>41051</v>
      </c>
      <c r="G3729" s="46"/>
      <c r="H3729" s="46" t="s">
        <v>651</v>
      </c>
      <c r="I3729" s="45">
        <v>5625</v>
      </c>
      <c r="J3729" s="45">
        <v>5625</v>
      </c>
      <c r="K3729" s="88" t="s">
        <v>11651</v>
      </c>
      <c r="L3729" s="46"/>
    </row>
    <row r="3730" spans="1:12" ht="38.25" x14ac:dyDescent="0.2">
      <c r="A3730" s="46" t="s">
        <v>10583</v>
      </c>
      <c r="B3730" s="46" t="s">
        <v>11645</v>
      </c>
      <c r="C3730" s="46" t="s">
        <v>14</v>
      </c>
      <c r="D3730" s="47">
        <v>12373</v>
      </c>
      <c r="E3730" s="46" t="s">
        <v>10584</v>
      </c>
      <c r="F3730" s="48">
        <v>41114</v>
      </c>
      <c r="G3730" s="46"/>
      <c r="H3730" s="46" t="s">
        <v>651</v>
      </c>
      <c r="I3730" s="45">
        <v>14062</v>
      </c>
      <c r="J3730" s="45">
        <v>14062</v>
      </c>
      <c r="K3730" s="88" t="s">
        <v>11651</v>
      </c>
      <c r="L3730" s="46"/>
    </row>
    <row r="3731" spans="1:12" ht="25.5" x14ac:dyDescent="0.2">
      <c r="A3731" s="46" t="s">
        <v>10589</v>
      </c>
      <c r="B3731" s="46" t="s">
        <v>11645</v>
      </c>
      <c r="C3731" s="46" t="s">
        <v>14</v>
      </c>
      <c r="D3731" s="47">
        <v>12386</v>
      </c>
      <c r="E3731" s="46" t="s">
        <v>4006</v>
      </c>
      <c r="F3731" s="48">
        <v>41051</v>
      </c>
      <c r="G3731" s="46"/>
      <c r="H3731" s="46" t="s">
        <v>651</v>
      </c>
      <c r="I3731" s="45">
        <v>13461</v>
      </c>
      <c r="J3731" s="45">
        <v>13461</v>
      </c>
      <c r="K3731" s="88" t="s">
        <v>11651</v>
      </c>
      <c r="L3731" s="46"/>
    </row>
    <row r="3732" spans="1:12" ht="25.5" x14ac:dyDescent="0.2">
      <c r="A3732" s="46" t="s">
        <v>10590</v>
      </c>
      <c r="B3732" s="46" t="s">
        <v>11645</v>
      </c>
      <c r="C3732" s="46" t="s">
        <v>14</v>
      </c>
      <c r="D3732" s="47">
        <v>12387</v>
      </c>
      <c r="E3732" s="46" t="s">
        <v>10591</v>
      </c>
      <c r="F3732" s="48">
        <v>41114</v>
      </c>
      <c r="G3732" s="46"/>
      <c r="H3732" s="46" t="s">
        <v>651</v>
      </c>
      <c r="I3732" s="45">
        <v>6250</v>
      </c>
      <c r="J3732" s="45">
        <v>6250</v>
      </c>
      <c r="K3732" s="88" t="s">
        <v>11651</v>
      </c>
      <c r="L3732" s="46"/>
    </row>
    <row r="3733" spans="1:12" ht="38.25" x14ac:dyDescent="0.2">
      <c r="A3733" s="46" t="s">
        <v>10592</v>
      </c>
      <c r="B3733" s="46" t="s">
        <v>11645</v>
      </c>
      <c r="C3733" s="46" t="s">
        <v>14</v>
      </c>
      <c r="D3733" s="47">
        <v>12388</v>
      </c>
      <c r="E3733" s="46" t="s">
        <v>10593</v>
      </c>
      <c r="F3733" s="48">
        <v>41177</v>
      </c>
      <c r="G3733" s="46"/>
      <c r="H3733" s="46" t="s">
        <v>651</v>
      </c>
      <c r="I3733" s="45">
        <v>7362</v>
      </c>
      <c r="J3733" s="45">
        <v>7362</v>
      </c>
      <c r="K3733" s="88" t="s">
        <v>11651</v>
      </c>
      <c r="L3733" s="46"/>
    </row>
    <row r="3734" spans="1:12" ht="38.25" x14ac:dyDescent="0.2">
      <c r="A3734" s="46" t="s">
        <v>10594</v>
      </c>
      <c r="B3734" s="46" t="s">
        <v>11645</v>
      </c>
      <c r="C3734" s="46" t="s">
        <v>14</v>
      </c>
      <c r="D3734" s="47">
        <v>12389</v>
      </c>
      <c r="E3734" s="46" t="s">
        <v>10595</v>
      </c>
      <c r="F3734" s="48">
        <v>41114</v>
      </c>
      <c r="G3734" s="46"/>
      <c r="H3734" s="46" t="s">
        <v>651</v>
      </c>
      <c r="I3734" s="45">
        <v>7500</v>
      </c>
      <c r="J3734" s="45">
        <v>7500</v>
      </c>
      <c r="K3734" s="88" t="s">
        <v>11651</v>
      </c>
      <c r="L3734" s="46"/>
    </row>
    <row r="3735" spans="1:12" ht="38.25" x14ac:dyDescent="0.2">
      <c r="A3735" s="46" t="s">
        <v>10603</v>
      </c>
      <c r="B3735" s="46" t="s">
        <v>11645</v>
      </c>
      <c r="C3735" s="46" t="s">
        <v>14</v>
      </c>
      <c r="D3735" s="47">
        <v>12394</v>
      </c>
      <c r="E3735" s="46" t="s">
        <v>10604</v>
      </c>
      <c r="F3735" s="48">
        <v>41205</v>
      </c>
      <c r="G3735" s="46"/>
      <c r="H3735" s="46" t="s">
        <v>651</v>
      </c>
      <c r="I3735" s="45">
        <v>9000</v>
      </c>
      <c r="J3735" s="45">
        <v>9000</v>
      </c>
      <c r="K3735" s="88" t="s">
        <v>11651</v>
      </c>
      <c r="L3735" s="46"/>
    </row>
    <row r="3736" spans="1:12" x14ac:dyDescent="0.2">
      <c r="A3736" s="46" t="s">
        <v>10607</v>
      </c>
      <c r="B3736" s="46" t="s">
        <v>11645</v>
      </c>
      <c r="C3736" s="46" t="s">
        <v>14</v>
      </c>
      <c r="D3736" s="47">
        <v>12397</v>
      </c>
      <c r="E3736" s="46" t="s">
        <v>10608</v>
      </c>
      <c r="F3736" s="48">
        <v>41478</v>
      </c>
      <c r="G3736" s="46"/>
      <c r="H3736" s="46" t="s">
        <v>651</v>
      </c>
      <c r="I3736" s="45">
        <v>14947.75</v>
      </c>
      <c r="J3736" s="45">
        <v>14947.75</v>
      </c>
      <c r="K3736" s="88" t="s">
        <v>11651</v>
      </c>
      <c r="L3736" s="46"/>
    </row>
    <row r="3737" spans="1:12" ht="25.5" x14ac:dyDescent="0.2">
      <c r="A3737" s="46" t="s">
        <v>10609</v>
      </c>
      <c r="B3737" s="46" t="s">
        <v>11645</v>
      </c>
      <c r="C3737" s="46" t="s">
        <v>14</v>
      </c>
      <c r="D3737" s="47">
        <v>12399</v>
      </c>
      <c r="E3737" s="46" t="s">
        <v>10610</v>
      </c>
      <c r="F3737" s="48">
        <v>41569</v>
      </c>
      <c r="G3737" s="46"/>
      <c r="H3737" s="46" t="s">
        <v>651</v>
      </c>
      <c r="I3737" s="45">
        <v>16875</v>
      </c>
      <c r="J3737" s="45">
        <v>16875</v>
      </c>
      <c r="K3737" s="88" t="s">
        <v>11651</v>
      </c>
      <c r="L3737" s="46"/>
    </row>
    <row r="3738" spans="1:12" ht="38.25" x14ac:dyDescent="0.2">
      <c r="A3738" s="46" t="s">
        <v>10611</v>
      </c>
      <c r="B3738" s="46" t="s">
        <v>11645</v>
      </c>
      <c r="C3738" s="46" t="s">
        <v>14</v>
      </c>
      <c r="D3738" s="47">
        <v>12400</v>
      </c>
      <c r="E3738" s="46" t="s">
        <v>10612</v>
      </c>
      <c r="F3738" s="48">
        <v>41541</v>
      </c>
      <c r="G3738" s="46"/>
      <c r="H3738" s="46" t="s">
        <v>651</v>
      </c>
      <c r="I3738" s="45">
        <v>22031</v>
      </c>
      <c r="J3738" s="45">
        <v>22031</v>
      </c>
      <c r="K3738" s="88" t="s">
        <v>11651</v>
      </c>
      <c r="L3738" s="46"/>
    </row>
    <row r="3739" spans="1:12" ht="51" x14ac:dyDescent="0.2">
      <c r="A3739" s="46" t="s">
        <v>10614</v>
      </c>
      <c r="B3739" s="46" t="s">
        <v>11645</v>
      </c>
      <c r="C3739" s="46" t="s">
        <v>14</v>
      </c>
      <c r="D3739" s="47">
        <v>12402</v>
      </c>
      <c r="E3739" s="46" t="s">
        <v>10615</v>
      </c>
      <c r="F3739" s="48">
        <v>41569</v>
      </c>
      <c r="G3739" s="46"/>
      <c r="H3739" s="46" t="s">
        <v>651</v>
      </c>
      <c r="I3739" s="45">
        <v>22500</v>
      </c>
      <c r="J3739" s="45">
        <v>22500</v>
      </c>
      <c r="K3739" s="88" t="s">
        <v>11651</v>
      </c>
      <c r="L3739" s="46"/>
    </row>
    <row r="3740" spans="1:12" ht="51" x14ac:dyDescent="0.25">
      <c r="A3740" s="46" t="s">
        <v>10619</v>
      </c>
      <c r="B3740" s="46" t="s">
        <v>11645</v>
      </c>
      <c r="C3740" s="46" t="s">
        <v>14</v>
      </c>
      <c r="D3740" s="47">
        <v>12793</v>
      </c>
      <c r="E3740" s="46" t="s">
        <v>10620</v>
      </c>
      <c r="F3740" s="48">
        <v>41220</v>
      </c>
      <c r="G3740" s="46"/>
      <c r="H3740" s="46" t="s">
        <v>651</v>
      </c>
      <c r="I3740" s="45">
        <v>25000</v>
      </c>
      <c r="J3740" s="45">
        <v>25000</v>
      </c>
      <c r="K3740" s="49" t="s">
        <v>4035</v>
      </c>
      <c r="L3740" s="46"/>
    </row>
    <row r="3741" spans="1:12" x14ac:dyDescent="0.25">
      <c r="A3741" s="46" t="s">
        <v>10622</v>
      </c>
      <c r="B3741" s="46" t="s">
        <v>11645</v>
      </c>
      <c r="C3741" s="46" t="s">
        <v>14</v>
      </c>
      <c r="D3741" s="47">
        <v>12795</v>
      </c>
      <c r="E3741" s="46" t="s">
        <v>10623</v>
      </c>
      <c r="F3741" s="48">
        <v>41255</v>
      </c>
      <c r="G3741" s="46"/>
      <c r="H3741" s="46" t="s">
        <v>651</v>
      </c>
      <c r="I3741" s="45">
        <v>20000</v>
      </c>
      <c r="J3741" s="45">
        <v>20000</v>
      </c>
      <c r="K3741" s="49" t="s">
        <v>4035</v>
      </c>
      <c r="L3741" s="46"/>
    </row>
    <row r="3742" spans="1:12" ht="25.5" x14ac:dyDescent="0.25">
      <c r="A3742" s="46" t="s">
        <v>10627</v>
      </c>
      <c r="B3742" s="46" t="s">
        <v>11645</v>
      </c>
      <c r="C3742" s="46" t="s">
        <v>14</v>
      </c>
      <c r="D3742" s="47">
        <v>12797</v>
      </c>
      <c r="E3742" s="46" t="s">
        <v>10628</v>
      </c>
      <c r="F3742" s="48">
        <v>41255</v>
      </c>
      <c r="G3742" s="46"/>
      <c r="H3742" s="46" t="s">
        <v>651</v>
      </c>
      <c r="I3742" s="45">
        <v>10000</v>
      </c>
      <c r="J3742" s="45">
        <v>10000</v>
      </c>
      <c r="K3742" s="49" t="s">
        <v>4035</v>
      </c>
      <c r="L3742" s="46"/>
    </row>
    <row r="3743" spans="1:12" ht="25.5" x14ac:dyDescent="0.25">
      <c r="A3743" s="46" t="s">
        <v>10629</v>
      </c>
      <c r="B3743" s="46" t="s">
        <v>11645</v>
      </c>
      <c r="C3743" s="46" t="s">
        <v>14</v>
      </c>
      <c r="D3743" s="47">
        <v>12798</v>
      </c>
      <c r="E3743" s="46" t="s">
        <v>10630</v>
      </c>
      <c r="F3743" s="48">
        <v>41255</v>
      </c>
      <c r="G3743" s="46"/>
      <c r="H3743" s="46" t="s">
        <v>651</v>
      </c>
      <c r="I3743" s="45">
        <v>15000</v>
      </c>
      <c r="J3743" s="45">
        <v>15000</v>
      </c>
      <c r="K3743" s="49" t="s">
        <v>4035</v>
      </c>
      <c r="L3743" s="46"/>
    </row>
    <row r="3744" spans="1:12" ht="25.5" x14ac:dyDescent="0.25">
      <c r="A3744" s="46" t="s">
        <v>10633</v>
      </c>
      <c r="B3744" s="46" t="s">
        <v>11645</v>
      </c>
      <c r="C3744" s="46" t="s">
        <v>14</v>
      </c>
      <c r="D3744" s="47">
        <v>12800</v>
      </c>
      <c r="E3744" s="46" t="s">
        <v>10634</v>
      </c>
      <c r="F3744" s="48">
        <v>41220</v>
      </c>
      <c r="G3744" s="46"/>
      <c r="H3744" s="46" t="s">
        <v>651</v>
      </c>
      <c r="I3744" s="45">
        <v>28200</v>
      </c>
      <c r="J3744" s="45">
        <v>14100</v>
      </c>
      <c r="K3744" s="49" t="s">
        <v>4035</v>
      </c>
      <c r="L3744" s="46"/>
    </row>
    <row r="3745" spans="1:12" ht="25.5" x14ac:dyDescent="0.25">
      <c r="A3745" s="46" t="s">
        <v>10639</v>
      </c>
      <c r="B3745" s="46" t="s">
        <v>11645</v>
      </c>
      <c r="C3745" s="46" t="s">
        <v>14</v>
      </c>
      <c r="D3745" s="47">
        <v>12803</v>
      </c>
      <c r="E3745" s="46" t="s">
        <v>10640</v>
      </c>
      <c r="F3745" s="48">
        <v>41339</v>
      </c>
      <c r="G3745" s="46"/>
      <c r="H3745" s="46" t="s">
        <v>651</v>
      </c>
      <c r="I3745" s="45">
        <v>3750</v>
      </c>
      <c r="J3745" s="45">
        <v>3750</v>
      </c>
      <c r="K3745" s="49" t="s">
        <v>4035</v>
      </c>
      <c r="L3745" s="46"/>
    </row>
    <row r="3746" spans="1:12" ht="51" x14ac:dyDescent="0.25">
      <c r="A3746" s="46" t="s">
        <v>10641</v>
      </c>
      <c r="B3746" s="46" t="s">
        <v>11645</v>
      </c>
      <c r="C3746" s="46" t="s">
        <v>14</v>
      </c>
      <c r="D3746" s="47">
        <v>12804</v>
      </c>
      <c r="E3746" s="46" t="s">
        <v>10642</v>
      </c>
      <c r="F3746" s="48">
        <v>41451</v>
      </c>
      <c r="G3746" s="46"/>
      <c r="H3746" s="46" t="s">
        <v>651</v>
      </c>
      <c r="I3746" s="45">
        <v>10000</v>
      </c>
      <c r="J3746" s="45">
        <v>10000</v>
      </c>
      <c r="K3746" s="49" t="s">
        <v>4035</v>
      </c>
      <c r="L3746" s="46"/>
    </row>
    <row r="3747" spans="1:12" ht="25.5" x14ac:dyDescent="0.25">
      <c r="A3747" s="46" t="s">
        <v>10643</v>
      </c>
      <c r="B3747" s="46" t="s">
        <v>11645</v>
      </c>
      <c r="C3747" s="46" t="s">
        <v>14</v>
      </c>
      <c r="D3747" s="47">
        <v>12805</v>
      </c>
      <c r="E3747" s="46" t="s">
        <v>10644</v>
      </c>
      <c r="F3747" s="48">
        <v>41521</v>
      </c>
      <c r="G3747" s="46"/>
      <c r="H3747" s="46" t="s">
        <v>651</v>
      </c>
      <c r="I3747" s="45">
        <v>10000</v>
      </c>
      <c r="J3747" s="45">
        <v>10000</v>
      </c>
      <c r="K3747" s="49" t="s">
        <v>4035</v>
      </c>
      <c r="L3747" s="46"/>
    </row>
    <row r="3748" spans="1:12" ht="25.5" x14ac:dyDescent="0.25">
      <c r="A3748" s="46" t="s">
        <v>10647</v>
      </c>
      <c r="B3748" s="46" t="s">
        <v>11645</v>
      </c>
      <c r="C3748" s="46" t="s">
        <v>14</v>
      </c>
      <c r="D3748" s="47">
        <v>12807</v>
      </c>
      <c r="E3748" s="46" t="s">
        <v>10648</v>
      </c>
      <c r="F3748" s="48">
        <v>41584</v>
      </c>
      <c r="G3748" s="46"/>
      <c r="H3748" s="46" t="s">
        <v>651</v>
      </c>
      <c r="I3748" s="45">
        <v>5000</v>
      </c>
      <c r="J3748" s="45">
        <v>5000</v>
      </c>
      <c r="K3748" s="49" t="s">
        <v>4035</v>
      </c>
      <c r="L3748" s="46"/>
    </row>
    <row r="3749" spans="1:12" x14ac:dyDescent="0.25">
      <c r="A3749" s="46" t="s">
        <v>10651</v>
      </c>
      <c r="B3749" s="46" t="s">
        <v>11645</v>
      </c>
      <c r="C3749" s="46" t="s">
        <v>14</v>
      </c>
      <c r="D3749" s="47">
        <v>12351</v>
      </c>
      <c r="E3749" s="46" t="s">
        <v>10652</v>
      </c>
      <c r="F3749" s="48">
        <v>41402</v>
      </c>
      <c r="G3749" s="48">
        <v>41605</v>
      </c>
      <c r="H3749" s="46" t="s">
        <v>651</v>
      </c>
      <c r="I3749" s="45">
        <v>7500</v>
      </c>
      <c r="J3749" s="45">
        <v>7500</v>
      </c>
      <c r="K3749" s="49" t="s">
        <v>4318</v>
      </c>
      <c r="L3749" s="46"/>
    </row>
    <row r="3750" spans="1:12" ht="25.5" x14ac:dyDescent="0.25">
      <c r="A3750" s="46" t="s">
        <v>10653</v>
      </c>
      <c r="B3750" s="46" t="s">
        <v>11645</v>
      </c>
      <c r="C3750" s="46" t="s">
        <v>14</v>
      </c>
      <c r="D3750" s="47">
        <v>12363</v>
      </c>
      <c r="E3750" s="46" t="s">
        <v>10654</v>
      </c>
      <c r="F3750" s="48">
        <v>41304</v>
      </c>
      <c r="G3750" s="48">
        <v>41478</v>
      </c>
      <c r="H3750" s="46" t="s">
        <v>651</v>
      </c>
      <c r="I3750" s="45">
        <v>7000</v>
      </c>
      <c r="J3750" s="45">
        <v>3500</v>
      </c>
      <c r="K3750" s="49" t="s">
        <v>4318</v>
      </c>
      <c r="L3750" s="46"/>
    </row>
    <row r="3751" spans="1:12" ht="25.5" x14ac:dyDescent="0.25">
      <c r="A3751" s="46" t="s">
        <v>10655</v>
      </c>
      <c r="B3751" s="46" t="s">
        <v>11645</v>
      </c>
      <c r="C3751" s="46" t="s">
        <v>14</v>
      </c>
      <c r="D3751" s="47">
        <v>12364</v>
      </c>
      <c r="E3751" s="46" t="s">
        <v>10656</v>
      </c>
      <c r="F3751" s="48">
        <v>41344</v>
      </c>
      <c r="G3751" s="48">
        <v>41470</v>
      </c>
      <c r="H3751" s="46" t="s">
        <v>651</v>
      </c>
      <c r="I3751" s="45">
        <v>7500</v>
      </c>
      <c r="J3751" s="45">
        <v>7500</v>
      </c>
      <c r="K3751" s="49" t="s">
        <v>4318</v>
      </c>
      <c r="L3751" s="46"/>
    </row>
    <row r="3752" spans="1:12" x14ac:dyDescent="0.25">
      <c r="A3752" s="46" t="s">
        <v>10659</v>
      </c>
      <c r="B3752" s="46" t="s">
        <v>11645</v>
      </c>
      <c r="C3752" s="46" t="s">
        <v>14</v>
      </c>
      <c r="D3752" s="47">
        <v>12404</v>
      </c>
      <c r="E3752" s="46" t="s">
        <v>10660</v>
      </c>
      <c r="F3752" s="48">
        <v>41325</v>
      </c>
      <c r="G3752" s="48">
        <v>41460</v>
      </c>
      <c r="H3752" s="46" t="s">
        <v>651</v>
      </c>
      <c r="I3752" s="45">
        <v>7500</v>
      </c>
      <c r="J3752" s="45">
        <v>7500</v>
      </c>
      <c r="K3752" s="49" t="s">
        <v>4318</v>
      </c>
      <c r="L3752" s="46"/>
    </row>
    <row r="3753" spans="1:12" ht="25.5" x14ac:dyDescent="0.25">
      <c r="A3753" s="46" t="s">
        <v>10661</v>
      </c>
      <c r="B3753" s="46" t="s">
        <v>11645</v>
      </c>
      <c r="C3753" s="46" t="s">
        <v>14</v>
      </c>
      <c r="D3753" s="47">
        <v>12491</v>
      </c>
      <c r="E3753" s="46" t="s">
        <v>10662</v>
      </c>
      <c r="F3753" s="48">
        <v>41051</v>
      </c>
      <c r="G3753" s="48">
        <v>41593</v>
      </c>
      <c r="H3753" s="46" t="s">
        <v>651</v>
      </c>
      <c r="I3753" s="45">
        <v>45000</v>
      </c>
      <c r="J3753" s="45">
        <v>45000</v>
      </c>
      <c r="K3753" s="49" t="s">
        <v>4318</v>
      </c>
      <c r="L3753" s="46"/>
    </row>
    <row r="3754" spans="1:12" ht="25.5" x14ac:dyDescent="0.25">
      <c r="A3754" s="46" t="s">
        <v>10663</v>
      </c>
      <c r="B3754" s="46" t="s">
        <v>11645</v>
      </c>
      <c r="C3754" s="46" t="s">
        <v>14</v>
      </c>
      <c r="D3754" s="47">
        <v>12499</v>
      </c>
      <c r="E3754" s="46" t="s">
        <v>10664</v>
      </c>
      <c r="F3754" s="48">
        <v>41402</v>
      </c>
      <c r="G3754" s="48">
        <v>41470</v>
      </c>
      <c r="H3754" s="46" t="s">
        <v>651</v>
      </c>
      <c r="I3754" s="45">
        <v>30000</v>
      </c>
      <c r="J3754" s="45">
        <v>15000</v>
      </c>
      <c r="K3754" s="49" t="s">
        <v>4318</v>
      </c>
      <c r="L3754" s="46"/>
    </row>
    <row r="3755" spans="1:12" ht="25.5" x14ac:dyDescent="0.25">
      <c r="A3755" s="46" t="s">
        <v>10669</v>
      </c>
      <c r="B3755" s="46" t="s">
        <v>11645</v>
      </c>
      <c r="C3755" s="46" t="s">
        <v>14</v>
      </c>
      <c r="D3755" s="47">
        <v>12544</v>
      </c>
      <c r="E3755" s="46" t="s">
        <v>10670</v>
      </c>
      <c r="F3755" s="48">
        <v>40955</v>
      </c>
      <c r="G3755" s="48">
        <v>41380</v>
      </c>
      <c r="H3755" s="46" t="s">
        <v>651</v>
      </c>
      <c r="I3755" s="45">
        <v>15000</v>
      </c>
      <c r="J3755" s="45">
        <v>7500</v>
      </c>
      <c r="K3755" s="49" t="s">
        <v>4318</v>
      </c>
      <c r="L3755" s="46"/>
    </row>
    <row r="3756" spans="1:12" x14ac:dyDescent="0.25">
      <c r="A3756" s="46" t="s">
        <v>10673</v>
      </c>
      <c r="B3756" s="46" t="s">
        <v>11645</v>
      </c>
      <c r="C3756" s="46" t="s">
        <v>14</v>
      </c>
      <c r="D3756" s="47">
        <v>12551</v>
      </c>
      <c r="E3756" s="46" t="s">
        <v>10674</v>
      </c>
      <c r="F3756" s="48">
        <v>41449</v>
      </c>
      <c r="G3756" s="48">
        <v>41521</v>
      </c>
      <c r="H3756" s="46" t="s">
        <v>651</v>
      </c>
      <c r="I3756" s="45">
        <v>3750</v>
      </c>
      <c r="J3756" s="45">
        <v>3750</v>
      </c>
      <c r="K3756" s="49" t="s">
        <v>4318</v>
      </c>
      <c r="L3756" s="46"/>
    </row>
    <row r="3757" spans="1:12" x14ac:dyDescent="0.25">
      <c r="A3757" s="46" t="s">
        <v>10677</v>
      </c>
      <c r="B3757" s="46" t="s">
        <v>11645</v>
      </c>
      <c r="C3757" s="46" t="s">
        <v>14</v>
      </c>
      <c r="D3757" s="47">
        <v>12595</v>
      </c>
      <c r="E3757" s="46" t="s">
        <v>10678</v>
      </c>
      <c r="F3757" s="48">
        <v>41374</v>
      </c>
      <c r="G3757" s="48">
        <v>41486</v>
      </c>
      <c r="H3757" s="46" t="s">
        <v>651</v>
      </c>
      <c r="I3757" s="45">
        <v>40000</v>
      </c>
      <c r="J3757" s="45">
        <v>20000</v>
      </c>
      <c r="K3757" s="49" t="s">
        <v>4318</v>
      </c>
      <c r="L3757" s="46"/>
    </row>
    <row r="3758" spans="1:12" x14ac:dyDescent="0.25">
      <c r="A3758" s="46" t="s">
        <v>10689</v>
      </c>
      <c r="B3758" s="46" t="s">
        <v>11645</v>
      </c>
      <c r="C3758" s="46" t="s">
        <v>14</v>
      </c>
      <c r="D3758" s="47">
        <v>12159</v>
      </c>
      <c r="E3758" s="46" t="s">
        <v>10690</v>
      </c>
      <c r="F3758" s="48">
        <v>40820</v>
      </c>
      <c r="G3758" s="46"/>
      <c r="H3758" s="46" t="s">
        <v>651</v>
      </c>
      <c r="I3758" s="45">
        <v>5148</v>
      </c>
      <c r="J3758" s="45">
        <v>2574</v>
      </c>
      <c r="K3758" s="49" t="s">
        <v>4667</v>
      </c>
      <c r="L3758" s="46"/>
    </row>
    <row r="3759" spans="1:12" x14ac:dyDescent="0.25">
      <c r="A3759" s="46" t="s">
        <v>10693</v>
      </c>
      <c r="B3759" s="46" t="s">
        <v>11645</v>
      </c>
      <c r="C3759" s="46" t="s">
        <v>14</v>
      </c>
      <c r="D3759" s="47">
        <v>12166</v>
      </c>
      <c r="E3759" s="46" t="s">
        <v>10694</v>
      </c>
      <c r="F3759" s="48">
        <v>41309</v>
      </c>
      <c r="G3759" s="46"/>
      <c r="H3759" s="46" t="s">
        <v>651</v>
      </c>
      <c r="I3759" s="45">
        <v>7407</v>
      </c>
      <c r="J3759" s="45">
        <v>3704</v>
      </c>
      <c r="K3759" s="49" t="s">
        <v>4667</v>
      </c>
      <c r="L3759" s="46"/>
    </row>
    <row r="3760" spans="1:12" ht="38.25" x14ac:dyDescent="0.25">
      <c r="A3760" s="46" t="s">
        <v>10695</v>
      </c>
      <c r="B3760" s="46" t="s">
        <v>11645</v>
      </c>
      <c r="C3760" s="46" t="s">
        <v>14</v>
      </c>
      <c r="D3760" s="47">
        <v>12169</v>
      </c>
      <c r="E3760" s="46" t="s">
        <v>10696</v>
      </c>
      <c r="F3760" s="48">
        <v>41046</v>
      </c>
      <c r="G3760" s="46"/>
      <c r="H3760" s="46" t="s">
        <v>651</v>
      </c>
      <c r="I3760" s="45">
        <v>10000</v>
      </c>
      <c r="J3760" s="45">
        <v>10000</v>
      </c>
      <c r="K3760" s="49" t="s">
        <v>4667</v>
      </c>
      <c r="L3760" s="46"/>
    </row>
    <row r="3761" spans="1:12" x14ac:dyDescent="0.25">
      <c r="A3761" s="46" t="s">
        <v>10705</v>
      </c>
      <c r="B3761" s="46" t="s">
        <v>11645</v>
      </c>
      <c r="C3761" s="46" t="s">
        <v>14</v>
      </c>
      <c r="D3761" s="47">
        <v>12344</v>
      </c>
      <c r="E3761" s="46" t="s">
        <v>10706</v>
      </c>
      <c r="F3761" s="48">
        <v>41282</v>
      </c>
      <c r="G3761" s="46"/>
      <c r="H3761" s="46" t="s">
        <v>651</v>
      </c>
      <c r="I3761" s="45">
        <v>17518</v>
      </c>
      <c r="J3761" s="45">
        <v>13759</v>
      </c>
      <c r="K3761" s="49" t="s">
        <v>4667</v>
      </c>
      <c r="L3761" s="46"/>
    </row>
    <row r="3762" spans="1:12" ht="25.5" x14ac:dyDescent="0.25">
      <c r="A3762" s="46" t="s">
        <v>10713</v>
      </c>
      <c r="B3762" s="46" t="s">
        <v>11645</v>
      </c>
      <c r="C3762" s="46" t="s">
        <v>14</v>
      </c>
      <c r="D3762" s="47">
        <v>12406</v>
      </c>
      <c r="E3762" s="46" t="s">
        <v>10714</v>
      </c>
      <c r="F3762" s="48">
        <v>41551</v>
      </c>
      <c r="G3762" s="46"/>
      <c r="H3762" s="46" t="s">
        <v>651</v>
      </c>
      <c r="I3762" s="45">
        <v>10000</v>
      </c>
      <c r="J3762" s="45">
        <v>10000</v>
      </c>
      <c r="K3762" s="49" t="s">
        <v>4667</v>
      </c>
      <c r="L3762" s="46"/>
    </row>
    <row r="3763" spans="1:12" x14ac:dyDescent="0.25">
      <c r="A3763" s="46" t="s">
        <v>10715</v>
      </c>
      <c r="B3763" s="46" t="s">
        <v>11645</v>
      </c>
      <c r="C3763" s="46" t="s">
        <v>14</v>
      </c>
      <c r="D3763" s="47">
        <v>12407</v>
      </c>
      <c r="E3763" s="46" t="s">
        <v>10716</v>
      </c>
      <c r="F3763" s="48">
        <v>41376</v>
      </c>
      <c r="G3763" s="46"/>
      <c r="H3763" s="46" t="s">
        <v>651</v>
      </c>
      <c r="I3763" s="45">
        <v>5000</v>
      </c>
      <c r="J3763" s="45">
        <v>5000</v>
      </c>
      <c r="K3763" s="49" t="s">
        <v>4667</v>
      </c>
      <c r="L3763" s="46"/>
    </row>
    <row r="3764" spans="1:12" x14ac:dyDescent="0.25">
      <c r="A3764" s="46" t="s">
        <v>10719</v>
      </c>
      <c r="B3764" s="46" t="s">
        <v>11645</v>
      </c>
      <c r="C3764" s="46" t="s">
        <v>14</v>
      </c>
      <c r="D3764" s="47">
        <v>12409</v>
      </c>
      <c r="E3764" s="46" t="s">
        <v>10720</v>
      </c>
      <c r="F3764" s="48">
        <v>41411</v>
      </c>
      <c r="G3764" s="46"/>
      <c r="H3764" s="46" t="s">
        <v>651</v>
      </c>
      <c r="I3764" s="45">
        <v>2500</v>
      </c>
      <c r="J3764" s="45">
        <v>2500</v>
      </c>
      <c r="K3764" s="49" t="s">
        <v>4667</v>
      </c>
      <c r="L3764" s="46"/>
    </row>
    <row r="3765" spans="1:12" ht="38.25" x14ac:dyDescent="0.25">
      <c r="A3765" s="46" t="s">
        <v>10721</v>
      </c>
      <c r="B3765" s="46" t="s">
        <v>11645</v>
      </c>
      <c r="C3765" s="46" t="s">
        <v>14</v>
      </c>
      <c r="D3765" s="47">
        <v>12413</v>
      </c>
      <c r="E3765" s="46" t="s">
        <v>10722</v>
      </c>
      <c r="F3765" s="48">
        <v>41153</v>
      </c>
      <c r="G3765" s="46"/>
      <c r="H3765" s="46" t="s">
        <v>651</v>
      </c>
      <c r="I3765" s="45">
        <v>64000</v>
      </c>
      <c r="J3765" s="45">
        <v>44000</v>
      </c>
      <c r="K3765" s="49" t="s">
        <v>4667</v>
      </c>
      <c r="L3765" s="46"/>
    </row>
    <row r="3766" spans="1:12" x14ac:dyDescent="0.25">
      <c r="A3766" s="46" t="s">
        <v>10727</v>
      </c>
      <c r="B3766" s="46" t="s">
        <v>11645</v>
      </c>
      <c r="C3766" s="46" t="s">
        <v>14</v>
      </c>
      <c r="D3766" s="47">
        <v>12422</v>
      </c>
      <c r="E3766" s="46" t="s">
        <v>10728</v>
      </c>
      <c r="F3766" s="48">
        <v>41334</v>
      </c>
      <c r="G3766" s="46"/>
      <c r="H3766" s="46" t="s">
        <v>651</v>
      </c>
      <c r="I3766" s="45">
        <v>1650</v>
      </c>
      <c r="J3766" s="45">
        <v>825</v>
      </c>
      <c r="K3766" s="49" t="s">
        <v>4667</v>
      </c>
      <c r="L3766" s="46"/>
    </row>
    <row r="3767" spans="1:12" x14ac:dyDescent="0.25">
      <c r="A3767" s="46" t="s">
        <v>10729</v>
      </c>
      <c r="B3767" s="46" t="s">
        <v>11645</v>
      </c>
      <c r="C3767" s="46" t="s">
        <v>14</v>
      </c>
      <c r="D3767" s="47">
        <v>12425</v>
      </c>
      <c r="E3767" s="46" t="s">
        <v>10730</v>
      </c>
      <c r="F3767" s="48">
        <v>41426</v>
      </c>
      <c r="G3767" s="46"/>
      <c r="H3767" s="46" t="s">
        <v>651</v>
      </c>
      <c r="I3767" s="45">
        <v>5000</v>
      </c>
      <c r="J3767" s="45">
        <v>5000</v>
      </c>
      <c r="K3767" s="49" t="s">
        <v>4667</v>
      </c>
      <c r="L3767" s="46"/>
    </row>
    <row r="3768" spans="1:12" x14ac:dyDescent="0.25">
      <c r="A3768" s="46" t="s">
        <v>10731</v>
      </c>
      <c r="B3768" s="46" t="s">
        <v>11645</v>
      </c>
      <c r="C3768" s="46" t="s">
        <v>14</v>
      </c>
      <c r="D3768" s="47">
        <v>12427</v>
      </c>
      <c r="E3768" s="46" t="s">
        <v>10732</v>
      </c>
      <c r="F3768" s="48">
        <v>41153</v>
      </c>
      <c r="G3768" s="46"/>
      <c r="H3768" s="46" t="s">
        <v>651</v>
      </c>
      <c r="I3768" s="45">
        <v>23816</v>
      </c>
      <c r="J3768" s="45">
        <v>21908</v>
      </c>
      <c r="K3768" s="49" t="s">
        <v>4667</v>
      </c>
      <c r="L3768" s="46"/>
    </row>
    <row r="3769" spans="1:12" ht="25.5" x14ac:dyDescent="0.25">
      <c r="A3769" s="46" t="s">
        <v>10735</v>
      </c>
      <c r="B3769" s="46" t="s">
        <v>11645</v>
      </c>
      <c r="C3769" s="46" t="s">
        <v>14</v>
      </c>
      <c r="D3769" s="47">
        <v>12431</v>
      </c>
      <c r="E3769" s="46" t="s">
        <v>10736</v>
      </c>
      <c r="F3769" s="48">
        <v>41426</v>
      </c>
      <c r="G3769" s="46"/>
      <c r="H3769" s="46" t="s">
        <v>651</v>
      </c>
      <c r="I3769" s="45">
        <v>7500</v>
      </c>
      <c r="J3769" s="45">
        <v>7500</v>
      </c>
      <c r="K3769" s="49" t="s">
        <v>4667</v>
      </c>
      <c r="L3769" s="46"/>
    </row>
    <row r="3770" spans="1:12" x14ac:dyDescent="0.25">
      <c r="A3770" s="46" t="s">
        <v>10741</v>
      </c>
      <c r="B3770" s="46" t="s">
        <v>11645</v>
      </c>
      <c r="C3770" s="46" t="s">
        <v>14</v>
      </c>
      <c r="D3770" s="47">
        <v>12184</v>
      </c>
      <c r="E3770" s="46" t="s">
        <v>10742</v>
      </c>
      <c r="F3770" s="48">
        <v>41330</v>
      </c>
      <c r="G3770" s="48">
        <v>41639</v>
      </c>
      <c r="H3770" s="46" t="s">
        <v>651</v>
      </c>
      <c r="I3770" s="45">
        <v>15000</v>
      </c>
      <c r="J3770" s="45">
        <v>15000</v>
      </c>
      <c r="K3770" s="49" t="s">
        <v>5018</v>
      </c>
      <c r="L3770" s="46"/>
    </row>
    <row r="3771" spans="1:12" x14ac:dyDescent="0.25">
      <c r="A3771" s="46" t="s">
        <v>10751</v>
      </c>
      <c r="B3771" s="46" t="s">
        <v>11645</v>
      </c>
      <c r="C3771" s="46" t="s">
        <v>14</v>
      </c>
      <c r="D3771" s="47">
        <v>12190</v>
      </c>
      <c r="E3771" s="46" t="s">
        <v>10752</v>
      </c>
      <c r="F3771" s="48">
        <v>41463</v>
      </c>
      <c r="G3771" s="48">
        <v>41639</v>
      </c>
      <c r="H3771" s="46" t="s">
        <v>651</v>
      </c>
      <c r="I3771" s="45">
        <v>7500</v>
      </c>
      <c r="J3771" s="45">
        <v>7500</v>
      </c>
      <c r="K3771" s="49" t="s">
        <v>5018</v>
      </c>
      <c r="L3771" s="46"/>
    </row>
    <row r="3772" spans="1:12" x14ac:dyDescent="0.25">
      <c r="A3772" s="46" t="s">
        <v>10753</v>
      </c>
      <c r="B3772" s="46" t="s">
        <v>11645</v>
      </c>
      <c r="C3772" s="46" t="s">
        <v>14</v>
      </c>
      <c r="D3772" s="47">
        <v>12261</v>
      </c>
      <c r="E3772" s="46" t="s">
        <v>10754</v>
      </c>
      <c r="F3772" s="48">
        <v>41540</v>
      </c>
      <c r="G3772" s="48">
        <v>41639</v>
      </c>
      <c r="H3772" s="46" t="s">
        <v>651</v>
      </c>
      <c r="I3772" s="45">
        <v>7500</v>
      </c>
      <c r="J3772" s="45">
        <v>7500</v>
      </c>
      <c r="K3772" s="49" t="s">
        <v>5018</v>
      </c>
      <c r="L3772" s="46"/>
    </row>
    <row r="3773" spans="1:12" x14ac:dyDescent="0.25">
      <c r="A3773" s="46" t="s">
        <v>10755</v>
      </c>
      <c r="B3773" s="46" t="s">
        <v>11645</v>
      </c>
      <c r="C3773" s="46" t="s">
        <v>14</v>
      </c>
      <c r="D3773" s="47">
        <v>12262</v>
      </c>
      <c r="E3773" s="46" t="s">
        <v>10756</v>
      </c>
      <c r="F3773" s="48">
        <v>41463</v>
      </c>
      <c r="G3773" s="48">
        <v>41639</v>
      </c>
      <c r="H3773" s="46" t="s">
        <v>651</v>
      </c>
      <c r="I3773" s="45">
        <v>3195.5</v>
      </c>
      <c r="J3773" s="45">
        <v>3195.5</v>
      </c>
      <c r="K3773" s="49" t="s">
        <v>5018</v>
      </c>
      <c r="L3773" s="46"/>
    </row>
    <row r="3774" spans="1:12" ht="38.25" x14ac:dyDescent="0.25">
      <c r="A3774" s="46" t="s">
        <v>10891</v>
      </c>
      <c r="B3774" s="46" t="s">
        <v>11645</v>
      </c>
      <c r="C3774" s="46" t="s">
        <v>14</v>
      </c>
      <c r="D3774" s="47">
        <v>12751</v>
      </c>
      <c r="E3774" s="46" t="s">
        <v>10892</v>
      </c>
      <c r="F3774" s="48">
        <v>41502</v>
      </c>
      <c r="G3774" s="48">
        <v>41624</v>
      </c>
      <c r="H3774" s="46" t="s">
        <v>651</v>
      </c>
      <c r="I3774" s="45">
        <v>28486</v>
      </c>
      <c r="J3774" s="45">
        <v>16743</v>
      </c>
      <c r="K3774" s="49" t="s">
        <v>5815</v>
      </c>
      <c r="L3774" s="46"/>
    </row>
    <row r="3775" spans="1:12" ht="25.5" x14ac:dyDescent="0.25">
      <c r="A3775" s="46" t="s">
        <v>10899</v>
      </c>
      <c r="B3775" s="46" t="s">
        <v>11645</v>
      </c>
      <c r="C3775" s="46" t="s">
        <v>14</v>
      </c>
      <c r="D3775" s="47">
        <v>12758</v>
      </c>
      <c r="E3775" s="46" t="s">
        <v>10900</v>
      </c>
      <c r="F3775" s="48">
        <v>41570</v>
      </c>
      <c r="G3775" s="46"/>
      <c r="H3775" s="46" t="s">
        <v>651</v>
      </c>
      <c r="I3775" s="45">
        <v>13750</v>
      </c>
      <c r="J3775" s="45">
        <v>8750</v>
      </c>
      <c r="K3775" s="49" t="s">
        <v>5815</v>
      </c>
      <c r="L3775" s="46"/>
    </row>
    <row r="3776" spans="1:12" ht="25.5" x14ac:dyDescent="0.25">
      <c r="A3776" s="46" t="s">
        <v>10901</v>
      </c>
      <c r="B3776" s="46" t="s">
        <v>11645</v>
      </c>
      <c r="C3776" s="46" t="s">
        <v>14</v>
      </c>
      <c r="D3776" s="47">
        <v>12761</v>
      </c>
      <c r="E3776" s="46" t="s">
        <v>10902</v>
      </c>
      <c r="F3776" s="48">
        <v>41354</v>
      </c>
      <c r="G3776" s="48">
        <v>41639</v>
      </c>
      <c r="H3776" s="46" t="s">
        <v>651</v>
      </c>
      <c r="I3776" s="45">
        <v>6348.02</v>
      </c>
      <c r="J3776" s="45">
        <v>3174.01</v>
      </c>
      <c r="K3776" s="49" t="s">
        <v>5815</v>
      </c>
      <c r="L3776" s="46"/>
    </row>
    <row r="3777" spans="1:12" ht="51" x14ac:dyDescent="0.25">
      <c r="A3777" s="46" t="s">
        <v>10905</v>
      </c>
      <c r="B3777" s="46" t="s">
        <v>11645</v>
      </c>
      <c r="C3777" s="46" t="s">
        <v>14</v>
      </c>
      <c r="D3777" s="47">
        <v>12768</v>
      </c>
      <c r="E3777" s="46" t="s">
        <v>10906</v>
      </c>
      <c r="F3777" s="48">
        <v>41375</v>
      </c>
      <c r="G3777" s="46"/>
      <c r="H3777" s="46" t="s">
        <v>651</v>
      </c>
      <c r="I3777" s="45">
        <v>5349.36</v>
      </c>
      <c r="J3777" s="45">
        <v>4549.68</v>
      </c>
      <c r="K3777" s="49" t="s">
        <v>5815</v>
      </c>
      <c r="L3777" s="46"/>
    </row>
    <row r="3778" spans="1:12" ht="25.5" x14ac:dyDescent="0.25">
      <c r="A3778" s="46" t="s">
        <v>10907</v>
      </c>
      <c r="B3778" s="46" t="s">
        <v>11645</v>
      </c>
      <c r="C3778" s="46" t="s">
        <v>14</v>
      </c>
      <c r="D3778" s="47">
        <v>12772</v>
      </c>
      <c r="E3778" s="46" t="s">
        <v>10908</v>
      </c>
      <c r="F3778" s="48">
        <v>41360</v>
      </c>
      <c r="G3778" s="46"/>
      <c r="H3778" s="46" t="s">
        <v>651</v>
      </c>
      <c r="I3778" s="45">
        <v>10266.42</v>
      </c>
      <c r="J3778" s="45">
        <v>5133.21</v>
      </c>
      <c r="K3778" s="49" t="s">
        <v>5815</v>
      </c>
      <c r="L3778" s="46"/>
    </row>
    <row r="3779" spans="1:12" ht="51" x14ac:dyDescent="0.25">
      <c r="A3779" s="46" t="s">
        <v>10913</v>
      </c>
      <c r="B3779" s="46" t="s">
        <v>11645</v>
      </c>
      <c r="C3779" s="46" t="s">
        <v>14</v>
      </c>
      <c r="D3779" s="47">
        <v>12784</v>
      </c>
      <c r="E3779" s="46" t="s">
        <v>10914</v>
      </c>
      <c r="F3779" s="48">
        <v>41495</v>
      </c>
      <c r="G3779" s="46"/>
      <c r="H3779" s="46" t="s">
        <v>651</v>
      </c>
      <c r="I3779" s="45">
        <v>9264</v>
      </c>
      <c r="J3779" s="45">
        <v>8382</v>
      </c>
      <c r="K3779" s="49" t="s">
        <v>5815</v>
      </c>
      <c r="L3779" s="46"/>
    </row>
    <row r="3780" spans="1:12" ht="25.5" x14ac:dyDescent="0.25">
      <c r="A3780" s="46" t="s">
        <v>10917</v>
      </c>
      <c r="B3780" s="46" t="s">
        <v>11645</v>
      </c>
      <c r="C3780" s="46" t="s">
        <v>14</v>
      </c>
      <c r="D3780" s="47">
        <v>12789</v>
      </c>
      <c r="E3780" s="46" t="s">
        <v>10918</v>
      </c>
      <c r="F3780" s="48">
        <v>41535</v>
      </c>
      <c r="G3780" s="48">
        <v>41639</v>
      </c>
      <c r="H3780" s="46" t="s">
        <v>651</v>
      </c>
      <c r="I3780" s="45">
        <v>15432</v>
      </c>
      <c r="J3780" s="45">
        <v>11466</v>
      </c>
      <c r="K3780" s="49" t="s">
        <v>5815</v>
      </c>
      <c r="L3780" s="46"/>
    </row>
    <row r="3781" spans="1:12" ht="25.5" x14ac:dyDescent="0.25">
      <c r="A3781" s="46" t="s">
        <v>10921</v>
      </c>
      <c r="B3781" s="46" t="s">
        <v>11645</v>
      </c>
      <c r="C3781" s="46" t="s">
        <v>14</v>
      </c>
      <c r="D3781" s="47">
        <v>12792</v>
      </c>
      <c r="E3781" s="46" t="s">
        <v>10922</v>
      </c>
      <c r="F3781" s="48">
        <v>41354</v>
      </c>
      <c r="G3781" s="48">
        <v>41639</v>
      </c>
      <c r="H3781" s="46" t="s">
        <v>651</v>
      </c>
      <c r="I3781" s="45">
        <v>5773.36</v>
      </c>
      <c r="J3781" s="45">
        <v>4758.5200000000004</v>
      </c>
      <c r="K3781" s="49" t="s">
        <v>5815</v>
      </c>
      <c r="L3781" s="46"/>
    </row>
    <row r="3782" spans="1:12" ht="25.5" x14ac:dyDescent="0.25">
      <c r="A3782" s="46" t="s">
        <v>10932</v>
      </c>
      <c r="B3782" s="46" t="s">
        <v>11645</v>
      </c>
      <c r="C3782" s="46" t="s">
        <v>14</v>
      </c>
      <c r="D3782" s="47">
        <v>12605</v>
      </c>
      <c r="E3782" s="46" t="s">
        <v>10933</v>
      </c>
      <c r="F3782" s="48">
        <v>41253</v>
      </c>
      <c r="G3782" s="46"/>
      <c r="H3782" s="46" t="s">
        <v>651</v>
      </c>
      <c r="I3782" s="45">
        <v>13500</v>
      </c>
      <c r="J3782" s="45">
        <v>10500</v>
      </c>
      <c r="K3782" s="49" t="s">
        <v>6182</v>
      </c>
      <c r="L3782" s="46"/>
    </row>
    <row r="3783" spans="1:12" ht="25.5" x14ac:dyDescent="0.25">
      <c r="A3783" s="46" t="s">
        <v>10934</v>
      </c>
      <c r="B3783" s="46" t="s">
        <v>11645</v>
      </c>
      <c r="C3783" s="46" t="s">
        <v>14</v>
      </c>
      <c r="D3783" s="47">
        <v>12619</v>
      </c>
      <c r="E3783" s="46" t="s">
        <v>10935</v>
      </c>
      <c r="F3783" s="48">
        <v>41418</v>
      </c>
      <c r="G3783" s="46"/>
      <c r="H3783" s="46" t="s">
        <v>651</v>
      </c>
      <c r="I3783" s="45">
        <v>4000</v>
      </c>
      <c r="J3783" s="45">
        <v>4000</v>
      </c>
      <c r="K3783" s="49" t="s">
        <v>6182</v>
      </c>
      <c r="L3783" s="46"/>
    </row>
    <row r="3784" spans="1:12" ht="25.5" x14ac:dyDescent="0.25">
      <c r="A3784" s="46" t="s">
        <v>10936</v>
      </c>
      <c r="B3784" s="46" t="s">
        <v>11645</v>
      </c>
      <c r="C3784" s="46" t="s">
        <v>14</v>
      </c>
      <c r="D3784" s="47">
        <v>12620</v>
      </c>
      <c r="E3784" s="46" t="s">
        <v>10937</v>
      </c>
      <c r="F3784" s="48">
        <v>41418</v>
      </c>
      <c r="G3784" s="46"/>
      <c r="H3784" s="46" t="s">
        <v>651</v>
      </c>
      <c r="I3784" s="45">
        <v>4000</v>
      </c>
      <c r="J3784" s="45">
        <v>4000</v>
      </c>
      <c r="K3784" s="49" t="s">
        <v>6182</v>
      </c>
      <c r="L3784" s="46"/>
    </row>
    <row r="3785" spans="1:12" x14ac:dyDescent="0.25">
      <c r="A3785" s="46" t="s">
        <v>10938</v>
      </c>
      <c r="B3785" s="46" t="s">
        <v>11645</v>
      </c>
      <c r="C3785" s="46" t="s">
        <v>14</v>
      </c>
      <c r="D3785" s="47">
        <v>12621</v>
      </c>
      <c r="E3785" s="46" t="s">
        <v>10939</v>
      </c>
      <c r="F3785" s="48">
        <v>41253</v>
      </c>
      <c r="G3785" s="46"/>
      <c r="H3785" s="46" t="s">
        <v>651</v>
      </c>
      <c r="I3785" s="45">
        <v>38751</v>
      </c>
      <c r="J3785" s="45">
        <v>19375.5</v>
      </c>
      <c r="K3785" s="49" t="s">
        <v>6182</v>
      </c>
      <c r="L3785" s="46"/>
    </row>
    <row r="3786" spans="1:12" ht="25.5" x14ac:dyDescent="0.25">
      <c r="A3786" s="46" t="s">
        <v>10942</v>
      </c>
      <c r="B3786" s="46" t="s">
        <v>11645</v>
      </c>
      <c r="C3786" s="46" t="s">
        <v>14</v>
      </c>
      <c r="D3786" s="47">
        <v>12624</v>
      </c>
      <c r="E3786" s="46" t="s">
        <v>10943</v>
      </c>
      <c r="F3786" s="48">
        <v>41572</v>
      </c>
      <c r="G3786" s="46"/>
      <c r="H3786" s="46" t="s">
        <v>651</v>
      </c>
      <c r="I3786" s="45">
        <v>3750</v>
      </c>
      <c r="J3786" s="45">
        <v>3750</v>
      </c>
      <c r="K3786" s="49" t="s">
        <v>6182</v>
      </c>
      <c r="L3786" s="46"/>
    </row>
    <row r="3787" spans="1:12" ht="38.25" x14ac:dyDescent="0.25">
      <c r="A3787" s="46" t="s">
        <v>10944</v>
      </c>
      <c r="B3787" s="46" t="s">
        <v>11645</v>
      </c>
      <c r="C3787" s="46" t="s">
        <v>14</v>
      </c>
      <c r="D3787" s="47">
        <v>12627</v>
      </c>
      <c r="E3787" s="46" t="s">
        <v>10945</v>
      </c>
      <c r="F3787" s="48">
        <v>41610</v>
      </c>
      <c r="G3787" s="46"/>
      <c r="H3787" s="46" t="s">
        <v>651</v>
      </c>
      <c r="I3787" s="45">
        <v>12000</v>
      </c>
      <c r="J3787" s="45">
        <v>12000</v>
      </c>
      <c r="K3787" s="49" t="s">
        <v>6182</v>
      </c>
      <c r="L3787" s="46"/>
    </row>
    <row r="3788" spans="1:12" x14ac:dyDescent="0.25">
      <c r="A3788" s="46" t="s">
        <v>10946</v>
      </c>
      <c r="B3788" s="46" t="s">
        <v>11645</v>
      </c>
      <c r="C3788" s="46" t="s">
        <v>14</v>
      </c>
      <c r="D3788" s="47">
        <v>12630</v>
      </c>
      <c r="E3788" s="46" t="s">
        <v>10947</v>
      </c>
      <c r="F3788" s="48">
        <v>41572</v>
      </c>
      <c r="G3788" s="46"/>
      <c r="H3788" s="46" t="s">
        <v>651</v>
      </c>
      <c r="I3788" s="45">
        <v>25742</v>
      </c>
      <c r="J3788" s="45">
        <v>14746</v>
      </c>
      <c r="K3788" s="49" t="s">
        <v>6182</v>
      </c>
      <c r="L3788" s="46"/>
    </row>
    <row r="3789" spans="1:12" x14ac:dyDescent="0.25">
      <c r="A3789" s="46" t="s">
        <v>10887</v>
      </c>
      <c r="B3789" s="46" t="s">
        <v>11645</v>
      </c>
      <c r="C3789" s="46" t="s">
        <v>14</v>
      </c>
      <c r="D3789" s="47">
        <v>12632</v>
      </c>
      <c r="E3789" s="46" t="s">
        <v>10888</v>
      </c>
      <c r="F3789" s="48">
        <v>41533</v>
      </c>
      <c r="G3789" s="46"/>
      <c r="H3789" s="46" t="s">
        <v>651</v>
      </c>
      <c r="I3789" s="45">
        <v>7500</v>
      </c>
      <c r="J3789" s="45">
        <v>7500</v>
      </c>
      <c r="K3789" s="49" t="s">
        <v>6182</v>
      </c>
      <c r="L3789" s="46"/>
    </row>
    <row r="3790" spans="1:12" x14ac:dyDescent="0.25">
      <c r="A3790" s="46" t="s">
        <v>10950</v>
      </c>
      <c r="B3790" s="46" t="s">
        <v>11645</v>
      </c>
      <c r="C3790" s="46" t="s">
        <v>14</v>
      </c>
      <c r="D3790" s="47">
        <v>12633</v>
      </c>
      <c r="E3790" s="46" t="s">
        <v>10951</v>
      </c>
      <c r="F3790" s="48">
        <v>41418</v>
      </c>
      <c r="G3790" s="48">
        <v>41589</v>
      </c>
      <c r="H3790" s="46" t="s">
        <v>651</v>
      </c>
      <c r="I3790" s="45">
        <v>98000</v>
      </c>
      <c r="J3790" s="45">
        <v>53000</v>
      </c>
      <c r="K3790" s="49" t="s">
        <v>6182</v>
      </c>
      <c r="L3790" s="46"/>
    </row>
    <row r="3791" spans="1:12" x14ac:dyDescent="0.25">
      <c r="A3791" s="46" t="s">
        <v>10956</v>
      </c>
      <c r="B3791" s="46" t="s">
        <v>11645</v>
      </c>
      <c r="C3791" s="46" t="s">
        <v>14</v>
      </c>
      <c r="D3791" s="47">
        <v>12637</v>
      </c>
      <c r="E3791" s="46" t="s">
        <v>10957</v>
      </c>
      <c r="F3791" s="48">
        <v>41572</v>
      </c>
      <c r="G3791" s="46"/>
      <c r="H3791" s="46" t="s">
        <v>651</v>
      </c>
      <c r="I3791" s="45">
        <v>33608</v>
      </c>
      <c r="J3791" s="45">
        <v>16804</v>
      </c>
      <c r="K3791" s="49" t="s">
        <v>6182</v>
      </c>
      <c r="L3791" s="46"/>
    </row>
    <row r="3792" spans="1:12" ht="25.5" x14ac:dyDescent="0.25">
      <c r="A3792" s="46" t="s">
        <v>10958</v>
      </c>
      <c r="B3792" s="46" t="s">
        <v>11645</v>
      </c>
      <c r="C3792" s="46" t="s">
        <v>14</v>
      </c>
      <c r="D3792" s="47">
        <v>12638</v>
      </c>
      <c r="E3792" s="46" t="s">
        <v>10959</v>
      </c>
      <c r="F3792" s="48">
        <v>41449</v>
      </c>
      <c r="G3792" s="46"/>
      <c r="H3792" s="46" t="s">
        <v>651</v>
      </c>
      <c r="I3792" s="45">
        <v>4000</v>
      </c>
      <c r="J3792" s="45">
        <v>4000</v>
      </c>
      <c r="K3792" s="49" t="s">
        <v>6182</v>
      </c>
      <c r="L3792" s="46"/>
    </row>
    <row r="3793" spans="1:12" x14ac:dyDescent="0.25">
      <c r="A3793" s="46" t="s">
        <v>10960</v>
      </c>
      <c r="B3793" s="46" t="s">
        <v>11645</v>
      </c>
      <c r="C3793" s="46" t="s">
        <v>14</v>
      </c>
      <c r="D3793" s="47">
        <v>12639</v>
      </c>
      <c r="E3793" s="46" t="s">
        <v>10961</v>
      </c>
      <c r="F3793" s="48">
        <v>41253</v>
      </c>
      <c r="G3793" s="46"/>
      <c r="H3793" s="46" t="s">
        <v>651</v>
      </c>
      <c r="I3793" s="45">
        <v>7500</v>
      </c>
      <c r="J3793" s="45">
        <v>7500</v>
      </c>
      <c r="K3793" s="49" t="s">
        <v>6182</v>
      </c>
      <c r="L3793" s="46"/>
    </row>
    <row r="3794" spans="1:12" x14ac:dyDescent="0.25">
      <c r="A3794" s="46" t="s">
        <v>10966</v>
      </c>
      <c r="B3794" s="46" t="s">
        <v>11645</v>
      </c>
      <c r="C3794" s="46" t="s">
        <v>14</v>
      </c>
      <c r="D3794" s="47">
        <v>12642</v>
      </c>
      <c r="E3794" s="46" t="s">
        <v>10967</v>
      </c>
      <c r="F3794" s="48">
        <v>41355</v>
      </c>
      <c r="G3794" s="46"/>
      <c r="H3794" s="46" t="s">
        <v>651</v>
      </c>
      <c r="I3794" s="45">
        <v>4000</v>
      </c>
      <c r="J3794" s="45">
        <v>4000</v>
      </c>
      <c r="K3794" s="49" t="s">
        <v>6182</v>
      </c>
      <c r="L3794" s="46"/>
    </row>
    <row r="3795" spans="1:12" ht="38.25" x14ac:dyDescent="0.25">
      <c r="A3795" s="46" t="s">
        <v>11025</v>
      </c>
      <c r="B3795" s="46" t="s">
        <v>11645</v>
      </c>
      <c r="C3795" s="46" t="s">
        <v>14</v>
      </c>
      <c r="D3795" s="47">
        <v>12377</v>
      </c>
      <c r="E3795" s="46" t="s">
        <v>11026</v>
      </c>
      <c r="F3795" s="48">
        <v>41568</v>
      </c>
      <c r="G3795" s="46"/>
      <c r="H3795" s="46" t="s">
        <v>651</v>
      </c>
      <c r="I3795" s="45">
        <v>5000</v>
      </c>
      <c r="J3795" s="45">
        <v>5000</v>
      </c>
      <c r="K3795" s="49" t="s">
        <v>6720</v>
      </c>
      <c r="L3795" s="46"/>
    </row>
    <row r="3796" spans="1:12" x14ac:dyDescent="0.25">
      <c r="A3796" s="46" t="s">
        <v>11027</v>
      </c>
      <c r="B3796" s="46" t="s">
        <v>11645</v>
      </c>
      <c r="C3796" s="46" t="s">
        <v>14</v>
      </c>
      <c r="D3796" s="47">
        <v>12380</v>
      </c>
      <c r="E3796" s="46" t="s">
        <v>11029</v>
      </c>
      <c r="F3796" s="48">
        <v>41323</v>
      </c>
      <c r="G3796" s="46"/>
      <c r="H3796" s="46" t="s">
        <v>651</v>
      </c>
      <c r="I3796" s="45">
        <v>15000</v>
      </c>
      <c r="J3796" s="45">
        <v>15000</v>
      </c>
      <c r="K3796" s="49" t="s">
        <v>6720</v>
      </c>
      <c r="L3796" s="46"/>
    </row>
    <row r="3797" spans="1:12" ht="25.5" x14ac:dyDescent="0.25">
      <c r="A3797" s="46" t="s">
        <v>11032</v>
      </c>
      <c r="B3797" s="46" t="s">
        <v>11645</v>
      </c>
      <c r="C3797" s="46" t="s">
        <v>14</v>
      </c>
      <c r="D3797" s="47">
        <v>12382</v>
      </c>
      <c r="E3797" s="46" t="s">
        <v>11031</v>
      </c>
      <c r="F3797" s="48">
        <v>41618</v>
      </c>
      <c r="G3797" s="46"/>
      <c r="H3797" s="46" t="s">
        <v>651</v>
      </c>
      <c r="I3797" s="45">
        <v>10000</v>
      </c>
      <c r="J3797" s="45">
        <v>10000</v>
      </c>
      <c r="K3797" s="49" t="s">
        <v>6720</v>
      </c>
      <c r="L3797" s="46"/>
    </row>
    <row r="3798" spans="1:12" ht="25.5" x14ac:dyDescent="0.25">
      <c r="A3798" s="46" t="s">
        <v>11033</v>
      </c>
      <c r="B3798" s="46" t="s">
        <v>11645</v>
      </c>
      <c r="C3798" s="46" t="s">
        <v>14</v>
      </c>
      <c r="D3798" s="47">
        <v>12383</v>
      </c>
      <c r="E3798" s="46" t="s">
        <v>11034</v>
      </c>
      <c r="F3798" s="48">
        <v>41323</v>
      </c>
      <c r="G3798" s="46"/>
      <c r="H3798" s="46" t="s">
        <v>651</v>
      </c>
      <c r="I3798" s="45">
        <v>20000</v>
      </c>
      <c r="J3798" s="45">
        <v>20000</v>
      </c>
      <c r="K3798" s="49" t="s">
        <v>6720</v>
      </c>
      <c r="L3798" s="46"/>
    </row>
    <row r="3799" spans="1:12" ht="38.25" x14ac:dyDescent="0.25">
      <c r="A3799" s="46" t="s">
        <v>11035</v>
      </c>
      <c r="B3799" s="46" t="s">
        <v>11645</v>
      </c>
      <c r="C3799" s="46" t="s">
        <v>14</v>
      </c>
      <c r="D3799" s="47">
        <v>12384</v>
      </c>
      <c r="E3799" s="46" t="s">
        <v>11036</v>
      </c>
      <c r="F3799" s="48">
        <v>41393</v>
      </c>
      <c r="G3799" s="46"/>
      <c r="H3799" s="46" t="s">
        <v>651</v>
      </c>
      <c r="I3799" s="45">
        <v>20000</v>
      </c>
      <c r="J3799" s="45">
        <v>20000</v>
      </c>
      <c r="K3799" s="49" t="s">
        <v>6720</v>
      </c>
      <c r="L3799" s="46"/>
    </row>
    <row r="3800" spans="1:12" x14ac:dyDescent="0.25">
      <c r="A3800" s="46" t="s">
        <v>11037</v>
      </c>
      <c r="B3800" s="46" t="s">
        <v>11645</v>
      </c>
      <c r="C3800" s="46" t="s">
        <v>14</v>
      </c>
      <c r="D3800" s="47">
        <v>12385</v>
      </c>
      <c r="E3800" s="46" t="s">
        <v>11038</v>
      </c>
      <c r="F3800" s="48">
        <v>41275</v>
      </c>
      <c r="G3800" s="46"/>
      <c r="H3800" s="46" t="s">
        <v>651</v>
      </c>
      <c r="I3800" s="45">
        <v>10000</v>
      </c>
      <c r="J3800" s="45">
        <v>10000</v>
      </c>
      <c r="K3800" s="49" t="s">
        <v>6720</v>
      </c>
      <c r="L3800" s="46"/>
    </row>
    <row r="3801" spans="1:12" x14ac:dyDescent="0.25">
      <c r="A3801" s="46" t="s">
        <v>11041</v>
      </c>
      <c r="B3801" s="46" t="s">
        <v>11645</v>
      </c>
      <c r="C3801" s="46" t="s">
        <v>14</v>
      </c>
      <c r="D3801" s="47">
        <v>12444</v>
      </c>
      <c r="E3801" s="46" t="s">
        <v>11042</v>
      </c>
      <c r="F3801" s="48">
        <v>41275</v>
      </c>
      <c r="G3801" s="48">
        <v>41639</v>
      </c>
      <c r="H3801" s="46" t="s">
        <v>651</v>
      </c>
      <c r="I3801" s="45">
        <v>82924</v>
      </c>
      <c r="J3801" s="45">
        <v>41462</v>
      </c>
      <c r="K3801" s="49" t="s">
        <v>6720</v>
      </c>
      <c r="L3801" s="46"/>
    </row>
    <row r="3802" spans="1:12" ht="25.5" x14ac:dyDescent="0.25">
      <c r="A3802" s="46" t="s">
        <v>11045</v>
      </c>
      <c r="B3802" s="46" t="s">
        <v>11645</v>
      </c>
      <c r="C3802" s="46" t="s">
        <v>14</v>
      </c>
      <c r="D3802" s="47">
        <v>12446</v>
      </c>
      <c r="E3802" s="46" t="s">
        <v>11046</v>
      </c>
      <c r="F3802" s="48">
        <v>41275</v>
      </c>
      <c r="G3802" s="46"/>
      <c r="H3802" s="46" t="s">
        <v>651</v>
      </c>
      <c r="I3802" s="45">
        <v>10000</v>
      </c>
      <c r="J3802" s="45">
        <v>10000</v>
      </c>
      <c r="K3802" s="49" t="s">
        <v>6720</v>
      </c>
      <c r="L3802" s="46"/>
    </row>
    <row r="3803" spans="1:12" ht="38.25" x14ac:dyDescent="0.25">
      <c r="A3803" s="46" t="s">
        <v>11051</v>
      </c>
      <c r="B3803" s="46" t="s">
        <v>11645</v>
      </c>
      <c r="C3803" s="46" t="s">
        <v>14</v>
      </c>
      <c r="D3803" s="47">
        <v>12449</v>
      </c>
      <c r="E3803" s="46" t="s">
        <v>11052</v>
      </c>
      <c r="F3803" s="48">
        <v>41275</v>
      </c>
      <c r="G3803" s="46"/>
      <c r="H3803" s="46" t="s">
        <v>651</v>
      </c>
      <c r="I3803" s="45">
        <v>10000</v>
      </c>
      <c r="J3803" s="45">
        <v>10000</v>
      </c>
      <c r="K3803" s="49" t="s">
        <v>6720</v>
      </c>
      <c r="L3803" s="46"/>
    </row>
    <row r="3804" spans="1:12" ht="38.25" x14ac:dyDescent="0.25">
      <c r="A3804" s="46" t="s">
        <v>11057</v>
      </c>
      <c r="B3804" s="46" t="s">
        <v>11645</v>
      </c>
      <c r="C3804" s="46" t="s">
        <v>14</v>
      </c>
      <c r="D3804" s="47">
        <v>12466</v>
      </c>
      <c r="E3804" s="46" t="s">
        <v>11058</v>
      </c>
      <c r="F3804" s="48">
        <v>41275</v>
      </c>
      <c r="G3804" s="48">
        <v>41639</v>
      </c>
      <c r="H3804" s="46" t="s">
        <v>651</v>
      </c>
      <c r="I3804" s="45">
        <v>10000</v>
      </c>
      <c r="J3804" s="45">
        <v>10000</v>
      </c>
      <c r="K3804" s="49" t="s">
        <v>6720</v>
      </c>
      <c r="L3804" s="46"/>
    </row>
    <row r="3805" spans="1:12" ht="25.5" x14ac:dyDescent="0.25">
      <c r="A3805" s="46" t="s">
        <v>11061</v>
      </c>
      <c r="B3805" s="46" t="s">
        <v>11645</v>
      </c>
      <c r="C3805" s="46" t="s">
        <v>14</v>
      </c>
      <c r="D3805" s="47">
        <v>12468</v>
      </c>
      <c r="E3805" s="46" t="s">
        <v>11062</v>
      </c>
      <c r="F3805" s="48">
        <v>41275</v>
      </c>
      <c r="G3805" s="48">
        <v>41639</v>
      </c>
      <c r="H3805" s="46" t="s">
        <v>651</v>
      </c>
      <c r="I3805" s="45">
        <v>5000</v>
      </c>
      <c r="J3805" s="45">
        <v>5000</v>
      </c>
      <c r="K3805" s="49" t="s">
        <v>6720</v>
      </c>
      <c r="L3805" s="46"/>
    </row>
    <row r="3806" spans="1:12" ht="25.5" x14ac:dyDescent="0.25">
      <c r="A3806" s="46" t="s">
        <v>11063</v>
      </c>
      <c r="B3806" s="46" t="s">
        <v>11645</v>
      </c>
      <c r="C3806" s="46" t="s">
        <v>14</v>
      </c>
      <c r="D3806" s="47">
        <v>12469</v>
      </c>
      <c r="E3806" s="46" t="s">
        <v>11064</v>
      </c>
      <c r="F3806" s="48">
        <v>41275</v>
      </c>
      <c r="G3806" s="48">
        <v>41639</v>
      </c>
      <c r="H3806" s="46" t="s">
        <v>651</v>
      </c>
      <c r="I3806" s="45">
        <v>2774</v>
      </c>
      <c r="J3806" s="45">
        <v>2774</v>
      </c>
      <c r="K3806" s="49" t="s">
        <v>6720</v>
      </c>
      <c r="L3806" s="46"/>
    </row>
    <row r="3807" spans="1:12" ht="25.5" x14ac:dyDescent="0.25">
      <c r="A3807" s="46" t="s">
        <v>11065</v>
      </c>
      <c r="B3807" s="46" t="s">
        <v>11645</v>
      </c>
      <c r="C3807" s="46" t="s">
        <v>14</v>
      </c>
      <c r="D3807" s="47">
        <v>12470</v>
      </c>
      <c r="E3807" s="46" t="s">
        <v>11066</v>
      </c>
      <c r="F3807" s="48">
        <v>41275</v>
      </c>
      <c r="G3807" s="48">
        <v>41639</v>
      </c>
      <c r="H3807" s="46" t="s">
        <v>651</v>
      </c>
      <c r="I3807" s="45">
        <v>17928</v>
      </c>
      <c r="J3807" s="45">
        <v>9714</v>
      </c>
      <c r="K3807" s="49" t="s">
        <v>6720</v>
      </c>
      <c r="L3807" s="46"/>
    </row>
    <row r="3808" spans="1:12" ht="38.25" x14ac:dyDescent="0.25">
      <c r="A3808" s="46" t="s">
        <v>11067</v>
      </c>
      <c r="B3808" s="46" t="s">
        <v>11645</v>
      </c>
      <c r="C3808" s="46" t="s">
        <v>14</v>
      </c>
      <c r="D3808" s="47">
        <v>12471</v>
      </c>
      <c r="E3808" s="46" t="s">
        <v>11068</v>
      </c>
      <c r="F3808" s="48">
        <v>41275</v>
      </c>
      <c r="G3808" s="48">
        <v>41639</v>
      </c>
      <c r="H3808" s="46" t="s">
        <v>651</v>
      </c>
      <c r="I3808" s="45">
        <v>10000</v>
      </c>
      <c r="J3808" s="45">
        <v>10000</v>
      </c>
      <c r="K3808" s="49" t="s">
        <v>6720</v>
      </c>
      <c r="L3808" s="46"/>
    </row>
    <row r="3809" spans="1:12" ht="25.5" x14ac:dyDescent="0.25">
      <c r="A3809" s="46" t="s">
        <v>11086</v>
      </c>
      <c r="B3809" s="46" t="s">
        <v>11645</v>
      </c>
      <c r="C3809" s="46" t="s">
        <v>14</v>
      </c>
      <c r="D3809" s="47">
        <v>12414</v>
      </c>
      <c r="E3809" s="46" t="s">
        <v>11087</v>
      </c>
      <c r="F3809" s="48">
        <v>41585</v>
      </c>
      <c r="G3809" s="48">
        <v>41628</v>
      </c>
      <c r="H3809" s="46" t="s">
        <v>651</v>
      </c>
      <c r="I3809" s="45">
        <v>13888</v>
      </c>
      <c r="J3809" s="45">
        <v>6944</v>
      </c>
      <c r="K3809" s="49" t="s">
        <v>7102</v>
      </c>
      <c r="L3809" s="46"/>
    </row>
    <row r="3810" spans="1:12" x14ac:dyDescent="0.25">
      <c r="A3810" s="46" t="s">
        <v>11090</v>
      </c>
      <c r="B3810" s="46" t="s">
        <v>11645</v>
      </c>
      <c r="C3810" s="46" t="s">
        <v>14</v>
      </c>
      <c r="D3810" s="47">
        <v>12417</v>
      </c>
      <c r="E3810" s="46" t="s">
        <v>11091</v>
      </c>
      <c r="F3810" s="48">
        <v>41220</v>
      </c>
      <c r="G3810" s="48">
        <v>41488</v>
      </c>
      <c r="H3810" s="46" t="s">
        <v>651</v>
      </c>
      <c r="I3810" s="45">
        <v>3750</v>
      </c>
      <c r="J3810" s="45">
        <v>3750</v>
      </c>
      <c r="K3810" s="49" t="s">
        <v>7102</v>
      </c>
      <c r="L3810" s="46"/>
    </row>
    <row r="3811" spans="1:12" x14ac:dyDescent="0.25">
      <c r="A3811" s="46" t="s">
        <v>11092</v>
      </c>
      <c r="B3811" s="46" t="s">
        <v>11645</v>
      </c>
      <c r="C3811" s="46" t="s">
        <v>14</v>
      </c>
      <c r="D3811" s="47">
        <v>12419</v>
      </c>
      <c r="E3811" s="46" t="s">
        <v>11093</v>
      </c>
      <c r="F3811" s="48">
        <v>41380</v>
      </c>
      <c r="G3811" s="48">
        <v>41624</v>
      </c>
      <c r="H3811" s="46" t="s">
        <v>651</v>
      </c>
      <c r="I3811" s="45">
        <v>15834</v>
      </c>
      <c r="J3811" s="45">
        <v>7917</v>
      </c>
      <c r="K3811" s="49" t="s">
        <v>7102</v>
      </c>
      <c r="L3811" s="46"/>
    </row>
    <row r="3812" spans="1:12" ht="25.5" x14ac:dyDescent="0.25">
      <c r="A3812" s="46" t="s">
        <v>11098</v>
      </c>
      <c r="B3812" s="46" t="s">
        <v>11645</v>
      </c>
      <c r="C3812" s="46" t="s">
        <v>14</v>
      </c>
      <c r="D3812" s="47">
        <v>12426</v>
      </c>
      <c r="E3812" s="46" t="s">
        <v>11100</v>
      </c>
      <c r="F3812" s="48">
        <v>41534</v>
      </c>
      <c r="G3812" s="48">
        <v>41632</v>
      </c>
      <c r="H3812" s="46" t="s">
        <v>651</v>
      </c>
      <c r="I3812" s="45">
        <v>13764</v>
      </c>
      <c r="J3812" s="45">
        <v>6882</v>
      </c>
      <c r="K3812" s="49" t="s">
        <v>7102</v>
      </c>
      <c r="L3812" s="46"/>
    </row>
    <row r="3813" spans="1:12" x14ac:dyDescent="0.25">
      <c r="A3813" s="46" t="s">
        <v>11109</v>
      </c>
      <c r="B3813" s="46" t="s">
        <v>11645</v>
      </c>
      <c r="C3813" s="46" t="s">
        <v>14</v>
      </c>
      <c r="D3813" s="47">
        <v>12437</v>
      </c>
      <c r="E3813" s="46" t="s">
        <v>11110</v>
      </c>
      <c r="F3813" s="48">
        <v>41597</v>
      </c>
      <c r="G3813" s="48">
        <v>41628</v>
      </c>
      <c r="H3813" s="46" t="s">
        <v>651</v>
      </c>
      <c r="I3813" s="45">
        <v>17820</v>
      </c>
      <c r="J3813" s="45">
        <v>12910</v>
      </c>
      <c r="K3813" s="49" t="s">
        <v>7102</v>
      </c>
      <c r="L3813" s="46"/>
    </row>
    <row r="3814" spans="1:12" x14ac:dyDescent="0.25">
      <c r="A3814" s="46" t="s">
        <v>11111</v>
      </c>
      <c r="B3814" s="46" t="s">
        <v>11645</v>
      </c>
      <c r="C3814" s="46" t="s">
        <v>14</v>
      </c>
      <c r="D3814" s="47">
        <v>12438</v>
      </c>
      <c r="E3814" s="46" t="s">
        <v>11112</v>
      </c>
      <c r="F3814" s="48">
        <v>41534</v>
      </c>
      <c r="G3814" s="48">
        <v>41582</v>
      </c>
      <c r="H3814" s="46" t="s">
        <v>651</v>
      </c>
      <c r="I3814" s="45">
        <v>3750</v>
      </c>
      <c r="J3814" s="45">
        <v>3750.81</v>
      </c>
      <c r="K3814" s="49" t="s">
        <v>7102</v>
      </c>
      <c r="L3814" s="46"/>
    </row>
    <row r="3815" spans="1:12" x14ac:dyDescent="0.25">
      <c r="A3815" s="46" t="s">
        <v>11380</v>
      </c>
      <c r="B3815" s="46" t="s">
        <v>11645</v>
      </c>
      <c r="C3815" s="46" t="s">
        <v>14</v>
      </c>
      <c r="D3815" s="47">
        <v>12239</v>
      </c>
      <c r="E3815" s="46" t="s">
        <v>11381</v>
      </c>
      <c r="F3815" s="48">
        <v>41275</v>
      </c>
      <c r="G3815" s="48">
        <v>42004</v>
      </c>
      <c r="H3815" s="46" t="s">
        <v>651</v>
      </c>
      <c r="I3815" s="45">
        <v>1914</v>
      </c>
      <c r="J3815" s="45">
        <v>957</v>
      </c>
      <c r="K3815" s="49" t="s">
        <v>7941</v>
      </c>
      <c r="L3815" s="46"/>
    </row>
    <row r="3816" spans="1:12" x14ac:dyDescent="0.25">
      <c r="A3816" s="46" t="s">
        <v>11127</v>
      </c>
      <c r="B3816" s="46" t="s">
        <v>11645</v>
      </c>
      <c r="C3816" s="46" t="s">
        <v>14</v>
      </c>
      <c r="D3816" s="47">
        <v>12240</v>
      </c>
      <c r="E3816" s="46" t="s">
        <v>11128</v>
      </c>
      <c r="F3816" s="48">
        <v>41205</v>
      </c>
      <c r="G3816" s="48">
        <v>41570</v>
      </c>
      <c r="H3816" s="46" t="s">
        <v>651</v>
      </c>
      <c r="I3816" s="45">
        <v>2594</v>
      </c>
      <c r="J3816" s="45">
        <v>1297</v>
      </c>
      <c r="K3816" s="49" t="s">
        <v>7941</v>
      </c>
      <c r="L3816" s="46"/>
    </row>
    <row r="3817" spans="1:12" x14ac:dyDescent="0.25">
      <c r="A3817" s="46" t="s">
        <v>11141</v>
      </c>
      <c r="B3817" s="46" t="s">
        <v>11645</v>
      </c>
      <c r="C3817" s="46" t="s">
        <v>14</v>
      </c>
      <c r="D3817" s="47">
        <v>12259</v>
      </c>
      <c r="E3817" s="46" t="s">
        <v>11142</v>
      </c>
      <c r="F3817" s="48">
        <v>41589</v>
      </c>
      <c r="G3817" s="48">
        <v>41954</v>
      </c>
      <c r="H3817" s="46" t="s">
        <v>651</v>
      </c>
      <c r="I3817" s="45">
        <v>8000</v>
      </c>
      <c r="J3817" s="45">
        <v>8000</v>
      </c>
      <c r="K3817" s="49" t="s">
        <v>7941</v>
      </c>
      <c r="L3817" s="46"/>
    </row>
    <row r="3818" spans="1:12" ht="25.5" x14ac:dyDescent="0.25">
      <c r="A3818" s="46" t="s">
        <v>11143</v>
      </c>
      <c r="B3818" s="46" t="s">
        <v>11645</v>
      </c>
      <c r="C3818" s="46" t="s">
        <v>14</v>
      </c>
      <c r="D3818" s="47">
        <v>12260</v>
      </c>
      <c r="E3818" s="46" t="s">
        <v>11144</v>
      </c>
      <c r="F3818" s="48">
        <v>41156</v>
      </c>
      <c r="G3818" s="48">
        <v>41570</v>
      </c>
      <c r="H3818" s="46" t="s">
        <v>651</v>
      </c>
      <c r="I3818" s="45">
        <v>8580</v>
      </c>
      <c r="J3818" s="45">
        <v>5290</v>
      </c>
      <c r="K3818" s="49" t="s">
        <v>7941</v>
      </c>
      <c r="L3818" s="46"/>
    </row>
    <row r="3819" spans="1:12" ht="25.5" x14ac:dyDescent="0.25">
      <c r="A3819" s="46" t="s">
        <v>11150</v>
      </c>
      <c r="B3819" s="46" t="s">
        <v>11645</v>
      </c>
      <c r="C3819" s="46" t="s">
        <v>14</v>
      </c>
      <c r="D3819" s="47">
        <v>12553</v>
      </c>
      <c r="E3819" s="46" t="s">
        <v>11151</v>
      </c>
      <c r="F3819" s="48">
        <v>41509</v>
      </c>
      <c r="G3819" s="48">
        <v>41639</v>
      </c>
      <c r="H3819" s="46" t="s">
        <v>651</v>
      </c>
      <c r="I3819" s="45">
        <v>6000</v>
      </c>
      <c r="J3819" s="45">
        <v>6000</v>
      </c>
      <c r="K3819" s="49" t="s">
        <v>8348</v>
      </c>
      <c r="L3819" s="46"/>
    </row>
    <row r="3820" spans="1:12" x14ac:dyDescent="0.25">
      <c r="A3820" s="46" t="s">
        <v>11152</v>
      </c>
      <c r="B3820" s="46" t="s">
        <v>11645</v>
      </c>
      <c r="C3820" s="46" t="s">
        <v>14</v>
      </c>
      <c r="D3820" s="47">
        <v>12555</v>
      </c>
      <c r="E3820" s="46" t="s">
        <v>11153</v>
      </c>
      <c r="F3820" s="48">
        <v>41414</v>
      </c>
      <c r="G3820" s="48">
        <v>41414</v>
      </c>
      <c r="H3820" s="46" t="s">
        <v>651</v>
      </c>
      <c r="I3820" s="45">
        <v>2500</v>
      </c>
      <c r="J3820" s="45">
        <v>2500</v>
      </c>
      <c r="K3820" s="49" t="s">
        <v>8348</v>
      </c>
      <c r="L3820" s="46"/>
    </row>
    <row r="3821" spans="1:12" ht="25.5" x14ac:dyDescent="0.25">
      <c r="A3821" s="46" t="s">
        <v>11154</v>
      </c>
      <c r="B3821" s="46" t="s">
        <v>11645</v>
      </c>
      <c r="C3821" s="46" t="s">
        <v>14</v>
      </c>
      <c r="D3821" s="47">
        <v>12556</v>
      </c>
      <c r="E3821" s="46" t="s">
        <v>11155</v>
      </c>
      <c r="F3821" s="48">
        <v>41423</v>
      </c>
      <c r="G3821" s="48">
        <v>41423</v>
      </c>
      <c r="H3821" s="46" t="s">
        <v>651</v>
      </c>
      <c r="I3821" s="45">
        <v>90000</v>
      </c>
      <c r="J3821" s="45">
        <v>45000</v>
      </c>
      <c r="K3821" s="49" t="s">
        <v>8348</v>
      </c>
      <c r="L3821" s="46"/>
    </row>
    <row r="3822" spans="1:12" ht="25.5" x14ac:dyDescent="0.25">
      <c r="A3822" s="46" t="s">
        <v>11156</v>
      </c>
      <c r="B3822" s="46" t="s">
        <v>11645</v>
      </c>
      <c r="C3822" s="46" t="s">
        <v>14</v>
      </c>
      <c r="D3822" s="47">
        <v>12558</v>
      </c>
      <c r="E3822" s="46" t="s">
        <v>11157</v>
      </c>
      <c r="F3822" s="48">
        <v>41515</v>
      </c>
      <c r="G3822" s="48">
        <v>41639</v>
      </c>
      <c r="H3822" s="46" t="s">
        <v>651</v>
      </c>
      <c r="I3822" s="45">
        <v>4000</v>
      </c>
      <c r="J3822" s="45">
        <v>4000</v>
      </c>
      <c r="K3822" s="49" t="s">
        <v>8348</v>
      </c>
      <c r="L3822" s="46"/>
    </row>
    <row r="3823" spans="1:12" ht="38.25" x14ac:dyDescent="0.25">
      <c r="A3823" s="46" t="s">
        <v>11158</v>
      </c>
      <c r="B3823" s="46" t="s">
        <v>11645</v>
      </c>
      <c r="C3823" s="46" t="s">
        <v>14</v>
      </c>
      <c r="D3823" s="47">
        <v>12559</v>
      </c>
      <c r="E3823" s="46" t="s">
        <v>11159</v>
      </c>
      <c r="F3823" s="48">
        <v>41565</v>
      </c>
      <c r="G3823" s="48">
        <v>41639</v>
      </c>
      <c r="H3823" s="46" t="s">
        <v>651</v>
      </c>
      <c r="I3823" s="45">
        <v>4000</v>
      </c>
      <c r="J3823" s="45">
        <v>4000</v>
      </c>
      <c r="K3823" s="49" t="s">
        <v>8348</v>
      </c>
      <c r="L3823" s="46"/>
    </row>
    <row r="3824" spans="1:12" ht="25.5" x14ac:dyDescent="0.25">
      <c r="A3824" s="46" t="s">
        <v>11162</v>
      </c>
      <c r="B3824" s="46" t="s">
        <v>11645</v>
      </c>
      <c r="C3824" s="46" t="s">
        <v>14</v>
      </c>
      <c r="D3824" s="47">
        <v>12561</v>
      </c>
      <c r="E3824" s="46" t="s">
        <v>8858</v>
      </c>
      <c r="F3824" s="48">
        <v>41311</v>
      </c>
      <c r="G3824" s="48">
        <v>41311</v>
      </c>
      <c r="H3824" s="46" t="s">
        <v>651</v>
      </c>
      <c r="I3824" s="45">
        <v>2500</v>
      </c>
      <c r="J3824" s="45">
        <v>2500</v>
      </c>
      <c r="K3824" s="49" t="s">
        <v>8348</v>
      </c>
      <c r="L3824" s="46"/>
    </row>
    <row r="3825" spans="1:60" ht="25.5" x14ac:dyDescent="0.25">
      <c r="A3825" s="46" t="s">
        <v>11163</v>
      </c>
      <c r="B3825" s="46" t="s">
        <v>11645</v>
      </c>
      <c r="C3825" s="46" t="s">
        <v>14</v>
      </c>
      <c r="D3825" s="47">
        <v>12562</v>
      </c>
      <c r="E3825" s="46" t="s">
        <v>11164</v>
      </c>
      <c r="F3825" s="48">
        <v>41277</v>
      </c>
      <c r="G3825" s="48">
        <v>41277</v>
      </c>
      <c r="H3825" s="46" t="s">
        <v>651</v>
      </c>
      <c r="I3825" s="45">
        <v>160000</v>
      </c>
      <c r="J3825" s="45">
        <v>80000</v>
      </c>
      <c r="K3825" s="49" t="s">
        <v>8348</v>
      </c>
      <c r="L3825" s="46"/>
    </row>
    <row r="3826" spans="1:60" ht="38.25" x14ac:dyDescent="0.25">
      <c r="A3826" s="46" t="s">
        <v>11167</v>
      </c>
      <c r="B3826" s="46" t="s">
        <v>11645</v>
      </c>
      <c r="C3826" s="46" t="s">
        <v>14</v>
      </c>
      <c r="D3826" s="47">
        <v>12564</v>
      </c>
      <c r="E3826" s="46" t="s">
        <v>11168</v>
      </c>
      <c r="F3826" s="48">
        <v>41571</v>
      </c>
      <c r="G3826" s="48">
        <v>41639</v>
      </c>
      <c r="H3826" s="46" t="s">
        <v>651</v>
      </c>
      <c r="I3826" s="45">
        <v>4000</v>
      </c>
      <c r="J3826" s="45">
        <v>4000</v>
      </c>
      <c r="K3826" s="49" t="s">
        <v>8348</v>
      </c>
      <c r="L3826" s="46"/>
    </row>
    <row r="3827" spans="1:60" ht="38.25" x14ac:dyDescent="0.25">
      <c r="A3827" s="46" t="s">
        <v>11169</v>
      </c>
      <c r="B3827" s="46" t="s">
        <v>11645</v>
      </c>
      <c r="C3827" s="46" t="s">
        <v>14</v>
      </c>
      <c r="D3827" s="47">
        <v>12565</v>
      </c>
      <c r="E3827" s="46" t="s">
        <v>11170</v>
      </c>
      <c r="F3827" s="48">
        <v>41550</v>
      </c>
      <c r="G3827" s="48">
        <v>41639</v>
      </c>
      <c r="H3827" s="46" t="s">
        <v>651</v>
      </c>
      <c r="I3827" s="45">
        <v>8000</v>
      </c>
      <c r="J3827" s="45">
        <v>8000</v>
      </c>
      <c r="K3827" s="49" t="s">
        <v>8348</v>
      </c>
      <c r="L3827" s="46"/>
    </row>
    <row r="3828" spans="1:60" ht="38.25" x14ac:dyDescent="0.25">
      <c r="A3828" s="46" t="s">
        <v>11205</v>
      </c>
      <c r="B3828" s="46" t="s">
        <v>11645</v>
      </c>
      <c r="C3828" s="46" t="s">
        <v>14</v>
      </c>
      <c r="D3828" s="47">
        <v>12440</v>
      </c>
      <c r="E3828" s="46" t="s">
        <v>11206</v>
      </c>
      <c r="F3828" s="48">
        <v>41246</v>
      </c>
      <c r="G3828" s="46"/>
      <c r="H3828" s="46" t="s">
        <v>651</v>
      </c>
      <c r="I3828" s="45">
        <v>12500</v>
      </c>
      <c r="J3828" s="45">
        <v>12500</v>
      </c>
      <c r="K3828" s="49" t="s">
        <v>8905</v>
      </c>
      <c r="L3828" s="46"/>
    </row>
    <row r="3829" spans="1:60" ht="25.5" x14ac:dyDescent="0.25">
      <c r="A3829" s="46" t="s">
        <v>11207</v>
      </c>
      <c r="B3829" s="46" t="s">
        <v>11645</v>
      </c>
      <c r="C3829" s="46" t="s">
        <v>14</v>
      </c>
      <c r="D3829" s="47">
        <v>12441</v>
      </c>
      <c r="E3829" s="46" t="s">
        <v>11208</v>
      </c>
      <c r="F3829" s="48">
        <v>41597</v>
      </c>
      <c r="G3829" s="46"/>
      <c r="H3829" s="46" t="s">
        <v>651</v>
      </c>
      <c r="I3829" s="45">
        <v>3750</v>
      </c>
      <c r="J3829" s="45">
        <v>3750</v>
      </c>
      <c r="K3829" s="49" t="s">
        <v>8905</v>
      </c>
      <c r="L3829" s="46"/>
    </row>
    <row r="3830" spans="1:60" s="21" customFormat="1" ht="51" x14ac:dyDescent="0.25">
      <c r="A3830" s="46" t="s">
        <v>11209</v>
      </c>
      <c r="B3830" s="46" t="s">
        <v>11645</v>
      </c>
      <c r="C3830" s="46" t="s">
        <v>14</v>
      </c>
      <c r="D3830" s="47">
        <v>12442</v>
      </c>
      <c r="E3830" s="46" t="s">
        <v>11210</v>
      </c>
      <c r="F3830" s="48">
        <v>41540</v>
      </c>
      <c r="G3830" s="46"/>
      <c r="H3830" s="46" t="s">
        <v>651</v>
      </c>
      <c r="I3830" s="45">
        <v>1500</v>
      </c>
      <c r="J3830" s="45">
        <v>750</v>
      </c>
      <c r="K3830" s="49" t="s">
        <v>8905</v>
      </c>
      <c r="L3830" s="46"/>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c r="BF3830" s="4"/>
      <c r="BG3830" s="4"/>
      <c r="BH3830" s="4"/>
    </row>
    <row r="3831" spans="1:60" s="21" customFormat="1" x14ac:dyDescent="0.25">
      <c r="A3831" s="46" t="s">
        <v>11213</v>
      </c>
      <c r="B3831" s="46" t="s">
        <v>11645</v>
      </c>
      <c r="C3831" s="46" t="s">
        <v>14</v>
      </c>
      <c r="D3831" s="47">
        <v>12452</v>
      </c>
      <c r="E3831" s="46" t="s">
        <v>11214</v>
      </c>
      <c r="F3831" s="48">
        <v>41246</v>
      </c>
      <c r="G3831" s="46"/>
      <c r="H3831" s="46" t="s">
        <v>651</v>
      </c>
      <c r="I3831" s="45">
        <v>12500</v>
      </c>
      <c r="J3831" s="45">
        <v>12500</v>
      </c>
      <c r="K3831" s="49" t="s">
        <v>8905</v>
      </c>
      <c r="L3831" s="46"/>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4"/>
      <c r="AN3831" s="4"/>
      <c r="AO3831" s="4"/>
      <c r="AP3831" s="4"/>
      <c r="AQ3831" s="4"/>
      <c r="AR3831" s="4"/>
      <c r="AS3831" s="4"/>
      <c r="AT3831" s="4"/>
      <c r="AU3831" s="4"/>
      <c r="AV3831" s="4"/>
      <c r="AW3831" s="4"/>
      <c r="AX3831" s="4"/>
      <c r="AY3831" s="4"/>
      <c r="AZ3831" s="4"/>
      <c r="BA3831" s="4"/>
      <c r="BB3831" s="4"/>
      <c r="BC3831" s="4"/>
      <c r="BD3831" s="4"/>
      <c r="BE3831" s="4"/>
      <c r="BF3831" s="4"/>
      <c r="BG3831" s="4"/>
      <c r="BH3831" s="4"/>
    </row>
    <row r="3832" spans="1:60" s="21" customFormat="1" x14ac:dyDescent="0.25">
      <c r="A3832" s="46" t="s">
        <v>11215</v>
      </c>
      <c r="B3832" s="46" t="s">
        <v>11645</v>
      </c>
      <c r="C3832" s="46" t="s">
        <v>14</v>
      </c>
      <c r="D3832" s="47">
        <v>12453</v>
      </c>
      <c r="E3832" s="46" t="s">
        <v>11216</v>
      </c>
      <c r="F3832" s="48">
        <v>41540</v>
      </c>
      <c r="G3832" s="46"/>
      <c r="H3832" s="46" t="s">
        <v>651</v>
      </c>
      <c r="I3832" s="45">
        <v>6250</v>
      </c>
      <c r="J3832" s="45">
        <v>6250</v>
      </c>
      <c r="K3832" s="49" t="s">
        <v>8905</v>
      </c>
      <c r="L3832" s="46"/>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c r="BF3832" s="4"/>
      <c r="BG3832" s="4"/>
      <c r="BH3832" s="4"/>
    </row>
    <row r="3833" spans="1:60" s="21" customFormat="1" ht="25.5" x14ac:dyDescent="0.25">
      <c r="A3833" s="46" t="s">
        <v>11217</v>
      </c>
      <c r="B3833" s="46" t="s">
        <v>11645</v>
      </c>
      <c r="C3833" s="46" t="s">
        <v>14</v>
      </c>
      <c r="D3833" s="47">
        <v>12454</v>
      </c>
      <c r="E3833" s="46" t="s">
        <v>11218</v>
      </c>
      <c r="F3833" s="48">
        <v>41470</v>
      </c>
      <c r="G3833" s="46"/>
      <c r="H3833" s="46" t="s">
        <v>651</v>
      </c>
      <c r="I3833" s="45">
        <v>6250</v>
      </c>
      <c r="J3833" s="45">
        <v>6250</v>
      </c>
      <c r="K3833" s="49" t="s">
        <v>8905</v>
      </c>
      <c r="L3833" s="46"/>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c r="BF3833" s="4"/>
      <c r="BG3833" s="4"/>
      <c r="BH3833" s="4"/>
    </row>
    <row r="3834" spans="1:60" x14ac:dyDescent="0.25">
      <c r="A3834" s="46" t="s">
        <v>11219</v>
      </c>
      <c r="B3834" s="46" t="s">
        <v>11645</v>
      </c>
      <c r="C3834" s="46" t="s">
        <v>14</v>
      </c>
      <c r="D3834" s="47">
        <v>12455</v>
      </c>
      <c r="E3834" s="46" t="s">
        <v>11220</v>
      </c>
      <c r="F3834" s="48">
        <v>41470</v>
      </c>
      <c r="G3834" s="46"/>
      <c r="H3834" s="46" t="s">
        <v>651</v>
      </c>
      <c r="I3834" s="45">
        <v>6250</v>
      </c>
      <c r="J3834" s="45">
        <v>6250</v>
      </c>
      <c r="K3834" s="49" t="s">
        <v>8905</v>
      </c>
      <c r="L3834" s="46"/>
    </row>
    <row r="3835" spans="1:60" x14ac:dyDescent="0.25">
      <c r="A3835" s="46" t="s">
        <v>11223</v>
      </c>
      <c r="B3835" s="46" t="s">
        <v>11645</v>
      </c>
      <c r="C3835" s="46" t="s">
        <v>14</v>
      </c>
      <c r="D3835" s="47">
        <v>12457</v>
      </c>
      <c r="E3835" s="46" t="s">
        <v>11224</v>
      </c>
      <c r="F3835" s="48">
        <v>41597</v>
      </c>
      <c r="G3835" s="46"/>
      <c r="H3835" s="46" t="s">
        <v>651</v>
      </c>
      <c r="I3835" s="45">
        <v>27710.84</v>
      </c>
      <c r="J3835" s="45">
        <v>13855.42</v>
      </c>
      <c r="K3835" s="49" t="s">
        <v>8905</v>
      </c>
      <c r="L3835" s="46"/>
    </row>
    <row r="3836" spans="1:60" x14ac:dyDescent="0.25">
      <c r="A3836" s="46" t="s">
        <v>11225</v>
      </c>
      <c r="B3836" s="46" t="s">
        <v>11645</v>
      </c>
      <c r="C3836" s="46" t="s">
        <v>14</v>
      </c>
      <c r="D3836" s="47">
        <v>12459</v>
      </c>
      <c r="E3836" s="46" t="s">
        <v>11226</v>
      </c>
      <c r="F3836" s="48">
        <v>41337</v>
      </c>
      <c r="G3836" s="46"/>
      <c r="H3836" s="46" t="s">
        <v>651</v>
      </c>
      <c r="I3836" s="45">
        <v>6250</v>
      </c>
      <c r="J3836" s="45">
        <v>6250</v>
      </c>
      <c r="K3836" s="49" t="s">
        <v>8905</v>
      </c>
      <c r="L3836" s="46"/>
    </row>
    <row r="3837" spans="1:60" ht="25.5" x14ac:dyDescent="0.25">
      <c r="A3837" s="46" t="s">
        <v>11229</v>
      </c>
      <c r="B3837" s="46" t="s">
        <v>11645</v>
      </c>
      <c r="C3837" s="46" t="s">
        <v>14</v>
      </c>
      <c r="D3837" s="47">
        <v>12461</v>
      </c>
      <c r="E3837" s="46" t="s">
        <v>11230</v>
      </c>
      <c r="F3837" s="48">
        <v>41470</v>
      </c>
      <c r="G3837" s="46"/>
      <c r="H3837" s="46" t="s">
        <v>651</v>
      </c>
      <c r="I3837" s="45">
        <v>6250</v>
      </c>
      <c r="J3837" s="45">
        <v>6250</v>
      </c>
      <c r="K3837" s="49" t="s">
        <v>8905</v>
      </c>
      <c r="L3837" s="46"/>
    </row>
    <row r="3838" spans="1:60" x14ac:dyDescent="0.25">
      <c r="A3838" s="46" t="s">
        <v>11231</v>
      </c>
      <c r="B3838" s="46" t="s">
        <v>11645</v>
      </c>
      <c r="C3838" s="46" t="s">
        <v>14</v>
      </c>
      <c r="D3838" s="47">
        <v>12462</v>
      </c>
      <c r="E3838" s="46" t="s">
        <v>11232</v>
      </c>
      <c r="F3838" s="48">
        <v>41256</v>
      </c>
      <c r="G3838" s="46"/>
      <c r="H3838" s="46" t="s">
        <v>651</v>
      </c>
      <c r="I3838" s="45">
        <v>17500</v>
      </c>
      <c r="J3838" s="45">
        <v>15000</v>
      </c>
      <c r="K3838" s="49" t="s">
        <v>8905</v>
      </c>
      <c r="L3838" s="46"/>
    </row>
    <row r="3839" spans="1:60" x14ac:dyDescent="0.25">
      <c r="A3839" s="46" t="s">
        <v>11233</v>
      </c>
      <c r="B3839" s="46" t="s">
        <v>11645</v>
      </c>
      <c r="C3839" s="46" t="s">
        <v>14</v>
      </c>
      <c r="D3839" s="47">
        <v>12463</v>
      </c>
      <c r="E3839" s="46" t="s">
        <v>11234</v>
      </c>
      <c r="F3839" s="48">
        <v>41393</v>
      </c>
      <c r="G3839" s="46"/>
      <c r="H3839" s="46" t="s">
        <v>651</v>
      </c>
      <c r="I3839" s="45">
        <v>6920</v>
      </c>
      <c r="J3839" s="45">
        <v>3460</v>
      </c>
      <c r="K3839" s="49" t="s">
        <v>8905</v>
      </c>
      <c r="L3839" s="46"/>
    </row>
    <row r="3840" spans="1:60" x14ac:dyDescent="0.25">
      <c r="A3840" s="46" t="s">
        <v>11235</v>
      </c>
      <c r="B3840" s="46" t="s">
        <v>11645</v>
      </c>
      <c r="C3840" s="46" t="s">
        <v>14</v>
      </c>
      <c r="D3840" s="47">
        <v>12464</v>
      </c>
      <c r="E3840" s="46" t="s">
        <v>11236</v>
      </c>
      <c r="F3840" s="48">
        <v>41540</v>
      </c>
      <c r="G3840" s="46"/>
      <c r="H3840" s="46" t="s">
        <v>651</v>
      </c>
      <c r="I3840" s="45">
        <v>6250</v>
      </c>
      <c r="J3840" s="45">
        <v>6250</v>
      </c>
      <c r="K3840" s="49" t="s">
        <v>8905</v>
      </c>
      <c r="L3840" s="46"/>
    </row>
    <row r="3841" spans="1:12" x14ac:dyDescent="0.25">
      <c r="A3841" s="46" t="s">
        <v>11237</v>
      </c>
      <c r="B3841" s="46" t="s">
        <v>11645</v>
      </c>
      <c r="C3841" s="46" t="s">
        <v>14</v>
      </c>
      <c r="D3841" s="47">
        <v>12465</v>
      </c>
      <c r="E3841" s="46" t="s">
        <v>11238</v>
      </c>
      <c r="F3841" s="48">
        <v>41050</v>
      </c>
      <c r="G3841" s="46"/>
      <c r="H3841" s="46" t="s">
        <v>651</v>
      </c>
      <c r="I3841" s="45">
        <v>7500</v>
      </c>
      <c r="J3841" s="45">
        <v>7500</v>
      </c>
      <c r="K3841" s="49" t="s">
        <v>8905</v>
      </c>
      <c r="L3841" s="46"/>
    </row>
    <row r="3842" spans="1:12" x14ac:dyDescent="0.25">
      <c r="A3842" s="46" t="s">
        <v>11260</v>
      </c>
      <c r="B3842" s="46" t="s">
        <v>11645</v>
      </c>
      <c r="C3842" s="46" t="s">
        <v>14</v>
      </c>
      <c r="D3842" s="47">
        <v>12193</v>
      </c>
      <c r="E3842" s="46" t="s">
        <v>11261</v>
      </c>
      <c r="F3842" s="48">
        <v>41569</v>
      </c>
      <c r="G3842" s="48">
        <v>41639</v>
      </c>
      <c r="H3842" s="46" t="s">
        <v>651</v>
      </c>
      <c r="I3842" s="45">
        <v>3750</v>
      </c>
      <c r="J3842" s="45">
        <v>3750</v>
      </c>
      <c r="K3842" s="49" t="s">
        <v>9243</v>
      </c>
      <c r="L3842" s="46"/>
    </row>
    <row r="3843" spans="1:12" x14ac:dyDescent="0.25">
      <c r="A3843" s="46" t="s">
        <v>11262</v>
      </c>
      <c r="B3843" s="46" t="s">
        <v>11645</v>
      </c>
      <c r="C3843" s="46" t="s">
        <v>14</v>
      </c>
      <c r="D3843" s="47">
        <v>12194</v>
      </c>
      <c r="E3843" s="46" t="s">
        <v>11263</v>
      </c>
      <c r="F3843" s="48">
        <v>41387</v>
      </c>
      <c r="G3843" s="48">
        <v>41639</v>
      </c>
      <c r="H3843" s="46" t="s">
        <v>651</v>
      </c>
      <c r="I3843" s="45">
        <v>7500</v>
      </c>
      <c r="J3843" s="45">
        <v>7500</v>
      </c>
      <c r="K3843" s="49" t="s">
        <v>9243</v>
      </c>
      <c r="L3843" s="46"/>
    </row>
    <row r="3844" spans="1:12" ht="25.5" x14ac:dyDescent="0.25">
      <c r="A3844" s="46" t="s">
        <v>11264</v>
      </c>
      <c r="B3844" s="46" t="s">
        <v>11645</v>
      </c>
      <c r="C3844" s="46" t="s">
        <v>14</v>
      </c>
      <c r="D3844" s="47">
        <v>12195</v>
      </c>
      <c r="E3844" s="46" t="s">
        <v>11265</v>
      </c>
      <c r="F3844" s="48">
        <v>41569</v>
      </c>
      <c r="G3844" s="48">
        <v>41639</v>
      </c>
      <c r="H3844" s="46" t="s">
        <v>651</v>
      </c>
      <c r="I3844" s="45">
        <v>10000</v>
      </c>
      <c r="J3844" s="45">
        <v>10000</v>
      </c>
      <c r="K3844" s="49" t="s">
        <v>9243</v>
      </c>
      <c r="L3844" s="46"/>
    </row>
    <row r="3845" spans="1:12" ht="25.5" x14ac:dyDescent="0.25">
      <c r="A3845" s="46" t="s">
        <v>11270</v>
      </c>
      <c r="B3845" s="46" t="s">
        <v>11645</v>
      </c>
      <c r="C3845" s="46" t="s">
        <v>14</v>
      </c>
      <c r="D3845" s="47">
        <v>12199</v>
      </c>
      <c r="E3845" s="46" t="s">
        <v>11271</v>
      </c>
      <c r="F3845" s="48">
        <v>41541</v>
      </c>
      <c r="G3845" s="48">
        <v>41639</v>
      </c>
      <c r="H3845" s="46" t="s">
        <v>651</v>
      </c>
      <c r="I3845" s="45">
        <v>6378.14</v>
      </c>
      <c r="J3845" s="45">
        <v>5064.07</v>
      </c>
      <c r="K3845" s="49" t="s">
        <v>9243</v>
      </c>
      <c r="L3845" s="46"/>
    </row>
    <row r="3846" spans="1:12" x14ac:dyDescent="0.25">
      <c r="A3846" s="46" t="s">
        <v>11276</v>
      </c>
      <c r="B3846" s="46" t="s">
        <v>11645</v>
      </c>
      <c r="C3846" s="46" t="s">
        <v>14</v>
      </c>
      <c r="D3846" s="47">
        <v>12202</v>
      </c>
      <c r="E3846" s="46" t="s">
        <v>11275</v>
      </c>
      <c r="F3846" s="48">
        <v>41359</v>
      </c>
      <c r="G3846" s="48">
        <v>41639</v>
      </c>
      <c r="H3846" s="46" t="s">
        <v>651</v>
      </c>
      <c r="I3846" s="45">
        <v>23391.63</v>
      </c>
      <c r="J3846" s="45">
        <v>19195.75</v>
      </c>
      <c r="K3846" s="49" t="s">
        <v>9243</v>
      </c>
      <c r="L3846" s="46"/>
    </row>
    <row r="3847" spans="1:12" x14ac:dyDescent="0.25">
      <c r="A3847" s="46" t="s">
        <v>11279</v>
      </c>
      <c r="B3847" s="46" t="s">
        <v>11645</v>
      </c>
      <c r="C3847" s="46" t="s">
        <v>14</v>
      </c>
      <c r="D3847" s="47">
        <v>12204</v>
      </c>
      <c r="E3847" s="46" t="s">
        <v>11280</v>
      </c>
      <c r="F3847" s="48">
        <v>41303</v>
      </c>
      <c r="G3847" s="48">
        <v>41639</v>
      </c>
      <c r="H3847" s="46" t="s">
        <v>651</v>
      </c>
      <c r="I3847" s="45">
        <v>7500</v>
      </c>
      <c r="J3847" s="45">
        <v>7500</v>
      </c>
      <c r="K3847" s="49" t="s">
        <v>9243</v>
      </c>
      <c r="L3847" s="46"/>
    </row>
    <row r="3848" spans="1:12" x14ac:dyDescent="0.25">
      <c r="A3848" s="46" t="s">
        <v>11281</v>
      </c>
      <c r="B3848" s="46" t="s">
        <v>11645</v>
      </c>
      <c r="C3848" s="46" t="s">
        <v>14</v>
      </c>
      <c r="D3848" s="47">
        <v>12205</v>
      </c>
      <c r="E3848" s="46" t="s">
        <v>11282</v>
      </c>
      <c r="F3848" s="48">
        <v>41387</v>
      </c>
      <c r="G3848" s="48">
        <v>41639</v>
      </c>
      <c r="H3848" s="46" t="s">
        <v>651</v>
      </c>
      <c r="I3848" s="45">
        <v>7500</v>
      </c>
      <c r="J3848" s="45">
        <v>7500</v>
      </c>
      <c r="K3848" s="49" t="s">
        <v>9243</v>
      </c>
      <c r="L3848" s="46"/>
    </row>
    <row r="3849" spans="1:12" ht="25.5" x14ac:dyDescent="0.25">
      <c r="A3849" s="46" t="s">
        <v>11283</v>
      </c>
      <c r="B3849" s="46" t="s">
        <v>11645</v>
      </c>
      <c r="C3849" s="46" t="s">
        <v>14</v>
      </c>
      <c r="D3849" s="47">
        <v>12206</v>
      </c>
      <c r="E3849" s="46" t="s">
        <v>11284</v>
      </c>
      <c r="F3849" s="48">
        <v>41303</v>
      </c>
      <c r="G3849" s="48">
        <v>41639</v>
      </c>
      <c r="H3849" s="46" t="s">
        <v>651</v>
      </c>
      <c r="I3849" s="45">
        <v>62086</v>
      </c>
      <c r="J3849" s="45">
        <v>34793</v>
      </c>
      <c r="K3849" s="49" t="s">
        <v>9243</v>
      </c>
      <c r="L3849" s="46"/>
    </row>
    <row r="3850" spans="1:12" x14ac:dyDescent="0.25">
      <c r="A3850" s="46" t="s">
        <v>11285</v>
      </c>
      <c r="B3850" s="46" t="s">
        <v>11645</v>
      </c>
      <c r="C3850" s="46" t="s">
        <v>14</v>
      </c>
      <c r="D3850" s="47">
        <v>12208</v>
      </c>
      <c r="E3850" s="46" t="s">
        <v>11286</v>
      </c>
      <c r="F3850" s="48">
        <v>41482</v>
      </c>
      <c r="G3850" s="48">
        <v>41639</v>
      </c>
      <c r="H3850" s="46" t="s">
        <v>651</v>
      </c>
      <c r="I3850" s="45">
        <v>7500</v>
      </c>
      <c r="J3850" s="45">
        <v>7500</v>
      </c>
      <c r="K3850" s="49" t="s">
        <v>9243</v>
      </c>
      <c r="L3850" s="46"/>
    </row>
    <row r="3851" spans="1:12" x14ac:dyDescent="0.25">
      <c r="A3851" s="46" t="s">
        <v>11287</v>
      </c>
      <c r="B3851" s="46" t="s">
        <v>11645</v>
      </c>
      <c r="C3851" s="46" t="s">
        <v>14</v>
      </c>
      <c r="D3851" s="47">
        <v>12209</v>
      </c>
      <c r="E3851" s="46" t="s">
        <v>11288</v>
      </c>
      <c r="F3851" s="48">
        <v>41541</v>
      </c>
      <c r="G3851" s="48">
        <v>41639</v>
      </c>
      <c r="H3851" s="46" t="s">
        <v>651</v>
      </c>
      <c r="I3851" s="45">
        <v>3750</v>
      </c>
      <c r="J3851" s="45">
        <v>3750</v>
      </c>
      <c r="K3851" s="49" t="s">
        <v>9243</v>
      </c>
      <c r="L3851" s="46"/>
    </row>
    <row r="3852" spans="1:12" ht="25.5" x14ac:dyDescent="0.25">
      <c r="A3852" s="46" t="s">
        <v>11293</v>
      </c>
      <c r="B3852" s="46" t="s">
        <v>11645</v>
      </c>
      <c r="C3852" s="46" t="s">
        <v>14</v>
      </c>
      <c r="D3852" s="47">
        <v>12212</v>
      </c>
      <c r="E3852" s="46" t="s">
        <v>11294</v>
      </c>
      <c r="F3852" s="48">
        <v>41478</v>
      </c>
      <c r="G3852" s="48">
        <v>41639</v>
      </c>
      <c r="H3852" s="46" t="s">
        <v>651</v>
      </c>
      <c r="I3852" s="45">
        <v>6350</v>
      </c>
      <c r="J3852" s="45">
        <v>5050</v>
      </c>
      <c r="K3852" s="49" t="s">
        <v>9243</v>
      </c>
      <c r="L3852" s="46"/>
    </row>
    <row r="3853" spans="1:12" x14ac:dyDescent="0.25">
      <c r="A3853" s="46" t="s">
        <v>11305</v>
      </c>
      <c r="B3853" s="46" t="s">
        <v>11645</v>
      </c>
      <c r="C3853" s="46" t="s">
        <v>14</v>
      </c>
      <c r="D3853" s="47">
        <v>12222</v>
      </c>
      <c r="E3853" s="46" t="s">
        <v>11306</v>
      </c>
      <c r="F3853" s="48">
        <v>41331</v>
      </c>
      <c r="G3853" s="48">
        <v>41639</v>
      </c>
      <c r="H3853" s="46" t="s">
        <v>651</v>
      </c>
      <c r="I3853" s="45">
        <v>8000</v>
      </c>
      <c r="J3853" s="45">
        <v>8000</v>
      </c>
      <c r="K3853" s="49" t="s">
        <v>9243</v>
      </c>
      <c r="L3853" s="46"/>
    </row>
    <row r="3854" spans="1:12" x14ac:dyDescent="0.25">
      <c r="A3854" s="46" t="s">
        <v>11307</v>
      </c>
      <c r="B3854" s="46" t="s">
        <v>11645</v>
      </c>
      <c r="C3854" s="46" t="s">
        <v>14</v>
      </c>
      <c r="D3854" s="47">
        <v>12223</v>
      </c>
      <c r="E3854" s="46" t="s">
        <v>11308</v>
      </c>
      <c r="F3854" s="48">
        <v>41569</v>
      </c>
      <c r="G3854" s="48">
        <v>41639</v>
      </c>
      <c r="H3854" s="46" t="s">
        <v>651</v>
      </c>
      <c r="I3854" s="45">
        <v>4000</v>
      </c>
      <c r="J3854" s="45">
        <v>4000</v>
      </c>
      <c r="K3854" s="49" t="s">
        <v>9243</v>
      </c>
      <c r="L3854" s="46"/>
    </row>
    <row r="3855" spans="1:12" ht="38.25" x14ac:dyDescent="0.25">
      <c r="A3855" s="46" t="s">
        <v>11330</v>
      </c>
      <c r="B3855" s="46" t="s">
        <v>11645</v>
      </c>
      <c r="C3855" s="46" t="s">
        <v>14</v>
      </c>
      <c r="D3855" s="47">
        <v>12502</v>
      </c>
      <c r="E3855" s="46" t="s">
        <v>11331</v>
      </c>
      <c r="F3855" s="48">
        <v>41255</v>
      </c>
      <c r="G3855" s="48">
        <v>41619</v>
      </c>
      <c r="H3855" s="46" t="s">
        <v>651</v>
      </c>
      <c r="I3855" s="45">
        <v>7500</v>
      </c>
      <c r="J3855" s="45">
        <v>7500</v>
      </c>
      <c r="K3855" s="49" t="s">
        <v>9751</v>
      </c>
      <c r="L3855" s="46"/>
    </row>
    <row r="3856" spans="1:12" x14ac:dyDescent="0.25">
      <c r="A3856" s="46" t="s">
        <v>11334</v>
      </c>
      <c r="B3856" s="46" t="s">
        <v>11645</v>
      </c>
      <c r="C3856" s="46" t="s">
        <v>14</v>
      </c>
      <c r="D3856" s="47">
        <v>12504</v>
      </c>
      <c r="E3856" s="46" t="s">
        <v>11335</v>
      </c>
      <c r="F3856" s="48">
        <v>41332</v>
      </c>
      <c r="G3856" s="48">
        <v>41696</v>
      </c>
      <c r="H3856" s="46" t="s">
        <v>651</v>
      </c>
      <c r="I3856" s="45">
        <v>12564.68</v>
      </c>
      <c r="J3856" s="45">
        <v>10032.34</v>
      </c>
      <c r="K3856" s="49" t="s">
        <v>9751</v>
      </c>
      <c r="L3856" s="46"/>
    </row>
    <row r="3857" spans="1:13" ht="63.75" x14ac:dyDescent="0.25">
      <c r="A3857" s="46" t="s">
        <v>11338</v>
      </c>
      <c r="B3857" s="46" t="s">
        <v>11645</v>
      </c>
      <c r="C3857" s="46" t="s">
        <v>14</v>
      </c>
      <c r="D3857" s="47">
        <v>12506</v>
      </c>
      <c r="E3857" s="46" t="s">
        <v>11339</v>
      </c>
      <c r="F3857" s="48">
        <v>41332</v>
      </c>
      <c r="G3857" s="48">
        <v>41696</v>
      </c>
      <c r="H3857" s="46" t="s">
        <v>651</v>
      </c>
      <c r="I3857" s="45">
        <v>38123</v>
      </c>
      <c r="J3857" s="45">
        <v>30311.5</v>
      </c>
      <c r="K3857" s="49" t="s">
        <v>9751</v>
      </c>
      <c r="L3857" s="46"/>
    </row>
    <row r="3858" spans="1:13" ht="38.25" x14ac:dyDescent="0.25">
      <c r="A3858" s="46" t="s">
        <v>11340</v>
      </c>
      <c r="B3858" s="46" t="s">
        <v>11645</v>
      </c>
      <c r="C3858" s="46" t="s">
        <v>14</v>
      </c>
      <c r="D3858" s="47">
        <v>12507</v>
      </c>
      <c r="E3858" s="46" t="s">
        <v>11341</v>
      </c>
      <c r="F3858" s="48">
        <v>41332</v>
      </c>
      <c r="G3858" s="48">
        <v>41696</v>
      </c>
      <c r="H3858" s="46" t="s">
        <v>651</v>
      </c>
      <c r="I3858" s="45">
        <v>22901.919999999998</v>
      </c>
      <c r="J3858" s="45">
        <v>18950.96</v>
      </c>
      <c r="K3858" s="49" t="s">
        <v>9751</v>
      </c>
      <c r="L3858" s="46"/>
    </row>
    <row r="3859" spans="1:13" ht="38.25" x14ac:dyDescent="0.25">
      <c r="A3859" s="46" t="s">
        <v>11342</v>
      </c>
      <c r="B3859" s="46" t="s">
        <v>11645</v>
      </c>
      <c r="C3859" s="46" t="s">
        <v>14</v>
      </c>
      <c r="D3859" s="47">
        <v>12521</v>
      </c>
      <c r="E3859" s="46" t="s">
        <v>11343</v>
      </c>
      <c r="F3859" s="48">
        <v>41332</v>
      </c>
      <c r="G3859" s="48">
        <v>41696</v>
      </c>
      <c r="H3859" s="46" t="s">
        <v>651</v>
      </c>
      <c r="I3859" s="45">
        <v>49550</v>
      </c>
      <c r="J3859" s="45">
        <v>26650</v>
      </c>
      <c r="K3859" s="49" t="s">
        <v>9751</v>
      </c>
      <c r="L3859" s="46"/>
    </row>
    <row r="3860" spans="1:13" ht="25.5" x14ac:dyDescent="0.25">
      <c r="A3860" s="46" t="s">
        <v>11344</v>
      </c>
      <c r="B3860" s="46" t="s">
        <v>11645</v>
      </c>
      <c r="C3860" s="46" t="s">
        <v>14</v>
      </c>
      <c r="D3860" s="47">
        <v>12522</v>
      </c>
      <c r="E3860" s="46" t="s">
        <v>11345</v>
      </c>
      <c r="F3860" s="48">
        <v>41332</v>
      </c>
      <c r="G3860" s="48">
        <v>41696</v>
      </c>
      <c r="H3860" s="46" t="s">
        <v>651</v>
      </c>
      <c r="I3860" s="45">
        <v>16048</v>
      </c>
      <c r="J3860" s="45">
        <v>11774</v>
      </c>
      <c r="K3860" s="49" t="s">
        <v>9751</v>
      </c>
      <c r="L3860" s="46"/>
    </row>
    <row r="3861" spans="1:13" ht="25.5" x14ac:dyDescent="0.25">
      <c r="A3861" s="46" t="s">
        <v>11346</v>
      </c>
      <c r="B3861" s="46" t="s">
        <v>11645</v>
      </c>
      <c r="C3861" s="46" t="s">
        <v>14</v>
      </c>
      <c r="D3861" s="47">
        <v>12523</v>
      </c>
      <c r="E3861" s="46" t="s">
        <v>11347</v>
      </c>
      <c r="F3861" s="48">
        <v>41388</v>
      </c>
      <c r="G3861" s="48">
        <v>41752</v>
      </c>
      <c r="H3861" s="46" t="s">
        <v>651</v>
      </c>
      <c r="I3861" s="45">
        <v>3750</v>
      </c>
      <c r="J3861" s="45">
        <v>3750</v>
      </c>
      <c r="K3861" s="49" t="s">
        <v>9751</v>
      </c>
      <c r="L3861" s="46"/>
    </row>
    <row r="3862" spans="1:13" ht="38.25" x14ac:dyDescent="0.25">
      <c r="A3862" s="46" t="s">
        <v>11348</v>
      </c>
      <c r="B3862" s="46" t="s">
        <v>11645</v>
      </c>
      <c r="C3862" s="46" t="s">
        <v>14</v>
      </c>
      <c r="D3862" s="47">
        <v>12524</v>
      </c>
      <c r="E3862" s="46" t="s">
        <v>11349</v>
      </c>
      <c r="F3862" s="48">
        <v>41443</v>
      </c>
      <c r="G3862" s="48">
        <v>41807</v>
      </c>
      <c r="H3862" s="46" t="s">
        <v>651</v>
      </c>
      <c r="I3862" s="45">
        <v>16562.740000000002</v>
      </c>
      <c r="J3862" s="45">
        <v>12031.37</v>
      </c>
      <c r="K3862" s="49" t="s">
        <v>9751</v>
      </c>
      <c r="L3862" s="46"/>
    </row>
    <row r="3863" spans="1:13" x14ac:dyDescent="0.25">
      <c r="A3863" s="46" t="s">
        <v>11352</v>
      </c>
      <c r="B3863" s="46" t="s">
        <v>11645</v>
      </c>
      <c r="C3863" s="46" t="s">
        <v>14</v>
      </c>
      <c r="D3863" s="47">
        <v>12526</v>
      </c>
      <c r="E3863" s="46" t="s">
        <v>11353</v>
      </c>
      <c r="F3863" s="48">
        <v>41332</v>
      </c>
      <c r="G3863" s="48">
        <v>41696</v>
      </c>
      <c r="H3863" s="46" t="s">
        <v>651</v>
      </c>
      <c r="I3863" s="45">
        <v>15370.3</v>
      </c>
      <c r="J3863" s="45">
        <v>11435.15</v>
      </c>
      <c r="K3863" s="49" t="s">
        <v>9751</v>
      </c>
      <c r="L3863" s="46"/>
    </row>
    <row r="3864" spans="1:13" x14ac:dyDescent="0.25">
      <c r="A3864" s="46" t="s">
        <v>11356</v>
      </c>
      <c r="B3864" s="46" t="s">
        <v>11645</v>
      </c>
      <c r="C3864" s="46" t="s">
        <v>14</v>
      </c>
      <c r="D3864" s="47">
        <v>12528</v>
      </c>
      <c r="E3864" s="46" t="s">
        <v>11357</v>
      </c>
      <c r="F3864" s="48">
        <v>41388</v>
      </c>
      <c r="G3864" s="48">
        <v>41752</v>
      </c>
      <c r="H3864" s="46" t="s">
        <v>651</v>
      </c>
      <c r="I3864" s="45">
        <v>42314.64</v>
      </c>
      <c r="J3864" s="45">
        <v>23844.82</v>
      </c>
      <c r="K3864" s="49" t="s">
        <v>9751</v>
      </c>
      <c r="L3864" s="46"/>
    </row>
    <row r="3865" spans="1:13" ht="38.25" x14ac:dyDescent="0.25">
      <c r="A3865" s="46" t="s">
        <v>11358</v>
      </c>
      <c r="B3865" s="46" t="s">
        <v>11645</v>
      </c>
      <c r="C3865" s="46" t="s">
        <v>14</v>
      </c>
      <c r="D3865" s="47">
        <v>12529</v>
      </c>
      <c r="E3865" s="46" t="s">
        <v>11359</v>
      </c>
      <c r="F3865" s="48">
        <v>41443</v>
      </c>
      <c r="G3865" s="48">
        <v>41807</v>
      </c>
      <c r="H3865" s="46" t="s">
        <v>651</v>
      </c>
      <c r="I3865" s="45">
        <v>37213.300000000003</v>
      </c>
      <c r="J3865" s="45">
        <v>33606.65</v>
      </c>
      <c r="K3865" s="49" t="s">
        <v>9751</v>
      </c>
      <c r="L3865" s="46"/>
    </row>
    <row r="3866" spans="1:13" ht="38.25" x14ac:dyDescent="0.25">
      <c r="A3866" s="46" t="s">
        <v>11360</v>
      </c>
      <c r="B3866" s="46" t="s">
        <v>11645</v>
      </c>
      <c r="C3866" s="46" t="s">
        <v>14</v>
      </c>
      <c r="D3866" s="47">
        <v>12530</v>
      </c>
      <c r="E3866" s="46" t="s">
        <v>11361</v>
      </c>
      <c r="F3866" s="48">
        <v>41388</v>
      </c>
      <c r="G3866" s="48">
        <v>41752</v>
      </c>
      <c r="H3866" s="46" t="s">
        <v>651</v>
      </c>
      <c r="I3866" s="45">
        <v>5952.72</v>
      </c>
      <c r="J3866" s="45">
        <v>2976.37</v>
      </c>
      <c r="K3866" s="49" t="s">
        <v>9751</v>
      </c>
      <c r="L3866" s="46"/>
    </row>
    <row r="3867" spans="1:13" x14ac:dyDescent="0.25">
      <c r="A3867" s="46" t="s">
        <v>11362</v>
      </c>
      <c r="B3867" s="46" t="s">
        <v>11645</v>
      </c>
      <c r="C3867" s="46" t="s">
        <v>14</v>
      </c>
      <c r="D3867" s="47">
        <v>12531</v>
      </c>
      <c r="E3867" s="46" t="s">
        <v>11363</v>
      </c>
      <c r="F3867" s="48">
        <v>41388</v>
      </c>
      <c r="G3867" s="48">
        <v>41752</v>
      </c>
      <c r="H3867" s="46" t="s">
        <v>651</v>
      </c>
      <c r="I3867" s="45">
        <v>57679.98</v>
      </c>
      <c r="J3867" s="45">
        <v>30714.99</v>
      </c>
      <c r="K3867" s="49" t="s">
        <v>9751</v>
      </c>
      <c r="L3867" s="46"/>
    </row>
    <row r="3868" spans="1:13" ht="38.25" x14ac:dyDescent="0.25">
      <c r="A3868" s="46" t="s">
        <v>11364</v>
      </c>
      <c r="B3868" s="46" t="s">
        <v>11645</v>
      </c>
      <c r="C3868" s="46" t="s">
        <v>14</v>
      </c>
      <c r="D3868" s="47">
        <v>12532</v>
      </c>
      <c r="E3868" s="46" t="s">
        <v>11365</v>
      </c>
      <c r="F3868" s="48">
        <v>41521</v>
      </c>
      <c r="G3868" s="48">
        <v>41885</v>
      </c>
      <c r="H3868" s="46" t="s">
        <v>651</v>
      </c>
      <c r="I3868" s="45">
        <v>7500</v>
      </c>
      <c r="J3868" s="45">
        <v>7500</v>
      </c>
      <c r="K3868" s="49" t="s">
        <v>9751</v>
      </c>
      <c r="L3868" s="46"/>
    </row>
    <row r="3869" spans="1:13" x14ac:dyDescent="0.25">
      <c r="A3869" s="46" t="s">
        <v>11366</v>
      </c>
      <c r="B3869" s="46" t="s">
        <v>11645</v>
      </c>
      <c r="C3869" s="46" t="s">
        <v>14</v>
      </c>
      <c r="D3869" s="47">
        <v>12533</v>
      </c>
      <c r="E3869" s="46" t="s">
        <v>11367</v>
      </c>
      <c r="F3869" s="48">
        <v>41443</v>
      </c>
      <c r="G3869" s="48">
        <v>41807</v>
      </c>
      <c r="H3869" s="46" t="s">
        <v>651</v>
      </c>
      <c r="I3869" s="45">
        <v>7500</v>
      </c>
      <c r="J3869" s="45">
        <v>7500</v>
      </c>
      <c r="K3869" s="49" t="s">
        <v>9751</v>
      </c>
      <c r="L3869" s="46"/>
    </row>
    <row r="3870" spans="1:13" ht="25.5" x14ac:dyDescent="0.25">
      <c r="A3870" s="46" t="s">
        <v>11370</v>
      </c>
      <c r="B3870" s="46" t="s">
        <v>11645</v>
      </c>
      <c r="C3870" s="46" t="s">
        <v>14</v>
      </c>
      <c r="D3870" s="47">
        <v>12535</v>
      </c>
      <c r="E3870" s="46" t="s">
        <v>11371</v>
      </c>
      <c r="F3870" s="48">
        <v>41443</v>
      </c>
      <c r="G3870" s="48">
        <v>41807</v>
      </c>
      <c r="H3870" s="46" t="s">
        <v>651</v>
      </c>
      <c r="I3870" s="45">
        <v>8348.32</v>
      </c>
      <c r="J3870" s="45">
        <v>6049.16</v>
      </c>
      <c r="K3870" s="49" t="s">
        <v>9751</v>
      </c>
      <c r="L3870" s="46"/>
    </row>
    <row r="3871" spans="1:13" ht="25.5" x14ac:dyDescent="0.25">
      <c r="A3871" s="46" t="s">
        <v>37</v>
      </c>
      <c r="B3871" s="46" t="s">
        <v>38</v>
      </c>
      <c r="C3871" s="46" t="s">
        <v>14</v>
      </c>
      <c r="D3871" s="47">
        <v>388</v>
      </c>
      <c r="E3871" s="46" t="s">
        <v>39</v>
      </c>
      <c r="F3871" s="48">
        <v>40179</v>
      </c>
      <c r="G3871" s="48">
        <v>41639</v>
      </c>
      <c r="H3871" s="46" t="s">
        <v>40</v>
      </c>
      <c r="I3871" s="45">
        <f>257335.8+42815.43</f>
        <v>300151.23</v>
      </c>
      <c r="J3871" s="45">
        <f>212896.97+42815.43</f>
        <v>255712.4</v>
      </c>
      <c r="K3871" s="49" t="s">
        <v>17</v>
      </c>
      <c r="L3871" s="45"/>
      <c r="M3871" s="3"/>
    </row>
    <row r="3872" spans="1:13" ht="38.25" x14ac:dyDescent="0.25">
      <c r="A3872" s="46" t="s">
        <v>41</v>
      </c>
      <c r="B3872" s="46" t="s">
        <v>38</v>
      </c>
      <c r="C3872" s="46" t="s">
        <v>14</v>
      </c>
      <c r="D3872" s="47">
        <v>914</v>
      </c>
      <c r="E3872" s="46" t="s">
        <v>42</v>
      </c>
      <c r="F3872" s="48">
        <v>39083</v>
      </c>
      <c r="G3872" s="48">
        <v>39813</v>
      </c>
      <c r="H3872" s="46" t="s">
        <v>40</v>
      </c>
      <c r="I3872" s="45">
        <v>73853.63</v>
      </c>
      <c r="J3872" s="45">
        <v>73853.63</v>
      </c>
      <c r="K3872" s="49" t="s">
        <v>17</v>
      </c>
      <c r="L3872" s="45"/>
      <c r="M3872" s="3"/>
    </row>
    <row r="3873" spans="1:13" ht="25.5" x14ac:dyDescent="0.25">
      <c r="A3873" s="46" t="s">
        <v>43</v>
      </c>
      <c r="B3873" s="46" t="s">
        <v>38</v>
      </c>
      <c r="C3873" s="46" t="s">
        <v>14</v>
      </c>
      <c r="D3873" s="47">
        <v>915</v>
      </c>
      <c r="E3873" s="46" t="s">
        <v>44</v>
      </c>
      <c r="F3873" s="48">
        <v>39083</v>
      </c>
      <c r="G3873" s="48">
        <v>39813</v>
      </c>
      <c r="H3873" s="46" t="s">
        <v>40</v>
      </c>
      <c r="I3873" s="45">
        <v>169094.62</v>
      </c>
      <c r="J3873" s="45">
        <v>169094.62</v>
      </c>
      <c r="K3873" s="49" t="s">
        <v>17</v>
      </c>
      <c r="L3873" s="45"/>
      <c r="M3873" s="3"/>
    </row>
    <row r="3874" spans="1:13" ht="25.5" x14ac:dyDescent="0.25">
      <c r="A3874" s="46" t="s">
        <v>45</v>
      </c>
      <c r="B3874" s="46" t="s">
        <v>38</v>
      </c>
      <c r="C3874" s="46" t="s">
        <v>14</v>
      </c>
      <c r="D3874" s="47">
        <v>916</v>
      </c>
      <c r="E3874" s="46" t="s">
        <v>46</v>
      </c>
      <c r="F3874" s="48">
        <v>40179</v>
      </c>
      <c r="G3874" s="48">
        <v>41639</v>
      </c>
      <c r="H3874" s="46" t="s">
        <v>40</v>
      </c>
      <c r="I3874" s="45">
        <f>260737.07+64088.54</f>
        <v>324825.61</v>
      </c>
      <c r="J3874" s="45">
        <f>59223.53+64088.54</f>
        <v>123312.07</v>
      </c>
      <c r="K3874" s="49" t="s">
        <v>17</v>
      </c>
      <c r="L3874" s="45"/>
      <c r="M3874" s="3"/>
    </row>
    <row r="3875" spans="1:13" ht="63.75" x14ac:dyDescent="0.25">
      <c r="A3875" s="46" t="s">
        <v>47</v>
      </c>
      <c r="B3875" s="46" t="s">
        <v>38</v>
      </c>
      <c r="C3875" s="46" t="s">
        <v>14</v>
      </c>
      <c r="D3875" s="47">
        <v>956</v>
      </c>
      <c r="E3875" s="50" t="s">
        <v>48</v>
      </c>
      <c r="F3875" s="48">
        <v>39083</v>
      </c>
      <c r="G3875" s="48">
        <v>39813</v>
      </c>
      <c r="H3875" s="46" t="s">
        <v>40</v>
      </c>
      <c r="I3875" s="45">
        <v>91062.57</v>
      </c>
      <c r="J3875" s="45">
        <v>91062.57</v>
      </c>
      <c r="K3875" s="49" t="s">
        <v>17</v>
      </c>
      <c r="L3875" s="45"/>
      <c r="M3875" s="3"/>
    </row>
    <row r="3876" spans="1:13" ht="25.5" x14ac:dyDescent="0.25">
      <c r="A3876" s="46" t="s">
        <v>104</v>
      </c>
      <c r="B3876" s="46" t="s">
        <v>38</v>
      </c>
      <c r="C3876" s="46" t="s">
        <v>14</v>
      </c>
      <c r="D3876" s="47">
        <v>1724</v>
      </c>
      <c r="E3876" s="46" t="s">
        <v>105</v>
      </c>
      <c r="F3876" s="48">
        <v>40179</v>
      </c>
      <c r="G3876" s="48">
        <v>40908</v>
      </c>
      <c r="H3876" s="46" t="s">
        <v>40</v>
      </c>
      <c r="I3876" s="45">
        <v>263748.88</v>
      </c>
      <c r="J3876" s="45">
        <v>263748.88</v>
      </c>
      <c r="K3876" s="49" t="s">
        <v>17</v>
      </c>
      <c r="L3876" s="45"/>
      <c r="M3876" s="3"/>
    </row>
    <row r="3877" spans="1:13" ht="25.5" x14ac:dyDescent="0.25">
      <c r="A3877" s="46" t="s">
        <v>106</v>
      </c>
      <c r="B3877" s="46" t="s">
        <v>38</v>
      </c>
      <c r="C3877" s="46" t="s">
        <v>14</v>
      </c>
      <c r="D3877" s="47">
        <v>3269</v>
      </c>
      <c r="E3877" s="46" t="s">
        <v>107</v>
      </c>
      <c r="F3877" s="48">
        <v>39083</v>
      </c>
      <c r="G3877" s="48">
        <v>39813</v>
      </c>
      <c r="H3877" s="46" t="s">
        <v>40</v>
      </c>
      <c r="I3877" s="45">
        <v>7017.14</v>
      </c>
      <c r="J3877" s="45">
        <v>3794.9</v>
      </c>
      <c r="K3877" s="49" t="s">
        <v>17</v>
      </c>
      <c r="L3877" s="45"/>
      <c r="M3877" s="3"/>
    </row>
    <row r="3878" spans="1:13" ht="25.5" x14ac:dyDescent="0.25">
      <c r="A3878" s="46" t="s">
        <v>108</v>
      </c>
      <c r="B3878" s="46" t="s">
        <v>38</v>
      </c>
      <c r="C3878" s="46" t="s">
        <v>14</v>
      </c>
      <c r="D3878" s="47">
        <v>3270</v>
      </c>
      <c r="E3878" s="46" t="s">
        <v>108</v>
      </c>
      <c r="F3878" s="48">
        <v>39083</v>
      </c>
      <c r="G3878" s="48">
        <v>39813</v>
      </c>
      <c r="H3878" s="46" t="s">
        <v>40</v>
      </c>
      <c r="I3878" s="45">
        <v>75087.149999999994</v>
      </c>
      <c r="J3878" s="45">
        <v>48639.65</v>
      </c>
      <c r="K3878" s="49" t="s">
        <v>17</v>
      </c>
      <c r="L3878" s="45"/>
      <c r="M3878" s="3"/>
    </row>
    <row r="3879" spans="1:13" ht="25.5" x14ac:dyDescent="0.25">
      <c r="A3879" s="46" t="s">
        <v>109</v>
      </c>
      <c r="B3879" s="46" t="s">
        <v>38</v>
      </c>
      <c r="C3879" s="46" t="s">
        <v>14</v>
      </c>
      <c r="D3879" s="47">
        <v>3271</v>
      </c>
      <c r="E3879" s="46" t="s">
        <v>109</v>
      </c>
      <c r="F3879" s="48">
        <v>40179</v>
      </c>
      <c r="G3879" s="48">
        <v>40543</v>
      </c>
      <c r="H3879" s="46" t="s">
        <v>40</v>
      </c>
      <c r="I3879" s="45">
        <v>27462.07</v>
      </c>
      <c r="J3879" s="45">
        <v>17742.900000000001</v>
      </c>
      <c r="K3879" s="49" t="s">
        <v>17</v>
      </c>
      <c r="L3879" s="45"/>
      <c r="M3879" s="3"/>
    </row>
    <row r="3880" spans="1:13" ht="25.5" x14ac:dyDescent="0.25">
      <c r="A3880" s="46" t="s">
        <v>112</v>
      </c>
      <c r="B3880" s="46" t="s">
        <v>38</v>
      </c>
      <c r="C3880" s="46" t="s">
        <v>14</v>
      </c>
      <c r="D3880" s="47">
        <v>3273</v>
      </c>
      <c r="E3880" s="46" t="s">
        <v>113</v>
      </c>
      <c r="F3880" s="48">
        <v>39083</v>
      </c>
      <c r="G3880" s="48">
        <v>39813</v>
      </c>
      <c r="H3880" s="46" t="s">
        <v>40</v>
      </c>
      <c r="I3880" s="45">
        <v>14850.06</v>
      </c>
      <c r="J3880" s="45">
        <v>6460.06</v>
      </c>
      <c r="K3880" s="49" t="s">
        <v>17</v>
      </c>
      <c r="L3880" s="45"/>
      <c r="M3880" s="3"/>
    </row>
    <row r="3881" spans="1:13" ht="25.5" x14ac:dyDescent="0.25">
      <c r="A3881" s="46" t="s">
        <v>116</v>
      </c>
      <c r="B3881" s="46" t="s">
        <v>38</v>
      </c>
      <c r="C3881" s="46" t="s">
        <v>14</v>
      </c>
      <c r="D3881" s="47">
        <v>3275</v>
      </c>
      <c r="E3881" s="46" t="s">
        <v>117</v>
      </c>
      <c r="F3881" s="48">
        <v>39083</v>
      </c>
      <c r="G3881" s="48">
        <v>39813</v>
      </c>
      <c r="H3881" s="46" t="s">
        <v>40</v>
      </c>
      <c r="I3881" s="45">
        <v>10970.63</v>
      </c>
      <c r="J3881" s="45">
        <v>9441.33</v>
      </c>
      <c r="K3881" s="49" t="s">
        <v>17</v>
      </c>
      <c r="L3881" s="45"/>
      <c r="M3881" s="3"/>
    </row>
    <row r="3882" spans="1:13" ht="25.5" x14ac:dyDescent="0.25">
      <c r="A3882" s="46" t="s">
        <v>118</v>
      </c>
      <c r="B3882" s="46" t="s">
        <v>38</v>
      </c>
      <c r="C3882" s="46" t="s">
        <v>14</v>
      </c>
      <c r="D3882" s="47">
        <v>3276</v>
      </c>
      <c r="E3882" s="46" t="s">
        <v>119</v>
      </c>
      <c r="F3882" s="48">
        <v>39083</v>
      </c>
      <c r="G3882" s="48">
        <v>39813</v>
      </c>
      <c r="H3882" s="46" t="s">
        <v>40</v>
      </c>
      <c r="I3882" s="45">
        <v>34029.75</v>
      </c>
      <c r="J3882" s="45">
        <v>11158.05</v>
      </c>
      <c r="K3882" s="49" t="s">
        <v>17</v>
      </c>
      <c r="L3882" s="45"/>
      <c r="M3882" s="3"/>
    </row>
    <row r="3883" spans="1:13" ht="25.5" x14ac:dyDescent="0.25">
      <c r="A3883" s="46" t="s">
        <v>120</v>
      </c>
      <c r="B3883" s="46" t="s">
        <v>38</v>
      </c>
      <c r="C3883" s="46" t="s">
        <v>14</v>
      </c>
      <c r="D3883" s="47">
        <v>3277</v>
      </c>
      <c r="E3883" s="46" t="s">
        <v>121</v>
      </c>
      <c r="F3883" s="48">
        <v>39083</v>
      </c>
      <c r="G3883" s="48">
        <v>39813</v>
      </c>
      <c r="H3883" s="46" t="s">
        <v>40</v>
      </c>
      <c r="I3883" s="45">
        <v>55132.92</v>
      </c>
      <c r="J3883" s="45">
        <v>22334.92</v>
      </c>
      <c r="K3883" s="49" t="s">
        <v>17</v>
      </c>
      <c r="L3883" s="45"/>
      <c r="M3883" s="3"/>
    </row>
    <row r="3884" spans="1:13" ht="51" x14ac:dyDescent="0.25">
      <c r="A3884" s="46" t="s">
        <v>160</v>
      </c>
      <c r="B3884" s="46" t="s">
        <v>38</v>
      </c>
      <c r="C3884" s="46" t="s">
        <v>14</v>
      </c>
      <c r="D3884" s="47">
        <v>5356</v>
      </c>
      <c r="E3884" s="50" t="s">
        <v>161</v>
      </c>
      <c r="F3884" s="48">
        <v>40179</v>
      </c>
      <c r="G3884" s="48">
        <v>41639</v>
      </c>
      <c r="H3884" s="46" t="s">
        <v>40</v>
      </c>
      <c r="I3884" s="45">
        <f>290670.07+78167.24</f>
        <v>368837.31</v>
      </c>
      <c r="J3884" s="45">
        <f>195618.03+78167.24</f>
        <v>273785.27</v>
      </c>
      <c r="K3884" s="49" t="s">
        <v>17</v>
      </c>
      <c r="L3884" s="45"/>
      <c r="M3884" s="3"/>
    </row>
    <row r="3885" spans="1:13" ht="25.5" x14ac:dyDescent="0.25">
      <c r="A3885" s="46" t="s">
        <v>162</v>
      </c>
      <c r="B3885" s="46" t="s">
        <v>38</v>
      </c>
      <c r="C3885" s="46" t="s">
        <v>14</v>
      </c>
      <c r="D3885" s="47">
        <v>5357</v>
      </c>
      <c r="E3885" s="46" t="s">
        <v>163</v>
      </c>
      <c r="F3885" s="48">
        <v>40179</v>
      </c>
      <c r="G3885" s="48">
        <v>41639</v>
      </c>
      <c r="H3885" s="46" t="s">
        <v>40</v>
      </c>
      <c r="I3885" s="45">
        <f>192434.29+24074.94</f>
        <v>216509.23</v>
      </c>
      <c r="J3885" s="45">
        <f>153387.98+24074.94</f>
        <v>177462.92</v>
      </c>
      <c r="K3885" s="49" t="s">
        <v>17</v>
      </c>
      <c r="L3885" s="45"/>
      <c r="M3885" s="3"/>
    </row>
    <row r="3886" spans="1:13" ht="25.5" x14ac:dyDescent="0.25">
      <c r="A3886" s="46" t="s">
        <v>164</v>
      </c>
      <c r="B3886" s="46" t="s">
        <v>38</v>
      </c>
      <c r="C3886" s="46" t="s">
        <v>14</v>
      </c>
      <c r="D3886" s="47">
        <v>5358</v>
      </c>
      <c r="E3886" s="46" t="s">
        <v>165</v>
      </c>
      <c r="F3886" s="48">
        <v>40179</v>
      </c>
      <c r="G3886" s="48">
        <v>40543</v>
      </c>
      <c r="H3886" s="46" t="s">
        <v>40</v>
      </c>
      <c r="I3886" s="45">
        <v>11009.08</v>
      </c>
      <c r="J3886" s="45">
        <v>10829.08</v>
      </c>
      <c r="K3886" s="49" t="s">
        <v>17</v>
      </c>
      <c r="L3886" s="45"/>
      <c r="M3886" s="3"/>
    </row>
    <row r="3887" spans="1:13" ht="63.75" x14ac:dyDescent="0.25">
      <c r="A3887" s="46" t="s">
        <v>166</v>
      </c>
      <c r="B3887" s="46" t="s">
        <v>38</v>
      </c>
      <c r="C3887" s="46" t="s">
        <v>14</v>
      </c>
      <c r="D3887" s="47">
        <v>5359</v>
      </c>
      <c r="E3887" s="50" t="s">
        <v>167</v>
      </c>
      <c r="F3887" s="48">
        <v>40179</v>
      </c>
      <c r="G3887" s="48">
        <v>40908</v>
      </c>
      <c r="H3887" s="46" t="s">
        <v>40</v>
      </c>
      <c r="I3887" s="45">
        <v>49925.35</v>
      </c>
      <c r="J3887" s="45">
        <v>49925.35</v>
      </c>
      <c r="K3887" s="49" t="s">
        <v>17</v>
      </c>
      <c r="L3887" s="45"/>
      <c r="M3887" s="3"/>
    </row>
    <row r="3888" spans="1:13" ht="25.5" x14ac:dyDescent="0.25">
      <c r="A3888" s="46" t="s">
        <v>168</v>
      </c>
      <c r="B3888" s="46" t="s">
        <v>38</v>
      </c>
      <c r="C3888" s="46" t="s">
        <v>14</v>
      </c>
      <c r="D3888" s="47">
        <v>5360</v>
      </c>
      <c r="E3888" s="46" t="s">
        <v>169</v>
      </c>
      <c r="F3888" s="48">
        <v>39814</v>
      </c>
      <c r="G3888" s="48">
        <v>40543</v>
      </c>
      <c r="H3888" s="46" t="s">
        <v>40</v>
      </c>
      <c r="I3888" s="45">
        <v>20605.009999999998</v>
      </c>
      <c r="J3888" s="45">
        <v>20605.009999999998</v>
      </c>
      <c r="K3888" s="49" t="s">
        <v>17</v>
      </c>
      <c r="L3888" s="45"/>
      <c r="M3888" s="3"/>
    </row>
    <row r="3889" spans="1:13" ht="38.25" x14ac:dyDescent="0.25">
      <c r="A3889" s="46" t="s">
        <v>170</v>
      </c>
      <c r="B3889" s="46" t="s">
        <v>38</v>
      </c>
      <c r="C3889" s="46" t="s">
        <v>14</v>
      </c>
      <c r="D3889" s="47">
        <v>5361</v>
      </c>
      <c r="E3889" s="46" t="s">
        <v>171</v>
      </c>
      <c r="F3889" s="48">
        <v>40087</v>
      </c>
      <c r="G3889" s="48">
        <v>41639</v>
      </c>
      <c r="H3889" s="46" t="s">
        <v>40</v>
      </c>
      <c r="I3889" s="45">
        <f>71270.83+12080.04</f>
        <v>83350.87</v>
      </c>
      <c r="J3889" s="45">
        <f>45955.49+12080.04</f>
        <v>58035.53</v>
      </c>
      <c r="K3889" s="49" t="s">
        <v>17</v>
      </c>
      <c r="L3889" s="45"/>
      <c r="M3889" s="3"/>
    </row>
    <row r="3890" spans="1:13" ht="25.5" x14ac:dyDescent="0.25">
      <c r="A3890" s="46" t="s">
        <v>172</v>
      </c>
      <c r="B3890" s="46" t="s">
        <v>38</v>
      </c>
      <c r="C3890" s="46" t="s">
        <v>14</v>
      </c>
      <c r="D3890" s="47">
        <v>5363</v>
      </c>
      <c r="E3890" s="46" t="s">
        <v>173</v>
      </c>
      <c r="F3890" s="48">
        <v>39814</v>
      </c>
      <c r="G3890" s="48">
        <v>40543</v>
      </c>
      <c r="H3890" s="46" t="s">
        <v>40</v>
      </c>
      <c r="I3890" s="45">
        <v>22383.15</v>
      </c>
      <c r="J3890" s="45">
        <v>16013.15</v>
      </c>
      <c r="K3890" s="49" t="s">
        <v>17</v>
      </c>
      <c r="L3890" s="45"/>
      <c r="M3890" s="3"/>
    </row>
    <row r="3891" spans="1:13" ht="25.5" x14ac:dyDescent="0.25">
      <c r="A3891" s="46" t="s">
        <v>174</v>
      </c>
      <c r="B3891" s="46" t="s">
        <v>38</v>
      </c>
      <c r="C3891" s="46" t="s">
        <v>14</v>
      </c>
      <c r="D3891" s="47">
        <v>5367</v>
      </c>
      <c r="E3891" s="46" t="s">
        <v>175</v>
      </c>
      <c r="F3891" s="48">
        <v>40179</v>
      </c>
      <c r="G3891" s="48">
        <v>41639</v>
      </c>
      <c r="H3891" s="46" t="s">
        <v>40</v>
      </c>
      <c r="I3891" s="45">
        <f>132442.54+4195.25</f>
        <v>136637.79</v>
      </c>
      <c r="J3891" s="45">
        <f>34090.5+4195.25</f>
        <v>38285.75</v>
      </c>
      <c r="K3891" s="49" t="s">
        <v>17</v>
      </c>
      <c r="L3891" s="45"/>
      <c r="M3891" s="3"/>
    </row>
    <row r="3892" spans="1:13" ht="25.5" x14ac:dyDescent="0.25">
      <c r="A3892" s="46" t="s">
        <v>176</v>
      </c>
      <c r="B3892" s="46" t="s">
        <v>38</v>
      </c>
      <c r="C3892" s="46" t="s">
        <v>14</v>
      </c>
      <c r="D3892" s="47">
        <v>5372</v>
      </c>
      <c r="E3892" s="46" t="s">
        <v>177</v>
      </c>
      <c r="F3892" s="48">
        <v>40179</v>
      </c>
      <c r="G3892" s="48">
        <v>41639</v>
      </c>
      <c r="H3892" s="46" t="s">
        <v>40</v>
      </c>
      <c r="I3892" s="45">
        <f>47109.15+3881</f>
        <v>50990.15</v>
      </c>
      <c r="J3892" s="45">
        <f>33183.15+3881</f>
        <v>37064.15</v>
      </c>
      <c r="K3892" s="49" t="s">
        <v>17</v>
      </c>
      <c r="L3892" s="45"/>
      <c r="M3892" s="3"/>
    </row>
    <row r="3893" spans="1:13" ht="51" x14ac:dyDescent="0.25">
      <c r="A3893" s="46" t="s">
        <v>178</v>
      </c>
      <c r="B3893" s="46" t="s">
        <v>38</v>
      </c>
      <c r="C3893" s="46" t="s">
        <v>14</v>
      </c>
      <c r="D3893" s="47">
        <v>5376</v>
      </c>
      <c r="E3893" s="50" t="s">
        <v>179</v>
      </c>
      <c r="F3893" s="48">
        <v>39814</v>
      </c>
      <c r="G3893" s="48">
        <v>41639</v>
      </c>
      <c r="H3893" s="46" t="s">
        <v>40</v>
      </c>
      <c r="I3893" s="45">
        <f>70845.06+12991.85</f>
        <v>83836.91</v>
      </c>
      <c r="J3893" s="45">
        <f>46773.21+12991.85</f>
        <v>59765.06</v>
      </c>
      <c r="K3893" s="49" t="s">
        <v>17</v>
      </c>
      <c r="L3893" s="45"/>
      <c r="M3893" s="3"/>
    </row>
    <row r="3894" spans="1:13" ht="51" x14ac:dyDescent="0.25">
      <c r="A3894" s="46" t="s">
        <v>180</v>
      </c>
      <c r="B3894" s="46" t="s">
        <v>38</v>
      </c>
      <c r="C3894" s="46" t="s">
        <v>14</v>
      </c>
      <c r="D3894" s="47">
        <v>5380</v>
      </c>
      <c r="E3894" s="50" t="s">
        <v>181</v>
      </c>
      <c r="F3894" s="48">
        <v>40179</v>
      </c>
      <c r="G3894" s="48">
        <v>40543</v>
      </c>
      <c r="H3894" s="46" t="s">
        <v>40</v>
      </c>
      <c r="I3894" s="45">
        <v>12223.46</v>
      </c>
      <c r="J3894" s="45">
        <v>10223.459999999999</v>
      </c>
      <c r="K3894" s="49" t="s">
        <v>17</v>
      </c>
      <c r="L3894" s="45"/>
      <c r="M3894" s="3"/>
    </row>
    <row r="3895" spans="1:13" ht="25.5" x14ac:dyDescent="0.25">
      <c r="A3895" s="46" t="s">
        <v>226</v>
      </c>
      <c r="B3895" s="46" t="s">
        <v>38</v>
      </c>
      <c r="C3895" s="46" t="s">
        <v>14</v>
      </c>
      <c r="D3895" s="47">
        <v>7470</v>
      </c>
      <c r="E3895" s="46" t="s">
        <v>227</v>
      </c>
      <c r="F3895" s="48">
        <v>40284</v>
      </c>
      <c r="G3895" s="48">
        <v>40543</v>
      </c>
      <c r="H3895" s="46" t="s">
        <v>40</v>
      </c>
      <c r="I3895" s="45">
        <v>10974.6</v>
      </c>
      <c r="J3895" s="45">
        <v>5487.3</v>
      </c>
      <c r="K3895" s="49" t="s">
        <v>17</v>
      </c>
      <c r="L3895" s="45"/>
      <c r="M3895" s="3"/>
    </row>
    <row r="3896" spans="1:13" ht="76.5" x14ac:dyDescent="0.25">
      <c r="A3896" s="46" t="s">
        <v>228</v>
      </c>
      <c r="B3896" s="46" t="s">
        <v>38</v>
      </c>
      <c r="C3896" s="46" t="s">
        <v>14</v>
      </c>
      <c r="D3896" s="47">
        <v>7527</v>
      </c>
      <c r="E3896" s="50" t="s">
        <v>229</v>
      </c>
      <c r="F3896" s="48">
        <v>40179</v>
      </c>
      <c r="G3896" s="48">
        <v>40543</v>
      </c>
      <c r="H3896" s="46" t="s">
        <v>40</v>
      </c>
      <c r="I3896" s="45">
        <v>8000</v>
      </c>
      <c r="J3896" s="45">
        <v>8000</v>
      </c>
      <c r="K3896" s="49" t="s">
        <v>17</v>
      </c>
      <c r="L3896" s="45"/>
      <c r="M3896" s="3"/>
    </row>
    <row r="3897" spans="1:13" ht="25.5" x14ac:dyDescent="0.25">
      <c r="A3897" s="46" t="s">
        <v>230</v>
      </c>
      <c r="B3897" s="46" t="s">
        <v>38</v>
      </c>
      <c r="C3897" s="46" t="s">
        <v>14</v>
      </c>
      <c r="D3897" s="47">
        <v>7528</v>
      </c>
      <c r="E3897" s="46" t="s">
        <v>231</v>
      </c>
      <c r="F3897" s="48">
        <v>40179</v>
      </c>
      <c r="G3897" s="48">
        <v>40908</v>
      </c>
      <c r="H3897" s="46" t="s">
        <v>40</v>
      </c>
      <c r="I3897" s="45">
        <v>58839.28</v>
      </c>
      <c r="J3897" s="45">
        <v>36089.279999999999</v>
      </c>
      <c r="K3897" s="49" t="s">
        <v>17</v>
      </c>
      <c r="L3897" s="45"/>
      <c r="M3897" s="3"/>
    </row>
    <row r="3898" spans="1:13" ht="25.5" x14ac:dyDescent="0.25">
      <c r="A3898" s="46" t="s">
        <v>232</v>
      </c>
      <c r="B3898" s="46" t="s">
        <v>38</v>
      </c>
      <c r="C3898" s="46" t="s">
        <v>14</v>
      </c>
      <c r="D3898" s="47">
        <v>7529</v>
      </c>
      <c r="E3898" s="46" t="s">
        <v>233</v>
      </c>
      <c r="F3898" s="48">
        <v>40179</v>
      </c>
      <c r="G3898" s="48">
        <v>40543</v>
      </c>
      <c r="H3898" s="46" t="s">
        <v>40</v>
      </c>
      <c r="I3898" s="45">
        <v>3375.22</v>
      </c>
      <c r="J3898" s="45">
        <v>3325.22</v>
      </c>
      <c r="K3898" s="49" t="s">
        <v>17</v>
      </c>
      <c r="L3898" s="45"/>
      <c r="M3898" s="3"/>
    </row>
    <row r="3899" spans="1:13" ht="25.5" x14ac:dyDescent="0.25">
      <c r="A3899" s="46" t="s">
        <v>238</v>
      </c>
      <c r="B3899" s="46" t="s">
        <v>38</v>
      </c>
      <c r="C3899" s="46" t="s">
        <v>14</v>
      </c>
      <c r="D3899" s="47">
        <v>7853</v>
      </c>
      <c r="E3899" s="46" t="s">
        <v>239</v>
      </c>
      <c r="F3899" s="48">
        <v>40179</v>
      </c>
      <c r="G3899" s="48">
        <v>40543</v>
      </c>
      <c r="H3899" s="46" t="s">
        <v>40</v>
      </c>
      <c r="I3899" s="45">
        <v>4398.3599999999997</v>
      </c>
      <c r="J3899" s="45">
        <v>4398.3599999999997</v>
      </c>
      <c r="K3899" s="49" t="s">
        <v>17</v>
      </c>
      <c r="L3899" s="45"/>
      <c r="M3899" s="3"/>
    </row>
    <row r="3900" spans="1:13" ht="25.5" x14ac:dyDescent="0.25">
      <c r="A3900" s="46" t="s">
        <v>240</v>
      </c>
      <c r="B3900" s="46" t="s">
        <v>38</v>
      </c>
      <c r="C3900" s="46" t="s">
        <v>14</v>
      </c>
      <c r="D3900" s="47">
        <v>7854</v>
      </c>
      <c r="E3900" s="46" t="s">
        <v>241</v>
      </c>
      <c r="F3900" s="48">
        <v>40179</v>
      </c>
      <c r="G3900" s="48">
        <v>41639</v>
      </c>
      <c r="H3900" s="46" t="s">
        <v>40</v>
      </c>
      <c r="I3900" s="45">
        <f>75011.68+1513.5</f>
        <v>76525.179999999993</v>
      </c>
      <c r="J3900" s="45">
        <f>73498.18+1513.5</f>
        <v>75011.679999999993</v>
      </c>
      <c r="K3900" s="49" t="s">
        <v>17</v>
      </c>
      <c r="L3900" s="45"/>
      <c r="M3900" s="3"/>
    </row>
    <row r="3901" spans="1:13" ht="38.25" x14ac:dyDescent="0.25">
      <c r="A3901" s="46" t="s">
        <v>297</v>
      </c>
      <c r="B3901" s="46" t="s">
        <v>38</v>
      </c>
      <c r="C3901" s="46" t="s">
        <v>14</v>
      </c>
      <c r="D3901" s="47">
        <v>8938</v>
      </c>
      <c r="E3901" s="46" t="s">
        <v>298</v>
      </c>
      <c r="F3901" s="48">
        <v>40544</v>
      </c>
      <c r="G3901" s="48">
        <v>41639</v>
      </c>
      <c r="H3901" s="46" t="s">
        <v>40</v>
      </c>
      <c r="I3901" s="45">
        <f>6082.42+875.82</f>
        <v>6958.24</v>
      </c>
      <c r="J3901" s="45">
        <f>3914.66+875.82</f>
        <v>4790.4799999999996</v>
      </c>
      <c r="K3901" s="49" t="s">
        <v>17</v>
      </c>
      <c r="L3901" s="45"/>
      <c r="M3901" s="3"/>
    </row>
    <row r="3902" spans="1:13" ht="25.5" x14ac:dyDescent="0.25">
      <c r="A3902" s="46" t="s">
        <v>299</v>
      </c>
      <c r="B3902" s="46" t="s">
        <v>38</v>
      </c>
      <c r="C3902" s="46" t="s">
        <v>14</v>
      </c>
      <c r="D3902" s="47">
        <v>8940</v>
      </c>
      <c r="E3902" s="46" t="s">
        <v>300</v>
      </c>
      <c r="F3902" s="48">
        <v>40544</v>
      </c>
      <c r="G3902" s="48">
        <v>40908</v>
      </c>
      <c r="H3902" s="46" t="s">
        <v>40</v>
      </c>
      <c r="I3902" s="45">
        <v>7930.26</v>
      </c>
      <c r="J3902" s="45">
        <v>5270.26</v>
      </c>
      <c r="K3902" s="49" t="s">
        <v>17</v>
      </c>
      <c r="L3902" s="45"/>
      <c r="M3902" s="3"/>
    </row>
    <row r="3903" spans="1:13" ht="51" x14ac:dyDescent="0.25">
      <c r="A3903" s="46" t="s">
        <v>301</v>
      </c>
      <c r="B3903" s="46" t="s">
        <v>38</v>
      </c>
      <c r="C3903" s="46" t="s">
        <v>14</v>
      </c>
      <c r="D3903" s="47">
        <v>9204</v>
      </c>
      <c r="E3903" s="46" t="s">
        <v>302</v>
      </c>
      <c r="F3903" s="48">
        <v>40544</v>
      </c>
      <c r="G3903" s="48">
        <v>41274</v>
      </c>
      <c r="H3903" s="46" t="s">
        <v>40</v>
      </c>
      <c r="I3903" s="45">
        <v>106269.16</v>
      </c>
      <c r="J3903" s="45">
        <v>53134.58</v>
      </c>
      <c r="K3903" s="49" t="s">
        <v>17</v>
      </c>
      <c r="L3903" s="45"/>
      <c r="M3903" s="3"/>
    </row>
    <row r="3904" spans="1:13" ht="51" x14ac:dyDescent="0.25">
      <c r="A3904" s="46" t="s">
        <v>343</v>
      </c>
      <c r="B3904" s="46" t="s">
        <v>38</v>
      </c>
      <c r="C3904" s="46" t="s">
        <v>14</v>
      </c>
      <c r="D3904" s="47">
        <v>10614</v>
      </c>
      <c r="E3904" s="50" t="s">
        <v>344</v>
      </c>
      <c r="F3904" s="48">
        <v>40909</v>
      </c>
      <c r="G3904" s="48">
        <v>41639</v>
      </c>
      <c r="H3904" s="46" t="s">
        <v>40</v>
      </c>
      <c r="I3904" s="45">
        <f>18631.81+1371.45</f>
        <v>20003.260000000002</v>
      </c>
      <c r="J3904" s="45">
        <f>13789.06+1371.45</f>
        <v>15160.51</v>
      </c>
      <c r="K3904" s="49" t="s">
        <v>17</v>
      </c>
      <c r="L3904" s="45"/>
      <c r="M3904" s="3"/>
    </row>
    <row r="3905" spans="1:13" ht="76.5" x14ac:dyDescent="0.25">
      <c r="A3905" s="46" t="s">
        <v>345</v>
      </c>
      <c r="B3905" s="46" t="s">
        <v>38</v>
      </c>
      <c r="C3905" s="46" t="s">
        <v>14</v>
      </c>
      <c r="D3905" s="47">
        <v>10615</v>
      </c>
      <c r="E3905" s="50" t="s">
        <v>346</v>
      </c>
      <c r="F3905" s="48">
        <v>40909</v>
      </c>
      <c r="G3905" s="48">
        <v>41274</v>
      </c>
      <c r="H3905" s="46" t="s">
        <v>40</v>
      </c>
      <c r="I3905" s="45">
        <v>23294.16</v>
      </c>
      <c r="J3905" s="45">
        <v>16264.16</v>
      </c>
      <c r="K3905" s="49" t="s">
        <v>17</v>
      </c>
      <c r="L3905" s="45"/>
      <c r="M3905" s="3"/>
    </row>
    <row r="3906" spans="1:13" ht="25.5" x14ac:dyDescent="0.25">
      <c r="A3906" s="46" t="s">
        <v>347</v>
      </c>
      <c r="B3906" s="46" t="s">
        <v>38</v>
      </c>
      <c r="C3906" s="46" t="s">
        <v>14</v>
      </c>
      <c r="D3906" s="47">
        <v>10616</v>
      </c>
      <c r="E3906" s="46" t="s">
        <v>348</v>
      </c>
      <c r="F3906" s="48">
        <v>40909</v>
      </c>
      <c r="G3906" s="48">
        <v>41639</v>
      </c>
      <c r="H3906" s="46" t="s">
        <v>40</v>
      </c>
      <c r="I3906" s="45">
        <f>66304.77+35208.01</f>
        <v>101512.78</v>
      </c>
      <c r="J3906" s="45">
        <f>26211.76+35208.01</f>
        <v>61419.770000000004</v>
      </c>
      <c r="K3906" s="49" t="s">
        <v>17</v>
      </c>
      <c r="L3906" s="45"/>
      <c r="M3906" s="3"/>
    </row>
    <row r="3907" spans="1:13" ht="25.5" x14ac:dyDescent="0.25">
      <c r="A3907" s="46" t="s">
        <v>349</v>
      </c>
      <c r="B3907" s="46" t="s">
        <v>38</v>
      </c>
      <c r="C3907" s="46" t="s">
        <v>14</v>
      </c>
      <c r="D3907" s="47">
        <v>10620</v>
      </c>
      <c r="E3907" s="46" t="s">
        <v>350</v>
      </c>
      <c r="F3907" s="48">
        <v>40909</v>
      </c>
      <c r="G3907" s="48">
        <v>41274</v>
      </c>
      <c r="H3907" s="46" t="s">
        <v>40</v>
      </c>
      <c r="I3907" s="45">
        <v>17279.66</v>
      </c>
      <c r="J3907" s="45">
        <v>14181.16</v>
      </c>
      <c r="K3907" s="49" t="s">
        <v>17</v>
      </c>
      <c r="L3907" s="45"/>
      <c r="M3907" s="3"/>
    </row>
    <row r="3908" spans="1:13" ht="25.5" x14ac:dyDescent="0.25">
      <c r="A3908" s="46" t="s">
        <v>8331</v>
      </c>
      <c r="B3908" s="46" t="s">
        <v>38</v>
      </c>
      <c r="C3908" s="46" t="s">
        <v>14</v>
      </c>
      <c r="D3908" s="47">
        <v>12727</v>
      </c>
      <c r="E3908" s="46" t="s">
        <v>231</v>
      </c>
      <c r="F3908" s="48">
        <v>41275</v>
      </c>
      <c r="G3908" s="48">
        <v>41639</v>
      </c>
      <c r="H3908" s="46" t="s">
        <v>651</v>
      </c>
      <c r="I3908" s="45">
        <v>32811.980000000003</v>
      </c>
      <c r="J3908" s="45">
        <v>32811.980000000003</v>
      </c>
      <c r="K3908" s="49" t="s">
        <v>17</v>
      </c>
      <c r="L3908" s="46"/>
    </row>
    <row r="3909" spans="1:13" ht="63.75" x14ac:dyDescent="0.25">
      <c r="A3909" s="46" t="s">
        <v>11146</v>
      </c>
      <c r="B3909" s="46" t="s">
        <v>38</v>
      </c>
      <c r="C3909" s="46" t="s">
        <v>14</v>
      </c>
      <c r="D3909" s="47">
        <v>12729</v>
      </c>
      <c r="E3909" s="46" t="s">
        <v>11147</v>
      </c>
      <c r="F3909" s="48">
        <v>41275</v>
      </c>
      <c r="G3909" s="46"/>
      <c r="H3909" s="46" t="s">
        <v>651</v>
      </c>
      <c r="I3909" s="45">
        <v>11430.85</v>
      </c>
      <c r="J3909" s="45">
        <v>11430.85</v>
      </c>
      <c r="K3909" s="49" t="s">
        <v>17</v>
      </c>
      <c r="L3909" s="46"/>
    </row>
    <row r="3910" spans="1:13" ht="25.5" x14ac:dyDescent="0.25">
      <c r="A3910" s="46" t="s">
        <v>395</v>
      </c>
      <c r="B3910" s="46" t="s">
        <v>38</v>
      </c>
      <c r="C3910" s="46" t="s">
        <v>14</v>
      </c>
      <c r="D3910" s="47">
        <v>1077</v>
      </c>
      <c r="E3910" s="46" t="s">
        <v>396</v>
      </c>
      <c r="F3910" s="48">
        <v>39083</v>
      </c>
      <c r="G3910" s="48">
        <v>41639</v>
      </c>
      <c r="H3910" s="46" t="s">
        <v>40</v>
      </c>
      <c r="I3910" s="45">
        <f>89392.18+11046.19</f>
        <v>100438.37</v>
      </c>
      <c r="J3910" s="45">
        <f>75715.99+11046.19</f>
        <v>86762.180000000008</v>
      </c>
      <c r="K3910" s="49" t="s">
        <v>356</v>
      </c>
      <c r="L3910" s="45"/>
      <c r="M3910" s="3"/>
    </row>
    <row r="3911" spans="1:13" ht="25.5" x14ac:dyDescent="0.25">
      <c r="A3911" s="46" t="s">
        <v>397</v>
      </c>
      <c r="B3911" s="46" t="s">
        <v>38</v>
      </c>
      <c r="C3911" s="46" t="s">
        <v>14</v>
      </c>
      <c r="D3911" s="47">
        <v>2143</v>
      </c>
      <c r="E3911" s="46" t="s">
        <v>398</v>
      </c>
      <c r="F3911" s="48">
        <v>39083</v>
      </c>
      <c r="G3911" s="48">
        <v>40908</v>
      </c>
      <c r="H3911" s="46" t="s">
        <v>40</v>
      </c>
      <c r="I3911" s="45">
        <v>85000</v>
      </c>
      <c r="J3911" s="45">
        <v>85000</v>
      </c>
      <c r="K3911" s="49" t="s">
        <v>356</v>
      </c>
      <c r="L3911" s="45"/>
      <c r="M3911" s="3"/>
    </row>
    <row r="3912" spans="1:13" ht="25.5" x14ac:dyDescent="0.25">
      <c r="A3912" s="46" t="s">
        <v>399</v>
      </c>
      <c r="B3912" s="46" t="s">
        <v>38</v>
      </c>
      <c r="C3912" s="46" t="s">
        <v>14</v>
      </c>
      <c r="D3912" s="47">
        <v>2147</v>
      </c>
      <c r="E3912" s="46" t="s">
        <v>400</v>
      </c>
      <c r="F3912" s="48">
        <v>39083</v>
      </c>
      <c r="G3912" s="48">
        <v>39813</v>
      </c>
      <c r="H3912" s="46" t="s">
        <v>40</v>
      </c>
      <c r="I3912" s="45">
        <v>1050</v>
      </c>
      <c r="J3912" s="45">
        <v>1050</v>
      </c>
      <c r="K3912" s="49" t="s">
        <v>356</v>
      </c>
      <c r="L3912" s="45"/>
      <c r="M3912" s="3"/>
    </row>
    <row r="3913" spans="1:13" ht="25.5" x14ac:dyDescent="0.25">
      <c r="A3913" s="46" t="s">
        <v>401</v>
      </c>
      <c r="B3913" s="46" t="s">
        <v>38</v>
      </c>
      <c r="C3913" s="46" t="s">
        <v>14</v>
      </c>
      <c r="D3913" s="47">
        <v>2149</v>
      </c>
      <c r="E3913" s="46" t="s">
        <v>402</v>
      </c>
      <c r="F3913" s="48">
        <v>39083</v>
      </c>
      <c r="G3913" s="48">
        <v>41639</v>
      </c>
      <c r="H3913" s="46" t="s">
        <v>40</v>
      </c>
      <c r="I3913" s="45">
        <f>77347.16+3733.5</f>
        <v>81080.66</v>
      </c>
      <c r="J3913" s="45">
        <f>48583.66+3733.5</f>
        <v>52317.16</v>
      </c>
      <c r="K3913" s="49" t="s">
        <v>356</v>
      </c>
      <c r="L3913" s="45"/>
      <c r="M3913" s="3"/>
    </row>
    <row r="3914" spans="1:13" ht="25.5" x14ac:dyDescent="0.25">
      <c r="A3914" s="46" t="s">
        <v>403</v>
      </c>
      <c r="B3914" s="46" t="s">
        <v>38</v>
      </c>
      <c r="C3914" s="46" t="s">
        <v>14</v>
      </c>
      <c r="D3914" s="47">
        <v>2155</v>
      </c>
      <c r="E3914" s="46" t="s">
        <v>404</v>
      </c>
      <c r="F3914" s="48">
        <v>39083</v>
      </c>
      <c r="G3914" s="48">
        <v>41639</v>
      </c>
      <c r="H3914" s="46" t="s">
        <v>40</v>
      </c>
      <c r="I3914" s="45">
        <f>33732.23+5327.6</f>
        <v>39059.83</v>
      </c>
      <c r="J3914" s="45">
        <f>27964.63+5327.6</f>
        <v>33292.230000000003</v>
      </c>
      <c r="K3914" s="49" t="s">
        <v>356</v>
      </c>
      <c r="L3914" s="45"/>
      <c r="M3914" s="3"/>
    </row>
    <row r="3915" spans="1:13" ht="25.5" x14ac:dyDescent="0.25">
      <c r="A3915" s="46" t="s">
        <v>405</v>
      </c>
      <c r="B3915" s="46" t="s">
        <v>38</v>
      </c>
      <c r="C3915" s="46" t="s">
        <v>14</v>
      </c>
      <c r="D3915" s="47">
        <v>2158</v>
      </c>
      <c r="E3915" s="46" t="s">
        <v>406</v>
      </c>
      <c r="F3915" s="48">
        <v>39083</v>
      </c>
      <c r="G3915" s="48">
        <v>41639</v>
      </c>
      <c r="H3915" s="46" t="s">
        <v>40</v>
      </c>
      <c r="I3915" s="45">
        <f>117455+2250</f>
        <v>119705</v>
      </c>
      <c r="J3915" s="45">
        <f>81802+2250</f>
        <v>84052</v>
      </c>
      <c r="K3915" s="49" t="s">
        <v>356</v>
      </c>
      <c r="L3915" s="45"/>
      <c r="M3915" s="3"/>
    </row>
    <row r="3916" spans="1:13" ht="25.5" x14ac:dyDescent="0.25">
      <c r="A3916" s="46" t="s">
        <v>407</v>
      </c>
      <c r="B3916" s="46" t="s">
        <v>38</v>
      </c>
      <c r="C3916" s="46" t="s">
        <v>14</v>
      </c>
      <c r="D3916" s="47">
        <v>2160</v>
      </c>
      <c r="E3916" s="46" t="s">
        <v>408</v>
      </c>
      <c r="F3916" s="48">
        <v>39083</v>
      </c>
      <c r="G3916" s="48">
        <v>41639</v>
      </c>
      <c r="H3916" s="46" t="s">
        <v>40</v>
      </c>
      <c r="I3916" s="45">
        <f>79489.7+10490.8</f>
        <v>89980.5</v>
      </c>
      <c r="J3916" s="45">
        <f>44938.9+10490.81</f>
        <v>55429.71</v>
      </c>
      <c r="K3916" s="49" t="s">
        <v>356</v>
      </c>
      <c r="L3916" s="45"/>
      <c r="M3916" s="3"/>
    </row>
    <row r="3917" spans="1:13" ht="25.5" x14ac:dyDescent="0.25">
      <c r="A3917" s="46" t="s">
        <v>409</v>
      </c>
      <c r="B3917" s="46" t="s">
        <v>38</v>
      </c>
      <c r="C3917" s="46" t="s">
        <v>14</v>
      </c>
      <c r="D3917" s="47">
        <v>2162</v>
      </c>
      <c r="E3917" s="46" t="s">
        <v>410</v>
      </c>
      <c r="F3917" s="48">
        <v>39083</v>
      </c>
      <c r="G3917" s="48">
        <v>39813</v>
      </c>
      <c r="H3917" s="46" t="s">
        <v>40</v>
      </c>
      <c r="I3917" s="45">
        <v>2000</v>
      </c>
      <c r="J3917" s="45">
        <v>1000</v>
      </c>
      <c r="K3917" s="49" t="s">
        <v>356</v>
      </c>
      <c r="L3917" s="45"/>
      <c r="M3917" s="3"/>
    </row>
    <row r="3918" spans="1:13" ht="25.5" x14ac:dyDescent="0.25">
      <c r="A3918" s="46" t="s">
        <v>411</v>
      </c>
      <c r="B3918" s="46" t="s">
        <v>38</v>
      </c>
      <c r="C3918" s="46" t="s">
        <v>14</v>
      </c>
      <c r="D3918" s="47">
        <v>2163</v>
      </c>
      <c r="E3918" s="46" t="s">
        <v>412</v>
      </c>
      <c r="F3918" s="48">
        <v>39083</v>
      </c>
      <c r="G3918" s="48">
        <v>40908</v>
      </c>
      <c r="H3918" s="46" t="s">
        <v>40</v>
      </c>
      <c r="I3918" s="45">
        <v>22151.8</v>
      </c>
      <c r="J3918" s="45">
        <v>10891.8</v>
      </c>
      <c r="K3918" s="49" t="s">
        <v>356</v>
      </c>
      <c r="L3918" s="45"/>
      <c r="M3918" s="3"/>
    </row>
    <row r="3919" spans="1:13" ht="25.5" x14ac:dyDescent="0.25">
      <c r="A3919" s="46" t="s">
        <v>413</v>
      </c>
      <c r="B3919" s="46" t="s">
        <v>38</v>
      </c>
      <c r="C3919" s="46" t="s">
        <v>14</v>
      </c>
      <c r="D3919" s="47">
        <v>2165</v>
      </c>
      <c r="E3919" s="46" t="s">
        <v>414</v>
      </c>
      <c r="F3919" s="48">
        <v>39083</v>
      </c>
      <c r="G3919" s="48">
        <v>40178</v>
      </c>
      <c r="H3919" s="46" t="s">
        <v>40</v>
      </c>
      <c r="I3919" s="45">
        <v>12138</v>
      </c>
      <c r="J3919" s="45">
        <v>7763</v>
      </c>
      <c r="K3919" s="49" t="s">
        <v>356</v>
      </c>
      <c r="L3919" s="45"/>
      <c r="M3919" s="3"/>
    </row>
    <row r="3920" spans="1:13" ht="25.5" x14ac:dyDescent="0.25">
      <c r="A3920" s="46" t="s">
        <v>415</v>
      </c>
      <c r="B3920" s="46" t="s">
        <v>38</v>
      </c>
      <c r="C3920" s="46" t="s">
        <v>14</v>
      </c>
      <c r="D3920" s="47">
        <v>2166</v>
      </c>
      <c r="E3920" s="46" t="s">
        <v>416</v>
      </c>
      <c r="F3920" s="48">
        <v>39083</v>
      </c>
      <c r="G3920" s="48">
        <v>41639</v>
      </c>
      <c r="H3920" s="46" t="s">
        <v>40</v>
      </c>
      <c r="I3920" s="45">
        <f>67315.99+11259.25</f>
        <v>78575.240000000005</v>
      </c>
      <c r="J3920" s="45">
        <f>35826.74+11259.25</f>
        <v>47085.99</v>
      </c>
      <c r="K3920" s="49" t="s">
        <v>356</v>
      </c>
      <c r="L3920" s="45"/>
      <c r="M3920" s="3"/>
    </row>
    <row r="3921" spans="1:13" ht="25.5" x14ac:dyDescent="0.25">
      <c r="A3921" s="46" t="s">
        <v>417</v>
      </c>
      <c r="B3921" s="46" t="s">
        <v>38</v>
      </c>
      <c r="C3921" s="46" t="s">
        <v>14</v>
      </c>
      <c r="D3921" s="47">
        <v>2168</v>
      </c>
      <c r="E3921" s="46" t="s">
        <v>418</v>
      </c>
      <c r="F3921" s="48">
        <v>39083</v>
      </c>
      <c r="G3921" s="48">
        <v>41274</v>
      </c>
      <c r="H3921" s="46" t="s">
        <v>40</v>
      </c>
      <c r="I3921" s="45">
        <v>12716.78</v>
      </c>
      <c r="J3921" s="45">
        <v>8192.7800000000007</v>
      </c>
      <c r="K3921" s="49" t="s">
        <v>356</v>
      </c>
      <c r="L3921" s="45"/>
      <c r="M3921" s="3"/>
    </row>
    <row r="3922" spans="1:13" ht="25.5" x14ac:dyDescent="0.25">
      <c r="A3922" s="46" t="s">
        <v>419</v>
      </c>
      <c r="B3922" s="46" t="s">
        <v>38</v>
      </c>
      <c r="C3922" s="46" t="s">
        <v>14</v>
      </c>
      <c r="D3922" s="47">
        <v>2169</v>
      </c>
      <c r="E3922" s="46" t="s">
        <v>420</v>
      </c>
      <c r="F3922" s="48">
        <v>39083</v>
      </c>
      <c r="G3922" s="48">
        <v>41639</v>
      </c>
      <c r="H3922" s="46" t="s">
        <v>40</v>
      </c>
      <c r="I3922" s="45">
        <f>296405.36+23264</f>
        <v>319669.36</v>
      </c>
      <c r="J3922" s="45">
        <f>203476.69+23264</f>
        <v>226740.69</v>
      </c>
      <c r="K3922" s="49" t="s">
        <v>356</v>
      </c>
      <c r="L3922" s="45"/>
      <c r="M3922" s="3"/>
    </row>
    <row r="3923" spans="1:13" ht="25.5" x14ac:dyDescent="0.25">
      <c r="A3923" s="46" t="s">
        <v>421</v>
      </c>
      <c r="B3923" s="46" t="s">
        <v>38</v>
      </c>
      <c r="C3923" s="46" t="s">
        <v>14</v>
      </c>
      <c r="D3923" s="47">
        <v>2170</v>
      </c>
      <c r="E3923" s="46" t="s">
        <v>422</v>
      </c>
      <c r="F3923" s="48">
        <v>39083</v>
      </c>
      <c r="G3923" s="48">
        <v>40543</v>
      </c>
      <c r="H3923" s="46" t="s">
        <v>40</v>
      </c>
      <c r="I3923" s="45">
        <v>17519.7</v>
      </c>
      <c r="J3923" s="45">
        <v>9769.7000000000007</v>
      </c>
      <c r="K3923" s="49" t="s">
        <v>356</v>
      </c>
      <c r="L3923" s="45"/>
      <c r="M3923" s="3"/>
    </row>
    <row r="3924" spans="1:13" ht="25.5" x14ac:dyDescent="0.25">
      <c r="A3924" s="46" t="s">
        <v>423</v>
      </c>
      <c r="B3924" s="46" t="s">
        <v>38</v>
      </c>
      <c r="C3924" s="46" t="s">
        <v>14</v>
      </c>
      <c r="D3924" s="47">
        <v>2172</v>
      </c>
      <c r="E3924" s="46" t="s">
        <v>424</v>
      </c>
      <c r="F3924" s="48">
        <v>39083</v>
      </c>
      <c r="G3924" s="48">
        <v>41639</v>
      </c>
      <c r="H3924" s="46" t="s">
        <v>40</v>
      </c>
      <c r="I3924" s="45">
        <f>52685.49+14457.79</f>
        <v>67143.28</v>
      </c>
      <c r="J3924" s="45">
        <f>35677.7+14457.79</f>
        <v>50135.49</v>
      </c>
      <c r="K3924" s="49" t="s">
        <v>356</v>
      </c>
      <c r="L3924" s="45"/>
      <c r="M3924" s="3"/>
    </row>
    <row r="3925" spans="1:13" ht="38.25" x14ac:dyDescent="0.25">
      <c r="A3925" s="46" t="s">
        <v>425</v>
      </c>
      <c r="B3925" s="46" t="s">
        <v>38</v>
      </c>
      <c r="C3925" s="46" t="s">
        <v>14</v>
      </c>
      <c r="D3925" s="47">
        <v>2173</v>
      </c>
      <c r="E3925" s="46" t="s">
        <v>426</v>
      </c>
      <c r="F3925" s="48">
        <v>39083</v>
      </c>
      <c r="G3925" s="48">
        <v>40543</v>
      </c>
      <c r="H3925" s="46" t="s">
        <v>40</v>
      </c>
      <c r="I3925" s="45">
        <v>56287.66</v>
      </c>
      <c r="J3925" s="45">
        <v>41677.660000000003</v>
      </c>
      <c r="K3925" s="49" t="s">
        <v>356</v>
      </c>
      <c r="L3925" s="45"/>
      <c r="M3925" s="3"/>
    </row>
    <row r="3926" spans="1:13" ht="38.25" x14ac:dyDescent="0.25">
      <c r="A3926" s="46" t="s">
        <v>427</v>
      </c>
      <c r="B3926" s="46" t="s">
        <v>38</v>
      </c>
      <c r="C3926" s="46" t="s">
        <v>14</v>
      </c>
      <c r="D3926" s="47">
        <v>2175</v>
      </c>
      <c r="E3926" s="46" t="s">
        <v>428</v>
      </c>
      <c r="F3926" s="48">
        <v>39083</v>
      </c>
      <c r="G3926" s="48">
        <v>41274</v>
      </c>
      <c r="H3926" s="46" t="s">
        <v>40</v>
      </c>
      <c r="I3926" s="45">
        <v>57182.44</v>
      </c>
      <c r="J3926" s="45">
        <v>54682.44</v>
      </c>
      <c r="K3926" s="49" t="s">
        <v>356</v>
      </c>
      <c r="L3926" s="45"/>
      <c r="M3926" s="3"/>
    </row>
    <row r="3927" spans="1:13" ht="25.5" x14ac:dyDescent="0.25">
      <c r="A3927" s="46" t="s">
        <v>429</v>
      </c>
      <c r="B3927" s="46" t="s">
        <v>38</v>
      </c>
      <c r="C3927" s="46" t="s">
        <v>14</v>
      </c>
      <c r="D3927" s="47">
        <v>2176</v>
      </c>
      <c r="E3927" s="46" t="s">
        <v>430</v>
      </c>
      <c r="F3927" s="48">
        <v>39083</v>
      </c>
      <c r="G3927" s="48">
        <v>40908</v>
      </c>
      <c r="H3927" s="46" t="s">
        <v>40</v>
      </c>
      <c r="I3927" s="45">
        <v>53502.15</v>
      </c>
      <c r="J3927" s="45">
        <v>37146.35</v>
      </c>
      <c r="K3927" s="49" t="s">
        <v>356</v>
      </c>
      <c r="L3927" s="45"/>
      <c r="M3927" s="3"/>
    </row>
    <row r="3928" spans="1:13" ht="25.5" x14ac:dyDescent="0.25">
      <c r="A3928" s="46" t="s">
        <v>431</v>
      </c>
      <c r="B3928" s="46" t="s">
        <v>38</v>
      </c>
      <c r="C3928" s="46" t="s">
        <v>14</v>
      </c>
      <c r="D3928" s="47">
        <v>2177</v>
      </c>
      <c r="E3928" s="46" t="s">
        <v>432</v>
      </c>
      <c r="F3928" s="48">
        <v>39083</v>
      </c>
      <c r="G3928" s="48">
        <v>41274</v>
      </c>
      <c r="H3928" s="46" t="s">
        <v>40</v>
      </c>
      <c r="I3928" s="45">
        <v>22481.5</v>
      </c>
      <c r="J3928" s="45">
        <v>17201.5</v>
      </c>
      <c r="K3928" s="49" t="s">
        <v>356</v>
      </c>
      <c r="L3928" s="45"/>
      <c r="M3928" s="3"/>
    </row>
    <row r="3929" spans="1:13" ht="25.5" x14ac:dyDescent="0.25">
      <c r="A3929" s="46" t="s">
        <v>433</v>
      </c>
      <c r="B3929" s="46" t="s">
        <v>38</v>
      </c>
      <c r="C3929" s="46" t="s">
        <v>14</v>
      </c>
      <c r="D3929" s="47">
        <v>2180</v>
      </c>
      <c r="E3929" s="46" t="s">
        <v>434</v>
      </c>
      <c r="F3929" s="48">
        <v>39083</v>
      </c>
      <c r="G3929" s="48">
        <v>40908</v>
      </c>
      <c r="H3929" s="46" t="s">
        <v>40</v>
      </c>
      <c r="I3929" s="45">
        <v>28293.13</v>
      </c>
      <c r="J3929" s="45">
        <v>28293.13</v>
      </c>
      <c r="K3929" s="49" t="s">
        <v>356</v>
      </c>
      <c r="L3929" s="45"/>
      <c r="M3929" s="3"/>
    </row>
    <row r="3930" spans="1:13" ht="25.5" x14ac:dyDescent="0.25">
      <c r="A3930" s="46" t="s">
        <v>435</v>
      </c>
      <c r="B3930" s="46" t="s">
        <v>38</v>
      </c>
      <c r="C3930" s="46" t="s">
        <v>14</v>
      </c>
      <c r="D3930" s="47">
        <v>2229</v>
      </c>
      <c r="E3930" s="46" t="s">
        <v>436</v>
      </c>
      <c r="F3930" s="48">
        <v>39083</v>
      </c>
      <c r="G3930" s="48">
        <v>41639</v>
      </c>
      <c r="H3930" s="46" t="s">
        <v>40</v>
      </c>
      <c r="I3930" s="45">
        <f>147935+5702</f>
        <v>153637</v>
      </c>
      <c r="J3930" s="45">
        <f>112313.8+5702</f>
        <v>118015.8</v>
      </c>
      <c r="K3930" s="49" t="s">
        <v>356</v>
      </c>
      <c r="L3930" s="45"/>
      <c r="M3930" s="3"/>
    </row>
    <row r="3931" spans="1:13" ht="25.5" x14ac:dyDescent="0.25">
      <c r="A3931" s="46" t="s">
        <v>437</v>
      </c>
      <c r="B3931" s="46" t="s">
        <v>38</v>
      </c>
      <c r="C3931" s="46" t="s">
        <v>14</v>
      </c>
      <c r="D3931" s="47">
        <v>2251</v>
      </c>
      <c r="E3931" s="46" t="s">
        <v>438</v>
      </c>
      <c r="F3931" s="48">
        <v>39083</v>
      </c>
      <c r="G3931" s="48">
        <v>39813</v>
      </c>
      <c r="H3931" s="46" t="s">
        <v>40</v>
      </c>
      <c r="I3931" s="45">
        <v>1600</v>
      </c>
      <c r="J3931" s="45">
        <v>1600</v>
      </c>
      <c r="K3931" s="49" t="s">
        <v>356</v>
      </c>
      <c r="L3931" s="45"/>
      <c r="M3931" s="3"/>
    </row>
    <row r="3932" spans="1:13" ht="25.5" x14ac:dyDescent="0.25">
      <c r="A3932" s="46" t="s">
        <v>439</v>
      </c>
      <c r="B3932" s="46" t="s">
        <v>38</v>
      </c>
      <c r="C3932" s="46" t="s">
        <v>14</v>
      </c>
      <c r="D3932" s="47">
        <v>2252</v>
      </c>
      <c r="E3932" s="46" t="s">
        <v>440</v>
      </c>
      <c r="F3932" s="48">
        <v>39083</v>
      </c>
      <c r="G3932" s="48">
        <v>40178</v>
      </c>
      <c r="H3932" s="46" t="s">
        <v>40</v>
      </c>
      <c r="I3932" s="45">
        <v>9120.85</v>
      </c>
      <c r="J3932" s="45">
        <v>9120.85</v>
      </c>
      <c r="K3932" s="49" t="s">
        <v>356</v>
      </c>
      <c r="L3932" s="45"/>
      <c r="M3932" s="3"/>
    </row>
    <row r="3933" spans="1:13" ht="25.5" x14ac:dyDescent="0.25">
      <c r="A3933" s="46" t="s">
        <v>441</v>
      </c>
      <c r="B3933" s="46" t="s">
        <v>38</v>
      </c>
      <c r="C3933" s="46" t="s">
        <v>14</v>
      </c>
      <c r="D3933" s="47">
        <v>2260</v>
      </c>
      <c r="E3933" s="46" t="s">
        <v>442</v>
      </c>
      <c r="F3933" s="48">
        <v>39083</v>
      </c>
      <c r="G3933" s="48">
        <v>41639</v>
      </c>
      <c r="H3933" s="46" t="s">
        <v>40</v>
      </c>
      <c r="I3933" s="45">
        <f>32934+8242.5</f>
        <v>41176.5</v>
      </c>
      <c r="J3933" s="45">
        <f>20305.85+8242.5</f>
        <v>28548.35</v>
      </c>
      <c r="K3933" s="49" t="s">
        <v>356</v>
      </c>
      <c r="L3933" s="45"/>
      <c r="M3933" s="3"/>
    </row>
    <row r="3934" spans="1:13" ht="38.25" x14ac:dyDescent="0.25">
      <c r="A3934" s="46" t="s">
        <v>443</v>
      </c>
      <c r="B3934" s="46" t="s">
        <v>38</v>
      </c>
      <c r="C3934" s="46" t="s">
        <v>14</v>
      </c>
      <c r="D3934" s="47">
        <v>2264</v>
      </c>
      <c r="E3934" s="46" t="s">
        <v>444</v>
      </c>
      <c r="F3934" s="48">
        <v>39083</v>
      </c>
      <c r="G3934" s="48">
        <v>41639</v>
      </c>
      <c r="H3934" s="46" t="s">
        <v>40</v>
      </c>
      <c r="I3934" s="45">
        <f>71958.34+8105</f>
        <v>80063.34</v>
      </c>
      <c r="J3934" s="45">
        <f>42348.34+8105</f>
        <v>50453.34</v>
      </c>
      <c r="K3934" s="49" t="s">
        <v>356</v>
      </c>
      <c r="L3934" s="45"/>
      <c r="M3934" s="3"/>
    </row>
    <row r="3935" spans="1:13" ht="25.5" x14ac:dyDescent="0.25">
      <c r="A3935" s="46" t="s">
        <v>445</v>
      </c>
      <c r="B3935" s="46" t="s">
        <v>38</v>
      </c>
      <c r="C3935" s="46" t="s">
        <v>14</v>
      </c>
      <c r="D3935" s="47">
        <v>2269</v>
      </c>
      <c r="E3935" s="46" t="s">
        <v>446</v>
      </c>
      <c r="F3935" s="48">
        <v>39083</v>
      </c>
      <c r="G3935" s="48">
        <v>39813</v>
      </c>
      <c r="H3935" s="46" t="s">
        <v>40</v>
      </c>
      <c r="I3935" s="45">
        <v>2085.3200000000002</v>
      </c>
      <c r="J3935" s="45">
        <v>2085.3200000000002</v>
      </c>
      <c r="K3935" s="49" t="s">
        <v>356</v>
      </c>
      <c r="L3935" s="45"/>
      <c r="M3935" s="3"/>
    </row>
    <row r="3936" spans="1:13" ht="25.5" x14ac:dyDescent="0.25">
      <c r="A3936" s="46" t="s">
        <v>447</v>
      </c>
      <c r="B3936" s="46" t="s">
        <v>38</v>
      </c>
      <c r="C3936" s="46" t="s">
        <v>14</v>
      </c>
      <c r="D3936" s="47">
        <v>2273</v>
      </c>
      <c r="E3936" s="46" t="s">
        <v>448</v>
      </c>
      <c r="F3936" s="48">
        <v>39083</v>
      </c>
      <c r="G3936" s="48">
        <v>40908</v>
      </c>
      <c r="H3936" s="46" t="s">
        <v>40</v>
      </c>
      <c r="I3936" s="45">
        <v>5732.94</v>
      </c>
      <c r="J3936" s="45">
        <v>4772.9399999999996</v>
      </c>
      <c r="K3936" s="49" t="s">
        <v>356</v>
      </c>
      <c r="L3936" s="45"/>
      <c r="M3936" s="3"/>
    </row>
    <row r="3937" spans="1:13" ht="25.5" x14ac:dyDescent="0.25">
      <c r="A3937" s="46" t="s">
        <v>449</v>
      </c>
      <c r="B3937" s="46" t="s">
        <v>38</v>
      </c>
      <c r="C3937" s="46" t="s">
        <v>14</v>
      </c>
      <c r="D3937" s="47">
        <v>2275</v>
      </c>
      <c r="E3937" s="46" t="s">
        <v>450</v>
      </c>
      <c r="F3937" s="48">
        <v>39083</v>
      </c>
      <c r="G3937" s="48">
        <v>41639</v>
      </c>
      <c r="H3937" s="46" t="s">
        <v>40</v>
      </c>
      <c r="I3937" s="45">
        <v>27890</v>
      </c>
      <c r="J3937" s="45">
        <v>17640</v>
      </c>
      <c r="K3937" s="49" t="s">
        <v>356</v>
      </c>
      <c r="L3937" s="45"/>
      <c r="M3937" s="3"/>
    </row>
    <row r="3938" spans="1:13" ht="25.5" x14ac:dyDescent="0.25">
      <c r="A3938" s="46" t="s">
        <v>451</v>
      </c>
      <c r="B3938" s="46" t="s">
        <v>38</v>
      </c>
      <c r="C3938" s="46" t="s">
        <v>14</v>
      </c>
      <c r="D3938" s="47">
        <v>2278</v>
      </c>
      <c r="E3938" s="46" t="s">
        <v>452</v>
      </c>
      <c r="F3938" s="48">
        <v>39083</v>
      </c>
      <c r="G3938" s="48">
        <v>40543</v>
      </c>
      <c r="H3938" s="46" t="s">
        <v>40</v>
      </c>
      <c r="I3938" s="45">
        <v>41788.559999999998</v>
      </c>
      <c r="J3938" s="45">
        <v>34048.43</v>
      </c>
      <c r="K3938" s="49" t="s">
        <v>356</v>
      </c>
      <c r="L3938" s="45"/>
      <c r="M3938" s="3"/>
    </row>
    <row r="3939" spans="1:13" ht="25.5" x14ac:dyDescent="0.25">
      <c r="A3939" s="46" t="s">
        <v>453</v>
      </c>
      <c r="B3939" s="46" t="s">
        <v>38</v>
      </c>
      <c r="C3939" s="46" t="s">
        <v>14</v>
      </c>
      <c r="D3939" s="47">
        <v>2314</v>
      </c>
      <c r="E3939" s="46" t="s">
        <v>454</v>
      </c>
      <c r="F3939" s="48">
        <v>39083</v>
      </c>
      <c r="G3939" s="48">
        <v>41639</v>
      </c>
      <c r="H3939" s="46" t="s">
        <v>40</v>
      </c>
      <c r="I3939" s="45">
        <f>68622.5+4715</f>
        <v>73337.5</v>
      </c>
      <c r="J3939" s="45">
        <f>49857.5+4715</f>
        <v>54572.5</v>
      </c>
      <c r="K3939" s="49" t="s">
        <v>356</v>
      </c>
      <c r="L3939" s="45"/>
      <c r="M3939" s="3"/>
    </row>
    <row r="3940" spans="1:13" ht="25.5" x14ac:dyDescent="0.25">
      <c r="A3940" s="46" t="s">
        <v>455</v>
      </c>
      <c r="B3940" s="46" t="s">
        <v>38</v>
      </c>
      <c r="C3940" s="46" t="s">
        <v>14</v>
      </c>
      <c r="D3940" s="47">
        <v>2315</v>
      </c>
      <c r="E3940" s="46" t="s">
        <v>456</v>
      </c>
      <c r="F3940" s="48">
        <v>39083</v>
      </c>
      <c r="G3940" s="48">
        <v>39813</v>
      </c>
      <c r="H3940" s="46" t="s">
        <v>40</v>
      </c>
      <c r="I3940" s="45">
        <v>4226.5</v>
      </c>
      <c r="J3940" s="45">
        <v>1226.5</v>
      </c>
      <c r="K3940" s="49" t="s">
        <v>356</v>
      </c>
      <c r="L3940" s="45"/>
      <c r="M3940" s="3"/>
    </row>
    <row r="3941" spans="1:13" ht="25.5" x14ac:dyDescent="0.25">
      <c r="A3941" s="46" t="s">
        <v>457</v>
      </c>
      <c r="B3941" s="46" t="s">
        <v>38</v>
      </c>
      <c r="C3941" s="46" t="s">
        <v>14</v>
      </c>
      <c r="D3941" s="47">
        <v>2316</v>
      </c>
      <c r="E3941" s="46" t="s">
        <v>458</v>
      </c>
      <c r="F3941" s="48">
        <v>39083</v>
      </c>
      <c r="G3941" s="48">
        <v>39813</v>
      </c>
      <c r="H3941" s="46" t="s">
        <v>40</v>
      </c>
      <c r="I3941" s="45">
        <v>1500</v>
      </c>
      <c r="J3941" s="45">
        <v>1933</v>
      </c>
      <c r="K3941" s="49" t="s">
        <v>356</v>
      </c>
      <c r="L3941" s="45"/>
      <c r="M3941" s="3"/>
    </row>
    <row r="3942" spans="1:13" ht="25.5" x14ac:dyDescent="0.25">
      <c r="A3942" s="46" t="s">
        <v>459</v>
      </c>
      <c r="B3942" s="46" t="s">
        <v>38</v>
      </c>
      <c r="C3942" s="46" t="s">
        <v>14</v>
      </c>
      <c r="D3942" s="47">
        <v>2317</v>
      </c>
      <c r="E3942" s="46" t="s">
        <v>460</v>
      </c>
      <c r="F3942" s="48">
        <v>39448</v>
      </c>
      <c r="G3942" s="48">
        <v>41639</v>
      </c>
      <c r="H3942" s="46" t="s">
        <v>40</v>
      </c>
      <c r="I3942" s="45">
        <v>5279.5</v>
      </c>
      <c r="J3942" s="45">
        <v>2588.9</v>
      </c>
      <c r="K3942" s="49" t="s">
        <v>356</v>
      </c>
      <c r="L3942" s="45"/>
      <c r="M3942" s="3"/>
    </row>
    <row r="3943" spans="1:13" ht="25.5" x14ac:dyDescent="0.25">
      <c r="A3943" s="46" t="s">
        <v>461</v>
      </c>
      <c r="B3943" s="46" t="s">
        <v>38</v>
      </c>
      <c r="C3943" s="46" t="s">
        <v>14</v>
      </c>
      <c r="D3943" s="47">
        <v>2318</v>
      </c>
      <c r="E3943" s="46" t="s">
        <v>462</v>
      </c>
      <c r="F3943" s="48">
        <v>39448</v>
      </c>
      <c r="G3943" s="48">
        <v>40908</v>
      </c>
      <c r="H3943" s="46" t="s">
        <v>40</v>
      </c>
      <c r="I3943" s="45">
        <v>2794</v>
      </c>
      <c r="J3943" s="45">
        <v>1774</v>
      </c>
      <c r="K3943" s="49" t="s">
        <v>356</v>
      </c>
      <c r="L3943" s="45"/>
      <c r="M3943" s="3"/>
    </row>
    <row r="3944" spans="1:13" ht="25.5" x14ac:dyDescent="0.25">
      <c r="A3944" s="46" t="s">
        <v>463</v>
      </c>
      <c r="B3944" s="46" t="s">
        <v>38</v>
      </c>
      <c r="C3944" s="46" t="s">
        <v>14</v>
      </c>
      <c r="D3944" s="47">
        <v>2319</v>
      </c>
      <c r="E3944" s="46" t="s">
        <v>464</v>
      </c>
      <c r="F3944" s="48">
        <v>39448</v>
      </c>
      <c r="G3944" s="48">
        <v>41639</v>
      </c>
      <c r="H3944" s="46" t="s">
        <v>40</v>
      </c>
      <c r="I3944" s="45">
        <f>56807.8+10159.4</f>
        <v>66967.199999999997</v>
      </c>
      <c r="J3944" s="45">
        <f>21977.1+10159.4</f>
        <v>32136.5</v>
      </c>
      <c r="K3944" s="49" t="s">
        <v>356</v>
      </c>
      <c r="L3944" s="45"/>
      <c r="M3944" s="3"/>
    </row>
    <row r="3945" spans="1:13" ht="25.5" x14ac:dyDescent="0.25">
      <c r="A3945" s="46" t="s">
        <v>465</v>
      </c>
      <c r="B3945" s="46" t="s">
        <v>38</v>
      </c>
      <c r="C3945" s="46" t="s">
        <v>14</v>
      </c>
      <c r="D3945" s="47">
        <v>2320</v>
      </c>
      <c r="E3945" s="46" t="s">
        <v>466</v>
      </c>
      <c r="F3945" s="48">
        <v>39448</v>
      </c>
      <c r="G3945" s="48">
        <v>40908</v>
      </c>
      <c r="H3945" s="46" t="s">
        <v>40</v>
      </c>
      <c r="I3945" s="45">
        <v>5831.4</v>
      </c>
      <c r="J3945" s="45">
        <v>2989.6</v>
      </c>
      <c r="K3945" s="49" t="s">
        <v>356</v>
      </c>
      <c r="L3945" s="45"/>
      <c r="M3945" s="3"/>
    </row>
    <row r="3946" spans="1:13" ht="25.5" x14ac:dyDescent="0.25">
      <c r="A3946" s="46" t="s">
        <v>467</v>
      </c>
      <c r="B3946" s="46" t="s">
        <v>38</v>
      </c>
      <c r="C3946" s="46" t="s">
        <v>14</v>
      </c>
      <c r="D3946" s="47">
        <v>2321</v>
      </c>
      <c r="E3946" s="46" t="s">
        <v>468</v>
      </c>
      <c r="F3946" s="48">
        <v>39448</v>
      </c>
      <c r="G3946" s="48">
        <v>39813</v>
      </c>
      <c r="H3946" s="46" t="s">
        <v>40</v>
      </c>
      <c r="I3946" s="45">
        <v>418.6</v>
      </c>
      <c r="J3946" s="45">
        <v>268.60000000000002</v>
      </c>
      <c r="K3946" s="49" t="s">
        <v>356</v>
      </c>
      <c r="L3946" s="45"/>
      <c r="M3946" s="3"/>
    </row>
    <row r="3947" spans="1:13" ht="25.5" x14ac:dyDescent="0.25">
      <c r="A3947" s="46" t="s">
        <v>469</v>
      </c>
      <c r="B3947" s="46" t="s">
        <v>38</v>
      </c>
      <c r="C3947" s="46" t="s">
        <v>14</v>
      </c>
      <c r="D3947" s="47">
        <v>2322</v>
      </c>
      <c r="E3947" s="46" t="s">
        <v>470</v>
      </c>
      <c r="F3947" s="48">
        <v>39448</v>
      </c>
      <c r="G3947" s="48">
        <v>39813</v>
      </c>
      <c r="H3947" s="46" t="s">
        <v>40</v>
      </c>
      <c r="I3947" s="45">
        <v>4987.5</v>
      </c>
      <c r="J3947" s="45">
        <v>4312.49</v>
      </c>
      <c r="K3947" s="49" t="s">
        <v>356</v>
      </c>
      <c r="L3947" s="45"/>
      <c r="M3947" s="3"/>
    </row>
    <row r="3948" spans="1:13" ht="25.5" x14ac:dyDescent="0.25">
      <c r="A3948" s="46" t="s">
        <v>471</v>
      </c>
      <c r="B3948" s="46" t="s">
        <v>38</v>
      </c>
      <c r="C3948" s="46" t="s">
        <v>14</v>
      </c>
      <c r="D3948" s="47">
        <v>2323</v>
      </c>
      <c r="E3948" s="46" t="s">
        <v>472</v>
      </c>
      <c r="F3948" s="48">
        <v>39448</v>
      </c>
      <c r="G3948" s="48">
        <v>39813</v>
      </c>
      <c r="H3948" s="46" t="s">
        <v>40</v>
      </c>
      <c r="I3948" s="45">
        <v>1000</v>
      </c>
      <c r="J3948" s="45">
        <v>1000</v>
      </c>
      <c r="K3948" s="49" t="s">
        <v>356</v>
      </c>
      <c r="L3948" s="45"/>
      <c r="M3948" s="3"/>
    </row>
    <row r="3949" spans="1:13" ht="25.5" x14ac:dyDescent="0.25">
      <c r="A3949" s="46" t="s">
        <v>577</v>
      </c>
      <c r="B3949" s="46" t="s">
        <v>38</v>
      </c>
      <c r="C3949" s="46" t="s">
        <v>14</v>
      </c>
      <c r="D3949" s="47">
        <v>5098</v>
      </c>
      <c r="E3949" s="46" t="s">
        <v>578</v>
      </c>
      <c r="F3949" s="48">
        <v>39814</v>
      </c>
      <c r="G3949" s="48">
        <v>40178</v>
      </c>
      <c r="H3949" s="46" t="s">
        <v>40</v>
      </c>
      <c r="I3949" s="45">
        <v>10208.629999999999</v>
      </c>
      <c r="J3949" s="45">
        <v>1900.93</v>
      </c>
      <c r="K3949" s="49" t="s">
        <v>356</v>
      </c>
      <c r="L3949" s="45"/>
      <c r="M3949" s="3"/>
    </row>
    <row r="3950" spans="1:13" ht="25.5" x14ac:dyDescent="0.25">
      <c r="A3950" s="46" t="s">
        <v>581</v>
      </c>
      <c r="B3950" s="46" t="s">
        <v>38</v>
      </c>
      <c r="C3950" s="46" t="s">
        <v>14</v>
      </c>
      <c r="D3950" s="47">
        <v>5102</v>
      </c>
      <c r="E3950" s="46" t="s">
        <v>582</v>
      </c>
      <c r="F3950" s="48">
        <v>39814</v>
      </c>
      <c r="G3950" s="48">
        <v>40908</v>
      </c>
      <c r="H3950" s="46" t="s">
        <v>40</v>
      </c>
      <c r="I3950" s="45">
        <v>60594.75</v>
      </c>
      <c r="J3950" s="45">
        <v>17454.759999999998</v>
      </c>
      <c r="K3950" s="49" t="s">
        <v>356</v>
      </c>
      <c r="L3950" s="45"/>
      <c r="M3950" s="3"/>
    </row>
    <row r="3951" spans="1:13" ht="25.5" x14ac:dyDescent="0.25">
      <c r="A3951" s="46" t="s">
        <v>587</v>
      </c>
      <c r="B3951" s="46" t="s">
        <v>38</v>
      </c>
      <c r="C3951" s="46" t="s">
        <v>14</v>
      </c>
      <c r="D3951" s="47">
        <v>5117</v>
      </c>
      <c r="E3951" s="46" t="s">
        <v>588</v>
      </c>
      <c r="F3951" s="48">
        <v>39814</v>
      </c>
      <c r="G3951" s="48">
        <v>40178</v>
      </c>
      <c r="H3951" s="46" t="s">
        <v>40</v>
      </c>
      <c r="I3951" s="45">
        <v>984.15</v>
      </c>
      <c r="J3951" s="45">
        <v>984.15</v>
      </c>
      <c r="K3951" s="49" t="s">
        <v>356</v>
      </c>
      <c r="L3951" s="45"/>
      <c r="M3951" s="3"/>
    </row>
    <row r="3952" spans="1:13" ht="25.5" x14ac:dyDescent="0.25">
      <c r="A3952" s="46" t="s">
        <v>599</v>
      </c>
      <c r="B3952" s="46" t="s">
        <v>38</v>
      </c>
      <c r="C3952" s="46" t="s">
        <v>14</v>
      </c>
      <c r="D3952" s="47">
        <v>5130</v>
      </c>
      <c r="E3952" s="46" t="s">
        <v>600</v>
      </c>
      <c r="F3952" s="48">
        <v>39814</v>
      </c>
      <c r="G3952" s="48">
        <v>40178</v>
      </c>
      <c r="H3952" s="46" t="s">
        <v>40</v>
      </c>
      <c r="I3952" s="45">
        <v>2510</v>
      </c>
      <c r="J3952" s="45">
        <v>2510</v>
      </c>
      <c r="K3952" s="49" t="s">
        <v>356</v>
      </c>
      <c r="L3952" s="45"/>
      <c r="M3952" s="3"/>
    </row>
    <row r="3953" spans="1:13" ht="25.5" x14ac:dyDescent="0.25">
      <c r="A3953" s="46" t="s">
        <v>611</v>
      </c>
      <c r="B3953" s="46" t="s">
        <v>38</v>
      </c>
      <c r="C3953" s="46" t="s">
        <v>14</v>
      </c>
      <c r="D3953" s="47">
        <v>5152</v>
      </c>
      <c r="E3953" s="46" t="s">
        <v>612</v>
      </c>
      <c r="F3953" s="48">
        <v>39814</v>
      </c>
      <c r="G3953" s="48">
        <v>40178</v>
      </c>
      <c r="H3953" s="46" t="s">
        <v>40</v>
      </c>
      <c r="I3953" s="45">
        <v>3750</v>
      </c>
      <c r="J3953" s="45">
        <v>3750</v>
      </c>
      <c r="K3953" s="49" t="s">
        <v>356</v>
      </c>
      <c r="L3953" s="45"/>
      <c r="M3953" s="3"/>
    </row>
    <row r="3954" spans="1:13" ht="38.25" x14ac:dyDescent="0.25">
      <c r="A3954" s="46" t="s">
        <v>613</v>
      </c>
      <c r="B3954" s="46" t="s">
        <v>38</v>
      </c>
      <c r="C3954" s="46" t="s">
        <v>14</v>
      </c>
      <c r="D3954" s="47">
        <v>6924</v>
      </c>
      <c r="E3954" s="46" t="s">
        <v>614</v>
      </c>
      <c r="F3954" s="48">
        <v>40179</v>
      </c>
      <c r="G3954" s="48">
        <v>40543</v>
      </c>
      <c r="H3954" s="46" t="s">
        <v>40</v>
      </c>
      <c r="I3954" s="45">
        <v>27532</v>
      </c>
      <c r="J3954" s="45">
        <v>22632</v>
      </c>
      <c r="K3954" s="49" t="s">
        <v>356</v>
      </c>
      <c r="L3954" s="45"/>
      <c r="M3954" s="3"/>
    </row>
    <row r="3955" spans="1:13" ht="38.25" x14ac:dyDescent="0.25">
      <c r="A3955" s="46" t="s">
        <v>615</v>
      </c>
      <c r="B3955" s="46" t="s">
        <v>38</v>
      </c>
      <c r="C3955" s="46" t="s">
        <v>14</v>
      </c>
      <c r="D3955" s="47">
        <v>6956</v>
      </c>
      <c r="E3955" s="46" t="s">
        <v>616</v>
      </c>
      <c r="F3955" s="48">
        <v>40179</v>
      </c>
      <c r="G3955" s="48">
        <v>40543</v>
      </c>
      <c r="H3955" s="46" t="s">
        <v>40</v>
      </c>
      <c r="I3955" s="45">
        <v>800</v>
      </c>
      <c r="J3955" s="45">
        <v>800</v>
      </c>
      <c r="K3955" s="49" t="s">
        <v>356</v>
      </c>
      <c r="L3955" s="45"/>
      <c r="M3955" s="3"/>
    </row>
    <row r="3956" spans="1:13" ht="38.25" x14ac:dyDescent="0.25">
      <c r="A3956" s="46" t="s">
        <v>658</v>
      </c>
      <c r="B3956" s="46" t="s">
        <v>38</v>
      </c>
      <c r="C3956" s="46" t="s">
        <v>14</v>
      </c>
      <c r="D3956" s="47">
        <v>8815</v>
      </c>
      <c r="E3956" s="46" t="s">
        <v>659</v>
      </c>
      <c r="F3956" s="48">
        <v>40544</v>
      </c>
      <c r="G3956" s="48">
        <v>41639</v>
      </c>
      <c r="H3956" s="46" t="s">
        <v>40</v>
      </c>
      <c r="I3956" s="45">
        <f>16722+6207</f>
        <v>22929</v>
      </c>
      <c r="J3956" s="45">
        <f>5365+6207</f>
        <v>11572</v>
      </c>
      <c r="K3956" s="49" t="s">
        <v>356</v>
      </c>
      <c r="L3956" s="45"/>
      <c r="M3956" s="3"/>
    </row>
    <row r="3957" spans="1:13" ht="25.5" x14ac:dyDescent="0.25">
      <c r="A3957" s="46" t="s">
        <v>660</v>
      </c>
      <c r="B3957" s="46" t="s">
        <v>38</v>
      </c>
      <c r="C3957" s="46" t="s">
        <v>14</v>
      </c>
      <c r="D3957" s="47">
        <v>8816</v>
      </c>
      <c r="E3957" s="46" t="s">
        <v>661</v>
      </c>
      <c r="F3957" s="48">
        <v>40544</v>
      </c>
      <c r="G3957" s="48">
        <v>40908</v>
      </c>
      <c r="H3957" s="46" t="s">
        <v>40</v>
      </c>
      <c r="I3957" s="45">
        <v>409</v>
      </c>
      <c r="J3957" s="45">
        <v>249</v>
      </c>
      <c r="K3957" s="49" t="s">
        <v>356</v>
      </c>
      <c r="L3957" s="45"/>
      <c r="M3957" s="3"/>
    </row>
    <row r="3958" spans="1:13" ht="25.5" x14ac:dyDescent="0.25">
      <c r="A3958" s="46" t="s">
        <v>662</v>
      </c>
      <c r="B3958" s="46" t="s">
        <v>38</v>
      </c>
      <c r="C3958" s="46" t="s">
        <v>14</v>
      </c>
      <c r="D3958" s="47">
        <v>8817</v>
      </c>
      <c r="E3958" s="46" t="s">
        <v>663</v>
      </c>
      <c r="F3958" s="48">
        <v>40544</v>
      </c>
      <c r="G3958" s="48">
        <v>41639</v>
      </c>
      <c r="H3958" s="46" t="s">
        <v>40</v>
      </c>
      <c r="I3958" s="45">
        <f>15695.5+2993.5</f>
        <v>18689</v>
      </c>
      <c r="J3958" s="45">
        <f>7682+2993.5</f>
        <v>10675.5</v>
      </c>
      <c r="K3958" s="49" t="s">
        <v>356</v>
      </c>
      <c r="L3958" s="45"/>
      <c r="M3958" s="3"/>
    </row>
    <row r="3959" spans="1:13" ht="25.5" x14ac:dyDescent="0.25">
      <c r="A3959" s="46" t="s">
        <v>664</v>
      </c>
      <c r="B3959" s="46" t="s">
        <v>38</v>
      </c>
      <c r="C3959" s="46" t="s">
        <v>14</v>
      </c>
      <c r="D3959" s="47">
        <v>8818</v>
      </c>
      <c r="E3959" s="46" t="s">
        <v>665</v>
      </c>
      <c r="F3959" s="48">
        <v>40544</v>
      </c>
      <c r="G3959" s="48">
        <v>41639</v>
      </c>
      <c r="H3959" s="46" t="s">
        <v>40</v>
      </c>
      <c r="I3959" s="45">
        <f>7787.5+1542.5</f>
        <v>9330</v>
      </c>
      <c r="J3959" s="45">
        <f>3125+1542.5</f>
        <v>4667.5</v>
      </c>
      <c r="K3959" s="49" t="s">
        <v>356</v>
      </c>
      <c r="L3959" s="45"/>
      <c r="M3959" s="3"/>
    </row>
    <row r="3960" spans="1:13" ht="25.5" x14ac:dyDescent="0.25">
      <c r="A3960" s="46" t="s">
        <v>666</v>
      </c>
      <c r="B3960" s="46" t="s">
        <v>38</v>
      </c>
      <c r="C3960" s="46" t="s">
        <v>14</v>
      </c>
      <c r="D3960" s="47">
        <v>8821</v>
      </c>
      <c r="E3960" s="46" t="s">
        <v>667</v>
      </c>
      <c r="F3960" s="48">
        <v>40544</v>
      </c>
      <c r="G3960" s="48">
        <v>40908</v>
      </c>
      <c r="H3960" s="46" t="s">
        <v>40</v>
      </c>
      <c r="I3960" s="45">
        <v>450</v>
      </c>
      <c r="J3960" s="45">
        <v>269</v>
      </c>
      <c r="K3960" s="49" t="s">
        <v>356</v>
      </c>
      <c r="L3960" s="45"/>
      <c r="M3960" s="3"/>
    </row>
    <row r="3961" spans="1:13" ht="25.5" x14ac:dyDescent="0.25">
      <c r="A3961" s="46" t="s">
        <v>668</v>
      </c>
      <c r="B3961" s="46" t="s">
        <v>38</v>
      </c>
      <c r="C3961" s="46" t="s">
        <v>14</v>
      </c>
      <c r="D3961" s="47">
        <v>8822</v>
      </c>
      <c r="E3961" s="46" t="s">
        <v>669</v>
      </c>
      <c r="F3961" s="48">
        <v>40544</v>
      </c>
      <c r="G3961" s="48">
        <v>40908</v>
      </c>
      <c r="H3961" s="46" t="s">
        <v>40</v>
      </c>
      <c r="I3961" s="45">
        <v>450</v>
      </c>
      <c r="J3961" s="45">
        <v>129</v>
      </c>
      <c r="K3961" s="49" t="s">
        <v>356</v>
      </c>
      <c r="L3961" s="45"/>
      <c r="M3961" s="3"/>
    </row>
    <row r="3962" spans="1:13" ht="25.5" x14ac:dyDescent="0.25">
      <c r="A3962" s="46" t="s">
        <v>670</v>
      </c>
      <c r="B3962" s="46" t="s">
        <v>38</v>
      </c>
      <c r="C3962" s="46" t="s">
        <v>14</v>
      </c>
      <c r="D3962" s="47">
        <v>8823</v>
      </c>
      <c r="E3962" s="46" t="s">
        <v>671</v>
      </c>
      <c r="F3962" s="48">
        <v>40544</v>
      </c>
      <c r="G3962" s="48">
        <v>40908</v>
      </c>
      <c r="H3962" s="46" t="s">
        <v>40</v>
      </c>
      <c r="I3962" s="45">
        <v>1165.4000000000001</v>
      </c>
      <c r="J3962" s="45">
        <v>1165.4000000000001</v>
      </c>
      <c r="K3962" s="49" t="s">
        <v>356</v>
      </c>
      <c r="L3962" s="45"/>
      <c r="M3962" s="3"/>
    </row>
    <row r="3963" spans="1:13" ht="25.5" x14ac:dyDescent="0.25">
      <c r="A3963" s="46" t="s">
        <v>672</v>
      </c>
      <c r="B3963" s="46" t="s">
        <v>38</v>
      </c>
      <c r="C3963" s="46" t="s">
        <v>14</v>
      </c>
      <c r="D3963" s="47">
        <v>8824</v>
      </c>
      <c r="E3963" s="46" t="s">
        <v>673</v>
      </c>
      <c r="F3963" s="48">
        <v>40544</v>
      </c>
      <c r="G3963" s="48">
        <v>40908</v>
      </c>
      <c r="H3963" s="46" t="s">
        <v>40</v>
      </c>
      <c r="I3963" s="45">
        <v>1753.15</v>
      </c>
      <c r="J3963" s="45">
        <v>1753.15</v>
      </c>
      <c r="K3963" s="49" t="s">
        <v>356</v>
      </c>
      <c r="L3963" s="45"/>
      <c r="M3963" s="3"/>
    </row>
    <row r="3964" spans="1:13" ht="25.5" x14ac:dyDescent="0.25">
      <c r="A3964" s="46" t="s">
        <v>732</v>
      </c>
      <c r="B3964" s="46" t="s">
        <v>38</v>
      </c>
      <c r="C3964" s="46" t="s">
        <v>14</v>
      </c>
      <c r="D3964" s="47">
        <v>9210</v>
      </c>
      <c r="E3964" s="46" t="s">
        <v>733</v>
      </c>
      <c r="F3964" s="48">
        <v>40544</v>
      </c>
      <c r="G3964" s="48">
        <v>41639</v>
      </c>
      <c r="H3964" s="46" t="s">
        <v>40</v>
      </c>
      <c r="I3964" s="45">
        <f>50870+17370</f>
        <v>68240</v>
      </c>
      <c r="J3964" s="45">
        <f>16300+8685</f>
        <v>24985</v>
      </c>
      <c r="K3964" s="49" t="s">
        <v>356</v>
      </c>
      <c r="L3964" s="45"/>
      <c r="M3964" s="3"/>
    </row>
    <row r="3965" spans="1:13" ht="25.5" x14ac:dyDescent="0.25">
      <c r="A3965" s="46" t="s">
        <v>774</v>
      </c>
      <c r="B3965" s="46" t="s">
        <v>38</v>
      </c>
      <c r="C3965" s="46" t="s">
        <v>14</v>
      </c>
      <c r="D3965" s="47">
        <v>10852</v>
      </c>
      <c r="E3965" s="46" t="s">
        <v>775</v>
      </c>
      <c r="F3965" s="48">
        <v>40909</v>
      </c>
      <c r="G3965" s="48">
        <v>41639</v>
      </c>
      <c r="H3965" s="46" t="s">
        <v>40</v>
      </c>
      <c r="I3965" s="45">
        <f>14098+2948</f>
        <v>17046</v>
      </c>
      <c r="J3965" s="45">
        <f>8240+2948</f>
        <v>11188</v>
      </c>
      <c r="K3965" s="49" t="s">
        <v>356</v>
      </c>
      <c r="L3965" s="45"/>
      <c r="M3965" s="3"/>
    </row>
    <row r="3966" spans="1:13" ht="25.5" x14ac:dyDescent="0.25">
      <c r="A3966" s="46" t="s">
        <v>776</v>
      </c>
      <c r="B3966" s="46" t="s">
        <v>38</v>
      </c>
      <c r="C3966" s="46" t="s">
        <v>14</v>
      </c>
      <c r="D3966" s="47">
        <v>10853</v>
      </c>
      <c r="E3966" s="46" t="s">
        <v>777</v>
      </c>
      <c r="F3966" s="48">
        <v>40909</v>
      </c>
      <c r="G3966" s="48">
        <v>41639</v>
      </c>
      <c r="H3966" s="46" t="s">
        <v>40</v>
      </c>
      <c r="I3966" s="45">
        <f>930+450</f>
        <v>1380</v>
      </c>
      <c r="J3966" s="45">
        <f>255+450</f>
        <v>705</v>
      </c>
      <c r="K3966" s="49" t="s">
        <v>356</v>
      </c>
      <c r="L3966" s="45"/>
      <c r="M3966" s="3"/>
    </row>
    <row r="3967" spans="1:13" ht="63.75" x14ac:dyDescent="0.25">
      <c r="A3967" s="46" t="s">
        <v>778</v>
      </c>
      <c r="B3967" s="46" t="s">
        <v>38</v>
      </c>
      <c r="C3967" s="46" t="s">
        <v>14</v>
      </c>
      <c r="D3967" s="47">
        <v>10854</v>
      </c>
      <c r="E3967" s="50" t="s">
        <v>779</v>
      </c>
      <c r="F3967" s="48">
        <v>40909</v>
      </c>
      <c r="G3967" s="48">
        <v>41274</v>
      </c>
      <c r="H3967" s="46" t="s">
        <v>40</v>
      </c>
      <c r="I3967" s="45">
        <v>1295</v>
      </c>
      <c r="J3967" s="45">
        <v>920</v>
      </c>
      <c r="K3967" s="49" t="s">
        <v>356</v>
      </c>
      <c r="L3967" s="45"/>
      <c r="M3967" s="3"/>
    </row>
    <row r="3968" spans="1:13" ht="25.5" x14ac:dyDescent="0.25">
      <c r="A3968" s="46" t="s">
        <v>780</v>
      </c>
      <c r="B3968" s="46" t="s">
        <v>38</v>
      </c>
      <c r="C3968" s="46" t="s">
        <v>14</v>
      </c>
      <c r="D3968" s="47">
        <v>10855</v>
      </c>
      <c r="E3968" s="46" t="s">
        <v>781</v>
      </c>
      <c r="F3968" s="48">
        <v>40909</v>
      </c>
      <c r="G3968" s="48">
        <v>41274</v>
      </c>
      <c r="H3968" s="46" t="s">
        <v>40</v>
      </c>
      <c r="I3968" s="45">
        <v>1066</v>
      </c>
      <c r="J3968" s="45">
        <v>766</v>
      </c>
      <c r="K3968" s="49" t="s">
        <v>356</v>
      </c>
      <c r="L3968" s="45"/>
      <c r="M3968" s="3"/>
    </row>
    <row r="3969" spans="1:13" ht="25.5" x14ac:dyDescent="0.25">
      <c r="A3969" s="46" t="s">
        <v>782</v>
      </c>
      <c r="B3969" s="46" t="s">
        <v>38</v>
      </c>
      <c r="C3969" s="46" t="s">
        <v>14</v>
      </c>
      <c r="D3969" s="47">
        <v>10858</v>
      </c>
      <c r="E3969" s="46" t="s">
        <v>783</v>
      </c>
      <c r="F3969" s="48">
        <v>40909</v>
      </c>
      <c r="G3969" s="48">
        <v>41639</v>
      </c>
      <c r="H3969" s="46" t="s">
        <v>40</v>
      </c>
      <c r="I3969" s="45">
        <f>19482.85+9811.9</f>
        <v>29294.75</v>
      </c>
      <c r="J3969" s="45">
        <f>6920.95+9811.9</f>
        <v>16732.849999999999</v>
      </c>
      <c r="K3969" s="49" t="s">
        <v>356</v>
      </c>
      <c r="L3969" s="45"/>
      <c r="M3969" s="3"/>
    </row>
    <row r="3970" spans="1:13" ht="25.5" x14ac:dyDescent="0.25">
      <c r="A3970" s="46" t="s">
        <v>784</v>
      </c>
      <c r="B3970" s="46" t="s">
        <v>38</v>
      </c>
      <c r="C3970" s="46" t="s">
        <v>14</v>
      </c>
      <c r="D3970" s="47">
        <v>10884</v>
      </c>
      <c r="E3970" s="46" t="s">
        <v>785</v>
      </c>
      <c r="F3970" s="48">
        <v>40909</v>
      </c>
      <c r="G3970" s="48">
        <v>41274</v>
      </c>
      <c r="H3970" s="46" t="s">
        <v>40</v>
      </c>
      <c r="I3970" s="45">
        <v>4106.97</v>
      </c>
      <c r="J3970" s="45">
        <v>3406.97</v>
      </c>
      <c r="K3970" s="49" t="s">
        <v>356</v>
      </c>
      <c r="L3970" s="46"/>
      <c r="M3970" s="3"/>
    </row>
    <row r="3971" spans="1:13" ht="25.5" x14ac:dyDescent="0.25">
      <c r="A3971" s="46" t="s">
        <v>10260</v>
      </c>
      <c r="B3971" s="46" t="s">
        <v>38</v>
      </c>
      <c r="C3971" s="46" t="s">
        <v>14</v>
      </c>
      <c r="D3971" s="47">
        <v>12248</v>
      </c>
      <c r="E3971" s="46" t="s">
        <v>10261</v>
      </c>
      <c r="F3971" s="48">
        <v>41275</v>
      </c>
      <c r="G3971" s="48">
        <v>41639</v>
      </c>
      <c r="H3971" s="46" t="s">
        <v>651</v>
      </c>
      <c r="I3971" s="45">
        <v>1300</v>
      </c>
      <c r="J3971" s="45">
        <v>1300</v>
      </c>
      <c r="K3971" s="49" t="s">
        <v>356</v>
      </c>
      <c r="L3971" s="46"/>
    </row>
    <row r="3972" spans="1:13" ht="25.5" x14ac:dyDescent="0.25">
      <c r="A3972" s="46" t="s">
        <v>10262</v>
      </c>
      <c r="B3972" s="46" t="s">
        <v>38</v>
      </c>
      <c r="C3972" s="46" t="s">
        <v>14</v>
      </c>
      <c r="D3972" s="47">
        <v>12249</v>
      </c>
      <c r="E3972" s="46" t="s">
        <v>10263</v>
      </c>
      <c r="F3972" s="48">
        <v>41275</v>
      </c>
      <c r="G3972" s="48">
        <v>41639</v>
      </c>
      <c r="H3972" s="46" t="s">
        <v>651</v>
      </c>
      <c r="I3972" s="45">
        <v>10060</v>
      </c>
      <c r="J3972" s="45">
        <v>10060</v>
      </c>
      <c r="K3972" s="49" t="s">
        <v>356</v>
      </c>
      <c r="L3972" s="46"/>
    </row>
    <row r="3973" spans="1:13" ht="25.5" x14ac:dyDescent="0.25">
      <c r="A3973" s="46" t="s">
        <v>10264</v>
      </c>
      <c r="B3973" s="46" t="s">
        <v>38</v>
      </c>
      <c r="C3973" s="46" t="s">
        <v>14</v>
      </c>
      <c r="D3973" s="47">
        <v>12250</v>
      </c>
      <c r="E3973" s="46" t="s">
        <v>10265</v>
      </c>
      <c r="F3973" s="48">
        <v>41275</v>
      </c>
      <c r="G3973" s="48">
        <v>41639</v>
      </c>
      <c r="H3973" s="46" t="s">
        <v>651</v>
      </c>
      <c r="I3973" s="45">
        <v>7352.5</v>
      </c>
      <c r="J3973" s="45">
        <v>7352.5</v>
      </c>
      <c r="K3973" s="49" t="s">
        <v>356</v>
      </c>
      <c r="L3973" s="46"/>
    </row>
    <row r="3974" spans="1:13" ht="25.5" x14ac:dyDescent="0.25">
      <c r="A3974" s="46" t="s">
        <v>10266</v>
      </c>
      <c r="B3974" s="46" t="s">
        <v>38</v>
      </c>
      <c r="C3974" s="46" t="s">
        <v>14</v>
      </c>
      <c r="D3974" s="47">
        <v>12251</v>
      </c>
      <c r="E3974" s="46" t="s">
        <v>10267</v>
      </c>
      <c r="F3974" s="48">
        <v>41275</v>
      </c>
      <c r="G3974" s="48">
        <v>41639</v>
      </c>
      <c r="H3974" s="46" t="s">
        <v>651</v>
      </c>
      <c r="I3974" s="45">
        <v>765.5</v>
      </c>
      <c r="J3974" s="45">
        <v>765.5</v>
      </c>
      <c r="K3974" s="49" t="s">
        <v>356</v>
      </c>
      <c r="L3974" s="46"/>
    </row>
    <row r="3975" spans="1:13" ht="25.5" x14ac:dyDescent="0.25">
      <c r="A3975" s="46" t="s">
        <v>10268</v>
      </c>
      <c r="B3975" s="46" t="s">
        <v>38</v>
      </c>
      <c r="C3975" s="46" t="s">
        <v>14</v>
      </c>
      <c r="D3975" s="47">
        <v>12252</v>
      </c>
      <c r="E3975" s="46" t="s">
        <v>10269</v>
      </c>
      <c r="F3975" s="48">
        <v>41275</v>
      </c>
      <c r="G3975" s="48">
        <v>41639</v>
      </c>
      <c r="H3975" s="46" t="s">
        <v>651</v>
      </c>
      <c r="I3975" s="45">
        <v>450</v>
      </c>
      <c r="J3975" s="45">
        <v>450</v>
      </c>
      <c r="K3975" s="49" t="s">
        <v>356</v>
      </c>
      <c r="L3975" s="46"/>
    </row>
    <row r="3976" spans="1:13" ht="25.5" x14ac:dyDescent="0.25">
      <c r="A3976" s="46" t="s">
        <v>1062</v>
      </c>
      <c r="B3976" s="46" t="s">
        <v>38</v>
      </c>
      <c r="C3976" s="46" t="s">
        <v>14</v>
      </c>
      <c r="D3976" s="47">
        <v>701</v>
      </c>
      <c r="E3976" s="46" t="s">
        <v>1063</v>
      </c>
      <c r="F3976" s="48">
        <v>39083</v>
      </c>
      <c r="G3976" s="48">
        <v>39447</v>
      </c>
      <c r="H3976" s="46" t="s">
        <v>40</v>
      </c>
      <c r="I3976" s="45">
        <v>13100.85</v>
      </c>
      <c r="J3976" s="45">
        <v>9485.85</v>
      </c>
      <c r="K3976" s="49" t="s">
        <v>790</v>
      </c>
      <c r="L3976" s="45"/>
      <c r="M3976" s="3"/>
    </row>
    <row r="3977" spans="1:13" ht="25.5" x14ac:dyDescent="0.25">
      <c r="A3977" s="46" t="s">
        <v>1064</v>
      </c>
      <c r="B3977" s="46" t="s">
        <v>38</v>
      </c>
      <c r="C3977" s="46" t="s">
        <v>14</v>
      </c>
      <c r="D3977" s="47">
        <v>702</v>
      </c>
      <c r="E3977" s="46" t="s">
        <v>1065</v>
      </c>
      <c r="F3977" s="48">
        <v>39448</v>
      </c>
      <c r="G3977" s="48">
        <v>39813</v>
      </c>
      <c r="H3977" s="46" t="s">
        <v>40</v>
      </c>
      <c r="I3977" s="45">
        <v>19477.02</v>
      </c>
      <c r="J3977" s="45">
        <v>16077.02</v>
      </c>
      <c r="K3977" s="49" t="s">
        <v>790</v>
      </c>
      <c r="L3977" s="45"/>
      <c r="M3977" s="3"/>
    </row>
    <row r="3978" spans="1:13" ht="25.5" x14ac:dyDescent="0.25">
      <c r="A3978" s="46" t="s">
        <v>1066</v>
      </c>
      <c r="B3978" s="46" t="s">
        <v>38</v>
      </c>
      <c r="C3978" s="46" t="s">
        <v>14</v>
      </c>
      <c r="D3978" s="47">
        <v>703</v>
      </c>
      <c r="E3978" s="46" t="s">
        <v>1067</v>
      </c>
      <c r="F3978" s="48">
        <v>39083</v>
      </c>
      <c r="G3978" s="48">
        <v>39813</v>
      </c>
      <c r="H3978" s="46" t="s">
        <v>40</v>
      </c>
      <c r="I3978" s="45">
        <v>3751.02</v>
      </c>
      <c r="J3978" s="45">
        <v>3226.02</v>
      </c>
      <c r="K3978" s="49" t="s">
        <v>790</v>
      </c>
      <c r="L3978" s="45"/>
      <c r="M3978" s="3"/>
    </row>
    <row r="3979" spans="1:13" ht="25.5" x14ac:dyDescent="0.25">
      <c r="A3979" s="46" t="s">
        <v>1068</v>
      </c>
      <c r="B3979" s="46" t="s">
        <v>38</v>
      </c>
      <c r="C3979" s="46" t="s">
        <v>14</v>
      </c>
      <c r="D3979" s="47">
        <v>704</v>
      </c>
      <c r="E3979" s="46" t="s">
        <v>1069</v>
      </c>
      <c r="F3979" s="48">
        <v>39083</v>
      </c>
      <c r="G3979" s="48">
        <v>39813</v>
      </c>
      <c r="H3979" s="46" t="s">
        <v>40</v>
      </c>
      <c r="I3979" s="45">
        <v>13310.93</v>
      </c>
      <c r="J3979" s="45">
        <v>9610.93</v>
      </c>
      <c r="K3979" s="49" t="s">
        <v>790</v>
      </c>
      <c r="L3979" s="45"/>
      <c r="M3979" s="3"/>
    </row>
    <row r="3980" spans="1:13" ht="25.5" x14ac:dyDescent="0.25">
      <c r="A3980" s="46" t="s">
        <v>1070</v>
      </c>
      <c r="B3980" s="46" t="s">
        <v>38</v>
      </c>
      <c r="C3980" s="46" t="s">
        <v>14</v>
      </c>
      <c r="D3980" s="47">
        <v>705</v>
      </c>
      <c r="E3980" s="46" t="s">
        <v>1071</v>
      </c>
      <c r="F3980" s="48">
        <v>39083</v>
      </c>
      <c r="G3980" s="48">
        <v>39447</v>
      </c>
      <c r="H3980" s="46" t="s">
        <v>40</v>
      </c>
      <c r="I3980" s="45">
        <v>4089.92</v>
      </c>
      <c r="J3980" s="45">
        <v>2914.92</v>
      </c>
      <c r="K3980" s="49" t="s">
        <v>790</v>
      </c>
      <c r="L3980" s="45"/>
      <c r="M3980" s="3"/>
    </row>
    <row r="3981" spans="1:13" ht="25.5" x14ac:dyDescent="0.25">
      <c r="A3981" s="46" t="s">
        <v>1072</v>
      </c>
      <c r="B3981" s="46" t="s">
        <v>38</v>
      </c>
      <c r="C3981" s="46" t="s">
        <v>14</v>
      </c>
      <c r="D3981" s="47">
        <v>706</v>
      </c>
      <c r="E3981" s="46" t="s">
        <v>1073</v>
      </c>
      <c r="F3981" s="48">
        <v>39083</v>
      </c>
      <c r="G3981" s="48">
        <v>39813</v>
      </c>
      <c r="H3981" s="46" t="s">
        <v>40</v>
      </c>
      <c r="I3981" s="45">
        <v>11778.29</v>
      </c>
      <c r="J3981" s="45">
        <v>10418.290000000001</v>
      </c>
      <c r="K3981" s="49" t="s">
        <v>790</v>
      </c>
      <c r="L3981" s="45"/>
      <c r="M3981" s="3"/>
    </row>
    <row r="3982" spans="1:13" ht="25.5" x14ac:dyDescent="0.25">
      <c r="A3982" s="46" t="s">
        <v>1074</v>
      </c>
      <c r="B3982" s="46" t="s">
        <v>38</v>
      </c>
      <c r="C3982" s="46" t="s">
        <v>14</v>
      </c>
      <c r="D3982" s="47">
        <v>707</v>
      </c>
      <c r="E3982" s="46" t="s">
        <v>1075</v>
      </c>
      <c r="F3982" s="48">
        <v>39448</v>
      </c>
      <c r="G3982" s="48">
        <v>39813</v>
      </c>
      <c r="H3982" s="46" t="s">
        <v>40</v>
      </c>
      <c r="I3982" s="45">
        <v>4644.8500000000004</v>
      </c>
      <c r="J3982" s="45">
        <v>4644.8500000000004</v>
      </c>
      <c r="K3982" s="49" t="s">
        <v>790</v>
      </c>
      <c r="L3982" s="45"/>
      <c r="M3982" s="3"/>
    </row>
    <row r="3983" spans="1:13" ht="25.5" x14ac:dyDescent="0.25">
      <c r="A3983" s="46" t="s">
        <v>1076</v>
      </c>
      <c r="B3983" s="46" t="s">
        <v>38</v>
      </c>
      <c r="C3983" s="46" t="s">
        <v>14</v>
      </c>
      <c r="D3983" s="47">
        <v>709</v>
      </c>
      <c r="E3983" s="46" t="s">
        <v>1077</v>
      </c>
      <c r="F3983" s="48">
        <v>39264</v>
      </c>
      <c r="G3983" s="48">
        <v>40359</v>
      </c>
      <c r="H3983" s="46" t="s">
        <v>40</v>
      </c>
      <c r="I3983" s="45">
        <v>17556.25</v>
      </c>
      <c r="J3983" s="45">
        <v>17556.25</v>
      </c>
      <c r="K3983" s="49" t="s">
        <v>790</v>
      </c>
      <c r="L3983" s="45"/>
      <c r="M3983" s="3"/>
    </row>
    <row r="3984" spans="1:13" ht="25.5" x14ac:dyDescent="0.25">
      <c r="A3984" s="46" t="s">
        <v>1078</v>
      </c>
      <c r="B3984" s="46" t="s">
        <v>38</v>
      </c>
      <c r="C3984" s="46" t="s">
        <v>14</v>
      </c>
      <c r="D3984" s="47">
        <v>710</v>
      </c>
      <c r="E3984" s="46" t="s">
        <v>1079</v>
      </c>
      <c r="F3984" s="48">
        <v>39630</v>
      </c>
      <c r="G3984" s="48">
        <v>39994</v>
      </c>
      <c r="H3984" s="46" t="s">
        <v>40</v>
      </c>
      <c r="I3984" s="45">
        <v>18943.099999999999</v>
      </c>
      <c r="J3984" s="45">
        <v>18943.099999999999</v>
      </c>
      <c r="K3984" s="49" t="s">
        <v>790</v>
      </c>
      <c r="L3984" s="45"/>
      <c r="M3984" s="3"/>
    </row>
    <row r="3985" spans="1:13" ht="25.5" x14ac:dyDescent="0.25">
      <c r="A3985" s="46" t="s">
        <v>1080</v>
      </c>
      <c r="B3985" s="46" t="s">
        <v>38</v>
      </c>
      <c r="C3985" s="46" t="s">
        <v>14</v>
      </c>
      <c r="D3985" s="47">
        <v>711</v>
      </c>
      <c r="E3985" s="46" t="s">
        <v>1081</v>
      </c>
      <c r="F3985" s="48">
        <v>39448</v>
      </c>
      <c r="G3985" s="48">
        <v>39813</v>
      </c>
      <c r="H3985" s="46" t="s">
        <v>40</v>
      </c>
      <c r="I3985" s="45">
        <v>2673.28</v>
      </c>
      <c r="J3985" s="45">
        <v>1893.28</v>
      </c>
      <c r="K3985" s="49" t="s">
        <v>790</v>
      </c>
      <c r="L3985" s="45"/>
      <c r="M3985" s="3"/>
    </row>
    <row r="3986" spans="1:13" ht="25.5" x14ac:dyDescent="0.25">
      <c r="A3986" s="46" t="s">
        <v>1082</v>
      </c>
      <c r="B3986" s="46" t="s">
        <v>38</v>
      </c>
      <c r="C3986" s="46" t="s">
        <v>14</v>
      </c>
      <c r="D3986" s="47">
        <v>712</v>
      </c>
      <c r="E3986" s="46" t="s">
        <v>1083</v>
      </c>
      <c r="F3986" s="48">
        <v>39083</v>
      </c>
      <c r="G3986" s="48">
        <v>39813</v>
      </c>
      <c r="H3986" s="46" t="s">
        <v>40</v>
      </c>
      <c r="I3986" s="45">
        <v>15830.17</v>
      </c>
      <c r="J3986" s="45">
        <v>11630.17</v>
      </c>
      <c r="K3986" s="49" t="s">
        <v>790</v>
      </c>
      <c r="L3986" s="45"/>
      <c r="M3986" s="3"/>
    </row>
    <row r="3987" spans="1:13" ht="25.5" x14ac:dyDescent="0.25">
      <c r="A3987" s="46" t="s">
        <v>1084</v>
      </c>
      <c r="B3987" s="46" t="s">
        <v>38</v>
      </c>
      <c r="C3987" s="46" t="s">
        <v>14</v>
      </c>
      <c r="D3987" s="47">
        <v>714</v>
      </c>
      <c r="E3987" s="46" t="s">
        <v>1085</v>
      </c>
      <c r="F3987" s="48">
        <v>39448</v>
      </c>
      <c r="G3987" s="48">
        <v>39813</v>
      </c>
      <c r="H3987" s="46" t="s">
        <v>40</v>
      </c>
      <c r="I3987" s="45">
        <v>4443.22</v>
      </c>
      <c r="J3987" s="45">
        <v>3843.22</v>
      </c>
      <c r="K3987" s="49" t="s">
        <v>790</v>
      </c>
      <c r="L3987" s="45"/>
      <c r="M3987" s="3"/>
    </row>
    <row r="3988" spans="1:13" ht="25.5" x14ac:dyDescent="0.25">
      <c r="A3988" s="46" t="s">
        <v>1086</v>
      </c>
      <c r="B3988" s="46" t="s">
        <v>38</v>
      </c>
      <c r="C3988" s="46" t="s">
        <v>14</v>
      </c>
      <c r="D3988" s="47">
        <v>728</v>
      </c>
      <c r="E3988" s="46" t="s">
        <v>1087</v>
      </c>
      <c r="F3988" s="48">
        <v>39448</v>
      </c>
      <c r="G3988" s="48">
        <v>39813</v>
      </c>
      <c r="H3988" s="46" t="s">
        <v>40</v>
      </c>
      <c r="I3988" s="45">
        <v>2050</v>
      </c>
      <c r="J3988" s="45">
        <v>2050</v>
      </c>
      <c r="K3988" s="49" t="s">
        <v>790</v>
      </c>
      <c r="L3988" s="45"/>
      <c r="M3988" s="3"/>
    </row>
    <row r="3989" spans="1:13" ht="25.5" x14ac:dyDescent="0.25">
      <c r="A3989" s="46" t="s">
        <v>1088</v>
      </c>
      <c r="B3989" s="46" t="s">
        <v>38</v>
      </c>
      <c r="C3989" s="46" t="s">
        <v>14</v>
      </c>
      <c r="D3989" s="47">
        <v>729</v>
      </c>
      <c r="E3989" s="46" t="s">
        <v>1089</v>
      </c>
      <c r="F3989" s="48">
        <v>39448</v>
      </c>
      <c r="G3989" s="48">
        <v>39813</v>
      </c>
      <c r="H3989" s="46" t="s">
        <v>40</v>
      </c>
      <c r="I3989" s="45">
        <v>24572.9</v>
      </c>
      <c r="J3989" s="45">
        <v>19572.900000000001</v>
      </c>
      <c r="K3989" s="49" t="s">
        <v>790</v>
      </c>
      <c r="L3989" s="45"/>
      <c r="M3989" s="3"/>
    </row>
    <row r="3990" spans="1:13" ht="25.5" x14ac:dyDescent="0.25">
      <c r="A3990" s="46" t="s">
        <v>1090</v>
      </c>
      <c r="B3990" s="46" t="s">
        <v>38</v>
      </c>
      <c r="C3990" s="46" t="s">
        <v>14</v>
      </c>
      <c r="D3990" s="47">
        <v>730</v>
      </c>
      <c r="E3990" s="46" t="s">
        <v>1091</v>
      </c>
      <c r="F3990" s="48">
        <v>39448</v>
      </c>
      <c r="G3990" s="48">
        <v>39813</v>
      </c>
      <c r="H3990" s="46" t="s">
        <v>40</v>
      </c>
      <c r="I3990" s="45">
        <v>6747.33</v>
      </c>
      <c r="J3990" s="45">
        <v>6747.33</v>
      </c>
      <c r="K3990" s="49" t="s">
        <v>790</v>
      </c>
      <c r="L3990" s="45"/>
      <c r="M3990" s="3"/>
    </row>
    <row r="3991" spans="1:13" ht="25.5" x14ac:dyDescent="0.25">
      <c r="A3991" s="46" t="s">
        <v>1092</v>
      </c>
      <c r="B3991" s="46" t="s">
        <v>38</v>
      </c>
      <c r="C3991" s="46" t="s">
        <v>14</v>
      </c>
      <c r="D3991" s="47">
        <v>731</v>
      </c>
      <c r="E3991" s="46" t="s">
        <v>1093</v>
      </c>
      <c r="F3991" s="48">
        <v>39448</v>
      </c>
      <c r="G3991" s="48">
        <v>40178</v>
      </c>
      <c r="H3991" s="46" t="s">
        <v>40</v>
      </c>
      <c r="I3991" s="45">
        <v>5170.8500000000004</v>
      </c>
      <c r="J3991" s="45">
        <v>5170.8500000000004</v>
      </c>
      <c r="K3991" s="49" t="s">
        <v>790</v>
      </c>
      <c r="L3991" s="45"/>
      <c r="M3991" s="3"/>
    </row>
    <row r="3992" spans="1:13" ht="25.5" x14ac:dyDescent="0.25">
      <c r="A3992" s="46" t="s">
        <v>1094</v>
      </c>
      <c r="B3992" s="46" t="s">
        <v>38</v>
      </c>
      <c r="C3992" s="46" t="s">
        <v>14</v>
      </c>
      <c r="D3992" s="47">
        <v>732</v>
      </c>
      <c r="E3992" s="46" t="s">
        <v>1095</v>
      </c>
      <c r="F3992" s="48">
        <v>39083</v>
      </c>
      <c r="G3992" s="48">
        <v>39813</v>
      </c>
      <c r="H3992" s="46" t="s">
        <v>40</v>
      </c>
      <c r="I3992" s="45">
        <v>6500</v>
      </c>
      <c r="J3992" s="45">
        <v>6500</v>
      </c>
      <c r="K3992" s="49" t="s">
        <v>790</v>
      </c>
      <c r="L3992" s="45"/>
      <c r="M3992" s="3"/>
    </row>
    <row r="3993" spans="1:13" ht="25.5" x14ac:dyDescent="0.25">
      <c r="A3993" s="46" t="s">
        <v>1096</v>
      </c>
      <c r="B3993" s="46" t="s">
        <v>38</v>
      </c>
      <c r="C3993" s="46" t="s">
        <v>14</v>
      </c>
      <c r="D3993" s="47">
        <v>733</v>
      </c>
      <c r="E3993" s="46" t="s">
        <v>1097</v>
      </c>
      <c r="F3993" s="48">
        <v>39083</v>
      </c>
      <c r="G3993" s="48">
        <v>39447</v>
      </c>
      <c r="H3993" s="46" t="s">
        <v>40</v>
      </c>
      <c r="I3993" s="45">
        <v>425</v>
      </c>
      <c r="J3993" s="45">
        <v>425</v>
      </c>
      <c r="K3993" s="49" t="s">
        <v>790</v>
      </c>
      <c r="L3993" s="45"/>
      <c r="M3993" s="3"/>
    </row>
    <row r="3994" spans="1:13" ht="25.5" x14ac:dyDescent="0.25">
      <c r="A3994" s="46" t="s">
        <v>1098</v>
      </c>
      <c r="B3994" s="46" t="s">
        <v>38</v>
      </c>
      <c r="C3994" s="46" t="s">
        <v>14</v>
      </c>
      <c r="D3994" s="47">
        <v>735</v>
      </c>
      <c r="E3994" s="46" t="s">
        <v>1099</v>
      </c>
      <c r="F3994" s="48">
        <v>39083</v>
      </c>
      <c r="G3994" s="48">
        <v>39447</v>
      </c>
      <c r="H3994" s="46" t="s">
        <v>40</v>
      </c>
      <c r="I3994" s="45">
        <v>1140</v>
      </c>
      <c r="J3994" s="45">
        <v>1140</v>
      </c>
      <c r="K3994" s="49" t="s">
        <v>790</v>
      </c>
      <c r="L3994" s="45"/>
      <c r="M3994" s="3"/>
    </row>
    <row r="3995" spans="1:13" ht="25.5" x14ac:dyDescent="0.25">
      <c r="A3995" s="46" t="s">
        <v>1100</v>
      </c>
      <c r="B3995" s="46" t="s">
        <v>38</v>
      </c>
      <c r="C3995" s="46" t="s">
        <v>14</v>
      </c>
      <c r="D3995" s="47">
        <v>736</v>
      </c>
      <c r="E3995" s="46" t="s">
        <v>1101</v>
      </c>
      <c r="F3995" s="48">
        <v>39083</v>
      </c>
      <c r="G3995" s="48">
        <v>39447</v>
      </c>
      <c r="H3995" s="46" t="s">
        <v>40</v>
      </c>
      <c r="I3995" s="45">
        <v>1564.89</v>
      </c>
      <c r="J3995" s="45">
        <v>1144.8900000000001</v>
      </c>
      <c r="K3995" s="49" t="s">
        <v>790</v>
      </c>
      <c r="L3995" s="45"/>
      <c r="M3995" s="3"/>
    </row>
    <row r="3996" spans="1:13" ht="25.5" x14ac:dyDescent="0.25">
      <c r="A3996" s="46" t="s">
        <v>1102</v>
      </c>
      <c r="B3996" s="46" t="s">
        <v>38</v>
      </c>
      <c r="C3996" s="46" t="s">
        <v>14</v>
      </c>
      <c r="D3996" s="47">
        <v>737</v>
      </c>
      <c r="E3996" s="46" t="s">
        <v>1103</v>
      </c>
      <c r="F3996" s="48">
        <v>39083</v>
      </c>
      <c r="G3996" s="48">
        <v>39447</v>
      </c>
      <c r="H3996" s="46" t="s">
        <v>40</v>
      </c>
      <c r="I3996" s="45">
        <v>18216.240000000002</v>
      </c>
      <c r="J3996" s="45">
        <v>17616.240000000002</v>
      </c>
      <c r="K3996" s="49" t="s">
        <v>790</v>
      </c>
      <c r="L3996" s="45"/>
      <c r="M3996" s="3"/>
    </row>
    <row r="3997" spans="1:13" ht="25.5" x14ac:dyDescent="0.25">
      <c r="A3997" s="46" t="s">
        <v>1104</v>
      </c>
      <c r="B3997" s="46" t="s">
        <v>38</v>
      </c>
      <c r="C3997" s="46" t="s">
        <v>14</v>
      </c>
      <c r="D3997" s="47">
        <v>738</v>
      </c>
      <c r="E3997" s="46" t="s">
        <v>1105</v>
      </c>
      <c r="F3997" s="48">
        <v>39448</v>
      </c>
      <c r="G3997" s="48">
        <v>39813</v>
      </c>
      <c r="H3997" s="46" t="s">
        <v>40</v>
      </c>
      <c r="I3997" s="45">
        <v>7540.02</v>
      </c>
      <c r="J3997" s="45">
        <v>7540.02</v>
      </c>
      <c r="K3997" s="49" t="s">
        <v>790</v>
      </c>
      <c r="L3997" s="45"/>
      <c r="M3997" s="3"/>
    </row>
    <row r="3998" spans="1:13" ht="25.5" x14ac:dyDescent="0.25">
      <c r="A3998" s="46" t="s">
        <v>1106</v>
      </c>
      <c r="B3998" s="46" t="s">
        <v>38</v>
      </c>
      <c r="C3998" s="46" t="s">
        <v>14</v>
      </c>
      <c r="D3998" s="47">
        <v>739</v>
      </c>
      <c r="E3998" s="46" t="s">
        <v>1107</v>
      </c>
      <c r="F3998" s="48">
        <v>39448</v>
      </c>
      <c r="G3998" s="48">
        <v>39813</v>
      </c>
      <c r="H3998" s="46" t="s">
        <v>40</v>
      </c>
      <c r="I3998" s="45">
        <v>1000</v>
      </c>
      <c r="J3998" s="45">
        <v>1000</v>
      </c>
      <c r="K3998" s="49" t="s">
        <v>790</v>
      </c>
      <c r="L3998" s="45"/>
      <c r="M3998" s="3"/>
    </row>
    <row r="3999" spans="1:13" ht="25.5" x14ac:dyDescent="0.25">
      <c r="A3999" s="46" t="s">
        <v>1108</v>
      </c>
      <c r="B3999" s="46" t="s">
        <v>38</v>
      </c>
      <c r="C3999" s="46" t="s">
        <v>14</v>
      </c>
      <c r="D3999" s="47">
        <v>740</v>
      </c>
      <c r="E3999" s="46" t="s">
        <v>1109</v>
      </c>
      <c r="F3999" s="48">
        <v>39083</v>
      </c>
      <c r="G3999" s="48">
        <v>39538</v>
      </c>
      <c r="H3999" s="46" t="s">
        <v>40</v>
      </c>
      <c r="I3999" s="45">
        <v>54053.69</v>
      </c>
      <c r="J3999" s="45">
        <v>17737.75</v>
      </c>
      <c r="K3999" s="49" t="s">
        <v>790</v>
      </c>
      <c r="L3999" s="45"/>
      <c r="M3999" s="3"/>
    </row>
    <row r="4000" spans="1:13" ht="25.5" x14ac:dyDescent="0.25">
      <c r="A4000" s="46" t="s">
        <v>1110</v>
      </c>
      <c r="B4000" s="46" t="s">
        <v>38</v>
      </c>
      <c r="C4000" s="46" t="s">
        <v>14</v>
      </c>
      <c r="D4000" s="47">
        <v>741</v>
      </c>
      <c r="E4000" s="46" t="s">
        <v>1111</v>
      </c>
      <c r="F4000" s="48">
        <v>39448</v>
      </c>
      <c r="G4000" s="48">
        <v>39903</v>
      </c>
      <c r="H4000" s="46" t="s">
        <v>40</v>
      </c>
      <c r="I4000" s="45">
        <v>70581.899999999994</v>
      </c>
      <c r="J4000" s="45">
        <v>18063.849999999999</v>
      </c>
      <c r="K4000" s="49" t="s">
        <v>790</v>
      </c>
      <c r="L4000" s="45"/>
      <c r="M4000" s="3"/>
    </row>
    <row r="4001" spans="1:13" ht="25.5" x14ac:dyDescent="0.25">
      <c r="A4001" s="46" t="s">
        <v>1112</v>
      </c>
      <c r="B4001" s="46" t="s">
        <v>38</v>
      </c>
      <c r="C4001" s="46" t="s">
        <v>14</v>
      </c>
      <c r="D4001" s="47">
        <v>742</v>
      </c>
      <c r="E4001" s="46" t="s">
        <v>1113</v>
      </c>
      <c r="F4001" s="48">
        <v>39448</v>
      </c>
      <c r="G4001" s="48">
        <v>39813</v>
      </c>
      <c r="H4001" s="46" t="s">
        <v>40</v>
      </c>
      <c r="I4001" s="45">
        <v>505.78</v>
      </c>
      <c r="J4001" s="45">
        <v>505.78</v>
      </c>
      <c r="K4001" s="49" t="s">
        <v>790</v>
      </c>
      <c r="L4001" s="45"/>
      <c r="M4001" s="3"/>
    </row>
    <row r="4002" spans="1:13" ht="25.5" x14ac:dyDescent="0.25">
      <c r="A4002" s="46" t="s">
        <v>1114</v>
      </c>
      <c r="B4002" s="46" t="s">
        <v>38</v>
      </c>
      <c r="C4002" s="46" t="s">
        <v>14</v>
      </c>
      <c r="D4002" s="47">
        <v>743</v>
      </c>
      <c r="E4002" s="46" t="s">
        <v>1115</v>
      </c>
      <c r="F4002" s="48">
        <v>39448</v>
      </c>
      <c r="G4002" s="48">
        <v>39813</v>
      </c>
      <c r="H4002" s="46" t="s">
        <v>40</v>
      </c>
      <c r="I4002" s="45">
        <v>2500.9299999999998</v>
      </c>
      <c r="J4002" s="45">
        <v>2200.9299999999998</v>
      </c>
      <c r="K4002" s="49" t="s">
        <v>790</v>
      </c>
      <c r="L4002" s="45"/>
      <c r="M4002" s="3"/>
    </row>
    <row r="4003" spans="1:13" ht="25.5" x14ac:dyDescent="0.25">
      <c r="A4003" s="46" t="s">
        <v>1116</v>
      </c>
      <c r="B4003" s="46" t="s">
        <v>38</v>
      </c>
      <c r="C4003" s="46" t="s">
        <v>14</v>
      </c>
      <c r="D4003" s="47">
        <v>745</v>
      </c>
      <c r="E4003" s="46" t="s">
        <v>1117</v>
      </c>
      <c r="F4003" s="48">
        <v>39083</v>
      </c>
      <c r="G4003" s="48">
        <v>39447</v>
      </c>
      <c r="H4003" s="46" t="s">
        <v>40</v>
      </c>
      <c r="I4003" s="45">
        <v>560</v>
      </c>
      <c r="J4003" s="45">
        <v>560</v>
      </c>
      <c r="K4003" s="49" t="s">
        <v>790</v>
      </c>
      <c r="L4003" s="45"/>
      <c r="M4003" s="3"/>
    </row>
    <row r="4004" spans="1:13" ht="25.5" x14ac:dyDescent="0.25">
      <c r="A4004" s="46" t="s">
        <v>1118</v>
      </c>
      <c r="B4004" s="46" t="s">
        <v>38</v>
      </c>
      <c r="C4004" s="46" t="s">
        <v>14</v>
      </c>
      <c r="D4004" s="47">
        <v>764</v>
      </c>
      <c r="E4004" s="46" t="s">
        <v>1119</v>
      </c>
      <c r="F4004" s="48">
        <v>39448</v>
      </c>
      <c r="G4004" s="48">
        <v>39813</v>
      </c>
      <c r="H4004" s="46" t="s">
        <v>40</v>
      </c>
      <c r="I4004" s="45">
        <v>1658.28</v>
      </c>
      <c r="J4004" s="45">
        <v>998.28</v>
      </c>
      <c r="K4004" s="49" t="s">
        <v>790</v>
      </c>
      <c r="L4004" s="45"/>
      <c r="M4004" s="3"/>
    </row>
    <row r="4005" spans="1:13" ht="25.5" x14ac:dyDescent="0.25">
      <c r="A4005" s="46" t="s">
        <v>1120</v>
      </c>
      <c r="B4005" s="46" t="s">
        <v>38</v>
      </c>
      <c r="C4005" s="46" t="s">
        <v>14</v>
      </c>
      <c r="D4005" s="47">
        <v>768</v>
      </c>
      <c r="E4005" s="46" t="s">
        <v>1121</v>
      </c>
      <c r="F4005" s="48">
        <v>39083</v>
      </c>
      <c r="G4005" s="48">
        <v>39813</v>
      </c>
      <c r="H4005" s="46" t="s">
        <v>40</v>
      </c>
      <c r="I4005" s="45">
        <v>8176.38</v>
      </c>
      <c r="J4005" s="45">
        <v>6296.38</v>
      </c>
      <c r="K4005" s="49" t="s">
        <v>790</v>
      </c>
      <c r="L4005" s="45"/>
      <c r="M4005" s="3"/>
    </row>
    <row r="4006" spans="1:13" ht="25.5" x14ac:dyDescent="0.25">
      <c r="A4006" s="46" t="s">
        <v>1122</v>
      </c>
      <c r="B4006" s="46" t="s">
        <v>38</v>
      </c>
      <c r="C4006" s="46" t="s">
        <v>14</v>
      </c>
      <c r="D4006" s="47">
        <v>769</v>
      </c>
      <c r="E4006" s="46" t="s">
        <v>1123</v>
      </c>
      <c r="F4006" s="48">
        <v>39083</v>
      </c>
      <c r="G4006" s="48">
        <v>39813</v>
      </c>
      <c r="H4006" s="46" t="s">
        <v>40</v>
      </c>
      <c r="I4006" s="45">
        <v>46873.5</v>
      </c>
      <c r="J4006" s="45">
        <v>46673.5</v>
      </c>
      <c r="K4006" s="49" t="s">
        <v>790</v>
      </c>
      <c r="L4006" s="45"/>
      <c r="M4006" s="3"/>
    </row>
    <row r="4007" spans="1:13" ht="25.5" x14ac:dyDescent="0.25">
      <c r="A4007" s="46" t="s">
        <v>1124</v>
      </c>
      <c r="B4007" s="46" t="s">
        <v>38</v>
      </c>
      <c r="C4007" s="46" t="s">
        <v>14</v>
      </c>
      <c r="D4007" s="47">
        <v>771</v>
      </c>
      <c r="E4007" s="46" t="s">
        <v>1125</v>
      </c>
      <c r="F4007" s="48">
        <v>39448</v>
      </c>
      <c r="G4007" s="48">
        <v>40178</v>
      </c>
      <c r="H4007" s="46" t="s">
        <v>40</v>
      </c>
      <c r="I4007" s="45">
        <v>33763.050000000003</v>
      </c>
      <c r="J4007" s="45">
        <v>33763.050000000003</v>
      </c>
      <c r="K4007" s="49" t="s">
        <v>790</v>
      </c>
      <c r="L4007" s="45"/>
      <c r="M4007" s="3"/>
    </row>
    <row r="4008" spans="1:13" ht="25.5" x14ac:dyDescent="0.25">
      <c r="A4008" s="46" t="s">
        <v>1126</v>
      </c>
      <c r="B4008" s="46" t="s">
        <v>38</v>
      </c>
      <c r="C4008" s="46" t="s">
        <v>14</v>
      </c>
      <c r="D4008" s="47">
        <v>778</v>
      </c>
      <c r="E4008" s="46" t="s">
        <v>1127</v>
      </c>
      <c r="F4008" s="48">
        <v>39083</v>
      </c>
      <c r="G4008" s="48">
        <v>39447</v>
      </c>
      <c r="H4008" s="46" t="s">
        <v>40</v>
      </c>
      <c r="I4008" s="45">
        <v>14914.65</v>
      </c>
      <c r="J4008" s="45">
        <v>14914.65</v>
      </c>
      <c r="K4008" s="49" t="s">
        <v>790</v>
      </c>
      <c r="L4008" s="45"/>
      <c r="M4008" s="3"/>
    </row>
    <row r="4009" spans="1:13" ht="25.5" x14ac:dyDescent="0.25">
      <c r="A4009" s="46" t="s">
        <v>1128</v>
      </c>
      <c r="B4009" s="46" t="s">
        <v>38</v>
      </c>
      <c r="C4009" s="46" t="s">
        <v>14</v>
      </c>
      <c r="D4009" s="47">
        <v>780</v>
      </c>
      <c r="E4009" s="46" t="s">
        <v>1129</v>
      </c>
      <c r="F4009" s="48">
        <v>39083</v>
      </c>
      <c r="G4009" s="48">
        <v>39447</v>
      </c>
      <c r="H4009" s="46" t="s">
        <v>40</v>
      </c>
      <c r="I4009" s="45">
        <v>2500</v>
      </c>
      <c r="J4009" s="45">
        <v>2500</v>
      </c>
      <c r="K4009" s="49" t="s">
        <v>790</v>
      </c>
      <c r="L4009" s="45"/>
      <c r="M4009" s="3"/>
    </row>
    <row r="4010" spans="1:13" ht="25.5" x14ac:dyDescent="0.25">
      <c r="A4010" s="46" t="s">
        <v>1130</v>
      </c>
      <c r="B4010" s="46" t="s">
        <v>38</v>
      </c>
      <c r="C4010" s="46" t="s">
        <v>14</v>
      </c>
      <c r="D4010" s="47">
        <v>782</v>
      </c>
      <c r="E4010" s="46" t="s">
        <v>1131</v>
      </c>
      <c r="F4010" s="48">
        <v>39083</v>
      </c>
      <c r="G4010" s="48">
        <v>39447</v>
      </c>
      <c r="H4010" s="46" t="s">
        <v>40</v>
      </c>
      <c r="I4010" s="45">
        <v>19570.849999999999</v>
      </c>
      <c r="J4010" s="45">
        <v>14070.85</v>
      </c>
      <c r="K4010" s="49" t="s">
        <v>790</v>
      </c>
      <c r="L4010" s="45"/>
      <c r="M4010" s="3"/>
    </row>
    <row r="4011" spans="1:13" ht="38.25" x14ac:dyDescent="0.25">
      <c r="A4011" s="46" t="s">
        <v>1132</v>
      </c>
      <c r="B4011" s="46" t="s">
        <v>38</v>
      </c>
      <c r="C4011" s="46" t="s">
        <v>14</v>
      </c>
      <c r="D4011" s="47">
        <v>786</v>
      </c>
      <c r="E4011" s="46" t="s">
        <v>1133</v>
      </c>
      <c r="F4011" s="48">
        <v>39083</v>
      </c>
      <c r="G4011" s="48">
        <v>40178</v>
      </c>
      <c r="H4011" s="46" t="s">
        <v>40</v>
      </c>
      <c r="I4011" s="45">
        <v>14234.4</v>
      </c>
      <c r="J4011" s="45">
        <v>9234.4</v>
      </c>
      <c r="K4011" s="49" t="s">
        <v>790</v>
      </c>
      <c r="L4011" s="45"/>
      <c r="M4011" s="3"/>
    </row>
    <row r="4012" spans="1:13" ht="25.5" x14ac:dyDescent="0.25">
      <c r="A4012" s="46" t="s">
        <v>1134</v>
      </c>
      <c r="B4012" s="46" t="s">
        <v>38</v>
      </c>
      <c r="C4012" s="46" t="s">
        <v>14</v>
      </c>
      <c r="D4012" s="47">
        <v>790</v>
      </c>
      <c r="E4012" s="46" t="s">
        <v>1135</v>
      </c>
      <c r="F4012" s="48">
        <v>39083</v>
      </c>
      <c r="G4012" s="48">
        <v>39447</v>
      </c>
      <c r="H4012" s="46" t="s">
        <v>40</v>
      </c>
      <c r="I4012" s="45">
        <v>26910.75</v>
      </c>
      <c r="J4012" s="45">
        <v>26910.75</v>
      </c>
      <c r="K4012" s="49" t="s">
        <v>790</v>
      </c>
      <c r="L4012" s="45"/>
      <c r="M4012" s="3"/>
    </row>
    <row r="4013" spans="1:13" ht="25.5" x14ac:dyDescent="0.25">
      <c r="A4013" s="46" t="s">
        <v>1136</v>
      </c>
      <c r="B4013" s="46" t="s">
        <v>38</v>
      </c>
      <c r="C4013" s="46" t="s">
        <v>14</v>
      </c>
      <c r="D4013" s="47">
        <v>793</v>
      </c>
      <c r="E4013" s="46" t="s">
        <v>1137</v>
      </c>
      <c r="F4013" s="48">
        <v>39448</v>
      </c>
      <c r="G4013" s="48">
        <v>39813</v>
      </c>
      <c r="H4013" s="46" t="s">
        <v>40</v>
      </c>
      <c r="I4013" s="45">
        <v>14396.73</v>
      </c>
      <c r="J4013" s="45">
        <v>13293.21</v>
      </c>
      <c r="K4013" s="49" t="s">
        <v>790</v>
      </c>
      <c r="L4013" s="45"/>
      <c r="M4013" s="3"/>
    </row>
    <row r="4014" spans="1:13" ht="25.5" x14ac:dyDescent="0.25">
      <c r="A4014" s="46" t="s">
        <v>1138</v>
      </c>
      <c r="B4014" s="46" t="s">
        <v>38</v>
      </c>
      <c r="C4014" s="46" t="s">
        <v>14</v>
      </c>
      <c r="D4014" s="47">
        <v>796</v>
      </c>
      <c r="E4014" s="46" t="s">
        <v>1139</v>
      </c>
      <c r="F4014" s="48">
        <v>39083</v>
      </c>
      <c r="G4014" s="48">
        <v>39813</v>
      </c>
      <c r="H4014" s="46" t="s">
        <v>40</v>
      </c>
      <c r="I4014" s="45">
        <v>8593.1299999999992</v>
      </c>
      <c r="J4014" s="45">
        <v>7443.13</v>
      </c>
      <c r="K4014" s="49" t="s">
        <v>790</v>
      </c>
      <c r="L4014" s="45"/>
      <c r="M4014" s="3"/>
    </row>
    <row r="4015" spans="1:13" ht="25.5" x14ac:dyDescent="0.25">
      <c r="A4015" s="46" t="s">
        <v>1140</v>
      </c>
      <c r="B4015" s="46" t="s">
        <v>38</v>
      </c>
      <c r="C4015" s="46" t="s">
        <v>14</v>
      </c>
      <c r="D4015" s="47">
        <v>798</v>
      </c>
      <c r="E4015" s="46" t="s">
        <v>1141</v>
      </c>
      <c r="F4015" s="48">
        <v>39083</v>
      </c>
      <c r="G4015" s="48">
        <v>39813</v>
      </c>
      <c r="H4015" s="46" t="s">
        <v>40</v>
      </c>
      <c r="I4015" s="45">
        <v>7399.85</v>
      </c>
      <c r="J4015" s="45">
        <v>3574.85</v>
      </c>
      <c r="K4015" s="49" t="s">
        <v>790</v>
      </c>
      <c r="L4015" s="45"/>
      <c r="M4015" s="3"/>
    </row>
    <row r="4016" spans="1:13" ht="25.5" x14ac:dyDescent="0.25">
      <c r="A4016" s="46" t="s">
        <v>1142</v>
      </c>
      <c r="B4016" s="46" t="s">
        <v>38</v>
      </c>
      <c r="C4016" s="46" t="s">
        <v>14</v>
      </c>
      <c r="D4016" s="47">
        <v>799</v>
      </c>
      <c r="E4016" s="46" t="s">
        <v>1143</v>
      </c>
      <c r="F4016" s="48">
        <v>39083</v>
      </c>
      <c r="G4016" s="48">
        <v>40178</v>
      </c>
      <c r="H4016" s="46" t="s">
        <v>40</v>
      </c>
      <c r="I4016" s="45">
        <v>12487.41</v>
      </c>
      <c r="J4016" s="45">
        <v>9617.41</v>
      </c>
      <c r="K4016" s="49" t="s">
        <v>790</v>
      </c>
      <c r="L4016" s="45"/>
      <c r="M4016" s="3"/>
    </row>
    <row r="4017" spans="1:13" ht="25.5" x14ac:dyDescent="0.25">
      <c r="A4017" s="46" t="s">
        <v>1144</v>
      </c>
      <c r="B4017" s="46" t="s">
        <v>38</v>
      </c>
      <c r="C4017" s="46" t="s">
        <v>14</v>
      </c>
      <c r="D4017" s="47">
        <v>800</v>
      </c>
      <c r="E4017" s="46" t="s">
        <v>1145</v>
      </c>
      <c r="F4017" s="48">
        <v>39083</v>
      </c>
      <c r="G4017" s="48">
        <v>39813</v>
      </c>
      <c r="H4017" s="46" t="s">
        <v>40</v>
      </c>
      <c r="I4017" s="45">
        <v>6039.85</v>
      </c>
      <c r="J4017" s="45">
        <v>2634.85</v>
      </c>
      <c r="K4017" s="49" t="s">
        <v>790</v>
      </c>
      <c r="L4017" s="45"/>
      <c r="M4017" s="3"/>
    </row>
    <row r="4018" spans="1:13" ht="25.5" x14ac:dyDescent="0.25">
      <c r="A4018" s="46" t="s">
        <v>1146</v>
      </c>
      <c r="B4018" s="46" t="s">
        <v>38</v>
      </c>
      <c r="C4018" s="46" t="s">
        <v>14</v>
      </c>
      <c r="D4018" s="47">
        <v>804</v>
      </c>
      <c r="E4018" s="46" t="s">
        <v>1147</v>
      </c>
      <c r="F4018" s="48">
        <v>39083</v>
      </c>
      <c r="G4018" s="48">
        <v>39447</v>
      </c>
      <c r="H4018" s="46" t="s">
        <v>40</v>
      </c>
      <c r="I4018" s="45">
        <v>6600</v>
      </c>
      <c r="J4018" s="45">
        <v>1700</v>
      </c>
      <c r="K4018" s="49" t="s">
        <v>790</v>
      </c>
      <c r="L4018" s="45"/>
      <c r="M4018" s="3"/>
    </row>
    <row r="4019" spans="1:13" ht="25.5" x14ac:dyDescent="0.25">
      <c r="A4019" s="46" t="s">
        <v>1148</v>
      </c>
      <c r="B4019" s="46" t="s">
        <v>38</v>
      </c>
      <c r="C4019" s="46" t="s">
        <v>14</v>
      </c>
      <c r="D4019" s="47">
        <v>805</v>
      </c>
      <c r="E4019" s="46" t="s">
        <v>1149</v>
      </c>
      <c r="F4019" s="48">
        <v>39448</v>
      </c>
      <c r="G4019" s="48">
        <v>39813</v>
      </c>
      <c r="H4019" s="46" t="s">
        <v>40</v>
      </c>
      <c r="I4019" s="45">
        <v>6600</v>
      </c>
      <c r="J4019" s="45">
        <v>6600</v>
      </c>
      <c r="K4019" s="49" t="s">
        <v>790</v>
      </c>
      <c r="L4019" s="45"/>
      <c r="M4019" s="3"/>
    </row>
    <row r="4020" spans="1:13" ht="25.5" x14ac:dyDescent="0.25">
      <c r="A4020" s="46" t="s">
        <v>1150</v>
      </c>
      <c r="B4020" s="46" t="s">
        <v>38</v>
      </c>
      <c r="C4020" s="46" t="s">
        <v>14</v>
      </c>
      <c r="D4020" s="47">
        <v>810</v>
      </c>
      <c r="E4020" s="46" t="s">
        <v>1151</v>
      </c>
      <c r="F4020" s="48">
        <v>39083</v>
      </c>
      <c r="G4020" s="48">
        <v>39447</v>
      </c>
      <c r="H4020" s="46" t="s">
        <v>40</v>
      </c>
      <c r="I4020" s="45">
        <v>2796.65</v>
      </c>
      <c r="J4020" s="45">
        <v>2796.65</v>
      </c>
      <c r="K4020" s="49" t="s">
        <v>790</v>
      </c>
      <c r="L4020" s="45"/>
      <c r="M4020" s="3"/>
    </row>
    <row r="4021" spans="1:13" ht="25.5" x14ac:dyDescent="0.25">
      <c r="A4021" s="46" t="s">
        <v>1152</v>
      </c>
      <c r="B4021" s="46" t="s">
        <v>38</v>
      </c>
      <c r="C4021" s="46" t="s">
        <v>14</v>
      </c>
      <c r="D4021" s="47">
        <v>811</v>
      </c>
      <c r="E4021" s="46" t="s">
        <v>1151</v>
      </c>
      <c r="F4021" s="48">
        <v>39448</v>
      </c>
      <c r="G4021" s="48">
        <v>39813</v>
      </c>
      <c r="H4021" s="46" t="s">
        <v>40</v>
      </c>
      <c r="I4021" s="45">
        <v>4959.3100000000004</v>
      </c>
      <c r="J4021" s="45">
        <v>4959.3100000000004</v>
      </c>
      <c r="K4021" s="49" t="s">
        <v>790</v>
      </c>
      <c r="L4021" s="45"/>
      <c r="M4021" s="3"/>
    </row>
    <row r="4022" spans="1:13" ht="51" x14ac:dyDescent="0.25">
      <c r="A4022" s="46" t="s">
        <v>1153</v>
      </c>
      <c r="B4022" s="46" t="s">
        <v>38</v>
      </c>
      <c r="C4022" s="46" t="s">
        <v>14</v>
      </c>
      <c r="D4022" s="47">
        <v>813</v>
      </c>
      <c r="E4022" s="50" t="s">
        <v>1154</v>
      </c>
      <c r="F4022" s="48">
        <v>39083</v>
      </c>
      <c r="G4022" s="48">
        <v>40178</v>
      </c>
      <c r="H4022" s="46" t="s">
        <v>40</v>
      </c>
      <c r="I4022" s="45">
        <v>15981</v>
      </c>
      <c r="J4022" s="45">
        <v>15981</v>
      </c>
      <c r="K4022" s="49" t="s">
        <v>790</v>
      </c>
      <c r="L4022" s="45"/>
      <c r="M4022" s="3"/>
    </row>
    <row r="4023" spans="1:13" ht="25.5" x14ac:dyDescent="0.25">
      <c r="A4023" s="46" t="s">
        <v>1155</v>
      </c>
      <c r="B4023" s="46" t="s">
        <v>38</v>
      </c>
      <c r="C4023" s="46" t="s">
        <v>14</v>
      </c>
      <c r="D4023" s="47">
        <v>815</v>
      </c>
      <c r="E4023" s="46" t="s">
        <v>1156</v>
      </c>
      <c r="F4023" s="48">
        <v>39083</v>
      </c>
      <c r="G4023" s="48">
        <v>39813</v>
      </c>
      <c r="H4023" s="46" t="s">
        <v>40</v>
      </c>
      <c r="I4023" s="45">
        <v>5000</v>
      </c>
      <c r="J4023" s="45">
        <v>5000</v>
      </c>
      <c r="K4023" s="49" t="s">
        <v>790</v>
      </c>
      <c r="L4023" s="45"/>
      <c r="M4023" s="3"/>
    </row>
    <row r="4024" spans="1:13" ht="25.5" x14ac:dyDescent="0.25">
      <c r="A4024" s="46" t="s">
        <v>1157</v>
      </c>
      <c r="B4024" s="46" t="s">
        <v>38</v>
      </c>
      <c r="C4024" s="46" t="s">
        <v>14</v>
      </c>
      <c r="D4024" s="47">
        <v>816</v>
      </c>
      <c r="E4024" s="46" t="s">
        <v>1158</v>
      </c>
      <c r="F4024" s="48">
        <v>39083</v>
      </c>
      <c r="G4024" s="48">
        <v>40178</v>
      </c>
      <c r="H4024" s="46" t="s">
        <v>40</v>
      </c>
      <c r="I4024" s="45">
        <v>46926.3</v>
      </c>
      <c r="J4024" s="45">
        <v>38126.300000000003</v>
      </c>
      <c r="K4024" s="49" t="s">
        <v>790</v>
      </c>
      <c r="L4024" s="45"/>
      <c r="M4024" s="3"/>
    </row>
    <row r="4025" spans="1:13" ht="25.5" x14ac:dyDescent="0.25">
      <c r="A4025" s="46" t="s">
        <v>1159</v>
      </c>
      <c r="B4025" s="46" t="s">
        <v>38</v>
      </c>
      <c r="C4025" s="46" t="s">
        <v>14</v>
      </c>
      <c r="D4025" s="47">
        <v>818</v>
      </c>
      <c r="E4025" s="46" t="s">
        <v>1160</v>
      </c>
      <c r="F4025" s="48">
        <v>39448</v>
      </c>
      <c r="G4025" s="48">
        <v>39813</v>
      </c>
      <c r="H4025" s="46" t="s">
        <v>40</v>
      </c>
      <c r="I4025" s="45">
        <v>48202.239999999998</v>
      </c>
      <c r="J4025" s="45">
        <v>38112.239999999998</v>
      </c>
      <c r="K4025" s="49" t="s">
        <v>790</v>
      </c>
      <c r="L4025" s="45"/>
      <c r="M4025" s="3"/>
    </row>
    <row r="4026" spans="1:13" ht="25.5" x14ac:dyDescent="0.25">
      <c r="A4026" s="46" t="s">
        <v>1161</v>
      </c>
      <c r="B4026" s="46" t="s">
        <v>38</v>
      </c>
      <c r="C4026" s="46" t="s">
        <v>14</v>
      </c>
      <c r="D4026" s="47">
        <v>820</v>
      </c>
      <c r="E4026" s="46" t="s">
        <v>1162</v>
      </c>
      <c r="F4026" s="48">
        <v>39083</v>
      </c>
      <c r="G4026" s="48">
        <v>39813</v>
      </c>
      <c r="H4026" s="46" t="s">
        <v>40</v>
      </c>
      <c r="I4026" s="45">
        <v>6950</v>
      </c>
      <c r="J4026" s="45">
        <v>5570</v>
      </c>
      <c r="K4026" s="49" t="s">
        <v>790</v>
      </c>
      <c r="L4026" s="45"/>
      <c r="M4026" s="3"/>
    </row>
    <row r="4027" spans="1:13" ht="25.5" x14ac:dyDescent="0.25">
      <c r="A4027" s="46" t="s">
        <v>1165</v>
      </c>
      <c r="B4027" s="46" t="s">
        <v>38</v>
      </c>
      <c r="C4027" s="46" t="s">
        <v>14</v>
      </c>
      <c r="D4027" s="47">
        <v>829</v>
      </c>
      <c r="E4027" s="46" t="s">
        <v>1166</v>
      </c>
      <c r="F4027" s="48">
        <v>39448</v>
      </c>
      <c r="G4027" s="48">
        <v>39813</v>
      </c>
      <c r="H4027" s="46" t="s">
        <v>40</v>
      </c>
      <c r="I4027" s="45">
        <v>3354.2</v>
      </c>
      <c r="J4027" s="45">
        <v>2334.1999999999998</v>
      </c>
      <c r="K4027" s="49" t="s">
        <v>790</v>
      </c>
      <c r="L4027" s="45"/>
      <c r="M4027" s="3"/>
    </row>
    <row r="4028" spans="1:13" ht="25.5" x14ac:dyDescent="0.25">
      <c r="A4028" s="46" t="s">
        <v>1167</v>
      </c>
      <c r="B4028" s="46" t="s">
        <v>38</v>
      </c>
      <c r="C4028" s="46" t="s">
        <v>14</v>
      </c>
      <c r="D4028" s="47">
        <v>830</v>
      </c>
      <c r="E4028" s="46" t="s">
        <v>1168</v>
      </c>
      <c r="F4028" s="48">
        <v>39083</v>
      </c>
      <c r="G4028" s="48">
        <v>39447</v>
      </c>
      <c r="H4028" s="46" t="s">
        <v>40</v>
      </c>
      <c r="I4028" s="45">
        <v>2610.58</v>
      </c>
      <c r="J4028" s="45">
        <v>2070.58</v>
      </c>
      <c r="K4028" s="49" t="s">
        <v>790</v>
      </c>
      <c r="L4028" s="45"/>
      <c r="M4028" s="3"/>
    </row>
    <row r="4029" spans="1:13" ht="25.5" x14ac:dyDescent="0.25">
      <c r="A4029" s="46" t="s">
        <v>1169</v>
      </c>
      <c r="B4029" s="46" t="s">
        <v>38</v>
      </c>
      <c r="C4029" s="46" t="s">
        <v>14</v>
      </c>
      <c r="D4029" s="47">
        <v>833</v>
      </c>
      <c r="E4029" s="46" t="s">
        <v>1170</v>
      </c>
      <c r="F4029" s="48">
        <v>39448</v>
      </c>
      <c r="G4029" s="48">
        <v>39813</v>
      </c>
      <c r="H4029" s="46" t="s">
        <v>40</v>
      </c>
      <c r="I4029" s="45">
        <v>1804</v>
      </c>
      <c r="J4029" s="45">
        <v>1504</v>
      </c>
      <c r="K4029" s="49" t="s">
        <v>790</v>
      </c>
      <c r="L4029" s="45"/>
      <c r="M4029" s="3"/>
    </row>
    <row r="4030" spans="1:13" ht="25.5" x14ac:dyDescent="0.25">
      <c r="A4030" s="46" t="s">
        <v>1173</v>
      </c>
      <c r="B4030" s="46" t="s">
        <v>38</v>
      </c>
      <c r="C4030" s="46" t="s">
        <v>14</v>
      </c>
      <c r="D4030" s="47">
        <v>840</v>
      </c>
      <c r="E4030" s="46" t="s">
        <v>1174</v>
      </c>
      <c r="F4030" s="48">
        <v>39448</v>
      </c>
      <c r="G4030" s="48">
        <v>39813</v>
      </c>
      <c r="H4030" s="46" t="s">
        <v>40</v>
      </c>
      <c r="I4030" s="45">
        <v>7260</v>
      </c>
      <c r="J4030" s="45">
        <v>3630</v>
      </c>
      <c r="K4030" s="49" t="s">
        <v>790</v>
      </c>
      <c r="L4030" s="45"/>
      <c r="M4030" s="3"/>
    </row>
    <row r="4031" spans="1:13" ht="25.5" x14ac:dyDescent="0.25">
      <c r="A4031" s="46" t="s">
        <v>1175</v>
      </c>
      <c r="B4031" s="46" t="s">
        <v>38</v>
      </c>
      <c r="C4031" s="46" t="s">
        <v>14</v>
      </c>
      <c r="D4031" s="47">
        <v>842</v>
      </c>
      <c r="E4031" s="46" t="s">
        <v>1176</v>
      </c>
      <c r="F4031" s="48">
        <v>39083</v>
      </c>
      <c r="G4031" s="48">
        <v>40543</v>
      </c>
      <c r="H4031" s="46" t="s">
        <v>40</v>
      </c>
      <c r="I4031" s="45">
        <v>14405</v>
      </c>
      <c r="J4031" s="45">
        <v>16655</v>
      </c>
      <c r="K4031" s="49" t="s">
        <v>790</v>
      </c>
      <c r="L4031" s="45"/>
      <c r="M4031" s="3"/>
    </row>
    <row r="4032" spans="1:13" ht="51" x14ac:dyDescent="0.25">
      <c r="A4032" s="46" t="s">
        <v>1177</v>
      </c>
      <c r="B4032" s="46" t="s">
        <v>38</v>
      </c>
      <c r="C4032" s="46" t="s">
        <v>14</v>
      </c>
      <c r="D4032" s="47">
        <v>844</v>
      </c>
      <c r="E4032" s="50" t="s">
        <v>1178</v>
      </c>
      <c r="F4032" s="48">
        <v>39083</v>
      </c>
      <c r="G4032" s="48">
        <v>40178</v>
      </c>
      <c r="H4032" s="46" t="s">
        <v>40</v>
      </c>
      <c r="I4032" s="45">
        <v>7010</v>
      </c>
      <c r="J4032" s="45">
        <v>6143.34</v>
      </c>
      <c r="K4032" s="49" t="s">
        <v>790</v>
      </c>
      <c r="L4032" s="45"/>
      <c r="M4032" s="3"/>
    </row>
    <row r="4033" spans="1:13" ht="25.5" x14ac:dyDescent="0.25">
      <c r="A4033" s="46" t="s">
        <v>1179</v>
      </c>
      <c r="B4033" s="46" t="s">
        <v>38</v>
      </c>
      <c r="C4033" s="46" t="s">
        <v>14</v>
      </c>
      <c r="D4033" s="47">
        <v>846</v>
      </c>
      <c r="E4033" s="46" t="s">
        <v>1180</v>
      </c>
      <c r="F4033" s="48">
        <v>39083</v>
      </c>
      <c r="G4033" s="48">
        <v>39447</v>
      </c>
      <c r="H4033" s="46" t="s">
        <v>40</v>
      </c>
      <c r="I4033" s="45">
        <v>4800</v>
      </c>
      <c r="J4033" s="45">
        <v>4080</v>
      </c>
      <c r="K4033" s="49" t="s">
        <v>790</v>
      </c>
      <c r="L4033" s="45"/>
      <c r="M4033" s="3"/>
    </row>
    <row r="4034" spans="1:13" ht="25.5" x14ac:dyDescent="0.25">
      <c r="A4034" s="46" t="s">
        <v>1181</v>
      </c>
      <c r="B4034" s="46" t="s">
        <v>38</v>
      </c>
      <c r="C4034" s="46" t="s">
        <v>14</v>
      </c>
      <c r="D4034" s="47">
        <v>849</v>
      </c>
      <c r="E4034" s="46" t="s">
        <v>1182</v>
      </c>
      <c r="F4034" s="48">
        <v>39083</v>
      </c>
      <c r="G4034" s="48">
        <v>39813</v>
      </c>
      <c r="H4034" s="46" t="s">
        <v>40</v>
      </c>
      <c r="I4034" s="45">
        <v>10411.92</v>
      </c>
      <c r="J4034" s="45">
        <v>6346.92</v>
      </c>
      <c r="K4034" s="49" t="s">
        <v>790</v>
      </c>
      <c r="L4034" s="45"/>
      <c r="M4034" s="3"/>
    </row>
    <row r="4035" spans="1:13" ht="25.5" x14ac:dyDescent="0.25">
      <c r="A4035" s="46" t="s">
        <v>1183</v>
      </c>
      <c r="B4035" s="46" t="s">
        <v>38</v>
      </c>
      <c r="C4035" s="46" t="s">
        <v>14</v>
      </c>
      <c r="D4035" s="47">
        <v>850</v>
      </c>
      <c r="E4035" s="46" t="s">
        <v>1184</v>
      </c>
      <c r="F4035" s="48">
        <v>39083</v>
      </c>
      <c r="G4035" s="48">
        <v>39447</v>
      </c>
      <c r="H4035" s="46" t="s">
        <v>40</v>
      </c>
      <c r="I4035" s="45">
        <v>1128.9000000000001</v>
      </c>
      <c r="J4035" s="45">
        <v>1128.9000000000001</v>
      </c>
      <c r="K4035" s="49" t="s">
        <v>790</v>
      </c>
      <c r="L4035" s="45"/>
      <c r="M4035" s="3"/>
    </row>
    <row r="4036" spans="1:13" ht="25.5" x14ac:dyDescent="0.25">
      <c r="A4036" s="46" t="s">
        <v>1185</v>
      </c>
      <c r="B4036" s="46" t="s">
        <v>38</v>
      </c>
      <c r="C4036" s="46" t="s">
        <v>14</v>
      </c>
      <c r="D4036" s="47">
        <v>852</v>
      </c>
      <c r="E4036" s="46" t="s">
        <v>1186</v>
      </c>
      <c r="F4036" s="48">
        <v>39448</v>
      </c>
      <c r="G4036" s="48">
        <v>39813</v>
      </c>
      <c r="H4036" s="46" t="s">
        <v>40</v>
      </c>
      <c r="I4036" s="45">
        <v>3532.82</v>
      </c>
      <c r="J4036" s="45">
        <v>3532.82</v>
      </c>
      <c r="K4036" s="49" t="s">
        <v>790</v>
      </c>
      <c r="L4036" s="45"/>
      <c r="M4036" s="3"/>
    </row>
    <row r="4037" spans="1:13" ht="38.25" x14ac:dyDescent="0.25">
      <c r="A4037" s="46" t="s">
        <v>1187</v>
      </c>
      <c r="B4037" s="46" t="s">
        <v>38</v>
      </c>
      <c r="C4037" s="46" t="s">
        <v>14</v>
      </c>
      <c r="D4037" s="47">
        <v>853</v>
      </c>
      <c r="E4037" s="46" t="s">
        <v>1188</v>
      </c>
      <c r="F4037" s="48">
        <v>39448</v>
      </c>
      <c r="G4037" s="48">
        <v>39813</v>
      </c>
      <c r="H4037" s="46" t="s">
        <v>40</v>
      </c>
      <c r="I4037" s="45">
        <v>300</v>
      </c>
      <c r="J4037" s="45">
        <v>300</v>
      </c>
      <c r="K4037" s="49" t="s">
        <v>790</v>
      </c>
      <c r="L4037" s="45"/>
      <c r="M4037" s="3"/>
    </row>
    <row r="4038" spans="1:13" ht="25.5" x14ac:dyDescent="0.25">
      <c r="A4038" s="46" t="s">
        <v>1189</v>
      </c>
      <c r="B4038" s="46" t="s">
        <v>38</v>
      </c>
      <c r="C4038" s="46" t="s">
        <v>14</v>
      </c>
      <c r="D4038" s="47">
        <v>854</v>
      </c>
      <c r="E4038" s="46" t="s">
        <v>1190</v>
      </c>
      <c r="F4038" s="48">
        <v>39083</v>
      </c>
      <c r="G4038" s="48">
        <v>39447</v>
      </c>
      <c r="H4038" s="46" t="s">
        <v>40</v>
      </c>
      <c r="I4038" s="45">
        <v>2000</v>
      </c>
      <c r="J4038" s="45">
        <v>2000</v>
      </c>
      <c r="K4038" s="49" t="s">
        <v>790</v>
      </c>
      <c r="L4038" s="45"/>
      <c r="M4038" s="3"/>
    </row>
    <row r="4039" spans="1:13" ht="25.5" x14ac:dyDescent="0.25">
      <c r="A4039" s="46" t="s">
        <v>1191</v>
      </c>
      <c r="B4039" s="46" t="s">
        <v>38</v>
      </c>
      <c r="C4039" s="46" t="s">
        <v>14</v>
      </c>
      <c r="D4039" s="47">
        <v>856</v>
      </c>
      <c r="E4039" s="46" t="s">
        <v>1192</v>
      </c>
      <c r="F4039" s="48">
        <v>39083</v>
      </c>
      <c r="G4039" s="48">
        <v>39447</v>
      </c>
      <c r="H4039" s="46" t="s">
        <v>40</v>
      </c>
      <c r="I4039" s="45">
        <v>20820.400000000001</v>
      </c>
      <c r="J4039" s="45">
        <v>19620.400000000001</v>
      </c>
      <c r="K4039" s="49" t="s">
        <v>790</v>
      </c>
      <c r="L4039" s="45"/>
      <c r="M4039" s="3"/>
    </row>
    <row r="4040" spans="1:13" ht="51" x14ac:dyDescent="0.25">
      <c r="A4040" s="46" t="s">
        <v>1193</v>
      </c>
      <c r="B4040" s="46" t="s">
        <v>38</v>
      </c>
      <c r="C4040" s="46" t="s">
        <v>14</v>
      </c>
      <c r="D4040" s="47">
        <v>858</v>
      </c>
      <c r="E4040" s="50" t="s">
        <v>1194</v>
      </c>
      <c r="F4040" s="48">
        <v>39448</v>
      </c>
      <c r="G4040" s="48">
        <v>40178</v>
      </c>
      <c r="H4040" s="46" t="s">
        <v>40</v>
      </c>
      <c r="I4040" s="45">
        <v>28586.66</v>
      </c>
      <c r="J4040" s="45">
        <v>25256.66</v>
      </c>
      <c r="K4040" s="49" t="s">
        <v>790</v>
      </c>
      <c r="L4040" s="45"/>
      <c r="M4040" s="3"/>
    </row>
    <row r="4041" spans="1:13" ht="25.5" x14ac:dyDescent="0.25">
      <c r="A4041" s="46" t="s">
        <v>1195</v>
      </c>
      <c r="B4041" s="46" t="s">
        <v>38</v>
      </c>
      <c r="C4041" s="46" t="s">
        <v>14</v>
      </c>
      <c r="D4041" s="47">
        <v>860</v>
      </c>
      <c r="E4041" s="46" t="s">
        <v>1196</v>
      </c>
      <c r="F4041" s="48">
        <v>39083</v>
      </c>
      <c r="G4041" s="48">
        <v>39447</v>
      </c>
      <c r="H4041" s="46" t="s">
        <v>40</v>
      </c>
      <c r="I4041" s="45">
        <v>9562.66</v>
      </c>
      <c r="J4041" s="45">
        <v>8212.66</v>
      </c>
      <c r="K4041" s="49" t="s">
        <v>790</v>
      </c>
      <c r="L4041" s="45"/>
      <c r="M4041" s="3"/>
    </row>
    <row r="4042" spans="1:13" ht="25.5" x14ac:dyDescent="0.25">
      <c r="A4042" s="46" t="s">
        <v>1197</v>
      </c>
      <c r="B4042" s="46" t="s">
        <v>38</v>
      </c>
      <c r="C4042" s="46" t="s">
        <v>14</v>
      </c>
      <c r="D4042" s="47">
        <v>862</v>
      </c>
      <c r="E4042" s="46" t="s">
        <v>1198</v>
      </c>
      <c r="F4042" s="48">
        <v>39083</v>
      </c>
      <c r="G4042" s="48">
        <v>39447</v>
      </c>
      <c r="H4042" s="46" t="s">
        <v>40</v>
      </c>
      <c r="I4042" s="45">
        <v>2117.5</v>
      </c>
      <c r="J4042" s="45">
        <v>2117.5</v>
      </c>
      <c r="K4042" s="49" t="s">
        <v>790</v>
      </c>
      <c r="L4042" s="45"/>
      <c r="M4042" s="3"/>
    </row>
    <row r="4043" spans="1:13" ht="25.5" x14ac:dyDescent="0.25">
      <c r="A4043" s="46" t="s">
        <v>1207</v>
      </c>
      <c r="B4043" s="46" t="s">
        <v>38</v>
      </c>
      <c r="C4043" s="46" t="s">
        <v>14</v>
      </c>
      <c r="D4043" s="47">
        <v>3132</v>
      </c>
      <c r="E4043" s="46" t="s">
        <v>1208</v>
      </c>
      <c r="F4043" s="48">
        <v>39083</v>
      </c>
      <c r="G4043" s="48">
        <v>41639</v>
      </c>
      <c r="H4043" s="46" t="s">
        <v>40</v>
      </c>
      <c r="I4043" s="45">
        <v>15222.73</v>
      </c>
      <c r="J4043" s="45">
        <v>7862.66</v>
      </c>
      <c r="K4043" s="49" t="s">
        <v>790</v>
      </c>
      <c r="L4043" s="45"/>
      <c r="M4043" s="3"/>
    </row>
    <row r="4044" spans="1:13" ht="25.5" x14ac:dyDescent="0.25">
      <c r="A4044" s="46" t="s">
        <v>1210</v>
      </c>
      <c r="B4044" s="46" t="s">
        <v>38</v>
      </c>
      <c r="C4044" s="46" t="s">
        <v>14</v>
      </c>
      <c r="D4044" s="47">
        <v>3135</v>
      </c>
      <c r="E4044" s="46" t="s">
        <v>1211</v>
      </c>
      <c r="F4044" s="48">
        <v>39083</v>
      </c>
      <c r="G4044" s="48">
        <v>41639</v>
      </c>
      <c r="H4044" s="46" t="s">
        <v>40</v>
      </c>
      <c r="I4044" s="45">
        <v>118027.69</v>
      </c>
      <c r="J4044" s="45">
        <v>118027.69</v>
      </c>
      <c r="K4044" s="49" t="s">
        <v>790</v>
      </c>
      <c r="L4044" s="45"/>
      <c r="M4044" s="3"/>
    </row>
    <row r="4045" spans="1:13" ht="38.25" x14ac:dyDescent="0.25">
      <c r="A4045" s="46" t="s">
        <v>1212</v>
      </c>
      <c r="B4045" s="46" t="s">
        <v>38</v>
      </c>
      <c r="C4045" s="46" t="s">
        <v>14</v>
      </c>
      <c r="D4045" s="47">
        <v>3136</v>
      </c>
      <c r="E4045" s="46" t="s">
        <v>1213</v>
      </c>
      <c r="F4045" s="48">
        <v>39083</v>
      </c>
      <c r="G4045" s="48">
        <v>41639</v>
      </c>
      <c r="H4045" s="46" t="s">
        <v>40</v>
      </c>
      <c r="I4045" s="45">
        <v>69389.41</v>
      </c>
      <c r="J4045" s="45">
        <v>53057.21</v>
      </c>
      <c r="K4045" s="49" t="s">
        <v>790</v>
      </c>
      <c r="L4045" s="45"/>
      <c r="M4045" s="3"/>
    </row>
    <row r="4046" spans="1:13" ht="25.5" x14ac:dyDescent="0.25">
      <c r="A4046" s="46" t="s">
        <v>1214</v>
      </c>
      <c r="B4046" s="46" t="s">
        <v>38</v>
      </c>
      <c r="C4046" s="46" t="s">
        <v>14</v>
      </c>
      <c r="D4046" s="47">
        <v>3137</v>
      </c>
      <c r="E4046" s="46" t="s">
        <v>1215</v>
      </c>
      <c r="F4046" s="48">
        <v>39083</v>
      </c>
      <c r="G4046" s="48">
        <v>41274</v>
      </c>
      <c r="H4046" s="46" t="s">
        <v>40</v>
      </c>
      <c r="I4046" s="45">
        <f>189223.5+12700.25</f>
        <v>201923.75</v>
      </c>
      <c r="J4046" s="45">
        <f>148591.5+12700.25</f>
        <v>161291.75</v>
      </c>
      <c r="K4046" s="49" t="s">
        <v>790</v>
      </c>
      <c r="L4046" s="45"/>
      <c r="M4046" s="3"/>
    </row>
    <row r="4047" spans="1:13" ht="25.5" x14ac:dyDescent="0.25">
      <c r="A4047" s="46" t="s">
        <v>1216</v>
      </c>
      <c r="B4047" s="46" t="s">
        <v>38</v>
      </c>
      <c r="C4047" s="46" t="s">
        <v>14</v>
      </c>
      <c r="D4047" s="47">
        <v>3138</v>
      </c>
      <c r="E4047" s="46" t="s">
        <v>1217</v>
      </c>
      <c r="F4047" s="48">
        <v>39083</v>
      </c>
      <c r="G4047" s="48">
        <v>41639</v>
      </c>
      <c r="H4047" s="46" t="s">
        <v>40</v>
      </c>
      <c r="I4047" s="45">
        <v>133988</v>
      </c>
      <c r="J4047" s="45">
        <v>117488</v>
      </c>
      <c r="K4047" s="49" t="s">
        <v>790</v>
      </c>
      <c r="L4047" s="45"/>
      <c r="M4047" s="3"/>
    </row>
    <row r="4048" spans="1:13" ht="25.5" x14ac:dyDescent="0.25">
      <c r="A4048" s="46" t="s">
        <v>1218</v>
      </c>
      <c r="B4048" s="46" t="s">
        <v>38</v>
      </c>
      <c r="C4048" s="46" t="s">
        <v>14</v>
      </c>
      <c r="D4048" s="47">
        <v>3139</v>
      </c>
      <c r="E4048" s="46" t="s">
        <v>1219</v>
      </c>
      <c r="F4048" s="48">
        <v>39083</v>
      </c>
      <c r="G4048" s="48">
        <v>41639</v>
      </c>
      <c r="H4048" s="46" t="s">
        <v>40</v>
      </c>
      <c r="I4048" s="45">
        <v>21786.06</v>
      </c>
      <c r="J4048" s="45">
        <v>14322</v>
      </c>
      <c r="K4048" s="49" t="s">
        <v>790</v>
      </c>
      <c r="L4048" s="45"/>
      <c r="M4048" s="3"/>
    </row>
    <row r="4049" spans="1:13" ht="25.5" x14ac:dyDescent="0.25">
      <c r="A4049" s="46" t="s">
        <v>1222</v>
      </c>
      <c r="B4049" s="46" t="s">
        <v>38</v>
      </c>
      <c r="C4049" s="46" t="s">
        <v>14</v>
      </c>
      <c r="D4049" s="47">
        <v>3143</v>
      </c>
      <c r="E4049" s="46" t="s">
        <v>1223</v>
      </c>
      <c r="F4049" s="48">
        <v>39083</v>
      </c>
      <c r="G4049" s="48">
        <v>41274</v>
      </c>
      <c r="H4049" s="46" t="s">
        <v>40</v>
      </c>
      <c r="I4049" s="45">
        <f>289142.95+38424.03</f>
        <v>327566.98</v>
      </c>
      <c r="J4049" s="45">
        <f>288512.95+38424.03</f>
        <v>326936.98</v>
      </c>
      <c r="K4049" s="49" t="s">
        <v>790</v>
      </c>
      <c r="L4049" s="45"/>
      <c r="M4049" s="3"/>
    </row>
    <row r="4050" spans="1:13" ht="38.25" x14ac:dyDescent="0.25">
      <c r="A4050" s="46" t="s">
        <v>1224</v>
      </c>
      <c r="B4050" s="46" t="s">
        <v>38</v>
      </c>
      <c r="C4050" s="46" t="s">
        <v>14</v>
      </c>
      <c r="D4050" s="47">
        <v>3144</v>
      </c>
      <c r="E4050" s="46" t="s">
        <v>1225</v>
      </c>
      <c r="F4050" s="48">
        <v>39083</v>
      </c>
      <c r="G4050" s="48">
        <v>40909</v>
      </c>
      <c r="H4050" s="46" t="s">
        <v>40</v>
      </c>
      <c r="I4050" s="45">
        <f>311727.67+38435.88</f>
        <v>350163.55</v>
      </c>
      <c r="J4050" s="45">
        <f>209049.19+38435.88</f>
        <v>247485.07</v>
      </c>
      <c r="K4050" s="49" t="s">
        <v>790</v>
      </c>
      <c r="L4050" s="45"/>
      <c r="M4050" s="3"/>
    </row>
    <row r="4051" spans="1:13" ht="25.5" x14ac:dyDescent="0.25">
      <c r="A4051" s="46" t="s">
        <v>1226</v>
      </c>
      <c r="B4051" s="46" t="s">
        <v>38</v>
      </c>
      <c r="C4051" s="46" t="s">
        <v>14</v>
      </c>
      <c r="D4051" s="47">
        <v>3145</v>
      </c>
      <c r="E4051" s="46" t="s">
        <v>1227</v>
      </c>
      <c r="F4051" s="48">
        <v>39083</v>
      </c>
      <c r="G4051" s="48">
        <v>41274</v>
      </c>
      <c r="H4051" s="46" t="s">
        <v>40</v>
      </c>
      <c r="I4051" s="45">
        <f>209306.4+30449.71</f>
        <v>239756.11</v>
      </c>
      <c r="J4051" s="45">
        <f>143819.26+30449.71</f>
        <v>174268.97</v>
      </c>
      <c r="K4051" s="49" t="s">
        <v>790</v>
      </c>
      <c r="L4051" s="45"/>
      <c r="M4051" s="3"/>
    </row>
    <row r="4052" spans="1:13" ht="25.5" x14ac:dyDescent="0.25">
      <c r="A4052" s="46" t="s">
        <v>1228</v>
      </c>
      <c r="B4052" s="46" t="s">
        <v>38</v>
      </c>
      <c r="C4052" s="46" t="s">
        <v>14</v>
      </c>
      <c r="D4052" s="47">
        <v>3146</v>
      </c>
      <c r="E4052" s="46" t="s">
        <v>1229</v>
      </c>
      <c r="F4052" s="48">
        <v>39083</v>
      </c>
      <c r="G4052" s="48">
        <v>41274</v>
      </c>
      <c r="H4052" s="46" t="s">
        <v>40</v>
      </c>
      <c r="I4052" s="45">
        <f>44145.36+2085</f>
        <v>46230.36</v>
      </c>
      <c r="J4052" s="45">
        <f>27640.3+2085</f>
        <v>29725.3</v>
      </c>
      <c r="K4052" s="49" t="s">
        <v>790</v>
      </c>
      <c r="L4052" s="45"/>
      <c r="M4052" s="3"/>
    </row>
    <row r="4053" spans="1:13" ht="38.25" x14ac:dyDescent="0.25">
      <c r="A4053" s="46" t="s">
        <v>1230</v>
      </c>
      <c r="B4053" s="46" t="s">
        <v>38</v>
      </c>
      <c r="C4053" s="46" t="s">
        <v>14</v>
      </c>
      <c r="D4053" s="47">
        <v>3147</v>
      </c>
      <c r="E4053" s="46" t="s">
        <v>1231</v>
      </c>
      <c r="F4053" s="48">
        <v>39083</v>
      </c>
      <c r="G4053" s="48">
        <v>41639</v>
      </c>
      <c r="H4053" s="46" t="s">
        <v>40</v>
      </c>
      <c r="I4053" s="45">
        <f>83145.81+2500</f>
        <v>85645.81</v>
      </c>
      <c r="J4053" s="45">
        <f>70011.6+2500</f>
        <v>72511.600000000006</v>
      </c>
      <c r="K4053" s="49" t="s">
        <v>790</v>
      </c>
      <c r="L4053" s="45"/>
      <c r="M4053" s="3"/>
    </row>
    <row r="4054" spans="1:13" ht="25.5" x14ac:dyDescent="0.25">
      <c r="A4054" s="46" t="s">
        <v>1232</v>
      </c>
      <c r="B4054" s="46" t="s">
        <v>38</v>
      </c>
      <c r="C4054" s="46" t="s">
        <v>14</v>
      </c>
      <c r="D4054" s="47">
        <v>3148</v>
      </c>
      <c r="E4054" s="46" t="s">
        <v>1233</v>
      </c>
      <c r="F4054" s="48">
        <v>39083</v>
      </c>
      <c r="G4054" s="48">
        <v>41639</v>
      </c>
      <c r="H4054" s="46" t="s">
        <v>40</v>
      </c>
      <c r="I4054" s="45">
        <v>91358.720000000001</v>
      </c>
      <c r="J4054" s="45">
        <v>76165.98</v>
      </c>
      <c r="K4054" s="49" t="s">
        <v>790</v>
      </c>
      <c r="L4054" s="45"/>
      <c r="M4054" s="3"/>
    </row>
    <row r="4055" spans="1:13" ht="25.5" x14ac:dyDescent="0.25">
      <c r="A4055" s="46" t="s">
        <v>1236</v>
      </c>
      <c r="B4055" s="46" t="s">
        <v>38</v>
      </c>
      <c r="C4055" s="46" t="s">
        <v>14</v>
      </c>
      <c r="D4055" s="47">
        <v>3150</v>
      </c>
      <c r="E4055" s="46" t="s">
        <v>1237</v>
      </c>
      <c r="F4055" s="48">
        <v>39083</v>
      </c>
      <c r="G4055" s="48">
        <v>41274</v>
      </c>
      <c r="H4055" s="46" t="s">
        <v>40</v>
      </c>
      <c r="I4055" s="45">
        <v>178756.35</v>
      </c>
      <c r="J4055" s="45">
        <v>178756.35</v>
      </c>
      <c r="K4055" s="49" t="s">
        <v>790</v>
      </c>
      <c r="L4055" s="45"/>
      <c r="M4055" s="3"/>
    </row>
    <row r="4056" spans="1:13" ht="25.5" x14ac:dyDescent="0.25">
      <c r="A4056" s="46" t="s">
        <v>1238</v>
      </c>
      <c r="B4056" s="46" t="s">
        <v>38</v>
      </c>
      <c r="C4056" s="46" t="s">
        <v>14</v>
      </c>
      <c r="D4056" s="47">
        <v>3151</v>
      </c>
      <c r="E4056" s="46" t="s">
        <v>1239</v>
      </c>
      <c r="F4056" s="48">
        <v>39083</v>
      </c>
      <c r="G4056" s="48">
        <v>41639</v>
      </c>
      <c r="H4056" s="46" t="s">
        <v>40</v>
      </c>
      <c r="I4056" s="45">
        <v>67883.25</v>
      </c>
      <c r="J4056" s="45">
        <v>58981.24</v>
      </c>
      <c r="K4056" s="49" t="s">
        <v>790</v>
      </c>
      <c r="L4056" s="45"/>
      <c r="M4056" s="3"/>
    </row>
    <row r="4057" spans="1:13" ht="38.25" x14ac:dyDescent="0.25">
      <c r="A4057" s="46" t="s">
        <v>1240</v>
      </c>
      <c r="B4057" s="46" t="s">
        <v>38</v>
      </c>
      <c r="C4057" s="46" t="s">
        <v>14</v>
      </c>
      <c r="D4057" s="47">
        <v>3152</v>
      </c>
      <c r="E4057" s="46" t="s">
        <v>1241</v>
      </c>
      <c r="F4057" s="48">
        <v>39083</v>
      </c>
      <c r="G4057" s="48">
        <v>41639</v>
      </c>
      <c r="H4057" s="46" t="s">
        <v>40</v>
      </c>
      <c r="I4057" s="45">
        <v>234207.25</v>
      </c>
      <c r="J4057" s="45">
        <v>231640.97</v>
      </c>
      <c r="K4057" s="49" t="s">
        <v>790</v>
      </c>
      <c r="L4057" s="45"/>
      <c r="M4057" s="3"/>
    </row>
    <row r="4058" spans="1:13" ht="25.5" x14ac:dyDescent="0.25">
      <c r="A4058" s="46" t="s">
        <v>1248</v>
      </c>
      <c r="B4058" s="46" t="s">
        <v>38</v>
      </c>
      <c r="C4058" s="46" t="s">
        <v>14</v>
      </c>
      <c r="D4058" s="47">
        <v>3156</v>
      </c>
      <c r="E4058" s="46" t="s">
        <v>1249</v>
      </c>
      <c r="F4058" s="48">
        <v>39083</v>
      </c>
      <c r="G4058" s="48">
        <v>41274</v>
      </c>
      <c r="H4058" s="46" t="s">
        <v>40</v>
      </c>
      <c r="I4058" s="45">
        <f>120330.3+44953.89</f>
        <v>165284.19</v>
      </c>
      <c r="J4058" s="45">
        <f>119871.16+44953.89</f>
        <v>164825.04999999999</v>
      </c>
      <c r="K4058" s="49" t="s">
        <v>790</v>
      </c>
      <c r="L4058" s="45"/>
      <c r="M4058" s="3"/>
    </row>
    <row r="4059" spans="1:13" ht="25.5" x14ac:dyDescent="0.25">
      <c r="A4059" s="46" t="s">
        <v>1250</v>
      </c>
      <c r="B4059" s="46" t="s">
        <v>38</v>
      </c>
      <c r="C4059" s="46" t="s">
        <v>14</v>
      </c>
      <c r="D4059" s="47">
        <v>3157</v>
      </c>
      <c r="E4059" s="46" t="s">
        <v>1251</v>
      </c>
      <c r="F4059" s="48">
        <v>39083</v>
      </c>
      <c r="G4059" s="48">
        <v>41639</v>
      </c>
      <c r="H4059" s="46" t="s">
        <v>40</v>
      </c>
      <c r="I4059" s="45">
        <v>54748.66</v>
      </c>
      <c r="J4059" s="45">
        <v>24439.09</v>
      </c>
      <c r="K4059" s="49" t="s">
        <v>790</v>
      </c>
      <c r="L4059" s="45"/>
      <c r="M4059" s="3"/>
    </row>
    <row r="4060" spans="1:13" ht="25.5" x14ac:dyDescent="0.25">
      <c r="A4060" s="46" t="s">
        <v>1263</v>
      </c>
      <c r="B4060" s="46" t="s">
        <v>38</v>
      </c>
      <c r="C4060" s="46" t="s">
        <v>14</v>
      </c>
      <c r="D4060" s="47">
        <v>3385</v>
      </c>
      <c r="E4060" s="46" t="s">
        <v>1264</v>
      </c>
      <c r="F4060" s="48">
        <v>39083</v>
      </c>
      <c r="G4060" s="48">
        <v>39447</v>
      </c>
      <c r="H4060" s="46" t="s">
        <v>40</v>
      </c>
      <c r="I4060" s="45">
        <v>4972.24</v>
      </c>
      <c r="J4060" s="45">
        <v>4972.24</v>
      </c>
      <c r="K4060" s="49" t="s">
        <v>790</v>
      </c>
      <c r="L4060" s="45"/>
      <c r="M4060" s="3"/>
    </row>
    <row r="4061" spans="1:13" ht="51" x14ac:dyDescent="0.25">
      <c r="A4061" s="46" t="s">
        <v>1265</v>
      </c>
      <c r="B4061" s="46" t="s">
        <v>38</v>
      </c>
      <c r="C4061" s="46" t="s">
        <v>14</v>
      </c>
      <c r="D4061" s="47">
        <v>3386</v>
      </c>
      <c r="E4061" s="50" t="s">
        <v>1266</v>
      </c>
      <c r="F4061" s="48">
        <v>39448</v>
      </c>
      <c r="G4061" s="48">
        <v>39813</v>
      </c>
      <c r="H4061" s="46" t="s">
        <v>40</v>
      </c>
      <c r="I4061" s="45">
        <v>294.02999999999997</v>
      </c>
      <c r="J4061" s="45">
        <v>294.02999999999997</v>
      </c>
      <c r="K4061" s="49" t="s">
        <v>790</v>
      </c>
      <c r="L4061" s="45"/>
      <c r="M4061" s="3"/>
    </row>
    <row r="4062" spans="1:13" ht="25.5" x14ac:dyDescent="0.25">
      <c r="A4062" s="46" t="s">
        <v>1267</v>
      </c>
      <c r="B4062" s="46" t="s">
        <v>38</v>
      </c>
      <c r="C4062" s="46" t="s">
        <v>14</v>
      </c>
      <c r="D4062" s="47">
        <v>3387</v>
      </c>
      <c r="E4062" s="46" t="s">
        <v>1268</v>
      </c>
      <c r="F4062" s="48">
        <v>39083</v>
      </c>
      <c r="G4062" s="48">
        <v>39813</v>
      </c>
      <c r="H4062" s="46" t="s">
        <v>40</v>
      </c>
      <c r="I4062" s="45">
        <v>800</v>
      </c>
      <c r="J4062" s="45">
        <v>800</v>
      </c>
      <c r="K4062" s="49" t="s">
        <v>790</v>
      </c>
      <c r="L4062" s="45"/>
      <c r="M4062" s="3"/>
    </row>
    <row r="4063" spans="1:13" ht="25.5" x14ac:dyDescent="0.25">
      <c r="A4063" s="46" t="s">
        <v>1269</v>
      </c>
      <c r="B4063" s="46" t="s">
        <v>38</v>
      </c>
      <c r="C4063" s="46" t="s">
        <v>14</v>
      </c>
      <c r="D4063" s="47">
        <v>3388</v>
      </c>
      <c r="E4063" s="46" t="s">
        <v>1270</v>
      </c>
      <c r="F4063" s="48">
        <v>39083</v>
      </c>
      <c r="G4063" s="48">
        <v>41639</v>
      </c>
      <c r="H4063" s="46" t="s">
        <v>40</v>
      </c>
      <c r="I4063" s="45">
        <f>374097.48+48308</f>
        <v>422405.48</v>
      </c>
      <c r="J4063" s="45">
        <f>325789.48+48308</f>
        <v>374097.48</v>
      </c>
      <c r="K4063" s="49" t="s">
        <v>790</v>
      </c>
      <c r="L4063" s="45"/>
      <c r="M4063" s="3"/>
    </row>
    <row r="4064" spans="1:13" ht="25.5" x14ac:dyDescent="0.25">
      <c r="A4064" s="46" t="s">
        <v>1285</v>
      </c>
      <c r="B4064" s="46" t="s">
        <v>38</v>
      </c>
      <c r="C4064" s="46" t="s">
        <v>14</v>
      </c>
      <c r="D4064" s="47">
        <v>4709</v>
      </c>
      <c r="E4064" s="46" t="s">
        <v>1286</v>
      </c>
      <c r="F4064" s="48">
        <v>39814</v>
      </c>
      <c r="G4064" s="48">
        <v>40178</v>
      </c>
      <c r="H4064" s="46" t="s">
        <v>40</v>
      </c>
      <c r="I4064" s="45">
        <v>2875.17</v>
      </c>
      <c r="J4064" s="45">
        <v>2875.17</v>
      </c>
      <c r="K4064" s="49" t="s">
        <v>790</v>
      </c>
      <c r="L4064" s="45"/>
      <c r="M4064" s="3"/>
    </row>
    <row r="4065" spans="1:13" ht="25.5" x14ac:dyDescent="0.25">
      <c r="A4065" s="46" t="s">
        <v>1287</v>
      </c>
      <c r="B4065" s="46" t="s">
        <v>38</v>
      </c>
      <c r="C4065" s="46" t="s">
        <v>14</v>
      </c>
      <c r="D4065" s="47">
        <v>4711</v>
      </c>
      <c r="E4065" s="46" t="s">
        <v>1288</v>
      </c>
      <c r="F4065" s="48">
        <v>39814</v>
      </c>
      <c r="G4065" s="48">
        <v>40178</v>
      </c>
      <c r="H4065" s="46" t="s">
        <v>40</v>
      </c>
      <c r="I4065" s="45">
        <v>12324.29</v>
      </c>
      <c r="J4065" s="45">
        <v>9144.2900000000009</v>
      </c>
      <c r="K4065" s="49" t="s">
        <v>790</v>
      </c>
      <c r="L4065" s="45"/>
      <c r="M4065" s="3"/>
    </row>
    <row r="4066" spans="1:13" ht="25.5" x14ac:dyDescent="0.25">
      <c r="A4066" s="46" t="s">
        <v>1289</v>
      </c>
      <c r="B4066" s="46" t="s">
        <v>38</v>
      </c>
      <c r="C4066" s="46" t="s">
        <v>14</v>
      </c>
      <c r="D4066" s="47">
        <v>4731</v>
      </c>
      <c r="E4066" s="46" t="s">
        <v>1290</v>
      </c>
      <c r="F4066" s="48">
        <v>39701</v>
      </c>
      <c r="G4066" s="48">
        <v>39706</v>
      </c>
      <c r="H4066" s="46" t="s">
        <v>40</v>
      </c>
      <c r="I4066" s="45">
        <v>3295</v>
      </c>
      <c r="J4066" s="45">
        <v>3295</v>
      </c>
      <c r="K4066" s="49" t="s">
        <v>790</v>
      </c>
      <c r="L4066" s="45"/>
      <c r="M4066" s="3"/>
    </row>
    <row r="4067" spans="1:13" ht="25.5" x14ac:dyDescent="0.25">
      <c r="A4067" s="46" t="s">
        <v>1291</v>
      </c>
      <c r="B4067" s="46" t="s">
        <v>38</v>
      </c>
      <c r="C4067" s="46" t="s">
        <v>14</v>
      </c>
      <c r="D4067" s="47">
        <v>4735</v>
      </c>
      <c r="E4067" s="46" t="s">
        <v>1292</v>
      </c>
      <c r="F4067" s="48">
        <v>39995</v>
      </c>
      <c r="G4067" s="48">
        <v>40359</v>
      </c>
      <c r="H4067" s="46" t="s">
        <v>40</v>
      </c>
      <c r="I4067" s="45">
        <v>16119.68</v>
      </c>
      <c r="J4067" s="45">
        <v>16119.68</v>
      </c>
      <c r="K4067" s="49" t="s">
        <v>790</v>
      </c>
      <c r="L4067" s="45"/>
      <c r="M4067" s="3"/>
    </row>
    <row r="4068" spans="1:13" ht="25.5" x14ac:dyDescent="0.25">
      <c r="A4068" s="46" t="s">
        <v>1293</v>
      </c>
      <c r="B4068" s="46" t="s">
        <v>38</v>
      </c>
      <c r="C4068" s="46" t="s">
        <v>14</v>
      </c>
      <c r="D4068" s="47">
        <v>4738</v>
      </c>
      <c r="E4068" s="46" t="s">
        <v>1294</v>
      </c>
      <c r="F4068" s="48">
        <v>39814</v>
      </c>
      <c r="G4068" s="48">
        <v>40178</v>
      </c>
      <c r="H4068" s="46" t="s">
        <v>40</v>
      </c>
      <c r="I4068" s="45">
        <v>14712.68</v>
      </c>
      <c r="J4068" s="45">
        <v>12712.68</v>
      </c>
      <c r="K4068" s="49" t="s">
        <v>790</v>
      </c>
      <c r="L4068" s="45"/>
      <c r="M4068" s="3"/>
    </row>
    <row r="4069" spans="1:13" ht="38.25" x14ac:dyDescent="0.25">
      <c r="A4069" s="46" t="s">
        <v>1295</v>
      </c>
      <c r="B4069" s="46" t="s">
        <v>38</v>
      </c>
      <c r="C4069" s="46" t="s">
        <v>14</v>
      </c>
      <c r="D4069" s="47">
        <v>4740</v>
      </c>
      <c r="E4069" s="46" t="s">
        <v>1296</v>
      </c>
      <c r="F4069" s="48">
        <v>39814</v>
      </c>
      <c r="G4069" s="48">
        <v>40178</v>
      </c>
      <c r="H4069" s="46" t="s">
        <v>40</v>
      </c>
      <c r="I4069" s="45">
        <v>5000</v>
      </c>
      <c r="J4069" s="45">
        <v>5000</v>
      </c>
      <c r="K4069" s="49" t="s">
        <v>790</v>
      </c>
      <c r="L4069" s="45"/>
      <c r="M4069" s="3"/>
    </row>
    <row r="4070" spans="1:13" ht="76.5" x14ac:dyDescent="0.25">
      <c r="A4070" s="46" t="s">
        <v>1297</v>
      </c>
      <c r="B4070" s="46" t="s">
        <v>38</v>
      </c>
      <c r="C4070" s="46" t="s">
        <v>14</v>
      </c>
      <c r="D4070" s="47">
        <v>4769</v>
      </c>
      <c r="E4070" s="50" t="s">
        <v>1298</v>
      </c>
      <c r="F4070" s="48">
        <v>39814</v>
      </c>
      <c r="G4070" s="48">
        <v>40178</v>
      </c>
      <c r="H4070" s="46" t="s">
        <v>40</v>
      </c>
      <c r="I4070" s="45">
        <v>4625</v>
      </c>
      <c r="J4070" s="45">
        <v>4625</v>
      </c>
      <c r="K4070" s="49" t="s">
        <v>790</v>
      </c>
      <c r="L4070" s="45"/>
      <c r="M4070" s="3"/>
    </row>
    <row r="4071" spans="1:13" ht="25.5" x14ac:dyDescent="0.25">
      <c r="A4071" s="46" t="s">
        <v>1299</v>
      </c>
      <c r="B4071" s="46" t="s">
        <v>38</v>
      </c>
      <c r="C4071" s="46" t="s">
        <v>14</v>
      </c>
      <c r="D4071" s="47">
        <v>4770</v>
      </c>
      <c r="E4071" s="46" t="s">
        <v>1300</v>
      </c>
      <c r="F4071" s="48">
        <v>39814</v>
      </c>
      <c r="G4071" s="48">
        <v>40178</v>
      </c>
      <c r="H4071" s="46" t="s">
        <v>40</v>
      </c>
      <c r="I4071" s="45">
        <v>12653.76</v>
      </c>
      <c r="J4071" s="45">
        <v>12653.76</v>
      </c>
      <c r="K4071" s="49" t="s">
        <v>790</v>
      </c>
      <c r="L4071" s="45"/>
      <c r="M4071" s="3"/>
    </row>
    <row r="4072" spans="1:13" ht="25.5" x14ac:dyDescent="0.25">
      <c r="A4072" s="46" t="s">
        <v>1301</v>
      </c>
      <c r="B4072" s="46" t="s">
        <v>38</v>
      </c>
      <c r="C4072" s="46" t="s">
        <v>14</v>
      </c>
      <c r="D4072" s="47">
        <v>4771</v>
      </c>
      <c r="E4072" s="46" t="s">
        <v>1302</v>
      </c>
      <c r="F4072" s="48">
        <v>39814</v>
      </c>
      <c r="G4072" s="48">
        <v>40178</v>
      </c>
      <c r="H4072" s="46" t="s">
        <v>40</v>
      </c>
      <c r="I4072" s="45">
        <v>12591.21</v>
      </c>
      <c r="J4072" s="45">
        <v>4197.07</v>
      </c>
      <c r="K4072" s="49" t="s">
        <v>790</v>
      </c>
      <c r="L4072" s="45"/>
      <c r="M4072" s="3"/>
    </row>
    <row r="4073" spans="1:13" ht="25.5" x14ac:dyDescent="0.25">
      <c r="A4073" s="46" t="s">
        <v>1303</v>
      </c>
      <c r="B4073" s="46" t="s">
        <v>38</v>
      </c>
      <c r="C4073" s="46" t="s">
        <v>14</v>
      </c>
      <c r="D4073" s="47">
        <v>4773</v>
      </c>
      <c r="E4073" s="46" t="s">
        <v>1304</v>
      </c>
      <c r="F4073" s="48">
        <v>39814</v>
      </c>
      <c r="G4073" s="48">
        <v>40178</v>
      </c>
      <c r="H4073" s="46" t="s">
        <v>40</v>
      </c>
      <c r="I4073" s="45">
        <v>318.74</v>
      </c>
      <c r="J4073" s="45">
        <v>318.74</v>
      </c>
      <c r="K4073" s="49" t="s">
        <v>790</v>
      </c>
      <c r="L4073" s="45"/>
      <c r="M4073" s="3"/>
    </row>
    <row r="4074" spans="1:13" ht="38.25" x14ac:dyDescent="0.25">
      <c r="A4074" s="46" t="s">
        <v>1305</v>
      </c>
      <c r="B4074" s="46" t="s">
        <v>38</v>
      </c>
      <c r="C4074" s="46" t="s">
        <v>14</v>
      </c>
      <c r="D4074" s="47">
        <v>4774</v>
      </c>
      <c r="E4074" s="46" t="s">
        <v>1306</v>
      </c>
      <c r="F4074" s="48">
        <v>39814</v>
      </c>
      <c r="G4074" s="48">
        <v>40178</v>
      </c>
      <c r="H4074" s="46" t="s">
        <v>40</v>
      </c>
      <c r="I4074" s="45">
        <v>1006.08</v>
      </c>
      <c r="J4074" s="45">
        <v>946.08</v>
      </c>
      <c r="K4074" s="49" t="s">
        <v>790</v>
      </c>
      <c r="L4074" s="45"/>
      <c r="M4074" s="3"/>
    </row>
    <row r="4075" spans="1:13" ht="25.5" x14ac:dyDescent="0.25">
      <c r="A4075" s="46" t="s">
        <v>1307</v>
      </c>
      <c r="B4075" s="46" t="s">
        <v>38</v>
      </c>
      <c r="C4075" s="46" t="s">
        <v>14</v>
      </c>
      <c r="D4075" s="47">
        <v>4776</v>
      </c>
      <c r="E4075" s="46" t="s">
        <v>1308</v>
      </c>
      <c r="F4075" s="48">
        <v>39814</v>
      </c>
      <c r="G4075" s="48">
        <v>40178</v>
      </c>
      <c r="H4075" s="46" t="s">
        <v>40</v>
      </c>
      <c r="I4075" s="45">
        <v>10165.74</v>
      </c>
      <c r="J4075" s="45">
        <v>8255.74</v>
      </c>
      <c r="K4075" s="49" t="s">
        <v>790</v>
      </c>
      <c r="L4075" s="45"/>
      <c r="M4075" s="3"/>
    </row>
    <row r="4076" spans="1:13" ht="38.25" x14ac:dyDescent="0.25">
      <c r="A4076" s="46" t="s">
        <v>1309</v>
      </c>
      <c r="B4076" s="46" t="s">
        <v>38</v>
      </c>
      <c r="C4076" s="46" t="s">
        <v>14</v>
      </c>
      <c r="D4076" s="47">
        <v>4778</v>
      </c>
      <c r="E4076" s="46" t="s">
        <v>1310</v>
      </c>
      <c r="F4076" s="48">
        <v>39814</v>
      </c>
      <c r="G4076" s="48">
        <v>40178</v>
      </c>
      <c r="H4076" s="46" t="s">
        <v>40</v>
      </c>
      <c r="I4076" s="45">
        <v>1250</v>
      </c>
      <c r="J4076" s="45">
        <v>1250</v>
      </c>
      <c r="K4076" s="49" t="s">
        <v>790</v>
      </c>
      <c r="L4076" s="45"/>
      <c r="M4076" s="3"/>
    </row>
    <row r="4077" spans="1:13" ht="25.5" x14ac:dyDescent="0.25">
      <c r="A4077" s="46" t="s">
        <v>1311</v>
      </c>
      <c r="B4077" s="46" t="s">
        <v>38</v>
      </c>
      <c r="C4077" s="46" t="s">
        <v>14</v>
      </c>
      <c r="D4077" s="47">
        <v>4779</v>
      </c>
      <c r="E4077" s="46" t="s">
        <v>1312</v>
      </c>
      <c r="F4077" s="48">
        <v>39814</v>
      </c>
      <c r="G4077" s="48">
        <v>40178</v>
      </c>
      <c r="H4077" s="46" t="s">
        <v>40</v>
      </c>
      <c r="I4077" s="45">
        <v>226.38</v>
      </c>
      <c r="J4077" s="45">
        <v>226.38</v>
      </c>
      <c r="K4077" s="49" t="s">
        <v>790</v>
      </c>
      <c r="L4077" s="45"/>
      <c r="M4077" s="3"/>
    </row>
    <row r="4078" spans="1:13" ht="25.5" x14ac:dyDescent="0.25">
      <c r="A4078" s="46" t="s">
        <v>1313</v>
      </c>
      <c r="B4078" s="46" t="s">
        <v>38</v>
      </c>
      <c r="C4078" s="46" t="s">
        <v>14</v>
      </c>
      <c r="D4078" s="47">
        <v>4780</v>
      </c>
      <c r="E4078" s="46" t="s">
        <v>1314</v>
      </c>
      <c r="F4078" s="48">
        <v>39814</v>
      </c>
      <c r="G4078" s="48">
        <v>40178</v>
      </c>
      <c r="H4078" s="46" t="s">
        <v>40</v>
      </c>
      <c r="I4078" s="45">
        <v>2385.86</v>
      </c>
      <c r="J4078" s="45">
        <v>2385.86</v>
      </c>
      <c r="K4078" s="49" t="s">
        <v>790</v>
      </c>
      <c r="L4078" s="45"/>
      <c r="M4078" s="3"/>
    </row>
    <row r="4079" spans="1:13" ht="25.5" x14ac:dyDescent="0.25">
      <c r="A4079" s="46" t="s">
        <v>1315</v>
      </c>
      <c r="B4079" s="46" t="s">
        <v>38</v>
      </c>
      <c r="C4079" s="46" t="s">
        <v>14</v>
      </c>
      <c r="D4079" s="47">
        <v>4781</v>
      </c>
      <c r="E4079" s="46" t="s">
        <v>1316</v>
      </c>
      <c r="F4079" s="48">
        <v>40148</v>
      </c>
      <c r="G4079" s="48">
        <v>40178</v>
      </c>
      <c r="H4079" s="46" t="s">
        <v>40</v>
      </c>
      <c r="I4079" s="45">
        <v>2208.4</v>
      </c>
      <c r="J4079" s="45">
        <v>2208.4</v>
      </c>
      <c r="K4079" s="49" t="s">
        <v>790</v>
      </c>
      <c r="L4079" s="45"/>
      <c r="M4079" s="3"/>
    </row>
    <row r="4080" spans="1:13" ht="25.5" x14ac:dyDescent="0.25">
      <c r="A4080" s="46" t="s">
        <v>1317</v>
      </c>
      <c r="B4080" s="46" t="s">
        <v>38</v>
      </c>
      <c r="C4080" s="46" t="s">
        <v>14</v>
      </c>
      <c r="D4080" s="47">
        <v>4785</v>
      </c>
      <c r="E4080" s="46" t="s">
        <v>1318</v>
      </c>
      <c r="F4080" s="48">
        <v>39814</v>
      </c>
      <c r="G4080" s="48">
        <v>40178</v>
      </c>
      <c r="H4080" s="46" t="s">
        <v>40</v>
      </c>
      <c r="I4080" s="45">
        <v>11283.03</v>
      </c>
      <c r="J4080" s="45">
        <v>10263.030000000001</v>
      </c>
      <c r="K4080" s="49" t="s">
        <v>790</v>
      </c>
      <c r="L4080" s="45"/>
      <c r="M4080" s="3"/>
    </row>
    <row r="4081" spans="1:13" ht="25.5" x14ac:dyDescent="0.25">
      <c r="A4081" s="46" t="s">
        <v>1319</v>
      </c>
      <c r="B4081" s="46" t="s">
        <v>38</v>
      </c>
      <c r="C4081" s="46" t="s">
        <v>14</v>
      </c>
      <c r="D4081" s="47">
        <v>4786</v>
      </c>
      <c r="E4081" s="46" t="s">
        <v>1320</v>
      </c>
      <c r="F4081" s="48">
        <v>39814</v>
      </c>
      <c r="G4081" s="48">
        <v>40178</v>
      </c>
      <c r="H4081" s="46" t="s">
        <v>40</v>
      </c>
      <c r="I4081" s="45">
        <v>2898.59</v>
      </c>
      <c r="J4081" s="45">
        <v>2298.59</v>
      </c>
      <c r="K4081" s="49" t="s">
        <v>790</v>
      </c>
      <c r="L4081" s="45"/>
      <c r="M4081" s="3"/>
    </row>
    <row r="4082" spans="1:13" ht="25.5" x14ac:dyDescent="0.25">
      <c r="A4082" s="46" t="s">
        <v>1321</v>
      </c>
      <c r="B4082" s="46" t="s">
        <v>38</v>
      </c>
      <c r="C4082" s="46" t="s">
        <v>14</v>
      </c>
      <c r="D4082" s="47">
        <v>4787</v>
      </c>
      <c r="E4082" s="46" t="s">
        <v>1322</v>
      </c>
      <c r="F4082" s="48">
        <v>39814</v>
      </c>
      <c r="G4082" s="48">
        <v>40178</v>
      </c>
      <c r="H4082" s="46" t="s">
        <v>40</v>
      </c>
      <c r="I4082" s="45">
        <v>2209.67</v>
      </c>
      <c r="J4082" s="45">
        <v>1569.67</v>
      </c>
      <c r="K4082" s="49" t="s">
        <v>790</v>
      </c>
      <c r="L4082" s="45"/>
      <c r="M4082" s="3"/>
    </row>
    <row r="4083" spans="1:13" ht="25.5" x14ac:dyDescent="0.25">
      <c r="A4083" s="46" t="s">
        <v>1323</v>
      </c>
      <c r="B4083" s="46" t="s">
        <v>38</v>
      </c>
      <c r="C4083" s="46" t="s">
        <v>14</v>
      </c>
      <c r="D4083" s="47">
        <v>4789</v>
      </c>
      <c r="E4083" s="46" t="s">
        <v>1324</v>
      </c>
      <c r="F4083" s="48">
        <v>39814</v>
      </c>
      <c r="G4083" s="48">
        <v>40178</v>
      </c>
      <c r="H4083" s="46" t="s">
        <v>40</v>
      </c>
      <c r="I4083" s="45">
        <v>5914.25</v>
      </c>
      <c r="J4083" s="45">
        <v>4364.25</v>
      </c>
      <c r="K4083" s="49" t="s">
        <v>790</v>
      </c>
      <c r="L4083" s="45"/>
      <c r="M4083" s="3"/>
    </row>
    <row r="4084" spans="1:13" ht="25.5" x14ac:dyDescent="0.25">
      <c r="A4084" s="46" t="s">
        <v>1325</v>
      </c>
      <c r="B4084" s="46" t="s">
        <v>38</v>
      </c>
      <c r="C4084" s="46" t="s">
        <v>14</v>
      </c>
      <c r="D4084" s="47">
        <v>4791</v>
      </c>
      <c r="E4084" s="46" t="s">
        <v>1326</v>
      </c>
      <c r="F4084" s="48">
        <v>39814</v>
      </c>
      <c r="G4084" s="48">
        <v>40178</v>
      </c>
      <c r="H4084" s="46" t="s">
        <v>40</v>
      </c>
      <c r="I4084" s="45">
        <v>3678.47</v>
      </c>
      <c r="J4084" s="45">
        <v>2778.47</v>
      </c>
      <c r="K4084" s="49" t="s">
        <v>790</v>
      </c>
      <c r="L4084" s="45"/>
      <c r="M4084" s="3"/>
    </row>
    <row r="4085" spans="1:13" ht="25.5" x14ac:dyDescent="0.25">
      <c r="A4085" s="46" t="s">
        <v>1327</v>
      </c>
      <c r="B4085" s="46" t="s">
        <v>38</v>
      </c>
      <c r="C4085" s="46" t="s">
        <v>14</v>
      </c>
      <c r="D4085" s="47">
        <v>4792</v>
      </c>
      <c r="E4085" s="46" t="s">
        <v>1125</v>
      </c>
      <c r="F4085" s="48">
        <v>39814</v>
      </c>
      <c r="G4085" s="48">
        <v>40178</v>
      </c>
      <c r="H4085" s="46" t="s">
        <v>40</v>
      </c>
      <c r="I4085" s="45">
        <v>20156.09</v>
      </c>
      <c r="J4085" s="45">
        <v>20156.09</v>
      </c>
      <c r="K4085" s="49" t="s">
        <v>790</v>
      </c>
      <c r="L4085" s="45"/>
      <c r="M4085" s="3"/>
    </row>
    <row r="4086" spans="1:13" ht="51" x14ac:dyDescent="0.25">
      <c r="A4086" s="46" t="s">
        <v>1328</v>
      </c>
      <c r="B4086" s="46" t="s">
        <v>38</v>
      </c>
      <c r="C4086" s="46" t="s">
        <v>14</v>
      </c>
      <c r="D4086" s="47">
        <v>4793</v>
      </c>
      <c r="E4086" s="50" t="s">
        <v>1194</v>
      </c>
      <c r="F4086" s="48">
        <v>39814</v>
      </c>
      <c r="G4086" s="48">
        <v>40543</v>
      </c>
      <c r="H4086" s="46" t="s">
        <v>40</v>
      </c>
      <c r="I4086" s="45">
        <v>24963.08</v>
      </c>
      <c r="J4086" s="45">
        <v>22038.080000000002</v>
      </c>
      <c r="K4086" s="49" t="s">
        <v>790</v>
      </c>
      <c r="L4086" s="45"/>
      <c r="M4086" s="3"/>
    </row>
    <row r="4087" spans="1:13" ht="25.5" x14ac:dyDescent="0.25">
      <c r="A4087" s="46" t="s">
        <v>1329</v>
      </c>
      <c r="B4087" s="46" t="s">
        <v>38</v>
      </c>
      <c r="C4087" s="46" t="s">
        <v>14</v>
      </c>
      <c r="D4087" s="47">
        <v>4794</v>
      </c>
      <c r="E4087" s="46" t="s">
        <v>1330</v>
      </c>
      <c r="F4087" s="48">
        <v>39814</v>
      </c>
      <c r="G4087" s="48">
        <v>40178</v>
      </c>
      <c r="H4087" s="46" t="s">
        <v>40</v>
      </c>
      <c r="I4087" s="45">
        <v>1890.89</v>
      </c>
      <c r="J4087" s="45">
        <v>666.49</v>
      </c>
      <c r="K4087" s="49" t="s">
        <v>790</v>
      </c>
      <c r="L4087" s="45"/>
      <c r="M4087" s="3"/>
    </row>
    <row r="4088" spans="1:13" ht="25.5" x14ac:dyDescent="0.25">
      <c r="A4088" s="46" t="s">
        <v>1331</v>
      </c>
      <c r="B4088" s="46" t="s">
        <v>38</v>
      </c>
      <c r="C4088" s="46" t="s">
        <v>14</v>
      </c>
      <c r="D4088" s="47">
        <v>4795</v>
      </c>
      <c r="E4088" s="46" t="s">
        <v>1332</v>
      </c>
      <c r="F4088" s="48">
        <v>39814</v>
      </c>
      <c r="G4088" s="48">
        <v>40543</v>
      </c>
      <c r="H4088" s="46" t="s">
        <v>40</v>
      </c>
      <c r="I4088" s="45">
        <v>13860</v>
      </c>
      <c r="J4088" s="45">
        <v>13860</v>
      </c>
      <c r="K4088" s="49" t="s">
        <v>790</v>
      </c>
      <c r="L4088" s="45"/>
      <c r="M4088" s="3"/>
    </row>
    <row r="4089" spans="1:13" ht="25.5" x14ac:dyDescent="0.25">
      <c r="A4089" s="46" t="s">
        <v>1333</v>
      </c>
      <c r="B4089" s="46" t="s">
        <v>38</v>
      </c>
      <c r="C4089" s="46" t="s">
        <v>14</v>
      </c>
      <c r="D4089" s="47">
        <v>4823</v>
      </c>
      <c r="E4089" s="46" t="s">
        <v>1334</v>
      </c>
      <c r="F4089" s="48">
        <v>39814</v>
      </c>
      <c r="G4089" s="48">
        <v>40178</v>
      </c>
      <c r="H4089" s="46" t="s">
        <v>40</v>
      </c>
      <c r="I4089" s="45">
        <v>1986.8</v>
      </c>
      <c r="J4089" s="45">
        <v>1206.8</v>
      </c>
      <c r="K4089" s="49" t="s">
        <v>790</v>
      </c>
      <c r="L4089" s="45"/>
      <c r="M4089" s="3"/>
    </row>
    <row r="4090" spans="1:13" ht="38.25" x14ac:dyDescent="0.25">
      <c r="A4090" s="46" t="s">
        <v>1335</v>
      </c>
      <c r="B4090" s="46" t="s">
        <v>38</v>
      </c>
      <c r="C4090" s="46" t="s">
        <v>14</v>
      </c>
      <c r="D4090" s="47">
        <v>4829</v>
      </c>
      <c r="E4090" s="46" t="s">
        <v>1336</v>
      </c>
      <c r="F4090" s="48">
        <v>39814</v>
      </c>
      <c r="G4090" s="48">
        <v>40178</v>
      </c>
      <c r="H4090" s="46" t="s">
        <v>40</v>
      </c>
      <c r="I4090" s="45">
        <v>3282.35</v>
      </c>
      <c r="J4090" s="45">
        <v>3282.35</v>
      </c>
      <c r="K4090" s="49" t="s">
        <v>790</v>
      </c>
      <c r="L4090" s="45"/>
      <c r="M4090" s="3"/>
    </row>
    <row r="4091" spans="1:13" ht="25.5" x14ac:dyDescent="0.25">
      <c r="A4091" s="46" t="s">
        <v>1337</v>
      </c>
      <c r="B4091" s="46" t="s">
        <v>38</v>
      </c>
      <c r="C4091" s="46" t="s">
        <v>14</v>
      </c>
      <c r="D4091" s="47">
        <v>4830</v>
      </c>
      <c r="E4091" s="46" t="s">
        <v>1338</v>
      </c>
      <c r="F4091" s="48">
        <v>39814</v>
      </c>
      <c r="G4091" s="48">
        <v>40178</v>
      </c>
      <c r="H4091" s="46" t="s">
        <v>40</v>
      </c>
      <c r="I4091" s="45">
        <v>3941.89</v>
      </c>
      <c r="J4091" s="45">
        <v>3416.89</v>
      </c>
      <c r="K4091" s="49" t="s">
        <v>790</v>
      </c>
      <c r="L4091" s="45"/>
      <c r="M4091" s="3"/>
    </row>
    <row r="4092" spans="1:13" ht="25.5" x14ac:dyDescent="0.25">
      <c r="A4092" s="46" t="s">
        <v>1339</v>
      </c>
      <c r="B4092" s="46" t="s">
        <v>38</v>
      </c>
      <c r="C4092" s="46" t="s">
        <v>14</v>
      </c>
      <c r="D4092" s="47">
        <v>4832</v>
      </c>
      <c r="E4092" s="46" t="s">
        <v>1340</v>
      </c>
      <c r="F4092" s="48">
        <v>39814</v>
      </c>
      <c r="G4092" s="48">
        <v>40543</v>
      </c>
      <c r="H4092" s="46" t="s">
        <v>40</v>
      </c>
      <c r="I4092" s="45">
        <v>21407.22</v>
      </c>
      <c r="J4092" s="45">
        <v>18507.22</v>
      </c>
      <c r="K4092" s="49" t="s">
        <v>790</v>
      </c>
      <c r="L4092" s="45"/>
      <c r="M4092" s="3"/>
    </row>
    <row r="4093" spans="1:13" ht="25.5" x14ac:dyDescent="0.25">
      <c r="A4093" s="46" t="s">
        <v>1341</v>
      </c>
      <c r="B4093" s="46" t="s">
        <v>38</v>
      </c>
      <c r="C4093" s="46" t="s">
        <v>14</v>
      </c>
      <c r="D4093" s="47">
        <v>4834</v>
      </c>
      <c r="E4093" s="46" t="s">
        <v>1342</v>
      </c>
      <c r="F4093" s="48">
        <v>39814</v>
      </c>
      <c r="G4093" s="48">
        <v>40908</v>
      </c>
      <c r="H4093" s="46" t="s">
        <v>40</v>
      </c>
      <c r="I4093" s="45">
        <v>41094.660000000003</v>
      </c>
      <c r="J4093" s="45">
        <v>15194.66</v>
      </c>
      <c r="K4093" s="49" t="s">
        <v>790</v>
      </c>
      <c r="L4093" s="45"/>
      <c r="M4093" s="3"/>
    </row>
    <row r="4094" spans="1:13" ht="25.5" x14ac:dyDescent="0.25">
      <c r="A4094" s="46" t="s">
        <v>1343</v>
      </c>
      <c r="B4094" s="46" t="s">
        <v>38</v>
      </c>
      <c r="C4094" s="46" t="s">
        <v>14</v>
      </c>
      <c r="D4094" s="47">
        <v>4844</v>
      </c>
      <c r="E4094" s="46" t="s">
        <v>1344</v>
      </c>
      <c r="F4094" s="48">
        <v>39814</v>
      </c>
      <c r="G4094" s="48">
        <v>40178</v>
      </c>
      <c r="H4094" s="46" t="s">
        <v>40</v>
      </c>
      <c r="I4094" s="45">
        <v>2631.3</v>
      </c>
      <c r="J4094" s="45">
        <v>1521.3</v>
      </c>
      <c r="K4094" s="49" t="s">
        <v>790</v>
      </c>
      <c r="L4094" s="45"/>
      <c r="M4094" s="3"/>
    </row>
    <row r="4095" spans="1:13" ht="25.5" x14ac:dyDescent="0.25">
      <c r="A4095" s="46" t="s">
        <v>1345</v>
      </c>
      <c r="B4095" s="46" t="s">
        <v>38</v>
      </c>
      <c r="C4095" s="46" t="s">
        <v>14</v>
      </c>
      <c r="D4095" s="47">
        <v>4845</v>
      </c>
      <c r="E4095" s="46" t="s">
        <v>1346</v>
      </c>
      <c r="F4095" s="48">
        <v>39814</v>
      </c>
      <c r="G4095" s="48">
        <v>40178</v>
      </c>
      <c r="H4095" s="46" t="s">
        <v>40</v>
      </c>
      <c r="I4095" s="45">
        <v>3434.54</v>
      </c>
      <c r="J4095" s="45">
        <v>3014.54</v>
      </c>
      <c r="K4095" s="49" t="s">
        <v>790</v>
      </c>
      <c r="L4095" s="45"/>
      <c r="M4095" s="3"/>
    </row>
    <row r="4096" spans="1:13" ht="25.5" x14ac:dyDescent="0.25">
      <c r="A4096" s="46" t="s">
        <v>1347</v>
      </c>
      <c r="B4096" s="46" t="s">
        <v>38</v>
      </c>
      <c r="C4096" s="46" t="s">
        <v>14</v>
      </c>
      <c r="D4096" s="47">
        <v>4855</v>
      </c>
      <c r="E4096" s="46" t="s">
        <v>1348</v>
      </c>
      <c r="F4096" s="48">
        <v>39814</v>
      </c>
      <c r="G4096" s="48">
        <v>40178</v>
      </c>
      <c r="H4096" s="46" t="s">
        <v>40</v>
      </c>
      <c r="I4096" s="45">
        <v>1120.0899999999999</v>
      </c>
      <c r="J4096" s="45">
        <v>960.09</v>
      </c>
      <c r="K4096" s="49" t="s">
        <v>790</v>
      </c>
      <c r="L4096" s="45"/>
      <c r="M4096" s="3"/>
    </row>
    <row r="4097" spans="1:13" ht="25.5" x14ac:dyDescent="0.25">
      <c r="A4097" s="46" t="s">
        <v>1349</v>
      </c>
      <c r="B4097" s="46" t="s">
        <v>38</v>
      </c>
      <c r="C4097" s="46" t="s">
        <v>14</v>
      </c>
      <c r="D4097" s="47">
        <v>4856</v>
      </c>
      <c r="E4097" s="46" t="s">
        <v>1350</v>
      </c>
      <c r="F4097" s="48">
        <v>39814</v>
      </c>
      <c r="G4097" s="48">
        <v>40178</v>
      </c>
      <c r="H4097" s="46" t="s">
        <v>40</v>
      </c>
      <c r="I4097" s="45">
        <v>4366</v>
      </c>
      <c r="J4097" s="45">
        <v>4366</v>
      </c>
      <c r="K4097" s="49" t="s">
        <v>790</v>
      </c>
      <c r="L4097" s="45"/>
      <c r="M4097" s="3"/>
    </row>
    <row r="4098" spans="1:13" ht="38.25" x14ac:dyDescent="0.25">
      <c r="A4098" s="46" t="s">
        <v>1351</v>
      </c>
      <c r="B4098" s="46" t="s">
        <v>38</v>
      </c>
      <c r="C4098" s="46" t="s">
        <v>14</v>
      </c>
      <c r="D4098" s="47">
        <v>4857</v>
      </c>
      <c r="E4098" s="46" t="s">
        <v>1352</v>
      </c>
      <c r="F4098" s="48">
        <v>39814</v>
      </c>
      <c r="G4098" s="48">
        <v>40178</v>
      </c>
      <c r="H4098" s="46" t="s">
        <v>40</v>
      </c>
      <c r="I4098" s="45">
        <v>2500</v>
      </c>
      <c r="J4098" s="45">
        <v>2500</v>
      </c>
      <c r="K4098" s="49" t="s">
        <v>790</v>
      </c>
      <c r="L4098" s="45"/>
      <c r="M4098" s="3"/>
    </row>
    <row r="4099" spans="1:13" ht="25.5" x14ac:dyDescent="0.25">
      <c r="A4099" s="46" t="s">
        <v>1353</v>
      </c>
      <c r="B4099" s="46" t="s">
        <v>38</v>
      </c>
      <c r="C4099" s="46" t="s">
        <v>14</v>
      </c>
      <c r="D4099" s="47">
        <v>4858</v>
      </c>
      <c r="E4099" s="46" t="s">
        <v>1354</v>
      </c>
      <c r="F4099" s="48">
        <v>39814</v>
      </c>
      <c r="G4099" s="48">
        <v>40178</v>
      </c>
      <c r="H4099" s="46" t="s">
        <v>40</v>
      </c>
      <c r="I4099" s="45">
        <v>1063.3800000000001</v>
      </c>
      <c r="J4099" s="45">
        <v>403.38</v>
      </c>
      <c r="K4099" s="49" t="s">
        <v>790</v>
      </c>
      <c r="L4099" s="45"/>
      <c r="M4099" s="3"/>
    </row>
    <row r="4100" spans="1:13" ht="25.5" x14ac:dyDescent="0.25">
      <c r="A4100" s="46" t="s">
        <v>1355</v>
      </c>
      <c r="B4100" s="46" t="s">
        <v>38</v>
      </c>
      <c r="C4100" s="46" t="s">
        <v>14</v>
      </c>
      <c r="D4100" s="47">
        <v>4859</v>
      </c>
      <c r="E4100" s="46" t="s">
        <v>1356</v>
      </c>
      <c r="F4100" s="48">
        <v>39814</v>
      </c>
      <c r="G4100" s="48">
        <v>40543</v>
      </c>
      <c r="H4100" s="46" t="s">
        <v>40</v>
      </c>
      <c r="I4100" s="45">
        <v>1945.1</v>
      </c>
      <c r="J4100" s="45">
        <v>1495.1</v>
      </c>
      <c r="K4100" s="49" t="s">
        <v>790</v>
      </c>
      <c r="L4100" s="45"/>
      <c r="M4100" s="3"/>
    </row>
    <row r="4101" spans="1:13" ht="25.5" x14ac:dyDescent="0.25">
      <c r="A4101" s="46" t="s">
        <v>1357</v>
      </c>
      <c r="B4101" s="46" t="s">
        <v>38</v>
      </c>
      <c r="C4101" s="46" t="s">
        <v>14</v>
      </c>
      <c r="D4101" s="47">
        <v>4860</v>
      </c>
      <c r="E4101" s="46" t="s">
        <v>1358</v>
      </c>
      <c r="F4101" s="48">
        <v>39814</v>
      </c>
      <c r="G4101" s="48">
        <v>40178</v>
      </c>
      <c r="H4101" s="46" t="s">
        <v>40</v>
      </c>
      <c r="I4101" s="45">
        <v>26581.88</v>
      </c>
      <c r="J4101" s="45">
        <v>20881.88</v>
      </c>
      <c r="K4101" s="49" t="s">
        <v>790</v>
      </c>
      <c r="L4101" s="45"/>
      <c r="M4101" s="3"/>
    </row>
    <row r="4102" spans="1:13" ht="38.25" x14ac:dyDescent="0.25">
      <c r="A4102" s="46" t="s">
        <v>1359</v>
      </c>
      <c r="B4102" s="46" t="s">
        <v>38</v>
      </c>
      <c r="C4102" s="46" t="s">
        <v>14</v>
      </c>
      <c r="D4102" s="47">
        <v>4861</v>
      </c>
      <c r="E4102" s="46" t="s">
        <v>1360</v>
      </c>
      <c r="F4102" s="48">
        <v>39814</v>
      </c>
      <c r="G4102" s="48">
        <v>40178</v>
      </c>
      <c r="H4102" s="46" t="s">
        <v>40</v>
      </c>
      <c r="I4102" s="45">
        <v>2500</v>
      </c>
      <c r="J4102" s="45">
        <v>2500</v>
      </c>
      <c r="K4102" s="49" t="s">
        <v>790</v>
      </c>
      <c r="L4102" s="45"/>
      <c r="M4102" s="3"/>
    </row>
    <row r="4103" spans="1:13" ht="25.5" x14ac:dyDescent="0.25">
      <c r="A4103" s="46" t="s">
        <v>1361</v>
      </c>
      <c r="B4103" s="46" t="s">
        <v>38</v>
      </c>
      <c r="C4103" s="46" t="s">
        <v>14</v>
      </c>
      <c r="D4103" s="47">
        <v>4862</v>
      </c>
      <c r="E4103" s="46" t="s">
        <v>1362</v>
      </c>
      <c r="F4103" s="48">
        <v>39814</v>
      </c>
      <c r="G4103" s="48">
        <v>40543</v>
      </c>
      <c r="H4103" s="46" t="s">
        <v>40</v>
      </c>
      <c r="I4103" s="45">
        <v>44722.55</v>
      </c>
      <c r="J4103" s="45">
        <v>37972.550000000003</v>
      </c>
      <c r="K4103" s="49" t="s">
        <v>790</v>
      </c>
      <c r="L4103" s="45"/>
      <c r="M4103" s="3"/>
    </row>
    <row r="4104" spans="1:13" ht="25.5" x14ac:dyDescent="0.25">
      <c r="A4104" s="46" t="s">
        <v>1363</v>
      </c>
      <c r="B4104" s="46" t="s">
        <v>38</v>
      </c>
      <c r="C4104" s="46" t="s">
        <v>14</v>
      </c>
      <c r="D4104" s="47">
        <v>4900</v>
      </c>
      <c r="E4104" s="46" t="s">
        <v>1364</v>
      </c>
      <c r="F4104" s="48">
        <v>39814</v>
      </c>
      <c r="G4104" s="48">
        <v>40178</v>
      </c>
      <c r="H4104" s="46" t="s">
        <v>40</v>
      </c>
      <c r="I4104" s="45">
        <v>2416.12</v>
      </c>
      <c r="J4104" s="45">
        <v>1856.12</v>
      </c>
      <c r="K4104" s="49" t="s">
        <v>790</v>
      </c>
      <c r="L4104" s="45"/>
      <c r="M4104" s="3"/>
    </row>
    <row r="4105" spans="1:13" ht="25.5" x14ac:dyDescent="0.25">
      <c r="A4105" s="46" t="s">
        <v>1365</v>
      </c>
      <c r="B4105" s="46" t="s">
        <v>38</v>
      </c>
      <c r="C4105" s="46" t="s">
        <v>14</v>
      </c>
      <c r="D4105" s="47">
        <v>4901</v>
      </c>
      <c r="E4105" s="46" t="s">
        <v>1366</v>
      </c>
      <c r="F4105" s="48">
        <v>39814</v>
      </c>
      <c r="G4105" s="48">
        <v>40178</v>
      </c>
      <c r="H4105" s="46" t="s">
        <v>40</v>
      </c>
      <c r="I4105" s="45">
        <v>1447.97</v>
      </c>
      <c r="J4105" s="45">
        <v>1447.97</v>
      </c>
      <c r="K4105" s="49" t="s">
        <v>790</v>
      </c>
      <c r="L4105" s="45"/>
      <c r="M4105" s="3"/>
    </row>
    <row r="4106" spans="1:13" ht="76.5" x14ac:dyDescent="0.25">
      <c r="A4106" s="46" t="s">
        <v>1297</v>
      </c>
      <c r="B4106" s="46" t="s">
        <v>38</v>
      </c>
      <c r="C4106" s="46" t="s">
        <v>14</v>
      </c>
      <c r="D4106" s="47">
        <v>4955</v>
      </c>
      <c r="E4106" s="50" t="s">
        <v>1298</v>
      </c>
      <c r="F4106" s="48">
        <v>39814</v>
      </c>
      <c r="G4106" s="48">
        <v>40178</v>
      </c>
      <c r="H4106" s="46" t="s">
        <v>40</v>
      </c>
      <c r="I4106" s="45">
        <v>4625</v>
      </c>
      <c r="J4106" s="45">
        <v>4625</v>
      </c>
      <c r="K4106" s="49" t="s">
        <v>790</v>
      </c>
      <c r="L4106" s="45"/>
      <c r="M4106" s="3"/>
    </row>
    <row r="4107" spans="1:13" ht="25.5" x14ac:dyDescent="0.25">
      <c r="A4107" s="46" t="s">
        <v>1367</v>
      </c>
      <c r="B4107" s="46" t="s">
        <v>38</v>
      </c>
      <c r="C4107" s="46" t="s">
        <v>14</v>
      </c>
      <c r="D4107" s="47">
        <v>4959</v>
      </c>
      <c r="E4107" s="46" t="s">
        <v>1368</v>
      </c>
      <c r="F4107" s="48">
        <v>39814</v>
      </c>
      <c r="G4107" s="48">
        <v>40543</v>
      </c>
      <c r="H4107" s="46" t="s">
        <v>40</v>
      </c>
      <c r="I4107" s="45">
        <v>41275.75</v>
      </c>
      <c r="J4107" s="45">
        <v>41275.75</v>
      </c>
      <c r="K4107" s="49" t="s">
        <v>790</v>
      </c>
      <c r="L4107" s="45"/>
      <c r="M4107" s="3"/>
    </row>
    <row r="4108" spans="1:13" ht="25.5" x14ac:dyDescent="0.25">
      <c r="A4108" s="46" t="s">
        <v>1291</v>
      </c>
      <c r="B4108" s="46" t="s">
        <v>38</v>
      </c>
      <c r="C4108" s="46" t="s">
        <v>14</v>
      </c>
      <c r="D4108" s="47">
        <v>4962</v>
      </c>
      <c r="E4108" s="46" t="s">
        <v>1369</v>
      </c>
      <c r="F4108" s="48">
        <v>39995</v>
      </c>
      <c r="G4108" s="48">
        <v>40359</v>
      </c>
      <c r="H4108" s="46" t="s">
        <v>40</v>
      </c>
      <c r="I4108" s="45">
        <v>34290.92</v>
      </c>
      <c r="J4108" s="45">
        <v>25283.279999999999</v>
      </c>
      <c r="K4108" s="49" t="s">
        <v>790</v>
      </c>
      <c r="L4108" s="45"/>
      <c r="M4108" s="3"/>
    </row>
    <row r="4109" spans="1:13" ht="51" x14ac:dyDescent="0.25">
      <c r="A4109" s="46" t="s">
        <v>1309</v>
      </c>
      <c r="B4109" s="46" t="s">
        <v>38</v>
      </c>
      <c r="C4109" s="46" t="s">
        <v>14</v>
      </c>
      <c r="D4109" s="47">
        <v>4963</v>
      </c>
      <c r="E4109" s="50" t="s">
        <v>1370</v>
      </c>
      <c r="F4109" s="48">
        <v>39814</v>
      </c>
      <c r="G4109" s="48">
        <v>40178</v>
      </c>
      <c r="H4109" s="46" t="s">
        <v>40</v>
      </c>
      <c r="I4109" s="45">
        <v>1250</v>
      </c>
      <c r="J4109" s="45">
        <v>1250</v>
      </c>
      <c r="K4109" s="49" t="s">
        <v>790</v>
      </c>
      <c r="L4109" s="45"/>
      <c r="M4109" s="3"/>
    </row>
    <row r="4110" spans="1:13" ht="25.5" x14ac:dyDescent="0.25">
      <c r="A4110" s="46" t="s">
        <v>1371</v>
      </c>
      <c r="B4110" s="46" t="s">
        <v>38</v>
      </c>
      <c r="C4110" s="46" t="s">
        <v>14</v>
      </c>
      <c r="D4110" s="47">
        <v>4966</v>
      </c>
      <c r="E4110" s="46" t="s">
        <v>1372</v>
      </c>
      <c r="F4110" s="48">
        <v>39814</v>
      </c>
      <c r="G4110" s="48">
        <v>40178</v>
      </c>
      <c r="H4110" s="46" t="s">
        <v>40</v>
      </c>
      <c r="I4110" s="45">
        <v>25000</v>
      </c>
      <c r="J4110" s="45">
        <v>25000</v>
      </c>
      <c r="K4110" s="49" t="s">
        <v>790</v>
      </c>
      <c r="L4110" s="45"/>
      <c r="M4110" s="3"/>
    </row>
    <row r="4111" spans="1:13" ht="25.5" x14ac:dyDescent="0.25">
      <c r="A4111" s="46" t="s">
        <v>1373</v>
      </c>
      <c r="B4111" s="46" t="s">
        <v>38</v>
      </c>
      <c r="C4111" s="46" t="s">
        <v>14</v>
      </c>
      <c r="D4111" s="47">
        <v>4968</v>
      </c>
      <c r="E4111" s="46" t="s">
        <v>1374</v>
      </c>
      <c r="F4111" s="48">
        <v>39814</v>
      </c>
      <c r="G4111" s="48">
        <v>40178</v>
      </c>
      <c r="H4111" s="46" t="s">
        <v>40</v>
      </c>
      <c r="I4111" s="45">
        <v>1725</v>
      </c>
      <c r="J4111" s="45">
        <v>1725</v>
      </c>
      <c r="K4111" s="49" t="s">
        <v>790</v>
      </c>
      <c r="L4111" s="45"/>
      <c r="M4111" s="3"/>
    </row>
    <row r="4112" spans="1:13" ht="25.5" x14ac:dyDescent="0.25">
      <c r="A4112" s="46" t="s">
        <v>1327</v>
      </c>
      <c r="B4112" s="46" t="s">
        <v>38</v>
      </c>
      <c r="C4112" s="46" t="s">
        <v>14</v>
      </c>
      <c r="D4112" s="47">
        <v>4972</v>
      </c>
      <c r="E4112" s="46" t="s">
        <v>1375</v>
      </c>
      <c r="F4112" s="48">
        <v>39814</v>
      </c>
      <c r="G4112" s="48">
        <v>40178</v>
      </c>
      <c r="H4112" s="46" t="s">
        <v>40</v>
      </c>
      <c r="I4112" s="45">
        <v>2141.21</v>
      </c>
      <c r="J4112" s="45">
        <v>2141.21</v>
      </c>
      <c r="K4112" s="49" t="s">
        <v>790</v>
      </c>
      <c r="L4112" s="45"/>
      <c r="M4112" s="3"/>
    </row>
    <row r="4113" spans="1:13" ht="25.5" x14ac:dyDescent="0.25">
      <c r="A4113" s="46" t="s">
        <v>1376</v>
      </c>
      <c r="B4113" s="46" t="s">
        <v>38</v>
      </c>
      <c r="C4113" s="46" t="s">
        <v>14</v>
      </c>
      <c r="D4113" s="47">
        <v>4974</v>
      </c>
      <c r="E4113" s="46" t="s">
        <v>1377</v>
      </c>
      <c r="F4113" s="48">
        <v>39814</v>
      </c>
      <c r="G4113" s="48">
        <v>40178</v>
      </c>
      <c r="H4113" s="46" t="s">
        <v>40</v>
      </c>
      <c r="I4113" s="45">
        <v>4634.05</v>
      </c>
      <c r="J4113" s="45">
        <v>4634.05</v>
      </c>
      <c r="K4113" s="49" t="s">
        <v>790</v>
      </c>
      <c r="L4113" s="45"/>
      <c r="M4113" s="3"/>
    </row>
    <row r="4114" spans="1:13" ht="51" x14ac:dyDescent="0.25">
      <c r="A4114" s="46" t="s">
        <v>1378</v>
      </c>
      <c r="B4114" s="46" t="s">
        <v>38</v>
      </c>
      <c r="C4114" s="46" t="s">
        <v>14</v>
      </c>
      <c r="D4114" s="47">
        <v>4977</v>
      </c>
      <c r="E4114" s="50" t="s">
        <v>1379</v>
      </c>
      <c r="F4114" s="48">
        <v>39814</v>
      </c>
      <c r="G4114" s="48">
        <v>40178</v>
      </c>
      <c r="H4114" s="46" t="s">
        <v>40</v>
      </c>
      <c r="I4114" s="45">
        <v>17268.55</v>
      </c>
      <c r="J4114" s="45">
        <v>17268.55</v>
      </c>
      <c r="K4114" s="49" t="s">
        <v>790</v>
      </c>
      <c r="L4114" s="45"/>
      <c r="M4114" s="3"/>
    </row>
    <row r="4115" spans="1:13" ht="38.25" x14ac:dyDescent="0.25">
      <c r="A4115" s="46" t="s">
        <v>1351</v>
      </c>
      <c r="B4115" s="46" t="s">
        <v>38</v>
      </c>
      <c r="C4115" s="46" t="s">
        <v>14</v>
      </c>
      <c r="D4115" s="47">
        <v>4979</v>
      </c>
      <c r="E4115" s="46" t="s">
        <v>1352</v>
      </c>
      <c r="F4115" s="48">
        <v>39814</v>
      </c>
      <c r="G4115" s="48">
        <v>40178</v>
      </c>
      <c r="H4115" s="46" t="s">
        <v>40</v>
      </c>
      <c r="I4115" s="45">
        <v>2500</v>
      </c>
      <c r="J4115" s="45">
        <v>2500</v>
      </c>
      <c r="K4115" s="49" t="s">
        <v>790</v>
      </c>
      <c r="L4115" s="45"/>
      <c r="M4115" s="3"/>
    </row>
    <row r="4116" spans="1:13" ht="25.5" x14ac:dyDescent="0.25">
      <c r="A4116" s="46" t="s">
        <v>1357</v>
      </c>
      <c r="B4116" s="46" t="s">
        <v>38</v>
      </c>
      <c r="C4116" s="46" t="s">
        <v>14</v>
      </c>
      <c r="D4116" s="47">
        <v>4981</v>
      </c>
      <c r="E4116" s="46" t="s">
        <v>1358</v>
      </c>
      <c r="F4116" s="48">
        <v>39814</v>
      </c>
      <c r="G4116" s="48">
        <v>40178</v>
      </c>
      <c r="H4116" s="46" t="s">
        <v>40</v>
      </c>
      <c r="I4116" s="45">
        <v>11771.53</v>
      </c>
      <c r="J4116" s="45">
        <v>9071.5300000000007</v>
      </c>
      <c r="K4116" s="49" t="s">
        <v>790</v>
      </c>
      <c r="L4116" s="45"/>
      <c r="M4116" s="3"/>
    </row>
    <row r="4117" spans="1:13" ht="25.5" x14ac:dyDescent="0.25">
      <c r="A4117" s="46" t="s">
        <v>1380</v>
      </c>
      <c r="B4117" s="46" t="s">
        <v>38</v>
      </c>
      <c r="C4117" s="46" t="s">
        <v>14</v>
      </c>
      <c r="D4117" s="47">
        <v>4984</v>
      </c>
      <c r="E4117" s="46" t="s">
        <v>1362</v>
      </c>
      <c r="F4117" s="48">
        <v>39814</v>
      </c>
      <c r="G4117" s="48">
        <v>40178</v>
      </c>
      <c r="H4117" s="46" t="s">
        <v>40</v>
      </c>
      <c r="I4117" s="45">
        <v>34834.410000000003</v>
      </c>
      <c r="J4117" s="45">
        <v>32334.41</v>
      </c>
      <c r="K4117" s="49" t="s">
        <v>790</v>
      </c>
      <c r="L4117" s="45"/>
      <c r="M4117" s="3"/>
    </row>
    <row r="4118" spans="1:13" ht="25.5" x14ac:dyDescent="0.25">
      <c r="A4118" s="46" t="s">
        <v>1381</v>
      </c>
      <c r="B4118" s="46" t="s">
        <v>38</v>
      </c>
      <c r="C4118" s="46" t="s">
        <v>14</v>
      </c>
      <c r="D4118" s="47">
        <v>5226</v>
      </c>
      <c r="E4118" s="46" t="s">
        <v>1382</v>
      </c>
      <c r="F4118" s="48">
        <v>39814</v>
      </c>
      <c r="G4118" s="48">
        <v>41274</v>
      </c>
      <c r="H4118" s="46" t="s">
        <v>40</v>
      </c>
      <c r="I4118" s="45">
        <v>202083.31</v>
      </c>
      <c r="J4118" s="45">
        <v>204449.93</v>
      </c>
      <c r="K4118" s="49" t="s">
        <v>790</v>
      </c>
      <c r="L4118" s="45"/>
      <c r="M4118" s="3"/>
    </row>
    <row r="4119" spans="1:13" ht="25.5" x14ac:dyDescent="0.25">
      <c r="A4119" s="46" t="s">
        <v>1315</v>
      </c>
      <c r="B4119" s="46" t="s">
        <v>38</v>
      </c>
      <c r="C4119" s="46" t="s">
        <v>14</v>
      </c>
      <c r="D4119" s="47">
        <v>5237</v>
      </c>
      <c r="E4119" s="46" t="s">
        <v>1383</v>
      </c>
      <c r="F4119" s="48">
        <v>39814</v>
      </c>
      <c r="G4119" s="48">
        <v>40178</v>
      </c>
      <c r="H4119" s="46" t="s">
        <v>40</v>
      </c>
      <c r="I4119" s="45">
        <v>928.36</v>
      </c>
      <c r="J4119" s="45">
        <v>928.36</v>
      </c>
      <c r="K4119" s="49" t="s">
        <v>790</v>
      </c>
      <c r="L4119" s="45"/>
      <c r="M4119" s="3"/>
    </row>
    <row r="4120" spans="1:13" ht="25.5" x14ac:dyDescent="0.25">
      <c r="A4120" s="46" t="s">
        <v>1384</v>
      </c>
      <c r="B4120" s="46" t="s">
        <v>38</v>
      </c>
      <c r="C4120" s="46" t="s">
        <v>14</v>
      </c>
      <c r="D4120" s="47">
        <v>5238</v>
      </c>
      <c r="E4120" s="46" t="s">
        <v>1385</v>
      </c>
      <c r="F4120" s="48">
        <v>39814</v>
      </c>
      <c r="G4120" s="48">
        <v>40543</v>
      </c>
      <c r="H4120" s="46" t="s">
        <v>40</v>
      </c>
      <c r="I4120" s="45">
        <v>13860</v>
      </c>
      <c r="J4120" s="45">
        <v>13860</v>
      </c>
      <c r="K4120" s="49" t="s">
        <v>790</v>
      </c>
      <c r="L4120" s="45"/>
      <c r="M4120" s="3"/>
    </row>
    <row r="4121" spans="1:13" ht="25.5" x14ac:dyDescent="0.25">
      <c r="A4121" s="46" t="s">
        <v>1386</v>
      </c>
      <c r="B4121" s="46" t="s">
        <v>38</v>
      </c>
      <c r="C4121" s="46" t="s">
        <v>14</v>
      </c>
      <c r="D4121" s="47">
        <v>5239</v>
      </c>
      <c r="E4121" s="46" t="s">
        <v>1387</v>
      </c>
      <c r="F4121" s="48">
        <v>39814</v>
      </c>
      <c r="G4121" s="48">
        <v>40543</v>
      </c>
      <c r="H4121" s="46" t="s">
        <v>40</v>
      </c>
      <c r="I4121" s="45">
        <v>13860</v>
      </c>
      <c r="J4121" s="45">
        <v>13860</v>
      </c>
      <c r="K4121" s="49" t="s">
        <v>790</v>
      </c>
      <c r="L4121" s="45"/>
      <c r="M4121" s="3"/>
    </row>
    <row r="4122" spans="1:13" ht="25.5" x14ac:dyDescent="0.25">
      <c r="A4122" s="46" t="s">
        <v>1388</v>
      </c>
      <c r="B4122" s="46" t="s">
        <v>38</v>
      </c>
      <c r="C4122" s="46" t="s">
        <v>14</v>
      </c>
      <c r="D4122" s="47">
        <v>5240</v>
      </c>
      <c r="E4122" s="46" t="s">
        <v>1389</v>
      </c>
      <c r="F4122" s="48">
        <v>39814</v>
      </c>
      <c r="G4122" s="48">
        <v>40178</v>
      </c>
      <c r="H4122" s="46" t="s">
        <v>40</v>
      </c>
      <c r="I4122" s="45">
        <v>10000</v>
      </c>
      <c r="J4122" s="45">
        <v>10000</v>
      </c>
      <c r="K4122" s="49" t="s">
        <v>790</v>
      </c>
      <c r="L4122" s="45"/>
      <c r="M4122" s="3"/>
    </row>
    <row r="4123" spans="1:13" ht="25.5" x14ac:dyDescent="0.25">
      <c r="A4123" s="46" t="s">
        <v>1390</v>
      </c>
      <c r="B4123" s="46" t="s">
        <v>38</v>
      </c>
      <c r="C4123" s="46" t="s">
        <v>14</v>
      </c>
      <c r="D4123" s="47">
        <v>5242</v>
      </c>
      <c r="E4123" s="46" t="s">
        <v>1391</v>
      </c>
      <c r="F4123" s="48">
        <v>39814</v>
      </c>
      <c r="G4123" s="48">
        <v>40178</v>
      </c>
      <c r="H4123" s="46" t="s">
        <v>40</v>
      </c>
      <c r="I4123" s="45">
        <v>2775.23</v>
      </c>
      <c r="J4123" s="45">
        <v>2775.23</v>
      </c>
      <c r="K4123" s="49" t="s">
        <v>790</v>
      </c>
      <c r="L4123" s="45"/>
      <c r="M4123" s="3"/>
    </row>
    <row r="4124" spans="1:13" ht="25.5" x14ac:dyDescent="0.25">
      <c r="A4124" s="46" t="s">
        <v>1289</v>
      </c>
      <c r="B4124" s="46" t="s">
        <v>38</v>
      </c>
      <c r="C4124" s="46" t="s">
        <v>14</v>
      </c>
      <c r="D4124" s="47">
        <v>5255</v>
      </c>
      <c r="E4124" s="46" t="s">
        <v>1290</v>
      </c>
      <c r="F4124" s="48">
        <v>39448</v>
      </c>
      <c r="G4124" s="48">
        <v>40178</v>
      </c>
      <c r="H4124" s="46" t="s">
        <v>40</v>
      </c>
      <c r="I4124" s="45">
        <v>3295</v>
      </c>
      <c r="J4124" s="45">
        <v>3295</v>
      </c>
      <c r="K4124" s="49" t="s">
        <v>790</v>
      </c>
      <c r="L4124" s="45"/>
      <c r="M4124" s="3"/>
    </row>
    <row r="4125" spans="1:13" ht="38.25" x14ac:dyDescent="0.25">
      <c r="A4125" s="46" t="s">
        <v>1359</v>
      </c>
      <c r="B4125" s="46" t="s">
        <v>38</v>
      </c>
      <c r="C4125" s="46" t="s">
        <v>14</v>
      </c>
      <c r="D4125" s="47">
        <v>5257</v>
      </c>
      <c r="E4125" s="46" t="s">
        <v>1360</v>
      </c>
      <c r="F4125" s="48">
        <v>39814</v>
      </c>
      <c r="G4125" s="48">
        <v>40178</v>
      </c>
      <c r="H4125" s="46" t="s">
        <v>40</v>
      </c>
      <c r="I4125" s="45">
        <v>2500</v>
      </c>
      <c r="J4125" s="45">
        <v>2500</v>
      </c>
      <c r="K4125" s="49" t="s">
        <v>790</v>
      </c>
      <c r="L4125" s="45"/>
      <c r="M4125" s="3"/>
    </row>
    <row r="4126" spans="1:13" ht="38.25" x14ac:dyDescent="0.25">
      <c r="A4126" s="46" t="s">
        <v>1409</v>
      </c>
      <c r="B4126" s="46" t="s">
        <v>38</v>
      </c>
      <c r="C4126" s="46" t="s">
        <v>14</v>
      </c>
      <c r="D4126" s="47">
        <v>6151</v>
      </c>
      <c r="E4126" s="46" t="s">
        <v>1410</v>
      </c>
      <c r="F4126" s="48">
        <v>39814</v>
      </c>
      <c r="G4126" s="48">
        <v>41274</v>
      </c>
      <c r="H4126" s="46" t="s">
        <v>40</v>
      </c>
      <c r="I4126" s="45">
        <v>10967.27</v>
      </c>
      <c r="J4126" s="45">
        <v>7947.27</v>
      </c>
      <c r="K4126" s="49" t="s">
        <v>790</v>
      </c>
      <c r="L4126" s="45"/>
      <c r="M4126" s="3"/>
    </row>
    <row r="4127" spans="1:13" ht="25.5" x14ac:dyDescent="0.25">
      <c r="A4127" s="46" t="s">
        <v>1411</v>
      </c>
      <c r="B4127" s="46" t="s">
        <v>38</v>
      </c>
      <c r="C4127" s="46" t="s">
        <v>14</v>
      </c>
      <c r="D4127" s="47">
        <v>6152</v>
      </c>
      <c r="E4127" s="46" t="s">
        <v>1412</v>
      </c>
      <c r="F4127" s="48">
        <v>40544</v>
      </c>
      <c r="G4127" s="48">
        <v>41639</v>
      </c>
      <c r="H4127" s="46" t="s">
        <v>40</v>
      </c>
      <c r="I4127" s="45">
        <v>30165.35</v>
      </c>
      <c r="J4127" s="45">
        <v>30165.35</v>
      </c>
      <c r="K4127" s="49" t="s">
        <v>790</v>
      </c>
      <c r="L4127" s="45"/>
      <c r="M4127" s="3"/>
    </row>
    <row r="4128" spans="1:13" ht="38.25" x14ac:dyDescent="0.25">
      <c r="A4128" s="46" t="s">
        <v>1413</v>
      </c>
      <c r="B4128" s="46" t="s">
        <v>38</v>
      </c>
      <c r="C4128" s="46" t="s">
        <v>14</v>
      </c>
      <c r="D4128" s="47">
        <v>6153</v>
      </c>
      <c r="E4128" s="46" t="s">
        <v>1414</v>
      </c>
      <c r="F4128" s="48">
        <v>39814</v>
      </c>
      <c r="G4128" s="48">
        <v>41639</v>
      </c>
      <c r="H4128" s="46" t="s">
        <v>40</v>
      </c>
      <c r="I4128" s="45">
        <v>1177.0999999999999</v>
      </c>
      <c r="J4128" s="45">
        <v>1286.5999999999999</v>
      </c>
      <c r="K4128" s="49" t="s">
        <v>790</v>
      </c>
      <c r="L4128" s="45"/>
      <c r="M4128" s="3"/>
    </row>
    <row r="4129" spans="1:13" ht="25.5" x14ac:dyDescent="0.25">
      <c r="A4129" s="46" t="s">
        <v>1415</v>
      </c>
      <c r="B4129" s="46" t="s">
        <v>38</v>
      </c>
      <c r="C4129" s="46" t="s">
        <v>14</v>
      </c>
      <c r="D4129" s="47">
        <v>6154</v>
      </c>
      <c r="E4129" s="46" t="s">
        <v>1416</v>
      </c>
      <c r="F4129" s="48">
        <v>39814</v>
      </c>
      <c r="G4129" s="48">
        <v>41639</v>
      </c>
      <c r="H4129" s="46" t="s">
        <v>40</v>
      </c>
      <c r="I4129" s="45">
        <v>1575</v>
      </c>
      <c r="J4129" s="45">
        <v>1375</v>
      </c>
      <c r="K4129" s="49" t="s">
        <v>790</v>
      </c>
      <c r="L4129" s="45"/>
      <c r="M4129" s="3"/>
    </row>
    <row r="4130" spans="1:13" ht="25.5" x14ac:dyDescent="0.25">
      <c r="A4130" s="46" t="s">
        <v>1417</v>
      </c>
      <c r="B4130" s="46" t="s">
        <v>38</v>
      </c>
      <c r="C4130" s="46" t="s">
        <v>14</v>
      </c>
      <c r="D4130" s="47">
        <v>6155</v>
      </c>
      <c r="E4130" s="46" t="s">
        <v>1418</v>
      </c>
      <c r="F4130" s="48">
        <v>39814</v>
      </c>
      <c r="G4130" s="48">
        <v>41639</v>
      </c>
      <c r="H4130" s="46" t="s">
        <v>40</v>
      </c>
      <c r="I4130" s="45">
        <v>5597.76</v>
      </c>
      <c r="J4130" s="45">
        <v>4097.76</v>
      </c>
      <c r="K4130" s="49" t="s">
        <v>790</v>
      </c>
      <c r="L4130" s="45"/>
      <c r="M4130" s="3"/>
    </row>
    <row r="4131" spans="1:13" ht="25.5" x14ac:dyDescent="0.25">
      <c r="A4131" s="46" t="s">
        <v>1419</v>
      </c>
      <c r="B4131" s="46" t="s">
        <v>38</v>
      </c>
      <c r="C4131" s="46" t="s">
        <v>14</v>
      </c>
      <c r="D4131" s="47">
        <v>6156</v>
      </c>
      <c r="E4131" s="46" t="s">
        <v>1420</v>
      </c>
      <c r="F4131" s="48">
        <v>39814</v>
      </c>
      <c r="G4131" s="48">
        <v>41639</v>
      </c>
      <c r="H4131" s="46" t="s">
        <v>40</v>
      </c>
      <c r="I4131" s="45">
        <v>588.79999999999995</v>
      </c>
      <c r="J4131" s="45">
        <v>238.8</v>
      </c>
      <c r="K4131" s="49" t="s">
        <v>790</v>
      </c>
      <c r="L4131" s="45"/>
      <c r="M4131" s="3"/>
    </row>
    <row r="4132" spans="1:13" ht="25.5" x14ac:dyDescent="0.25">
      <c r="A4132" s="46" t="s">
        <v>1421</v>
      </c>
      <c r="B4132" s="46" t="s">
        <v>38</v>
      </c>
      <c r="C4132" s="46" t="s">
        <v>14</v>
      </c>
      <c r="D4132" s="47">
        <v>6158</v>
      </c>
      <c r="E4132" s="46" t="s">
        <v>1422</v>
      </c>
      <c r="F4132" s="48">
        <v>39814</v>
      </c>
      <c r="G4132" s="48">
        <v>41639</v>
      </c>
      <c r="H4132" s="46" t="s">
        <v>40</v>
      </c>
      <c r="I4132" s="45">
        <v>2724.5</v>
      </c>
      <c r="J4132" s="45">
        <v>1984.5</v>
      </c>
      <c r="K4132" s="49" t="s">
        <v>790</v>
      </c>
      <c r="L4132" s="45"/>
      <c r="M4132" s="3"/>
    </row>
    <row r="4133" spans="1:13" ht="38.25" x14ac:dyDescent="0.25">
      <c r="A4133" s="46" t="s">
        <v>1423</v>
      </c>
      <c r="B4133" s="46" t="s">
        <v>38</v>
      </c>
      <c r="C4133" s="46" t="s">
        <v>14</v>
      </c>
      <c r="D4133" s="47">
        <v>6159</v>
      </c>
      <c r="E4133" s="46" t="s">
        <v>1424</v>
      </c>
      <c r="F4133" s="48">
        <v>39814</v>
      </c>
      <c r="G4133" s="48">
        <v>41639</v>
      </c>
      <c r="H4133" s="46" t="s">
        <v>40</v>
      </c>
      <c r="I4133" s="45">
        <v>2069.41</v>
      </c>
      <c r="J4133" s="45">
        <v>2069.41</v>
      </c>
      <c r="K4133" s="49" t="s">
        <v>790</v>
      </c>
      <c r="L4133" s="45"/>
      <c r="M4133" s="3"/>
    </row>
    <row r="4134" spans="1:13" ht="38.25" x14ac:dyDescent="0.25">
      <c r="A4134" s="46" t="s">
        <v>1425</v>
      </c>
      <c r="B4134" s="46" t="s">
        <v>38</v>
      </c>
      <c r="C4134" s="46" t="s">
        <v>14</v>
      </c>
      <c r="D4134" s="47">
        <v>6160</v>
      </c>
      <c r="E4134" s="46" t="s">
        <v>1426</v>
      </c>
      <c r="F4134" s="48">
        <v>39814</v>
      </c>
      <c r="G4134" s="48">
        <v>41639</v>
      </c>
      <c r="H4134" s="46" t="s">
        <v>40</v>
      </c>
      <c r="I4134" s="45">
        <f>2146.32+750</f>
        <v>2896.32</v>
      </c>
      <c r="J4134" s="45">
        <f>1706.32+750</f>
        <v>2456.3199999999997</v>
      </c>
      <c r="K4134" s="49" t="s">
        <v>790</v>
      </c>
      <c r="L4134" s="45"/>
      <c r="M4134" s="3"/>
    </row>
    <row r="4135" spans="1:13" ht="25.5" x14ac:dyDescent="0.25">
      <c r="A4135" s="46" t="s">
        <v>1427</v>
      </c>
      <c r="B4135" s="46" t="s">
        <v>38</v>
      </c>
      <c r="C4135" s="46" t="s">
        <v>14</v>
      </c>
      <c r="D4135" s="47">
        <v>6161</v>
      </c>
      <c r="E4135" s="46" t="s">
        <v>1428</v>
      </c>
      <c r="F4135" s="48">
        <v>39814</v>
      </c>
      <c r="G4135" s="48">
        <v>41639</v>
      </c>
      <c r="H4135" s="46" t="s">
        <v>40</v>
      </c>
      <c r="I4135" s="45">
        <v>784.4</v>
      </c>
      <c r="J4135" s="45">
        <v>624.4</v>
      </c>
      <c r="K4135" s="49" t="s">
        <v>790</v>
      </c>
      <c r="L4135" s="45"/>
      <c r="M4135" s="3"/>
    </row>
    <row r="4136" spans="1:13" ht="38.25" x14ac:dyDescent="0.25">
      <c r="A4136" s="46" t="s">
        <v>1429</v>
      </c>
      <c r="B4136" s="46" t="s">
        <v>38</v>
      </c>
      <c r="C4136" s="46" t="s">
        <v>14</v>
      </c>
      <c r="D4136" s="47">
        <v>6163</v>
      </c>
      <c r="E4136" s="46" t="s">
        <v>1430</v>
      </c>
      <c r="F4136" s="48">
        <v>39814</v>
      </c>
      <c r="G4136" s="48">
        <v>41274</v>
      </c>
      <c r="H4136" s="46" t="s">
        <v>40</v>
      </c>
      <c r="I4136" s="45">
        <f>48779.01+9173.5</f>
        <v>57952.51</v>
      </c>
      <c r="J4136" s="45">
        <f>26588.92+9173.5</f>
        <v>35762.42</v>
      </c>
      <c r="K4136" s="49" t="s">
        <v>790</v>
      </c>
      <c r="L4136" s="45"/>
      <c r="M4136" s="3"/>
    </row>
    <row r="4137" spans="1:13" ht="25.5" x14ac:dyDescent="0.25">
      <c r="A4137" s="46" t="s">
        <v>1431</v>
      </c>
      <c r="B4137" s="46" t="s">
        <v>38</v>
      </c>
      <c r="C4137" s="46" t="s">
        <v>14</v>
      </c>
      <c r="D4137" s="47">
        <v>6167</v>
      </c>
      <c r="E4137" s="46" t="s">
        <v>1432</v>
      </c>
      <c r="F4137" s="48">
        <v>39814</v>
      </c>
      <c r="G4137" s="48">
        <v>41639</v>
      </c>
      <c r="H4137" s="46" t="s">
        <v>40</v>
      </c>
      <c r="I4137" s="45">
        <f>2975+1595</f>
        <v>4570</v>
      </c>
      <c r="J4137" s="45">
        <f>2975+1595</f>
        <v>4570</v>
      </c>
      <c r="K4137" s="49" t="s">
        <v>790</v>
      </c>
      <c r="L4137" s="45"/>
      <c r="M4137" s="3"/>
    </row>
    <row r="4138" spans="1:13" ht="25.5" x14ac:dyDescent="0.25">
      <c r="A4138" s="46" t="s">
        <v>1433</v>
      </c>
      <c r="B4138" s="46" t="s">
        <v>38</v>
      </c>
      <c r="C4138" s="46" t="s">
        <v>14</v>
      </c>
      <c r="D4138" s="47">
        <v>6168</v>
      </c>
      <c r="E4138" s="46" t="s">
        <v>1434</v>
      </c>
      <c r="F4138" s="48">
        <v>39814</v>
      </c>
      <c r="G4138" s="48">
        <v>41639</v>
      </c>
      <c r="H4138" s="46" t="s">
        <v>40</v>
      </c>
      <c r="I4138" s="45">
        <f>147579.16+68084.12</f>
        <v>215663.28</v>
      </c>
      <c r="J4138" s="45">
        <f>147579.16+68084.12</f>
        <v>215663.28</v>
      </c>
      <c r="K4138" s="49" t="s">
        <v>790</v>
      </c>
      <c r="L4138" s="45"/>
      <c r="M4138" s="3"/>
    </row>
    <row r="4139" spans="1:13" ht="25.5" x14ac:dyDescent="0.25">
      <c r="A4139" s="46" t="s">
        <v>1435</v>
      </c>
      <c r="B4139" s="46" t="s">
        <v>38</v>
      </c>
      <c r="C4139" s="46" t="s">
        <v>14</v>
      </c>
      <c r="D4139" s="47">
        <v>6169</v>
      </c>
      <c r="E4139" s="46" t="s">
        <v>1436</v>
      </c>
      <c r="F4139" s="48">
        <v>39814</v>
      </c>
      <c r="G4139" s="48">
        <v>41639</v>
      </c>
      <c r="H4139" s="46" t="s">
        <v>40</v>
      </c>
      <c r="I4139" s="45">
        <v>6069.13</v>
      </c>
      <c r="J4139" s="45">
        <v>5987.26</v>
      </c>
      <c r="K4139" s="49" t="s">
        <v>790</v>
      </c>
      <c r="L4139" s="45"/>
      <c r="M4139" s="3"/>
    </row>
    <row r="4140" spans="1:13" ht="38.25" x14ac:dyDescent="0.25">
      <c r="A4140" s="46" t="s">
        <v>1437</v>
      </c>
      <c r="B4140" s="46" t="s">
        <v>38</v>
      </c>
      <c r="C4140" s="46" t="s">
        <v>14</v>
      </c>
      <c r="D4140" s="47">
        <v>6170</v>
      </c>
      <c r="E4140" s="46" t="s">
        <v>1438</v>
      </c>
      <c r="F4140" s="48">
        <v>39814</v>
      </c>
      <c r="G4140" s="48">
        <v>41274</v>
      </c>
      <c r="H4140" s="46" t="s">
        <v>40</v>
      </c>
      <c r="I4140" s="45">
        <f>106819.4+308.47</f>
        <v>107127.87</v>
      </c>
      <c r="J4140" s="45">
        <f>93609.4+308.47</f>
        <v>93917.87</v>
      </c>
      <c r="K4140" s="49" t="s">
        <v>790</v>
      </c>
      <c r="L4140" s="45"/>
      <c r="M4140" s="3"/>
    </row>
    <row r="4141" spans="1:13" ht="25.5" x14ac:dyDescent="0.25">
      <c r="A4141" s="46" t="s">
        <v>1439</v>
      </c>
      <c r="B4141" s="46" t="s">
        <v>38</v>
      </c>
      <c r="C4141" s="46" t="s">
        <v>14</v>
      </c>
      <c r="D4141" s="47">
        <v>6171</v>
      </c>
      <c r="E4141" s="46" t="s">
        <v>1440</v>
      </c>
      <c r="F4141" s="48">
        <v>39814</v>
      </c>
      <c r="G4141" s="48">
        <v>41639</v>
      </c>
      <c r="H4141" s="46" t="s">
        <v>40</v>
      </c>
      <c r="I4141" s="45">
        <v>917.6</v>
      </c>
      <c r="J4141" s="45">
        <v>917.6</v>
      </c>
      <c r="K4141" s="49" t="s">
        <v>790</v>
      </c>
      <c r="L4141" s="45"/>
      <c r="M4141" s="3"/>
    </row>
    <row r="4142" spans="1:13" ht="25.5" x14ac:dyDescent="0.25">
      <c r="A4142" s="46" t="s">
        <v>1441</v>
      </c>
      <c r="B4142" s="46" t="s">
        <v>38</v>
      </c>
      <c r="C4142" s="46" t="s">
        <v>14</v>
      </c>
      <c r="D4142" s="47">
        <v>6172</v>
      </c>
      <c r="E4142" s="46" t="s">
        <v>1442</v>
      </c>
      <c r="F4142" s="48">
        <v>39814</v>
      </c>
      <c r="G4142" s="48">
        <v>41639</v>
      </c>
      <c r="H4142" s="46" t="s">
        <v>40</v>
      </c>
      <c r="I4142" s="45">
        <v>8981</v>
      </c>
      <c r="J4142" s="45">
        <v>8981</v>
      </c>
      <c r="K4142" s="49" t="s">
        <v>790</v>
      </c>
      <c r="L4142" s="45"/>
      <c r="M4142" s="3"/>
    </row>
    <row r="4143" spans="1:13" ht="25.5" x14ac:dyDescent="0.25">
      <c r="A4143" s="46" t="s">
        <v>1443</v>
      </c>
      <c r="B4143" s="46" t="s">
        <v>38</v>
      </c>
      <c r="C4143" s="46" t="s">
        <v>14</v>
      </c>
      <c r="D4143" s="47">
        <v>6176</v>
      </c>
      <c r="E4143" s="46" t="s">
        <v>1444</v>
      </c>
      <c r="F4143" s="48">
        <v>39814</v>
      </c>
      <c r="G4143" s="48">
        <v>41274</v>
      </c>
      <c r="H4143" s="46" t="s">
        <v>40</v>
      </c>
      <c r="I4143" s="45">
        <f>59596.83+7500</f>
        <v>67096.83</v>
      </c>
      <c r="J4143" s="45">
        <f>59596.83+7500</f>
        <v>67096.83</v>
      </c>
      <c r="K4143" s="49" t="s">
        <v>790</v>
      </c>
      <c r="L4143" s="45"/>
      <c r="M4143" s="3"/>
    </row>
    <row r="4144" spans="1:13" ht="63.75" x14ac:dyDescent="0.25">
      <c r="A4144" s="46" t="s">
        <v>1445</v>
      </c>
      <c r="B4144" s="46" t="s">
        <v>38</v>
      </c>
      <c r="C4144" s="46" t="s">
        <v>14</v>
      </c>
      <c r="D4144" s="47">
        <v>6177</v>
      </c>
      <c r="E4144" s="50" t="s">
        <v>1446</v>
      </c>
      <c r="F4144" s="48">
        <v>39814</v>
      </c>
      <c r="G4144" s="48">
        <v>41639</v>
      </c>
      <c r="H4144" s="46" t="s">
        <v>40</v>
      </c>
      <c r="I4144" s="45">
        <v>4686.93</v>
      </c>
      <c r="J4144" s="45">
        <v>4686.93</v>
      </c>
      <c r="K4144" s="49" t="s">
        <v>790</v>
      </c>
      <c r="L4144" s="45"/>
      <c r="M4144" s="3"/>
    </row>
    <row r="4145" spans="1:13" ht="25.5" x14ac:dyDescent="0.25">
      <c r="A4145" s="46" t="s">
        <v>1447</v>
      </c>
      <c r="B4145" s="46" t="s">
        <v>38</v>
      </c>
      <c r="C4145" s="46" t="s">
        <v>14</v>
      </c>
      <c r="D4145" s="47">
        <v>6178</v>
      </c>
      <c r="E4145" s="46" t="s">
        <v>1448</v>
      </c>
      <c r="F4145" s="48">
        <v>39814</v>
      </c>
      <c r="G4145" s="48">
        <v>41639</v>
      </c>
      <c r="H4145" s="46" t="s">
        <v>40</v>
      </c>
      <c r="I4145" s="45">
        <f>11290.78+10662.34</f>
        <v>21953.120000000003</v>
      </c>
      <c r="J4145" s="45">
        <f>10984.38+10662.34</f>
        <v>21646.720000000001</v>
      </c>
      <c r="K4145" s="49" t="s">
        <v>790</v>
      </c>
      <c r="L4145" s="45"/>
      <c r="M4145" s="3"/>
    </row>
    <row r="4146" spans="1:13" ht="25.5" x14ac:dyDescent="0.25">
      <c r="A4146" s="46" t="s">
        <v>1449</v>
      </c>
      <c r="B4146" s="46" t="s">
        <v>38</v>
      </c>
      <c r="C4146" s="46" t="s">
        <v>14</v>
      </c>
      <c r="D4146" s="47">
        <v>6481</v>
      </c>
      <c r="E4146" s="46" t="s">
        <v>1211</v>
      </c>
      <c r="F4146" s="48">
        <v>39814</v>
      </c>
      <c r="G4146" s="48">
        <v>41639</v>
      </c>
      <c r="H4146" s="46" t="s">
        <v>40</v>
      </c>
      <c r="I4146" s="45">
        <f>204514.57+54842.84</f>
        <v>259357.41</v>
      </c>
      <c r="J4146" s="45">
        <f>204514.57+54842.84</f>
        <v>259357.41</v>
      </c>
      <c r="K4146" s="49" t="s">
        <v>790</v>
      </c>
      <c r="L4146" s="45"/>
      <c r="M4146" s="3"/>
    </row>
    <row r="4147" spans="1:13" ht="25.5" x14ac:dyDescent="0.25">
      <c r="A4147" s="46" t="s">
        <v>1520</v>
      </c>
      <c r="B4147" s="46" t="s">
        <v>38</v>
      </c>
      <c r="C4147" s="46" t="s">
        <v>14</v>
      </c>
      <c r="D4147" s="47">
        <v>7148</v>
      </c>
      <c r="E4147" s="46" t="s">
        <v>1368</v>
      </c>
      <c r="F4147" s="48">
        <v>39814</v>
      </c>
      <c r="G4147" s="48">
        <v>40543</v>
      </c>
      <c r="H4147" s="46" t="s">
        <v>40</v>
      </c>
      <c r="I4147" s="45">
        <v>30000</v>
      </c>
      <c r="J4147" s="45">
        <v>30000</v>
      </c>
      <c r="K4147" s="49" t="s">
        <v>790</v>
      </c>
      <c r="L4147" s="45"/>
      <c r="M4147" s="3"/>
    </row>
    <row r="4148" spans="1:13" ht="25.5" x14ac:dyDescent="0.25">
      <c r="A4148" s="46" t="s">
        <v>1521</v>
      </c>
      <c r="B4148" s="46" t="s">
        <v>38</v>
      </c>
      <c r="C4148" s="46" t="s">
        <v>14</v>
      </c>
      <c r="D4148" s="47">
        <v>7149</v>
      </c>
      <c r="E4148" s="46" t="s">
        <v>1151</v>
      </c>
      <c r="F4148" s="48">
        <v>39814</v>
      </c>
      <c r="G4148" s="48">
        <v>40543</v>
      </c>
      <c r="H4148" s="46" t="s">
        <v>40</v>
      </c>
      <c r="I4148" s="45">
        <v>2000</v>
      </c>
      <c r="J4148" s="45">
        <v>2000</v>
      </c>
      <c r="K4148" s="49" t="s">
        <v>790</v>
      </c>
      <c r="L4148" s="45"/>
      <c r="M4148" s="3"/>
    </row>
    <row r="4149" spans="1:13" ht="25.5" x14ac:dyDescent="0.25">
      <c r="A4149" s="46" t="s">
        <v>1522</v>
      </c>
      <c r="B4149" s="46" t="s">
        <v>38</v>
      </c>
      <c r="C4149" s="46" t="s">
        <v>14</v>
      </c>
      <c r="D4149" s="47">
        <v>7150</v>
      </c>
      <c r="E4149" s="46" t="s">
        <v>1292</v>
      </c>
      <c r="F4149" s="48">
        <v>40360</v>
      </c>
      <c r="G4149" s="48">
        <v>40908</v>
      </c>
      <c r="H4149" s="46" t="s">
        <v>40</v>
      </c>
      <c r="I4149" s="45">
        <v>15702.35</v>
      </c>
      <c r="J4149" s="45">
        <v>15702.35</v>
      </c>
      <c r="K4149" s="49" t="s">
        <v>790</v>
      </c>
      <c r="L4149" s="45"/>
      <c r="M4149" s="3"/>
    </row>
    <row r="4150" spans="1:13" ht="25.5" x14ac:dyDescent="0.25">
      <c r="A4150" s="46" t="s">
        <v>1523</v>
      </c>
      <c r="B4150" s="46" t="s">
        <v>38</v>
      </c>
      <c r="C4150" s="46" t="s">
        <v>14</v>
      </c>
      <c r="D4150" s="47">
        <v>7151</v>
      </c>
      <c r="E4150" s="46" t="s">
        <v>1294</v>
      </c>
      <c r="F4150" s="48">
        <v>40179</v>
      </c>
      <c r="G4150" s="48">
        <v>40543</v>
      </c>
      <c r="H4150" s="46" t="s">
        <v>40</v>
      </c>
      <c r="I4150" s="45">
        <v>9782.86</v>
      </c>
      <c r="J4150" s="45">
        <v>6951.14</v>
      </c>
      <c r="K4150" s="49" t="s">
        <v>790</v>
      </c>
      <c r="L4150" s="45"/>
      <c r="M4150" s="3"/>
    </row>
    <row r="4151" spans="1:13" ht="38.25" x14ac:dyDescent="0.25">
      <c r="A4151" s="46" t="s">
        <v>1524</v>
      </c>
      <c r="B4151" s="46" t="s">
        <v>38</v>
      </c>
      <c r="C4151" s="46" t="s">
        <v>14</v>
      </c>
      <c r="D4151" s="47">
        <v>7152</v>
      </c>
      <c r="E4151" s="46" t="s">
        <v>1525</v>
      </c>
      <c r="F4151" s="48">
        <v>40179</v>
      </c>
      <c r="G4151" s="48">
        <v>40543</v>
      </c>
      <c r="H4151" s="46" t="s">
        <v>40</v>
      </c>
      <c r="I4151" s="45">
        <v>3244.7</v>
      </c>
      <c r="J4151" s="45">
        <v>1069.7</v>
      </c>
      <c r="K4151" s="49" t="s">
        <v>790</v>
      </c>
      <c r="L4151" s="45"/>
      <c r="M4151" s="3"/>
    </row>
    <row r="4152" spans="1:13" ht="63.75" x14ac:dyDescent="0.25">
      <c r="A4152" s="46" t="s">
        <v>1526</v>
      </c>
      <c r="B4152" s="46" t="s">
        <v>38</v>
      </c>
      <c r="C4152" s="46" t="s">
        <v>14</v>
      </c>
      <c r="D4152" s="47">
        <v>7153</v>
      </c>
      <c r="E4152" s="50" t="s">
        <v>1527</v>
      </c>
      <c r="F4152" s="48">
        <v>40179</v>
      </c>
      <c r="G4152" s="48">
        <v>40543</v>
      </c>
      <c r="H4152" s="46" t="s">
        <v>40</v>
      </c>
      <c r="I4152" s="45">
        <v>5000</v>
      </c>
      <c r="J4152" s="45">
        <v>5000</v>
      </c>
      <c r="K4152" s="49" t="s">
        <v>790</v>
      </c>
      <c r="L4152" s="45"/>
      <c r="M4152" s="3"/>
    </row>
    <row r="4153" spans="1:13" ht="76.5" x14ac:dyDescent="0.25">
      <c r="A4153" s="46" t="s">
        <v>1528</v>
      </c>
      <c r="B4153" s="46" t="s">
        <v>38</v>
      </c>
      <c r="C4153" s="46" t="s">
        <v>14</v>
      </c>
      <c r="D4153" s="47">
        <v>7154</v>
      </c>
      <c r="E4153" s="50" t="s">
        <v>1298</v>
      </c>
      <c r="F4153" s="48">
        <v>40179</v>
      </c>
      <c r="G4153" s="48">
        <v>40543</v>
      </c>
      <c r="H4153" s="46" t="s">
        <v>40</v>
      </c>
      <c r="I4153" s="45">
        <v>4500</v>
      </c>
      <c r="J4153" s="45">
        <v>4500</v>
      </c>
      <c r="K4153" s="49" t="s">
        <v>790</v>
      </c>
      <c r="L4153" s="45"/>
      <c r="M4153" s="3"/>
    </row>
    <row r="4154" spans="1:13" ht="25.5" x14ac:dyDescent="0.25">
      <c r="A4154" s="46" t="s">
        <v>1529</v>
      </c>
      <c r="B4154" s="46" t="s">
        <v>38</v>
      </c>
      <c r="C4154" s="46" t="s">
        <v>14</v>
      </c>
      <c r="D4154" s="47">
        <v>7155</v>
      </c>
      <c r="E4154" s="46" t="s">
        <v>1316</v>
      </c>
      <c r="F4154" s="48">
        <v>40179</v>
      </c>
      <c r="G4154" s="48">
        <v>40543</v>
      </c>
      <c r="H4154" s="46" t="s">
        <v>40</v>
      </c>
      <c r="I4154" s="45">
        <v>5720.88</v>
      </c>
      <c r="J4154" s="45">
        <v>2408.67</v>
      </c>
      <c r="K4154" s="49" t="s">
        <v>790</v>
      </c>
      <c r="L4154" s="45"/>
      <c r="M4154" s="3"/>
    </row>
    <row r="4155" spans="1:13" ht="38.25" x14ac:dyDescent="0.25">
      <c r="A4155" s="46" t="s">
        <v>1530</v>
      </c>
      <c r="B4155" s="46" t="s">
        <v>38</v>
      </c>
      <c r="C4155" s="46" t="s">
        <v>14</v>
      </c>
      <c r="D4155" s="47">
        <v>7156</v>
      </c>
      <c r="E4155" s="46" t="s">
        <v>1531</v>
      </c>
      <c r="F4155" s="48">
        <v>40179</v>
      </c>
      <c r="G4155" s="48">
        <v>40908</v>
      </c>
      <c r="H4155" s="46" t="s">
        <v>40</v>
      </c>
      <c r="I4155" s="45">
        <v>10299.6</v>
      </c>
      <c r="J4155" s="45">
        <v>10154.4</v>
      </c>
      <c r="K4155" s="49" t="s">
        <v>790</v>
      </c>
      <c r="L4155" s="45"/>
      <c r="M4155" s="3"/>
    </row>
    <row r="4156" spans="1:13" ht="38.25" x14ac:dyDescent="0.25">
      <c r="A4156" s="46" t="s">
        <v>1532</v>
      </c>
      <c r="B4156" s="46" t="s">
        <v>38</v>
      </c>
      <c r="C4156" s="46" t="s">
        <v>14</v>
      </c>
      <c r="D4156" s="47">
        <v>7178</v>
      </c>
      <c r="E4156" s="50" t="s">
        <v>1533</v>
      </c>
      <c r="F4156" s="48">
        <v>40179</v>
      </c>
      <c r="G4156" s="48">
        <v>40543</v>
      </c>
      <c r="H4156" s="46" t="s">
        <v>40</v>
      </c>
      <c r="I4156" s="45">
        <v>699.62</v>
      </c>
      <c r="J4156" s="45">
        <v>699.62</v>
      </c>
      <c r="K4156" s="49" t="s">
        <v>790</v>
      </c>
      <c r="L4156" s="45"/>
      <c r="M4156" s="3"/>
    </row>
    <row r="4157" spans="1:13" ht="25.5" x14ac:dyDescent="0.25">
      <c r="A4157" s="46" t="s">
        <v>1534</v>
      </c>
      <c r="B4157" s="46" t="s">
        <v>38</v>
      </c>
      <c r="C4157" s="46" t="s">
        <v>14</v>
      </c>
      <c r="D4157" s="47">
        <v>7179</v>
      </c>
      <c r="E4157" s="46" t="s">
        <v>1105</v>
      </c>
      <c r="F4157" s="48">
        <v>40179</v>
      </c>
      <c r="G4157" s="48">
        <v>40543</v>
      </c>
      <c r="H4157" s="46" t="s">
        <v>40</v>
      </c>
      <c r="I4157" s="45">
        <v>1800</v>
      </c>
      <c r="J4157" s="45">
        <v>1300</v>
      </c>
      <c r="K4157" s="49" t="s">
        <v>790</v>
      </c>
      <c r="L4157" s="45"/>
      <c r="M4157" s="3"/>
    </row>
    <row r="4158" spans="1:13" ht="25.5" x14ac:dyDescent="0.25">
      <c r="A4158" s="46" t="s">
        <v>1535</v>
      </c>
      <c r="B4158" s="46" t="s">
        <v>38</v>
      </c>
      <c r="C4158" s="46" t="s">
        <v>14</v>
      </c>
      <c r="D4158" s="47">
        <v>7180</v>
      </c>
      <c r="E4158" s="46" t="s">
        <v>1125</v>
      </c>
      <c r="F4158" s="48">
        <v>40179</v>
      </c>
      <c r="G4158" s="48">
        <v>40908</v>
      </c>
      <c r="H4158" s="46" t="s">
        <v>40</v>
      </c>
      <c r="I4158" s="45">
        <v>39850.730000000003</v>
      </c>
      <c r="J4158" s="45">
        <v>38520.730000000003</v>
      </c>
      <c r="K4158" s="49" t="s">
        <v>790</v>
      </c>
      <c r="L4158" s="45"/>
      <c r="M4158" s="3"/>
    </row>
    <row r="4159" spans="1:13" ht="25.5" x14ac:dyDescent="0.25">
      <c r="A4159" s="46" t="s">
        <v>1536</v>
      </c>
      <c r="B4159" s="46" t="s">
        <v>38</v>
      </c>
      <c r="C4159" s="46" t="s">
        <v>14</v>
      </c>
      <c r="D4159" s="47">
        <v>7181</v>
      </c>
      <c r="E4159" s="46" t="s">
        <v>1537</v>
      </c>
      <c r="F4159" s="48">
        <v>40179</v>
      </c>
      <c r="G4159" s="48">
        <v>40908</v>
      </c>
      <c r="H4159" s="46" t="s">
        <v>40</v>
      </c>
      <c r="I4159" s="45">
        <v>591.37</v>
      </c>
      <c r="J4159" s="45">
        <v>591.37</v>
      </c>
      <c r="K4159" s="49" t="s">
        <v>790</v>
      </c>
      <c r="L4159" s="45"/>
      <c r="M4159" s="3"/>
    </row>
    <row r="4160" spans="1:13" ht="51" x14ac:dyDescent="0.25">
      <c r="A4160" s="46" t="s">
        <v>1538</v>
      </c>
      <c r="B4160" s="46" t="s">
        <v>38</v>
      </c>
      <c r="C4160" s="46" t="s">
        <v>14</v>
      </c>
      <c r="D4160" s="47">
        <v>7182</v>
      </c>
      <c r="E4160" s="50" t="s">
        <v>1539</v>
      </c>
      <c r="F4160" s="48">
        <v>40179</v>
      </c>
      <c r="G4160" s="48">
        <v>40908</v>
      </c>
      <c r="H4160" s="46" t="s">
        <v>40</v>
      </c>
      <c r="I4160" s="45">
        <v>9495.75</v>
      </c>
      <c r="J4160" s="45">
        <v>9495.75</v>
      </c>
      <c r="K4160" s="49" t="s">
        <v>790</v>
      </c>
      <c r="L4160" s="45"/>
      <c r="M4160" s="3"/>
    </row>
    <row r="4161" spans="1:13" ht="63.75" x14ac:dyDescent="0.25">
      <c r="A4161" s="46" t="s">
        <v>1540</v>
      </c>
      <c r="B4161" s="46" t="s">
        <v>38</v>
      </c>
      <c r="C4161" s="46" t="s">
        <v>14</v>
      </c>
      <c r="D4161" s="47">
        <v>7183</v>
      </c>
      <c r="E4161" s="50" t="s">
        <v>1541</v>
      </c>
      <c r="F4161" s="48">
        <v>40179</v>
      </c>
      <c r="G4161" s="48">
        <v>40543</v>
      </c>
      <c r="H4161" s="46" t="s">
        <v>40</v>
      </c>
      <c r="I4161" s="45">
        <v>6642.16</v>
      </c>
      <c r="J4161" s="45">
        <v>5222.16</v>
      </c>
      <c r="K4161" s="49" t="s">
        <v>790</v>
      </c>
      <c r="L4161" s="45"/>
      <c r="M4161" s="3"/>
    </row>
    <row r="4162" spans="1:13" ht="38.25" x14ac:dyDescent="0.25">
      <c r="A4162" s="46" t="s">
        <v>1542</v>
      </c>
      <c r="B4162" s="46" t="s">
        <v>38</v>
      </c>
      <c r="C4162" s="46" t="s">
        <v>14</v>
      </c>
      <c r="D4162" s="47">
        <v>7184</v>
      </c>
      <c r="E4162" s="46" t="s">
        <v>1543</v>
      </c>
      <c r="F4162" s="48">
        <v>40179</v>
      </c>
      <c r="G4162" s="48">
        <v>40908</v>
      </c>
      <c r="H4162" s="46" t="s">
        <v>40</v>
      </c>
      <c r="I4162" s="45">
        <v>6056.1</v>
      </c>
      <c r="J4162" s="45">
        <v>5049.34</v>
      </c>
      <c r="K4162" s="49" t="s">
        <v>790</v>
      </c>
      <c r="L4162" s="45"/>
      <c r="M4162" s="3"/>
    </row>
    <row r="4163" spans="1:13" ht="25.5" x14ac:dyDescent="0.25">
      <c r="A4163" s="46" t="s">
        <v>1544</v>
      </c>
      <c r="B4163" s="46" t="s">
        <v>38</v>
      </c>
      <c r="C4163" s="46" t="s">
        <v>14</v>
      </c>
      <c r="D4163" s="47">
        <v>7185</v>
      </c>
      <c r="E4163" s="46" t="s">
        <v>1545</v>
      </c>
      <c r="F4163" s="48">
        <v>40179</v>
      </c>
      <c r="G4163" s="48">
        <v>40543</v>
      </c>
      <c r="H4163" s="46" t="s">
        <v>40</v>
      </c>
      <c r="I4163" s="45">
        <v>2584.56</v>
      </c>
      <c r="J4163" s="45">
        <v>2584.56</v>
      </c>
      <c r="K4163" s="49" t="s">
        <v>790</v>
      </c>
      <c r="L4163" s="45"/>
      <c r="M4163" s="3"/>
    </row>
    <row r="4164" spans="1:13" ht="38.25" x14ac:dyDescent="0.25">
      <c r="A4164" s="46" t="s">
        <v>1546</v>
      </c>
      <c r="B4164" s="46" t="s">
        <v>38</v>
      </c>
      <c r="C4164" s="46" t="s">
        <v>14</v>
      </c>
      <c r="D4164" s="47">
        <v>7186</v>
      </c>
      <c r="E4164" s="46" t="s">
        <v>1547</v>
      </c>
      <c r="F4164" s="48">
        <v>40179</v>
      </c>
      <c r="G4164" s="48">
        <v>40543</v>
      </c>
      <c r="H4164" s="46" t="s">
        <v>40</v>
      </c>
      <c r="I4164" s="45">
        <v>7838.47</v>
      </c>
      <c r="J4164" s="45">
        <v>7015.67</v>
      </c>
      <c r="K4164" s="49" t="s">
        <v>790</v>
      </c>
      <c r="L4164" s="45"/>
      <c r="M4164" s="3"/>
    </row>
    <row r="4165" spans="1:13" ht="51" x14ac:dyDescent="0.25">
      <c r="A4165" s="46" t="s">
        <v>1548</v>
      </c>
      <c r="B4165" s="46" t="s">
        <v>38</v>
      </c>
      <c r="C4165" s="46" t="s">
        <v>14</v>
      </c>
      <c r="D4165" s="47">
        <v>7187</v>
      </c>
      <c r="E4165" s="50" t="s">
        <v>1549</v>
      </c>
      <c r="F4165" s="48">
        <v>40179</v>
      </c>
      <c r="G4165" s="48">
        <v>40543</v>
      </c>
      <c r="H4165" s="46" t="s">
        <v>40</v>
      </c>
      <c r="I4165" s="45">
        <v>1735.5</v>
      </c>
      <c r="J4165" s="45">
        <v>1735.5</v>
      </c>
      <c r="K4165" s="49" t="s">
        <v>790</v>
      </c>
      <c r="L4165" s="45"/>
      <c r="M4165" s="3"/>
    </row>
    <row r="4166" spans="1:13" ht="63.75" x14ac:dyDescent="0.25">
      <c r="A4166" s="46" t="s">
        <v>1550</v>
      </c>
      <c r="B4166" s="46" t="s">
        <v>38</v>
      </c>
      <c r="C4166" s="46" t="s">
        <v>14</v>
      </c>
      <c r="D4166" s="47">
        <v>7188</v>
      </c>
      <c r="E4166" s="50" t="s">
        <v>1551</v>
      </c>
      <c r="F4166" s="48">
        <v>40179</v>
      </c>
      <c r="G4166" s="48">
        <v>40543</v>
      </c>
      <c r="H4166" s="46" t="s">
        <v>40</v>
      </c>
      <c r="I4166" s="45">
        <v>949.2</v>
      </c>
      <c r="J4166" s="45">
        <v>809.2</v>
      </c>
      <c r="K4166" s="49" t="s">
        <v>790</v>
      </c>
      <c r="L4166" s="45"/>
      <c r="M4166" s="3"/>
    </row>
    <row r="4167" spans="1:13" ht="25.5" x14ac:dyDescent="0.25">
      <c r="A4167" s="46" t="s">
        <v>1552</v>
      </c>
      <c r="B4167" s="46" t="s">
        <v>38</v>
      </c>
      <c r="C4167" s="46" t="s">
        <v>14</v>
      </c>
      <c r="D4167" s="47">
        <v>7189</v>
      </c>
      <c r="E4167" s="46" t="s">
        <v>1362</v>
      </c>
      <c r="F4167" s="48">
        <v>40179</v>
      </c>
      <c r="G4167" s="48">
        <v>40543</v>
      </c>
      <c r="H4167" s="46" t="s">
        <v>40</v>
      </c>
      <c r="I4167" s="45">
        <v>37488.71</v>
      </c>
      <c r="J4167" s="45">
        <v>29838.71</v>
      </c>
      <c r="K4167" s="49" t="s">
        <v>790</v>
      </c>
      <c r="L4167" s="45"/>
      <c r="M4167" s="3"/>
    </row>
    <row r="4168" spans="1:13" ht="25.5" x14ac:dyDescent="0.25">
      <c r="A4168" s="46" t="s">
        <v>1567</v>
      </c>
      <c r="B4168" s="46" t="s">
        <v>38</v>
      </c>
      <c r="C4168" s="46" t="s">
        <v>14</v>
      </c>
      <c r="D4168" s="47">
        <v>7412</v>
      </c>
      <c r="E4168" s="46" t="s">
        <v>1568</v>
      </c>
      <c r="F4168" s="48">
        <v>40506</v>
      </c>
      <c r="G4168" s="48">
        <v>40543</v>
      </c>
      <c r="H4168" s="46" t="s">
        <v>40</v>
      </c>
      <c r="I4168" s="45">
        <v>2665</v>
      </c>
      <c r="J4168" s="45">
        <v>2665</v>
      </c>
      <c r="K4168" s="49" t="s">
        <v>790</v>
      </c>
      <c r="L4168" s="45"/>
      <c r="M4168" s="3"/>
    </row>
    <row r="4169" spans="1:13" ht="25.5" x14ac:dyDescent="0.25">
      <c r="A4169" s="46" t="s">
        <v>1569</v>
      </c>
      <c r="B4169" s="46" t="s">
        <v>38</v>
      </c>
      <c r="C4169" s="46" t="s">
        <v>14</v>
      </c>
      <c r="D4169" s="47">
        <v>7413</v>
      </c>
      <c r="E4169" s="46" t="s">
        <v>1570</v>
      </c>
      <c r="F4169" s="48">
        <v>40179</v>
      </c>
      <c r="G4169" s="48">
        <v>40908</v>
      </c>
      <c r="H4169" s="46" t="s">
        <v>40</v>
      </c>
      <c r="I4169" s="45">
        <v>9400</v>
      </c>
      <c r="J4169" s="45">
        <v>9400</v>
      </c>
      <c r="K4169" s="49" t="s">
        <v>790</v>
      </c>
      <c r="L4169" s="45"/>
      <c r="M4169" s="3"/>
    </row>
    <row r="4170" spans="1:13" ht="76.5" x14ac:dyDescent="0.25">
      <c r="A4170" s="46" t="s">
        <v>1571</v>
      </c>
      <c r="B4170" s="46" t="s">
        <v>38</v>
      </c>
      <c r="C4170" s="46" t="s">
        <v>14</v>
      </c>
      <c r="D4170" s="47">
        <v>7414</v>
      </c>
      <c r="E4170" s="50" t="s">
        <v>1298</v>
      </c>
      <c r="F4170" s="48">
        <v>40179</v>
      </c>
      <c r="G4170" s="48">
        <v>40209</v>
      </c>
      <c r="H4170" s="46" t="s">
        <v>40</v>
      </c>
      <c r="I4170" s="45">
        <v>4500</v>
      </c>
      <c r="J4170" s="45">
        <v>4500</v>
      </c>
      <c r="K4170" s="49" t="s">
        <v>790</v>
      </c>
      <c r="L4170" s="45"/>
      <c r="M4170" s="3"/>
    </row>
    <row r="4171" spans="1:13" ht="25.5" x14ac:dyDescent="0.25">
      <c r="A4171" s="46" t="s">
        <v>1572</v>
      </c>
      <c r="B4171" s="46" t="s">
        <v>38</v>
      </c>
      <c r="C4171" s="46" t="s">
        <v>14</v>
      </c>
      <c r="D4171" s="47">
        <v>7415</v>
      </c>
      <c r="E4171" s="46" t="s">
        <v>1573</v>
      </c>
      <c r="F4171" s="48">
        <v>40179</v>
      </c>
      <c r="G4171" s="48">
        <v>40543</v>
      </c>
      <c r="H4171" s="46" t="s">
        <v>40</v>
      </c>
      <c r="I4171" s="45">
        <v>1062</v>
      </c>
      <c r="J4171" s="45">
        <v>912</v>
      </c>
      <c r="K4171" s="49" t="s">
        <v>790</v>
      </c>
      <c r="L4171" s="45"/>
      <c r="M4171" s="3"/>
    </row>
    <row r="4172" spans="1:13" ht="25.5" x14ac:dyDescent="0.25">
      <c r="A4172" s="46" t="s">
        <v>1529</v>
      </c>
      <c r="B4172" s="46" t="s">
        <v>38</v>
      </c>
      <c r="C4172" s="46" t="s">
        <v>14</v>
      </c>
      <c r="D4172" s="47">
        <v>7416</v>
      </c>
      <c r="E4172" s="46" t="s">
        <v>1574</v>
      </c>
      <c r="F4172" s="48">
        <v>40179</v>
      </c>
      <c r="G4172" s="48">
        <v>40543</v>
      </c>
      <c r="H4172" s="46" t="s">
        <v>40</v>
      </c>
      <c r="I4172" s="45">
        <v>2507.25</v>
      </c>
      <c r="J4172" s="45">
        <v>2507.25</v>
      </c>
      <c r="K4172" s="49" t="s">
        <v>790</v>
      </c>
      <c r="L4172" s="45"/>
      <c r="M4172" s="3"/>
    </row>
    <row r="4173" spans="1:13" ht="25.5" x14ac:dyDescent="0.25">
      <c r="A4173" s="46" t="s">
        <v>1522</v>
      </c>
      <c r="B4173" s="46" t="s">
        <v>38</v>
      </c>
      <c r="C4173" s="46" t="s">
        <v>14</v>
      </c>
      <c r="D4173" s="47">
        <v>7417</v>
      </c>
      <c r="E4173" s="46" t="s">
        <v>1575</v>
      </c>
      <c r="F4173" s="48">
        <v>40330</v>
      </c>
      <c r="G4173" s="48">
        <v>41060</v>
      </c>
      <c r="H4173" s="46" t="s">
        <v>40</v>
      </c>
      <c r="I4173" s="45">
        <v>219283.35</v>
      </c>
      <c r="J4173" s="45">
        <v>21323.35</v>
      </c>
      <c r="K4173" s="49" t="s">
        <v>790</v>
      </c>
      <c r="L4173" s="45"/>
      <c r="M4173" s="3"/>
    </row>
    <row r="4174" spans="1:13" ht="25.5" x14ac:dyDescent="0.25">
      <c r="A4174" s="46" t="s">
        <v>1576</v>
      </c>
      <c r="B4174" s="46" t="s">
        <v>38</v>
      </c>
      <c r="C4174" s="46" t="s">
        <v>14</v>
      </c>
      <c r="D4174" s="47">
        <v>7418</v>
      </c>
      <c r="E4174" s="46" t="s">
        <v>1577</v>
      </c>
      <c r="F4174" s="48">
        <v>40179</v>
      </c>
      <c r="G4174" s="48">
        <v>40543</v>
      </c>
      <c r="H4174" s="46" t="s">
        <v>40</v>
      </c>
      <c r="I4174" s="45">
        <v>314.60000000000002</v>
      </c>
      <c r="J4174" s="45">
        <v>314.60000000000002</v>
      </c>
      <c r="K4174" s="49" t="s">
        <v>790</v>
      </c>
      <c r="L4174" s="45"/>
      <c r="M4174" s="3"/>
    </row>
    <row r="4175" spans="1:13" ht="25.5" x14ac:dyDescent="0.25">
      <c r="A4175" s="46" t="s">
        <v>1578</v>
      </c>
      <c r="B4175" s="46" t="s">
        <v>38</v>
      </c>
      <c r="C4175" s="46" t="s">
        <v>14</v>
      </c>
      <c r="D4175" s="47">
        <v>7419</v>
      </c>
      <c r="E4175" s="46" t="s">
        <v>1579</v>
      </c>
      <c r="F4175" s="48">
        <v>40179</v>
      </c>
      <c r="G4175" s="48">
        <v>40543</v>
      </c>
      <c r="H4175" s="46" t="s">
        <v>40</v>
      </c>
      <c r="I4175" s="45">
        <v>2437</v>
      </c>
      <c r="J4175" s="45">
        <v>2077</v>
      </c>
      <c r="K4175" s="49" t="s">
        <v>790</v>
      </c>
      <c r="L4175" s="45"/>
      <c r="M4175" s="3"/>
    </row>
    <row r="4176" spans="1:13" ht="25.5" x14ac:dyDescent="0.25">
      <c r="A4176" s="46" t="s">
        <v>1580</v>
      </c>
      <c r="B4176" s="46" t="s">
        <v>38</v>
      </c>
      <c r="C4176" s="46" t="s">
        <v>14</v>
      </c>
      <c r="D4176" s="47">
        <v>7420</v>
      </c>
      <c r="E4176" s="46" t="s">
        <v>1581</v>
      </c>
      <c r="F4176" s="48">
        <v>40179</v>
      </c>
      <c r="G4176" s="48">
        <v>40543</v>
      </c>
      <c r="H4176" s="46" t="s">
        <v>40</v>
      </c>
      <c r="I4176" s="45">
        <v>699.62</v>
      </c>
      <c r="J4176" s="45">
        <v>699.62</v>
      </c>
      <c r="K4176" s="49" t="s">
        <v>790</v>
      </c>
      <c r="L4176" s="45"/>
      <c r="M4176" s="3"/>
    </row>
    <row r="4177" spans="1:13" ht="25.5" x14ac:dyDescent="0.25">
      <c r="A4177" s="46" t="s">
        <v>1582</v>
      </c>
      <c r="B4177" s="46" t="s">
        <v>38</v>
      </c>
      <c r="C4177" s="46" t="s">
        <v>14</v>
      </c>
      <c r="D4177" s="47">
        <v>7421</v>
      </c>
      <c r="E4177" s="46" t="s">
        <v>1583</v>
      </c>
      <c r="F4177" s="48">
        <v>40179</v>
      </c>
      <c r="G4177" s="48">
        <v>40209</v>
      </c>
      <c r="H4177" s="46" t="s">
        <v>40</v>
      </c>
      <c r="I4177" s="45">
        <v>2769.4</v>
      </c>
      <c r="J4177" s="45">
        <v>2769.4</v>
      </c>
      <c r="K4177" s="49" t="s">
        <v>790</v>
      </c>
      <c r="L4177" s="45"/>
      <c r="M4177" s="3"/>
    </row>
    <row r="4178" spans="1:13" ht="25.5" x14ac:dyDescent="0.25">
      <c r="A4178" s="46" t="s">
        <v>1584</v>
      </c>
      <c r="B4178" s="46" t="s">
        <v>38</v>
      </c>
      <c r="C4178" s="46" t="s">
        <v>14</v>
      </c>
      <c r="D4178" s="47">
        <v>7422</v>
      </c>
      <c r="E4178" s="46" t="s">
        <v>1585</v>
      </c>
      <c r="F4178" s="48">
        <v>40179</v>
      </c>
      <c r="G4178" s="48">
        <v>40543</v>
      </c>
      <c r="H4178" s="46" t="s">
        <v>40</v>
      </c>
      <c r="I4178" s="45">
        <v>3475.5</v>
      </c>
      <c r="J4178" s="45">
        <v>2935.5</v>
      </c>
      <c r="K4178" s="49" t="s">
        <v>790</v>
      </c>
      <c r="L4178" s="45"/>
      <c r="M4178" s="3"/>
    </row>
    <row r="4179" spans="1:13" ht="25.5" x14ac:dyDescent="0.25">
      <c r="A4179" s="46" t="s">
        <v>1586</v>
      </c>
      <c r="B4179" s="46" t="s">
        <v>38</v>
      </c>
      <c r="C4179" s="46" t="s">
        <v>14</v>
      </c>
      <c r="D4179" s="47">
        <v>7424</v>
      </c>
      <c r="E4179" s="46" t="s">
        <v>1587</v>
      </c>
      <c r="F4179" s="48">
        <v>40179</v>
      </c>
      <c r="G4179" s="48">
        <v>40908</v>
      </c>
      <c r="H4179" s="46" t="s">
        <v>40</v>
      </c>
      <c r="I4179" s="45">
        <v>41530.5</v>
      </c>
      <c r="J4179" s="45">
        <v>36530.5</v>
      </c>
      <c r="K4179" s="49" t="s">
        <v>790</v>
      </c>
      <c r="L4179" s="45"/>
      <c r="M4179" s="3"/>
    </row>
    <row r="4180" spans="1:13" ht="25.5" x14ac:dyDescent="0.25">
      <c r="A4180" s="46" t="s">
        <v>1588</v>
      </c>
      <c r="B4180" s="46" t="s">
        <v>38</v>
      </c>
      <c r="C4180" s="46" t="s">
        <v>14</v>
      </c>
      <c r="D4180" s="47">
        <v>7425</v>
      </c>
      <c r="E4180" s="46" t="s">
        <v>1589</v>
      </c>
      <c r="F4180" s="48">
        <v>40179</v>
      </c>
      <c r="G4180" s="48">
        <v>40543</v>
      </c>
      <c r="H4180" s="46" t="s">
        <v>40</v>
      </c>
      <c r="I4180" s="45">
        <v>7377.37</v>
      </c>
      <c r="J4180" s="45">
        <v>5907.37</v>
      </c>
      <c r="K4180" s="49" t="s">
        <v>790</v>
      </c>
      <c r="L4180" s="45"/>
      <c r="M4180" s="3"/>
    </row>
    <row r="4181" spans="1:13" ht="25.5" x14ac:dyDescent="0.25">
      <c r="A4181" s="46" t="s">
        <v>1535</v>
      </c>
      <c r="B4181" s="46" t="s">
        <v>38</v>
      </c>
      <c r="C4181" s="46" t="s">
        <v>14</v>
      </c>
      <c r="D4181" s="47">
        <v>7438</v>
      </c>
      <c r="E4181" s="46" t="s">
        <v>1590</v>
      </c>
      <c r="F4181" s="48">
        <v>40179</v>
      </c>
      <c r="G4181" s="48">
        <v>40908</v>
      </c>
      <c r="H4181" s="46" t="s">
        <v>40</v>
      </c>
      <c r="I4181" s="45">
        <v>9175</v>
      </c>
      <c r="J4181" s="45">
        <v>9175</v>
      </c>
      <c r="K4181" s="49" t="s">
        <v>790</v>
      </c>
      <c r="L4181" s="45"/>
      <c r="M4181" s="3"/>
    </row>
    <row r="4182" spans="1:13" ht="25.5" x14ac:dyDescent="0.25">
      <c r="A4182" s="46" t="s">
        <v>1591</v>
      </c>
      <c r="B4182" s="46" t="s">
        <v>38</v>
      </c>
      <c r="C4182" s="46" t="s">
        <v>14</v>
      </c>
      <c r="D4182" s="47">
        <v>7439</v>
      </c>
      <c r="E4182" s="46" t="s">
        <v>1592</v>
      </c>
      <c r="F4182" s="48">
        <v>40179</v>
      </c>
      <c r="G4182" s="46"/>
      <c r="H4182" s="46" t="s">
        <v>40</v>
      </c>
      <c r="I4182" s="45">
        <v>1030.25</v>
      </c>
      <c r="J4182" s="45">
        <v>1030.25</v>
      </c>
      <c r="K4182" s="49" t="s">
        <v>790</v>
      </c>
      <c r="L4182" s="45"/>
      <c r="M4182" s="3"/>
    </row>
    <row r="4183" spans="1:13" ht="25.5" x14ac:dyDescent="0.25">
      <c r="A4183" s="46" t="s">
        <v>1593</v>
      </c>
      <c r="B4183" s="46" t="s">
        <v>38</v>
      </c>
      <c r="C4183" s="46" t="s">
        <v>14</v>
      </c>
      <c r="D4183" s="47">
        <v>7440</v>
      </c>
      <c r="E4183" s="46" t="s">
        <v>1594</v>
      </c>
      <c r="F4183" s="48">
        <v>40179</v>
      </c>
      <c r="G4183" s="48">
        <v>40543</v>
      </c>
      <c r="H4183" s="46" t="s">
        <v>40</v>
      </c>
      <c r="I4183" s="45">
        <v>7056.75</v>
      </c>
      <c r="J4183" s="45">
        <v>7056.75</v>
      </c>
      <c r="K4183" s="49" t="s">
        <v>790</v>
      </c>
      <c r="L4183" s="45"/>
      <c r="M4183" s="3"/>
    </row>
    <row r="4184" spans="1:13" ht="25.5" x14ac:dyDescent="0.25">
      <c r="A4184" s="46" t="s">
        <v>1595</v>
      </c>
      <c r="B4184" s="46" t="s">
        <v>38</v>
      </c>
      <c r="C4184" s="46" t="s">
        <v>14</v>
      </c>
      <c r="D4184" s="47">
        <v>7442</v>
      </c>
      <c r="E4184" s="46" t="s">
        <v>1596</v>
      </c>
      <c r="F4184" s="48">
        <v>40179</v>
      </c>
      <c r="G4184" s="48">
        <v>40543</v>
      </c>
      <c r="H4184" s="46" t="s">
        <v>40</v>
      </c>
      <c r="I4184" s="45">
        <v>975</v>
      </c>
      <c r="J4184" s="45">
        <v>615</v>
      </c>
      <c r="K4184" s="49" t="s">
        <v>790</v>
      </c>
      <c r="L4184" s="45"/>
      <c r="M4184" s="3"/>
    </row>
    <row r="4185" spans="1:13" ht="25.5" x14ac:dyDescent="0.25">
      <c r="A4185" s="46" t="s">
        <v>1597</v>
      </c>
      <c r="B4185" s="46" t="s">
        <v>38</v>
      </c>
      <c r="C4185" s="46" t="s">
        <v>14</v>
      </c>
      <c r="D4185" s="47">
        <v>7443</v>
      </c>
      <c r="E4185" s="46" t="s">
        <v>1598</v>
      </c>
      <c r="F4185" s="48">
        <v>40179</v>
      </c>
      <c r="G4185" s="48">
        <v>40543</v>
      </c>
      <c r="H4185" s="46" t="s">
        <v>40</v>
      </c>
      <c r="I4185" s="45">
        <v>4888.32</v>
      </c>
      <c r="J4185" s="45">
        <v>3478.32</v>
      </c>
      <c r="K4185" s="49" t="s">
        <v>790</v>
      </c>
      <c r="L4185" s="45"/>
      <c r="M4185" s="3"/>
    </row>
    <row r="4186" spans="1:13" ht="25.5" x14ac:dyDescent="0.25">
      <c r="A4186" s="46" t="s">
        <v>1599</v>
      </c>
      <c r="B4186" s="46" t="s">
        <v>38</v>
      </c>
      <c r="C4186" s="46" t="s">
        <v>14</v>
      </c>
      <c r="D4186" s="47">
        <v>7444</v>
      </c>
      <c r="E4186" s="46" t="s">
        <v>1600</v>
      </c>
      <c r="F4186" s="48">
        <v>40179</v>
      </c>
      <c r="G4186" s="48">
        <v>40543</v>
      </c>
      <c r="H4186" s="46" t="s">
        <v>40</v>
      </c>
      <c r="I4186" s="45">
        <v>1820</v>
      </c>
      <c r="J4186" s="45">
        <v>1310</v>
      </c>
      <c r="K4186" s="49" t="s">
        <v>790</v>
      </c>
      <c r="L4186" s="45"/>
      <c r="M4186" s="3"/>
    </row>
    <row r="4187" spans="1:13" ht="25.5" x14ac:dyDescent="0.25">
      <c r="A4187" s="46" t="s">
        <v>1601</v>
      </c>
      <c r="B4187" s="46" t="s">
        <v>38</v>
      </c>
      <c r="C4187" s="46" t="s">
        <v>14</v>
      </c>
      <c r="D4187" s="47">
        <v>7446</v>
      </c>
      <c r="E4187" s="46" t="s">
        <v>1602</v>
      </c>
      <c r="F4187" s="48">
        <v>40179</v>
      </c>
      <c r="G4187" s="48">
        <v>40543</v>
      </c>
      <c r="H4187" s="46" t="s">
        <v>40</v>
      </c>
      <c r="I4187" s="45">
        <v>21034.82</v>
      </c>
      <c r="J4187" s="45">
        <v>16984.82</v>
      </c>
      <c r="K4187" s="49" t="s">
        <v>790</v>
      </c>
      <c r="L4187" s="45"/>
      <c r="M4187" s="3"/>
    </row>
    <row r="4188" spans="1:13" ht="38.25" x14ac:dyDescent="0.25">
      <c r="A4188" s="46" t="s">
        <v>1603</v>
      </c>
      <c r="B4188" s="46" t="s">
        <v>38</v>
      </c>
      <c r="C4188" s="46" t="s">
        <v>14</v>
      </c>
      <c r="D4188" s="47">
        <v>7447</v>
      </c>
      <c r="E4188" s="46" t="s">
        <v>1604</v>
      </c>
      <c r="F4188" s="48">
        <v>40179</v>
      </c>
      <c r="G4188" s="48">
        <v>40543</v>
      </c>
      <c r="H4188" s="46" t="s">
        <v>40</v>
      </c>
      <c r="I4188" s="45">
        <v>44314.75</v>
      </c>
      <c r="J4188" s="45">
        <v>38054.75</v>
      </c>
      <c r="K4188" s="49" t="s">
        <v>790</v>
      </c>
      <c r="L4188" s="45"/>
      <c r="M4188" s="3"/>
    </row>
    <row r="4189" spans="1:13" ht="25.5" x14ac:dyDescent="0.25">
      <c r="A4189" s="46" t="s">
        <v>1605</v>
      </c>
      <c r="B4189" s="46" t="s">
        <v>38</v>
      </c>
      <c r="C4189" s="46" t="s">
        <v>14</v>
      </c>
      <c r="D4189" s="47">
        <v>7448</v>
      </c>
      <c r="E4189" s="46" t="s">
        <v>1606</v>
      </c>
      <c r="F4189" s="48">
        <v>40179</v>
      </c>
      <c r="G4189" s="48">
        <v>40543</v>
      </c>
      <c r="H4189" s="46" t="s">
        <v>40</v>
      </c>
      <c r="I4189" s="45">
        <v>3266.95</v>
      </c>
      <c r="J4189" s="45">
        <v>2546.9499999999998</v>
      </c>
      <c r="K4189" s="49" t="s">
        <v>790</v>
      </c>
      <c r="L4189" s="45"/>
      <c r="M4189" s="3"/>
    </row>
    <row r="4190" spans="1:13" ht="25.5" x14ac:dyDescent="0.25">
      <c r="A4190" s="46" t="s">
        <v>1609</v>
      </c>
      <c r="B4190" s="46" t="s">
        <v>38</v>
      </c>
      <c r="C4190" s="46" t="s">
        <v>14</v>
      </c>
      <c r="D4190" s="47">
        <v>7838</v>
      </c>
      <c r="E4190" s="46" t="s">
        <v>1610</v>
      </c>
      <c r="F4190" s="48">
        <v>40544</v>
      </c>
      <c r="G4190" s="48">
        <v>41274</v>
      </c>
      <c r="H4190" s="46" t="s">
        <v>40</v>
      </c>
      <c r="I4190" s="45">
        <v>8730.5</v>
      </c>
      <c r="J4190" s="45">
        <v>7255.5</v>
      </c>
      <c r="K4190" s="49" t="s">
        <v>790</v>
      </c>
      <c r="L4190" s="45"/>
      <c r="M4190" s="3"/>
    </row>
    <row r="4191" spans="1:13" ht="25.5" x14ac:dyDescent="0.25">
      <c r="A4191" s="46" t="s">
        <v>1611</v>
      </c>
      <c r="B4191" s="46" t="s">
        <v>38</v>
      </c>
      <c r="C4191" s="46" t="s">
        <v>14</v>
      </c>
      <c r="D4191" s="47">
        <v>7839</v>
      </c>
      <c r="E4191" s="46" t="s">
        <v>1612</v>
      </c>
      <c r="F4191" s="48">
        <v>40179</v>
      </c>
      <c r="G4191" s="48">
        <v>41639</v>
      </c>
      <c r="H4191" s="46" t="s">
        <v>40</v>
      </c>
      <c r="I4191" s="45">
        <v>4500</v>
      </c>
      <c r="J4191" s="45">
        <v>4500</v>
      </c>
      <c r="K4191" s="49" t="s">
        <v>790</v>
      </c>
      <c r="L4191" s="45"/>
      <c r="M4191" s="3"/>
    </row>
    <row r="4192" spans="1:13" ht="25.5" x14ac:dyDescent="0.25">
      <c r="A4192" s="46" t="s">
        <v>1613</v>
      </c>
      <c r="B4192" s="46" t="s">
        <v>38</v>
      </c>
      <c r="C4192" s="46" t="s">
        <v>14</v>
      </c>
      <c r="D4192" s="47">
        <v>7840</v>
      </c>
      <c r="E4192" s="46" t="s">
        <v>1614</v>
      </c>
      <c r="F4192" s="48">
        <v>40179</v>
      </c>
      <c r="G4192" s="48">
        <v>41274</v>
      </c>
      <c r="H4192" s="46" t="s">
        <v>40</v>
      </c>
      <c r="I4192" s="45">
        <f>15229+845</f>
        <v>16074</v>
      </c>
      <c r="J4192" s="45">
        <f>9904+845</f>
        <v>10749</v>
      </c>
      <c r="K4192" s="49" t="s">
        <v>790</v>
      </c>
      <c r="L4192" s="45"/>
      <c r="M4192" s="3"/>
    </row>
    <row r="4193" spans="1:13" ht="25.5" x14ac:dyDescent="0.25">
      <c r="A4193" s="46" t="s">
        <v>1615</v>
      </c>
      <c r="B4193" s="46" t="s">
        <v>38</v>
      </c>
      <c r="C4193" s="46" t="s">
        <v>14</v>
      </c>
      <c r="D4193" s="47">
        <v>7841</v>
      </c>
      <c r="E4193" s="46" t="s">
        <v>1616</v>
      </c>
      <c r="F4193" s="48">
        <v>40544</v>
      </c>
      <c r="G4193" s="48">
        <v>41274</v>
      </c>
      <c r="H4193" s="46" t="s">
        <v>40</v>
      </c>
      <c r="I4193" s="45">
        <f>4472.95+3170.35</f>
        <v>7643.2999999999993</v>
      </c>
      <c r="J4193" s="45">
        <f>1847.95+3170.35</f>
        <v>5018.3</v>
      </c>
      <c r="K4193" s="49" t="s">
        <v>790</v>
      </c>
      <c r="L4193" s="45"/>
      <c r="M4193" s="3"/>
    </row>
    <row r="4194" spans="1:13" ht="25.5" x14ac:dyDescent="0.25">
      <c r="A4194" s="46" t="s">
        <v>1617</v>
      </c>
      <c r="B4194" s="46" t="s">
        <v>38</v>
      </c>
      <c r="C4194" s="46" t="s">
        <v>14</v>
      </c>
      <c r="D4194" s="47">
        <v>7842</v>
      </c>
      <c r="E4194" s="46" t="s">
        <v>1618</v>
      </c>
      <c r="F4194" s="48">
        <v>40179</v>
      </c>
      <c r="G4194" s="48">
        <v>41274</v>
      </c>
      <c r="H4194" s="46" t="s">
        <v>40</v>
      </c>
      <c r="I4194" s="45">
        <f>7836.5+526</f>
        <v>8362.5</v>
      </c>
      <c r="J4194" s="45">
        <f>5536.5+526</f>
        <v>6062.5</v>
      </c>
      <c r="K4194" s="49" t="s">
        <v>790</v>
      </c>
      <c r="L4194" s="45"/>
      <c r="M4194" s="3"/>
    </row>
    <row r="4195" spans="1:13" ht="25.5" x14ac:dyDescent="0.25">
      <c r="A4195" s="46" t="s">
        <v>1619</v>
      </c>
      <c r="B4195" s="46" t="s">
        <v>38</v>
      </c>
      <c r="C4195" s="46" t="s">
        <v>14</v>
      </c>
      <c r="D4195" s="47">
        <v>7843</v>
      </c>
      <c r="E4195" s="46" t="s">
        <v>1620</v>
      </c>
      <c r="F4195" s="48">
        <v>40179</v>
      </c>
      <c r="G4195" s="48">
        <v>41274</v>
      </c>
      <c r="H4195" s="46" t="s">
        <v>40</v>
      </c>
      <c r="I4195" s="45">
        <f>6110.5+1111</f>
        <v>7221.5</v>
      </c>
      <c r="J4195" s="45">
        <f>4810.5+1111</f>
        <v>5921.5</v>
      </c>
      <c r="K4195" s="49" t="s">
        <v>790</v>
      </c>
      <c r="L4195" s="45"/>
      <c r="M4195" s="3"/>
    </row>
    <row r="4196" spans="1:13" ht="25.5" x14ac:dyDescent="0.25">
      <c r="A4196" s="46" t="s">
        <v>1621</v>
      </c>
      <c r="B4196" s="46" t="s">
        <v>38</v>
      </c>
      <c r="C4196" s="46" t="s">
        <v>14</v>
      </c>
      <c r="D4196" s="47">
        <v>7844</v>
      </c>
      <c r="E4196" s="46" t="s">
        <v>1622</v>
      </c>
      <c r="F4196" s="48">
        <v>40179</v>
      </c>
      <c r="G4196" s="48">
        <v>41639</v>
      </c>
      <c r="H4196" s="46" t="s">
        <v>40</v>
      </c>
      <c r="I4196" s="45">
        <v>2258.1</v>
      </c>
      <c r="J4196" s="45">
        <v>1733.1</v>
      </c>
      <c r="K4196" s="49" t="s">
        <v>790</v>
      </c>
      <c r="L4196" s="45"/>
      <c r="M4196" s="3"/>
    </row>
    <row r="4197" spans="1:13" ht="25.5" x14ac:dyDescent="0.25">
      <c r="A4197" s="46" t="s">
        <v>1623</v>
      </c>
      <c r="B4197" s="46" t="s">
        <v>38</v>
      </c>
      <c r="C4197" s="46" t="s">
        <v>14</v>
      </c>
      <c r="D4197" s="47">
        <v>7845</v>
      </c>
      <c r="E4197" s="46" t="s">
        <v>1624</v>
      </c>
      <c r="F4197" s="48">
        <v>40179</v>
      </c>
      <c r="G4197" s="48">
        <v>41639</v>
      </c>
      <c r="H4197" s="46" t="s">
        <v>40</v>
      </c>
      <c r="I4197" s="45">
        <v>900</v>
      </c>
      <c r="J4197" s="45">
        <v>810</v>
      </c>
      <c r="K4197" s="49" t="s">
        <v>790</v>
      </c>
      <c r="L4197" s="45"/>
      <c r="M4197" s="3"/>
    </row>
    <row r="4198" spans="1:13" ht="25.5" x14ac:dyDescent="0.25">
      <c r="A4198" s="46" t="s">
        <v>1625</v>
      </c>
      <c r="B4198" s="46" t="s">
        <v>38</v>
      </c>
      <c r="C4198" s="46" t="s">
        <v>14</v>
      </c>
      <c r="D4198" s="47">
        <v>7846</v>
      </c>
      <c r="E4198" s="46" t="s">
        <v>1626</v>
      </c>
      <c r="F4198" s="48">
        <v>40179</v>
      </c>
      <c r="G4198" s="48">
        <v>41639</v>
      </c>
      <c r="H4198" s="46" t="s">
        <v>40</v>
      </c>
      <c r="I4198" s="45">
        <v>3864</v>
      </c>
      <c r="J4198" s="45">
        <v>2814</v>
      </c>
      <c r="K4198" s="49" t="s">
        <v>790</v>
      </c>
      <c r="L4198" s="45"/>
      <c r="M4198" s="3"/>
    </row>
    <row r="4199" spans="1:13" ht="25.5" x14ac:dyDescent="0.25">
      <c r="A4199" s="46" t="s">
        <v>1627</v>
      </c>
      <c r="B4199" s="46" t="s">
        <v>38</v>
      </c>
      <c r="C4199" s="46" t="s">
        <v>14</v>
      </c>
      <c r="D4199" s="47">
        <v>7847</v>
      </c>
      <c r="E4199" s="46" t="s">
        <v>1628</v>
      </c>
      <c r="F4199" s="48">
        <v>40179</v>
      </c>
      <c r="G4199" s="48">
        <v>41274</v>
      </c>
      <c r="H4199" s="46" t="s">
        <v>40</v>
      </c>
      <c r="I4199" s="45">
        <v>2991.13</v>
      </c>
      <c r="J4199" s="45">
        <v>2041.13</v>
      </c>
      <c r="K4199" s="49" t="s">
        <v>790</v>
      </c>
      <c r="L4199" s="45"/>
      <c r="M4199" s="3"/>
    </row>
    <row r="4200" spans="1:13" ht="25.5" x14ac:dyDescent="0.25">
      <c r="A4200" s="46" t="s">
        <v>1629</v>
      </c>
      <c r="B4200" s="46" t="s">
        <v>38</v>
      </c>
      <c r="C4200" s="46" t="s">
        <v>14</v>
      </c>
      <c r="D4200" s="47">
        <v>7848</v>
      </c>
      <c r="E4200" s="46" t="s">
        <v>1630</v>
      </c>
      <c r="F4200" s="48">
        <v>40179</v>
      </c>
      <c r="G4200" s="48">
        <v>41639</v>
      </c>
      <c r="H4200" s="46" t="s">
        <v>40</v>
      </c>
      <c r="I4200" s="45">
        <v>1610</v>
      </c>
      <c r="J4200" s="45">
        <v>1260</v>
      </c>
      <c r="K4200" s="49" t="s">
        <v>790</v>
      </c>
      <c r="L4200" s="45"/>
      <c r="M4200" s="3"/>
    </row>
    <row r="4201" spans="1:13" ht="25.5" x14ac:dyDescent="0.25">
      <c r="A4201" s="46" t="s">
        <v>1631</v>
      </c>
      <c r="B4201" s="46" t="s">
        <v>38</v>
      </c>
      <c r="C4201" s="46" t="s">
        <v>14</v>
      </c>
      <c r="D4201" s="47">
        <v>7849</v>
      </c>
      <c r="E4201" s="46" t="s">
        <v>1632</v>
      </c>
      <c r="F4201" s="48">
        <v>40179</v>
      </c>
      <c r="G4201" s="48">
        <v>41639</v>
      </c>
      <c r="H4201" s="46" t="s">
        <v>40</v>
      </c>
      <c r="I4201" s="45">
        <v>1675</v>
      </c>
      <c r="J4201" s="45">
        <v>1675</v>
      </c>
      <c r="K4201" s="49" t="s">
        <v>790</v>
      </c>
      <c r="L4201" s="45"/>
      <c r="M4201" s="3"/>
    </row>
    <row r="4202" spans="1:13" ht="25.5" x14ac:dyDescent="0.25">
      <c r="A4202" s="46" t="s">
        <v>1633</v>
      </c>
      <c r="B4202" s="46" t="s">
        <v>38</v>
      </c>
      <c r="C4202" s="46" t="s">
        <v>14</v>
      </c>
      <c r="D4202" s="47">
        <v>7850</v>
      </c>
      <c r="E4202" s="46" t="s">
        <v>1634</v>
      </c>
      <c r="F4202" s="48">
        <v>40179</v>
      </c>
      <c r="G4202" s="48">
        <v>41274</v>
      </c>
      <c r="H4202" s="46" t="s">
        <v>40</v>
      </c>
      <c r="I4202" s="45">
        <f>36136.5+4614</f>
        <v>40750.5</v>
      </c>
      <c r="J4202" s="45">
        <f>26436.5+4614</f>
        <v>31050.5</v>
      </c>
      <c r="K4202" s="49" t="s">
        <v>790</v>
      </c>
      <c r="L4202" s="45"/>
      <c r="M4202" s="3"/>
    </row>
    <row r="4203" spans="1:13" ht="25.5" x14ac:dyDescent="0.25">
      <c r="A4203" s="46" t="s">
        <v>1635</v>
      </c>
      <c r="B4203" s="46" t="s">
        <v>38</v>
      </c>
      <c r="C4203" s="46" t="s">
        <v>14</v>
      </c>
      <c r="D4203" s="47">
        <v>7881</v>
      </c>
      <c r="E4203" s="46" t="s">
        <v>1636</v>
      </c>
      <c r="F4203" s="48">
        <v>40544</v>
      </c>
      <c r="G4203" s="48">
        <v>41639</v>
      </c>
      <c r="H4203" s="46" t="s">
        <v>40</v>
      </c>
      <c r="I4203" s="45">
        <v>34510.93</v>
      </c>
      <c r="J4203" s="45">
        <v>34510.93</v>
      </c>
      <c r="K4203" s="49" t="s">
        <v>790</v>
      </c>
      <c r="L4203" s="45"/>
      <c r="M4203" s="3"/>
    </row>
    <row r="4204" spans="1:13" ht="25.5" x14ac:dyDescent="0.25">
      <c r="A4204" s="46" t="s">
        <v>1647</v>
      </c>
      <c r="B4204" s="46" t="s">
        <v>38</v>
      </c>
      <c r="C4204" s="46" t="s">
        <v>14</v>
      </c>
      <c r="D4204" s="47">
        <v>8625</v>
      </c>
      <c r="E4204" s="46" t="s">
        <v>1648</v>
      </c>
      <c r="F4204" s="48">
        <v>40725</v>
      </c>
      <c r="G4204" s="48">
        <v>41060</v>
      </c>
      <c r="H4204" s="46" t="s">
        <v>40</v>
      </c>
      <c r="I4204" s="45">
        <v>6333.75</v>
      </c>
      <c r="J4204" s="45">
        <v>6335.75</v>
      </c>
      <c r="K4204" s="49" t="s">
        <v>790</v>
      </c>
      <c r="L4204" s="45"/>
      <c r="M4204" s="3"/>
    </row>
    <row r="4205" spans="1:13" ht="25.5" x14ac:dyDescent="0.25">
      <c r="A4205" s="46" t="s">
        <v>1649</v>
      </c>
      <c r="B4205" s="46" t="s">
        <v>38</v>
      </c>
      <c r="C4205" s="46" t="s">
        <v>14</v>
      </c>
      <c r="D4205" s="47">
        <v>8626</v>
      </c>
      <c r="E4205" s="46" t="s">
        <v>1294</v>
      </c>
      <c r="F4205" s="48">
        <v>40544</v>
      </c>
      <c r="G4205" s="46"/>
      <c r="H4205" s="46" t="s">
        <v>40</v>
      </c>
      <c r="I4205" s="45">
        <v>39210.15</v>
      </c>
      <c r="J4205" s="45">
        <v>16574.580000000002</v>
      </c>
      <c r="K4205" s="49" t="s">
        <v>790</v>
      </c>
      <c r="L4205" s="45"/>
      <c r="M4205" s="3"/>
    </row>
    <row r="4206" spans="1:13" ht="38.25" x14ac:dyDescent="0.25">
      <c r="A4206" s="46" t="s">
        <v>1650</v>
      </c>
      <c r="B4206" s="46" t="s">
        <v>38</v>
      </c>
      <c r="C4206" s="46" t="s">
        <v>14</v>
      </c>
      <c r="D4206" s="47">
        <v>8627</v>
      </c>
      <c r="E4206" s="46" t="s">
        <v>1651</v>
      </c>
      <c r="F4206" s="48">
        <v>40544</v>
      </c>
      <c r="G4206" s="48">
        <v>40908</v>
      </c>
      <c r="H4206" s="46" t="s">
        <v>40</v>
      </c>
      <c r="I4206" s="45">
        <v>3564.53</v>
      </c>
      <c r="J4206" s="45">
        <v>2364.5300000000002</v>
      </c>
      <c r="K4206" s="49" t="s">
        <v>790</v>
      </c>
      <c r="L4206" s="45"/>
      <c r="M4206" s="3"/>
    </row>
    <row r="4207" spans="1:13" ht="25.5" x14ac:dyDescent="0.25">
      <c r="A4207" s="46" t="s">
        <v>1652</v>
      </c>
      <c r="B4207" s="46" t="s">
        <v>38</v>
      </c>
      <c r="C4207" s="46" t="s">
        <v>14</v>
      </c>
      <c r="D4207" s="47">
        <v>8730</v>
      </c>
      <c r="E4207" s="46" t="s">
        <v>1653</v>
      </c>
      <c r="F4207" s="48">
        <v>40544</v>
      </c>
      <c r="G4207" s="48">
        <v>40908</v>
      </c>
      <c r="H4207" s="46" t="s">
        <v>40</v>
      </c>
      <c r="I4207" s="45">
        <v>19439.009999999998</v>
      </c>
      <c r="J4207" s="45">
        <v>17639.009999999998</v>
      </c>
      <c r="K4207" s="49" t="s">
        <v>790</v>
      </c>
      <c r="L4207" s="45"/>
      <c r="M4207" s="3"/>
    </row>
    <row r="4208" spans="1:13" ht="76.5" x14ac:dyDescent="0.25">
      <c r="A4208" s="46" t="s">
        <v>1654</v>
      </c>
      <c r="B4208" s="46" t="s">
        <v>38</v>
      </c>
      <c r="C4208" s="46" t="s">
        <v>14</v>
      </c>
      <c r="D4208" s="47">
        <v>8732</v>
      </c>
      <c r="E4208" s="50" t="s">
        <v>1298</v>
      </c>
      <c r="F4208" s="48">
        <v>40544</v>
      </c>
      <c r="G4208" s="48">
        <v>40908</v>
      </c>
      <c r="H4208" s="46" t="s">
        <v>40</v>
      </c>
      <c r="I4208" s="45">
        <v>4000</v>
      </c>
      <c r="J4208" s="45">
        <v>4000</v>
      </c>
      <c r="K4208" s="49" t="s">
        <v>790</v>
      </c>
      <c r="L4208" s="45"/>
      <c r="M4208" s="3"/>
    </row>
    <row r="4209" spans="1:13" ht="25.5" x14ac:dyDescent="0.25">
      <c r="A4209" s="46" t="s">
        <v>1655</v>
      </c>
      <c r="B4209" s="46" t="s">
        <v>38</v>
      </c>
      <c r="C4209" s="46" t="s">
        <v>14</v>
      </c>
      <c r="D4209" s="47">
        <v>8733</v>
      </c>
      <c r="E4209" s="46" t="s">
        <v>1656</v>
      </c>
      <c r="F4209" s="48">
        <v>40544</v>
      </c>
      <c r="G4209" s="48">
        <v>40908</v>
      </c>
      <c r="H4209" s="46" t="s">
        <v>40</v>
      </c>
      <c r="I4209" s="45">
        <v>2500</v>
      </c>
      <c r="J4209" s="45">
        <v>2500</v>
      </c>
      <c r="K4209" s="49" t="s">
        <v>790</v>
      </c>
      <c r="L4209" s="45"/>
      <c r="M4209" s="3"/>
    </row>
    <row r="4210" spans="1:13" ht="38.25" x14ac:dyDescent="0.25">
      <c r="A4210" s="46" t="s">
        <v>1657</v>
      </c>
      <c r="B4210" s="46" t="s">
        <v>38</v>
      </c>
      <c r="C4210" s="46" t="s">
        <v>14</v>
      </c>
      <c r="D4210" s="47">
        <v>8735</v>
      </c>
      <c r="E4210" s="46" t="s">
        <v>1658</v>
      </c>
      <c r="F4210" s="48">
        <v>40544</v>
      </c>
      <c r="G4210" s="48">
        <v>40908</v>
      </c>
      <c r="H4210" s="46" t="s">
        <v>40</v>
      </c>
      <c r="I4210" s="45">
        <v>734.88</v>
      </c>
      <c r="J4210" s="45">
        <v>734.88</v>
      </c>
      <c r="K4210" s="49" t="s">
        <v>790</v>
      </c>
      <c r="L4210" s="45"/>
      <c r="M4210" s="3"/>
    </row>
    <row r="4211" spans="1:13" ht="25.5" x14ac:dyDescent="0.25">
      <c r="A4211" s="46" t="s">
        <v>1659</v>
      </c>
      <c r="B4211" s="46" t="s">
        <v>38</v>
      </c>
      <c r="C4211" s="46" t="s">
        <v>14</v>
      </c>
      <c r="D4211" s="47">
        <v>8736</v>
      </c>
      <c r="E4211" s="46" t="s">
        <v>1300</v>
      </c>
      <c r="F4211" s="48">
        <v>40544</v>
      </c>
      <c r="G4211" s="48">
        <v>40908</v>
      </c>
      <c r="H4211" s="46" t="s">
        <v>40</v>
      </c>
      <c r="I4211" s="45">
        <v>13105.8</v>
      </c>
      <c r="J4211" s="45">
        <v>6552.9</v>
      </c>
      <c r="K4211" s="49" t="s">
        <v>790</v>
      </c>
      <c r="L4211" s="45"/>
      <c r="M4211" s="3"/>
    </row>
    <row r="4212" spans="1:13" ht="25.5" x14ac:dyDescent="0.25">
      <c r="A4212" s="46" t="s">
        <v>1660</v>
      </c>
      <c r="B4212" s="46" t="s">
        <v>38</v>
      </c>
      <c r="C4212" s="46" t="s">
        <v>14</v>
      </c>
      <c r="D4212" s="47">
        <v>8738</v>
      </c>
      <c r="E4212" s="46" t="s">
        <v>1661</v>
      </c>
      <c r="F4212" s="48">
        <v>40544</v>
      </c>
      <c r="G4212" s="48">
        <v>40908</v>
      </c>
      <c r="H4212" s="46" t="s">
        <v>40</v>
      </c>
      <c r="I4212" s="45">
        <v>13728.39</v>
      </c>
      <c r="J4212" s="45">
        <v>3714.91</v>
      </c>
      <c r="K4212" s="49" t="s">
        <v>790</v>
      </c>
      <c r="L4212" s="45"/>
      <c r="M4212" s="3"/>
    </row>
    <row r="4213" spans="1:13" ht="25.5" x14ac:dyDescent="0.25">
      <c r="A4213" s="46" t="s">
        <v>1662</v>
      </c>
      <c r="B4213" s="46" t="s">
        <v>38</v>
      </c>
      <c r="C4213" s="46" t="s">
        <v>14</v>
      </c>
      <c r="D4213" s="47">
        <v>8741</v>
      </c>
      <c r="E4213" s="46" t="s">
        <v>1663</v>
      </c>
      <c r="F4213" s="48">
        <v>40544</v>
      </c>
      <c r="G4213" s="48">
        <v>40908</v>
      </c>
      <c r="H4213" s="46" t="s">
        <v>40</v>
      </c>
      <c r="I4213" s="45">
        <v>2681.2</v>
      </c>
      <c r="J4213" s="45">
        <v>2681.2</v>
      </c>
      <c r="K4213" s="49" t="s">
        <v>790</v>
      </c>
      <c r="L4213" s="45"/>
      <c r="M4213" s="3"/>
    </row>
    <row r="4214" spans="1:13" ht="38.25" x14ac:dyDescent="0.25">
      <c r="A4214" s="46" t="s">
        <v>1664</v>
      </c>
      <c r="B4214" s="46" t="s">
        <v>38</v>
      </c>
      <c r="C4214" s="46" t="s">
        <v>14</v>
      </c>
      <c r="D4214" s="47">
        <v>8767</v>
      </c>
      <c r="E4214" s="46" t="s">
        <v>1665</v>
      </c>
      <c r="F4214" s="48">
        <v>40544</v>
      </c>
      <c r="G4214" s="48">
        <v>40908</v>
      </c>
      <c r="H4214" s="46" t="s">
        <v>40</v>
      </c>
      <c r="I4214" s="45">
        <v>10000</v>
      </c>
      <c r="J4214" s="45">
        <v>10000</v>
      </c>
      <c r="K4214" s="49" t="s">
        <v>790</v>
      </c>
      <c r="L4214" s="45"/>
      <c r="M4214" s="3"/>
    </row>
    <row r="4215" spans="1:13" ht="38.25" x14ac:dyDescent="0.25">
      <c r="A4215" s="46" t="s">
        <v>1666</v>
      </c>
      <c r="B4215" s="46" t="s">
        <v>38</v>
      </c>
      <c r="C4215" s="46" t="s">
        <v>14</v>
      </c>
      <c r="D4215" s="47">
        <v>8770</v>
      </c>
      <c r="E4215" s="50" t="s">
        <v>1533</v>
      </c>
      <c r="F4215" s="48">
        <v>40544</v>
      </c>
      <c r="G4215" s="48">
        <v>40908</v>
      </c>
      <c r="H4215" s="46" t="s">
        <v>40</v>
      </c>
      <c r="I4215" s="45">
        <v>699.37</v>
      </c>
      <c r="J4215" s="45">
        <v>699.37</v>
      </c>
      <c r="K4215" s="49" t="s">
        <v>790</v>
      </c>
      <c r="L4215" s="45"/>
      <c r="M4215" s="3"/>
    </row>
    <row r="4216" spans="1:13" ht="63.75" x14ac:dyDescent="0.25">
      <c r="A4216" s="46" t="s">
        <v>1667</v>
      </c>
      <c r="B4216" s="46" t="s">
        <v>38</v>
      </c>
      <c r="C4216" s="46" t="s">
        <v>14</v>
      </c>
      <c r="D4216" s="47">
        <v>8774</v>
      </c>
      <c r="E4216" s="50" t="s">
        <v>1668</v>
      </c>
      <c r="F4216" s="48">
        <v>40544</v>
      </c>
      <c r="G4216" s="48">
        <v>40908</v>
      </c>
      <c r="H4216" s="46" t="s">
        <v>40</v>
      </c>
      <c r="I4216" s="45">
        <v>1069.1199999999999</v>
      </c>
      <c r="J4216" s="45">
        <v>789.12</v>
      </c>
      <c r="K4216" s="49" t="s">
        <v>790</v>
      </c>
      <c r="L4216" s="45"/>
      <c r="M4216" s="3"/>
    </row>
    <row r="4217" spans="1:13" ht="38.25" x14ac:dyDescent="0.25">
      <c r="A4217" s="46" t="s">
        <v>1669</v>
      </c>
      <c r="B4217" s="46" t="s">
        <v>38</v>
      </c>
      <c r="C4217" s="46" t="s">
        <v>14</v>
      </c>
      <c r="D4217" s="47">
        <v>8775</v>
      </c>
      <c r="E4217" s="46" t="s">
        <v>1670</v>
      </c>
      <c r="F4217" s="48">
        <v>40544</v>
      </c>
      <c r="G4217" s="48">
        <v>41274</v>
      </c>
      <c r="H4217" s="46" t="s">
        <v>40</v>
      </c>
      <c r="I4217" s="45">
        <v>1199</v>
      </c>
      <c r="J4217" s="45">
        <v>1000</v>
      </c>
      <c r="K4217" s="49" t="s">
        <v>790</v>
      </c>
      <c r="L4217" s="45"/>
      <c r="M4217" s="3"/>
    </row>
    <row r="4218" spans="1:13" ht="63.75" x14ac:dyDescent="0.25">
      <c r="A4218" s="46" t="s">
        <v>1671</v>
      </c>
      <c r="B4218" s="46" t="s">
        <v>38</v>
      </c>
      <c r="C4218" s="46" t="s">
        <v>14</v>
      </c>
      <c r="D4218" s="47">
        <v>8776</v>
      </c>
      <c r="E4218" s="50" t="s">
        <v>1672</v>
      </c>
      <c r="F4218" s="48">
        <v>40544</v>
      </c>
      <c r="G4218" s="48">
        <v>40908</v>
      </c>
      <c r="H4218" s="46" t="s">
        <v>40</v>
      </c>
      <c r="I4218" s="45">
        <v>1565.05</v>
      </c>
      <c r="J4218" s="45">
        <v>915.05</v>
      </c>
      <c r="K4218" s="49" t="s">
        <v>790</v>
      </c>
      <c r="L4218" s="45"/>
      <c r="M4218" s="3"/>
    </row>
    <row r="4219" spans="1:13" ht="25.5" x14ac:dyDescent="0.25">
      <c r="A4219" s="46" t="s">
        <v>1673</v>
      </c>
      <c r="B4219" s="46" t="s">
        <v>38</v>
      </c>
      <c r="C4219" s="46" t="s">
        <v>14</v>
      </c>
      <c r="D4219" s="47">
        <v>8777</v>
      </c>
      <c r="E4219" s="46" t="s">
        <v>1674</v>
      </c>
      <c r="F4219" s="48">
        <v>40544</v>
      </c>
      <c r="G4219" s="48">
        <v>40908</v>
      </c>
      <c r="H4219" s="46" t="s">
        <v>40</v>
      </c>
      <c r="I4219" s="45">
        <v>2599.5700000000002</v>
      </c>
      <c r="J4219" s="45">
        <v>2049.5700000000002</v>
      </c>
      <c r="K4219" s="49" t="s">
        <v>790</v>
      </c>
      <c r="L4219" s="45"/>
      <c r="M4219" s="3"/>
    </row>
    <row r="4220" spans="1:13" ht="25.5" x14ac:dyDescent="0.25">
      <c r="A4220" s="46" t="s">
        <v>1675</v>
      </c>
      <c r="B4220" s="46" t="s">
        <v>38</v>
      </c>
      <c r="C4220" s="46" t="s">
        <v>14</v>
      </c>
      <c r="D4220" s="47">
        <v>8779</v>
      </c>
      <c r="E4220" s="46" t="s">
        <v>1676</v>
      </c>
      <c r="F4220" s="48">
        <v>40544</v>
      </c>
      <c r="G4220" s="48">
        <v>40908</v>
      </c>
      <c r="H4220" s="46" t="s">
        <v>40</v>
      </c>
      <c r="I4220" s="45">
        <v>4356.59</v>
      </c>
      <c r="J4220" s="45">
        <v>3346.59</v>
      </c>
      <c r="K4220" s="49" t="s">
        <v>790</v>
      </c>
      <c r="L4220" s="45"/>
      <c r="M4220" s="3"/>
    </row>
    <row r="4221" spans="1:13" ht="63.75" x14ac:dyDescent="0.25">
      <c r="A4221" s="46" t="s">
        <v>1677</v>
      </c>
      <c r="B4221" s="46" t="s">
        <v>38</v>
      </c>
      <c r="C4221" s="46" t="s">
        <v>14</v>
      </c>
      <c r="D4221" s="47">
        <v>8780</v>
      </c>
      <c r="E4221" s="50" t="s">
        <v>1678</v>
      </c>
      <c r="F4221" s="48">
        <v>40544</v>
      </c>
      <c r="G4221" s="48">
        <v>40908</v>
      </c>
      <c r="H4221" s="46" t="s">
        <v>40</v>
      </c>
      <c r="I4221" s="45">
        <v>3834.45</v>
      </c>
      <c r="J4221" s="45">
        <v>3119.45</v>
      </c>
      <c r="K4221" s="49" t="s">
        <v>790</v>
      </c>
      <c r="L4221" s="45"/>
      <c r="M4221" s="3"/>
    </row>
    <row r="4222" spans="1:13" ht="25.5" x14ac:dyDescent="0.25">
      <c r="A4222" s="46" t="s">
        <v>1679</v>
      </c>
      <c r="B4222" s="46" t="s">
        <v>38</v>
      </c>
      <c r="C4222" s="46" t="s">
        <v>14</v>
      </c>
      <c r="D4222" s="47">
        <v>8781</v>
      </c>
      <c r="E4222" s="46" t="s">
        <v>1125</v>
      </c>
      <c r="F4222" s="48">
        <v>40544</v>
      </c>
      <c r="G4222" s="48">
        <v>40908</v>
      </c>
      <c r="H4222" s="46" t="s">
        <v>40</v>
      </c>
      <c r="I4222" s="45">
        <v>29630</v>
      </c>
      <c r="J4222" s="45">
        <v>29630</v>
      </c>
      <c r="K4222" s="49" t="s">
        <v>790</v>
      </c>
      <c r="L4222" s="45"/>
      <c r="M4222" s="3"/>
    </row>
    <row r="4223" spans="1:13" ht="63.75" x14ac:dyDescent="0.25">
      <c r="A4223" s="46" t="s">
        <v>1680</v>
      </c>
      <c r="B4223" s="46" t="s">
        <v>38</v>
      </c>
      <c r="C4223" s="46" t="s">
        <v>14</v>
      </c>
      <c r="D4223" s="47">
        <v>8782</v>
      </c>
      <c r="E4223" s="50" t="s">
        <v>1541</v>
      </c>
      <c r="F4223" s="48">
        <v>40544</v>
      </c>
      <c r="G4223" s="48">
        <v>40908</v>
      </c>
      <c r="H4223" s="46" t="s">
        <v>40</v>
      </c>
      <c r="I4223" s="45">
        <v>2578</v>
      </c>
      <c r="J4223" s="45">
        <v>1938</v>
      </c>
      <c r="K4223" s="49" t="s">
        <v>790</v>
      </c>
      <c r="L4223" s="45"/>
      <c r="M4223" s="3"/>
    </row>
    <row r="4224" spans="1:13" ht="25.5" x14ac:dyDescent="0.25">
      <c r="A4224" s="46" t="s">
        <v>1681</v>
      </c>
      <c r="B4224" s="46" t="s">
        <v>38</v>
      </c>
      <c r="C4224" s="46" t="s">
        <v>14</v>
      </c>
      <c r="D4224" s="47">
        <v>8783</v>
      </c>
      <c r="E4224" s="46" t="s">
        <v>1682</v>
      </c>
      <c r="F4224" s="48">
        <v>40544</v>
      </c>
      <c r="G4224" s="48">
        <v>40908</v>
      </c>
      <c r="H4224" s="46" t="s">
        <v>40</v>
      </c>
      <c r="I4224" s="45">
        <v>4300.51</v>
      </c>
      <c r="J4224" s="45">
        <v>3220.51</v>
      </c>
      <c r="K4224" s="49" t="s">
        <v>790</v>
      </c>
      <c r="L4224" s="45"/>
      <c r="M4224" s="3"/>
    </row>
    <row r="4225" spans="1:13" ht="38.25" x14ac:dyDescent="0.25">
      <c r="A4225" s="46" t="s">
        <v>1683</v>
      </c>
      <c r="B4225" s="46" t="s">
        <v>38</v>
      </c>
      <c r="C4225" s="46" t="s">
        <v>14</v>
      </c>
      <c r="D4225" s="47">
        <v>8785</v>
      </c>
      <c r="E4225" s="46" t="s">
        <v>1543</v>
      </c>
      <c r="F4225" s="48">
        <v>40544</v>
      </c>
      <c r="G4225" s="48">
        <v>40908</v>
      </c>
      <c r="H4225" s="46" t="s">
        <v>40</v>
      </c>
      <c r="I4225" s="45">
        <v>5634.65</v>
      </c>
      <c r="J4225" s="45">
        <v>2458.4</v>
      </c>
      <c r="K4225" s="49" t="s">
        <v>790</v>
      </c>
      <c r="L4225" s="45"/>
      <c r="M4225" s="3"/>
    </row>
    <row r="4226" spans="1:13" ht="38.25" x14ac:dyDescent="0.25">
      <c r="A4226" s="46" t="s">
        <v>1684</v>
      </c>
      <c r="B4226" s="46" t="s">
        <v>38</v>
      </c>
      <c r="C4226" s="46" t="s">
        <v>14</v>
      </c>
      <c r="D4226" s="47">
        <v>8786</v>
      </c>
      <c r="E4226" s="46" t="s">
        <v>1685</v>
      </c>
      <c r="F4226" s="48">
        <v>40544</v>
      </c>
      <c r="G4226" s="48">
        <v>40908</v>
      </c>
      <c r="H4226" s="46" t="s">
        <v>40</v>
      </c>
      <c r="I4226" s="45">
        <v>995.31</v>
      </c>
      <c r="J4226" s="45">
        <v>851.31</v>
      </c>
      <c r="K4226" s="49" t="s">
        <v>790</v>
      </c>
      <c r="L4226" s="45"/>
      <c r="M4226" s="3"/>
    </row>
    <row r="4227" spans="1:13" ht="25.5" x14ac:dyDescent="0.25">
      <c r="A4227" s="46" t="s">
        <v>1686</v>
      </c>
      <c r="B4227" s="46" t="s">
        <v>38</v>
      </c>
      <c r="C4227" s="46" t="s">
        <v>14</v>
      </c>
      <c r="D4227" s="47">
        <v>8787</v>
      </c>
      <c r="E4227" s="46" t="s">
        <v>1687</v>
      </c>
      <c r="F4227" s="48">
        <v>40544</v>
      </c>
      <c r="G4227" s="48">
        <v>40908</v>
      </c>
      <c r="H4227" s="46" t="s">
        <v>40</v>
      </c>
      <c r="I4227" s="45">
        <v>2274.17</v>
      </c>
      <c r="J4227" s="45">
        <v>1674.17</v>
      </c>
      <c r="K4227" s="49" t="s">
        <v>790</v>
      </c>
      <c r="L4227" s="45"/>
      <c r="M4227" s="3"/>
    </row>
    <row r="4228" spans="1:13" ht="25.5" x14ac:dyDescent="0.25">
      <c r="A4228" s="46" t="s">
        <v>1688</v>
      </c>
      <c r="B4228" s="46" t="s">
        <v>38</v>
      </c>
      <c r="C4228" s="46" t="s">
        <v>14</v>
      </c>
      <c r="D4228" s="47">
        <v>8788</v>
      </c>
      <c r="E4228" s="46" t="s">
        <v>1689</v>
      </c>
      <c r="F4228" s="48">
        <v>40544</v>
      </c>
      <c r="G4228" s="48">
        <v>40908</v>
      </c>
      <c r="H4228" s="46" t="s">
        <v>40</v>
      </c>
      <c r="I4228" s="45">
        <v>4026.84</v>
      </c>
      <c r="J4228" s="45">
        <v>3604.84</v>
      </c>
      <c r="K4228" s="49" t="s">
        <v>790</v>
      </c>
      <c r="L4228" s="45"/>
      <c r="M4228" s="3"/>
    </row>
    <row r="4229" spans="1:13" ht="38.25" x14ac:dyDescent="0.25">
      <c r="A4229" s="46" t="s">
        <v>1690</v>
      </c>
      <c r="B4229" s="46" t="s">
        <v>38</v>
      </c>
      <c r="C4229" s="46" t="s">
        <v>14</v>
      </c>
      <c r="D4229" s="47">
        <v>8790</v>
      </c>
      <c r="E4229" s="46" t="s">
        <v>1691</v>
      </c>
      <c r="F4229" s="48">
        <v>40544</v>
      </c>
      <c r="G4229" s="48">
        <v>40908</v>
      </c>
      <c r="H4229" s="46" t="s">
        <v>40</v>
      </c>
      <c r="I4229" s="45">
        <v>9526.6299999999992</v>
      </c>
      <c r="J4229" s="45">
        <v>8308.25</v>
      </c>
      <c r="K4229" s="49" t="s">
        <v>790</v>
      </c>
      <c r="L4229" s="45"/>
      <c r="M4229" s="3"/>
    </row>
    <row r="4230" spans="1:13" ht="38.25" x14ac:dyDescent="0.25">
      <c r="A4230" s="46" t="s">
        <v>1692</v>
      </c>
      <c r="B4230" s="46" t="s">
        <v>38</v>
      </c>
      <c r="C4230" s="46" t="s">
        <v>14</v>
      </c>
      <c r="D4230" s="47">
        <v>8791</v>
      </c>
      <c r="E4230" s="46" t="s">
        <v>1693</v>
      </c>
      <c r="F4230" s="48">
        <v>40787</v>
      </c>
      <c r="G4230" s="46"/>
      <c r="H4230" s="46" t="s">
        <v>40</v>
      </c>
      <c r="I4230" s="45">
        <v>6967.6</v>
      </c>
      <c r="J4230" s="45">
        <v>4942.6000000000004</v>
      </c>
      <c r="K4230" s="49" t="s">
        <v>790</v>
      </c>
      <c r="L4230" s="45"/>
      <c r="M4230" s="3"/>
    </row>
    <row r="4231" spans="1:13" ht="25.5" x14ac:dyDescent="0.25">
      <c r="A4231" s="46" t="s">
        <v>1694</v>
      </c>
      <c r="B4231" s="46" t="s">
        <v>38</v>
      </c>
      <c r="C4231" s="46" t="s">
        <v>14</v>
      </c>
      <c r="D4231" s="47">
        <v>8794</v>
      </c>
      <c r="E4231" s="46" t="s">
        <v>1151</v>
      </c>
      <c r="F4231" s="48">
        <v>40595</v>
      </c>
      <c r="G4231" s="48">
        <v>40908</v>
      </c>
      <c r="H4231" s="46" t="s">
        <v>40</v>
      </c>
      <c r="I4231" s="45">
        <v>5045.34</v>
      </c>
      <c r="J4231" s="45">
        <v>3117.75</v>
      </c>
      <c r="K4231" s="49" t="s">
        <v>790</v>
      </c>
      <c r="L4231" s="45"/>
      <c r="M4231" s="3"/>
    </row>
    <row r="4232" spans="1:13" ht="63.75" x14ac:dyDescent="0.25">
      <c r="A4232" s="46" t="s">
        <v>1695</v>
      </c>
      <c r="B4232" s="46" t="s">
        <v>38</v>
      </c>
      <c r="C4232" s="46" t="s">
        <v>14</v>
      </c>
      <c r="D4232" s="47">
        <v>8795</v>
      </c>
      <c r="E4232" s="50" t="s">
        <v>1696</v>
      </c>
      <c r="F4232" s="48">
        <v>40544</v>
      </c>
      <c r="G4232" s="48">
        <v>40908</v>
      </c>
      <c r="H4232" s="46" t="s">
        <v>40</v>
      </c>
      <c r="I4232" s="45">
        <v>1470.92</v>
      </c>
      <c r="J4232" s="45">
        <v>1230.92</v>
      </c>
      <c r="K4232" s="49" t="s">
        <v>790</v>
      </c>
      <c r="L4232" s="45"/>
      <c r="M4232" s="3"/>
    </row>
    <row r="4233" spans="1:13" ht="25.5" x14ac:dyDescent="0.25">
      <c r="A4233" s="46" t="s">
        <v>1697</v>
      </c>
      <c r="B4233" s="46" t="s">
        <v>38</v>
      </c>
      <c r="C4233" s="46" t="s">
        <v>14</v>
      </c>
      <c r="D4233" s="47">
        <v>8796</v>
      </c>
      <c r="E4233" s="46" t="s">
        <v>1698</v>
      </c>
      <c r="F4233" s="48">
        <v>40544</v>
      </c>
      <c r="G4233" s="48">
        <v>40908</v>
      </c>
      <c r="H4233" s="46" t="s">
        <v>40</v>
      </c>
      <c r="I4233" s="45">
        <v>5000</v>
      </c>
      <c r="J4233" s="45">
        <v>5000</v>
      </c>
      <c r="K4233" s="49" t="s">
        <v>790</v>
      </c>
      <c r="L4233" s="45"/>
      <c r="M4233" s="3"/>
    </row>
    <row r="4234" spans="1:13" ht="63.75" x14ac:dyDescent="0.25">
      <c r="A4234" s="46" t="s">
        <v>1699</v>
      </c>
      <c r="B4234" s="46" t="s">
        <v>38</v>
      </c>
      <c r="C4234" s="46" t="s">
        <v>14</v>
      </c>
      <c r="D4234" s="47">
        <v>8797</v>
      </c>
      <c r="E4234" s="50" t="s">
        <v>1700</v>
      </c>
      <c r="F4234" s="48">
        <v>40544</v>
      </c>
      <c r="G4234" s="48">
        <v>40908</v>
      </c>
      <c r="H4234" s="46" t="s">
        <v>40</v>
      </c>
      <c r="I4234" s="45">
        <v>2671.63</v>
      </c>
      <c r="J4234" s="45">
        <v>2231.63</v>
      </c>
      <c r="K4234" s="49" t="s">
        <v>790</v>
      </c>
      <c r="L4234" s="45"/>
      <c r="M4234" s="3"/>
    </row>
    <row r="4235" spans="1:13" ht="25.5" x14ac:dyDescent="0.25">
      <c r="A4235" s="46" t="s">
        <v>1701</v>
      </c>
      <c r="B4235" s="46" t="s">
        <v>38</v>
      </c>
      <c r="C4235" s="46" t="s">
        <v>14</v>
      </c>
      <c r="D4235" s="47">
        <v>8798</v>
      </c>
      <c r="E4235" s="46" t="s">
        <v>1362</v>
      </c>
      <c r="F4235" s="48">
        <v>40544</v>
      </c>
      <c r="G4235" s="48">
        <v>40908</v>
      </c>
      <c r="H4235" s="46" t="s">
        <v>40</v>
      </c>
      <c r="I4235" s="45">
        <v>35918.269999999997</v>
      </c>
      <c r="J4235" s="45">
        <v>29318.27</v>
      </c>
      <c r="K4235" s="49" t="s">
        <v>790</v>
      </c>
      <c r="L4235" s="45"/>
      <c r="M4235" s="3"/>
    </row>
    <row r="4236" spans="1:13" ht="51" x14ac:dyDescent="0.25">
      <c r="A4236" s="46" t="s">
        <v>1702</v>
      </c>
      <c r="B4236" s="46" t="s">
        <v>38</v>
      </c>
      <c r="C4236" s="46" t="s">
        <v>14</v>
      </c>
      <c r="D4236" s="47">
        <v>8799</v>
      </c>
      <c r="E4236" s="50" t="s">
        <v>1703</v>
      </c>
      <c r="F4236" s="48">
        <v>40544</v>
      </c>
      <c r="G4236" s="48">
        <v>40908</v>
      </c>
      <c r="H4236" s="46" t="s">
        <v>40</v>
      </c>
      <c r="I4236" s="45">
        <v>7250</v>
      </c>
      <c r="J4236" s="45">
        <v>7250</v>
      </c>
      <c r="K4236" s="49" t="s">
        <v>790</v>
      </c>
      <c r="L4236" s="45"/>
      <c r="M4236" s="3"/>
    </row>
    <row r="4237" spans="1:13" ht="51" x14ac:dyDescent="0.25">
      <c r="A4237" s="46" t="s">
        <v>1704</v>
      </c>
      <c r="B4237" s="46" t="s">
        <v>38</v>
      </c>
      <c r="C4237" s="46" t="s">
        <v>14</v>
      </c>
      <c r="D4237" s="47">
        <v>8800</v>
      </c>
      <c r="E4237" s="50" t="s">
        <v>1705</v>
      </c>
      <c r="F4237" s="48">
        <v>40544</v>
      </c>
      <c r="G4237" s="48">
        <v>40908</v>
      </c>
      <c r="H4237" s="46" t="s">
        <v>40</v>
      </c>
      <c r="I4237" s="45">
        <v>1000</v>
      </c>
      <c r="J4237" s="45">
        <v>1000</v>
      </c>
      <c r="K4237" s="49" t="s">
        <v>790</v>
      </c>
      <c r="L4237" s="45"/>
      <c r="M4237" s="3"/>
    </row>
    <row r="4238" spans="1:13" ht="63.75" x14ac:dyDescent="0.25">
      <c r="A4238" s="46" t="s">
        <v>1706</v>
      </c>
      <c r="B4238" s="46" t="s">
        <v>38</v>
      </c>
      <c r="C4238" s="46" t="s">
        <v>14</v>
      </c>
      <c r="D4238" s="47">
        <v>8801</v>
      </c>
      <c r="E4238" s="50" t="s">
        <v>1707</v>
      </c>
      <c r="F4238" s="48">
        <v>40544</v>
      </c>
      <c r="G4238" s="48">
        <v>40908</v>
      </c>
      <c r="H4238" s="46" t="s">
        <v>40</v>
      </c>
      <c r="I4238" s="45">
        <v>450</v>
      </c>
      <c r="J4238" s="45">
        <v>450</v>
      </c>
      <c r="K4238" s="49" t="s">
        <v>790</v>
      </c>
      <c r="L4238" s="45"/>
      <c r="M4238" s="3"/>
    </row>
    <row r="4239" spans="1:13" ht="63.75" x14ac:dyDescent="0.25">
      <c r="A4239" s="46" t="s">
        <v>1708</v>
      </c>
      <c r="B4239" s="46" t="s">
        <v>38</v>
      </c>
      <c r="C4239" s="46" t="s">
        <v>14</v>
      </c>
      <c r="D4239" s="47">
        <v>8808</v>
      </c>
      <c r="E4239" s="50" t="s">
        <v>1527</v>
      </c>
      <c r="F4239" s="48">
        <v>40544</v>
      </c>
      <c r="G4239" s="48">
        <v>40908</v>
      </c>
      <c r="H4239" s="46" t="s">
        <v>40</v>
      </c>
      <c r="I4239" s="45">
        <v>10000</v>
      </c>
      <c r="J4239" s="45">
        <v>6500</v>
      </c>
      <c r="K4239" s="49" t="s">
        <v>790</v>
      </c>
      <c r="L4239" s="45"/>
      <c r="M4239" s="3"/>
    </row>
    <row r="4240" spans="1:13" ht="25.5" x14ac:dyDescent="0.25">
      <c r="A4240" s="46" t="s">
        <v>1767</v>
      </c>
      <c r="B4240" s="46" t="s">
        <v>38</v>
      </c>
      <c r="C4240" s="46" t="s">
        <v>14</v>
      </c>
      <c r="D4240" s="47">
        <v>9256</v>
      </c>
      <c r="E4240" s="46" t="s">
        <v>1768</v>
      </c>
      <c r="F4240" s="48">
        <v>40849</v>
      </c>
      <c r="G4240" s="48">
        <v>41639</v>
      </c>
      <c r="H4240" s="46" t="s">
        <v>40</v>
      </c>
      <c r="I4240" s="45">
        <v>1000</v>
      </c>
      <c r="J4240" s="45">
        <v>1000</v>
      </c>
      <c r="K4240" s="49" t="s">
        <v>790</v>
      </c>
      <c r="L4240" s="45"/>
      <c r="M4240" s="3"/>
    </row>
    <row r="4241" spans="1:13" ht="25.5" x14ac:dyDescent="0.25">
      <c r="A4241" s="46" t="s">
        <v>1769</v>
      </c>
      <c r="B4241" s="46" t="s">
        <v>38</v>
      </c>
      <c r="C4241" s="46" t="s">
        <v>14</v>
      </c>
      <c r="D4241" s="47">
        <v>9257</v>
      </c>
      <c r="E4241" s="46" t="s">
        <v>1770</v>
      </c>
      <c r="F4241" s="48">
        <v>40544</v>
      </c>
      <c r="G4241" s="48">
        <v>41274</v>
      </c>
      <c r="H4241" s="46" t="s">
        <v>40</v>
      </c>
      <c r="I4241" s="45">
        <v>2847</v>
      </c>
      <c r="J4241" s="45">
        <v>2542</v>
      </c>
      <c r="K4241" s="49" t="s">
        <v>790</v>
      </c>
      <c r="L4241" s="45"/>
      <c r="M4241" s="3"/>
    </row>
    <row r="4242" spans="1:13" ht="25.5" x14ac:dyDescent="0.25">
      <c r="A4242" s="46" t="s">
        <v>1771</v>
      </c>
      <c r="B4242" s="46" t="s">
        <v>38</v>
      </c>
      <c r="C4242" s="46" t="s">
        <v>14</v>
      </c>
      <c r="D4242" s="47">
        <v>9258</v>
      </c>
      <c r="E4242" s="46" t="s">
        <v>1772</v>
      </c>
      <c r="F4242" s="48">
        <v>40544</v>
      </c>
      <c r="G4242" s="48">
        <v>41639</v>
      </c>
      <c r="H4242" s="46" t="s">
        <v>40</v>
      </c>
      <c r="I4242" s="45">
        <f>811.7+3092</f>
        <v>3903.7</v>
      </c>
      <c r="J4242" s="45">
        <f>811.7+3092</f>
        <v>3903.7</v>
      </c>
      <c r="K4242" s="49" t="s">
        <v>790</v>
      </c>
      <c r="L4242" s="45"/>
      <c r="M4242" s="3"/>
    </row>
    <row r="4243" spans="1:13" ht="25.5" x14ac:dyDescent="0.25">
      <c r="A4243" s="46" t="s">
        <v>1773</v>
      </c>
      <c r="B4243" s="46" t="s">
        <v>38</v>
      </c>
      <c r="C4243" s="46" t="s">
        <v>14</v>
      </c>
      <c r="D4243" s="47">
        <v>9259</v>
      </c>
      <c r="E4243" s="46" t="s">
        <v>1774</v>
      </c>
      <c r="F4243" s="48">
        <v>40544</v>
      </c>
      <c r="G4243" s="48">
        <v>41639</v>
      </c>
      <c r="H4243" s="46" t="s">
        <v>40</v>
      </c>
      <c r="I4243" s="45">
        <v>13951.41</v>
      </c>
      <c r="J4243" s="45">
        <v>13951.41</v>
      </c>
      <c r="K4243" s="49" t="s">
        <v>790</v>
      </c>
      <c r="L4243" s="45"/>
      <c r="M4243" s="3"/>
    </row>
    <row r="4244" spans="1:13" ht="25.5" x14ac:dyDescent="0.25">
      <c r="A4244" s="46" t="s">
        <v>1775</v>
      </c>
      <c r="B4244" s="46" t="s">
        <v>38</v>
      </c>
      <c r="C4244" s="46" t="s">
        <v>14</v>
      </c>
      <c r="D4244" s="47">
        <v>9260</v>
      </c>
      <c r="E4244" s="46" t="s">
        <v>1776</v>
      </c>
      <c r="F4244" s="48">
        <v>40544</v>
      </c>
      <c r="G4244" s="48">
        <v>41639</v>
      </c>
      <c r="H4244" s="46" t="s">
        <v>40</v>
      </c>
      <c r="I4244" s="45">
        <v>16477.72</v>
      </c>
      <c r="J4244" s="45">
        <v>16477.72</v>
      </c>
      <c r="K4244" s="49" t="s">
        <v>790</v>
      </c>
      <c r="L4244" s="45"/>
      <c r="M4244" s="3"/>
    </row>
    <row r="4245" spans="1:13" ht="25.5" x14ac:dyDescent="0.25">
      <c r="A4245" s="46" t="s">
        <v>1777</v>
      </c>
      <c r="B4245" s="46" t="s">
        <v>38</v>
      </c>
      <c r="C4245" s="46" t="s">
        <v>14</v>
      </c>
      <c r="D4245" s="47">
        <v>9261</v>
      </c>
      <c r="E4245" s="46" t="s">
        <v>1778</v>
      </c>
      <c r="F4245" s="48">
        <v>40544</v>
      </c>
      <c r="G4245" s="48">
        <v>41274</v>
      </c>
      <c r="H4245" s="46" t="s">
        <v>40</v>
      </c>
      <c r="I4245" s="45">
        <v>3791.5</v>
      </c>
      <c r="J4245" s="45">
        <v>2316.5</v>
      </c>
      <c r="K4245" s="49" t="s">
        <v>790</v>
      </c>
      <c r="L4245" s="45"/>
      <c r="M4245" s="3"/>
    </row>
    <row r="4246" spans="1:13" ht="25.5" x14ac:dyDescent="0.25">
      <c r="A4246" s="46" t="s">
        <v>1779</v>
      </c>
      <c r="B4246" s="46" t="s">
        <v>38</v>
      </c>
      <c r="C4246" s="46" t="s">
        <v>14</v>
      </c>
      <c r="D4246" s="47">
        <v>9373</v>
      </c>
      <c r="E4246" s="46" t="s">
        <v>1780</v>
      </c>
      <c r="F4246" s="48">
        <v>40544</v>
      </c>
      <c r="G4246" s="48">
        <v>40908</v>
      </c>
      <c r="H4246" s="46" t="s">
        <v>40</v>
      </c>
      <c r="I4246" s="45">
        <v>3717.26</v>
      </c>
      <c r="J4246" s="45">
        <v>3717.26</v>
      </c>
      <c r="K4246" s="49" t="s">
        <v>790</v>
      </c>
      <c r="L4246" s="45"/>
      <c r="M4246" s="3"/>
    </row>
    <row r="4247" spans="1:13" ht="25.5" x14ac:dyDescent="0.25">
      <c r="A4247" s="46" t="s">
        <v>1781</v>
      </c>
      <c r="B4247" s="46" t="s">
        <v>38</v>
      </c>
      <c r="C4247" s="46" t="s">
        <v>14</v>
      </c>
      <c r="D4247" s="47">
        <v>9396</v>
      </c>
      <c r="E4247" s="46" t="s">
        <v>1782</v>
      </c>
      <c r="F4247" s="48">
        <v>40544</v>
      </c>
      <c r="G4247" s="48">
        <v>41274</v>
      </c>
      <c r="H4247" s="46" t="s">
        <v>40</v>
      </c>
      <c r="I4247" s="45">
        <v>14817.72</v>
      </c>
      <c r="J4247" s="45">
        <v>14817.72</v>
      </c>
      <c r="K4247" s="49" t="s">
        <v>790</v>
      </c>
      <c r="L4247" s="45"/>
      <c r="M4247" s="3"/>
    </row>
    <row r="4248" spans="1:13" ht="25.5" x14ac:dyDescent="0.25">
      <c r="A4248" s="46" t="s">
        <v>1797</v>
      </c>
      <c r="B4248" s="46" t="s">
        <v>38</v>
      </c>
      <c r="C4248" s="46" t="s">
        <v>14</v>
      </c>
      <c r="D4248" s="47">
        <v>9405</v>
      </c>
      <c r="E4248" s="46" t="s">
        <v>1798</v>
      </c>
      <c r="F4248" s="48">
        <v>40544</v>
      </c>
      <c r="G4248" s="48">
        <v>40908</v>
      </c>
      <c r="H4248" s="46" t="s">
        <v>40</v>
      </c>
      <c r="I4248" s="45">
        <v>37666.620000000003</v>
      </c>
      <c r="J4248" s="45">
        <v>31371.62</v>
      </c>
      <c r="K4248" s="49" t="s">
        <v>790</v>
      </c>
      <c r="L4248" s="45"/>
      <c r="M4248" s="3"/>
    </row>
    <row r="4249" spans="1:13" ht="25.5" x14ac:dyDescent="0.25">
      <c r="A4249" s="46" t="s">
        <v>1799</v>
      </c>
      <c r="B4249" s="46" t="s">
        <v>38</v>
      </c>
      <c r="C4249" s="46" t="s">
        <v>14</v>
      </c>
      <c r="D4249" s="47">
        <v>9406</v>
      </c>
      <c r="E4249" s="46" t="s">
        <v>1800</v>
      </c>
      <c r="F4249" s="48">
        <v>40544</v>
      </c>
      <c r="G4249" s="48">
        <v>40908</v>
      </c>
      <c r="H4249" s="46" t="s">
        <v>40</v>
      </c>
      <c r="I4249" s="45">
        <v>2752.85</v>
      </c>
      <c r="J4249" s="45">
        <v>2032.85</v>
      </c>
      <c r="K4249" s="49" t="s">
        <v>790</v>
      </c>
      <c r="L4249" s="45"/>
      <c r="M4249" s="3"/>
    </row>
    <row r="4250" spans="1:13" ht="51" x14ac:dyDescent="0.25">
      <c r="A4250" s="46" t="s">
        <v>1801</v>
      </c>
      <c r="B4250" s="46" t="s">
        <v>38</v>
      </c>
      <c r="C4250" s="46" t="s">
        <v>14</v>
      </c>
      <c r="D4250" s="47">
        <v>9407</v>
      </c>
      <c r="E4250" s="50" t="s">
        <v>1802</v>
      </c>
      <c r="F4250" s="48">
        <v>40544</v>
      </c>
      <c r="G4250" s="48">
        <v>40908</v>
      </c>
      <c r="H4250" s="46" t="s">
        <v>40</v>
      </c>
      <c r="I4250" s="45">
        <v>3780.5</v>
      </c>
      <c r="J4250" s="45">
        <v>3780.5</v>
      </c>
      <c r="K4250" s="49" t="s">
        <v>790</v>
      </c>
      <c r="L4250" s="45"/>
      <c r="M4250" s="3"/>
    </row>
    <row r="4251" spans="1:13" ht="25.5" x14ac:dyDescent="0.25">
      <c r="A4251" s="46" t="s">
        <v>1803</v>
      </c>
      <c r="B4251" s="46" t="s">
        <v>38</v>
      </c>
      <c r="C4251" s="46" t="s">
        <v>14</v>
      </c>
      <c r="D4251" s="47">
        <v>9408</v>
      </c>
      <c r="E4251" s="46" t="s">
        <v>1804</v>
      </c>
      <c r="F4251" s="48">
        <v>40544</v>
      </c>
      <c r="G4251" s="48">
        <v>41274</v>
      </c>
      <c r="H4251" s="46" t="s">
        <v>40</v>
      </c>
      <c r="I4251" s="45">
        <v>2319.06</v>
      </c>
      <c r="J4251" s="45">
        <v>2269.06</v>
      </c>
      <c r="K4251" s="49" t="s">
        <v>790</v>
      </c>
      <c r="L4251" s="45"/>
      <c r="M4251" s="3"/>
    </row>
    <row r="4252" spans="1:13" ht="25.5" x14ac:dyDescent="0.25">
      <c r="A4252" s="46" t="s">
        <v>1660</v>
      </c>
      <c r="B4252" s="46" t="s">
        <v>38</v>
      </c>
      <c r="C4252" s="46" t="s">
        <v>14</v>
      </c>
      <c r="D4252" s="47">
        <v>9409</v>
      </c>
      <c r="E4252" s="46" t="s">
        <v>1805</v>
      </c>
      <c r="F4252" s="48">
        <v>40544</v>
      </c>
      <c r="G4252" s="48">
        <v>41274</v>
      </c>
      <c r="H4252" s="46" t="s">
        <v>40</v>
      </c>
      <c r="I4252" s="45">
        <v>5911.29</v>
      </c>
      <c r="J4252" s="45">
        <v>5911.29</v>
      </c>
      <c r="K4252" s="49" t="s">
        <v>790</v>
      </c>
      <c r="L4252" s="45"/>
      <c r="M4252" s="3"/>
    </row>
    <row r="4253" spans="1:13" ht="25.5" x14ac:dyDescent="0.25">
      <c r="A4253" s="46" t="s">
        <v>1806</v>
      </c>
      <c r="B4253" s="46" t="s">
        <v>38</v>
      </c>
      <c r="C4253" s="46" t="s">
        <v>14</v>
      </c>
      <c r="D4253" s="47">
        <v>9410</v>
      </c>
      <c r="E4253" s="46" t="s">
        <v>1807</v>
      </c>
      <c r="F4253" s="48">
        <v>40544</v>
      </c>
      <c r="G4253" s="48">
        <v>40908</v>
      </c>
      <c r="H4253" s="46" t="s">
        <v>40</v>
      </c>
      <c r="I4253" s="45">
        <v>2557.04</v>
      </c>
      <c r="J4253" s="45">
        <v>1278.52</v>
      </c>
      <c r="K4253" s="49" t="s">
        <v>790</v>
      </c>
      <c r="L4253" s="45"/>
      <c r="M4253" s="3"/>
    </row>
    <row r="4254" spans="1:13" ht="25.5" x14ac:dyDescent="0.25">
      <c r="A4254" s="46" t="s">
        <v>1647</v>
      </c>
      <c r="B4254" s="46" t="s">
        <v>38</v>
      </c>
      <c r="C4254" s="46" t="s">
        <v>14</v>
      </c>
      <c r="D4254" s="47">
        <v>9411</v>
      </c>
      <c r="E4254" s="46" t="s">
        <v>1808</v>
      </c>
      <c r="F4254" s="48">
        <v>40544</v>
      </c>
      <c r="G4254" s="48">
        <v>41274</v>
      </c>
      <c r="H4254" s="46" t="s">
        <v>40</v>
      </c>
      <c r="I4254" s="45">
        <v>3386.45</v>
      </c>
      <c r="J4254" s="45">
        <v>3386.45</v>
      </c>
      <c r="K4254" s="49" t="s">
        <v>790</v>
      </c>
      <c r="L4254" s="45"/>
      <c r="M4254" s="3"/>
    </row>
    <row r="4255" spans="1:13" ht="38.25" x14ac:dyDescent="0.25">
      <c r="A4255" s="46" t="s">
        <v>1666</v>
      </c>
      <c r="B4255" s="46" t="s">
        <v>38</v>
      </c>
      <c r="C4255" s="46" t="s">
        <v>14</v>
      </c>
      <c r="D4255" s="47">
        <v>9412</v>
      </c>
      <c r="E4255" s="50" t="s">
        <v>1809</v>
      </c>
      <c r="F4255" s="48">
        <v>40544</v>
      </c>
      <c r="G4255" s="48">
        <v>40908</v>
      </c>
      <c r="H4255" s="46" t="s">
        <v>40</v>
      </c>
      <c r="I4255" s="45">
        <v>699.37</v>
      </c>
      <c r="J4255" s="45">
        <v>699.37</v>
      </c>
      <c r="K4255" s="49" t="s">
        <v>790</v>
      </c>
      <c r="L4255" s="45"/>
      <c r="M4255" s="3"/>
    </row>
    <row r="4256" spans="1:13" ht="63.75" x14ac:dyDescent="0.25">
      <c r="A4256" s="46" t="s">
        <v>1810</v>
      </c>
      <c r="B4256" s="46" t="s">
        <v>38</v>
      </c>
      <c r="C4256" s="46" t="s">
        <v>14</v>
      </c>
      <c r="D4256" s="47">
        <v>9413</v>
      </c>
      <c r="E4256" s="50" t="s">
        <v>1811</v>
      </c>
      <c r="F4256" s="48">
        <v>40544</v>
      </c>
      <c r="G4256" s="48">
        <v>40908</v>
      </c>
      <c r="H4256" s="46" t="s">
        <v>40</v>
      </c>
      <c r="I4256" s="45">
        <v>1648.66</v>
      </c>
      <c r="J4256" s="45">
        <v>868.66</v>
      </c>
      <c r="K4256" s="49" t="s">
        <v>790</v>
      </c>
      <c r="L4256" s="45"/>
      <c r="M4256" s="3"/>
    </row>
    <row r="4257" spans="1:13" ht="38.25" x14ac:dyDescent="0.25">
      <c r="A4257" s="46" t="s">
        <v>1812</v>
      </c>
      <c r="B4257" s="46" t="s">
        <v>38</v>
      </c>
      <c r="C4257" s="46" t="s">
        <v>14</v>
      </c>
      <c r="D4257" s="47">
        <v>9414</v>
      </c>
      <c r="E4257" s="46" t="s">
        <v>1813</v>
      </c>
      <c r="F4257" s="48">
        <v>40544</v>
      </c>
      <c r="G4257" s="48">
        <v>40908</v>
      </c>
      <c r="H4257" s="46" t="s">
        <v>40</v>
      </c>
      <c r="I4257" s="45">
        <v>3576.97</v>
      </c>
      <c r="J4257" s="45">
        <v>3576.97</v>
      </c>
      <c r="K4257" s="49" t="s">
        <v>790</v>
      </c>
      <c r="L4257" s="45"/>
      <c r="M4257" s="3"/>
    </row>
    <row r="4258" spans="1:13" ht="63.75" x14ac:dyDescent="0.25">
      <c r="A4258" s="46" t="s">
        <v>1814</v>
      </c>
      <c r="B4258" s="46" t="s">
        <v>38</v>
      </c>
      <c r="C4258" s="46" t="s">
        <v>14</v>
      </c>
      <c r="D4258" s="47">
        <v>9415</v>
      </c>
      <c r="E4258" s="50" t="s">
        <v>1815</v>
      </c>
      <c r="F4258" s="48">
        <v>40544</v>
      </c>
      <c r="G4258" s="48">
        <v>40908</v>
      </c>
      <c r="H4258" s="46" t="s">
        <v>40</v>
      </c>
      <c r="I4258" s="45">
        <v>1232</v>
      </c>
      <c r="J4258" s="45">
        <v>902</v>
      </c>
      <c r="K4258" s="49" t="s">
        <v>790</v>
      </c>
      <c r="L4258" s="45"/>
      <c r="M4258" s="3"/>
    </row>
    <row r="4259" spans="1:13" ht="25.5" x14ac:dyDescent="0.25">
      <c r="A4259" s="46" t="s">
        <v>1816</v>
      </c>
      <c r="B4259" s="46" t="s">
        <v>38</v>
      </c>
      <c r="C4259" s="46" t="s">
        <v>14</v>
      </c>
      <c r="D4259" s="47">
        <v>9416</v>
      </c>
      <c r="E4259" s="46" t="s">
        <v>1817</v>
      </c>
      <c r="F4259" s="48">
        <v>40544</v>
      </c>
      <c r="G4259" s="48">
        <v>40908</v>
      </c>
      <c r="H4259" s="46" t="s">
        <v>40</v>
      </c>
      <c r="I4259" s="45">
        <v>5000</v>
      </c>
      <c r="J4259" s="45">
        <v>5000</v>
      </c>
      <c r="K4259" s="49" t="s">
        <v>790</v>
      </c>
      <c r="L4259" s="45"/>
      <c r="M4259" s="3"/>
    </row>
    <row r="4260" spans="1:13" ht="38.25" x14ac:dyDescent="0.25">
      <c r="A4260" s="46" t="s">
        <v>1818</v>
      </c>
      <c r="B4260" s="46" t="s">
        <v>38</v>
      </c>
      <c r="C4260" s="46" t="s">
        <v>14</v>
      </c>
      <c r="D4260" s="47">
        <v>9417</v>
      </c>
      <c r="E4260" s="46" t="s">
        <v>1819</v>
      </c>
      <c r="F4260" s="48">
        <v>40544</v>
      </c>
      <c r="G4260" s="48">
        <v>40908</v>
      </c>
      <c r="H4260" s="46" t="s">
        <v>40</v>
      </c>
      <c r="I4260" s="45">
        <v>1857.28</v>
      </c>
      <c r="J4260" s="45">
        <v>1519.78</v>
      </c>
      <c r="K4260" s="49" t="s">
        <v>790</v>
      </c>
      <c r="L4260" s="45"/>
      <c r="M4260" s="3"/>
    </row>
    <row r="4261" spans="1:13" ht="25.5" x14ac:dyDescent="0.25">
      <c r="A4261" s="46" t="s">
        <v>1820</v>
      </c>
      <c r="B4261" s="46" t="s">
        <v>38</v>
      </c>
      <c r="C4261" s="46" t="s">
        <v>14</v>
      </c>
      <c r="D4261" s="47">
        <v>9418</v>
      </c>
      <c r="E4261" s="46" t="s">
        <v>1821</v>
      </c>
      <c r="F4261" s="48">
        <v>40544</v>
      </c>
      <c r="G4261" s="48">
        <v>40908</v>
      </c>
      <c r="H4261" s="46" t="s">
        <v>40</v>
      </c>
      <c r="I4261" s="45">
        <v>3377</v>
      </c>
      <c r="J4261" s="45">
        <v>2327</v>
      </c>
      <c r="K4261" s="49" t="s">
        <v>790</v>
      </c>
      <c r="L4261" s="45"/>
      <c r="M4261" s="3"/>
    </row>
    <row r="4262" spans="1:13" ht="76.5" x14ac:dyDescent="0.25">
      <c r="A4262" s="46" t="s">
        <v>1822</v>
      </c>
      <c r="B4262" s="46" t="s">
        <v>38</v>
      </c>
      <c r="C4262" s="46" t="s">
        <v>14</v>
      </c>
      <c r="D4262" s="47">
        <v>9419</v>
      </c>
      <c r="E4262" s="50" t="s">
        <v>1298</v>
      </c>
      <c r="F4262" s="48">
        <v>40544</v>
      </c>
      <c r="G4262" s="48">
        <v>41274</v>
      </c>
      <c r="H4262" s="46" t="s">
        <v>40</v>
      </c>
      <c r="I4262" s="45">
        <v>8000</v>
      </c>
      <c r="J4262" s="45">
        <v>8000</v>
      </c>
      <c r="K4262" s="49" t="s">
        <v>790</v>
      </c>
      <c r="L4262" s="45"/>
      <c r="M4262" s="3"/>
    </row>
    <row r="4263" spans="1:13" ht="25.5" x14ac:dyDescent="0.25">
      <c r="A4263" s="46" t="s">
        <v>1823</v>
      </c>
      <c r="B4263" s="46" t="s">
        <v>38</v>
      </c>
      <c r="C4263" s="46" t="s">
        <v>14</v>
      </c>
      <c r="D4263" s="47">
        <v>9421</v>
      </c>
      <c r="E4263" s="46" t="s">
        <v>1824</v>
      </c>
      <c r="F4263" s="48">
        <v>40544</v>
      </c>
      <c r="G4263" s="48">
        <v>40908</v>
      </c>
      <c r="H4263" s="46" t="s">
        <v>40</v>
      </c>
      <c r="I4263" s="45">
        <v>1450</v>
      </c>
      <c r="J4263" s="45">
        <v>1030</v>
      </c>
      <c r="K4263" s="49" t="s">
        <v>790</v>
      </c>
      <c r="L4263" s="45"/>
      <c r="M4263" s="3"/>
    </row>
    <row r="4264" spans="1:13" ht="25.5" x14ac:dyDescent="0.25">
      <c r="A4264" s="46" t="s">
        <v>1825</v>
      </c>
      <c r="B4264" s="46" t="s">
        <v>38</v>
      </c>
      <c r="C4264" s="46" t="s">
        <v>14</v>
      </c>
      <c r="D4264" s="47">
        <v>9422</v>
      </c>
      <c r="E4264" s="46" t="s">
        <v>1826</v>
      </c>
      <c r="F4264" s="48">
        <v>40544</v>
      </c>
      <c r="G4264" s="48">
        <v>40908</v>
      </c>
      <c r="H4264" s="46" t="s">
        <v>40</v>
      </c>
      <c r="I4264" s="45">
        <v>2517</v>
      </c>
      <c r="J4264" s="45">
        <v>2017</v>
      </c>
      <c r="K4264" s="49" t="s">
        <v>790</v>
      </c>
      <c r="L4264" s="45"/>
      <c r="M4264" s="3"/>
    </row>
    <row r="4265" spans="1:13" ht="25.5" x14ac:dyDescent="0.25">
      <c r="A4265" s="46" t="s">
        <v>1827</v>
      </c>
      <c r="B4265" s="46" t="s">
        <v>38</v>
      </c>
      <c r="C4265" s="46" t="s">
        <v>14</v>
      </c>
      <c r="D4265" s="47">
        <v>9423</v>
      </c>
      <c r="E4265" s="46" t="s">
        <v>1828</v>
      </c>
      <c r="F4265" s="48">
        <v>40544</v>
      </c>
      <c r="G4265" s="48">
        <v>41274</v>
      </c>
      <c r="H4265" s="46" t="s">
        <v>40</v>
      </c>
      <c r="I4265" s="45">
        <v>84083.1</v>
      </c>
      <c r="J4265" s="45">
        <v>79583.100000000006</v>
      </c>
      <c r="K4265" s="49" t="s">
        <v>790</v>
      </c>
      <c r="L4265" s="45"/>
      <c r="M4265" s="3"/>
    </row>
    <row r="4266" spans="1:13" ht="25.5" x14ac:dyDescent="0.25">
      <c r="A4266" s="46" t="s">
        <v>1829</v>
      </c>
      <c r="B4266" s="46" t="s">
        <v>38</v>
      </c>
      <c r="C4266" s="46" t="s">
        <v>14</v>
      </c>
      <c r="D4266" s="47">
        <v>9424</v>
      </c>
      <c r="E4266" s="46" t="s">
        <v>1830</v>
      </c>
      <c r="F4266" s="48">
        <v>40544</v>
      </c>
      <c r="G4266" s="48">
        <v>40908</v>
      </c>
      <c r="H4266" s="46" t="s">
        <v>40</v>
      </c>
      <c r="I4266" s="45">
        <v>300</v>
      </c>
      <c r="J4266" s="45">
        <v>300</v>
      </c>
      <c r="K4266" s="49" t="s">
        <v>790</v>
      </c>
      <c r="L4266" s="45"/>
      <c r="M4266" s="3"/>
    </row>
    <row r="4267" spans="1:13" ht="25.5" x14ac:dyDescent="0.25">
      <c r="A4267" s="46" t="s">
        <v>1831</v>
      </c>
      <c r="B4267" s="46" t="s">
        <v>38</v>
      </c>
      <c r="C4267" s="46" t="s">
        <v>14</v>
      </c>
      <c r="D4267" s="47">
        <v>9425</v>
      </c>
      <c r="E4267" s="46" t="s">
        <v>1832</v>
      </c>
      <c r="F4267" s="48">
        <v>40544</v>
      </c>
      <c r="G4267" s="48">
        <v>40908</v>
      </c>
      <c r="H4267" s="46" t="s">
        <v>40</v>
      </c>
      <c r="I4267" s="45">
        <v>3630.5</v>
      </c>
      <c r="J4267" s="45">
        <v>2850.5</v>
      </c>
      <c r="K4267" s="49" t="s">
        <v>790</v>
      </c>
      <c r="L4267" s="45"/>
      <c r="M4267" s="3"/>
    </row>
    <row r="4268" spans="1:13" ht="25.5" x14ac:dyDescent="0.25">
      <c r="A4268" s="46" t="s">
        <v>1833</v>
      </c>
      <c r="B4268" s="46" t="s">
        <v>38</v>
      </c>
      <c r="C4268" s="46" t="s">
        <v>14</v>
      </c>
      <c r="D4268" s="47">
        <v>9426</v>
      </c>
      <c r="E4268" s="46" t="s">
        <v>1834</v>
      </c>
      <c r="F4268" s="48">
        <v>40544</v>
      </c>
      <c r="G4268" s="48">
        <v>40908</v>
      </c>
      <c r="H4268" s="46" t="s">
        <v>40</v>
      </c>
      <c r="I4268" s="45">
        <v>1896.9</v>
      </c>
      <c r="J4268" s="45">
        <v>1301.9000000000001</v>
      </c>
      <c r="K4268" s="49" t="s">
        <v>790</v>
      </c>
      <c r="L4268" s="45"/>
      <c r="M4268" s="3"/>
    </row>
    <row r="4269" spans="1:13" ht="51" x14ac:dyDescent="0.25">
      <c r="A4269" s="46" t="s">
        <v>1835</v>
      </c>
      <c r="B4269" s="46" t="s">
        <v>38</v>
      </c>
      <c r="C4269" s="46" t="s">
        <v>14</v>
      </c>
      <c r="D4269" s="47">
        <v>9427</v>
      </c>
      <c r="E4269" s="50" t="s">
        <v>1379</v>
      </c>
      <c r="F4269" s="48">
        <v>40544</v>
      </c>
      <c r="G4269" s="48">
        <v>40908</v>
      </c>
      <c r="H4269" s="46" t="s">
        <v>40</v>
      </c>
      <c r="I4269" s="45">
        <v>1981.92</v>
      </c>
      <c r="J4269" s="45">
        <v>1981.92</v>
      </c>
      <c r="K4269" s="49" t="s">
        <v>790</v>
      </c>
      <c r="L4269" s="45"/>
      <c r="M4269" s="3"/>
    </row>
    <row r="4270" spans="1:13" ht="25.5" x14ac:dyDescent="0.25">
      <c r="A4270" s="46" t="s">
        <v>1836</v>
      </c>
      <c r="B4270" s="46" t="s">
        <v>38</v>
      </c>
      <c r="C4270" s="46" t="s">
        <v>14</v>
      </c>
      <c r="D4270" s="47">
        <v>9428</v>
      </c>
      <c r="E4270" s="46" t="s">
        <v>1837</v>
      </c>
      <c r="F4270" s="48">
        <v>40544</v>
      </c>
      <c r="G4270" s="48">
        <v>40908</v>
      </c>
      <c r="H4270" s="46" t="s">
        <v>40</v>
      </c>
      <c r="I4270" s="45">
        <v>3927.26</v>
      </c>
      <c r="J4270" s="45">
        <v>1963.63</v>
      </c>
      <c r="K4270" s="49" t="s">
        <v>790</v>
      </c>
      <c r="L4270" s="45"/>
      <c r="M4270" s="3"/>
    </row>
    <row r="4271" spans="1:13" ht="38.25" x14ac:dyDescent="0.25">
      <c r="A4271" s="46" t="s">
        <v>1838</v>
      </c>
      <c r="B4271" s="46" t="s">
        <v>38</v>
      </c>
      <c r="C4271" s="46" t="s">
        <v>14</v>
      </c>
      <c r="D4271" s="47">
        <v>9429</v>
      </c>
      <c r="E4271" s="46" t="s">
        <v>1839</v>
      </c>
      <c r="F4271" s="48">
        <v>40544</v>
      </c>
      <c r="G4271" s="48">
        <v>40908</v>
      </c>
      <c r="H4271" s="46" t="s">
        <v>40</v>
      </c>
      <c r="I4271" s="45">
        <v>2500</v>
      </c>
      <c r="J4271" s="45">
        <v>2500</v>
      </c>
      <c r="K4271" s="49" t="s">
        <v>790</v>
      </c>
      <c r="L4271" s="45"/>
      <c r="M4271" s="3"/>
    </row>
    <row r="4272" spans="1:13" ht="25.5" x14ac:dyDescent="0.25">
      <c r="A4272" s="46" t="s">
        <v>1840</v>
      </c>
      <c r="B4272" s="46" t="s">
        <v>38</v>
      </c>
      <c r="C4272" s="46" t="s">
        <v>14</v>
      </c>
      <c r="D4272" s="47">
        <v>9430</v>
      </c>
      <c r="E4272" s="46" t="s">
        <v>1841</v>
      </c>
      <c r="F4272" s="48">
        <v>40544</v>
      </c>
      <c r="G4272" s="48">
        <v>41274</v>
      </c>
      <c r="H4272" s="46" t="s">
        <v>40</v>
      </c>
      <c r="I4272" s="45">
        <v>11189.6</v>
      </c>
      <c r="J4272" s="45">
        <v>11189.6</v>
      </c>
      <c r="K4272" s="49" t="s">
        <v>790</v>
      </c>
      <c r="L4272" s="45"/>
      <c r="M4272" s="3"/>
    </row>
    <row r="4273" spans="1:13" ht="25.5" x14ac:dyDescent="0.25">
      <c r="A4273" s="46" t="s">
        <v>1842</v>
      </c>
      <c r="B4273" s="46" t="s">
        <v>38</v>
      </c>
      <c r="C4273" s="46" t="s">
        <v>14</v>
      </c>
      <c r="D4273" s="47">
        <v>9431</v>
      </c>
      <c r="E4273" s="46" t="s">
        <v>1843</v>
      </c>
      <c r="F4273" s="48">
        <v>40544</v>
      </c>
      <c r="G4273" s="48">
        <v>40908</v>
      </c>
      <c r="H4273" s="46" t="s">
        <v>40</v>
      </c>
      <c r="I4273" s="45">
        <v>10500</v>
      </c>
      <c r="J4273" s="45">
        <v>7000</v>
      </c>
      <c r="K4273" s="49" t="s">
        <v>790</v>
      </c>
      <c r="L4273" s="45"/>
      <c r="M4273" s="3"/>
    </row>
    <row r="4274" spans="1:13" ht="25.5" x14ac:dyDescent="0.25">
      <c r="A4274" s="46" t="s">
        <v>1844</v>
      </c>
      <c r="B4274" s="46" t="s">
        <v>38</v>
      </c>
      <c r="C4274" s="46" t="s">
        <v>14</v>
      </c>
      <c r="D4274" s="47">
        <v>9432</v>
      </c>
      <c r="E4274" s="46" t="s">
        <v>1845</v>
      </c>
      <c r="F4274" s="48">
        <v>40544</v>
      </c>
      <c r="G4274" s="48">
        <v>40908</v>
      </c>
      <c r="H4274" s="46" t="s">
        <v>40</v>
      </c>
      <c r="I4274" s="45">
        <v>27000</v>
      </c>
      <c r="J4274" s="45">
        <v>27000</v>
      </c>
      <c r="K4274" s="49" t="s">
        <v>790</v>
      </c>
      <c r="L4274" s="45"/>
      <c r="M4274" s="3"/>
    </row>
    <row r="4275" spans="1:13" ht="25.5" x14ac:dyDescent="0.25">
      <c r="A4275" s="46" t="s">
        <v>1846</v>
      </c>
      <c r="B4275" s="46" t="s">
        <v>38</v>
      </c>
      <c r="C4275" s="46" t="s">
        <v>14</v>
      </c>
      <c r="D4275" s="47">
        <v>9433</v>
      </c>
      <c r="E4275" s="46" t="s">
        <v>1847</v>
      </c>
      <c r="F4275" s="48">
        <v>40544</v>
      </c>
      <c r="G4275" s="48">
        <v>40908</v>
      </c>
      <c r="H4275" s="46" t="s">
        <v>40</v>
      </c>
      <c r="I4275" s="45">
        <v>1994</v>
      </c>
      <c r="J4275" s="45">
        <v>1454</v>
      </c>
      <c r="K4275" s="49" t="s">
        <v>790</v>
      </c>
      <c r="L4275" s="45"/>
      <c r="M4275" s="3"/>
    </row>
    <row r="4276" spans="1:13" ht="25.5" x14ac:dyDescent="0.25">
      <c r="A4276" s="46" t="s">
        <v>1848</v>
      </c>
      <c r="B4276" s="46" t="s">
        <v>38</v>
      </c>
      <c r="C4276" s="46" t="s">
        <v>14</v>
      </c>
      <c r="D4276" s="47">
        <v>9434</v>
      </c>
      <c r="E4276" s="46" t="s">
        <v>1849</v>
      </c>
      <c r="F4276" s="48">
        <v>40544</v>
      </c>
      <c r="G4276" s="48">
        <v>40908</v>
      </c>
      <c r="H4276" s="46" t="s">
        <v>40</v>
      </c>
      <c r="I4276" s="45">
        <v>7226.5</v>
      </c>
      <c r="J4276" s="45">
        <v>5036.5</v>
      </c>
      <c r="K4276" s="49" t="s">
        <v>790</v>
      </c>
      <c r="L4276" s="45"/>
      <c r="M4276" s="3"/>
    </row>
    <row r="4277" spans="1:13" ht="25.5" x14ac:dyDescent="0.25">
      <c r="A4277" s="46" t="s">
        <v>1850</v>
      </c>
      <c r="B4277" s="46" t="s">
        <v>38</v>
      </c>
      <c r="C4277" s="46" t="s">
        <v>14</v>
      </c>
      <c r="D4277" s="47">
        <v>9435</v>
      </c>
      <c r="E4277" s="46" t="s">
        <v>1851</v>
      </c>
      <c r="F4277" s="48">
        <v>40544</v>
      </c>
      <c r="G4277" s="48">
        <v>40908</v>
      </c>
      <c r="H4277" s="46" t="s">
        <v>40</v>
      </c>
      <c r="I4277" s="45">
        <v>1000</v>
      </c>
      <c r="J4277" s="45">
        <v>1000</v>
      </c>
      <c r="K4277" s="49" t="s">
        <v>790</v>
      </c>
      <c r="L4277" s="45"/>
      <c r="M4277" s="3"/>
    </row>
    <row r="4278" spans="1:13" ht="25.5" x14ac:dyDescent="0.25">
      <c r="A4278" s="46" t="s">
        <v>1852</v>
      </c>
      <c r="B4278" s="46" t="s">
        <v>38</v>
      </c>
      <c r="C4278" s="46" t="s">
        <v>14</v>
      </c>
      <c r="D4278" s="47">
        <v>9436</v>
      </c>
      <c r="E4278" s="46" t="s">
        <v>1853</v>
      </c>
      <c r="F4278" s="48">
        <v>40544</v>
      </c>
      <c r="G4278" s="48">
        <v>41274</v>
      </c>
      <c r="H4278" s="46" t="s">
        <v>40</v>
      </c>
      <c r="I4278" s="45">
        <v>13968.58</v>
      </c>
      <c r="J4278" s="45">
        <v>11029.15</v>
      </c>
      <c r="K4278" s="49" t="s">
        <v>790</v>
      </c>
      <c r="L4278" s="45"/>
      <c r="M4278" s="3"/>
    </row>
    <row r="4279" spans="1:13" ht="25.5" x14ac:dyDescent="0.25">
      <c r="A4279" s="46" t="s">
        <v>1854</v>
      </c>
      <c r="B4279" s="46" t="s">
        <v>38</v>
      </c>
      <c r="C4279" s="46" t="s">
        <v>14</v>
      </c>
      <c r="D4279" s="47">
        <v>9522</v>
      </c>
      <c r="E4279" s="46" t="s">
        <v>1855</v>
      </c>
      <c r="F4279" s="48">
        <v>40544</v>
      </c>
      <c r="G4279" s="48">
        <v>40908</v>
      </c>
      <c r="H4279" s="46" t="s">
        <v>40</v>
      </c>
      <c r="I4279" s="45">
        <v>15000</v>
      </c>
      <c r="J4279" s="45">
        <v>15000</v>
      </c>
      <c r="K4279" s="49" t="s">
        <v>790</v>
      </c>
      <c r="L4279" s="45"/>
      <c r="M4279" s="3"/>
    </row>
    <row r="4280" spans="1:13" ht="25.5" x14ac:dyDescent="0.25">
      <c r="A4280" s="46" t="s">
        <v>1856</v>
      </c>
      <c r="B4280" s="46" t="s">
        <v>38</v>
      </c>
      <c r="C4280" s="46" t="s">
        <v>14</v>
      </c>
      <c r="D4280" s="47">
        <v>9526</v>
      </c>
      <c r="E4280" s="46" t="s">
        <v>1857</v>
      </c>
      <c r="F4280" s="48">
        <v>40544</v>
      </c>
      <c r="G4280" s="48">
        <v>41274</v>
      </c>
      <c r="H4280" s="46" t="s">
        <v>40</v>
      </c>
      <c r="I4280" s="45">
        <v>102.77</v>
      </c>
      <c r="J4280" s="45">
        <v>94.77</v>
      </c>
      <c r="K4280" s="49" t="s">
        <v>790</v>
      </c>
      <c r="L4280" s="45"/>
      <c r="M4280" s="3"/>
    </row>
    <row r="4281" spans="1:13" ht="25.5" x14ac:dyDescent="0.25">
      <c r="A4281" s="46" t="s">
        <v>1880</v>
      </c>
      <c r="B4281" s="46" t="s">
        <v>38</v>
      </c>
      <c r="C4281" s="46" t="s">
        <v>14</v>
      </c>
      <c r="D4281" s="47">
        <v>10303</v>
      </c>
      <c r="E4281" s="46" t="s">
        <v>1294</v>
      </c>
      <c r="F4281" s="48">
        <v>40909</v>
      </c>
      <c r="G4281" s="48">
        <v>41274</v>
      </c>
      <c r="H4281" s="46" t="s">
        <v>40</v>
      </c>
      <c r="I4281" s="45">
        <v>11257.88</v>
      </c>
      <c r="J4281" s="45">
        <v>10507.88</v>
      </c>
      <c r="K4281" s="49" t="s">
        <v>790</v>
      </c>
      <c r="L4281" s="45"/>
      <c r="M4281" s="3"/>
    </row>
    <row r="4282" spans="1:13" ht="25.5" x14ac:dyDescent="0.25">
      <c r="A4282" s="46" t="s">
        <v>1881</v>
      </c>
      <c r="B4282" s="46" t="s">
        <v>38</v>
      </c>
      <c r="C4282" s="46" t="s">
        <v>14</v>
      </c>
      <c r="D4282" s="47">
        <v>10304</v>
      </c>
      <c r="E4282" s="46" t="s">
        <v>1882</v>
      </c>
      <c r="F4282" s="48">
        <v>40909</v>
      </c>
      <c r="G4282" s="48">
        <v>41274</v>
      </c>
      <c r="H4282" s="46" t="s">
        <v>40</v>
      </c>
      <c r="I4282" s="45">
        <v>4369.92</v>
      </c>
      <c r="J4282" s="45">
        <v>3969.92</v>
      </c>
      <c r="K4282" s="49" t="s">
        <v>790</v>
      </c>
      <c r="L4282" s="45"/>
      <c r="M4282" s="3"/>
    </row>
    <row r="4283" spans="1:13" ht="76.5" x14ac:dyDescent="0.25">
      <c r="A4283" s="46" t="s">
        <v>1883</v>
      </c>
      <c r="B4283" s="46" t="s">
        <v>38</v>
      </c>
      <c r="C4283" s="46" t="s">
        <v>14</v>
      </c>
      <c r="D4283" s="47">
        <v>10306</v>
      </c>
      <c r="E4283" s="50" t="s">
        <v>1298</v>
      </c>
      <c r="F4283" s="48">
        <v>40909</v>
      </c>
      <c r="G4283" s="48">
        <v>41274</v>
      </c>
      <c r="H4283" s="46" t="s">
        <v>40</v>
      </c>
      <c r="I4283" s="45">
        <v>4000</v>
      </c>
      <c r="J4283" s="45">
        <v>4000</v>
      </c>
      <c r="K4283" s="49" t="s">
        <v>790</v>
      </c>
      <c r="L4283" s="45"/>
      <c r="M4283" s="3"/>
    </row>
    <row r="4284" spans="1:13" ht="25.5" x14ac:dyDescent="0.25">
      <c r="A4284" s="46" t="s">
        <v>1884</v>
      </c>
      <c r="B4284" s="46" t="s">
        <v>38</v>
      </c>
      <c r="C4284" s="46" t="s">
        <v>14</v>
      </c>
      <c r="D4284" s="47">
        <v>10307</v>
      </c>
      <c r="E4284" s="46" t="s">
        <v>1300</v>
      </c>
      <c r="F4284" s="48">
        <v>40909</v>
      </c>
      <c r="G4284" s="48">
        <v>41274</v>
      </c>
      <c r="H4284" s="46" t="s">
        <v>40</v>
      </c>
      <c r="I4284" s="45">
        <v>5000</v>
      </c>
      <c r="J4284" s="45">
        <v>2500</v>
      </c>
      <c r="K4284" s="49" t="s">
        <v>790</v>
      </c>
      <c r="L4284" s="45"/>
      <c r="M4284" s="3"/>
    </row>
    <row r="4285" spans="1:13" ht="25.5" x14ac:dyDescent="0.25">
      <c r="A4285" s="46" t="s">
        <v>1885</v>
      </c>
      <c r="B4285" s="46" t="s">
        <v>38</v>
      </c>
      <c r="C4285" s="46" t="s">
        <v>14</v>
      </c>
      <c r="D4285" s="47">
        <v>10308</v>
      </c>
      <c r="E4285" s="46" t="s">
        <v>1886</v>
      </c>
      <c r="F4285" s="48">
        <v>40909</v>
      </c>
      <c r="G4285" s="48">
        <v>41274</v>
      </c>
      <c r="H4285" s="46" t="s">
        <v>40</v>
      </c>
      <c r="I4285" s="45">
        <v>20211.23</v>
      </c>
      <c r="J4285" s="45">
        <v>10135.02</v>
      </c>
      <c r="K4285" s="49" t="s">
        <v>790</v>
      </c>
      <c r="L4285" s="45"/>
      <c r="M4285" s="3"/>
    </row>
    <row r="4286" spans="1:13" ht="25.5" x14ac:dyDescent="0.25">
      <c r="A4286" s="46" t="s">
        <v>1887</v>
      </c>
      <c r="B4286" s="46" t="s">
        <v>38</v>
      </c>
      <c r="C4286" s="46" t="s">
        <v>14</v>
      </c>
      <c r="D4286" s="47">
        <v>10309</v>
      </c>
      <c r="E4286" s="46" t="s">
        <v>1888</v>
      </c>
      <c r="F4286" s="48">
        <v>41244</v>
      </c>
      <c r="G4286" s="48">
        <v>41639</v>
      </c>
      <c r="H4286" s="46" t="s">
        <v>40</v>
      </c>
      <c r="I4286" s="45">
        <f>15199.65+8986.65</f>
        <v>24186.3</v>
      </c>
      <c r="J4286" s="45">
        <f>6212.95+8986.65</f>
        <v>15199.599999999999</v>
      </c>
      <c r="K4286" s="49" t="s">
        <v>790</v>
      </c>
      <c r="L4286" s="45"/>
      <c r="M4286" s="3"/>
    </row>
    <row r="4287" spans="1:13" ht="63.75" x14ac:dyDescent="0.25">
      <c r="A4287" s="46" t="s">
        <v>1889</v>
      </c>
      <c r="B4287" s="46" t="s">
        <v>38</v>
      </c>
      <c r="C4287" s="46" t="s">
        <v>14</v>
      </c>
      <c r="D4287" s="47">
        <v>10310</v>
      </c>
      <c r="E4287" s="50" t="s">
        <v>1890</v>
      </c>
      <c r="F4287" s="48">
        <v>41244</v>
      </c>
      <c r="G4287" s="48">
        <v>41274</v>
      </c>
      <c r="H4287" s="46" t="s">
        <v>40</v>
      </c>
      <c r="I4287" s="45">
        <v>3593.25</v>
      </c>
      <c r="J4287" s="45">
        <v>3293.25</v>
      </c>
      <c r="K4287" s="49" t="s">
        <v>790</v>
      </c>
      <c r="L4287" s="45"/>
      <c r="M4287" s="3"/>
    </row>
    <row r="4288" spans="1:13" ht="38.25" x14ac:dyDescent="0.25">
      <c r="A4288" s="46" t="s">
        <v>1891</v>
      </c>
      <c r="B4288" s="46" t="s">
        <v>38</v>
      </c>
      <c r="C4288" s="46" t="s">
        <v>14</v>
      </c>
      <c r="D4288" s="47">
        <v>10311</v>
      </c>
      <c r="E4288" s="46" t="s">
        <v>1892</v>
      </c>
      <c r="F4288" s="48">
        <v>40909</v>
      </c>
      <c r="G4288" s="48">
        <v>41274</v>
      </c>
      <c r="H4288" s="46" t="s">
        <v>40</v>
      </c>
      <c r="I4288" s="45">
        <v>3501.27</v>
      </c>
      <c r="J4288" s="45">
        <v>2231.27</v>
      </c>
      <c r="K4288" s="49" t="s">
        <v>790</v>
      </c>
      <c r="L4288" s="45"/>
      <c r="M4288" s="3"/>
    </row>
    <row r="4289" spans="1:13" ht="25.5" x14ac:dyDescent="0.25">
      <c r="A4289" s="46" t="s">
        <v>1893</v>
      </c>
      <c r="B4289" s="46" t="s">
        <v>38</v>
      </c>
      <c r="C4289" s="46" t="s">
        <v>14</v>
      </c>
      <c r="D4289" s="47">
        <v>10312</v>
      </c>
      <c r="E4289" s="46" t="s">
        <v>1125</v>
      </c>
      <c r="F4289" s="48">
        <v>40909</v>
      </c>
      <c r="G4289" s="48">
        <v>41639</v>
      </c>
      <c r="H4289" s="46" t="s">
        <v>40</v>
      </c>
      <c r="I4289" s="45">
        <f>36444.52+2764.98</f>
        <v>39209.5</v>
      </c>
      <c r="J4289" s="45">
        <v>35944.519999999997</v>
      </c>
      <c r="K4289" s="49" t="s">
        <v>790</v>
      </c>
      <c r="L4289" s="45"/>
      <c r="M4289" s="3"/>
    </row>
    <row r="4290" spans="1:13" ht="51" x14ac:dyDescent="0.25">
      <c r="A4290" s="46" t="s">
        <v>1894</v>
      </c>
      <c r="B4290" s="46" t="s">
        <v>38</v>
      </c>
      <c r="C4290" s="46" t="s">
        <v>14</v>
      </c>
      <c r="D4290" s="47">
        <v>10313</v>
      </c>
      <c r="E4290" s="50" t="s">
        <v>1895</v>
      </c>
      <c r="F4290" s="48">
        <v>40909</v>
      </c>
      <c r="G4290" s="48">
        <v>41639</v>
      </c>
      <c r="H4290" s="46" t="s">
        <v>40</v>
      </c>
      <c r="I4290" s="45">
        <f>25479.54+1657</f>
        <v>27136.54</v>
      </c>
      <c r="J4290" s="45">
        <f>21622.54+1657</f>
        <v>23279.54</v>
      </c>
      <c r="K4290" s="49" t="s">
        <v>790</v>
      </c>
      <c r="L4290" s="45"/>
      <c r="M4290" s="3"/>
    </row>
    <row r="4291" spans="1:13" ht="25.5" x14ac:dyDescent="0.25">
      <c r="A4291" s="46" t="s">
        <v>1896</v>
      </c>
      <c r="B4291" s="46" t="s">
        <v>38</v>
      </c>
      <c r="C4291" s="46" t="s">
        <v>14</v>
      </c>
      <c r="D4291" s="47">
        <v>10314</v>
      </c>
      <c r="E4291" s="46" t="s">
        <v>1676</v>
      </c>
      <c r="F4291" s="48">
        <v>40909</v>
      </c>
      <c r="G4291" s="48">
        <v>41274</v>
      </c>
      <c r="H4291" s="46" t="s">
        <v>40</v>
      </c>
      <c r="I4291" s="45">
        <v>4109.74</v>
      </c>
      <c r="J4291" s="45">
        <v>3099.74</v>
      </c>
      <c r="K4291" s="49" t="s">
        <v>790</v>
      </c>
      <c r="L4291" s="45"/>
      <c r="M4291" s="3"/>
    </row>
    <row r="4292" spans="1:13" ht="25.5" x14ac:dyDescent="0.25">
      <c r="A4292" s="46" t="s">
        <v>1897</v>
      </c>
      <c r="B4292" s="46" t="s">
        <v>38</v>
      </c>
      <c r="C4292" s="46" t="s">
        <v>14</v>
      </c>
      <c r="D4292" s="47">
        <v>10315</v>
      </c>
      <c r="E4292" s="46" t="s">
        <v>1687</v>
      </c>
      <c r="F4292" s="48">
        <v>40909</v>
      </c>
      <c r="G4292" s="48">
        <v>41274</v>
      </c>
      <c r="H4292" s="46" t="s">
        <v>40</v>
      </c>
      <c r="I4292" s="45">
        <v>3919.98</v>
      </c>
      <c r="J4292" s="45">
        <v>2999.98</v>
      </c>
      <c r="K4292" s="49" t="s">
        <v>790</v>
      </c>
      <c r="L4292" s="45"/>
      <c r="M4292" s="3"/>
    </row>
    <row r="4293" spans="1:13" ht="25.5" x14ac:dyDescent="0.25">
      <c r="A4293" s="46" t="s">
        <v>1898</v>
      </c>
      <c r="B4293" s="46" t="s">
        <v>38</v>
      </c>
      <c r="C4293" s="46" t="s">
        <v>14</v>
      </c>
      <c r="D4293" s="47">
        <v>10316</v>
      </c>
      <c r="E4293" s="46" t="s">
        <v>1899</v>
      </c>
      <c r="F4293" s="48">
        <v>40909</v>
      </c>
      <c r="G4293" s="48">
        <v>41274</v>
      </c>
      <c r="H4293" s="46" t="s">
        <v>40</v>
      </c>
      <c r="I4293" s="45">
        <v>5138.97</v>
      </c>
      <c r="J4293" s="45">
        <v>2251.79</v>
      </c>
      <c r="K4293" s="49" t="s">
        <v>790</v>
      </c>
      <c r="L4293" s="45"/>
      <c r="M4293" s="3"/>
    </row>
    <row r="4294" spans="1:13" ht="25.5" x14ac:dyDescent="0.25">
      <c r="A4294" s="46" t="s">
        <v>1900</v>
      </c>
      <c r="B4294" s="46" t="s">
        <v>38</v>
      </c>
      <c r="C4294" s="46" t="s">
        <v>14</v>
      </c>
      <c r="D4294" s="47">
        <v>10318</v>
      </c>
      <c r="E4294" s="46" t="s">
        <v>1901</v>
      </c>
      <c r="F4294" s="48">
        <v>40909</v>
      </c>
      <c r="G4294" s="48">
        <v>41274</v>
      </c>
      <c r="H4294" s="46" t="s">
        <v>40</v>
      </c>
      <c r="I4294" s="45">
        <v>4083.35</v>
      </c>
      <c r="J4294" s="45">
        <v>2823.35</v>
      </c>
      <c r="K4294" s="49" t="s">
        <v>790</v>
      </c>
      <c r="L4294" s="45"/>
      <c r="M4294" s="3"/>
    </row>
    <row r="4295" spans="1:13" ht="38.25" x14ac:dyDescent="0.25">
      <c r="A4295" s="46" t="s">
        <v>1902</v>
      </c>
      <c r="B4295" s="46" t="s">
        <v>38</v>
      </c>
      <c r="C4295" s="46" t="s">
        <v>14</v>
      </c>
      <c r="D4295" s="47">
        <v>10319</v>
      </c>
      <c r="E4295" s="46" t="s">
        <v>1903</v>
      </c>
      <c r="F4295" s="48">
        <v>40909</v>
      </c>
      <c r="G4295" s="48">
        <v>41274</v>
      </c>
      <c r="H4295" s="46" t="s">
        <v>40</v>
      </c>
      <c r="I4295" s="45">
        <v>12000.97</v>
      </c>
      <c r="J4295" s="45">
        <v>10900.97</v>
      </c>
      <c r="K4295" s="49" t="s">
        <v>790</v>
      </c>
      <c r="L4295" s="45"/>
      <c r="M4295" s="3"/>
    </row>
    <row r="4296" spans="1:13" ht="25.5" x14ac:dyDescent="0.25">
      <c r="A4296" s="46" t="s">
        <v>1904</v>
      </c>
      <c r="B4296" s="46" t="s">
        <v>38</v>
      </c>
      <c r="C4296" s="46" t="s">
        <v>14</v>
      </c>
      <c r="D4296" s="47">
        <v>10321</v>
      </c>
      <c r="E4296" s="46" t="s">
        <v>1362</v>
      </c>
      <c r="F4296" s="48">
        <v>40909</v>
      </c>
      <c r="G4296" s="48">
        <v>41639</v>
      </c>
      <c r="H4296" s="46" t="s">
        <v>40</v>
      </c>
      <c r="I4296" s="45">
        <f>33759.05+1081.5</f>
        <v>34840.550000000003</v>
      </c>
      <c r="J4296" s="45">
        <f>27502.55+1081.5</f>
        <v>28584.05</v>
      </c>
      <c r="K4296" s="49" t="s">
        <v>790</v>
      </c>
      <c r="L4296" s="45"/>
      <c r="M4296" s="3"/>
    </row>
    <row r="4297" spans="1:13" ht="25.5" x14ac:dyDescent="0.25">
      <c r="A4297" s="46" t="s">
        <v>1905</v>
      </c>
      <c r="B4297" s="46" t="s">
        <v>38</v>
      </c>
      <c r="C4297" s="46" t="s">
        <v>14</v>
      </c>
      <c r="D4297" s="47">
        <v>10322</v>
      </c>
      <c r="E4297" s="46" t="s">
        <v>1324</v>
      </c>
      <c r="F4297" s="48">
        <v>40909</v>
      </c>
      <c r="G4297" s="48">
        <v>41274</v>
      </c>
      <c r="H4297" s="46" t="s">
        <v>40</v>
      </c>
      <c r="I4297" s="45">
        <v>1063</v>
      </c>
      <c r="J4297" s="45">
        <v>983</v>
      </c>
      <c r="K4297" s="49" t="s">
        <v>790</v>
      </c>
      <c r="L4297" s="45"/>
      <c r="M4297" s="3"/>
    </row>
    <row r="4298" spans="1:13" ht="25.5" x14ac:dyDescent="0.25">
      <c r="A4298" s="46" t="s">
        <v>1906</v>
      </c>
      <c r="B4298" s="46" t="s">
        <v>38</v>
      </c>
      <c r="C4298" s="46" t="s">
        <v>14</v>
      </c>
      <c r="D4298" s="47">
        <v>10323</v>
      </c>
      <c r="E4298" s="46" t="s">
        <v>1907</v>
      </c>
      <c r="F4298" s="48">
        <v>40909</v>
      </c>
      <c r="G4298" s="48">
        <v>41274</v>
      </c>
      <c r="H4298" s="46" t="s">
        <v>40</v>
      </c>
      <c r="I4298" s="45">
        <v>4059.24</v>
      </c>
      <c r="J4298" s="45">
        <v>3009.24</v>
      </c>
      <c r="K4298" s="49" t="s">
        <v>790</v>
      </c>
      <c r="L4298" s="45"/>
      <c r="M4298" s="3"/>
    </row>
    <row r="4299" spans="1:13" ht="51" x14ac:dyDescent="0.25">
      <c r="A4299" s="46" t="s">
        <v>1908</v>
      </c>
      <c r="B4299" s="46" t="s">
        <v>38</v>
      </c>
      <c r="C4299" s="46" t="s">
        <v>14</v>
      </c>
      <c r="D4299" s="47">
        <v>10324</v>
      </c>
      <c r="E4299" s="50" t="s">
        <v>1909</v>
      </c>
      <c r="F4299" s="48">
        <v>40909</v>
      </c>
      <c r="G4299" s="48">
        <v>41274</v>
      </c>
      <c r="H4299" s="46" t="s">
        <v>40</v>
      </c>
      <c r="I4299" s="45">
        <v>1112.24</v>
      </c>
      <c r="J4299" s="45">
        <v>1112.24</v>
      </c>
      <c r="K4299" s="49" t="s">
        <v>790</v>
      </c>
      <c r="L4299" s="45"/>
      <c r="M4299" s="3"/>
    </row>
    <row r="4300" spans="1:13" ht="76.5" x14ac:dyDescent="0.25">
      <c r="A4300" s="46" t="s">
        <v>1910</v>
      </c>
      <c r="B4300" s="46" t="s">
        <v>38</v>
      </c>
      <c r="C4300" s="46" t="s">
        <v>14</v>
      </c>
      <c r="D4300" s="47">
        <v>10325</v>
      </c>
      <c r="E4300" s="50" t="s">
        <v>1911</v>
      </c>
      <c r="F4300" s="48">
        <v>40909</v>
      </c>
      <c r="G4300" s="48">
        <v>41274</v>
      </c>
      <c r="H4300" s="46" t="s">
        <v>40</v>
      </c>
      <c r="I4300" s="45">
        <v>1387.55</v>
      </c>
      <c r="J4300" s="45">
        <v>1167.55</v>
      </c>
      <c r="K4300" s="49" t="s">
        <v>790</v>
      </c>
      <c r="L4300" s="45"/>
      <c r="M4300" s="3"/>
    </row>
    <row r="4301" spans="1:13" ht="38.25" x14ac:dyDescent="0.25">
      <c r="A4301" s="46" t="s">
        <v>1912</v>
      </c>
      <c r="B4301" s="46" t="s">
        <v>38</v>
      </c>
      <c r="C4301" s="46" t="s">
        <v>14</v>
      </c>
      <c r="D4301" s="47">
        <v>10326</v>
      </c>
      <c r="E4301" s="46" t="s">
        <v>1913</v>
      </c>
      <c r="F4301" s="48">
        <v>40909</v>
      </c>
      <c r="G4301" s="48">
        <v>41639</v>
      </c>
      <c r="H4301" s="46" t="s">
        <v>40</v>
      </c>
      <c r="I4301" s="45">
        <f>9762.05+3095</f>
        <v>12857.05</v>
      </c>
      <c r="J4301" s="45">
        <f>2869.21+3095</f>
        <v>5964.21</v>
      </c>
      <c r="K4301" s="49" t="s">
        <v>790</v>
      </c>
      <c r="L4301" s="45"/>
      <c r="M4301" s="3"/>
    </row>
    <row r="4302" spans="1:13" ht="25.5" x14ac:dyDescent="0.25">
      <c r="A4302" s="46" t="s">
        <v>1647</v>
      </c>
      <c r="B4302" s="46" t="s">
        <v>38</v>
      </c>
      <c r="C4302" s="46" t="s">
        <v>14</v>
      </c>
      <c r="D4302" s="47">
        <v>10327</v>
      </c>
      <c r="E4302" s="46" t="s">
        <v>1648</v>
      </c>
      <c r="F4302" s="48">
        <v>40909</v>
      </c>
      <c r="G4302" s="48">
        <v>41060</v>
      </c>
      <c r="H4302" s="46" t="s">
        <v>40</v>
      </c>
      <c r="I4302" s="45">
        <v>9491.68</v>
      </c>
      <c r="J4302" s="45">
        <v>9491.68</v>
      </c>
      <c r="K4302" s="49" t="s">
        <v>790</v>
      </c>
      <c r="L4302" s="45"/>
      <c r="M4302" s="3"/>
    </row>
    <row r="4303" spans="1:13" ht="25.5" x14ac:dyDescent="0.25">
      <c r="A4303" s="46" t="s">
        <v>1920</v>
      </c>
      <c r="B4303" s="46" t="s">
        <v>38</v>
      </c>
      <c r="C4303" s="46" t="s">
        <v>14</v>
      </c>
      <c r="D4303" s="47">
        <v>10360</v>
      </c>
      <c r="E4303" s="46" t="s">
        <v>1921</v>
      </c>
      <c r="F4303" s="48">
        <v>40909</v>
      </c>
      <c r="G4303" s="48">
        <v>41274</v>
      </c>
      <c r="H4303" s="46" t="s">
        <v>40</v>
      </c>
      <c r="I4303" s="45">
        <v>29903.85</v>
      </c>
      <c r="J4303" s="45">
        <v>26753.85</v>
      </c>
      <c r="K4303" s="49" t="s">
        <v>790</v>
      </c>
      <c r="L4303" s="45"/>
      <c r="M4303" s="3"/>
    </row>
    <row r="4304" spans="1:13" ht="63.75" x14ac:dyDescent="0.25">
      <c r="A4304" s="46" t="s">
        <v>1922</v>
      </c>
      <c r="B4304" s="46" t="s">
        <v>38</v>
      </c>
      <c r="C4304" s="46" t="s">
        <v>14</v>
      </c>
      <c r="D4304" s="47">
        <v>10362</v>
      </c>
      <c r="E4304" s="50" t="s">
        <v>1923</v>
      </c>
      <c r="F4304" s="48">
        <v>40909</v>
      </c>
      <c r="G4304" s="48">
        <v>41274</v>
      </c>
      <c r="H4304" s="46" t="s">
        <v>40</v>
      </c>
      <c r="I4304" s="45">
        <v>6532.56</v>
      </c>
      <c r="J4304" s="45">
        <v>4652.5600000000004</v>
      </c>
      <c r="K4304" s="49" t="s">
        <v>790</v>
      </c>
      <c r="L4304" s="45"/>
      <c r="M4304" s="3"/>
    </row>
    <row r="4305" spans="1:13" ht="38.25" x14ac:dyDescent="0.25">
      <c r="A4305" s="46" t="s">
        <v>1924</v>
      </c>
      <c r="B4305" s="46" t="s">
        <v>38</v>
      </c>
      <c r="C4305" s="46" t="s">
        <v>14</v>
      </c>
      <c r="D4305" s="47">
        <v>10363</v>
      </c>
      <c r="E4305" s="46" t="s">
        <v>1925</v>
      </c>
      <c r="F4305" s="48">
        <v>40909</v>
      </c>
      <c r="G4305" s="48">
        <v>41274</v>
      </c>
      <c r="H4305" s="46" t="s">
        <v>40</v>
      </c>
      <c r="I4305" s="45">
        <v>13140.6</v>
      </c>
      <c r="J4305" s="45">
        <v>13140.6</v>
      </c>
      <c r="K4305" s="49" t="s">
        <v>790</v>
      </c>
      <c r="L4305" s="45"/>
      <c r="M4305" s="3"/>
    </row>
    <row r="4306" spans="1:13" ht="25.5" x14ac:dyDescent="0.25">
      <c r="A4306" s="46" t="s">
        <v>1926</v>
      </c>
      <c r="B4306" s="46" t="s">
        <v>38</v>
      </c>
      <c r="C4306" s="46" t="s">
        <v>14</v>
      </c>
      <c r="D4306" s="47">
        <v>10364</v>
      </c>
      <c r="E4306" s="46" t="s">
        <v>1927</v>
      </c>
      <c r="F4306" s="48">
        <v>41153</v>
      </c>
      <c r="G4306" s="46"/>
      <c r="H4306" s="46" t="s">
        <v>40</v>
      </c>
      <c r="I4306" s="45">
        <v>1566.4</v>
      </c>
      <c r="J4306" s="45">
        <v>1566.4</v>
      </c>
      <c r="K4306" s="49" t="s">
        <v>790</v>
      </c>
      <c r="L4306" s="45"/>
      <c r="M4306" s="3"/>
    </row>
    <row r="4307" spans="1:13" ht="63.75" x14ac:dyDescent="0.25">
      <c r="A4307" s="46" t="s">
        <v>1885</v>
      </c>
      <c r="B4307" s="46" t="s">
        <v>38</v>
      </c>
      <c r="C4307" s="46" t="s">
        <v>14</v>
      </c>
      <c r="D4307" s="47">
        <v>10366</v>
      </c>
      <c r="E4307" s="50" t="s">
        <v>1928</v>
      </c>
      <c r="F4307" s="48">
        <v>40909</v>
      </c>
      <c r="G4307" s="48">
        <v>41274</v>
      </c>
      <c r="H4307" s="46" t="s">
        <v>40</v>
      </c>
      <c r="I4307" s="45">
        <v>3929.15</v>
      </c>
      <c r="J4307" s="45">
        <v>3929.15</v>
      </c>
      <c r="K4307" s="49" t="s">
        <v>790</v>
      </c>
      <c r="L4307" s="45"/>
      <c r="M4307" s="3"/>
    </row>
    <row r="4308" spans="1:13" ht="51" x14ac:dyDescent="0.25">
      <c r="A4308" s="46" t="s">
        <v>1929</v>
      </c>
      <c r="B4308" s="46" t="s">
        <v>38</v>
      </c>
      <c r="C4308" s="46" t="s">
        <v>14</v>
      </c>
      <c r="D4308" s="47">
        <v>10367</v>
      </c>
      <c r="E4308" s="50" t="s">
        <v>1930</v>
      </c>
      <c r="F4308" s="48">
        <v>40909</v>
      </c>
      <c r="G4308" s="48">
        <v>41274</v>
      </c>
      <c r="H4308" s="46" t="s">
        <v>40</v>
      </c>
      <c r="I4308" s="45">
        <v>776.4</v>
      </c>
      <c r="J4308" s="45">
        <v>601.4</v>
      </c>
      <c r="K4308" s="49" t="s">
        <v>790</v>
      </c>
      <c r="L4308" s="45"/>
      <c r="M4308" s="3"/>
    </row>
    <row r="4309" spans="1:13" ht="25.5" x14ac:dyDescent="0.25">
      <c r="A4309" s="46" t="s">
        <v>1931</v>
      </c>
      <c r="B4309" s="46" t="s">
        <v>38</v>
      </c>
      <c r="C4309" s="46" t="s">
        <v>14</v>
      </c>
      <c r="D4309" s="47">
        <v>10368</v>
      </c>
      <c r="E4309" s="46" t="s">
        <v>1932</v>
      </c>
      <c r="F4309" s="48">
        <v>40909</v>
      </c>
      <c r="G4309" s="48">
        <v>41274</v>
      </c>
      <c r="H4309" s="46" t="s">
        <v>40</v>
      </c>
      <c r="I4309" s="45">
        <v>226.32</v>
      </c>
      <c r="J4309" s="45">
        <v>226.32</v>
      </c>
      <c r="K4309" s="49" t="s">
        <v>790</v>
      </c>
      <c r="L4309" s="45"/>
      <c r="M4309" s="3"/>
    </row>
    <row r="4310" spans="1:13" ht="25.5" x14ac:dyDescent="0.25">
      <c r="A4310" s="46" t="s">
        <v>1933</v>
      </c>
      <c r="B4310" s="46" t="s">
        <v>38</v>
      </c>
      <c r="C4310" s="46" t="s">
        <v>14</v>
      </c>
      <c r="D4310" s="47">
        <v>10369</v>
      </c>
      <c r="E4310" s="46" t="s">
        <v>1934</v>
      </c>
      <c r="F4310" s="48">
        <v>40909</v>
      </c>
      <c r="G4310" s="48">
        <v>41274</v>
      </c>
      <c r="H4310" s="46" t="s">
        <v>40</v>
      </c>
      <c r="I4310" s="45">
        <v>3519.19</v>
      </c>
      <c r="J4310" s="45">
        <v>3069.19</v>
      </c>
      <c r="K4310" s="49" t="s">
        <v>790</v>
      </c>
      <c r="L4310" s="45"/>
      <c r="M4310" s="3"/>
    </row>
    <row r="4311" spans="1:13" ht="25.5" x14ac:dyDescent="0.25">
      <c r="A4311" s="46" t="s">
        <v>1935</v>
      </c>
      <c r="B4311" s="46" t="s">
        <v>38</v>
      </c>
      <c r="C4311" s="46" t="s">
        <v>14</v>
      </c>
      <c r="D4311" s="47">
        <v>10370</v>
      </c>
      <c r="E4311" s="46" t="s">
        <v>1936</v>
      </c>
      <c r="F4311" s="48">
        <v>40909</v>
      </c>
      <c r="G4311" s="48">
        <v>41274</v>
      </c>
      <c r="H4311" s="46" t="s">
        <v>40</v>
      </c>
      <c r="I4311" s="45">
        <v>325.7</v>
      </c>
      <c r="J4311" s="45">
        <v>325.7</v>
      </c>
      <c r="K4311" s="49" t="s">
        <v>790</v>
      </c>
      <c r="L4311" s="45"/>
      <c r="M4311" s="3"/>
    </row>
    <row r="4312" spans="1:13" ht="25.5" x14ac:dyDescent="0.25">
      <c r="A4312" s="46" t="s">
        <v>1937</v>
      </c>
      <c r="B4312" s="46" t="s">
        <v>38</v>
      </c>
      <c r="C4312" s="46" t="s">
        <v>14</v>
      </c>
      <c r="D4312" s="47">
        <v>10371</v>
      </c>
      <c r="E4312" s="46" t="s">
        <v>1938</v>
      </c>
      <c r="F4312" s="48">
        <v>40909</v>
      </c>
      <c r="G4312" s="48">
        <v>41274</v>
      </c>
      <c r="H4312" s="46" t="s">
        <v>40</v>
      </c>
      <c r="I4312" s="45">
        <f>311.6+309.41</f>
        <v>621.01</v>
      </c>
      <c r="J4312" s="45">
        <f>311.6</f>
        <v>311.60000000000002</v>
      </c>
      <c r="K4312" s="49" t="s">
        <v>790</v>
      </c>
      <c r="L4312" s="45"/>
      <c r="M4312" s="3"/>
    </row>
    <row r="4313" spans="1:13" ht="25.5" x14ac:dyDescent="0.25">
      <c r="A4313" s="46" t="s">
        <v>1939</v>
      </c>
      <c r="B4313" s="46" t="s">
        <v>38</v>
      </c>
      <c r="C4313" s="46" t="s">
        <v>14</v>
      </c>
      <c r="D4313" s="47">
        <v>10372</v>
      </c>
      <c r="E4313" s="46" t="s">
        <v>1940</v>
      </c>
      <c r="F4313" s="48">
        <v>40909</v>
      </c>
      <c r="G4313" s="48">
        <v>41274</v>
      </c>
      <c r="H4313" s="46" t="s">
        <v>40</v>
      </c>
      <c r="I4313" s="45">
        <v>311.60000000000002</v>
      </c>
      <c r="J4313" s="45">
        <v>311.60000000000002</v>
      </c>
      <c r="K4313" s="49" t="s">
        <v>790</v>
      </c>
      <c r="L4313" s="45"/>
      <c r="M4313" s="3"/>
    </row>
    <row r="4314" spans="1:13" ht="38.25" x14ac:dyDescent="0.25">
      <c r="A4314" s="46" t="s">
        <v>1941</v>
      </c>
      <c r="B4314" s="46" t="s">
        <v>38</v>
      </c>
      <c r="C4314" s="46" t="s">
        <v>14</v>
      </c>
      <c r="D4314" s="47">
        <v>10373</v>
      </c>
      <c r="E4314" s="46" t="s">
        <v>1942</v>
      </c>
      <c r="F4314" s="48">
        <v>40909</v>
      </c>
      <c r="G4314" s="48">
        <v>41274</v>
      </c>
      <c r="H4314" s="46" t="s">
        <v>40</v>
      </c>
      <c r="I4314" s="45">
        <v>7531.1</v>
      </c>
      <c r="J4314" s="45">
        <v>6331.1</v>
      </c>
      <c r="K4314" s="49" t="s">
        <v>790</v>
      </c>
      <c r="L4314" s="45"/>
      <c r="M4314" s="3"/>
    </row>
    <row r="4315" spans="1:13" ht="51" x14ac:dyDescent="0.25">
      <c r="A4315" s="46" t="s">
        <v>1943</v>
      </c>
      <c r="B4315" s="46" t="s">
        <v>38</v>
      </c>
      <c r="C4315" s="46" t="s">
        <v>14</v>
      </c>
      <c r="D4315" s="47">
        <v>10374</v>
      </c>
      <c r="E4315" s="50" t="s">
        <v>1944</v>
      </c>
      <c r="F4315" s="48">
        <v>40909</v>
      </c>
      <c r="G4315" s="48">
        <v>41274</v>
      </c>
      <c r="H4315" s="46" t="s">
        <v>40</v>
      </c>
      <c r="I4315" s="45">
        <v>3298.45</v>
      </c>
      <c r="J4315" s="45">
        <v>2548.4499999999998</v>
      </c>
      <c r="K4315" s="49" t="s">
        <v>790</v>
      </c>
      <c r="L4315" s="45"/>
      <c r="M4315" s="3"/>
    </row>
    <row r="4316" spans="1:13" ht="25.5" x14ac:dyDescent="0.25">
      <c r="A4316" s="46" t="s">
        <v>1893</v>
      </c>
      <c r="B4316" s="46" t="s">
        <v>38</v>
      </c>
      <c r="C4316" s="46" t="s">
        <v>14</v>
      </c>
      <c r="D4316" s="47">
        <v>10375</v>
      </c>
      <c r="E4316" s="46" t="s">
        <v>1945</v>
      </c>
      <c r="F4316" s="48">
        <v>40909</v>
      </c>
      <c r="G4316" s="48">
        <v>41274</v>
      </c>
      <c r="H4316" s="46" t="s">
        <v>40</v>
      </c>
      <c r="I4316" s="45">
        <v>5590</v>
      </c>
      <c r="J4316" s="45">
        <v>5340</v>
      </c>
      <c r="K4316" s="49" t="s">
        <v>790</v>
      </c>
      <c r="L4316" s="45"/>
      <c r="M4316" s="3"/>
    </row>
    <row r="4317" spans="1:13" ht="25.5" x14ac:dyDescent="0.25">
      <c r="A4317" s="46" t="s">
        <v>1946</v>
      </c>
      <c r="B4317" s="46" t="s">
        <v>38</v>
      </c>
      <c r="C4317" s="46" t="s">
        <v>14</v>
      </c>
      <c r="D4317" s="47">
        <v>10376</v>
      </c>
      <c r="E4317" s="46" t="s">
        <v>1947</v>
      </c>
      <c r="F4317" s="48">
        <v>40909</v>
      </c>
      <c r="G4317" s="48">
        <v>41274</v>
      </c>
      <c r="H4317" s="46" t="s">
        <v>40</v>
      </c>
      <c r="I4317" s="45">
        <v>400</v>
      </c>
      <c r="J4317" s="45">
        <v>400</v>
      </c>
      <c r="K4317" s="49" t="s">
        <v>790</v>
      </c>
      <c r="L4317" s="45"/>
      <c r="M4317" s="3"/>
    </row>
    <row r="4318" spans="1:13" ht="25.5" x14ac:dyDescent="0.25">
      <c r="A4318" s="46" t="s">
        <v>1948</v>
      </c>
      <c r="B4318" s="46" t="s">
        <v>38</v>
      </c>
      <c r="C4318" s="46" t="s">
        <v>14</v>
      </c>
      <c r="D4318" s="47">
        <v>10377</v>
      </c>
      <c r="E4318" s="46" t="s">
        <v>1949</v>
      </c>
      <c r="F4318" s="48">
        <v>40909</v>
      </c>
      <c r="G4318" s="48">
        <v>41274</v>
      </c>
      <c r="H4318" s="46" t="s">
        <v>40</v>
      </c>
      <c r="I4318" s="45">
        <v>5042.05</v>
      </c>
      <c r="J4318" s="45">
        <v>5042.05</v>
      </c>
      <c r="K4318" s="49" t="s">
        <v>790</v>
      </c>
      <c r="L4318" s="45"/>
      <c r="M4318" s="3"/>
    </row>
    <row r="4319" spans="1:13" ht="38.25" x14ac:dyDescent="0.25">
      <c r="A4319" s="46" t="s">
        <v>1950</v>
      </c>
      <c r="B4319" s="46" t="s">
        <v>38</v>
      </c>
      <c r="C4319" s="46" t="s">
        <v>14</v>
      </c>
      <c r="D4319" s="47">
        <v>10379</v>
      </c>
      <c r="E4319" s="46" t="s">
        <v>1951</v>
      </c>
      <c r="F4319" s="48">
        <v>40909</v>
      </c>
      <c r="G4319" s="48">
        <v>41274</v>
      </c>
      <c r="H4319" s="46" t="s">
        <v>40</v>
      </c>
      <c r="I4319" s="45">
        <v>2143.1999999999998</v>
      </c>
      <c r="J4319" s="45">
        <v>1923.2</v>
      </c>
      <c r="K4319" s="49" t="s">
        <v>790</v>
      </c>
      <c r="L4319" s="45"/>
      <c r="M4319" s="3"/>
    </row>
    <row r="4320" spans="1:13" ht="38.25" x14ac:dyDescent="0.25">
      <c r="A4320" s="46" t="s">
        <v>1952</v>
      </c>
      <c r="B4320" s="46" t="s">
        <v>38</v>
      </c>
      <c r="C4320" s="46" t="s">
        <v>14</v>
      </c>
      <c r="D4320" s="47">
        <v>10380</v>
      </c>
      <c r="E4320" s="46" t="s">
        <v>1953</v>
      </c>
      <c r="F4320" s="48">
        <v>40909</v>
      </c>
      <c r="G4320" s="48">
        <v>41274</v>
      </c>
      <c r="H4320" s="46" t="s">
        <v>40</v>
      </c>
      <c r="I4320" s="45">
        <v>2247.67</v>
      </c>
      <c r="J4320" s="45">
        <v>1872.67</v>
      </c>
      <c r="K4320" s="49" t="s">
        <v>790</v>
      </c>
      <c r="L4320" s="45"/>
      <c r="M4320" s="3"/>
    </row>
    <row r="4321" spans="1:13" ht="25.5" x14ac:dyDescent="0.25">
      <c r="A4321" s="46" t="s">
        <v>1954</v>
      </c>
      <c r="B4321" s="46" t="s">
        <v>38</v>
      </c>
      <c r="C4321" s="46" t="s">
        <v>14</v>
      </c>
      <c r="D4321" s="47">
        <v>10381</v>
      </c>
      <c r="E4321" s="46" t="s">
        <v>1955</v>
      </c>
      <c r="F4321" s="48">
        <v>40909</v>
      </c>
      <c r="G4321" s="48">
        <v>41274</v>
      </c>
      <c r="H4321" s="46" t="s">
        <v>40</v>
      </c>
      <c r="I4321" s="45">
        <v>2652</v>
      </c>
      <c r="J4321" s="45">
        <v>2077</v>
      </c>
      <c r="K4321" s="49" t="s">
        <v>790</v>
      </c>
      <c r="L4321" s="45"/>
      <c r="M4321" s="3"/>
    </row>
    <row r="4322" spans="1:13" ht="25.5" x14ac:dyDescent="0.25">
      <c r="A4322" s="46" t="s">
        <v>1956</v>
      </c>
      <c r="B4322" s="46" t="s">
        <v>38</v>
      </c>
      <c r="C4322" s="46" t="s">
        <v>14</v>
      </c>
      <c r="D4322" s="47">
        <v>10382</v>
      </c>
      <c r="E4322" s="46" t="s">
        <v>1957</v>
      </c>
      <c r="F4322" s="48">
        <v>40909</v>
      </c>
      <c r="G4322" s="48">
        <v>41274</v>
      </c>
      <c r="H4322" s="46" t="s">
        <v>40</v>
      </c>
      <c r="I4322" s="45">
        <v>4340.67</v>
      </c>
      <c r="J4322" s="45">
        <v>4340.67</v>
      </c>
      <c r="K4322" s="49" t="s">
        <v>790</v>
      </c>
      <c r="L4322" s="45"/>
      <c r="M4322" s="3"/>
    </row>
    <row r="4323" spans="1:13" ht="25.5" x14ac:dyDescent="0.25">
      <c r="A4323" s="46" t="s">
        <v>1958</v>
      </c>
      <c r="B4323" s="46" t="s">
        <v>38</v>
      </c>
      <c r="C4323" s="46" t="s">
        <v>14</v>
      </c>
      <c r="D4323" s="47">
        <v>10383</v>
      </c>
      <c r="E4323" s="46" t="s">
        <v>1837</v>
      </c>
      <c r="F4323" s="48">
        <v>40909</v>
      </c>
      <c r="G4323" s="48">
        <v>41274</v>
      </c>
      <c r="H4323" s="46" t="s">
        <v>40</v>
      </c>
      <c r="I4323" s="45">
        <v>4000</v>
      </c>
      <c r="J4323" s="45">
        <v>2000</v>
      </c>
      <c r="K4323" s="49" t="s">
        <v>790</v>
      </c>
      <c r="L4323" s="45"/>
      <c r="M4323" s="3"/>
    </row>
    <row r="4324" spans="1:13" ht="25.5" x14ac:dyDescent="0.25">
      <c r="A4324" s="46" t="s">
        <v>1959</v>
      </c>
      <c r="B4324" s="46" t="s">
        <v>38</v>
      </c>
      <c r="C4324" s="46" t="s">
        <v>14</v>
      </c>
      <c r="D4324" s="47">
        <v>10384</v>
      </c>
      <c r="E4324" s="46" t="s">
        <v>1960</v>
      </c>
      <c r="F4324" s="48">
        <v>40909</v>
      </c>
      <c r="G4324" s="48">
        <v>41274</v>
      </c>
      <c r="H4324" s="46" t="s">
        <v>40</v>
      </c>
      <c r="I4324" s="45">
        <v>1249.0999999999999</v>
      </c>
      <c r="J4324" s="45">
        <v>949.1</v>
      </c>
      <c r="K4324" s="49" t="s">
        <v>790</v>
      </c>
      <c r="L4324" s="45"/>
      <c r="M4324" s="3"/>
    </row>
    <row r="4325" spans="1:13" ht="38.25" x14ac:dyDescent="0.25">
      <c r="A4325" s="46" t="s">
        <v>1961</v>
      </c>
      <c r="B4325" s="46" t="s">
        <v>38</v>
      </c>
      <c r="C4325" s="46" t="s">
        <v>14</v>
      </c>
      <c r="D4325" s="47">
        <v>10385</v>
      </c>
      <c r="E4325" s="50" t="s">
        <v>1962</v>
      </c>
      <c r="F4325" s="48">
        <v>40909</v>
      </c>
      <c r="G4325" s="48">
        <v>41274</v>
      </c>
      <c r="H4325" s="46" t="s">
        <v>40</v>
      </c>
      <c r="I4325" s="45">
        <v>6861.37</v>
      </c>
      <c r="J4325" s="45">
        <v>5306.37</v>
      </c>
      <c r="K4325" s="49" t="s">
        <v>790</v>
      </c>
      <c r="L4325" s="45"/>
      <c r="M4325" s="3"/>
    </row>
    <row r="4326" spans="1:13" ht="38.25" x14ac:dyDescent="0.25">
      <c r="A4326" s="46" t="s">
        <v>1963</v>
      </c>
      <c r="B4326" s="46" t="s">
        <v>38</v>
      </c>
      <c r="C4326" s="46" t="s">
        <v>14</v>
      </c>
      <c r="D4326" s="47">
        <v>10386</v>
      </c>
      <c r="E4326" s="46" t="s">
        <v>1964</v>
      </c>
      <c r="F4326" s="48">
        <v>40909</v>
      </c>
      <c r="G4326" s="48">
        <v>41274</v>
      </c>
      <c r="H4326" s="46" t="s">
        <v>40</v>
      </c>
      <c r="I4326" s="45">
        <v>1786</v>
      </c>
      <c r="J4326" s="45">
        <v>1361</v>
      </c>
      <c r="K4326" s="49" t="s">
        <v>790</v>
      </c>
      <c r="L4326" s="45"/>
      <c r="M4326" s="3"/>
    </row>
    <row r="4327" spans="1:13" ht="25.5" x14ac:dyDescent="0.25">
      <c r="A4327" s="46" t="s">
        <v>1965</v>
      </c>
      <c r="B4327" s="46" t="s">
        <v>38</v>
      </c>
      <c r="C4327" s="46" t="s">
        <v>14</v>
      </c>
      <c r="D4327" s="47">
        <v>10387</v>
      </c>
      <c r="E4327" s="46" t="s">
        <v>1966</v>
      </c>
      <c r="F4327" s="48">
        <v>40909</v>
      </c>
      <c r="G4327" s="48">
        <v>41274</v>
      </c>
      <c r="H4327" s="46" t="s">
        <v>40</v>
      </c>
      <c r="I4327" s="45">
        <v>21825.25</v>
      </c>
      <c r="J4327" s="45">
        <v>18510.25</v>
      </c>
      <c r="K4327" s="49" t="s">
        <v>790</v>
      </c>
      <c r="L4327" s="45"/>
      <c r="M4327" s="3"/>
    </row>
    <row r="4328" spans="1:13" ht="25.5" x14ac:dyDescent="0.25">
      <c r="A4328" s="46" t="s">
        <v>1967</v>
      </c>
      <c r="B4328" s="46" t="s">
        <v>38</v>
      </c>
      <c r="C4328" s="46" t="s">
        <v>14</v>
      </c>
      <c r="D4328" s="47">
        <v>10388</v>
      </c>
      <c r="E4328" s="46" t="s">
        <v>1968</v>
      </c>
      <c r="F4328" s="48">
        <v>40909</v>
      </c>
      <c r="G4328" s="48">
        <v>41274</v>
      </c>
      <c r="H4328" s="46" t="s">
        <v>40</v>
      </c>
      <c r="I4328" s="45">
        <v>3587.62</v>
      </c>
      <c r="J4328" s="45">
        <v>2937.62</v>
      </c>
      <c r="K4328" s="49" t="s">
        <v>790</v>
      </c>
      <c r="L4328" s="45"/>
      <c r="M4328" s="3"/>
    </row>
    <row r="4329" spans="1:13" ht="25.5" x14ac:dyDescent="0.25">
      <c r="A4329" s="46" t="s">
        <v>1969</v>
      </c>
      <c r="B4329" s="46" t="s">
        <v>38</v>
      </c>
      <c r="C4329" s="46" t="s">
        <v>14</v>
      </c>
      <c r="D4329" s="47">
        <v>10390</v>
      </c>
      <c r="E4329" s="46" t="s">
        <v>1970</v>
      </c>
      <c r="F4329" s="48">
        <v>40909</v>
      </c>
      <c r="G4329" s="48">
        <v>41274</v>
      </c>
      <c r="H4329" s="46" t="s">
        <v>40</v>
      </c>
      <c r="I4329" s="45">
        <v>9213.83</v>
      </c>
      <c r="J4329" s="45">
        <v>5106.95</v>
      </c>
      <c r="K4329" s="49" t="s">
        <v>790</v>
      </c>
      <c r="L4329" s="45"/>
      <c r="M4329" s="3"/>
    </row>
    <row r="4330" spans="1:13" ht="25.5" x14ac:dyDescent="0.25">
      <c r="A4330" s="46" t="s">
        <v>1522</v>
      </c>
      <c r="B4330" s="46" t="s">
        <v>38</v>
      </c>
      <c r="C4330" s="46" t="s">
        <v>14</v>
      </c>
      <c r="D4330" s="47">
        <v>10392</v>
      </c>
      <c r="E4330" s="46" t="s">
        <v>1971</v>
      </c>
      <c r="F4330" s="48">
        <v>40909</v>
      </c>
      <c r="G4330" s="48">
        <v>41274</v>
      </c>
      <c r="H4330" s="46" t="s">
        <v>40</v>
      </c>
      <c r="I4330" s="45">
        <v>605</v>
      </c>
      <c r="J4330" s="45">
        <v>605</v>
      </c>
      <c r="K4330" s="49" t="s">
        <v>790</v>
      </c>
      <c r="L4330" s="45"/>
      <c r="M4330" s="3"/>
    </row>
    <row r="4331" spans="1:13" ht="25.5" x14ac:dyDescent="0.25">
      <c r="A4331" s="46" t="s">
        <v>2021</v>
      </c>
      <c r="B4331" s="46" t="s">
        <v>38</v>
      </c>
      <c r="C4331" s="46" t="s">
        <v>14</v>
      </c>
      <c r="D4331" s="47">
        <v>10934</v>
      </c>
      <c r="E4331" s="46" t="s">
        <v>2022</v>
      </c>
      <c r="F4331" s="48">
        <v>40849</v>
      </c>
      <c r="G4331" s="48">
        <v>41274</v>
      </c>
      <c r="H4331" s="46" t="s">
        <v>40</v>
      </c>
      <c r="I4331" s="45">
        <v>2806</v>
      </c>
      <c r="J4331" s="45">
        <v>2056</v>
      </c>
      <c r="K4331" s="49" t="s">
        <v>790</v>
      </c>
      <c r="L4331" s="45"/>
      <c r="M4331" s="3"/>
    </row>
    <row r="4332" spans="1:13" ht="25.5" x14ac:dyDescent="0.25">
      <c r="A4332" s="46" t="s">
        <v>2023</v>
      </c>
      <c r="B4332" s="46" t="s">
        <v>38</v>
      </c>
      <c r="C4332" s="46" t="s">
        <v>14</v>
      </c>
      <c r="D4332" s="47">
        <v>10935</v>
      </c>
      <c r="E4332" s="46" t="s">
        <v>2024</v>
      </c>
      <c r="F4332" s="48">
        <v>40849</v>
      </c>
      <c r="G4332" s="48">
        <v>41274</v>
      </c>
      <c r="H4332" s="46" t="s">
        <v>40</v>
      </c>
      <c r="I4332" s="45">
        <f>12500+12500</f>
        <v>25000</v>
      </c>
      <c r="J4332" s="45">
        <f>12500+12500</f>
        <v>25000</v>
      </c>
      <c r="K4332" s="49" t="s">
        <v>790</v>
      </c>
      <c r="L4332" s="45"/>
      <c r="M4332" s="3"/>
    </row>
    <row r="4333" spans="1:13" ht="38.25" x14ac:dyDescent="0.25">
      <c r="A4333" s="46" t="s">
        <v>10323</v>
      </c>
      <c r="B4333" s="46" t="s">
        <v>38</v>
      </c>
      <c r="C4333" s="46" t="s">
        <v>14</v>
      </c>
      <c r="D4333" s="47">
        <v>12084</v>
      </c>
      <c r="E4333" s="46" t="s">
        <v>10324</v>
      </c>
      <c r="F4333" s="48">
        <v>41275</v>
      </c>
      <c r="G4333" s="48">
        <v>41639</v>
      </c>
      <c r="H4333" s="46" t="s">
        <v>651</v>
      </c>
      <c r="I4333" s="45">
        <v>8361.73</v>
      </c>
      <c r="J4333" s="45">
        <v>8361.73</v>
      </c>
      <c r="K4333" s="49" t="s">
        <v>790</v>
      </c>
      <c r="L4333" s="46"/>
    </row>
    <row r="4334" spans="1:13" ht="25.5" x14ac:dyDescent="0.25">
      <c r="A4334" s="46" t="s">
        <v>10325</v>
      </c>
      <c r="B4334" s="46" t="s">
        <v>38</v>
      </c>
      <c r="C4334" s="46" t="s">
        <v>14</v>
      </c>
      <c r="D4334" s="47">
        <v>12085</v>
      </c>
      <c r="E4334" s="46" t="s">
        <v>1888</v>
      </c>
      <c r="F4334" s="48">
        <v>41275</v>
      </c>
      <c r="G4334" s="48">
        <v>41639</v>
      </c>
      <c r="H4334" s="46" t="s">
        <v>651</v>
      </c>
      <c r="I4334" s="45">
        <v>7999</v>
      </c>
      <c r="J4334" s="45">
        <v>7999</v>
      </c>
      <c r="K4334" s="49" t="s">
        <v>790</v>
      </c>
      <c r="L4334" s="46"/>
    </row>
    <row r="4335" spans="1:13" ht="38.25" x14ac:dyDescent="0.25">
      <c r="A4335" s="46" t="s">
        <v>10326</v>
      </c>
      <c r="B4335" s="46" t="s">
        <v>38</v>
      </c>
      <c r="C4335" s="46" t="s">
        <v>14</v>
      </c>
      <c r="D4335" s="47">
        <v>12086</v>
      </c>
      <c r="E4335" s="46" t="s">
        <v>10327</v>
      </c>
      <c r="F4335" s="48">
        <v>41275</v>
      </c>
      <c r="G4335" s="48">
        <v>41639</v>
      </c>
      <c r="H4335" s="46" t="s">
        <v>651</v>
      </c>
      <c r="I4335" s="45">
        <v>2636.98</v>
      </c>
      <c r="J4335" s="45">
        <v>2636.98</v>
      </c>
      <c r="K4335" s="49" t="s">
        <v>790</v>
      </c>
      <c r="L4335" s="46"/>
    </row>
    <row r="4336" spans="1:13" ht="38.25" x14ac:dyDescent="0.25">
      <c r="A4336" s="46" t="s">
        <v>10328</v>
      </c>
      <c r="B4336" s="46" t="s">
        <v>38</v>
      </c>
      <c r="C4336" s="46" t="s">
        <v>14</v>
      </c>
      <c r="D4336" s="47">
        <v>12087</v>
      </c>
      <c r="E4336" s="46" t="s">
        <v>10329</v>
      </c>
      <c r="F4336" s="48">
        <v>41275</v>
      </c>
      <c r="G4336" s="48">
        <v>41639</v>
      </c>
      <c r="H4336" s="46" t="s">
        <v>651</v>
      </c>
      <c r="I4336" s="45">
        <v>7716.9</v>
      </c>
      <c r="J4336" s="45">
        <v>7716.9</v>
      </c>
      <c r="K4336" s="49" t="s">
        <v>790</v>
      </c>
      <c r="L4336" s="46"/>
    </row>
    <row r="4337" spans="1:12" ht="38.25" x14ac:dyDescent="0.25">
      <c r="A4337" s="46" t="s">
        <v>10330</v>
      </c>
      <c r="B4337" s="46" t="s">
        <v>38</v>
      </c>
      <c r="C4337" s="46" t="s">
        <v>14</v>
      </c>
      <c r="D4337" s="47">
        <v>12088</v>
      </c>
      <c r="E4337" s="46" t="s">
        <v>10331</v>
      </c>
      <c r="F4337" s="48">
        <v>41275</v>
      </c>
      <c r="G4337" s="48">
        <v>41639</v>
      </c>
      <c r="H4337" s="46" t="s">
        <v>651</v>
      </c>
      <c r="I4337" s="45">
        <v>2885.24</v>
      </c>
      <c r="J4337" s="45">
        <v>2885.24</v>
      </c>
      <c r="K4337" s="49" t="s">
        <v>790</v>
      </c>
      <c r="L4337" s="46"/>
    </row>
    <row r="4338" spans="1:12" ht="25.5" x14ac:dyDescent="0.25">
      <c r="A4338" s="46" t="s">
        <v>10332</v>
      </c>
      <c r="B4338" s="46" t="s">
        <v>38</v>
      </c>
      <c r="C4338" s="46" t="s">
        <v>14</v>
      </c>
      <c r="D4338" s="47">
        <v>12089</v>
      </c>
      <c r="E4338" s="46" t="s">
        <v>10333</v>
      </c>
      <c r="F4338" s="48">
        <v>41275</v>
      </c>
      <c r="G4338" s="48">
        <v>41639</v>
      </c>
      <c r="H4338" s="46" t="s">
        <v>651</v>
      </c>
      <c r="I4338" s="45">
        <v>1230.52</v>
      </c>
      <c r="J4338" s="45">
        <v>1230.52</v>
      </c>
      <c r="K4338" s="49" t="s">
        <v>790</v>
      </c>
      <c r="L4338" s="46"/>
    </row>
    <row r="4339" spans="1:12" ht="25.5" x14ac:dyDescent="0.25">
      <c r="A4339" s="46" t="s">
        <v>10334</v>
      </c>
      <c r="B4339" s="46" t="s">
        <v>38</v>
      </c>
      <c r="C4339" s="46" t="s">
        <v>14</v>
      </c>
      <c r="D4339" s="47">
        <v>12090</v>
      </c>
      <c r="E4339" s="46" t="s">
        <v>1653</v>
      </c>
      <c r="F4339" s="48">
        <v>41275</v>
      </c>
      <c r="G4339" s="48">
        <v>41639</v>
      </c>
      <c r="H4339" s="46" t="s">
        <v>651</v>
      </c>
      <c r="I4339" s="45">
        <v>15127.39</v>
      </c>
      <c r="J4339" s="45">
        <v>15127.39</v>
      </c>
      <c r="K4339" s="49" t="s">
        <v>790</v>
      </c>
      <c r="L4339" s="46"/>
    </row>
    <row r="4340" spans="1:12" ht="25.5" x14ac:dyDescent="0.25">
      <c r="A4340" s="46" t="s">
        <v>10335</v>
      </c>
      <c r="B4340" s="46" t="s">
        <v>38</v>
      </c>
      <c r="C4340" s="46" t="s">
        <v>14</v>
      </c>
      <c r="D4340" s="47">
        <v>12092</v>
      </c>
      <c r="E4340" s="46" t="s">
        <v>1300</v>
      </c>
      <c r="F4340" s="48">
        <v>41275</v>
      </c>
      <c r="G4340" s="48">
        <v>41639</v>
      </c>
      <c r="H4340" s="46" t="s">
        <v>651</v>
      </c>
      <c r="I4340" s="45">
        <v>11016</v>
      </c>
      <c r="J4340" s="45">
        <v>5508</v>
      </c>
      <c r="K4340" s="49" t="s">
        <v>790</v>
      </c>
      <c r="L4340" s="46"/>
    </row>
    <row r="4341" spans="1:12" ht="25.5" x14ac:dyDescent="0.25">
      <c r="A4341" s="46" t="s">
        <v>10336</v>
      </c>
      <c r="B4341" s="46" t="s">
        <v>38</v>
      </c>
      <c r="C4341" s="46" t="s">
        <v>14</v>
      </c>
      <c r="D4341" s="47">
        <v>12093</v>
      </c>
      <c r="E4341" s="46" t="s">
        <v>1125</v>
      </c>
      <c r="F4341" s="48">
        <v>41275</v>
      </c>
      <c r="G4341" s="48">
        <v>41639</v>
      </c>
      <c r="H4341" s="46" t="s">
        <v>651</v>
      </c>
      <c r="I4341" s="45">
        <v>52647.02</v>
      </c>
      <c r="J4341" s="45">
        <v>52647.02</v>
      </c>
      <c r="K4341" s="49" t="s">
        <v>790</v>
      </c>
      <c r="L4341" s="46"/>
    </row>
    <row r="4342" spans="1:12" ht="51" x14ac:dyDescent="0.25">
      <c r="A4342" s="46" t="s">
        <v>10337</v>
      </c>
      <c r="B4342" s="46" t="s">
        <v>38</v>
      </c>
      <c r="C4342" s="46" t="s">
        <v>14</v>
      </c>
      <c r="D4342" s="47">
        <v>12094</v>
      </c>
      <c r="E4342" s="46" t="s">
        <v>1895</v>
      </c>
      <c r="F4342" s="48">
        <v>41275</v>
      </c>
      <c r="G4342" s="48">
        <v>41639</v>
      </c>
      <c r="H4342" s="46" t="s">
        <v>651</v>
      </c>
      <c r="I4342" s="45">
        <v>25677.05</v>
      </c>
      <c r="J4342" s="45">
        <v>25677.05</v>
      </c>
      <c r="K4342" s="49" t="s">
        <v>790</v>
      </c>
      <c r="L4342" s="46"/>
    </row>
    <row r="4343" spans="1:12" ht="25.5" x14ac:dyDescent="0.25">
      <c r="A4343" s="46" t="s">
        <v>10338</v>
      </c>
      <c r="B4343" s="46" t="s">
        <v>38</v>
      </c>
      <c r="C4343" s="46" t="s">
        <v>14</v>
      </c>
      <c r="D4343" s="47">
        <v>12095</v>
      </c>
      <c r="E4343" s="46" t="s">
        <v>1676</v>
      </c>
      <c r="F4343" s="48">
        <v>41275</v>
      </c>
      <c r="G4343" s="48">
        <v>41639</v>
      </c>
      <c r="H4343" s="46" t="s">
        <v>651</v>
      </c>
      <c r="I4343" s="45">
        <v>1363.35</v>
      </c>
      <c r="J4343" s="45">
        <v>1363.35</v>
      </c>
      <c r="K4343" s="49" t="s">
        <v>790</v>
      </c>
      <c r="L4343" s="46"/>
    </row>
    <row r="4344" spans="1:12" ht="25.5" x14ac:dyDescent="0.25">
      <c r="A4344" s="46" t="s">
        <v>10339</v>
      </c>
      <c r="B4344" s="46" t="s">
        <v>38</v>
      </c>
      <c r="C4344" s="46" t="s">
        <v>14</v>
      </c>
      <c r="D4344" s="47">
        <v>12096</v>
      </c>
      <c r="E4344" s="46" t="s">
        <v>1687</v>
      </c>
      <c r="F4344" s="48">
        <v>41275</v>
      </c>
      <c r="G4344" s="48">
        <v>41639</v>
      </c>
      <c r="H4344" s="46" t="s">
        <v>651</v>
      </c>
      <c r="I4344" s="45">
        <v>1554.07</v>
      </c>
      <c r="J4344" s="45">
        <v>1554.07</v>
      </c>
      <c r="K4344" s="49" t="s">
        <v>790</v>
      </c>
      <c r="L4344" s="46"/>
    </row>
    <row r="4345" spans="1:12" ht="25.5" x14ac:dyDescent="0.25">
      <c r="A4345" s="46" t="s">
        <v>10340</v>
      </c>
      <c r="B4345" s="46" t="s">
        <v>38</v>
      </c>
      <c r="C4345" s="46" t="s">
        <v>14</v>
      </c>
      <c r="D4345" s="47">
        <v>12097</v>
      </c>
      <c r="E4345" s="46" t="s">
        <v>10341</v>
      </c>
      <c r="F4345" s="48">
        <v>41275</v>
      </c>
      <c r="G4345" s="48">
        <v>41639</v>
      </c>
      <c r="H4345" s="46" t="s">
        <v>651</v>
      </c>
      <c r="I4345" s="45">
        <v>2627.28</v>
      </c>
      <c r="J4345" s="45">
        <v>2627.28</v>
      </c>
      <c r="K4345" s="49" t="s">
        <v>790</v>
      </c>
      <c r="L4345" s="46"/>
    </row>
    <row r="4346" spans="1:12" ht="63.75" x14ac:dyDescent="0.25">
      <c r="A4346" s="46" t="s">
        <v>10342</v>
      </c>
      <c r="B4346" s="46" t="s">
        <v>38</v>
      </c>
      <c r="C4346" s="46" t="s">
        <v>14</v>
      </c>
      <c r="D4346" s="47">
        <v>12098</v>
      </c>
      <c r="E4346" s="46" t="s">
        <v>10343</v>
      </c>
      <c r="F4346" s="48">
        <v>41275</v>
      </c>
      <c r="G4346" s="48">
        <v>41639</v>
      </c>
      <c r="H4346" s="46" t="s">
        <v>651</v>
      </c>
      <c r="I4346" s="45">
        <v>1664.72</v>
      </c>
      <c r="J4346" s="45">
        <v>1664.72</v>
      </c>
      <c r="K4346" s="49" t="s">
        <v>790</v>
      </c>
      <c r="L4346" s="46"/>
    </row>
    <row r="4347" spans="1:12" ht="25.5" x14ac:dyDescent="0.25">
      <c r="A4347" s="46" t="s">
        <v>10344</v>
      </c>
      <c r="B4347" s="46" t="s">
        <v>38</v>
      </c>
      <c r="C4347" s="46" t="s">
        <v>14</v>
      </c>
      <c r="D4347" s="47">
        <v>12099</v>
      </c>
      <c r="E4347" s="46" t="s">
        <v>1970</v>
      </c>
      <c r="F4347" s="48">
        <v>41275</v>
      </c>
      <c r="G4347" s="48">
        <v>41639</v>
      </c>
      <c r="H4347" s="46" t="s">
        <v>651</v>
      </c>
      <c r="I4347" s="45">
        <v>7694.5</v>
      </c>
      <c r="J4347" s="45">
        <v>3847.25</v>
      </c>
      <c r="K4347" s="49" t="s">
        <v>790</v>
      </c>
      <c r="L4347" s="46"/>
    </row>
    <row r="4348" spans="1:12" ht="25.5" x14ac:dyDescent="0.25">
      <c r="A4348" s="46" t="s">
        <v>10345</v>
      </c>
      <c r="B4348" s="46" t="s">
        <v>38</v>
      </c>
      <c r="C4348" s="46" t="s">
        <v>14</v>
      </c>
      <c r="D4348" s="47">
        <v>12100</v>
      </c>
      <c r="E4348" s="46" t="s">
        <v>1901</v>
      </c>
      <c r="F4348" s="48">
        <v>41275</v>
      </c>
      <c r="G4348" s="48">
        <v>41639</v>
      </c>
      <c r="H4348" s="46" t="s">
        <v>651</v>
      </c>
      <c r="I4348" s="45">
        <v>1952.49</v>
      </c>
      <c r="J4348" s="45">
        <v>1952.49</v>
      </c>
      <c r="K4348" s="49" t="s">
        <v>790</v>
      </c>
      <c r="L4348" s="46"/>
    </row>
    <row r="4349" spans="1:12" ht="38.25" x14ac:dyDescent="0.25">
      <c r="A4349" s="46" t="s">
        <v>10346</v>
      </c>
      <c r="B4349" s="46" t="s">
        <v>38</v>
      </c>
      <c r="C4349" s="46" t="s">
        <v>14</v>
      </c>
      <c r="D4349" s="47">
        <v>12101</v>
      </c>
      <c r="E4349" s="46" t="s">
        <v>1903</v>
      </c>
      <c r="F4349" s="48">
        <v>41275</v>
      </c>
      <c r="G4349" s="48">
        <v>41639</v>
      </c>
      <c r="H4349" s="46" t="s">
        <v>651</v>
      </c>
      <c r="I4349" s="45">
        <v>8401.92</v>
      </c>
      <c r="J4349" s="45">
        <v>8401.92</v>
      </c>
      <c r="K4349" s="49" t="s">
        <v>790</v>
      </c>
      <c r="L4349" s="46"/>
    </row>
    <row r="4350" spans="1:12" ht="25.5" x14ac:dyDescent="0.25">
      <c r="A4350" s="46" t="s">
        <v>10347</v>
      </c>
      <c r="B4350" s="46" t="s">
        <v>38</v>
      </c>
      <c r="C4350" s="46" t="s">
        <v>14</v>
      </c>
      <c r="D4350" s="47">
        <v>12102</v>
      </c>
      <c r="E4350" s="46" t="s">
        <v>1362</v>
      </c>
      <c r="F4350" s="48">
        <v>41275</v>
      </c>
      <c r="G4350" s="48">
        <v>41639</v>
      </c>
      <c r="H4350" s="46" t="s">
        <v>651</v>
      </c>
      <c r="I4350" s="45">
        <v>19838.98</v>
      </c>
      <c r="J4350" s="45">
        <v>19838.98</v>
      </c>
      <c r="K4350" s="49" t="s">
        <v>790</v>
      </c>
      <c r="L4350" s="46"/>
    </row>
    <row r="4351" spans="1:12" ht="25.5" x14ac:dyDescent="0.25">
      <c r="A4351" s="46" t="s">
        <v>10348</v>
      </c>
      <c r="B4351" s="46" t="s">
        <v>38</v>
      </c>
      <c r="C4351" s="46" t="s">
        <v>14</v>
      </c>
      <c r="D4351" s="47">
        <v>12103</v>
      </c>
      <c r="E4351" s="46" t="s">
        <v>1907</v>
      </c>
      <c r="F4351" s="48">
        <v>41275</v>
      </c>
      <c r="G4351" s="48">
        <v>41639</v>
      </c>
      <c r="H4351" s="46" t="s">
        <v>651</v>
      </c>
      <c r="I4351" s="45">
        <v>1364.39</v>
      </c>
      <c r="J4351" s="45">
        <v>1364.39</v>
      </c>
      <c r="K4351" s="49" t="s">
        <v>790</v>
      </c>
      <c r="L4351" s="46"/>
    </row>
    <row r="4352" spans="1:12" ht="51" x14ac:dyDescent="0.25">
      <c r="A4352" s="46" t="s">
        <v>10349</v>
      </c>
      <c r="B4352" s="46" t="s">
        <v>38</v>
      </c>
      <c r="C4352" s="46" t="s">
        <v>14</v>
      </c>
      <c r="D4352" s="47">
        <v>12104</v>
      </c>
      <c r="E4352" s="46" t="s">
        <v>1909</v>
      </c>
      <c r="F4352" s="48">
        <v>41275</v>
      </c>
      <c r="G4352" s="48">
        <v>41639</v>
      </c>
      <c r="H4352" s="46" t="s">
        <v>651</v>
      </c>
      <c r="I4352" s="45">
        <v>3482.21</v>
      </c>
      <c r="J4352" s="45">
        <v>3482.21</v>
      </c>
      <c r="K4352" s="49" t="s">
        <v>790</v>
      </c>
      <c r="L4352" s="46"/>
    </row>
    <row r="4353" spans="1:12" ht="76.5" x14ac:dyDescent="0.25">
      <c r="A4353" s="46" t="s">
        <v>10350</v>
      </c>
      <c r="B4353" s="46" t="s">
        <v>38</v>
      </c>
      <c r="C4353" s="46" t="s">
        <v>14</v>
      </c>
      <c r="D4353" s="47">
        <v>12105</v>
      </c>
      <c r="E4353" s="46" t="s">
        <v>10351</v>
      </c>
      <c r="F4353" s="48">
        <v>41275</v>
      </c>
      <c r="G4353" s="48">
        <v>41639</v>
      </c>
      <c r="H4353" s="46" t="s">
        <v>651</v>
      </c>
      <c r="I4353" s="45">
        <v>1652.86</v>
      </c>
      <c r="J4353" s="45">
        <v>1652.86</v>
      </c>
      <c r="K4353" s="49" t="s">
        <v>790</v>
      </c>
      <c r="L4353" s="46"/>
    </row>
    <row r="4354" spans="1:12" ht="25.5" x14ac:dyDescent="0.25">
      <c r="A4354" s="46" t="s">
        <v>104</v>
      </c>
      <c r="B4354" s="46" t="s">
        <v>38</v>
      </c>
      <c r="C4354" s="46" t="s">
        <v>14</v>
      </c>
      <c r="D4354" s="47">
        <v>12134</v>
      </c>
      <c r="E4354" s="46" t="s">
        <v>10391</v>
      </c>
      <c r="F4354" s="48">
        <v>41275</v>
      </c>
      <c r="G4354" s="48">
        <v>41639</v>
      </c>
      <c r="H4354" s="46" t="s">
        <v>651</v>
      </c>
      <c r="I4354" s="45">
        <v>61285.47</v>
      </c>
      <c r="J4354" s="45">
        <v>61285.47</v>
      </c>
      <c r="K4354" s="49" t="s">
        <v>790</v>
      </c>
      <c r="L4354" s="46"/>
    </row>
    <row r="4355" spans="1:12" ht="63.75" x14ac:dyDescent="0.25">
      <c r="A4355" s="46" t="s">
        <v>10392</v>
      </c>
      <c r="B4355" s="46" t="s">
        <v>38</v>
      </c>
      <c r="C4355" s="46" t="s">
        <v>14</v>
      </c>
      <c r="D4355" s="47">
        <v>12135</v>
      </c>
      <c r="E4355" s="46" t="s">
        <v>10393</v>
      </c>
      <c r="F4355" s="48">
        <v>40909</v>
      </c>
      <c r="G4355" s="48">
        <v>41639</v>
      </c>
      <c r="H4355" s="46" t="s">
        <v>651</v>
      </c>
      <c r="I4355" s="45">
        <v>600</v>
      </c>
      <c r="J4355" s="45">
        <v>600</v>
      </c>
      <c r="K4355" s="49" t="s">
        <v>790</v>
      </c>
      <c r="L4355" s="46"/>
    </row>
    <row r="4356" spans="1:12" ht="63.75" x14ac:dyDescent="0.25">
      <c r="A4356" s="46" t="s">
        <v>10394</v>
      </c>
      <c r="B4356" s="46" t="s">
        <v>38</v>
      </c>
      <c r="C4356" s="46" t="s">
        <v>14</v>
      </c>
      <c r="D4356" s="47">
        <v>12136</v>
      </c>
      <c r="E4356" s="46" t="s">
        <v>10395</v>
      </c>
      <c r="F4356" s="48">
        <v>40909</v>
      </c>
      <c r="G4356" s="48">
        <v>41639</v>
      </c>
      <c r="H4356" s="46" t="s">
        <v>651</v>
      </c>
      <c r="I4356" s="45">
        <v>5864.41</v>
      </c>
      <c r="J4356" s="45">
        <v>5864.41</v>
      </c>
      <c r="K4356" s="49" t="s">
        <v>790</v>
      </c>
      <c r="L4356" s="46"/>
    </row>
    <row r="4357" spans="1:12" ht="76.5" x14ac:dyDescent="0.25">
      <c r="A4357" s="46" t="s">
        <v>9309</v>
      </c>
      <c r="B4357" s="46" t="s">
        <v>38</v>
      </c>
      <c r="C4357" s="46" t="s">
        <v>14</v>
      </c>
      <c r="D4357" s="47">
        <v>12137</v>
      </c>
      <c r="E4357" s="46" t="s">
        <v>10396</v>
      </c>
      <c r="F4357" s="48">
        <v>41275</v>
      </c>
      <c r="G4357" s="48">
        <v>41639</v>
      </c>
      <c r="H4357" s="46" t="s">
        <v>651</v>
      </c>
      <c r="I4357" s="45">
        <v>300</v>
      </c>
      <c r="J4357" s="45">
        <v>300</v>
      </c>
      <c r="K4357" s="49" t="s">
        <v>790</v>
      </c>
      <c r="L4357" s="46"/>
    </row>
    <row r="4358" spans="1:12" ht="25.5" x14ac:dyDescent="0.25">
      <c r="A4358" s="46" t="s">
        <v>10397</v>
      </c>
      <c r="B4358" s="46" t="s">
        <v>38</v>
      </c>
      <c r="C4358" s="46" t="s">
        <v>14</v>
      </c>
      <c r="D4358" s="47">
        <v>12138</v>
      </c>
      <c r="E4358" s="46" t="s">
        <v>10398</v>
      </c>
      <c r="F4358" s="48">
        <v>41275</v>
      </c>
      <c r="G4358" s="48">
        <v>41639</v>
      </c>
      <c r="H4358" s="46" t="s">
        <v>651</v>
      </c>
      <c r="I4358" s="45">
        <v>8765.4</v>
      </c>
      <c r="J4358" s="45">
        <v>8765.4</v>
      </c>
      <c r="K4358" s="49" t="s">
        <v>790</v>
      </c>
      <c r="L4358" s="46"/>
    </row>
    <row r="4359" spans="1:12" ht="25.5" x14ac:dyDescent="0.25">
      <c r="A4359" s="46" t="s">
        <v>10399</v>
      </c>
      <c r="B4359" s="46" t="s">
        <v>38</v>
      </c>
      <c r="C4359" s="46" t="s">
        <v>14</v>
      </c>
      <c r="D4359" s="47">
        <v>12139</v>
      </c>
      <c r="E4359" s="46" t="s">
        <v>10400</v>
      </c>
      <c r="F4359" s="48">
        <v>40544</v>
      </c>
      <c r="G4359" s="48">
        <v>41639</v>
      </c>
      <c r="H4359" s="46" t="s">
        <v>651</v>
      </c>
      <c r="I4359" s="45">
        <v>2521.13</v>
      </c>
      <c r="J4359" s="45">
        <v>2521.13</v>
      </c>
      <c r="K4359" s="49" t="s">
        <v>790</v>
      </c>
      <c r="L4359" s="46"/>
    </row>
    <row r="4360" spans="1:12" ht="63.75" x14ac:dyDescent="0.25">
      <c r="A4360" s="46" t="s">
        <v>10401</v>
      </c>
      <c r="B4360" s="46" t="s">
        <v>38</v>
      </c>
      <c r="C4360" s="46" t="s">
        <v>14</v>
      </c>
      <c r="D4360" s="47">
        <v>12140</v>
      </c>
      <c r="E4360" s="46" t="s">
        <v>10402</v>
      </c>
      <c r="F4360" s="48">
        <v>41275</v>
      </c>
      <c r="G4360" s="48">
        <v>41639</v>
      </c>
      <c r="H4360" s="46" t="s">
        <v>651</v>
      </c>
      <c r="I4360" s="45">
        <v>13541</v>
      </c>
      <c r="J4360" s="45">
        <v>13541</v>
      </c>
      <c r="K4360" s="49" t="s">
        <v>790</v>
      </c>
      <c r="L4360" s="46"/>
    </row>
    <row r="4361" spans="1:12" ht="63.75" x14ac:dyDescent="0.25">
      <c r="A4361" s="46" t="s">
        <v>10403</v>
      </c>
      <c r="B4361" s="46" t="s">
        <v>38</v>
      </c>
      <c r="C4361" s="46" t="s">
        <v>14</v>
      </c>
      <c r="D4361" s="47">
        <v>12143</v>
      </c>
      <c r="E4361" s="46" t="s">
        <v>10404</v>
      </c>
      <c r="F4361" s="48">
        <v>41275</v>
      </c>
      <c r="G4361" s="48">
        <v>41639</v>
      </c>
      <c r="H4361" s="46" t="s">
        <v>651</v>
      </c>
      <c r="I4361" s="45">
        <v>701.1</v>
      </c>
      <c r="J4361" s="45">
        <v>701.1</v>
      </c>
      <c r="K4361" s="49" t="s">
        <v>790</v>
      </c>
      <c r="L4361" s="46"/>
    </row>
    <row r="4362" spans="1:12" ht="63.75" x14ac:dyDescent="0.25">
      <c r="A4362" s="46" t="s">
        <v>10405</v>
      </c>
      <c r="B4362" s="46" t="s">
        <v>38</v>
      </c>
      <c r="C4362" s="46" t="s">
        <v>14</v>
      </c>
      <c r="D4362" s="47">
        <v>12145</v>
      </c>
      <c r="E4362" s="46" t="s">
        <v>10395</v>
      </c>
      <c r="F4362" s="48">
        <v>41275</v>
      </c>
      <c r="G4362" s="48">
        <v>41639</v>
      </c>
      <c r="H4362" s="46" t="s">
        <v>651</v>
      </c>
      <c r="I4362" s="45">
        <v>10631.54</v>
      </c>
      <c r="J4362" s="45">
        <v>10631.54</v>
      </c>
      <c r="K4362" s="49" t="s">
        <v>790</v>
      </c>
      <c r="L4362" s="46"/>
    </row>
    <row r="4363" spans="1:12" ht="25.5" x14ac:dyDescent="0.25">
      <c r="A4363" s="46" t="s">
        <v>10406</v>
      </c>
      <c r="B4363" s="46" t="s">
        <v>38</v>
      </c>
      <c r="C4363" s="46" t="s">
        <v>14</v>
      </c>
      <c r="D4363" s="47">
        <v>12147</v>
      </c>
      <c r="E4363" s="46" t="s">
        <v>10407</v>
      </c>
      <c r="F4363" s="48">
        <v>41275</v>
      </c>
      <c r="G4363" s="48">
        <v>41639</v>
      </c>
      <c r="H4363" s="46" t="s">
        <v>651</v>
      </c>
      <c r="I4363" s="45">
        <v>1492.19</v>
      </c>
      <c r="J4363" s="45">
        <v>1492.19</v>
      </c>
      <c r="K4363" s="49" t="s">
        <v>790</v>
      </c>
      <c r="L4363" s="46"/>
    </row>
    <row r="4364" spans="1:12" ht="25.5" x14ac:dyDescent="0.25">
      <c r="A4364" s="46" t="s">
        <v>10408</v>
      </c>
      <c r="B4364" s="46" t="s">
        <v>38</v>
      </c>
      <c r="C4364" s="46" t="s">
        <v>14</v>
      </c>
      <c r="D4364" s="47">
        <v>12148</v>
      </c>
      <c r="E4364" s="46" t="s">
        <v>1934</v>
      </c>
      <c r="F4364" s="48">
        <v>41275</v>
      </c>
      <c r="G4364" s="48">
        <v>41639</v>
      </c>
      <c r="H4364" s="46" t="s">
        <v>651</v>
      </c>
      <c r="I4364" s="45">
        <v>1328.01</v>
      </c>
      <c r="J4364" s="45">
        <v>1328.01</v>
      </c>
      <c r="K4364" s="49" t="s">
        <v>790</v>
      </c>
      <c r="L4364" s="46"/>
    </row>
    <row r="4365" spans="1:12" ht="25.5" x14ac:dyDescent="0.25">
      <c r="A4365" s="46" t="s">
        <v>10409</v>
      </c>
      <c r="B4365" s="46" t="s">
        <v>38</v>
      </c>
      <c r="C4365" s="46" t="s">
        <v>14</v>
      </c>
      <c r="D4365" s="47">
        <v>12150</v>
      </c>
      <c r="E4365" s="46" t="s">
        <v>10410</v>
      </c>
      <c r="F4365" s="48">
        <v>41275</v>
      </c>
      <c r="G4365" s="48">
        <v>41639</v>
      </c>
      <c r="H4365" s="46" t="s">
        <v>651</v>
      </c>
      <c r="I4365" s="45">
        <v>2280.75</v>
      </c>
      <c r="J4365" s="45">
        <v>2280.75</v>
      </c>
      <c r="K4365" s="49" t="s">
        <v>790</v>
      </c>
      <c r="L4365" s="46"/>
    </row>
    <row r="4366" spans="1:12" ht="25.5" x14ac:dyDescent="0.25">
      <c r="A4366" s="46" t="s">
        <v>10411</v>
      </c>
      <c r="B4366" s="46" t="s">
        <v>38</v>
      </c>
      <c r="C4366" s="46" t="s">
        <v>14</v>
      </c>
      <c r="D4366" s="47">
        <v>12151</v>
      </c>
      <c r="E4366" s="46" t="s">
        <v>10412</v>
      </c>
      <c r="F4366" s="48">
        <v>41275</v>
      </c>
      <c r="G4366" s="48">
        <v>41639</v>
      </c>
      <c r="H4366" s="46" t="s">
        <v>651</v>
      </c>
      <c r="I4366" s="45">
        <v>1015.5</v>
      </c>
      <c r="J4366" s="45">
        <v>1015.5</v>
      </c>
      <c r="K4366" s="49" t="s">
        <v>790</v>
      </c>
      <c r="L4366" s="46"/>
    </row>
    <row r="4367" spans="1:12" ht="51" x14ac:dyDescent="0.25">
      <c r="A4367" s="46" t="s">
        <v>10413</v>
      </c>
      <c r="B4367" s="46" t="s">
        <v>38</v>
      </c>
      <c r="C4367" s="46" t="s">
        <v>14</v>
      </c>
      <c r="D4367" s="47">
        <v>12152</v>
      </c>
      <c r="E4367" s="46" t="s">
        <v>10414</v>
      </c>
      <c r="F4367" s="48">
        <v>41275</v>
      </c>
      <c r="G4367" s="48">
        <v>41639</v>
      </c>
      <c r="H4367" s="46" t="s">
        <v>651</v>
      </c>
      <c r="I4367" s="45">
        <v>749</v>
      </c>
      <c r="J4367" s="45">
        <v>749</v>
      </c>
      <c r="K4367" s="49" t="s">
        <v>790</v>
      </c>
      <c r="L4367" s="46"/>
    </row>
    <row r="4368" spans="1:12" ht="25.5" x14ac:dyDescent="0.25">
      <c r="A4368" s="46" t="s">
        <v>10336</v>
      </c>
      <c r="B4368" s="46" t="s">
        <v>38</v>
      </c>
      <c r="C4368" s="46" t="s">
        <v>14</v>
      </c>
      <c r="D4368" s="47">
        <v>12153</v>
      </c>
      <c r="E4368" s="46" t="s">
        <v>10415</v>
      </c>
      <c r="F4368" s="48">
        <v>41275</v>
      </c>
      <c r="G4368" s="48">
        <v>41639</v>
      </c>
      <c r="H4368" s="46" t="s">
        <v>651</v>
      </c>
      <c r="I4368" s="45">
        <v>7900.92</v>
      </c>
      <c r="J4368" s="45">
        <v>7900.92</v>
      </c>
      <c r="K4368" s="49" t="s">
        <v>790</v>
      </c>
      <c r="L4368" s="46"/>
    </row>
    <row r="4369" spans="1:13" ht="25.5" x14ac:dyDescent="0.25">
      <c r="A4369" s="46" t="s">
        <v>10416</v>
      </c>
      <c r="B4369" s="46" t="s">
        <v>38</v>
      </c>
      <c r="C4369" s="46" t="s">
        <v>14</v>
      </c>
      <c r="D4369" s="47">
        <v>12155</v>
      </c>
      <c r="E4369" s="46" t="s">
        <v>10417</v>
      </c>
      <c r="F4369" s="48">
        <v>41275</v>
      </c>
      <c r="G4369" s="48">
        <v>41639</v>
      </c>
      <c r="H4369" s="46" t="s">
        <v>651</v>
      </c>
      <c r="I4369" s="45">
        <v>300</v>
      </c>
      <c r="J4369" s="45">
        <v>300</v>
      </c>
      <c r="K4369" s="49" t="s">
        <v>790</v>
      </c>
      <c r="L4369" s="46"/>
    </row>
    <row r="4370" spans="1:13" ht="25.5" x14ac:dyDescent="0.25">
      <c r="A4370" s="46" t="s">
        <v>10418</v>
      </c>
      <c r="B4370" s="46" t="s">
        <v>38</v>
      </c>
      <c r="C4370" s="46" t="s">
        <v>14</v>
      </c>
      <c r="D4370" s="47">
        <v>12156</v>
      </c>
      <c r="E4370" s="46" t="s">
        <v>10419</v>
      </c>
      <c r="F4370" s="48">
        <v>41275</v>
      </c>
      <c r="G4370" s="48">
        <v>41639</v>
      </c>
      <c r="H4370" s="46" t="s">
        <v>651</v>
      </c>
      <c r="I4370" s="45">
        <v>7517.94</v>
      </c>
      <c r="J4370" s="45">
        <v>7517.94</v>
      </c>
      <c r="K4370" s="49" t="s">
        <v>790</v>
      </c>
      <c r="L4370" s="46"/>
    </row>
    <row r="4371" spans="1:13" ht="76.5" x14ac:dyDescent="0.25">
      <c r="A4371" s="46" t="s">
        <v>10420</v>
      </c>
      <c r="B4371" s="46" t="s">
        <v>38</v>
      </c>
      <c r="C4371" s="46" t="s">
        <v>14</v>
      </c>
      <c r="D4371" s="47">
        <v>12157</v>
      </c>
      <c r="E4371" s="46" t="s">
        <v>10421</v>
      </c>
      <c r="F4371" s="48">
        <v>41275</v>
      </c>
      <c r="G4371" s="48">
        <v>41639</v>
      </c>
      <c r="H4371" s="46" t="s">
        <v>651</v>
      </c>
      <c r="I4371" s="45">
        <v>33026.03</v>
      </c>
      <c r="J4371" s="45">
        <v>33026.03</v>
      </c>
      <c r="K4371" s="49" t="s">
        <v>790</v>
      </c>
      <c r="L4371" s="46"/>
    </row>
    <row r="4372" spans="1:13" ht="38.25" x14ac:dyDescent="0.25">
      <c r="A4372" s="46" t="s">
        <v>10422</v>
      </c>
      <c r="B4372" s="46" t="s">
        <v>38</v>
      </c>
      <c r="C4372" s="46" t="s">
        <v>14</v>
      </c>
      <c r="D4372" s="47">
        <v>12158</v>
      </c>
      <c r="E4372" s="46" t="s">
        <v>10423</v>
      </c>
      <c r="F4372" s="48">
        <v>41275</v>
      </c>
      <c r="G4372" s="48">
        <v>41639</v>
      </c>
      <c r="H4372" s="46" t="s">
        <v>651</v>
      </c>
      <c r="I4372" s="45">
        <v>1905.7</v>
      </c>
      <c r="J4372" s="45">
        <v>1905.7</v>
      </c>
      <c r="K4372" s="49" t="s">
        <v>790</v>
      </c>
      <c r="L4372" s="46"/>
    </row>
    <row r="4373" spans="1:13" ht="38.25" x14ac:dyDescent="0.25">
      <c r="A4373" s="46" t="s">
        <v>10424</v>
      </c>
      <c r="B4373" s="46" t="s">
        <v>38</v>
      </c>
      <c r="C4373" s="46" t="s">
        <v>14</v>
      </c>
      <c r="D4373" s="47">
        <v>12160</v>
      </c>
      <c r="E4373" s="46" t="s">
        <v>10425</v>
      </c>
      <c r="F4373" s="48">
        <v>41275</v>
      </c>
      <c r="G4373" s="48">
        <v>41639</v>
      </c>
      <c r="H4373" s="46" t="s">
        <v>651</v>
      </c>
      <c r="I4373" s="45">
        <v>3327.18</v>
      </c>
      <c r="J4373" s="45">
        <v>3327.18</v>
      </c>
      <c r="K4373" s="49" t="s">
        <v>790</v>
      </c>
      <c r="L4373" s="46"/>
    </row>
    <row r="4374" spans="1:13" ht="38.25" x14ac:dyDescent="0.25">
      <c r="A4374" s="46" t="s">
        <v>10426</v>
      </c>
      <c r="B4374" s="46" t="s">
        <v>38</v>
      </c>
      <c r="C4374" s="46" t="s">
        <v>14</v>
      </c>
      <c r="D4374" s="47">
        <v>12161</v>
      </c>
      <c r="E4374" s="46" t="s">
        <v>1951</v>
      </c>
      <c r="F4374" s="48">
        <v>41275</v>
      </c>
      <c r="G4374" s="48">
        <v>41639</v>
      </c>
      <c r="H4374" s="46" t="s">
        <v>651</v>
      </c>
      <c r="I4374" s="45">
        <v>1980.27</v>
      </c>
      <c r="J4374" s="45">
        <v>1980.27</v>
      </c>
      <c r="K4374" s="49" t="s">
        <v>790</v>
      </c>
      <c r="L4374" s="46"/>
    </row>
    <row r="4375" spans="1:13" ht="38.25" x14ac:dyDescent="0.25">
      <c r="A4375" s="46" t="s">
        <v>10427</v>
      </c>
      <c r="B4375" s="46" t="s">
        <v>38</v>
      </c>
      <c r="C4375" s="46" t="s">
        <v>14</v>
      </c>
      <c r="D4375" s="47">
        <v>12163</v>
      </c>
      <c r="E4375" s="46" t="s">
        <v>10428</v>
      </c>
      <c r="F4375" s="48">
        <v>41275</v>
      </c>
      <c r="G4375" s="48">
        <v>41639</v>
      </c>
      <c r="H4375" s="46" t="s">
        <v>651</v>
      </c>
      <c r="I4375" s="45">
        <v>1569.25</v>
      </c>
      <c r="J4375" s="45">
        <v>1569.25</v>
      </c>
      <c r="K4375" s="49" t="s">
        <v>790</v>
      </c>
      <c r="L4375" s="46"/>
    </row>
    <row r="4376" spans="1:13" ht="25.5" x14ac:dyDescent="0.25">
      <c r="A4376" s="46" t="s">
        <v>10429</v>
      </c>
      <c r="B4376" s="46" t="s">
        <v>38</v>
      </c>
      <c r="C4376" s="46" t="s">
        <v>14</v>
      </c>
      <c r="D4376" s="47">
        <v>12164</v>
      </c>
      <c r="E4376" s="46" t="s">
        <v>10430</v>
      </c>
      <c r="F4376" s="48">
        <v>41275</v>
      </c>
      <c r="G4376" s="48">
        <v>41639</v>
      </c>
      <c r="H4376" s="46" t="s">
        <v>651</v>
      </c>
      <c r="I4376" s="45">
        <v>1335</v>
      </c>
      <c r="J4376" s="45">
        <v>1335</v>
      </c>
      <c r="K4376" s="49" t="s">
        <v>790</v>
      </c>
      <c r="L4376" s="46"/>
    </row>
    <row r="4377" spans="1:13" ht="38.25" x14ac:dyDescent="0.25">
      <c r="A4377" s="46" t="s">
        <v>10431</v>
      </c>
      <c r="B4377" s="46" t="s">
        <v>38</v>
      </c>
      <c r="C4377" s="46" t="s">
        <v>14</v>
      </c>
      <c r="D4377" s="47">
        <v>12165</v>
      </c>
      <c r="E4377" s="46" t="s">
        <v>1962</v>
      </c>
      <c r="F4377" s="48">
        <v>41275</v>
      </c>
      <c r="G4377" s="48">
        <v>41639</v>
      </c>
      <c r="H4377" s="46" t="s">
        <v>651</v>
      </c>
      <c r="I4377" s="45">
        <v>5052.8</v>
      </c>
      <c r="J4377" s="45">
        <v>5052.8</v>
      </c>
      <c r="K4377" s="49" t="s">
        <v>790</v>
      </c>
      <c r="L4377" s="46"/>
    </row>
    <row r="4378" spans="1:13" ht="25.5" x14ac:dyDescent="0.25">
      <c r="A4378" s="46" t="s">
        <v>10432</v>
      </c>
      <c r="B4378" s="46" t="s">
        <v>38</v>
      </c>
      <c r="C4378" s="46" t="s">
        <v>14</v>
      </c>
      <c r="D4378" s="47">
        <v>12167</v>
      </c>
      <c r="E4378" s="46" t="s">
        <v>10433</v>
      </c>
      <c r="F4378" s="48">
        <v>41275</v>
      </c>
      <c r="G4378" s="48">
        <v>41639</v>
      </c>
      <c r="H4378" s="46" t="s">
        <v>651</v>
      </c>
      <c r="I4378" s="45">
        <v>4397.2</v>
      </c>
      <c r="J4378" s="45">
        <v>4397.2</v>
      </c>
      <c r="K4378" s="49" t="s">
        <v>790</v>
      </c>
      <c r="L4378" s="46"/>
    </row>
    <row r="4379" spans="1:13" ht="38.25" x14ac:dyDescent="0.25">
      <c r="A4379" s="46" t="s">
        <v>10347</v>
      </c>
      <c r="B4379" s="46" t="s">
        <v>38</v>
      </c>
      <c r="C4379" s="46" t="s">
        <v>14</v>
      </c>
      <c r="D4379" s="47">
        <v>12168</v>
      </c>
      <c r="E4379" s="46" t="s">
        <v>10434</v>
      </c>
      <c r="F4379" s="48">
        <v>41275</v>
      </c>
      <c r="G4379" s="48">
        <v>41639</v>
      </c>
      <c r="H4379" s="46" t="s">
        <v>651</v>
      </c>
      <c r="I4379" s="45">
        <v>35182.300000000003</v>
      </c>
      <c r="J4379" s="45">
        <v>35182.300000000003</v>
      </c>
      <c r="K4379" s="49" t="s">
        <v>790</v>
      </c>
      <c r="L4379" s="46"/>
    </row>
    <row r="4380" spans="1:13" ht="38.25" x14ac:dyDescent="0.25">
      <c r="A4380" s="46" t="s">
        <v>10435</v>
      </c>
      <c r="B4380" s="46" t="s">
        <v>38</v>
      </c>
      <c r="C4380" s="46" t="s">
        <v>14</v>
      </c>
      <c r="D4380" s="47">
        <v>12170</v>
      </c>
      <c r="E4380" s="46" t="s">
        <v>10436</v>
      </c>
      <c r="F4380" s="48">
        <v>41275</v>
      </c>
      <c r="G4380" s="48">
        <v>41639</v>
      </c>
      <c r="H4380" s="46" t="s">
        <v>651</v>
      </c>
      <c r="I4380" s="45">
        <v>2615.5300000000002</v>
      </c>
      <c r="J4380" s="45">
        <v>2615.5300000000002</v>
      </c>
      <c r="K4380" s="49" t="s">
        <v>790</v>
      </c>
      <c r="L4380" s="46"/>
    </row>
    <row r="4381" spans="1:13" ht="25.5" x14ac:dyDescent="0.25">
      <c r="A4381" s="46" t="s">
        <v>10487</v>
      </c>
      <c r="B4381" s="46" t="s">
        <v>38</v>
      </c>
      <c r="C4381" s="46" t="s">
        <v>14</v>
      </c>
      <c r="D4381" s="47">
        <v>12894</v>
      </c>
      <c r="E4381" s="46" t="s">
        <v>10488</v>
      </c>
      <c r="F4381" s="48">
        <v>41030</v>
      </c>
      <c r="G4381" s="46"/>
      <c r="H4381" s="46" t="s">
        <v>651</v>
      </c>
      <c r="I4381" s="45">
        <v>2724.6</v>
      </c>
      <c r="J4381" s="45">
        <v>2724.6</v>
      </c>
      <c r="K4381" s="49" t="s">
        <v>790</v>
      </c>
      <c r="L4381" s="46"/>
    </row>
    <row r="4382" spans="1:13" ht="25.5" x14ac:dyDescent="0.25">
      <c r="A4382" s="46" t="s">
        <v>10489</v>
      </c>
      <c r="B4382" s="46" t="s">
        <v>38</v>
      </c>
      <c r="C4382" s="46" t="s">
        <v>14</v>
      </c>
      <c r="D4382" s="47">
        <v>12895</v>
      </c>
      <c r="E4382" s="46" t="s">
        <v>10490</v>
      </c>
      <c r="F4382" s="48">
        <v>41395</v>
      </c>
      <c r="G4382" s="46"/>
      <c r="H4382" s="46" t="s">
        <v>651</v>
      </c>
      <c r="I4382" s="45">
        <v>5713.09</v>
      </c>
      <c r="J4382" s="45">
        <v>5713.09</v>
      </c>
      <c r="K4382" s="49" t="s">
        <v>790</v>
      </c>
      <c r="L4382" s="46"/>
    </row>
    <row r="4383" spans="1:13" ht="25.5" x14ac:dyDescent="0.25">
      <c r="A4383" s="46" t="s">
        <v>2241</v>
      </c>
      <c r="B4383" s="46" t="s">
        <v>38</v>
      </c>
      <c r="C4383" s="46" t="s">
        <v>14</v>
      </c>
      <c r="D4383" s="47">
        <v>1032</v>
      </c>
      <c r="E4383" s="46" t="s">
        <v>2242</v>
      </c>
      <c r="F4383" s="48">
        <v>39084</v>
      </c>
      <c r="G4383" s="48">
        <v>40576</v>
      </c>
      <c r="H4383" s="46" t="s">
        <v>40</v>
      </c>
      <c r="I4383" s="45">
        <v>6650</v>
      </c>
      <c r="J4383" s="45">
        <v>6650</v>
      </c>
      <c r="K4383" s="49" t="s">
        <v>2033</v>
      </c>
      <c r="L4383" s="45"/>
      <c r="M4383" s="3"/>
    </row>
    <row r="4384" spans="1:13" ht="63.75" x14ac:dyDescent="0.25">
      <c r="A4384" s="46" t="s">
        <v>433</v>
      </c>
      <c r="B4384" s="46" t="s">
        <v>38</v>
      </c>
      <c r="C4384" s="46" t="s">
        <v>14</v>
      </c>
      <c r="D4384" s="47">
        <v>1755</v>
      </c>
      <c r="E4384" s="50" t="s">
        <v>2243</v>
      </c>
      <c r="F4384" s="48">
        <v>39083</v>
      </c>
      <c r="G4384" s="48">
        <v>41639</v>
      </c>
      <c r="H4384" s="46" t="s">
        <v>40</v>
      </c>
      <c r="I4384" s="45">
        <f>18113.52+1095</f>
        <v>19208.52</v>
      </c>
      <c r="J4384" s="45">
        <f>16010.18+1095</f>
        <v>17105.18</v>
      </c>
      <c r="K4384" s="49" t="s">
        <v>2033</v>
      </c>
      <c r="L4384" s="45"/>
      <c r="M4384" s="3"/>
    </row>
    <row r="4385" spans="1:13" ht="38.25" x14ac:dyDescent="0.25">
      <c r="A4385" s="46" t="s">
        <v>2244</v>
      </c>
      <c r="B4385" s="46" t="s">
        <v>38</v>
      </c>
      <c r="C4385" s="46" t="s">
        <v>14</v>
      </c>
      <c r="D4385" s="47">
        <v>1758</v>
      </c>
      <c r="E4385" s="50" t="s">
        <v>2245</v>
      </c>
      <c r="F4385" s="48">
        <v>39428</v>
      </c>
      <c r="G4385" s="48">
        <v>40178</v>
      </c>
      <c r="H4385" s="46" t="s">
        <v>40</v>
      </c>
      <c r="I4385" s="45">
        <v>44500</v>
      </c>
      <c r="J4385" s="45">
        <v>44500</v>
      </c>
      <c r="K4385" s="49" t="s">
        <v>2033</v>
      </c>
      <c r="L4385" s="45"/>
      <c r="M4385" s="3"/>
    </row>
    <row r="4386" spans="1:13" ht="51" x14ac:dyDescent="0.25">
      <c r="A4386" s="46" t="s">
        <v>2246</v>
      </c>
      <c r="B4386" s="46" t="s">
        <v>38</v>
      </c>
      <c r="C4386" s="46" t="s">
        <v>14</v>
      </c>
      <c r="D4386" s="47">
        <v>1765</v>
      </c>
      <c r="E4386" s="50" t="s">
        <v>2247</v>
      </c>
      <c r="F4386" s="48">
        <v>39083</v>
      </c>
      <c r="G4386" s="48">
        <v>40882</v>
      </c>
      <c r="H4386" s="46" t="s">
        <v>40</v>
      </c>
      <c r="I4386" s="45">
        <v>56560.99</v>
      </c>
      <c r="J4386" s="45">
        <v>56560.99</v>
      </c>
      <c r="K4386" s="49" t="s">
        <v>2033</v>
      </c>
      <c r="L4386" s="45"/>
      <c r="M4386" s="3"/>
    </row>
    <row r="4387" spans="1:13" ht="25.5" x14ac:dyDescent="0.25">
      <c r="A4387" s="46" t="s">
        <v>2248</v>
      </c>
      <c r="B4387" s="46" t="s">
        <v>38</v>
      </c>
      <c r="C4387" s="46" t="s">
        <v>14</v>
      </c>
      <c r="D4387" s="47">
        <v>1767</v>
      </c>
      <c r="E4387" s="46" t="s">
        <v>2249</v>
      </c>
      <c r="F4387" s="48">
        <v>39132</v>
      </c>
      <c r="G4387" s="48">
        <v>41274</v>
      </c>
      <c r="H4387" s="46" t="s">
        <v>40</v>
      </c>
      <c r="I4387" s="45">
        <v>181197.2</v>
      </c>
      <c r="J4387" s="45">
        <v>181197.2</v>
      </c>
      <c r="K4387" s="49" t="s">
        <v>2033</v>
      </c>
      <c r="L4387" s="45"/>
      <c r="M4387" s="3"/>
    </row>
    <row r="4388" spans="1:13" ht="38.25" x14ac:dyDescent="0.25">
      <c r="A4388" s="46" t="s">
        <v>2250</v>
      </c>
      <c r="B4388" s="46" t="s">
        <v>38</v>
      </c>
      <c r="C4388" s="46" t="s">
        <v>14</v>
      </c>
      <c r="D4388" s="47">
        <v>1772</v>
      </c>
      <c r="E4388" s="46" t="s">
        <v>2251</v>
      </c>
      <c r="F4388" s="48">
        <v>39083</v>
      </c>
      <c r="G4388" s="48">
        <v>40908</v>
      </c>
      <c r="H4388" s="46" t="s">
        <v>40</v>
      </c>
      <c r="I4388" s="45">
        <v>217185</v>
      </c>
      <c r="J4388" s="45">
        <v>217185</v>
      </c>
      <c r="K4388" s="49" t="s">
        <v>2033</v>
      </c>
      <c r="L4388" s="45"/>
      <c r="M4388" s="3"/>
    </row>
    <row r="4389" spans="1:13" ht="25.5" x14ac:dyDescent="0.25">
      <c r="A4389" s="46" t="s">
        <v>2254</v>
      </c>
      <c r="B4389" s="46" t="s">
        <v>38</v>
      </c>
      <c r="C4389" s="46" t="s">
        <v>14</v>
      </c>
      <c r="D4389" s="47">
        <v>1783</v>
      </c>
      <c r="E4389" s="46" t="s">
        <v>2255</v>
      </c>
      <c r="F4389" s="48">
        <v>39083</v>
      </c>
      <c r="G4389" s="48">
        <v>40870</v>
      </c>
      <c r="H4389" s="46" t="s">
        <v>40</v>
      </c>
      <c r="I4389" s="45">
        <v>7495</v>
      </c>
      <c r="J4389" s="45">
        <v>7495</v>
      </c>
      <c r="K4389" s="49" t="s">
        <v>2033</v>
      </c>
      <c r="L4389" s="45"/>
      <c r="M4389" s="3"/>
    </row>
    <row r="4390" spans="1:13" ht="38.25" x14ac:dyDescent="0.25">
      <c r="A4390" s="46" t="s">
        <v>2256</v>
      </c>
      <c r="B4390" s="46" t="s">
        <v>38</v>
      </c>
      <c r="C4390" s="46" t="s">
        <v>14</v>
      </c>
      <c r="D4390" s="47">
        <v>1785</v>
      </c>
      <c r="E4390" s="46" t="s">
        <v>2257</v>
      </c>
      <c r="F4390" s="48">
        <v>39083</v>
      </c>
      <c r="G4390" s="48">
        <v>40178</v>
      </c>
      <c r="H4390" s="46" t="s">
        <v>40</v>
      </c>
      <c r="I4390" s="45">
        <v>11171</v>
      </c>
      <c r="J4390" s="45">
        <v>11171</v>
      </c>
      <c r="K4390" s="49" t="s">
        <v>2033</v>
      </c>
      <c r="L4390" s="45"/>
      <c r="M4390" s="3"/>
    </row>
    <row r="4391" spans="1:13" ht="25.5" x14ac:dyDescent="0.25">
      <c r="A4391" s="46" t="s">
        <v>2258</v>
      </c>
      <c r="B4391" s="46" t="s">
        <v>38</v>
      </c>
      <c r="C4391" s="46" t="s">
        <v>14</v>
      </c>
      <c r="D4391" s="47">
        <v>1794</v>
      </c>
      <c r="E4391" s="46" t="s">
        <v>2259</v>
      </c>
      <c r="F4391" s="48">
        <v>39132</v>
      </c>
      <c r="G4391" s="48">
        <v>40773</v>
      </c>
      <c r="H4391" s="46" t="s">
        <v>40</v>
      </c>
      <c r="I4391" s="45">
        <v>4000</v>
      </c>
      <c r="J4391" s="45">
        <v>2000</v>
      </c>
      <c r="K4391" s="49" t="s">
        <v>2033</v>
      </c>
      <c r="L4391" s="45"/>
      <c r="M4391" s="3"/>
    </row>
    <row r="4392" spans="1:13" ht="25.5" x14ac:dyDescent="0.25">
      <c r="A4392" s="46" t="s">
        <v>2260</v>
      </c>
      <c r="B4392" s="46" t="s">
        <v>38</v>
      </c>
      <c r="C4392" s="46" t="s">
        <v>14</v>
      </c>
      <c r="D4392" s="47">
        <v>1796</v>
      </c>
      <c r="E4392" s="46" t="s">
        <v>2261</v>
      </c>
      <c r="F4392" s="48">
        <v>39083</v>
      </c>
      <c r="G4392" s="48">
        <v>39813</v>
      </c>
      <c r="H4392" s="46" t="s">
        <v>40</v>
      </c>
      <c r="I4392" s="45">
        <v>1846.66</v>
      </c>
      <c r="J4392" s="45">
        <v>1846.66</v>
      </c>
      <c r="K4392" s="49" t="s">
        <v>2033</v>
      </c>
      <c r="L4392" s="45"/>
      <c r="M4392" s="3"/>
    </row>
    <row r="4393" spans="1:13" ht="25.5" x14ac:dyDescent="0.25">
      <c r="A4393" s="46" t="s">
        <v>2262</v>
      </c>
      <c r="B4393" s="46" t="s">
        <v>38</v>
      </c>
      <c r="C4393" s="46" t="s">
        <v>14</v>
      </c>
      <c r="D4393" s="47">
        <v>1798</v>
      </c>
      <c r="E4393" s="46" t="s">
        <v>2263</v>
      </c>
      <c r="F4393" s="48">
        <v>39083</v>
      </c>
      <c r="G4393" s="48">
        <v>40178</v>
      </c>
      <c r="H4393" s="46" t="s">
        <v>40</v>
      </c>
      <c r="I4393" s="45">
        <v>45384</v>
      </c>
      <c r="J4393" s="45">
        <v>38999</v>
      </c>
      <c r="K4393" s="49" t="s">
        <v>2033</v>
      </c>
      <c r="L4393" s="45"/>
      <c r="M4393" s="3"/>
    </row>
    <row r="4394" spans="1:13" ht="25.5" x14ac:dyDescent="0.25">
      <c r="A4394" s="46" t="s">
        <v>2264</v>
      </c>
      <c r="B4394" s="46" t="s">
        <v>38</v>
      </c>
      <c r="C4394" s="46" t="s">
        <v>14</v>
      </c>
      <c r="D4394" s="47">
        <v>1800</v>
      </c>
      <c r="E4394" s="46" t="s">
        <v>2265</v>
      </c>
      <c r="F4394" s="48">
        <v>39083</v>
      </c>
      <c r="G4394" s="48">
        <v>40255</v>
      </c>
      <c r="H4394" s="46" t="s">
        <v>40</v>
      </c>
      <c r="I4394" s="45">
        <v>7655.13</v>
      </c>
      <c r="J4394" s="45">
        <v>7655.13</v>
      </c>
      <c r="K4394" s="49" t="s">
        <v>2033</v>
      </c>
      <c r="L4394" s="45"/>
      <c r="M4394" s="3"/>
    </row>
    <row r="4395" spans="1:13" ht="63.75" x14ac:dyDescent="0.25">
      <c r="A4395" s="46" t="s">
        <v>2266</v>
      </c>
      <c r="B4395" s="46" t="s">
        <v>38</v>
      </c>
      <c r="C4395" s="46" t="s">
        <v>14</v>
      </c>
      <c r="D4395" s="47">
        <v>1801</v>
      </c>
      <c r="E4395" s="50" t="s">
        <v>2267</v>
      </c>
      <c r="F4395" s="48">
        <v>39083</v>
      </c>
      <c r="G4395" s="48">
        <v>40178</v>
      </c>
      <c r="H4395" s="46" t="s">
        <v>40</v>
      </c>
      <c r="I4395" s="45">
        <v>45449.84</v>
      </c>
      <c r="J4395" s="45">
        <v>40389.089999999997</v>
      </c>
      <c r="K4395" s="49" t="s">
        <v>2033</v>
      </c>
      <c r="L4395" s="45"/>
      <c r="M4395" s="3"/>
    </row>
    <row r="4396" spans="1:13" ht="25.5" x14ac:dyDescent="0.25">
      <c r="A4396" s="46" t="s">
        <v>2268</v>
      </c>
      <c r="B4396" s="46" t="s">
        <v>38</v>
      </c>
      <c r="C4396" s="46" t="s">
        <v>14</v>
      </c>
      <c r="D4396" s="47">
        <v>1802</v>
      </c>
      <c r="E4396" s="46" t="s">
        <v>2269</v>
      </c>
      <c r="F4396" s="48">
        <v>39083</v>
      </c>
      <c r="G4396" s="48">
        <v>39447</v>
      </c>
      <c r="H4396" s="46" t="s">
        <v>40</v>
      </c>
      <c r="I4396" s="45">
        <v>2117.5</v>
      </c>
      <c r="J4396" s="45">
        <v>2117.5</v>
      </c>
      <c r="K4396" s="49" t="s">
        <v>2033</v>
      </c>
      <c r="L4396" s="45"/>
      <c r="M4396" s="3"/>
    </row>
    <row r="4397" spans="1:13" ht="25.5" x14ac:dyDescent="0.25">
      <c r="A4397" s="46" t="s">
        <v>2270</v>
      </c>
      <c r="B4397" s="46" t="s">
        <v>38</v>
      </c>
      <c r="C4397" s="46" t="s">
        <v>14</v>
      </c>
      <c r="D4397" s="47">
        <v>1812</v>
      </c>
      <c r="E4397" s="46" t="s">
        <v>2271</v>
      </c>
      <c r="F4397" s="48">
        <v>39132</v>
      </c>
      <c r="G4397" s="48">
        <v>41274</v>
      </c>
      <c r="H4397" s="46" t="s">
        <v>40</v>
      </c>
      <c r="I4397" s="45">
        <v>36360.32</v>
      </c>
      <c r="J4397" s="45">
        <v>35580.32</v>
      </c>
      <c r="K4397" s="49" t="s">
        <v>2033</v>
      </c>
      <c r="L4397" s="45"/>
      <c r="M4397" s="3"/>
    </row>
    <row r="4398" spans="1:13" ht="25.5" x14ac:dyDescent="0.25">
      <c r="A4398" s="46" t="s">
        <v>2272</v>
      </c>
      <c r="B4398" s="46" t="s">
        <v>38</v>
      </c>
      <c r="C4398" s="46" t="s">
        <v>14</v>
      </c>
      <c r="D4398" s="47">
        <v>1815</v>
      </c>
      <c r="E4398" s="46" t="s">
        <v>2273</v>
      </c>
      <c r="F4398" s="48">
        <v>39083</v>
      </c>
      <c r="G4398" s="48">
        <v>39813</v>
      </c>
      <c r="H4398" s="46" t="s">
        <v>40</v>
      </c>
      <c r="I4398" s="45">
        <v>6000</v>
      </c>
      <c r="J4398" s="45">
        <v>4920</v>
      </c>
      <c r="K4398" s="49" t="s">
        <v>2033</v>
      </c>
      <c r="L4398" s="45"/>
      <c r="M4398" s="3"/>
    </row>
    <row r="4399" spans="1:13" ht="63.75" x14ac:dyDescent="0.25">
      <c r="A4399" s="46" t="s">
        <v>2274</v>
      </c>
      <c r="B4399" s="46" t="s">
        <v>38</v>
      </c>
      <c r="C4399" s="46" t="s">
        <v>14</v>
      </c>
      <c r="D4399" s="47">
        <v>1820</v>
      </c>
      <c r="E4399" s="50" t="s">
        <v>2275</v>
      </c>
      <c r="F4399" s="48">
        <v>39083</v>
      </c>
      <c r="G4399" s="48">
        <v>41274</v>
      </c>
      <c r="H4399" s="46" t="s">
        <v>40</v>
      </c>
      <c r="I4399" s="45">
        <f>93491.66+10785.4</f>
        <v>104277.06</v>
      </c>
      <c r="J4399" s="45">
        <f>46840.49+10785.4</f>
        <v>57625.89</v>
      </c>
      <c r="K4399" s="49" t="s">
        <v>2033</v>
      </c>
      <c r="L4399" s="45"/>
      <c r="M4399" s="3"/>
    </row>
    <row r="4400" spans="1:13" ht="25.5" x14ac:dyDescent="0.25">
      <c r="A4400" s="46" t="s">
        <v>2276</v>
      </c>
      <c r="B4400" s="46" t="s">
        <v>38</v>
      </c>
      <c r="C4400" s="46" t="s">
        <v>14</v>
      </c>
      <c r="D4400" s="47">
        <v>1826</v>
      </c>
      <c r="E4400" s="46" t="s">
        <v>2277</v>
      </c>
      <c r="F4400" s="48">
        <v>39083</v>
      </c>
      <c r="G4400" s="48">
        <v>40178</v>
      </c>
      <c r="H4400" s="46" t="s">
        <v>40</v>
      </c>
      <c r="I4400" s="45">
        <v>9100</v>
      </c>
      <c r="J4400" s="45">
        <v>9100</v>
      </c>
      <c r="K4400" s="49" t="s">
        <v>2033</v>
      </c>
      <c r="L4400" s="45"/>
      <c r="M4400" s="3"/>
    </row>
    <row r="4401" spans="1:13" ht="25.5" x14ac:dyDescent="0.25">
      <c r="A4401" s="46" t="s">
        <v>2278</v>
      </c>
      <c r="B4401" s="46" t="s">
        <v>38</v>
      </c>
      <c r="C4401" s="46" t="s">
        <v>14</v>
      </c>
      <c r="D4401" s="47">
        <v>1828</v>
      </c>
      <c r="E4401" s="46" t="s">
        <v>2279</v>
      </c>
      <c r="F4401" s="48">
        <v>39083</v>
      </c>
      <c r="G4401" s="48">
        <v>39447</v>
      </c>
      <c r="H4401" s="46" t="s">
        <v>40</v>
      </c>
      <c r="I4401" s="45">
        <v>4522.3999999999996</v>
      </c>
      <c r="J4401" s="45">
        <v>4522.3999999999996</v>
      </c>
      <c r="K4401" s="49" t="s">
        <v>2033</v>
      </c>
      <c r="L4401" s="45"/>
      <c r="M4401" s="3"/>
    </row>
    <row r="4402" spans="1:13" ht="25.5" x14ac:dyDescent="0.25">
      <c r="A4402" s="46" t="s">
        <v>2280</v>
      </c>
      <c r="B4402" s="46" t="s">
        <v>38</v>
      </c>
      <c r="C4402" s="46" t="s">
        <v>14</v>
      </c>
      <c r="D4402" s="47">
        <v>1835</v>
      </c>
      <c r="E4402" s="46" t="s">
        <v>2281</v>
      </c>
      <c r="F4402" s="48">
        <v>39083</v>
      </c>
      <c r="G4402" s="48">
        <v>40178</v>
      </c>
      <c r="H4402" s="46" t="s">
        <v>40</v>
      </c>
      <c r="I4402" s="45">
        <v>6780</v>
      </c>
      <c r="J4402" s="45">
        <v>6240</v>
      </c>
      <c r="K4402" s="49" t="s">
        <v>2033</v>
      </c>
      <c r="L4402" s="45"/>
      <c r="M4402" s="3"/>
    </row>
    <row r="4403" spans="1:13" ht="25.5" x14ac:dyDescent="0.25">
      <c r="A4403" s="46" t="s">
        <v>2282</v>
      </c>
      <c r="B4403" s="46" t="s">
        <v>38</v>
      </c>
      <c r="C4403" s="46" t="s">
        <v>14</v>
      </c>
      <c r="D4403" s="47">
        <v>1876</v>
      </c>
      <c r="E4403" s="46" t="s">
        <v>2283</v>
      </c>
      <c r="F4403" s="48">
        <v>39083</v>
      </c>
      <c r="G4403" s="48">
        <v>40178</v>
      </c>
      <c r="H4403" s="46" t="s">
        <v>40</v>
      </c>
      <c r="I4403" s="45">
        <v>8800</v>
      </c>
      <c r="J4403" s="45">
        <v>6760</v>
      </c>
      <c r="K4403" s="49" t="s">
        <v>2033</v>
      </c>
      <c r="L4403" s="45"/>
      <c r="M4403" s="3"/>
    </row>
    <row r="4404" spans="1:13" ht="25.5" x14ac:dyDescent="0.25">
      <c r="A4404" s="46" t="s">
        <v>2284</v>
      </c>
      <c r="B4404" s="46" t="s">
        <v>38</v>
      </c>
      <c r="C4404" s="46" t="s">
        <v>14</v>
      </c>
      <c r="D4404" s="47">
        <v>1878</v>
      </c>
      <c r="E4404" s="46" t="s">
        <v>2285</v>
      </c>
      <c r="F4404" s="48">
        <v>39083</v>
      </c>
      <c r="G4404" s="48">
        <v>39447</v>
      </c>
      <c r="H4404" s="46" t="s">
        <v>40</v>
      </c>
      <c r="I4404" s="45">
        <v>600</v>
      </c>
      <c r="J4404" s="45">
        <v>600</v>
      </c>
      <c r="K4404" s="49" t="s">
        <v>2033</v>
      </c>
      <c r="L4404" s="45"/>
      <c r="M4404" s="3"/>
    </row>
    <row r="4405" spans="1:13" ht="38.25" x14ac:dyDescent="0.25">
      <c r="A4405" s="46" t="s">
        <v>2286</v>
      </c>
      <c r="B4405" s="46" t="s">
        <v>38</v>
      </c>
      <c r="C4405" s="46" t="s">
        <v>14</v>
      </c>
      <c r="D4405" s="47">
        <v>1881</v>
      </c>
      <c r="E4405" s="46" t="s">
        <v>2287</v>
      </c>
      <c r="F4405" s="48">
        <v>39230</v>
      </c>
      <c r="G4405" s="48">
        <v>40178</v>
      </c>
      <c r="H4405" s="46" t="s">
        <v>40</v>
      </c>
      <c r="I4405" s="45">
        <v>3100</v>
      </c>
      <c r="J4405" s="45">
        <v>3100</v>
      </c>
      <c r="K4405" s="49" t="s">
        <v>2033</v>
      </c>
      <c r="L4405" s="45"/>
      <c r="M4405" s="3"/>
    </row>
    <row r="4406" spans="1:13" ht="25.5" x14ac:dyDescent="0.25">
      <c r="A4406" s="46" t="s">
        <v>2288</v>
      </c>
      <c r="B4406" s="46" t="s">
        <v>38</v>
      </c>
      <c r="C4406" s="46" t="s">
        <v>14</v>
      </c>
      <c r="D4406" s="47">
        <v>1885</v>
      </c>
      <c r="E4406" s="46" t="s">
        <v>2289</v>
      </c>
      <c r="F4406" s="48">
        <v>39083</v>
      </c>
      <c r="G4406" s="48">
        <v>39447</v>
      </c>
      <c r="H4406" s="46" t="s">
        <v>40</v>
      </c>
      <c r="I4406" s="45">
        <v>12000</v>
      </c>
      <c r="J4406" s="45">
        <v>12000</v>
      </c>
      <c r="K4406" s="49" t="s">
        <v>2033</v>
      </c>
      <c r="L4406" s="45"/>
      <c r="M4406" s="3"/>
    </row>
    <row r="4407" spans="1:13" ht="76.5" x14ac:dyDescent="0.25">
      <c r="A4407" s="46" t="s">
        <v>2290</v>
      </c>
      <c r="B4407" s="46" t="s">
        <v>38</v>
      </c>
      <c r="C4407" s="46" t="s">
        <v>14</v>
      </c>
      <c r="D4407" s="47">
        <v>1888</v>
      </c>
      <c r="E4407" s="50" t="s">
        <v>2291</v>
      </c>
      <c r="F4407" s="48">
        <v>39083</v>
      </c>
      <c r="G4407" s="48">
        <v>41274</v>
      </c>
      <c r="H4407" s="46" t="s">
        <v>40</v>
      </c>
      <c r="I4407" s="45">
        <f>173966.33+930.01</f>
        <v>174896.34</v>
      </c>
      <c r="J4407" s="45">
        <f>152216.33+930.01</f>
        <v>153146.34</v>
      </c>
      <c r="K4407" s="49" t="s">
        <v>2033</v>
      </c>
      <c r="L4407" s="45"/>
      <c r="M4407" s="3"/>
    </row>
    <row r="4408" spans="1:13" ht="25.5" x14ac:dyDescent="0.25">
      <c r="A4408" s="46" t="s">
        <v>2292</v>
      </c>
      <c r="B4408" s="46" t="s">
        <v>38</v>
      </c>
      <c r="C4408" s="46" t="s">
        <v>14</v>
      </c>
      <c r="D4408" s="47">
        <v>1889</v>
      </c>
      <c r="E4408" s="46" t="s">
        <v>2293</v>
      </c>
      <c r="F4408" s="48">
        <v>39083</v>
      </c>
      <c r="G4408" s="48">
        <v>39813</v>
      </c>
      <c r="H4408" s="46" t="s">
        <v>40</v>
      </c>
      <c r="I4408" s="45">
        <v>5800</v>
      </c>
      <c r="J4408" s="45">
        <v>5800</v>
      </c>
      <c r="K4408" s="49" t="s">
        <v>2033</v>
      </c>
      <c r="L4408" s="45"/>
      <c r="M4408" s="3"/>
    </row>
    <row r="4409" spans="1:13" ht="25.5" x14ac:dyDescent="0.25">
      <c r="A4409" s="46" t="s">
        <v>2294</v>
      </c>
      <c r="B4409" s="46" t="s">
        <v>38</v>
      </c>
      <c r="C4409" s="46" t="s">
        <v>14</v>
      </c>
      <c r="D4409" s="47">
        <v>1890</v>
      </c>
      <c r="E4409" s="46" t="s">
        <v>2295</v>
      </c>
      <c r="F4409" s="48">
        <v>39083</v>
      </c>
      <c r="G4409" s="48">
        <v>39447</v>
      </c>
      <c r="H4409" s="46" t="s">
        <v>40</v>
      </c>
      <c r="I4409" s="45">
        <v>2117.5</v>
      </c>
      <c r="J4409" s="45">
        <v>2117.5</v>
      </c>
      <c r="K4409" s="49" t="s">
        <v>2033</v>
      </c>
      <c r="L4409" s="45"/>
      <c r="M4409" s="3"/>
    </row>
    <row r="4410" spans="1:13" ht="38.25" x14ac:dyDescent="0.25">
      <c r="A4410" s="46" t="s">
        <v>2296</v>
      </c>
      <c r="B4410" s="46" t="s">
        <v>38</v>
      </c>
      <c r="C4410" s="46" t="s">
        <v>14</v>
      </c>
      <c r="D4410" s="47">
        <v>1892</v>
      </c>
      <c r="E4410" s="46" t="s">
        <v>2297</v>
      </c>
      <c r="F4410" s="48">
        <v>39083</v>
      </c>
      <c r="G4410" s="48">
        <v>40891</v>
      </c>
      <c r="H4410" s="46" t="s">
        <v>40</v>
      </c>
      <c r="I4410" s="45">
        <v>89944</v>
      </c>
      <c r="J4410" s="45">
        <v>84834</v>
      </c>
      <c r="K4410" s="49" t="s">
        <v>2033</v>
      </c>
      <c r="L4410" s="45"/>
      <c r="M4410" s="3"/>
    </row>
    <row r="4411" spans="1:13" ht="25.5" x14ac:dyDescent="0.25">
      <c r="A4411" s="46" t="s">
        <v>2284</v>
      </c>
      <c r="B4411" s="46" t="s">
        <v>38</v>
      </c>
      <c r="C4411" s="46" t="s">
        <v>14</v>
      </c>
      <c r="D4411" s="47">
        <v>1893</v>
      </c>
      <c r="E4411" s="46" t="s">
        <v>2298</v>
      </c>
      <c r="F4411" s="48">
        <v>39083</v>
      </c>
      <c r="G4411" s="48">
        <v>39447</v>
      </c>
      <c r="H4411" s="46" t="s">
        <v>40</v>
      </c>
      <c r="I4411" s="45">
        <v>1120</v>
      </c>
      <c r="J4411" s="45">
        <v>1120</v>
      </c>
      <c r="K4411" s="49" t="s">
        <v>2033</v>
      </c>
      <c r="L4411" s="45"/>
      <c r="M4411" s="3"/>
    </row>
    <row r="4412" spans="1:13" ht="63.75" x14ac:dyDescent="0.25">
      <c r="A4412" s="46" t="s">
        <v>2299</v>
      </c>
      <c r="B4412" s="46" t="s">
        <v>38</v>
      </c>
      <c r="C4412" s="46" t="s">
        <v>14</v>
      </c>
      <c r="D4412" s="47">
        <v>1897</v>
      </c>
      <c r="E4412" s="50" t="s">
        <v>2300</v>
      </c>
      <c r="F4412" s="48">
        <v>39083</v>
      </c>
      <c r="G4412" s="48">
        <v>41274</v>
      </c>
      <c r="H4412" s="46" t="s">
        <v>40</v>
      </c>
      <c r="I4412" s="45">
        <v>9996.18</v>
      </c>
      <c r="J4412" s="45">
        <v>9996.18</v>
      </c>
      <c r="K4412" s="49" t="s">
        <v>2033</v>
      </c>
      <c r="L4412" s="45"/>
      <c r="M4412" s="3"/>
    </row>
    <row r="4413" spans="1:13" ht="25.5" x14ac:dyDescent="0.25">
      <c r="A4413" s="46" t="s">
        <v>2301</v>
      </c>
      <c r="B4413" s="46" t="s">
        <v>38</v>
      </c>
      <c r="C4413" s="46" t="s">
        <v>14</v>
      </c>
      <c r="D4413" s="47">
        <v>2075</v>
      </c>
      <c r="E4413" s="46" t="s">
        <v>2302</v>
      </c>
      <c r="F4413" s="48">
        <v>39356</v>
      </c>
      <c r="G4413" s="48">
        <v>39356</v>
      </c>
      <c r="H4413" s="46" t="s">
        <v>40</v>
      </c>
      <c r="I4413" s="45">
        <v>1000</v>
      </c>
      <c r="J4413" s="45">
        <v>1000</v>
      </c>
      <c r="K4413" s="49" t="s">
        <v>2033</v>
      </c>
      <c r="L4413" s="45"/>
      <c r="M4413" s="3"/>
    </row>
    <row r="4414" spans="1:13" ht="25.5" x14ac:dyDescent="0.25">
      <c r="A4414" s="46" t="s">
        <v>2303</v>
      </c>
      <c r="B4414" s="46" t="s">
        <v>38</v>
      </c>
      <c r="C4414" s="46" t="s">
        <v>14</v>
      </c>
      <c r="D4414" s="47">
        <v>2076</v>
      </c>
      <c r="E4414" s="46" t="s">
        <v>2285</v>
      </c>
      <c r="F4414" s="48">
        <v>39132</v>
      </c>
      <c r="G4414" s="48">
        <v>39357</v>
      </c>
      <c r="H4414" s="46" t="s">
        <v>40</v>
      </c>
      <c r="I4414" s="45">
        <v>1000</v>
      </c>
      <c r="J4414" s="45">
        <v>1000</v>
      </c>
      <c r="K4414" s="49" t="s">
        <v>2033</v>
      </c>
      <c r="L4414" s="45"/>
      <c r="M4414" s="3"/>
    </row>
    <row r="4415" spans="1:13" ht="51" x14ac:dyDescent="0.25">
      <c r="A4415" s="46" t="s">
        <v>2304</v>
      </c>
      <c r="B4415" s="46" t="s">
        <v>38</v>
      </c>
      <c r="C4415" s="46" t="s">
        <v>14</v>
      </c>
      <c r="D4415" s="47">
        <v>2077</v>
      </c>
      <c r="E4415" s="50" t="s">
        <v>2305</v>
      </c>
      <c r="F4415" s="48">
        <v>39357</v>
      </c>
      <c r="G4415" s="48">
        <v>40465</v>
      </c>
      <c r="H4415" s="46" t="s">
        <v>40</v>
      </c>
      <c r="I4415" s="45">
        <v>1050</v>
      </c>
      <c r="J4415" s="45">
        <v>1050</v>
      </c>
      <c r="K4415" s="49" t="s">
        <v>2033</v>
      </c>
      <c r="L4415" s="45"/>
      <c r="M4415" s="3"/>
    </row>
    <row r="4416" spans="1:13" ht="25.5" x14ac:dyDescent="0.25">
      <c r="A4416" s="46" t="s">
        <v>2306</v>
      </c>
      <c r="B4416" s="46" t="s">
        <v>38</v>
      </c>
      <c r="C4416" s="46" t="s">
        <v>14</v>
      </c>
      <c r="D4416" s="47">
        <v>2078</v>
      </c>
      <c r="E4416" s="46" t="s">
        <v>2307</v>
      </c>
      <c r="F4416" s="48">
        <v>39132</v>
      </c>
      <c r="G4416" s="48">
        <v>39659</v>
      </c>
      <c r="H4416" s="46" t="s">
        <v>40</v>
      </c>
      <c r="I4416" s="45">
        <v>10560</v>
      </c>
      <c r="J4416" s="45">
        <v>8335</v>
      </c>
      <c r="K4416" s="49" t="s">
        <v>2033</v>
      </c>
      <c r="L4416" s="45"/>
      <c r="M4416" s="3"/>
    </row>
    <row r="4417" spans="1:13" ht="25.5" x14ac:dyDescent="0.25">
      <c r="A4417" s="46" t="s">
        <v>2308</v>
      </c>
      <c r="B4417" s="46" t="s">
        <v>38</v>
      </c>
      <c r="C4417" s="46" t="s">
        <v>14</v>
      </c>
      <c r="D4417" s="47">
        <v>2079</v>
      </c>
      <c r="E4417" s="46" t="s">
        <v>2309</v>
      </c>
      <c r="F4417" s="48">
        <v>39230</v>
      </c>
      <c r="G4417" s="48">
        <v>41274</v>
      </c>
      <c r="H4417" s="46" t="s">
        <v>40</v>
      </c>
      <c r="I4417" s="45">
        <f>25000+5000</f>
        <v>30000</v>
      </c>
      <c r="J4417" s="45">
        <f>25000+5000</f>
        <v>30000</v>
      </c>
      <c r="K4417" s="49" t="s">
        <v>2033</v>
      </c>
      <c r="L4417" s="45"/>
      <c r="M4417" s="3"/>
    </row>
    <row r="4418" spans="1:13" ht="25.5" x14ac:dyDescent="0.25">
      <c r="A4418" s="46" t="s">
        <v>2310</v>
      </c>
      <c r="B4418" s="46" t="s">
        <v>38</v>
      </c>
      <c r="C4418" s="46" t="s">
        <v>14</v>
      </c>
      <c r="D4418" s="47">
        <v>2080</v>
      </c>
      <c r="E4418" s="46" t="s">
        <v>2311</v>
      </c>
      <c r="F4418" s="48">
        <v>39132</v>
      </c>
      <c r="G4418" s="48">
        <v>39597</v>
      </c>
      <c r="H4418" s="46" t="s">
        <v>40</v>
      </c>
      <c r="I4418" s="45">
        <v>10000</v>
      </c>
      <c r="J4418" s="45">
        <v>7775</v>
      </c>
      <c r="K4418" s="49" t="s">
        <v>2033</v>
      </c>
      <c r="L4418" s="45"/>
      <c r="M4418" s="3"/>
    </row>
    <row r="4419" spans="1:13" ht="25.5" x14ac:dyDescent="0.25">
      <c r="A4419" s="46" t="s">
        <v>2312</v>
      </c>
      <c r="B4419" s="46" t="s">
        <v>38</v>
      </c>
      <c r="C4419" s="46" t="s">
        <v>14</v>
      </c>
      <c r="D4419" s="47">
        <v>2081</v>
      </c>
      <c r="E4419" s="46" t="s">
        <v>2313</v>
      </c>
      <c r="F4419" s="48">
        <v>39132</v>
      </c>
      <c r="G4419" s="48">
        <v>39391</v>
      </c>
      <c r="H4419" s="46" t="s">
        <v>40</v>
      </c>
      <c r="I4419" s="45">
        <v>829.48</v>
      </c>
      <c r="J4419" s="45">
        <v>829.48</v>
      </c>
      <c r="K4419" s="49" t="s">
        <v>2033</v>
      </c>
      <c r="L4419" s="45"/>
      <c r="M4419" s="3"/>
    </row>
    <row r="4420" spans="1:13" ht="38.25" x14ac:dyDescent="0.25">
      <c r="A4420" s="46" t="s">
        <v>2314</v>
      </c>
      <c r="B4420" s="46" t="s">
        <v>38</v>
      </c>
      <c r="C4420" s="46" t="s">
        <v>14</v>
      </c>
      <c r="D4420" s="47">
        <v>2082</v>
      </c>
      <c r="E4420" s="46" t="s">
        <v>2315</v>
      </c>
      <c r="F4420" s="48">
        <v>39132</v>
      </c>
      <c r="G4420" s="48">
        <v>39391</v>
      </c>
      <c r="H4420" s="46" t="s">
        <v>40</v>
      </c>
      <c r="I4420" s="45">
        <v>8200</v>
      </c>
      <c r="J4420" s="45">
        <v>8200</v>
      </c>
      <c r="K4420" s="49" t="s">
        <v>2033</v>
      </c>
      <c r="L4420" s="45"/>
      <c r="M4420" s="3"/>
    </row>
    <row r="4421" spans="1:13" ht="25.5" x14ac:dyDescent="0.25">
      <c r="A4421" s="46" t="s">
        <v>2284</v>
      </c>
      <c r="B4421" s="46" t="s">
        <v>38</v>
      </c>
      <c r="C4421" s="46" t="s">
        <v>14</v>
      </c>
      <c r="D4421" s="47">
        <v>2083</v>
      </c>
      <c r="E4421" s="46" t="s">
        <v>2316</v>
      </c>
      <c r="F4421" s="48">
        <v>39083</v>
      </c>
      <c r="G4421" s="48">
        <v>39395</v>
      </c>
      <c r="H4421" s="46" t="s">
        <v>40</v>
      </c>
      <c r="I4421" s="45">
        <v>1000</v>
      </c>
      <c r="J4421" s="45">
        <v>1000</v>
      </c>
      <c r="K4421" s="49" t="s">
        <v>2033</v>
      </c>
      <c r="L4421" s="45"/>
      <c r="M4421" s="3"/>
    </row>
    <row r="4422" spans="1:13" ht="38.25" x14ac:dyDescent="0.25">
      <c r="A4422" s="46" t="s">
        <v>2317</v>
      </c>
      <c r="B4422" s="46" t="s">
        <v>38</v>
      </c>
      <c r="C4422" s="46" t="s">
        <v>14</v>
      </c>
      <c r="D4422" s="47">
        <v>2084</v>
      </c>
      <c r="E4422" s="46" t="s">
        <v>2318</v>
      </c>
      <c r="F4422" s="48">
        <v>39132</v>
      </c>
      <c r="G4422" s="48">
        <v>41274</v>
      </c>
      <c r="H4422" s="46" t="s">
        <v>40</v>
      </c>
      <c r="I4422" s="45">
        <f>22838+6512.5</f>
        <v>29350.5</v>
      </c>
      <c r="J4422" s="45">
        <f>15311+6512.5</f>
        <v>21823.5</v>
      </c>
      <c r="K4422" s="49" t="s">
        <v>2033</v>
      </c>
      <c r="L4422" s="45"/>
      <c r="M4422" s="3"/>
    </row>
    <row r="4423" spans="1:13" ht="25.5" x14ac:dyDescent="0.25">
      <c r="A4423" s="46" t="s">
        <v>2319</v>
      </c>
      <c r="B4423" s="46" t="s">
        <v>38</v>
      </c>
      <c r="C4423" s="46" t="s">
        <v>14</v>
      </c>
      <c r="D4423" s="47">
        <v>2097</v>
      </c>
      <c r="E4423" s="46" t="s">
        <v>2320</v>
      </c>
      <c r="F4423" s="48">
        <v>39423</v>
      </c>
      <c r="G4423" s="48">
        <v>39423</v>
      </c>
      <c r="H4423" s="46" t="s">
        <v>40</v>
      </c>
      <c r="I4423" s="45">
        <v>150</v>
      </c>
      <c r="J4423" s="45">
        <v>150</v>
      </c>
      <c r="K4423" s="49" t="s">
        <v>2033</v>
      </c>
      <c r="L4423" s="45"/>
      <c r="M4423" s="3"/>
    </row>
    <row r="4424" spans="1:13" ht="25.5" x14ac:dyDescent="0.25">
      <c r="A4424" s="46" t="s">
        <v>2284</v>
      </c>
      <c r="B4424" s="46" t="s">
        <v>38</v>
      </c>
      <c r="C4424" s="46" t="s">
        <v>14</v>
      </c>
      <c r="D4424" s="47">
        <v>2098</v>
      </c>
      <c r="E4424" s="46" t="s">
        <v>2321</v>
      </c>
      <c r="F4424" s="48">
        <v>39230</v>
      </c>
      <c r="G4424" s="48">
        <v>39423</v>
      </c>
      <c r="H4424" s="46" t="s">
        <v>40</v>
      </c>
      <c r="I4424" s="45">
        <v>1000</v>
      </c>
      <c r="J4424" s="45">
        <v>1000</v>
      </c>
      <c r="K4424" s="49" t="s">
        <v>2033</v>
      </c>
      <c r="L4424" s="45"/>
      <c r="M4424" s="3"/>
    </row>
    <row r="4425" spans="1:13" ht="25.5" x14ac:dyDescent="0.25">
      <c r="A4425" s="46" t="s">
        <v>2322</v>
      </c>
      <c r="B4425" s="46" t="s">
        <v>38</v>
      </c>
      <c r="C4425" s="46" t="s">
        <v>14</v>
      </c>
      <c r="D4425" s="47">
        <v>2099</v>
      </c>
      <c r="E4425" s="46" t="s">
        <v>2323</v>
      </c>
      <c r="F4425" s="48">
        <v>39423</v>
      </c>
      <c r="G4425" s="48">
        <v>40179</v>
      </c>
      <c r="H4425" s="46" t="s">
        <v>40</v>
      </c>
      <c r="I4425" s="45">
        <v>676</v>
      </c>
      <c r="J4425" s="45">
        <v>676</v>
      </c>
      <c r="K4425" s="49" t="s">
        <v>2033</v>
      </c>
      <c r="L4425" s="45"/>
      <c r="M4425" s="3"/>
    </row>
    <row r="4426" spans="1:13" ht="38.25" x14ac:dyDescent="0.25">
      <c r="A4426" s="46" t="s">
        <v>2322</v>
      </c>
      <c r="B4426" s="46" t="s">
        <v>38</v>
      </c>
      <c r="C4426" s="46" t="s">
        <v>14</v>
      </c>
      <c r="D4426" s="47">
        <v>2101</v>
      </c>
      <c r="E4426" s="46" t="s">
        <v>2324</v>
      </c>
      <c r="F4426" s="48">
        <v>39230</v>
      </c>
      <c r="G4426" s="48">
        <v>41639</v>
      </c>
      <c r="H4426" s="46" t="s">
        <v>40</v>
      </c>
      <c r="I4426" s="45">
        <v>4780.21</v>
      </c>
      <c r="J4426" s="45">
        <v>4605.21</v>
      </c>
      <c r="K4426" s="49" t="s">
        <v>2033</v>
      </c>
      <c r="L4426" s="45"/>
      <c r="M4426" s="3"/>
    </row>
    <row r="4427" spans="1:13" ht="25.5" x14ac:dyDescent="0.25">
      <c r="A4427" s="46" t="s">
        <v>2284</v>
      </c>
      <c r="B4427" s="46" t="s">
        <v>38</v>
      </c>
      <c r="C4427" s="46" t="s">
        <v>14</v>
      </c>
      <c r="D4427" s="47">
        <v>2102</v>
      </c>
      <c r="E4427" s="46" t="s">
        <v>2325</v>
      </c>
      <c r="F4427" s="48">
        <v>39132</v>
      </c>
      <c r="G4427" s="48">
        <v>39549</v>
      </c>
      <c r="H4427" s="46" t="s">
        <v>40</v>
      </c>
      <c r="I4427" s="45">
        <v>2891.9</v>
      </c>
      <c r="J4427" s="45">
        <v>2891.9</v>
      </c>
      <c r="K4427" s="49" t="s">
        <v>2033</v>
      </c>
      <c r="L4427" s="45"/>
      <c r="M4427" s="3"/>
    </row>
    <row r="4428" spans="1:13" ht="38.25" x14ac:dyDescent="0.25">
      <c r="A4428" s="46" t="s">
        <v>2326</v>
      </c>
      <c r="B4428" s="46" t="s">
        <v>38</v>
      </c>
      <c r="C4428" s="46" t="s">
        <v>14</v>
      </c>
      <c r="D4428" s="47">
        <v>2104</v>
      </c>
      <c r="E4428" s="46" t="s">
        <v>2327</v>
      </c>
      <c r="F4428" s="48">
        <v>39433</v>
      </c>
      <c r="G4428" s="48">
        <v>40882</v>
      </c>
      <c r="H4428" s="46" t="s">
        <v>40</v>
      </c>
      <c r="I4428" s="45">
        <v>21110</v>
      </c>
      <c r="J4428" s="45">
        <v>21110</v>
      </c>
      <c r="K4428" s="49" t="s">
        <v>2033</v>
      </c>
      <c r="L4428" s="45"/>
      <c r="M4428" s="3"/>
    </row>
    <row r="4429" spans="1:13" ht="25.5" x14ac:dyDescent="0.25">
      <c r="A4429" s="46" t="s">
        <v>2328</v>
      </c>
      <c r="B4429" s="46" t="s">
        <v>38</v>
      </c>
      <c r="C4429" s="46" t="s">
        <v>14</v>
      </c>
      <c r="D4429" s="47">
        <v>2106</v>
      </c>
      <c r="E4429" s="46" t="s">
        <v>2329</v>
      </c>
      <c r="F4429" s="48">
        <v>39083</v>
      </c>
      <c r="G4429" s="48">
        <v>40543</v>
      </c>
      <c r="H4429" s="46" t="s">
        <v>40</v>
      </c>
      <c r="I4429" s="45">
        <f>277438.27+52383.56</f>
        <v>329821.83</v>
      </c>
      <c r="J4429" s="45">
        <f>277438.27+52383.56</f>
        <v>329821.83</v>
      </c>
      <c r="K4429" s="49" t="s">
        <v>2033</v>
      </c>
      <c r="L4429" s="45"/>
      <c r="M4429" s="3"/>
    </row>
    <row r="4430" spans="1:13" ht="63.75" x14ac:dyDescent="0.25">
      <c r="A4430" s="46" t="s">
        <v>2330</v>
      </c>
      <c r="B4430" s="46" t="s">
        <v>38</v>
      </c>
      <c r="C4430" s="46" t="s">
        <v>14</v>
      </c>
      <c r="D4430" s="47">
        <v>2107</v>
      </c>
      <c r="E4430" s="50" t="s">
        <v>2331</v>
      </c>
      <c r="F4430" s="48">
        <v>39132</v>
      </c>
      <c r="G4430" s="48">
        <v>40178</v>
      </c>
      <c r="H4430" s="46" t="s">
        <v>40</v>
      </c>
      <c r="I4430" s="45">
        <v>23732.49</v>
      </c>
      <c r="J4430" s="45">
        <v>23732.49</v>
      </c>
      <c r="K4430" s="49" t="s">
        <v>2033</v>
      </c>
      <c r="L4430" s="45"/>
      <c r="M4430" s="3"/>
    </row>
    <row r="4431" spans="1:13" ht="25.5" x14ac:dyDescent="0.25">
      <c r="A4431" s="46" t="s">
        <v>2284</v>
      </c>
      <c r="B4431" s="46" t="s">
        <v>38</v>
      </c>
      <c r="C4431" s="46" t="s">
        <v>14</v>
      </c>
      <c r="D4431" s="47">
        <v>2109</v>
      </c>
      <c r="E4431" s="46" t="s">
        <v>2332</v>
      </c>
      <c r="F4431" s="48">
        <v>39469</v>
      </c>
      <c r="G4431" s="48">
        <v>39786</v>
      </c>
      <c r="H4431" s="46" t="s">
        <v>40</v>
      </c>
      <c r="I4431" s="45">
        <v>672</v>
      </c>
      <c r="J4431" s="45">
        <v>672</v>
      </c>
      <c r="K4431" s="49" t="s">
        <v>2033</v>
      </c>
      <c r="L4431" s="45"/>
      <c r="M4431" s="3"/>
    </row>
    <row r="4432" spans="1:13" ht="25.5" x14ac:dyDescent="0.25">
      <c r="A4432" s="46" t="s">
        <v>2333</v>
      </c>
      <c r="B4432" s="46" t="s">
        <v>38</v>
      </c>
      <c r="C4432" s="46" t="s">
        <v>14</v>
      </c>
      <c r="D4432" s="47">
        <v>2154</v>
      </c>
      <c r="E4432" s="46" t="s">
        <v>2334</v>
      </c>
      <c r="F4432" s="48">
        <v>39469</v>
      </c>
      <c r="G4432" s="48">
        <v>40160</v>
      </c>
      <c r="H4432" s="46" t="s">
        <v>40</v>
      </c>
      <c r="I4432" s="45">
        <v>15981</v>
      </c>
      <c r="J4432" s="45">
        <v>15981</v>
      </c>
      <c r="K4432" s="49" t="s">
        <v>2033</v>
      </c>
      <c r="L4432" s="45"/>
      <c r="M4432" s="3"/>
    </row>
    <row r="4433" spans="1:13" ht="25.5" x14ac:dyDescent="0.25">
      <c r="A4433" s="46" t="s">
        <v>2335</v>
      </c>
      <c r="B4433" s="46" t="s">
        <v>38</v>
      </c>
      <c r="C4433" s="46" t="s">
        <v>14</v>
      </c>
      <c r="D4433" s="47">
        <v>2159</v>
      </c>
      <c r="E4433" s="46" t="s">
        <v>2336</v>
      </c>
      <c r="F4433" s="48">
        <v>39469</v>
      </c>
      <c r="G4433" s="48">
        <v>39575</v>
      </c>
      <c r="H4433" s="46" t="s">
        <v>40</v>
      </c>
      <c r="I4433" s="45"/>
      <c r="J4433" s="45">
        <v>0</v>
      </c>
      <c r="K4433" s="49" t="s">
        <v>2033</v>
      </c>
      <c r="L4433" s="45"/>
      <c r="M4433" s="3"/>
    </row>
    <row r="4434" spans="1:13" ht="25.5" x14ac:dyDescent="0.25">
      <c r="A4434" s="46" t="s">
        <v>2337</v>
      </c>
      <c r="B4434" s="46" t="s">
        <v>38</v>
      </c>
      <c r="C4434" s="46" t="s">
        <v>14</v>
      </c>
      <c r="D4434" s="47">
        <v>2161</v>
      </c>
      <c r="E4434" s="46" t="s">
        <v>2338</v>
      </c>
      <c r="F4434" s="48">
        <v>39507</v>
      </c>
      <c r="G4434" s="48">
        <v>39507</v>
      </c>
      <c r="H4434" s="46" t="s">
        <v>40</v>
      </c>
      <c r="I4434" s="45">
        <v>625</v>
      </c>
      <c r="J4434" s="45">
        <v>625</v>
      </c>
      <c r="K4434" s="49" t="s">
        <v>2033</v>
      </c>
      <c r="L4434" s="45"/>
      <c r="M4434" s="3"/>
    </row>
    <row r="4435" spans="1:13" ht="25.5" x14ac:dyDescent="0.25">
      <c r="A4435" s="46" t="s">
        <v>2339</v>
      </c>
      <c r="B4435" s="46" t="s">
        <v>38</v>
      </c>
      <c r="C4435" s="46" t="s">
        <v>14</v>
      </c>
      <c r="D4435" s="47">
        <v>2164</v>
      </c>
      <c r="E4435" s="46" t="s">
        <v>2340</v>
      </c>
      <c r="F4435" s="48">
        <v>39510</v>
      </c>
      <c r="G4435" s="48">
        <v>39510</v>
      </c>
      <c r="H4435" s="46" t="s">
        <v>40</v>
      </c>
      <c r="I4435" s="45">
        <v>295</v>
      </c>
      <c r="J4435" s="45">
        <v>295</v>
      </c>
      <c r="K4435" s="49" t="s">
        <v>2033</v>
      </c>
      <c r="L4435" s="45"/>
      <c r="M4435" s="3"/>
    </row>
    <row r="4436" spans="1:13" ht="25.5" x14ac:dyDescent="0.25">
      <c r="A4436" s="46" t="s">
        <v>2341</v>
      </c>
      <c r="B4436" s="46" t="s">
        <v>38</v>
      </c>
      <c r="C4436" s="46" t="s">
        <v>14</v>
      </c>
      <c r="D4436" s="47">
        <v>2167</v>
      </c>
      <c r="E4436" s="46" t="s">
        <v>2342</v>
      </c>
      <c r="F4436" s="48">
        <v>39539</v>
      </c>
      <c r="G4436" s="48">
        <v>39575</v>
      </c>
      <c r="H4436" s="46" t="s">
        <v>40</v>
      </c>
      <c r="I4436" s="45">
        <v>2018.45</v>
      </c>
      <c r="J4436" s="45">
        <v>474.83</v>
      </c>
      <c r="K4436" s="49" t="s">
        <v>2033</v>
      </c>
      <c r="L4436" s="45"/>
      <c r="M4436" s="3"/>
    </row>
    <row r="4437" spans="1:13" ht="25.5" x14ac:dyDescent="0.25">
      <c r="A4437" s="46" t="s">
        <v>2343</v>
      </c>
      <c r="B4437" s="46" t="s">
        <v>38</v>
      </c>
      <c r="C4437" s="46" t="s">
        <v>14</v>
      </c>
      <c r="D4437" s="47">
        <v>2171</v>
      </c>
      <c r="E4437" s="46" t="s">
        <v>2344</v>
      </c>
      <c r="F4437" s="48">
        <v>39539</v>
      </c>
      <c r="G4437" s="48">
        <v>41274</v>
      </c>
      <c r="H4437" s="46" t="s">
        <v>40</v>
      </c>
      <c r="I4437" s="45">
        <f>24021.22+2863</f>
        <v>26884.22</v>
      </c>
      <c r="J4437" s="45">
        <f>16731.22+2863</f>
        <v>19594.22</v>
      </c>
      <c r="K4437" s="49" t="s">
        <v>2033</v>
      </c>
      <c r="L4437" s="45"/>
      <c r="M4437" s="3"/>
    </row>
    <row r="4438" spans="1:13" ht="38.25" x14ac:dyDescent="0.25">
      <c r="A4438" s="46" t="s">
        <v>2345</v>
      </c>
      <c r="B4438" s="46" t="s">
        <v>38</v>
      </c>
      <c r="C4438" s="46" t="s">
        <v>14</v>
      </c>
      <c r="D4438" s="47">
        <v>2178</v>
      </c>
      <c r="E4438" s="50" t="s">
        <v>2346</v>
      </c>
      <c r="F4438" s="48">
        <v>39549</v>
      </c>
      <c r="G4438" s="48">
        <v>40178</v>
      </c>
      <c r="H4438" s="46" t="s">
        <v>40</v>
      </c>
      <c r="I4438" s="45">
        <v>8343</v>
      </c>
      <c r="J4438" s="45">
        <v>8483</v>
      </c>
      <c r="K4438" s="49" t="s">
        <v>2033</v>
      </c>
      <c r="L4438" s="45"/>
      <c r="M4438" s="3"/>
    </row>
    <row r="4439" spans="1:13" ht="25.5" x14ac:dyDescent="0.25">
      <c r="A4439" s="46" t="s">
        <v>2347</v>
      </c>
      <c r="B4439" s="46" t="s">
        <v>38</v>
      </c>
      <c r="C4439" s="46" t="s">
        <v>14</v>
      </c>
      <c r="D4439" s="47">
        <v>2181</v>
      </c>
      <c r="E4439" s="46" t="s">
        <v>2348</v>
      </c>
      <c r="F4439" s="48">
        <v>39549</v>
      </c>
      <c r="G4439" s="48">
        <v>39696</v>
      </c>
      <c r="H4439" s="46" t="s">
        <v>40</v>
      </c>
      <c r="I4439" s="45">
        <v>2000</v>
      </c>
      <c r="J4439" s="45">
        <v>2000</v>
      </c>
      <c r="K4439" s="49" t="s">
        <v>2033</v>
      </c>
      <c r="L4439" s="45"/>
      <c r="M4439" s="3"/>
    </row>
    <row r="4440" spans="1:13" ht="25.5" x14ac:dyDescent="0.25">
      <c r="A4440" s="46" t="s">
        <v>433</v>
      </c>
      <c r="B4440" s="46" t="s">
        <v>38</v>
      </c>
      <c r="C4440" s="46" t="s">
        <v>14</v>
      </c>
      <c r="D4440" s="47">
        <v>2207</v>
      </c>
      <c r="E4440" s="46" t="s">
        <v>2349</v>
      </c>
      <c r="F4440" s="48">
        <v>39549</v>
      </c>
      <c r="G4440" s="48">
        <v>39549</v>
      </c>
      <c r="H4440" s="46" t="s">
        <v>40</v>
      </c>
      <c r="I4440" s="45">
        <v>363</v>
      </c>
      <c r="J4440" s="45">
        <v>363</v>
      </c>
      <c r="K4440" s="49" t="s">
        <v>2033</v>
      </c>
      <c r="L4440" s="45"/>
      <c r="M4440" s="3"/>
    </row>
    <row r="4441" spans="1:13" ht="25.5" x14ac:dyDescent="0.25">
      <c r="A4441" s="46" t="s">
        <v>2284</v>
      </c>
      <c r="B4441" s="46" t="s">
        <v>38</v>
      </c>
      <c r="C4441" s="46" t="s">
        <v>14</v>
      </c>
      <c r="D4441" s="47">
        <v>2214</v>
      </c>
      <c r="E4441" s="46" t="s">
        <v>2351</v>
      </c>
      <c r="F4441" s="48">
        <v>39575</v>
      </c>
      <c r="G4441" s="48">
        <v>39757</v>
      </c>
      <c r="H4441" s="46" t="s">
        <v>40</v>
      </c>
      <c r="I4441" s="45">
        <v>2688</v>
      </c>
      <c r="J4441" s="45">
        <v>2688</v>
      </c>
      <c r="K4441" s="49" t="s">
        <v>2033</v>
      </c>
      <c r="L4441" s="45"/>
      <c r="M4441" s="3"/>
    </row>
    <row r="4442" spans="1:13" ht="25.5" x14ac:dyDescent="0.25">
      <c r="A4442" s="46" t="s">
        <v>2352</v>
      </c>
      <c r="B4442" s="46" t="s">
        <v>38</v>
      </c>
      <c r="C4442" s="46" t="s">
        <v>14</v>
      </c>
      <c r="D4442" s="47">
        <v>2216</v>
      </c>
      <c r="E4442" s="46" t="s">
        <v>2353</v>
      </c>
      <c r="F4442" s="48">
        <v>39597</v>
      </c>
      <c r="G4442" s="48">
        <v>39722</v>
      </c>
      <c r="H4442" s="46" t="s">
        <v>40</v>
      </c>
      <c r="I4442" s="45">
        <v>624.26</v>
      </c>
      <c r="J4442" s="45">
        <v>624.26</v>
      </c>
      <c r="K4442" s="49" t="s">
        <v>2033</v>
      </c>
      <c r="L4442" s="45"/>
      <c r="M4442" s="3"/>
    </row>
    <row r="4443" spans="1:13" ht="38.25" x14ac:dyDescent="0.25">
      <c r="A4443" s="46" t="s">
        <v>2354</v>
      </c>
      <c r="B4443" s="46" t="s">
        <v>38</v>
      </c>
      <c r="C4443" s="46" t="s">
        <v>14</v>
      </c>
      <c r="D4443" s="47">
        <v>2218</v>
      </c>
      <c r="E4443" s="46" t="s">
        <v>2355</v>
      </c>
      <c r="F4443" s="48">
        <v>39659</v>
      </c>
      <c r="G4443" s="48">
        <v>41274</v>
      </c>
      <c r="H4443" s="46" t="s">
        <v>40</v>
      </c>
      <c r="I4443" s="45">
        <f>47944+5930.5</f>
        <v>53874.5</v>
      </c>
      <c r="J4443" s="45">
        <f>35704+5930.5</f>
        <v>41634.5</v>
      </c>
      <c r="K4443" s="49" t="s">
        <v>2033</v>
      </c>
      <c r="L4443" s="45"/>
      <c r="M4443" s="3"/>
    </row>
    <row r="4444" spans="1:13" ht="25.5" x14ac:dyDescent="0.25">
      <c r="A4444" s="46" t="s">
        <v>2284</v>
      </c>
      <c r="B4444" s="46" t="s">
        <v>38</v>
      </c>
      <c r="C4444" s="46" t="s">
        <v>14</v>
      </c>
      <c r="D4444" s="47">
        <v>2220</v>
      </c>
      <c r="E4444" s="46" t="s">
        <v>2356</v>
      </c>
      <c r="F4444" s="48">
        <v>39629</v>
      </c>
      <c r="G4444" s="48">
        <v>39728</v>
      </c>
      <c r="H4444" s="46" t="s">
        <v>40</v>
      </c>
      <c r="I4444" s="45">
        <v>1404.65</v>
      </c>
      <c r="J4444" s="45">
        <v>1404.65</v>
      </c>
      <c r="K4444" s="49" t="s">
        <v>2033</v>
      </c>
      <c r="L4444" s="45"/>
      <c r="M4444" s="3"/>
    </row>
    <row r="4445" spans="1:13" ht="25.5" x14ac:dyDescent="0.25">
      <c r="A4445" s="46" t="s">
        <v>2357</v>
      </c>
      <c r="B4445" s="46" t="s">
        <v>38</v>
      </c>
      <c r="C4445" s="46" t="s">
        <v>14</v>
      </c>
      <c r="D4445" s="47">
        <v>2367</v>
      </c>
      <c r="E4445" s="46" t="s">
        <v>2358</v>
      </c>
      <c r="F4445" s="48">
        <v>39659</v>
      </c>
      <c r="G4445" s="48">
        <v>39659</v>
      </c>
      <c r="H4445" s="46" t="s">
        <v>40</v>
      </c>
      <c r="I4445" s="45">
        <v>2355.6</v>
      </c>
      <c r="J4445" s="45">
        <v>1355.6</v>
      </c>
      <c r="K4445" s="49" t="s">
        <v>2033</v>
      </c>
      <c r="L4445" s="45"/>
      <c r="M4445" s="3"/>
    </row>
    <row r="4446" spans="1:13" ht="25.5" x14ac:dyDescent="0.25">
      <c r="A4446" s="46" t="s">
        <v>2359</v>
      </c>
      <c r="B4446" s="46" t="s">
        <v>38</v>
      </c>
      <c r="C4446" s="46" t="s">
        <v>14</v>
      </c>
      <c r="D4446" s="47">
        <v>2370</v>
      </c>
      <c r="E4446" s="46" t="s">
        <v>2360</v>
      </c>
      <c r="F4446" s="48">
        <v>39494</v>
      </c>
      <c r="G4446" s="48">
        <v>39696</v>
      </c>
      <c r="H4446" s="46" t="s">
        <v>40</v>
      </c>
      <c r="I4446" s="45">
        <v>1500</v>
      </c>
      <c r="J4446" s="45">
        <v>1500</v>
      </c>
      <c r="K4446" s="49" t="s">
        <v>2033</v>
      </c>
      <c r="L4446" s="45"/>
      <c r="M4446" s="3"/>
    </row>
    <row r="4447" spans="1:13" ht="25.5" x14ac:dyDescent="0.25">
      <c r="A4447" s="46" t="s">
        <v>2361</v>
      </c>
      <c r="B4447" s="46" t="s">
        <v>38</v>
      </c>
      <c r="C4447" s="46" t="s">
        <v>14</v>
      </c>
      <c r="D4447" s="47">
        <v>2374</v>
      </c>
      <c r="E4447" s="46" t="s">
        <v>2362</v>
      </c>
      <c r="F4447" s="48">
        <v>39494</v>
      </c>
      <c r="G4447" s="48">
        <v>39722</v>
      </c>
      <c r="H4447" s="46" t="s">
        <v>40</v>
      </c>
      <c r="I4447" s="45">
        <v>1250</v>
      </c>
      <c r="J4447" s="45">
        <v>1250</v>
      </c>
      <c r="K4447" s="49" t="s">
        <v>2033</v>
      </c>
      <c r="L4447" s="45"/>
      <c r="M4447" s="3"/>
    </row>
    <row r="4448" spans="1:13" ht="25.5" x14ac:dyDescent="0.25">
      <c r="A4448" s="46" t="s">
        <v>2365</v>
      </c>
      <c r="B4448" s="46" t="s">
        <v>38</v>
      </c>
      <c r="C4448" s="46" t="s">
        <v>14</v>
      </c>
      <c r="D4448" s="47">
        <v>2380</v>
      </c>
      <c r="E4448" s="46" t="s">
        <v>2366</v>
      </c>
      <c r="F4448" s="48">
        <v>39757</v>
      </c>
      <c r="G4448" s="48">
        <v>41274</v>
      </c>
      <c r="H4448" s="46" t="s">
        <v>40</v>
      </c>
      <c r="I4448" s="45">
        <f>600+400</f>
        <v>1000</v>
      </c>
      <c r="J4448" s="45">
        <f>600+400</f>
        <v>1000</v>
      </c>
      <c r="K4448" s="49" t="s">
        <v>2033</v>
      </c>
      <c r="L4448" s="45"/>
      <c r="M4448" s="3"/>
    </row>
    <row r="4449" spans="1:13" ht="25.5" x14ac:dyDescent="0.25">
      <c r="A4449" s="46" t="s">
        <v>2367</v>
      </c>
      <c r="B4449" s="46" t="s">
        <v>38</v>
      </c>
      <c r="C4449" s="46" t="s">
        <v>14</v>
      </c>
      <c r="D4449" s="47">
        <v>2382</v>
      </c>
      <c r="E4449" s="46" t="s">
        <v>2368</v>
      </c>
      <c r="F4449" s="48">
        <v>39757</v>
      </c>
      <c r="G4449" s="48">
        <v>39757</v>
      </c>
      <c r="H4449" s="46" t="s">
        <v>40</v>
      </c>
      <c r="I4449" s="45">
        <v>100</v>
      </c>
      <c r="J4449" s="45">
        <v>100</v>
      </c>
      <c r="K4449" s="49" t="s">
        <v>2033</v>
      </c>
      <c r="L4449" s="45"/>
      <c r="M4449" s="3"/>
    </row>
    <row r="4450" spans="1:13" ht="25.5" x14ac:dyDescent="0.25">
      <c r="A4450" s="46" t="s">
        <v>2367</v>
      </c>
      <c r="B4450" s="46" t="s">
        <v>38</v>
      </c>
      <c r="C4450" s="46" t="s">
        <v>14</v>
      </c>
      <c r="D4450" s="47">
        <v>2383</v>
      </c>
      <c r="E4450" s="46" t="s">
        <v>2368</v>
      </c>
      <c r="F4450" s="48">
        <v>39764</v>
      </c>
      <c r="G4450" s="48">
        <v>39764</v>
      </c>
      <c r="H4450" s="46" t="s">
        <v>40</v>
      </c>
      <c r="I4450" s="45">
        <v>100</v>
      </c>
      <c r="J4450" s="45">
        <v>100</v>
      </c>
      <c r="K4450" s="49" t="s">
        <v>2033</v>
      </c>
      <c r="L4450" s="45"/>
      <c r="M4450" s="3"/>
    </row>
    <row r="4451" spans="1:13" ht="25.5" x14ac:dyDescent="0.25">
      <c r="A4451" s="46" t="s">
        <v>2266</v>
      </c>
      <c r="B4451" s="46" t="s">
        <v>38</v>
      </c>
      <c r="C4451" s="46" t="s">
        <v>14</v>
      </c>
      <c r="D4451" s="47">
        <v>2385</v>
      </c>
      <c r="E4451" s="46" t="s">
        <v>2369</v>
      </c>
      <c r="F4451" s="48">
        <v>39479</v>
      </c>
      <c r="G4451" s="48">
        <v>39786</v>
      </c>
      <c r="H4451" s="46" t="s">
        <v>40</v>
      </c>
      <c r="I4451" s="45">
        <v>2970</v>
      </c>
      <c r="J4451" s="45">
        <v>2970</v>
      </c>
      <c r="K4451" s="49" t="s">
        <v>2033</v>
      </c>
      <c r="L4451" s="45"/>
      <c r="M4451" s="3"/>
    </row>
    <row r="4452" spans="1:13" ht="25.5" x14ac:dyDescent="0.25">
      <c r="A4452" s="46" t="s">
        <v>2367</v>
      </c>
      <c r="B4452" s="46" t="s">
        <v>38</v>
      </c>
      <c r="C4452" s="46" t="s">
        <v>14</v>
      </c>
      <c r="D4452" s="47">
        <v>2389</v>
      </c>
      <c r="E4452" s="46" t="s">
        <v>2370</v>
      </c>
      <c r="F4452" s="48">
        <v>39786</v>
      </c>
      <c r="G4452" s="48">
        <v>39786</v>
      </c>
      <c r="H4452" s="46" t="s">
        <v>40</v>
      </c>
      <c r="I4452" s="45">
        <v>100</v>
      </c>
      <c r="J4452" s="45">
        <v>100</v>
      </c>
      <c r="K4452" s="49" t="s">
        <v>2033</v>
      </c>
      <c r="L4452" s="45"/>
      <c r="M4452" s="3"/>
    </row>
    <row r="4453" spans="1:13" ht="25.5" x14ac:dyDescent="0.25">
      <c r="A4453" s="46" t="s">
        <v>2367</v>
      </c>
      <c r="B4453" s="46" t="s">
        <v>38</v>
      </c>
      <c r="C4453" s="46" t="s">
        <v>14</v>
      </c>
      <c r="D4453" s="47">
        <v>2391</v>
      </c>
      <c r="E4453" s="46" t="s">
        <v>2370</v>
      </c>
      <c r="F4453" s="48">
        <v>39786</v>
      </c>
      <c r="G4453" s="48">
        <v>39786</v>
      </c>
      <c r="H4453" s="46" t="s">
        <v>40</v>
      </c>
      <c r="I4453" s="45">
        <v>100</v>
      </c>
      <c r="J4453" s="45">
        <v>100</v>
      </c>
      <c r="K4453" s="49" t="s">
        <v>2033</v>
      </c>
      <c r="L4453" s="45"/>
      <c r="M4453" s="3"/>
    </row>
    <row r="4454" spans="1:13" ht="25.5" x14ac:dyDescent="0.25">
      <c r="A4454" s="46" t="s">
        <v>2371</v>
      </c>
      <c r="B4454" s="46" t="s">
        <v>38</v>
      </c>
      <c r="C4454" s="46" t="s">
        <v>14</v>
      </c>
      <c r="D4454" s="47">
        <v>2394</v>
      </c>
      <c r="E4454" s="46" t="s">
        <v>2372</v>
      </c>
      <c r="F4454" s="48">
        <v>39790</v>
      </c>
      <c r="G4454" s="48">
        <v>39790</v>
      </c>
      <c r="H4454" s="46" t="s">
        <v>40</v>
      </c>
      <c r="I4454" s="45">
        <v>2510</v>
      </c>
      <c r="J4454" s="45">
        <v>2510</v>
      </c>
      <c r="K4454" s="49" t="s">
        <v>2033</v>
      </c>
      <c r="L4454" s="45"/>
      <c r="M4454" s="3"/>
    </row>
    <row r="4455" spans="1:13" ht="38.25" x14ac:dyDescent="0.25">
      <c r="A4455" s="46" t="s">
        <v>2373</v>
      </c>
      <c r="B4455" s="46" t="s">
        <v>38</v>
      </c>
      <c r="C4455" s="46" t="s">
        <v>14</v>
      </c>
      <c r="D4455" s="47">
        <v>2396</v>
      </c>
      <c r="E4455" s="46" t="s">
        <v>2374</v>
      </c>
      <c r="F4455" s="48">
        <v>39494</v>
      </c>
      <c r="G4455" s="48">
        <v>41274</v>
      </c>
      <c r="H4455" s="46" t="s">
        <v>40</v>
      </c>
      <c r="I4455" s="45">
        <f>23928.61+5000</f>
        <v>28928.61</v>
      </c>
      <c r="J4455" s="45">
        <f>23928.61+5000</f>
        <v>28928.61</v>
      </c>
      <c r="K4455" s="49" t="s">
        <v>2033</v>
      </c>
      <c r="L4455" s="45"/>
      <c r="M4455" s="3"/>
    </row>
    <row r="4456" spans="1:13" ht="25.5" x14ac:dyDescent="0.25">
      <c r="A4456" s="46" t="s">
        <v>2375</v>
      </c>
      <c r="B4456" s="46" t="s">
        <v>38</v>
      </c>
      <c r="C4456" s="46" t="s">
        <v>14</v>
      </c>
      <c r="D4456" s="47">
        <v>2399</v>
      </c>
      <c r="E4456" s="46" t="s">
        <v>2376</v>
      </c>
      <c r="F4456" s="48">
        <v>39356</v>
      </c>
      <c r="G4456" s="48">
        <v>39798</v>
      </c>
      <c r="H4456" s="46" t="s">
        <v>40</v>
      </c>
      <c r="I4456" s="45">
        <v>2138.65</v>
      </c>
      <c r="J4456" s="45">
        <v>2138.65</v>
      </c>
      <c r="K4456" s="49" t="s">
        <v>2033</v>
      </c>
      <c r="L4456" s="45"/>
      <c r="M4456" s="3"/>
    </row>
    <row r="4457" spans="1:13" ht="25.5" x14ac:dyDescent="0.25">
      <c r="A4457" s="46" t="s">
        <v>2284</v>
      </c>
      <c r="B4457" s="46" t="s">
        <v>38</v>
      </c>
      <c r="C4457" s="46" t="s">
        <v>14</v>
      </c>
      <c r="D4457" s="47">
        <v>2405</v>
      </c>
      <c r="E4457" s="46" t="s">
        <v>2377</v>
      </c>
      <c r="F4457" s="48">
        <v>39580</v>
      </c>
      <c r="G4457" s="48">
        <v>40632</v>
      </c>
      <c r="H4457" s="46" t="s">
        <v>40</v>
      </c>
      <c r="I4457" s="45">
        <v>1240</v>
      </c>
      <c r="J4457" s="45">
        <v>1240</v>
      </c>
      <c r="K4457" s="49" t="s">
        <v>2033</v>
      </c>
      <c r="L4457" s="45"/>
      <c r="M4457" s="3"/>
    </row>
    <row r="4458" spans="1:13" ht="25.5" x14ac:dyDescent="0.25">
      <c r="A4458" s="46" t="s">
        <v>2378</v>
      </c>
      <c r="B4458" s="46" t="s">
        <v>38</v>
      </c>
      <c r="C4458" s="46" t="s">
        <v>14</v>
      </c>
      <c r="D4458" s="47">
        <v>2407</v>
      </c>
      <c r="E4458" s="46" t="s">
        <v>2379</v>
      </c>
      <c r="F4458" s="48">
        <v>39479</v>
      </c>
      <c r="G4458" s="48">
        <v>39800</v>
      </c>
      <c r="H4458" s="46" t="s">
        <v>40</v>
      </c>
      <c r="I4458" s="45">
        <v>5795</v>
      </c>
      <c r="J4458" s="45">
        <v>5795</v>
      </c>
      <c r="K4458" s="49" t="s">
        <v>2033</v>
      </c>
      <c r="L4458" s="45"/>
      <c r="M4458" s="3"/>
    </row>
    <row r="4459" spans="1:13" ht="25.5" x14ac:dyDescent="0.25">
      <c r="A4459" s="46" t="s">
        <v>2380</v>
      </c>
      <c r="B4459" s="46" t="s">
        <v>38</v>
      </c>
      <c r="C4459" s="46" t="s">
        <v>14</v>
      </c>
      <c r="D4459" s="47">
        <v>2580</v>
      </c>
      <c r="E4459" s="46" t="s">
        <v>2381</v>
      </c>
      <c r="F4459" s="48">
        <v>39448</v>
      </c>
      <c r="G4459" s="48">
        <v>39813</v>
      </c>
      <c r="H4459" s="46" t="s">
        <v>40</v>
      </c>
      <c r="I4459" s="45">
        <v>3674.32</v>
      </c>
      <c r="J4459" s="45">
        <v>3674.32</v>
      </c>
      <c r="K4459" s="49" t="s">
        <v>2033</v>
      </c>
      <c r="L4459" s="45"/>
      <c r="M4459" s="3"/>
    </row>
    <row r="4460" spans="1:13" ht="38.25" x14ac:dyDescent="0.25">
      <c r="A4460" s="46" t="s">
        <v>2411</v>
      </c>
      <c r="B4460" s="46" t="s">
        <v>38</v>
      </c>
      <c r="C4460" s="46" t="s">
        <v>14</v>
      </c>
      <c r="D4460" s="47">
        <v>5889</v>
      </c>
      <c r="E4460" s="46" t="s">
        <v>2412</v>
      </c>
      <c r="F4460" s="48">
        <v>39814</v>
      </c>
      <c r="G4460" s="48">
        <v>40891</v>
      </c>
      <c r="H4460" s="46" t="s">
        <v>40</v>
      </c>
      <c r="I4460" s="45">
        <v>900</v>
      </c>
      <c r="J4460" s="45">
        <v>900</v>
      </c>
      <c r="K4460" s="49" t="s">
        <v>2033</v>
      </c>
      <c r="L4460" s="45"/>
      <c r="M4460" s="3"/>
    </row>
    <row r="4461" spans="1:13" ht="25.5" x14ac:dyDescent="0.25">
      <c r="A4461" s="46" t="s">
        <v>2413</v>
      </c>
      <c r="B4461" s="46" t="s">
        <v>38</v>
      </c>
      <c r="C4461" s="46" t="s">
        <v>14</v>
      </c>
      <c r="D4461" s="47">
        <v>5890</v>
      </c>
      <c r="E4461" s="46" t="s">
        <v>2414</v>
      </c>
      <c r="F4461" s="48">
        <v>39953</v>
      </c>
      <c r="G4461" s="48">
        <v>41639</v>
      </c>
      <c r="H4461" s="46" t="s">
        <v>40</v>
      </c>
      <c r="I4461" s="45">
        <f>28040.53+5728.73</f>
        <v>33769.259999999995</v>
      </c>
      <c r="J4461" s="45">
        <f>14711.8+5728.73</f>
        <v>20440.53</v>
      </c>
      <c r="K4461" s="49" t="s">
        <v>2033</v>
      </c>
      <c r="L4461" s="45"/>
      <c r="M4461" s="3"/>
    </row>
    <row r="4462" spans="1:13" ht="38.25" x14ac:dyDescent="0.25">
      <c r="A4462" s="46" t="s">
        <v>2415</v>
      </c>
      <c r="B4462" s="46" t="s">
        <v>38</v>
      </c>
      <c r="C4462" s="46" t="s">
        <v>14</v>
      </c>
      <c r="D4462" s="47">
        <v>5891</v>
      </c>
      <c r="E4462" s="46" t="s">
        <v>2416</v>
      </c>
      <c r="F4462" s="48">
        <v>39953</v>
      </c>
      <c r="G4462" s="48">
        <v>41274</v>
      </c>
      <c r="H4462" s="46" t="s">
        <v>40</v>
      </c>
      <c r="I4462" s="45">
        <v>6505.55</v>
      </c>
      <c r="J4462" s="45">
        <v>6505.55</v>
      </c>
      <c r="K4462" s="49" t="s">
        <v>2033</v>
      </c>
      <c r="L4462" s="45"/>
      <c r="M4462" s="3"/>
    </row>
    <row r="4463" spans="1:13" ht="63.75" x14ac:dyDescent="0.25">
      <c r="A4463" s="46" t="s">
        <v>2417</v>
      </c>
      <c r="B4463" s="46" t="s">
        <v>38</v>
      </c>
      <c r="C4463" s="46" t="s">
        <v>14</v>
      </c>
      <c r="D4463" s="47">
        <v>5892</v>
      </c>
      <c r="E4463" s="50" t="s">
        <v>2418</v>
      </c>
      <c r="F4463" s="48">
        <v>39975</v>
      </c>
      <c r="G4463" s="48">
        <v>41274</v>
      </c>
      <c r="H4463" s="46" t="s">
        <v>40</v>
      </c>
      <c r="I4463" s="45">
        <f>37950+7950</f>
        <v>45900</v>
      </c>
      <c r="J4463" s="45">
        <f>24975+7950</f>
        <v>32925</v>
      </c>
      <c r="K4463" s="49" t="s">
        <v>2033</v>
      </c>
      <c r="L4463" s="45"/>
      <c r="M4463" s="3"/>
    </row>
    <row r="4464" spans="1:13" ht="25.5" x14ac:dyDescent="0.25">
      <c r="A4464" s="46" t="s">
        <v>2419</v>
      </c>
      <c r="B4464" s="46" t="s">
        <v>38</v>
      </c>
      <c r="C4464" s="46" t="s">
        <v>14</v>
      </c>
      <c r="D4464" s="47">
        <v>5893</v>
      </c>
      <c r="E4464" s="46" t="s">
        <v>2420</v>
      </c>
      <c r="F4464" s="48">
        <v>39975</v>
      </c>
      <c r="G4464" s="48">
        <v>41274</v>
      </c>
      <c r="H4464" s="46" t="s">
        <v>40</v>
      </c>
      <c r="I4464" s="45">
        <f>9639+1990</f>
        <v>11629</v>
      </c>
      <c r="J4464" s="45">
        <f>7579+1990</f>
        <v>9569</v>
      </c>
      <c r="K4464" s="49" t="s">
        <v>2033</v>
      </c>
      <c r="L4464" s="45"/>
      <c r="M4464" s="3"/>
    </row>
    <row r="4465" spans="1:13" ht="25.5" x14ac:dyDescent="0.25">
      <c r="A4465" s="46" t="s">
        <v>2421</v>
      </c>
      <c r="B4465" s="46" t="s">
        <v>38</v>
      </c>
      <c r="C4465" s="46" t="s">
        <v>14</v>
      </c>
      <c r="D4465" s="47">
        <v>5894</v>
      </c>
      <c r="E4465" s="46" t="s">
        <v>2422</v>
      </c>
      <c r="F4465" s="48">
        <v>40016</v>
      </c>
      <c r="G4465" s="48">
        <v>40178</v>
      </c>
      <c r="H4465" s="46" t="s">
        <v>40</v>
      </c>
      <c r="I4465" s="45">
        <v>1610</v>
      </c>
      <c r="J4465" s="45">
        <v>1180</v>
      </c>
      <c r="K4465" s="49" t="s">
        <v>2033</v>
      </c>
      <c r="L4465" s="45"/>
      <c r="M4465" s="3"/>
    </row>
    <row r="4466" spans="1:13" ht="25.5" x14ac:dyDescent="0.25">
      <c r="A4466" s="46" t="s">
        <v>2423</v>
      </c>
      <c r="B4466" s="46" t="s">
        <v>38</v>
      </c>
      <c r="C4466" s="46" t="s">
        <v>14</v>
      </c>
      <c r="D4466" s="47">
        <v>5895</v>
      </c>
      <c r="E4466" s="46" t="s">
        <v>2424</v>
      </c>
      <c r="F4466" s="48">
        <v>40087</v>
      </c>
      <c r="G4466" s="48">
        <v>40178</v>
      </c>
      <c r="H4466" s="46" t="s">
        <v>40</v>
      </c>
      <c r="I4466" s="45">
        <v>226.38</v>
      </c>
      <c r="J4466" s="45">
        <v>226.38</v>
      </c>
      <c r="K4466" s="49" t="s">
        <v>2033</v>
      </c>
      <c r="L4466" s="45"/>
      <c r="M4466" s="3"/>
    </row>
    <row r="4467" spans="1:13" ht="38.25" x14ac:dyDescent="0.25">
      <c r="A4467" s="46" t="s">
        <v>2354</v>
      </c>
      <c r="B4467" s="46" t="s">
        <v>38</v>
      </c>
      <c r="C4467" s="46" t="s">
        <v>14</v>
      </c>
      <c r="D4467" s="47">
        <v>5896</v>
      </c>
      <c r="E4467" s="46" t="s">
        <v>2425</v>
      </c>
      <c r="F4467" s="48">
        <v>40105</v>
      </c>
      <c r="G4467" s="48">
        <v>40891</v>
      </c>
      <c r="H4467" s="46" t="s">
        <v>40</v>
      </c>
      <c r="I4467" s="45">
        <f>42052.93+12240</f>
        <v>54292.93</v>
      </c>
      <c r="J4467" s="45">
        <f>33382.93+12240</f>
        <v>45622.93</v>
      </c>
      <c r="K4467" s="49" t="s">
        <v>2033</v>
      </c>
      <c r="L4467" s="45"/>
      <c r="M4467" s="3"/>
    </row>
    <row r="4468" spans="1:13" ht="38.25" x14ac:dyDescent="0.25">
      <c r="A4468" s="46" t="s">
        <v>2426</v>
      </c>
      <c r="B4468" s="46" t="s">
        <v>38</v>
      </c>
      <c r="C4468" s="46" t="s">
        <v>14</v>
      </c>
      <c r="D4468" s="47">
        <v>5897</v>
      </c>
      <c r="E4468" s="46" t="s">
        <v>2427</v>
      </c>
      <c r="F4468" s="48">
        <v>40134</v>
      </c>
      <c r="G4468" s="48">
        <v>40178</v>
      </c>
      <c r="H4468" s="46" t="s">
        <v>40</v>
      </c>
      <c r="I4468" s="45">
        <v>1200</v>
      </c>
      <c r="J4468" s="45">
        <v>1200</v>
      </c>
      <c r="K4468" s="49" t="s">
        <v>2033</v>
      </c>
      <c r="L4468" s="45"/>
      <c r="M4468" s="3"/>
    </row>
    <row r="4469" spans="1:13" ht="25.5" x14ac:dyDescent="0.25">
      <c r="A4469" s="46" t="s">
        <v>2428</v>
      </c>
      <c r="B4469" s="46" t="s">
        <v>38</v>
      </c>
      <c r="C4469" s="46" t="s">
        <v>14</v>
      </c>
      <c r="D4469" s="47">
        <v>5898</v>
      </c>
      <c r="E4469" s="46" t="s">
        <v>2429</v>
      </c>
      <c r="F4469" s="48">
        <v>40149</v>
      </c>
      <c r="G4469" s="48">
        <v>40178</v>
      </c>
      <c r="H4469" s="46" t="s">
        <v>40</v>
      </c>
      <c r="I4469" s="45">
        <v>1616</v>
      </c>
      <c r="J4469" s="45">
        <v>1456</v>
      </c>
      <c r="K4469" s="49" t="s">
        <v>2033</v>
      </c>
      <c r="L4469" s="45"/>
      <c r="M4469" s="3"/>
    </row>
    <row r="4470" spans="1:13" ht="51" x14ac:dyDescent="0.25">
      <c r="A4470" s="46" t="s">
        <v>2430</v>
      </c>
      <c r="B4470" s="46" t="s">
        <v>38</v>
      </c>
      <c r="C4470" s="46" t="s">
        <v>14</v>
      </c>
      <c r="D4470" s="47">
        <v>5899</v>
      </c>
      <c r="E4470" s="50" t="s">
        <v>2431</v>
      </c>
      <c r="F4470" s="48">
        <v>40087</v>
      </c>
      <c r="G4470" s="48">
        <v>40178</v>
      </c>
      <c r="H4470" s="46" t="s">
        <v>40</v>
      </c>
      <c r="I4470" s="45">
        <v>29750</v>
      </c>
      <c r="J4470" s="45">
        <v>29500</v>
      </c>
      <c r="K4470" s="49" t="s">
        <v>2033</v>
      </c>
      <c r="L4470" s="45"/>
      <c r="M4470" s="3"/>
    </row>
    <row r="4471" spans="1:13" ht="25.5" x14ac:dyDescent="0.25">
      <c r="A4471" s="46" t="s">
        <v>2432</v>
      </c>
      <c r="B4471" s="46" t="s">
        <v>38</v>
      </c>
      <c r="C4471" s="46" t="s">
        <v>14</v>
      </c>
      <c r="D4471" s="47">
        <v>5900</v>
      </c>
      <c r="E4471" s="46" t="s">
        <v>2433</v>
      </c>
      <c r="F4471" s="48">
        <v>40087</v>
      </c>
      <c r="G4471" s="48">
        <v>40178</v>
      </c>
      <c r="H4471" s="46" t="s">
        <v>40</v>
      </c>
      <c r="I4471" s="45">
        <v>1588.72</v>
      </c>
      <c r="J4471" s="45">
        <v>1438.72</v>
      </c>
      <c r="K4471" s="49" t="s">
        <v>2033</v>
      </c>
      <c r="L4471" s="45"/>
      <c r="M4471" s="3"/>
    </row>
    <row r="4472" spans="1:13" ht="25.5" x14ac:dyDescent="0.25">
      <c r="A4472" s="46" t="s">
        <v>2284</v>
      </c>
      <c r="B4472" s="46" t="s">
        <v>38</v>
      </c>
      <c r="C4472" s="46" t="s">
        <v>14</v>
      </c>
      <c r="D4472" s="47">
        <v>7703</v>
      </c>
      <c r="E4472" s="46" t="s">
        <v>2470</v>
      </c>
      <c r="F4472" s="48">
        <v>40372</v>
      </c>
      <c r="G4472" s="48">
        <v>40598</v>
      </c>
      <c r="H4472" s="46" t="s">
        <v>40</v>
      </c>
      <c r="I4472" s="45">
        <v>1119.25</v>
      </c>
      <c r="J4472" s="45">
        <v>1119.25</v>
      </c>
      <c r="K4472" s="49" t="s">
        <v>2033</v>
      </c>
      <c r="L4472" s="45"/>
      <c r="M4472" s="3"/>
    </row>
    <row r="4473" spans="1:13" ht="38.25" x14ac:dyDescent="0.25">
      <c r="A4473" s="46" t="s">
        <v>2284</v>
      </c>
      <c r="B4473" s="46" t="s">
        <v>38</v>
      </c>
      <c r="C4473" s="46" t="s">
        <v>14</v>
      </c>
      <c r="D4473" s="47">
        <v>7704</v>
      </c>
      <c r="E4473" s="46" t="s">
        <v>2471</v>
      </c>
      <c r="F4473" s="48">
        <v>40317</v>
      </c>
      <c r="G4473" s="48">
        <v>40819</v>
      </c>
      <c r="H4473" s="46" t="s">
        <v>40</v>
      </c>
      <c r="I4473" s="45">
        <v>3330</v>
      </c>
      <c r="J4473" s="45">
        <v>3230</v>
      </c>
      <c r="K4473" s="49" t="s">
        <v>2033</v>
      </c>
      <c r="L4473" s="45"/>
      <c r="M4473" s="3"/>
    </row>
    <row r="4474" spans="1:13" ht="38.25" x14ac:dyDescent="0.25">
      <c r="A4474" s="46" t="s">
        <v>2472</v>
      </c>
      <c r="B4474" s="46" t="s">
        <v>38</v>
      </c>
      <c r="C4474" s="46" t="s">
        <v>14</v>
      </c>
      <c r="D4474" s="47">
        <v>7705</v>
      </c>
      <c r="E4474" s="46" t="s">
        <v>2473</v>
      </c>
      <c r="F4474" s="48">
        <v>40436</v>
      </c>
      <c r="G4474" s="48">
        <v>40436</v>
      </c>
      <c r="H4474" s="46" t="s">
        <v>40</v>
      </c>
      <c r="I4474" s="45">
        <v>3049</v>
      </c>
      <c r="J4474" s="45">
        <v>3049</v>
      </c>
      <c r="K4474" s="49" t="s">
        <v>2033</v>
      </c>
      <c r="L4474" s="45"/>
      <c r="M4474" s="3"/>
    </row>
    <row r="4475" spans="1:13" ht="25.5" x14ac:dyDescent="0.25">
      <c r="A4475" s="46" t="s">
        <v>2474</v>
      </c>
      <c r="B4475" s="46" t="s">
        <v>38</v>
      </c>
      <c r="C4475" s="46" t="s">
        <v>14</v>
      </c>
      <c r="D4475" s="47">
        <v>7707</v>
      </c>
      <c r="E4475" s="46" t="s">
        <v>2475</v>
      </c>
      <c r="F4475" s="48">
        <v>40211</v>
      </c>
      <c r="G4475" s="48">
        <v>40211</v>
      </c>
      <c r="H4475" s="46" t="s">
        <v>40</v>
      </c>
      <c r="I4475" s="45">
        <v>555</v>
      </c>
      <c r="J4475" s="45">
        <v>555</v>
      </c>
      <c r="K4475" s="49" t="s">
        <v>2033</v>
      </c>
      <c r="L4475" s="45"/>
      <c r="M4475" s="3"/>
    </row>
    <row r="4476" spans="1:13" ht="25.5" x14ac:dyDescent="0.25">
      <c r="A4476" s="46" t="s">
        <v>2476</v>
      </c>
      <c r="B4476" s="46" t="s">
        <v>38</v>
      </c>
      <c r="C4476" s="46" t="s">
        <v>14</v>
      </c>
      <c r="D4476" s="47">
        <v>7708</v>
      </c>
      <c r="E4476" s="46" t="s">
        <v>2477</v>
      </c>
      <c r="F4476" s="48">
        <v>40528</v>
      </c>
      <c r="G4476" s="48">
        <v>41274</v>
      </c>
      <c r="H4476" s="46" t="s">
        <v>40</v>
      </c>
      <c r="I4476" s="45">
        <f>8322.5+1658.5</f>
        <v>9981</v>
      </c>
      <c r="J4476" s="45">
        <f>4111.5+1658.5</f>
        <v>5770</v>
      </c>
      <c r="K4476" s="49" t="s">
        <v>2033</v>
      </c>
      <c r="L4476" s="45"/>
      <c r="M4476" s="3"/>
    </row>
    <row r="4477" spans="1:13" ht="51" x14ac:dyDescent="0.25">
      <c r="A4477" s="46" t="s">
        <v>2284</v>
      </c>
      <c r="B4477" s="46" t="s">
        <v>38</v>
      </c>
      <c r="C4477" s="46" t="s">
        <v>14</v>
      </c>
      <c r="D4477" s="47">
        <v>7709</v>
      </c>
      <c r="E4477" s="50" t="s">
        <v>2478</v>
      </c>
      <c r="F4477" s="48">
        <v>40179</v>
      </c>
      <c r="G4477" s="48">
        <v>41274</v>
      </c>
      <c r="H4477" s="46" t="s">
        <v>40</v>
      </c>
      <c r="I4477" s="45">
        <f>22587.29+24135.93</f>
        <v>46723.22</v>
      </c>
      <c r="J4477" s="45">
        <f>22587.29+24135.93</f>
        <v>46723.22</v>
      </c>
      <c r="K4477" s="49" t="s">
        <v>2033</v>
      </c>
      <c r="L4477" s="45"/>
      <c r="M4477" s="3"/>
    </row>
    <row r="4478" spans="1:13" ht="38.25" x14ac:dyDescent="0.25">
      <c r="A4478" s="46" t="s">
        <v>2479</v>
      </c>
      <c r="B4478" s="46" t="s">
        <v>38</v>
      </c>
      <c r="C4478" s="46" t="s">
        <v>14</v>
      </c>
      <c r="D4478" s="47">
        <v>7710</v>
      </c>
      <c r="E4478" s="46" t="s">
        <v>2480</v>
      </c>
      <c r="F4478" s="48">
        <v>40179</v>
      </c>
      <c r="G4478" s="48">
        <v>41274</v>
      </c>
      <c r="H4478" s="46" t="s">
        <v>40</v>
      </c>
      <c r="I4478" s="45">
        <v>19815</v>
      </c>
      <c r="J4478" s="45">
        <v>19515</v>
      </c>
      <c r="K4478" s="49" t="s">
        <v>2033</v>
      </c>
      <c r="L4478" s="45"/>
      <c r="M4478" s="3"/>
    </row>
    <row r="4479" spans="1:13" ht="25.5" x14ac:dyDescent="0.25">
      <c r="A4479" s="46" t="s">
        <v>2481</v>
      </c>
      <c r="B4479" s="46" t="s">
        <v>38</v>
      </c>
      <c r="C4479" s="46" t="s">
        <v>14</v>
      </c>
      <c r="D4479" s="47">
        <v>7711</v>
      </c>
      <c r="E4479" s="46" t="s">
        <v>2482</v>
      </c>
      <c r="F4479" s="48">
        <v>40535</v>
      </c>
      <c r="G4479" s="48">
        <v>40535</v>
      </c>
      <c r="H4479" s="46" t="s">
        <v>40</v>
      </c>
      <c r="I4479" s="45">
        <v>188.97</v>
      </c>
      <c r="J4479" s="45">
        <v>188.97</v>
      </c>
      <c r="K4479" s="49" t="s">
        <v>2033</v>
      </c>
      <c r="L4479" s="45"/>
      <c r="M4479" s="3"/>
    </row>
    <row r="4480" spans="1:13" ht="38.25" x14ac:dyDescent="0.25">
      <c r="A4480" s="46" t="s">
        <v>2483</v>
      </c>
      <c r="B4480" s="46" t="s">
        <v>38</v>
      </c>
      <c r="C4480" s="46" t="s">
        <v>14</v>
      </c>
      <c r="D4480" s="47">
        <v>7712</v>
      </c>
      <c r="E4480" s="50" t="s">
        <v>2484</v>
      </c>
      <c r="F4480" s="48">
        <v>40217</v>
      </c>
      <c r="G4480" s="48">
        <v>40891</v>
      </c>
      <c r="H4480" s="46" t="s">
        <v>40</v>
      </c>
      <c r="I4480" s="45">
        <f>29521.14+25000</f>
        <v>54521.14</v>
      </c>
      <c r="J4480" s="45">
        <f>29521.14+25000</f>
        <v>54521.14</v>
      </c>
      <c r="K4480" s="49" t="s">
        <v>2033</v>
      </c>
      <c r="L4480" s="45"/>
      <c r="M4480" s="3"/>
    </row>
    <row r="4481" spans="1:13" ht="25.5" x14ac:dyDescent="0.25">
      <c r="A4481" s="46" t="s">
        <v>2485</v>
      </c>
      <c r="B4481" s="46" t="s">
        <v>38</v>
      </c>
      <c r="C4481" s="46" t="s">
        <v>14</v>
      </c>
      <c r="D4481" s="47">
        <v>7713</v>
      </c>
      <c r="E4481" s="46" t="s">
        <v>2486</v>
      </c>
      <c r="F4481" s="48">
        <v>40420</v>
      </c>
      <c r="G4481" s="48">
        <v>41274</v>
      </c>
      <c r="H4481" s="46" t="s">
        <v>40</v>
      </c>
      <c r="I4481" s="45">
        <f>17750+5000</f>
        <v>22750</v>
      </c>
      <c r="J4481" s="45">
        <v>17750</v>
      </c>
      <c r="K4481" s="49" t="s">
        <v>2033</v>
      </c>
      <c r="L4481" s="45"/>
      <c r="M4481" s="3"/>
    </row>
    <row r="4482" spans="1:13" ht="38.25" x14ac:dyDescent="0.25">
      <c r="A4482" s="46" t="s">
        <v>2487</v>
      </c>
      <c r="B4482" s="46" t="s">
        <v>38</v>
      </c>
      <c r="C4482" s="46" t="s">
        <v>14</v>
      </c>
      <c r="D4482" s="47">
        <v>7714</v>
      </c>
      <c r="E4482" s="46" t="s">
        <v>2488</v>
      </c>
      <c r="F4482" s="48">
        <v>40382</v>
      </c>
      <c r="G4482" s="48">
        <v>41274</v>
      </c>
      <c r="H4482" s="46" t="s">
        <v>40</v>
      </c>
      <c r="I4482" s="45">
        <f>15652.14+4157.93</f>
        <v>19810.07</v>
      </c>
      <c r="J4482" s="45">
        <f>15252.14+4157.93</f>
        <v>19410.07</v>
      </c>
      <c r="K4482" s="49" t="s">
        <v>2033</v>
      </c>
      <c r="L4482" s="45"/>
      <c r="M4482" s="3"/>
    </row>
    <row r="4483" spans="1:13" ht="38.25" x14ac:dyDescent="0.25">
      <c r="A4483" s="46" t="s">
        <v>2489</v>
      </c>
      <c r="B4483" s="46" t="s">
        <v>38</v>
      </c>
      <c r="C4483" s="46" t="s">
        <v>14</v>
      </c>
      <c r="D4483" s="47">
        <v>7715</v>
      </c>
      <c r="E4483" s="46" t="s">
        <v>2490</v>
      </c>
      <c r="F4483" s="48">
        <v>40494</v>
      </c>
      <c r="G4483" s="48">
        <v>40840</v>
      </c>
      <c r="H4483" s="46" t="s">
        <v>40</v>
      </c>
      <c r="I4483" s="45">
        <v>14788.72</v>
      </c>
      <c r="J4483" s="45">
        <v>7394.36</v>
      </c>
      <c r="K4483" s="49" t="s">
        <v>2033</v>
      </c>
      <c r="L4483" s="45"/>
      <c r="M4483" s="3"/>
    </row>
    <row r="4484" spans="1:13" ht="25.5" x14ac:dyDescent="0.25">
      <c r="A4484" s="46" t="s">
        <v>2491</v>
      </c>
      <c r="B4484" s="46" t="s">
        <v>38</v>
      </c>
      <c r="C4484" s="46" t="s">
        <v>14</v>
      </c>
      <c r="D4484" s="47">
        <v>7716</v>
      </c>
      <c r="E4484" s="46" t="s">
        <v>2492</v>
      </c>
      <c r="F4484" s="48">
        <v>40262</v>
      </c>
      <c r="G4484" s="48">
        <v>40387</v>
      </c>
      <c r="H4484" s="46" t="s">
        <v>40</v>
      </c>
      <c r="I4484" s="45">
        <f>1229.37+1210.17</f>
        <v>2439.54</v>
      </c>
      <c r="J4484" s="45">
        <f>1210.17+1229.37</f>
        <v>2439.54</v>
      </c>
      <c r="K4484" s="49" t="s">
        <v>2033</v>
      </c>
      <c r="L4484" s="45"/>
      <c r="M4484" s="3"/>
    </row>
    <row r="4485" spans="1:13" ht="25.5" x14ac:dyDescent="0.25">
      <c r="A4485" s="46" t="s">
        <v>2493</v>
      </c>
      <c r="B4485" s="46" t="s">
        <v>38</v>
      </c>
      <c r="C4485" s="46" t="s">
        <v>14</v>
      </c>
      <c r="D4485" s="47">
        <v>7717</v>
      </c>
      <c r="E4485" s="46" t="s">
        <v>2494</v>
      </c>
      <c r="F4485" s="48">
        <v>40529</v>
      </c>
      <c r="G4485" s="48">
        <v>40529</v>
      </c>
      <c r="H4485" s="46" t="s">
        <v>40</v>
      </c>
      <c r="I4485" s="45">
        <v>1500</v>
      </c>
      <c r="J4485" s="45">
        <v>1500</v>
      </c>
      <c r="K4485" s="49" t="s">
        <v>2033</v>
      </c>
      <c r="L4485" s="45"/>
      <c r="M4485" s="3"/>
    </row>
    <row r="4486" spans="1:13" ht="38.25" x14ac:dyDescent="0.25">
      <c r="A4486" s="46" t="s">
        <v>2527</v>
      </c>
      <c r="B4486" s="46" t="s">
        <v>38</v>
      </c>
      <c r="C4486" s="46" t="s">
        <v>14</v>
      </c>
      <c r="D4486" s="47">
        <v>8965</v>
      </c>
      <c r="E4486" s="46" t="s">
        <v>2528</v>
      </c>
      <c r="F4486" s="48">
        <v>40840</v>
      </c>
      <c r="G4486" s="48">
        <v>41639</v>
      </c>
      <c r="H4486" s="46" t="s">
        <v>40</v>
      </c>
      <c r="I4486" s="45">
        <f>9000+4440</f>
        <v>13440</v>
      </c>
      <c r="J4486" s="45">
        <f>2985+4440</f>
        <v>7425</v>
      </c>
      <c r="K4486" s="49" t="s">
        <v>2033</v>
      </c>
      <c r="L4486" s="45"/>
      <c r="M4486" s="3"/>
    </row>
    <row r="4487" spans="1:13" ht="25.5" x14ac:dyDescent="0.25">
      <c r="A4487" s="46" t="s">
        <v>2284</v>
      </c>
      <c r="B4487" s="46" t="s">
        <v>38</v>
      </c>
      <c r="C4487" s="46" t="s">
        <v>14</v>
      </c>
      <c r="D4487" s="47">
        <v>8968</v>
      </c>
      <c r="E4487" s="46" t="s">
        <v>2529</v>
      </c>
      <c r="F4487" s="48">
        <v>40544</v>
      </c>
      <c r="G4487" s="48">
        <v>40819</v>
      </c>
      <c r="H4487" s="46" t="s">
        <v>40</v>
      </c>
      <c r="I4487" s="45">
        <v>447.7</v>
      </c>
      <c r="J4487" s="45">
        <v>447.7</v>
      </c>
      <c r="K4487" s="49" t="s">
        <v>2033</v>
      </c>
      <c r="L4487" s="45"/>
      <c r="M4487" s="3"/>
    </row>
    <row r="4488" spans="1:13" ht="25.5" x14ac:dyDescent="0.25">
      <c r="A4488" s="46" t="s">
        <v>2284</v>
      </c>
      <c r="B4488" s="46" t="s">
        <v>38</v>
      </c>
      <c r="C4488" s="46" t="s">
        <v>14</v>
      </c>
      <c r="D4488" s="47">
        <v>8971</v>
      </c>
      <c r="E4488" s="46" t="s">
        <v>2530</v>
      </c>
      <c r="F4488" s="48">
        <v>40544</v>
      </c>
      <c r="G4488" s="48">
        <v>40882</v>
      </c>
      <c r="H4488" s="46" t="s">
        <v>40</v>
      </c>
      <c r="I4488" s="45">
        <v>925</v>
      </c>
      <c r="J4488" s="45">
        <v>925</v>
      </c>
      <c r="K4488" s="49" t="s">
        <v>2033</v>
      </c>
      <c r="L4488" s="45"/>
      <c r="M4488" s="3"/>
    </row>
    <row r="4489" spans="1:13" ht="25.5" x14ac:dyDescent="0.25">
      <c r="A4489" s="46" t="s">
        <v>2531</v>
      </c>
      <c r="B4489" s="46" t="s">
        <v>38</v>
      </c>
      <c r="C4489" s="46" t="s">
        <v>14</v>
      </c>
      <c r="D4489" s="47">
        <v>8972</v>
      </c>
      <c r="E4489" s="46" t="s">
        <v>2532</v>
      </c>
      <c r="F4489" s="48">
        <v>40544</v>
      </c>
      <c r="G4489" s="48">
        <v>40863</v>
      </c>
      <c r="H4489" s="46" t="s">
        <v>40</v>
      </c>
      <c r="I4489" s="45">
        <v>423.5</v>
      </c>
      <c r="J4489" s="45">
        <v>423.5</v>
      </c>
      <c r="K4489" s="49" t="s">
        <v>2033</v>
      </c>
      <c r="L4489" s="45"/>
      <c r="M4489" s="3"/>
    </row>
    <row r="4490" spans="1:13" ht="25.5" x14ac:dyDescent="0.25">
      <c r="A4490" s="46" t="s">
        <v>2284</v>
      </c>
      <c r="B4490" s="46" t="s">
        <v>38</v>
      </c>
      <c r="C4490" s="46" t="s">
        <v>14</v>
      </c>
      <c r="D4490" s="47">
        <v>8973</v>
      </c>
      <c r="E4490" s="46" t="s">
        <v>2533</v>
      </c>
      <c r="F4490" s="48">
        <v>40544</v>
      </c>
      <c r="G4490" s="48">
        <v>40882</v>
      </c>
      <c r="H4490" s="46" t="s">
        <v>40</v>
      </c>
      <c r="I4490" s="45">
        <v>555</v>
      </c>
      <c r="J4490" s="45">
        <v>555</v>
      </c>
      <c r="K4490" s="49" t="s">
        <v>2033</v>
      </c>
      <c r="L4490" s="45"/>
      <c r="M4490" s="3"/>
    </row>
    <row r="4491" spans="1:13" ht="25.5" x14ac:dyDescent="0.25">
      <c r="A4491" s="46" t="s">
        <v>2284</v>
      </c>
      <c r="B4491" s="46" t="s">
        <v>38</v>
      </c>
      <c r="C4491" s="46" t="s">
        <v>14</v>
      </c>
      <c r="D4491" s="47">
        <v>8974</v>
      </c>
      <c r="E4491" s="46" t="s">
        <v>2534</v>
      </c>
      <c r="F4491" s="48">
        <v>40891</v>
      </c>
      <c r="G4491" s="48">
        <v>40891</v>
      </c>
      <c r="H4491" s="46" t="s">
        <v>40</v>
      </c>
      <c r="I4491" s="45">
        <v>148</v>
      </c>
      <c r="J4491" s="45">
        <v>148</v>
      </c>
      <c r="K4491" s="49" t="s">
        <v>2033</v>
      </c>
      <c r="L4491" s="45"/>
      <c r="M4491" s="3"/>
    </row>
    <row r="4492" spans="1:13" ht="25.5" x14ac:dyDescent="0.25">
      <c r="A4492" s="46" t="s">
        <v>2284</v>
      </c>
      <c r="B4492" s="46" t="s">
        <v>38</v>
      </c>
      <c r="C4492" s="46" t="s">
        <v>14</v>
      </c>
      <c r="D4492" s="47">
        <v>8975</v>
      </c>
      <c r="E4492" s="46" t="s">
        <v>2535</v>
      </c>
      <c r="F4492" s="48">
        <v>40544</v>
      </c>
      <c r="G4492" s="48">
        <v>40863</v>
      </c>
      <c r="H4492" s="46" t="s">
        <v>40</v>
      </c>
      <c r="I4492" s="45">
        <v>350</v>
      </c>
      <c r="J4492" s="45">
        <v>350</v>
      </c>
      <c r="K4492" s="49" t="s">
        <v>2033</v>
      </c>
      <c r="L4492" s="45"/>
      <c r="M4492" s="3"/>
    </row>
    <row r="4493" spans="1:13" ht="25.5" x14ac:dyDescent="0.25">
      <c r="A4493" s="46" t="s">
        <v>2536</v>
      </c>
      <c r="B4493" s="46" t="s">
        <v>38</v>
      </c>
      <c r="C4493" s="46" t="s">
        <v>14</v>
      </c>
      <c r="D4493" s="47">
        <v>8976</v>
      </c>
      <c r="E4493" s="46" t="s">
        <v>2537</v>
      </c>
      <c r="F4493" s="48">
        <v>40544</v>
      </c>
      <c r="G4493" s="48">
        <v>41274</v>
      </c>
      <c r="H4493" s="46" t="s">
        <v>40</v>
      </c>
      <c r="I4493" s="45">
        <f>7570+3170</f>
        <v>10740</v>
      </c>
      <c r="J4493" s="45">
        <f>6190+3170</f>
        <v>9360</v>
      </c>
      <c r="K4493" s="49" t="s">
        <v>2033</v>
      </c>
      <c r="L4493" s="45"/>
      <c r="M4493" s="3"/>
    </row>
    <row r="4494" spans="1:13" ht="25.5" x14ac:dyDescent="0.25">
      <c r="A4494" s="46" t="s">
        <v>2538</v>
      </c>
      <c r="B4494" s="46" t="s">
        <v>38</v>
      </c>
      <c r="C4494" s="46" t="s">
        <v>14</v>
      </c>
      <c r="D4494" s="47">
        <v>8977</v>
      </c>
      <c r="E4494" s="46" t="s">
        <v>2539</v>
      </c>
      <c r="F4494" s="48">
        <v>40544</v>
      </c>
      <c r="G4494" s="48">
        <v>41274</v>
      </c>
      <c r="H4494" s="46" t="s">
        <v>40</v>
      </c>
      <c r="I4494" s="45">
        <v>5807.75</v>
      </c>
      <c r="J4494" s="45">
        <v>4077</v>
      </c>
      <c r="K4494" s="49" t="s">
        <v>2033</v>
      </c>
      <c r="L4494" s="45"/>
      <c r="M4494" s="3"/>
    </row>
    <row r="4495" spans="1:13" ht="25.5" x14ac:dyDescent="0.25">
      <c r="A4495" s="46" t="s">
        <v>2540</v>
      </c>
      <c r="B4495" s="46" t="s">
        <v>38</v>
      </c>
      <c r="C4495" s="46" t="s">
        <v>14</v>
      </c>
      <c r="D4495" s="47">
        <v>8978</v>
      </c>
      <c r="E4495" s="46" t="s">
        <v>2541</v>
      </c>
      <c r="F4495" s="48">
        <v>40694</v>
      </c>
      <c r="G4495" s="48">
        <v>40694</v>
      </c>
      <c r="H4495" s="46" t="s">
        <v>40</v>
      </c>
      <c r="I4495" s="45">
        <v>185.5</v>
      </c>
      <c r="J4495" s="45">
        <v>185.5</v>
      </c>
      <c r="K4495" s="49" t="s">
        <v>2033</v>
      </c>
      <c r="L4495" s="45"/>
      <c r="M4495" s="3"/>
    </row>
    <row r="4496" spans="1:13" ht="25.5" x14ac:dyDescent="0.25">
      <c r="A4496" s="46" t="s">
        <v>2284</v>
      </c>
      <c r="B4496" s="46" t="s">
        <v>38</v>
      </c>
      <c r="C4496" s="46" t="s">
        <v>14</v>
      </c>
      <c r="D4496" s="47">
        <v>8979</v>
      </c>
      <c r="E4496" s="46" t="s">
        <v>2542</v>
      </c>
      <c r="F4496" s="48">
        <v>40544</v>
      </c>
      <c r="G4496" s="48">
        <v>40773</v>
      </c>
      <c r="H4496" s="46" t="s">
        <v>40</v>
      </c>
      <c r="I4496" s="45">
        <v>223.85</v>
      </c>
      <c r="J4496" s="45">
        <v>223.85</v>
      </c>
      <c r="K4496" s="49" t="s">
        <v>2033</v>
      </c>
      <c r="L4496" s="45"/>
      <c r="M4496" s="3"/>
    </row>
    <row r="4497" spans="1:13" ht="25.5" x14ac:dyDescent="0.25">
      <c r="A4497" s="46" t="s">
        <v>2284</v>
      </c>
      <c r="B4497" s="46" t="s">
        <v>38</v>
      </c>
      <c r="C4497" s="46" t="s">
        <v>14</v>
      </c>
      <c r="D4497" s="47">
        <v>8980</v>
      </c>
      <c r="E4497" s="46" t="s">
        <v>2543</v>
      </c>
      <c r="F4497" s="48">
        <v>40544</v>
      </c>
      <c r="G4497" s="48">
        <v>40703</v>
      </c>
      <c r="H4497" s="46" t="s">
        <v>40</v>
      </c>
      <c r="I4497" s="45">
        <v>585</v>
      </c>
      <c r="J4497" s="45">
        <v>585</v>
      </c>
      <c r="K4497" s="49" t="s">
        <v>2033</v>
      </c>
      <c r="L4497" s="45"/>
      <c r="M4497" s="3"/>
    </row>
    <row r="4498" spans="1:13" ht="25.5" x14ac:dyDescent="0.25">
      <c r="A4498" s="46" t="s">
        <v>2544</v>
      </c>
      <c r="B4498" s="46" t="s">
        <v>38</v>
      </c>
      <c r="C4498" s="46" t="s">
        <v>14</v>
      </c>
      <c r="D4498" s="47">
        <v>8981</v>
      </c>
      <c r="E4498" s="46" t="s">
        <v>2545</v>
      </c>
      <c r="F4498" s="48">
        <v>40544</v>
      </c>
      <c r="G4498" s="48">
        <v>40703</v>
      </c>
      <c r="H4498" s="46" t="s">
        <v>40</v>
      </c>
      <c r="I4498" s="45">
        <v>302.5</v>
      </c>
      <c r="J4498" s="45">
        <v>302.5</v>
      </c>
      <c r="K4498" s="49" t="s">
        <v>2033</v>
      </c>
      <c r="L4498" s="45"/>
      <c r="M4498" s="3"/>
    </row>
    <row r="4499" spans="1:13" ht="25.5" x14ac:dyDescent="0.25">
      <c r="A4499" s="46" t="s">
        <v>2284</v>
      </c>
      <c r="B4499" s="46" t="s">
        <v>38</v>
      </c>
      <c r="C4499" s="46" t="s">
        <v>14</v>
      </c>
      <c r="D4499" s="47">
        <v>8982</v>
      </c>
      <c r="E4499" s="46" t="s">
        <v>2546</v>
      </c>
      <c r="F4499" s="48">
        <v>40544</v>
      </c>
      <c r="G4499" s="48">
        <v>40703</v>
      </c>
      <c r="H4499" s="46" t="s">
        <v>40</v>
      </c>
      <c r="I4499" s="45">
        <v>555</v>
      </c>
      <c r="J4499" s="45">
        <v>555</v>
      </c>
      <c r="K4499" s="49" t="s">
        <v>2033</v>
      </c>
      <c r="L4499" s="45"/>
      <c r="M4499" s="3"/>
    </row>
    <row r="4500" spans="1:13" ht="38.25" x14ac:dyDescent="0.25">
      <c r="A4500" s="46" t="s">
        <v>2547</v>
      </c>
      <c r="B4500" s="46" t="s">
        <v>38</v>
      </c>
      <c r="C4500" s="46" t="s">
        <v>14</v>
      </c>
      <c r="D4500" s="47">
        <v>8983</v>
      </c>
      <c r="E4500" s="46" t="s">
        <v>2548</v>
      </c>
      <c r="F4500" s="48">
        <v>40544</v>
      </c>
      <c r="G4500" s="48">
        <v>41274</v>
      </c>
      <c r="H4500" s="46" t="s">
        <v>40</v>
      </c>
      <c r="I4500" s="45">
        <v>3939.43</v>
      </c>
      <c r="J4500" s="45">
        <v>3939.43</v>
      </c>
      <c r="K4500" s="49" t="s">
        <v>2033</v>
      </c>
      <c r="L4500" s="45"/>
      <c r="M4500" s="3"/>
    </row>
    <row r="4501" spans="1:13" ht="38.25" x14ac:dyDescent="0.25">
      <c r="A4501" s="46" t="s">
        <v>2549</v>
      </c>
      <c r="B4501" s="46" t="s">
        <v>38</v>
      </c>
      <c r="C4501" s="46" t="s">
        <v>14</v>
      </c>
      <c r="D4501" s="47">
        <v>8984</v>
      </c>
      <c r="E4501" s="50" t="s">
        <v>2550</v>
      </c>
      <c r="F4501" s="48">
        <v>40544</v>
      </c>
      <c r="G4501" s="48">
        <v>41274</v>
      </c>
      <c r="H4501" s="46" t="s">
        <v>40</v>
      </c>
      <c r="I4501" s="45">
        <v>12500</v>
      </c>
      <c r="J4501" s="45">
        <v>12500</v>
      </c>
      <c r="K4501" s="49" t="s">
        <v>2033</v>
      </c>
      <c r="L4501" s="45"/>
      <c r="M4501" s="3"/>
    </row>
    <row r="4502" spans="1:13" ht="25.5" x14ac:dyDescent="0.25">
      <c r="A4502" s="46" t="s">
        <v>2573</v>
      </c>
      <c r="B4502" s="46" t="s">
        <v>38</v>
      </c>
      <c r="C4502" s="46" t="s">
        <v>14</v>
      </c>
      <c r="D4502" s="47">
        <v>11125</v>
      </c>
      <c r="E4502" s="46" t="s">
        <v>2574</v>
      </c>
      <c r="F4502" s="48">
        <v>40909</v>
      </c>
      <c r="G4502" s="48">
        <v>41274</v>
      </c>
      <c r="H4502" s="46" t="s">
        <v>40</v>
      </c>
      <c r="I4502" s="45">
        <f>14142.65+9105.4</f>
        <v>23248.05</v>
      </c>
      <c r="J4502" s="45">
        <f>13582.65+9105.4</f>
        <v>22688.05</v>
      </c>
      <c r="K4502" s="49" t="s">
        <v>2033</v>
      </c>
      <c r="L4502" s="45"/>
      <c r="M4502" s="3"/>
    </row>
    <row r="4503" spans="1:13" ht="25.5" x14ac:dyDescent="0.25">
      <c r="A4503" s="46" t="s">
        <v>2575</v>
      </c>
      <c r="B4503" s="46" t="s">
        <v>38</v>
      </c>
      <c r="C4503" s="46" t="s">
        <v>14</v>
      </c>
      <c r="D4503" s="47">
        <v>11129</v>
      </c>
      <c r="E4503" s="46" t="s">
        <v>2576</v>
      </c>
      <c r="F4503" s="48">
        <v>40909</v>
      </c>
      <c r="G4503" s="48">
        <v>41274</v>
      </c>
      <c r="H4503" s="46" t="s">
        <v>40</v>
      </c>
      <c r="I4503" s="45">
        <v>5961.78</v>
      </c>
      <c r="J4503" s="45">
        <v>2980.89</v>
      </c>
      <c r="K4503" s="49" t="s">
        <v>2033</v>
      </c>
      <c r="L4503" s="45"/>
      <c r="M4503" s="3"/>
    </row>
    <row r="4504" spans="1:13" ht="25.5" x14ac:dyDescent="0.25">
      <c r="A4504" s="46" t="s">
        <v>2577</v>
      </c>
      <c r="B4504" s="46" t="s">
        <v>38</v>
      </c>
      <c r="C4504" s="46" t="s">
        <v>14</v>
      </c>
      <c r="D4504" s="47">
        <v>11130</v>
      </c>
      <c r="E4504" s="46" t="s">
        <v>2578</v>
      </c>
      <c r="F4504" s="48">
        <v>40909</v>
      </c>
      <c r="G4504" s="48">
        <v>41274</v>
      </c>
      <c r="H4504" s="46" t="s">
        <v>40</v>
      </c>
      <c r="I4504" s="45">
        <f>62079.21+13090.4</f>
        <v>75169.61</v>
      </c>
      <c r="J4504" s="45">
        <f>18311.2+13090.4</f>
        <v>31401.599999999999</v>
      </c>
      <c r="K4504" s="49" t="s">
        <v>2033</v>
      </c>
      <c r="L4504" s="45"/>
      <c r="M4504" s="3"/>
    </row>
    <row r="4505" spans="1:13" ht="25.5" x14ac:dyDescent="0.25">
      <c r="A4505" s="46" t="s">
        <v>2579</v>
      </c>
      <c r="B4505" s="46" t="s">
        <v>38</v>
      </c>
      <c r="C4505" s="46" t="s">
        <v>14</v>
      </c>
      <c r="D4505" s="47">
        <v>11136</v>
      </c>
      <c r="E4505" s="46" t="s">
        <v>2580</v>
      </c>
      <c r="F4505" s="48">
        <v>40909</v>
      </c>
      <c r="G4505" s="48">
        <v>41274</v>
      </c>
      <c r="H4505" s="46" t="s">
        <v>40</v>
      </c>
      <c r="I4505" s="45">
        <v>800</v>
      </c>
      <c r="J4505" s="45">
        <v>740</v>
      </c>
      <c r="K4505" s="49" t="s">
        <v>2033</v>
      </c>
      <c r="L4505" s="45"/>
      <c r="M4505" s="3"/>
    </row>
    <row r="4506" spans="1:13" ht="25.5" x14ac:dyDescent="0.25">
      <c r="A4506" s="46" t="s">
        <v>2581</v>
      </c>
      <c r="B4506" s="46" t="s">
        <v>38</v>
      </c>
      <c r="C4506" s="46" t="s">
        <v>14</v>
      </c>
      <c r="D4506" s="47">
        <v>11138</v>
      </c>
      <c r="E4506" s="46" t="s">
        <v>2582</v>
      </c>
      <c r="F4506" s="48">
        <v>40909</v>
      </c>
      <c r="G4506" s="48">
        <v>41274</v>
      </c>
      <c r="H4506" s="46" t="s">
        <v>40</v>
      </c>
      <c r="I4506" s="45">
        <f>1700+1142.28</f>
        <v>2842.2799999999997</v>
      </c>
      <c r="J4506" s="45">
        <f>850+571.14</f>
        <v>1421.1399999999999</v>
      </c>
      <c r="K4506" s="49" t="s">
        <v>2033</v>
      </c>
      <c r="L4506" s="45"/>
      <c r="M4506" s="3"/>
    </row>
    <row r="4507" spans="1:13" ht="38.25" x14ac:dyDescent="0.25">
      <c r="A4507" s="46" t="s">
        <v>2583</v>
      </c>
      <c r="B4507" s="46" t="s">
        <v>38</v>
      </c>
      <c r="C4507" s="46" t="s">
        <v>14</v>
      </c>
      <c r="D4507" s="47">
        <v>11139</v>
      </c>
      <c r="E4507" s="46" t="s">
        <v>2584</v>
      </c>
      <c r="F4507" s="48">
        <v>40909</v>
      </c>
      <c r="G4507" s="48">
        <v>41274</v>
      </c>
      <c r="H4507" s="46" t="s">
        <v>40</v>
      </c>
      <c r="I4507" s="45">
        <v>1841.47</v>
      </c>
      <c r="J4507" s="45">
        <v>1841.47</v>
      </c>
      <c r="K4507" s="49" t="s">
        <v>2033</v>
      </c>
      <c r="L4507" s="45"/>
      <c r="M4507" s="3"/>
    </row>
    <row r="4508" spans="1:13" ht="25.5" x14ac:dyDescent="0.25">
      <c r="A4508" s="46" t="s">
        <v>2585</v>
      </c>
      <c r="B4508" s="46" t="s">
        <v>38</v>
      </c>
      <c r="C4508" s="46" t="s">
        <v>14</v>
      </c>
      <c r="D4508" s="47">
        <v>11140</v>
      </c>
      <c r="E4508" s="46" t="s">
        <v>2586</v>
      </c>
      <c r="F4508" s="48">
        <v>40909</v>
      </c>
      <c r="G4508" s="48">
        <v>41274</v>
      </c>
      <c r="H4508" s="46" t="s">
        <v>40</v>
      </c>
      <c r="I4508" s="45">
        <f>600+1891</f>
        <v>2491</v>
      </c>
      <c r="J4508" s="45">
        <f>390+1891</f>
        <v>2281</v>
      </c>
      <c r="K4508" s="49" t="s">
        <v>2033</v>
      </c>
      <c r="L4508" s="45"/>
      <c r="M4508" s="3"/>
    </row>
    <row r="4509" spans="1:13" ht="25.5" x14ac:dyDescent="0.25">
      <c r="A4509" s="46" t="s">
        <v>10270</v>
      </c>
      <c r="B4509" s="46" t="s">
        <v>38</v>
      </c>
      <c r="C4509" s="46" t="s">
        <v>14</v>
      </c>
      <c r="D4509" s="47">
        <v>11142</v>
      </c>
      <c r="E4509" s="46" t="s">
        <v>10271</v>
      </c>
      <c r="F4509" s="48">
        <v>40909</v>
      </c>
      <c r="G4509" s="48">
        <v>41639</v>
      </c>
      <c r="H4509" s="46" t="s">
        <v>651</v>
      </c>
      <c r="I4509" s="45">
        <v>15285</v>
      </c>
      <c r="J4509" s="45">
        <v>15285</v>
      </c>
      <c r="K4509" s="49" t="s">
        <v>2033</v>
      </c>
      <c r="L4509" s="46"/>
    </row>
    <row r="4510" spans="1:13" ht="25.5" x14ac:dyDescent="0.25">
      <c r="A4510" s="46" t="s">
        <v>2587</v>
      </c>
      <c r="B4510" s="46" t="s">
        <v>38</v>
      </c>
      <c r="C4510" s="46" t="s">
        <v>14</v>
      </c>
      <c r="D4510" s="47">
        <v>11143</v>
      </c>
      <c r="E4510" s="46" t="s">
        <v>2588</v>
      </c>
      <c r="F4510" s="48">
        <v>40909</v>
      </c>
      <c r="G4510" s="48">
        <v>41274</v>
      </c>
      <c r="H4510" s="46" t="s">
        <v>40</v>
      </c>
      <c r="I4510" s="45">
        <v>3000</v>
      </c>
      <c r="J4510" s="45">
        <v>1500</v>
      </c>
      <c r="K4510" s="49" t="s">
        <v>2033</v>
      </c>
      <c r="L4510" s="45"/>
      <c r="M4510" s="3"/>
    </row>
    <row r="4511" spans="1:13" ht="25.5" x14ac:dyDescent="0.25">
      <c r="A4511" s="46" t="s">
        <v>10311</v>
      </c>
      <c r="B4511" s="46" t="s">
        <v>38</v>
      </c>
      <c r="C4511" s="46" t="s">
        <v>14</v>
      </c>
      <c r="D4511" s="47">
        <v>12778</v>
      </c>
      <c r="E4511" s="46" t="s">
        <v>10312</v>
      </c>
      <c r="F4511" s="48">
        <v>41275</v>
      </c>
      <c r="G4511" s="48">
        <v>41639</v>
      </c>
      <c r="H4511" s="46" t="s">
        <v>651</v>
      </c>
      <c r="I4511" s="45">
        <v>3000</v>
      </c>
      <c r="J4511" s="45">
        <v>3000</v>
      </c>
      <c r="K4511" s="49" t="s">
        <v>2033</v>
      </c>
      <c r="L4511" s="46"/>
    </row>
    <row r="4512" spans="1:13" ht="25.5" x14ac:dyDescent="0.25">
      <c r="A4512" s="46" t="s">
        <v>10313</v>
      </c>
      <c r="B4512" s="46" t="s">
        <v>38</v>
      </c>
      <c r="C4512" s="46" t="s">
        <v>14</v>
      </c>
      <c r="D4512" s="47">
        <v>12779</v>
      </c>
      <c r="E4512" s="46" t="s">
        <v>10314</v>
      </c>
      <c r="F4512" s="48">
        <v>41275</v>
      </c>
      <c r="G4512" s="48">
        <v>41639</v>
      </c>
      <c r="H4512" s="46" t="s">
        <v>651</v>
      </c>
      <c r="I4512" s="45">
        <v>14728.61</v>
      </c>
      <c r="J4512" s="45">
        <v>14728.61</v>
      </c>
      <c r="K4512" s="49" t="s">
        <v>2033</v>
      </c>
      <c r="L4512" s="46"/>
    </row>
    <row r="4513" spans="1:13" ht="25.5" x14ac:dyDescent="0.25">
      <c r="A4513" s="46" t="s">
        <v>10315</v>
      </c>
      <c r="B4513" s="46" t="s">
        <v>38</v>
      </c>
      <c r="C4513" s="46" t="s">
        <v>14</v>
      </c>
      <c r="D4513" s="47">
        <v>12780</v>
      </c>
      <c r="E4513" s="46" t="s">
        <v>10316</v>
      </c>
      <c r="F4513" s="48">
        <v>41275</v>
      </c>
      <c r="G4513" s="48">
        <v>41639</v>
      </c>
      <c r="H4513" s="46" t="s">
        <v>651</v>
      </c>
      <c r="I4513" s="45">
        <v>9941</v>
      </c>
      <c r="J4513" s="45">
        <v>9941</v>
      </c>
      <c r="K4513" s="49" t="s">
        <v>2033</v>
      </c>
      <c r="L4513" s="46"/>
    </row>
    <row r="4514" spans="1:13" ht="25.5" x14ac:dyDescent="0.25">
      <c r="A4514" s="46" t="s">
        <v>9934</v>
      </c>
      <c r="B4514" s="46" t="s">
        <v>38</v>
      </c>
      <c r="C4514" s="46" t="s">
        <v>14</v>
      </c>
      <c r="D4514" s="47">
        <v>12781</v>
      </c>
      <c r="E4514" s="46" t="s">
        <v>10317</v>
      </c>
      <c r="F4514" s="48">
        <v>41275</v>
      </c>
      <c r="G4514" s="48">
        <v>41639</v>
      </c>
      <c r="H4514" s="46" t="s">
        <v>651</v>
      </c>
      <c r="I4514" s="45">
        <v>500</v>
      </c>
      <c r="J4514" s="45">
        <v>500</v>
      </c>
      <c r="K4514" s="49" t="s">
        <v>2033</v>
      </c>
      <c r="L4514" s="46"/>
    </row>
    <row r="4515" spans="1:13" ht="25.5" x14ac:dyDescent="0.25">
      <c r="A4515" s="46" t="s">
        <v>10318</v>
      </c>
      <c r="B4515" s="46" t="s">
        <v>38</v>
      </c>
      <c r="C4515" s="46" t="s">
        <v>14</v>
      </c>
      <c r="D4515" s="47">
        <v>12785</v>
      </c>
      <c r="E4515" s="46" t="s">
        <v>10319</v>
      </c>
      <c r="F4515" s="48">
        <v>41275</v>
      </c>
      <c r="G4515" s="48">
        <v>41639</v>
      </c>
      <c r="H4515" s="46" t="s">
        <v>651</v>
      </c>
      <c r="I4515" s="45">
        <v>2500</v>
      </c>
      <c r="J4515" s="45">
        <v>2500</v>
      </c>
      <c r="K4515" s="49" t="s">
        <v>2033</v>
      </c>
      <c r="L4515" s="46"/>
    </row>
    <row r="4516" spans="1:13" ht="25.5" x14ac:dyDescent="0.25">
      <c r="A4516" s="46" t="s">
        <v>10320</v>
      </c>
      <c r="B4516" s="46" t="s">
        <v>38</v>
      </c>
      <c r="C4516" s="46" t="s">
        <v>14</v>
      </c>
      <c r="D4516" s="47">
        <v>12788</v>
      </c>
      <c r="E4516" s="46" t="s">
        <v>10321</v>
      </c>
      <c r="F4516" s="48">
        <v>41275</v>
      </c>
      <c r="G4516" s="48">
        <v>41639</v>
      </c>
      <c r="H4516" s="46" t="s">
        <v>651</v>
      </c>
      <c r="I4516" s="45">
        <v>9603.4</v>
      </c>
      <c r="J4516" s="45">
        <v>9603.4</v>
      </c>
      <c r="K4516" s="49" t="s">
        <v>2033</v>
      </c>
      <c r="L4516" s="46"/>
    </row>
    <row r="4517" spans="1:13" ht="25.5" x14ac:dyDescent="0.25">
      <c r="A4517" s="46" t="s">
        <v>3225</v>
      </c>
      <c r="B4517" s="46" t="s">
        <v>38</v>
      </c>
      <c r="C4517" s="46" t="s">
        <v>14</v>
      </c>
      <c r="D4517" s="47">
        <v>2409</v>
      </c>
      <c r="E4517" s="46" t="s">
        <v>3226</v>
      </c>
      <c r="F4517" s="48">
        <v>39083</v>
      </c>
      <c r="G4517" s="48">
        <v>41639</v>
      </c>
      <c r="H4517" s="46" t="s">
        <v>40</v>
      </c>
      <c r="I4517" s="45">
        <v>67500</v>
      </c>
      <c r="J4517" s="45">
        <v>57500</v>
      </c>
      <c r="K4517" s="49" t="s">
        <v>2650</v>
      </c>
      <c r="L4517" s="45"/>
      <c r="M4517" s="3"/>
    </row>
    <row r="4518" spans="1:13" ht="25.5" x14ac:dyDescent="0.25">
      <c r="A4518" s="46" t="s">
        <v>3227</v>
      </c>
      <c r="B4518" s="46" t="s">
        <v>38</v>
      </c>
      <c r="C4518" s="46" t="s">
        <v>14</v>
      </c>
      <c r="D4518" s="47">
        <v>2414</v>
      </c>
      <c r="E4518" s="46" t="s">
        <v>3228</v>
      </c>
      <c r="F4518" s="48">
        <v>39083</v>
      </c>
      <c r="G4518" s="48">
        <v>41639</v>
      </c>
      <c r="H4518" s="46" t="s">
        <v>40</v>
      </c>
      <c r="I4518" s="45">
        <v>474671.92</v>
      </c>
      <c r="J4518" s="45">
        <v>288654.44</v>
      </c>
      <c r="K4518" s="49" t="s">
        <v>2650</v>
      </c>
      <c r="L4518" s="45"/>
      <c r="M4518" s="3"/>
    </row>
    <row r="4519" spans="1:13" ht="25.5" x14ac:dyDescent="0.25">
      <c r="A4519" s="46" t="s">
        <v>3229</v>
      </c>
      <c r="B4519" s="46" t="s">
        <v>38</v>
      </c>
      <c r="C4519" s="46" t="s">
        <v>14</v>
      </c>
      <c r="D4519" s="47">
        <v>2419</v>
      </c>
      <c r="E4519" s="46" t="s">
        <v>3230</v>
      </c>
      <c r="F4519" s="48">
        <v>39083</v>
      </c>
      <c r="G4519" s="48">
        <v>41609</v>
      </c>
      <c r="H4519" s="46" t="s">
        <v>40</v>
      </c>
      <c r="I4519" s="45">
        <f>16007.56+2500</f>
        <v>18507.559999999998</v>
      </c>
      <c r="J4519" s="45">
        <f>13507.56+2500</f>
        <v>16007.56</v>
      </c>
      <c r="K4519" s="49" t="s">
        <v>2650</v>
      </c>
      <c r="L4519" s="45"/>
      <c r="M4519" s="3"/>
    </row>
    <row r="4520" spans="1:13" ht="38.25" x14ac:dyDescent="0.25">
      <c r="A4520" s="46" t="s">
        <v>3231</v>
      </c>
      <c r="B4520" s="46" t="s">
        <v>38</v>
      </c>
      <c r="C4520" s="46" t="s">
        <v>14</v>
      </c>
      <c r="D4520" s="47">
        <v>2420</v>
      </c>
      <c r="E4520" s="46" t="s">
        <v>3232</v>
      </c>
      <c r="F4520" s="48">
        <v>39083</v>
      </c>
      <c r="G4520" s="48">
        <v>41639</v>
      </c>
      <c r="H4520" s="46" t="s">
        <v>40</v>
      </c>
      <c r="I4520" s="45">
        <f>203968.13+24912.28</f>
        <v>228880.41</v>
      </c>
      <c r="J4520" s="45">
        <f>179055.88+24912.28</f>
        <v>203968.16</v>
      </c>
      <c r="K4520" s="49" t="s">
        <v>2650</v>
      </c>
      <c r="L4520" s="45"/>
      <c r="M4520" s="3"/>
    </row>
    <row r="4521" spans="1:13" ht="25.5" x14ac:dyDescent="0.25">
      <c r="A4521" s="46" t="s">
        <v>3233</v>
      </c>
      <c r="B4521" s="46" t="s">
        <v>38</v>
      </c>
      <c r="C4521" s="46" t="s">
        <v>14</v>
      </c>
      <c r="D4521" s="47">
        <v>2421</v>
      </c>
      <c r="E4521" s="46" t="s">
        <v>3234</v>
      </c>
      <c r="F4521" s="48">
        <v>39083</v>
      </c>
      <c r="G4521" s="48">
        <v>41639</v>
      </c>
      <c r="H4521" s="46" t="s">
        <v>40</v>
      </c>
      <c r="I4521" s="45">
        <v>49015.19</v>
      </c>
      <c r="J4521" s="45">
        <v>39015.19</v>
      </c>
      <c r="K4521" s="49" t="s">
        <v>2650</v>
      </c>
      <c r="L4521" s="45"/>
      <c r="M4521" s="3"/>
    </row>
    <row r="4522" spans="1:13" ht="25.5" x14ac:dyDescent="0.25">
      <c r="A4522" s="46" t="s">
        <v>3235</v>
      </c>
      <c r="B4522" s="46" t="s">
        <v>38</v>
      </c>
      <c r="C4522" s="46" t="s">
        <v>14</v>
      </c>
      <c r="D4522" s="47">
        <v>2422</v>
      </c>
      <c r="E4522" s="46" t="s">
        <v>3236</v>
      </c>
      <c r="F4522" s="48">
        <v>39083</v>
      </c>
      <c r="G4522" s="48">
        <v>41639</v>
      </c>
      <c r="H4522" s="46" t="s">
        <v>40</v>
      </c>
      <c r="I4522" s="45">
        <f>52957.72+7962.16</f>
        <v>60919.880000000005</v>
      </c>
      <c r="J4522" s="45">
        <f>33538.9+7962.16</f>
        <v>41501.06</v>
      </c>
      <c r="K4522" s="49" t="s">
        <v>2650</v>
      </c>
      <c r="L4522" s="45"/>
      <c r="M4522" s="3"/>
    </row>
    <row r="4523" spans="1:13" ht="25.5" x14ac:dyDescent="0.25">
      <c r="A4523" s="46" t="s">
        <v>3237</v>
      </c>
      <c r="B4523" s="46" t="s">
        <v>38</v>
      </c>
      <c r="C4523" s="46" t="s">
        <v>14</v>
      </c>
      <c r="D4523" s="47">
        <v>2424</v>
      </c>
      <c r="E4523" s="46" t="s">
        <v>3238</v>
      </c>
      <c r="F4523" s="48">
        <v>39083</v>
      </c>
      <c r="G4523" s="48">
        <v>41639</v>
      </c>
      <c r="H4523" s="46" t="s">
        <v>40</v>
      </c>
      <c r="I4523" s="45">
        <f>193479.26+65010.92</f>
        <v>258490.18</v>
      </c>
      <c r="J4523" s="45">
        <f>119760.25+65101.92</f>
        <v>184862.16999999998</v>
      </c>
      <c r="K4523" s="49" t="s">
        <v>2650</v>
      </c>
      <c r="L4523" s="45"/>
      <c r="M4523" s="3"/>
    </row>
    <row r="4524" spans="1:13" ht="25.5" x14ac:dyDescent="0.25">
      <c r="A4524" s="46" t="s">
        <v>3239</v>
      </c>
      <c r="B4524" s="46" t="s">
        <v>38</v>
      </c>
      <c r="C4524" s="46" t="s">
        <v>14</v>
      </c>
      <c r="D4524" s="47">
        <v>2425</v>
      </c>
      <c r="E4524" s="46" t="s">
        <v>3240</v>
      </c>
      <c r="F4524" s="48">
        <v>39083</v>
      </c>
      <c r="G4524" s="48">
        <v>41274</v>
      </c>
      <c r="H4524" s="46" t="s">
        <v>40</v>
      </c>
      <c r="I4524" s="45">
        <v>54442.04</v>
      </c>
      <c r="J4524" s="45">
        <v>54442.04</v>
      </c>
      <c r="K4524" s="49" t="s">
        <v>2650</v>
      </c>
      <c r="L4524" s="45"/>
      <c r="M4524" s="3"/>
    </row>
    <row r="4525" spans="1:13" ht="25.5" x14ac:dyDescent="0.25">
      <c r="A4525" s="46" t="s">
        <v>3159</v>
      </c>
      <c r="B4525" s="46" t="s">
        <v>38</v>
      </c>
      <c r="C4525" s="46" t="s">
        <v>14</v>
      </c>
      <c r="D4525" s="47">
        <v>2426</v>
      </c>
      <c r="E4525" s="46" t="s">
        <v>3241</v>
      </c>
      <c r="F4525" s="48">
        <v>39083</v>
      </c>
      <c r="G4525" s="48">
        <v>41639</v>
      </c>
      <c r="H4525" s="46" t="s">
        <v>40</v>
      </c>
      <c r="I4525" s="45">
        <v>32526.720000000001</v>
      </c>
      <c r="J4525" s="45">
        <v>11597.86</v>
      </c>
      <c r="K4525" s="49" t="s">
        <v>2650</v>
      </c>
      <c r="L4525" s="45"/>
      <c r="M4525" s="3"/>
    </row>
    <row r="4526" spans="1:13" ht="25.5" x14ac:dyDescent="0.25">
      <c r="A4526" s="46" t="s">
        <v>3242</v>
      </c>
      <c r="B4526" s="46" t="s">
        <v>38</v>
      </c>
      <c r="C4526" s="46" t="s">
        <v>14</v>
      </c>
      <c r="D4526" s="47">
        <v>2428</v>
      </c>
      <c r="E4526" s="46" t="s">
        <v>3243</v>
      </c>
      <c r="F4526" s="48">
        <v>39083</v>
      </c>
      <c r="G4526" s="48">
        <v>41639</v>
      </c>
      <c r="H4526" s="46" t="s">
        <v>40</v>
      </c>
      <c r="I4526" s="45">
        <f>64635.34+7124.07</f>
        <v>71759.41</v>
      </c>
      <c r="J4526" s="45">
        <f>55911.27+7124.07</f>
        <v>63035.34</v>
      </c>
      <c r="K4526" s="49" t="s">
        <v>2650</v>
      </c>
      <c r="L4526" s="45"/>
      <c r="M4526" s="3"/>
    </row>
    <row r="4527" spans="1:13" ht="51" x14ac:dyDescent="0.25">
      <c r="A4527" s="46" t="s">
        <v>3244</v>
      </c>
      <c r="B4527" s="46" t="s">
        <v>38</v>
      </c>
      <c r="C4527" s="46" t="s">
        <v>14</v>
      </c>
      <c r="D4527" s="47">
        <v>2487</v>
      </c>
      <c r="E4527" s="50" t="s">
        <v>3245</v>
      </c>
      <c r="F4527" s="48">
        <v>39083</v>
      </c>
      <c r="G4527" s="48">
        <v>41639</v>
      </c>
      <c r="H4527" s="46" t="s">
        <v>40</v>
      </c>
      <c r="I4527" s="45">
        <v>33784.67</v>
      </c>
      <c r="J4527" s="45">
        <v>33784.67</v>
      </c>
      <c r="K4527" s="49" t="s">
        <v>2650</v>
      </c>
      <c r="L4527" s="45"/>
      <c r="M4527" s="3"/>
    </row>
    <row r="4528" spans="1:13" ht="38.25" x14ac:dyDescent="0.25">
      <c r="A4528" s="46" t="s">
        <v>3246</v>
      </c>
      <c r="B4528" s="46" t="s">
        <v>38</v>
      </c>
      <c r="C4528" s="46" t="s">
        <v>14</v>
      </c>
      <c r="D4528" s="47">
        <v>2488</v>
      </c>
      <c r="E4528" s="46" t="s">
        <v>3247</v>
      </c>
      <c r="F4528" s="48">
        <v>39083</v>
      </c>
      <c r="G4528" s="48">
        <v>41639</v>
      </c>
      <c r="H4528" s="46" t="s">
        <v>40</v>
      </c>
      <c r="I4528" s="45">
        <v>47103.55</v>
      </c>
      <c r="J4528" s="45">
        <v>34235</v>
      </c>
      <c r="K4528" s="49" t="s">
        <v>2650</v>
      </c>
      <c r="L4528" s="45"/>
      <c r="M4528" s="3"/>
    </row>
    <row r="4529" spans="1:13" ht="25.5" x14ac:dyDescent="0.25">
      <c r="A4529" s="46" t="s">
        <v>3248</v>
      </c>
      <c r="B4529" s="46" t="s">
        <v>38</v>
      </c>
      <c r="C4529" s="46" t="s">
        <v>14</v>
      </c>
      <c r="D4529" s="47">
        <v>2489</v>
      </c>
      <c r="E4529" s="46" t="s">
        <v>3249</v>
      </c>
      <c r="F4529" s="48">
        <v>39083</v>
      </c>
      <c r="G4529" s="48">
        <v>41639</v>
      </c>
      <c r="H4529" s="46" t="s">
        <v>40</v>
      </c>
      <c r="I4529" s="45">
        <f>26110.35+3680</f>
        <v>29790.35</v>
      </c>
      <c r="J4529" s="45">
        <f>22430.35+3680</f>
        <v>26110.35</v>
      </c>
      <c r="K4529" s="49" t="s">
        <v>2650</v>
      </c>
      <c r="L4529" s="45"/>
      <c r="M4529" s="3"/>
    </row>
    <row r="4530" spans="1:13" ht="25.5" x14ac:dyDescent="0.25">
      <c r="A4530" s="46" t="s">
        <v>3250</v>
      </c>
      <c r="B4530" s="46" t="s">
        <v>38</v>
      </c>
      <c r="C4530" s="46" t="s">
        <v>14</v>
      </c>
      <c r="D4530" s="47">
        <v>2491</v>
      </c>
      <c r="E4530" s="46" t="s">
        <v>3251</v>
      </c>
      <c r="F4530" s="48">
        <v>39083</v>
      </c>
      <c r="G4530" s="48">
        <v>41639</v>
      </c>
      <c r="H4530" s="46" t="s">
        <v>40</v>
      </c>
      <c r="I4530" s="45">
        <f>262310+40200</f>
        <v>302510</v>
      </c>
      <c r="J4530" s="45">
        <f>222110+40200</f>
        <v>262310</v>
      </c>
      <c r="K4530" s="49" t="s">
        <v>2650</v>
      </c>
      <c r="L4530" s="45"/>
      <c r="M4530" s="3"/>
    </row>
    <row r="4531" spans="1:13" ht="25.5" x14ac:dyDescent="0.25">
      <c r="A4531" s="46" t="s">
        <v>3252</v>
      </c>
      <c r="B4531" s="46" t="s">
        <v>38</v>
      </c>
      <c r="C4531" s="46" t="s">
        <v>14</v>
      </c>
      <c r="D4531" s="47">
        <v>2492</v>
      </c>
      <c r="E4531" s="46" t="s">
        <v>3253</v>
      </c>
      <c r="F4531" s="48">
        <v>39083</v>
      </c>
      <c r="G4531" s="48">
        <v>41639</v>
      </c>
      <c r="H4531" s="46" t="s">
        <v>40</v>
      </c>
      <c r="I4531" s="45">
        <v>44291.47</v>
      </c>
      <c r="J4531" s="45">
        <v>33237</v>
      </c>
      <c r="K4531" s="49" t="s">
        <v>2650</v>
      </c>
      <c r="L4531" s="45"/>
      <c r="M4531" s="3"/>
    </row>
    <row r="4532" spans="1:13" ht="25.5" x14ac:dyDescent="0.25">
      <c r="A4532" s="46" t="s">
        <v>3254</v>
      </c>
      <c r="B4532" s="46" t="s">
        <v>38</v>
      </c>
      <c r="C4532" s="46" t="s">
        <v>14</v>
      </c>
      <c r="D4532" s="47">
        <v>2493</v>
      </c>
      <c r="E4532" s="46" t="s">
        <v>3255</v>
      </c>
      <c r="F4532" s="48">
        <v>39083</v>
      </c>
      <c r="G4532" s="48">
        <v>41639</v>
      </c>
      <c r="H4532" s="46" t="s">
        <v>40</v>
      </c>
      <c r="I4532" s="45">
        <v>14076</v>
      </c>
      <c r="J4532" s="45">
        <v>14076</v>
      </c>
      <c r="K4532" s="49" t="s">
        <v>2650</v>
      </c>
      <c r="L4532" s="45"/>
      <c r="M4532" s="3"/>
    </row>
    <row r="4533" spans="1:13" ht="25.5" x14ac:dyDescent="0.25">
      <c r="A4533" s="46" t="s">
        <v>3256</v>
      </c>
      <c r="B4533" s="46" t="s">
        <v>38</v>
      </c>
      <c r="C4533" s="46" t="s">
        <v>14</v>
      </c>
      <c r="D4533" s="47">
        <v>2494</v>
      </c>
      <c r="E4533" s="46" t="s">
        <v>3257</v>
      </c>
      <c r="F4533" s="48">
        <v>39083</v>
      </c>
      <c r="G4533" s="48">
        <v>41609</v>
      </c>
      <c r="H4533" s="46" t="s">
        <v>40</v>
      </c>
      <c r="I4533" s="45">
        <v>12153.2</v>
      </c>
      <c r="J4533" s="45">
        <v>12153.2</v>
      </c>
      <c r="K4533" s="49" t="s">
        <v>2650</v>
      </c>
      <c r="L4533" s="45"/>
      <c r="M4533" s="3"/>
    </row>
    <row r="4534" spans="1:13" ht="25.5" x14ac:dyDescent="0.25">
      <c r="A4534" s="46" t="s">
        <v>3258</v>
      </c>
      <c r="B4534" s="46" t="s">
        <v>38</v>
      </c>
      <c r="C4534" s="46" t="s">
        <v>14</v>
      </c>
      <c r="D4534" s="47">
        <v>2496</v>
      </c>
      <c r="E4534" s="46" t="s">
        <v>3259</v>
      </c>
      <c r="F4534" s="48">
        <v>39083</v>
      </c>
      <c r="G4534" s="48">
        <v>41639</v>
      </c>
      <c r="H4534" s="46" t="s">
        <v>40</v>
      </c>
      <c r="I4534" s="45">
        <v>28752.29</v>
      </c>
      <c r="J4534" s="45">
        <v>28752.29</v>
      </c>
      <c r="K4534" s="49" t="s">
        <v>2650</v>
      </c>
      <c r="L4534" s="45"/>
      <c r="M4534" s="3"/>
    </row>
    <row r="4535" spans="1:13" ht="38.25" x14ac:dyDescent="0.25">
      <c r="A4535" s="46" t="s">
        <v>3260</v>
      </c>
      <c r="B4535" s="46" t="s">
        <v>38</v>
      </c>
      <c r="C4535" s="46" t="s">
        <v>14</v>
      </c>
      <c r="D4535" s="47">
        <v>2498</v>
      </c>
      <c r="E4535" s="46" t="s">
        <v>3261</v>
      </c>
      <c r="F4535" s="48">
        <v>39083</v>
      </c>
      <c r="G4535" s="48">
        <v>41639</v>
      </c>
      <c r="H4535" s="46" t="s">
        <v>40</v>
      </c>
      <c r="I4535" s="45">
        <v>129004.29</v>
      </c>
      <c r="J4535" s="45">
        <v>52330.29</v>
      </c>
      <c r="K4535" s="49" t="s">
        <v>2650</v>
      </c>
      <c r="L4535" s="45"/>
      <c r="M4535" s="3"/>
    </row>
    <row r="4536" spans="1:13" ht="38.25" x14ac:dyDescent="0.25">
      <c r="A4536" s="46" t="s">
        <v>3262</v>
      </c>
      <c r="B4536" s="46" t="s">
        <v>38</v>
      </c>
      <c r="C4536" s="46" t="s">
        <v>14</v>
      </c>
      <c r="D4536" s="47">
        <v>2500</v>
      </c>
      <c r="E4536" s="50" t="s">
        <v>3263</v>
      </c>
      <c r="F4536" s="48">
        <v>39083</v>
      </c>
      <c r="G4536" s="48">
        <v>41639</v>
      </c>
      <c r="H4536" s="46" t="s">
        <v>40</v>
      </c>
      <c r="I4536" s="45">
        <v>45763.94</v>
      </c>
      <c r="J4536" s="45">
        <v>45763.94</v>
      </c>
      <c r="K4536" s="49" t="s">
        <v>2650</v>
      </c>
      <c r="L4536" s="45"/>
      <c r="M4536" s="3"/>
    </row>
    <row r="4537" spans="1:13" ht="25.5" x14ac:dyDescent="0.25">
      <c r="A4537" s="46" t="s">
        <v>109</v>
      </c>
      <c r="B4537" s="46" t="s">
        <v>38</v>
      </c>
      <c r="C4537" s="46" t="s">
        <v>14</v>
      </c>
      <c r="D4537" s="47">
        <v>2502</v>
      </c>
      <c r="E4537" s="46" t="s">
        <v>3264</v>
      </c>
      <c r="F4537" s="48">
        <v>39083</v>
      </c>
      <c r="G4537" s="48">
        <v>41639</v>
      </c>
      <c r="H4537" s="46" t="s">
        <v>40</v>
      </c>
      <c r="I4537" s="45">
        <v>37435.839999999997</v>
      </c>
      <c r="J4537" s="45">
        <v>37435.839999999997</v>
      </c>
      <c r="K4537" s="49" t="s">
        <v>2650</v>
      </c>
      <c r="L4537" s="45"/>
      <c r="M4537" s="3"/>
    </row>
    <row r="4538" spans="1:13" ht="25.5" x14ac:dyDescent="0.25">
      <c r="A4538" s="46" t="s">
        <v>3265</v>
      </c>
      <c r="B4538" s="46" t="s">
        <v>38</v>
      </c>
      <c r="C4538" s="46" t="s">
        <v>14</v>
      </c>
      <c r="D4538" s="47">
        <v>2503</v>
      </c>
      <c r="E4538" s="46" t="s">
        <v>3266</v>
      </c>
      <c r="F4538" s="48">
        <v>39083</v>
      </c>
      <c r="G4538" s="48">
        <v>41639</v>
      </c>
      <c r="H4538" s="46" t="s">
        <v>40</v>
      </c>
      <c r="I4538" s="45">
        <f>161726.87+12296.88</f>
        <v>174023.75</v>
      </c>
      <c r="J4538" s="45">
        <f>125519.99+12296.88</f>
        <v>137816.87</v>
      </c>
      <c r="K4538" s="49" t="s">
        <v>2650</v>
      </c>
      <c r="L4538" s="45"/>
      <c r="M4538" s="3"/>
    </row>
    <row r="4539" spans="1:13" ht="25.5" x14ac:dyDescent="0.25">
      <c r="A4539" s="46" t="s">
        <v>10491</v>
      </c>
      <c r="B4539" s="46" t="s">
        <v>38</v>
      </c>
      <c r="C4539" s="46" t="s">
        <v>14</v>
      </c>
      <c r="D4539" s="47">
        <v>3365</v>
      </c>
      <c r="E4539" s="46" t="s">
        <v>10492</v>
      </c>
      <c r="F4539" s="48">
        <v>41275</v>
      </c>
      <c r="G4539" s="48">
        <v>41639</v>
      </c>
      <c r="H4539" s="46" t="s">
        <v>651</v>
      </c>
      <c r="I4539" s="45">
        <v>6947.46</v>
      </c>
      <c r="J4539" s="45">
        <v>6947.46</v>
      </c>
      <c r="K4539" s="49" t="s">
        <v>2650</v>
      </c>
      <c r="L4539" s="46"/>
    </row>
    <row r="4540" spans="1:13" ht="25.5" x14ac:dyDescent="0.25">
      <c r="A4540" s="46" t="s">
        <v>3267</v>
      </c>
      <c r="B4540" s="46" t="s">
        <v>38</v>
      </c>
      <c r="C4540" s="46" t="s">
        <v>14</v>
      </c>
      <c r="D4540" s="47">
        <v>3377</v>
      </c>
      <c r="E4540" s="46" t="s">
        <v>3268</v>
      </c>
      <c r="F4540" s="48">
        <v>39083</v>
      </c>
      <c r="G4540" s="48">
        <v>41639</v>
      </c>
      <c r="H4540" s="46" t="s">
        <v>40</v>
      </c>
      <c r="I4540" s="45">
        <v>192193.74</v>
      </c>
      <c r="J4540" s="45">
        <v>142159.48000000001</v>
      </c>
      <c r="K4540" s="49" t="s">
        <v>2650</v>
      </c>
      <c r="L4540" s="45"/>
      <c r="M4540" s="3"/>
    </row>
    <row r="4541" spans="1:13" ht="25.5" x14ac:dyDescent="0.25">
      <c r="A4541" s="46" t="s">
        <v>3269</v>
      </c>
      <c r="B4541" s="46" t="s">
        <v>38</v>
      </c>
      <c r="C4541" s="46" t="s">
        <v>14</v>
      </c>
      <c r="D4541" s="47">
        <v>7852</v>
      </c>
      <c r="E4541" s="46" t="s">
        <v>3270</v>
      </c>
      <c r="F4541" s="48">
        <v>40544</v>
      </c>
      <c r="G4541" s="48">
        <v>41639</v>
      </c>
      <c r="H4541" s="46" t="s">
        <v>40</v>
      </c>
      <c r="I4541" s="45">
        <f>24724.5+3526.5</f>
        <v>28251</v>
      </c>
      <c r="J4541" s="45">
        <f>8278+3526.5</f>
        <v>11804.5</v>
      </c>
      <c r="K4541" s="49" t="s">
        <v>2650</v>
      </c>
      <c r="L4541" s="45"/>
      <c r="M4541" s="3"/>
    </row>
    <row r="4542" spans="1:13" ht="25.5" x14ac:dyDescent="0.25">
      <c r="A4542" s="46" t="s">
        <v>3285</v>
      </c>
      <c r="B4542" s="46" t="s">
        <v>38</v>
      </c>
      <c r="C4542" s="46" t="s">
        <v>14</v>
      </c>
      <c r="D4542" s="47">
        <v>8921</v>
      </c>
      <c r="E4542" s="46" t="s">
        <v>3286</v>
      </c>
      <c r="F4542" s="48">
        <v>40544</v>
      </c>
      <c r="G4542" s="48">
        <v>41639</v>
      </c>
      <c r="H4542" s="46" t="s">
        <v>40</v>
      </c>
      <c r="I4542" s="45">
        <f>13380+450</f>
        <v>13830</v>
      </c>
      <c r="J4542" s="45">
        <f>4560+450</f>
        <v>5010</v>
      </c>
      <c r="K4542" s="49" t="s">
        <v>2650</v>
      </c>
      <c r="L4542" s="45"/>
      <c r="M4542" s="3"/>
    </row>
    <row r="4543" spans="1:13" ht="25.5" x14ac:dyDescent="0.25">
      <c r="A4543" s="46" t="s">
        <v>3287</v>
      </c>
      <c r="B4543" s="46" t="s">
        <v>38</v>
      </c>
      <c r="C4543" s="46" t="s">
        <v>14</v>
      </c>
      <c r="D4543" s="47">
        <v>8922</v>
      </c>
      <c r="E4543" s="46" t="s">
        <v>3288</v>
      </c>
      <c r="F4543" s="48">
        <v>40544</v>
      </c>
      <c r="G4543" s="48">
        <v>41639</v>
      </c>
      <c r="H4543" s="46" t="s">
        <v>40</v>
      </c>
      <c r="I4543" s="45">
        <f>4161.5+840</f>
        <v>5001.5</v>
      </c>
      <c r="J4543" s="45">
        <f>1071.5+840</f>
        <v>1911.5</v>
      </c>
      <c r="K4543" s="49" t="s">
        <v>2650</v>
      </c>
      <c r="L4543" s="45"/>
      <c r="M4543" s="3"/>
    </row>
    <row r="4544" spans="1:13" ht="25.5" x14ac:dyDescent="0.25">
      <c r="A4544" s="46" t="s">
        <v>3289</v>
      </c>
      <c r="B4544" s="46" t="s">
        <v>38</v>
      </c>
      <c r="C4544" s="46" t="s">
        <v>14</v>
      </c>
      <c r="D4544" s="47">
        <v>8923</v>
      </c>
      <c r="E4544" s="46" t="s">
        <v>3290</v>
      </c>
      <c r="F4544" s="48">
        <v>40544</v>
      </c>
      <c r="G4544" s="48">
        <v>41639</v>
      </c>
      <c r="H4544" s="46" t="s">
        <v>40</v>
      </c>
      <c r="I4544" s="45">
        <f>7746+2625</f>
        <v>10371</v>
      </c>
      <c r="J4544" s="45">
        <f>2451+2625</f>
        <v>5076</v>
      </c>
      <c r="K4544" s="49" t="s">
        <v>2650</v>
      </c>
      <c r="L4544" s="45"/>
      <c r="M4544" s="3"/>
    </row>
    <row r="4545" spans="1:13" ht="25.5" x14ac:dyDescent="0.25">
      <c r="A4545" s="46" t="s">
        <v>10493</v>
      </c>
      <c r="B4545" s="46" t="s">
        <v>38</v>
      </c>
      <c r="C4545" s="46" t="s">
        <v>14</v>
      </c>
      <c r="D4545" s="47">
        <v>8924</v>
      </c>
      <c r="E4545" s="46" t="s">
        <v>10494</v>
      </c>
      <c r="F4545" s="48">
        <v>41275</v>
      </c>
      <c r="G4545" s="48">
        <v>41639</v>
      </c>
      <c r="H4545" s="46" t="s">
        <v>651</v>
      </c>
      <c r="I4545" s="45">
        <v>665</v>
      </c>
      <c r="J4545" s="45">
        <v>665</v>
      </c>
      <c r="K4545" s="49" t="s">
        <v>2650</v>
      </c>
      <c r="L4545" s="46"/>
    </row>
    <row r="4546" spans="1:13" ht="25.5" x14ac:dyDescent="0.25">
      <c r="A4546" s="46" t="s">
        <v>3291</v>
      </c>
      <c r="B4546" s="46" t="s">
        <v>38</v>
      </c>
      <c r="C4546" s="46" t="s">
        <v>14</v>
      </c>
      <c r="D4546" s="47">
        <v>8926</v>
      </c>
      <c r="E4546" s="46" t="s">
        <v>3292</v>
      </c>
      <c r="F4546" s="48">
        <v>40544</v>
      </c>
      <c r="G4546" s="48">
        <v>40908</v>
      </c>
      <c r="H4546" s="46" t="s">
        <v>40</v>
      </c>
      <c r="I4546" s="45">
        <v>1200</v>
      </c>
      <c r="J4546" s="45">
        <v>840</v>
      </c>
      <c r="K4546" s="49" t="s">
        <v>2650</v>
      </c>
      <c r="L4546" s="45"/>
      <c r="M4546" s="3"/>
    </row>
    <row r="4547" spans="1:13" ht="25.5" x14ac:dyDescent="0.25">
      <c r="A4547" s="46" t="s">
        <v>3293</v>
      </c>
      <c r="B4547" s="46" t="s">
        <v>38</v>
      </c>
      <c r="C4547" s="46" t="s">
        <v>14</v>
      </c>
      <c r="D4547" s="47">
        <v>8927</v>
      </c>
      <c r="E4547" s="46" t="s">
        <v>3294</v>
      </c>
      <c r="F4547" s="48">
        <v>40544</v>
      </c>
      <c r="G4547" s="48">
        <v>41639</v>
      </c>
      <c r="H4547" s="46" t="s">
        <v>40</v>
      </c>
      <c r="I4547" s="45">
        <f>6454.6+990</f>
        <v>7444.6</v>
      </c>
      <c r="J4547" s="45">
        <f>1724.6+990</f>
        <v>2714.6</v>
      </c>
      <c r="K4547" s="49" t="s">
        <v>2650</v>
      </c>
      <c r="L4547" s="45"/>
      <c r="M4547" s="3"/>
    </row>
    <row r="4548" spans="1:13" ht="25.5" x14ac:dyDescent="0.25">
      <c r="A4548" s="46" t="s">
        <v>3295</v>
      </c>
      <c r="B4548" s="46" t="s">
        <v>38</v>
      </c>
      <c r="C4548" s="46" t="s">
        <v>14</v>
      </c>
      <c r="D4548" s="47">
        <v>8930</v>
      </c>
      <c r="E4548" s="46" t="s">
        <v>3296</v>
      </c>
      <c r="F4548" s="48">
        <v>40544</v>
      </c>
      <c r="G4548" s="48">
        <v>40908</v>
      </c>
      <c r="H4548" s="46" t="s">
        <v>40</v>
      </c>
      <c r="I4548" s="45">
        <v>2826.5</v>
      </c>
      <c r="J4548" s="45">
        <v>1476.5</v>
      </c>
      <c r="K4548" s="49" t="s">
        <v>2650</v>
      </c>
      <c r="L4548" s="45"/>
      <c r="M4548" s="3"/>
    </row>
    <row r="4549" spans="1:13" ht="25.5" x14ac:dyDescent="0.25">
      <c r="A4549" s="46" t="s">
        <v>3297</v>
      </c>
      <c r="B4549" s="46" t="s">
        <v>38</v>
      </c>
      <c r="C4549" s="46" t="s">
        <v>14</v>
      </c>
      <c r="D4549" s="47">
        <v>8933</v>
      </c>
      <c r="E4549" s="46" t="s">
        <v>3298</v>
      </c>
      <c r="F4549" s="48">
        <v>40544</v>
      </c>
      <c r="G4549" s="48">
        <v>41639</v>
      </c>
      <c r="H4549" s="46" t="s">
        <v>40</v>
      </c>
      <c r="I4549" s="45">
        <f>6876.25+205</f>
        <v>7081.25</v>
      </c>
      <c r="J4549" s="45">
        <f>3961.25+205</f>
        <v>4166.25</v>
      </c>
      <c r="K4549" s="49" t="s">
        <v>2650</v>
      </c>
      <c r="L4549" s="45"/>
      <c r="M4549" s="3"/>
    </row>
    <row r="4550" spans="1:13" ht="25.5" x14ac:dyDescent="0.25">
      <c r="A4550" s="46" t="s">
        <v>3299</v>
      </c>
      <c r="B4550" s="46" t="s">
        <v>38</v>
      </c>
      <c r="C4550" s="46" t="s">
        <v>14</v>
      </c>
      <c r="D4550" s="47">
        <v>8934</v>
      </c>
      <c r="E4550" s="46" t="s">
        <v>3300</v>
      </c>
      <c r="F4550" s="48">
        <v>40544</v>
      </c>
      <c r="G4550" s="48">
        <v>41639</v>
      </c>
      <c r="H4550" s="46" t="s">
        <v>40</v>
      </c>
      <c r="I4550" s="45">
        <f>3250+405</f>
        <v>3655</v>
      </c>
      <c r="J4550" s="45">
        <f>1015+405</f>
        <v>1420</v>
      </c>
      <c r="K4550" s="49" t="s">
        <v>2650</v>
      </c>
      <c r="L4550" s="45"/>
      <c r="M4550" s="3"/>
    </row>
    <row r="4551" spans="1:13" ht="25.5" x14ac:dyDescent="0.25">
      <c r="A4551" s="46" t="s">
        <v>3301</v>
      </c>
      <c r="B4551" s="46" t="s">
        <v>38</v>
      </c>
      <c r="C4551" s="46" t="s">
        <v>14</v>
      </c>
      <c r="D4551" s="47">
        <v>8948</v>
      </c>
      <c r="E4551" s="46" t="s">
        <v>3302</v>
      </c>
      <c r="F4551" s="48">
        <v>40544</v>
      </c>
      <c r="G4551" s="48">
        <v>41274</v>
      </c>
      <c r="H4551" s="46" t="s">
        <v>40</v>
      </c>
      <c r="I4551" s="45">
        <v>8792.39</v>
      </c>
      <c r="J4551" s="45">
        <v>7795.39</v>
      </c>
      <c r="K4551" s="49" t="s">
        <v>2650</v>
      </c>
      <c r="L4551" s="45"/>
      <c r="M4551" s="3"/>
    </row>
    <row r="4552" spans="1:13" ht="25.5" x14ac:dyDescent="0.25">
      <c r="A4552" s="46" t="s">
        <v>3303</v>
      </c>
      <c r="B4552" s="46" t="s">
        <v>38</v>
      </c>
      <c r="C4552" s="46" t="s">
        <v>14</v>
      </c>
      <c r="D4552" s="47">
        <v>8951</v>
      </c>
      <c r="E4552" s="46" t="s">
        <v>3304</v>
      </c>
      <c r="F4552" s="48">
        <v>40544</v>
      </c>
      <c r="G4552" s="48">
        <v>40908</v>
      </c>
      <c r="H4552" s="46" t="s">
        <v>40</v>
      </c>
      <c r="I4552" s="45">
        <v>1840</v>
      </c>
      <c r="J4552" s="45">
        <v>1085</v>
      </c>
      <c r="K4552" s="49" t="s">
        <v>2650</v>
      </c>
      <c r="L4552" s="45"/>
      <c r="M4552" s="3"/>
    </row>
    <row r="4553" spans="1:13" ht="25.5" x14ac:dyDescent="0.25">
      <c r="A4553" s="46" t="s">
        <v>3305</v>
      </c>
      <c r="B4553" s="46" t="s">
        <v>38</v>
      </c>
      <c r="C4553" s="46" t="s">
        <v>14</v>
      </c>
      <c r="D4553" s="47">
        <v>8953</v>
      </c>
      <c r="E4553" s="46" t="s">
        <v>3306</v>
      </c>
      <c r="F4553" s="48">
        <v>40544</v>
      </c>
      <c r="G4553" s="48">
        <v>40908</v>
      </c>
      <c r="H4553" s="46" t="s">
        <v>40</v>
      </c>
      <c r="I4553" s="45">
        <v>22031.51</v>
      </c>
      <c r="J4553" s="45">
        <v>11122.51</v>
      </c>
      <c r="K4553" s="49" t="s">
        <v>2650</v>
      </c>
      <c r="L4553" s="45"/>
      <c r="M4553" s="3"/>
    </row>
    <row r="4554" spans="1:13" ht="25.5" x14ac:dyDescent="0.25">
      <c r="A4554" s="46" t="s">
        <v>3307</v>
      </c>
      <c r="B4554" s="46" t="s">
        <v>38</v>
      </c>
      <c r="C4554" s="46" t="s">
        <v>14</v>
      </c>
      <c r="D4554" s="47">
        <v>9011</v>
      </c>
      <c r="E4554" s="46" t="s">
        <v>3308</v>
      </c>
      <c r="F4554" s="48">
        <v>40544</v>
      </c>
      <c r="G4554" s="48">
        <v>41639</v>
      </c>
      <c r="H4554" s="46" t="s">
        <v>40</v>
      </c>
      <c r="I4554" s="45">
        <f>73830.25+22674.21</f>
        <v>96504.459999999992</v>
      </c>
      <c r="J4554" s="45">
        <f>40361.04+22674.21</f>
        <v>63035.25</v>
      </c>
      <c r="K4554" s="49" t="s">
        <v>2650</v>
      </c>
      <c r="L4554" s="45"/>
      <c r="M4554" s="3"/>
    </row>
    <row r="4555" spans="1:13" ht="25.5" x14ac:dyDescent="0.25">
      <c r="A4555" s="46" t="s">
        <v>3309</v>
      </c>
      <c r="B4555" s="46" t="s">
        <v>38</v>
      </c>
      <c r="C4555" s="46" t="s">
        <v>14</v>
      </c>
      <c r="D4555" s="47">
        <v>9012</v>
      </c>
      <c r="E4555" s="46" t="s">
        <v>3308</v>
      </c>
      <c r="F4555" s="48">
        <v>40544</v>
      </c>
      <c r="G4555" s="48">
        <v>41639</v>
      </c>
      <c r="H4555" s="46" t="s">
        <v>40</v>
      </c>
      <c r="I4555" s="45">
        <f>83483.61+30629.35</f>
        <v>114112.95999999999</v>
      </c>
      <c r="J4555" s="45">
        <f>43079.26+30629.35</f>
        <v>73708.61</v>
      </c>
      <c r="K4555" s="49" t="s">
        <v>2650</v>
      </c>
      <c r="L4555" s="45"/>
      <c r="M4555" s="3"/>
    </row>
    <row r="4556" spans="1:13" ht="25.5" x14ac:dyDescent="0.25">
      <c r="A4556" s="46" t="s">
        <v>3310</v>
      </c>
      <c r="B4556" s="46" t="s">
        <v>38</v>
      </c>
      <c r="C4556" s="46" t="s">
        <v>14</v>
      </c>
      <c r="D4556" s="47">
        <v>9013</v>
      </c>
      <c r="E4556" s="46" t="s">
        <v>3308</v>
      </c>
      <c r="F4556" s="48">
        <v>40544</v>
      </c>
      <c r="G4556" s="48">
        <v>41639</v>
      </c>
      <c r="H4556" s="46" t="s">
        <v>40</v>
      </c>
      <c r="I4556" s="45">
        <f>82623.29+20771.77</f>
        <v>103395.06</v>
      </c>
      <c r="J4556" s="45">
        <f>52326.52+20771.77</f>
        <v>73098.289999999994</v>
      </c>
      <c r="K4556" s="49" t="s">
        <v>2650</v>
      </c>
      <c r="L4556" s="45"/>
      <c r="M4556" s="3"/>
    </row>
    <row r="4557" spans="1:13" ht="25.5" x14ac:dyDescent="0.25">
      <c r="A4557" s="46" t="s">
        <v>3311</v>
      </c>
      <c r="B4557" s="46" t="s">
        <v>38</v>
      </c>
      <c r="C4557" s="46" t="s">
        <v>14</v>
      </c>
      <c r="D4557" s="47">
        <v>9014</v>
      </c>
      <c r="E4557" s="46" t="s">
        <v>3308</v>
      </c>
      <c r="F4557" s="48">
        <v>40544</v>
      </c>
      <c r="G4557" s="48">
        <v>41639</v>
      </c>
      <c r="H4557" s="46" t="s">
        <v>40</v>
      </c>
      <c r="I4557" s="45">
        <f>91680.43+24562.71</f>
        <v>116243.13999999998</v>
      </c>
      <c r="J4557" s="45">
        <f>59192.72+24562.71</f>
        <v>83755.429999999993</v>
      </c>
      <c r="K4557" s="49" t="s">
        <v>2650</v>
      </c>
      <c r="L4557" s="45"/>
      <c r="M4557" s="3"/>
    </row>
    <row r="4558" spans="1:13" ht="25.5" x14ac:dyDescent="0.25">
      <c r="A4558" s="46" t="s">
        <v>3541</v>
      </c>
      <c r="B4558" s="46" t="s">
        <v>38</v>
      </c>
      <c r="C4558" s="46" t="s">
        <v>14</v>
      </c>
      <c r="D4558" s="47">
        <v>10755</v>
      </c>
      <c r="E4558" s="46" t="s">
        <v>3542</v>
      </c>
      <c r="F4558" s="48">
        <v>41226</v>
      </c>
      <c r="G4558" s="48">
        <v>41274</v>
      </c>
      <c r="H4558" s="46" t="s">
        <v>40</v>
      </c>
      <c r="I4558" s="45">
        <v>30000</v>
      </c>
      <c r="J4558" s="45">
        <v>30000</v>
      </c>
      <c r="K4558" s="49" t="s">
        <v>2650</v>
      </c>
      <c r="L4558" s="45"/>
      <c r="M4558" s="3"/>
    </row>
    <row r="4559" spans="1:13" ht="25.5" x14ac:dyDescent="0.25">
      <c r="A4559" s="46" t="s">
        <v>3558</v>
      </c>
      <c r="B4559" s="46" t="s">
        <v>38</v>
      </c>
      <c r="C4559" s="46" t="s">
        <v>14</v>
      </c>
      <c r="D4559" s="47">
        <v>10821</v>
      </c>
      <c r="E4559" s="46" t="s">
        <v>3559</v>
      </c>
      <c r="F4559" s="48">
        <v>40909</v>
      </c>
      <c r="G4559" s="48">
        <v>41639</v>
      </c>
      <c r="H4559" s="46" t="s">
        <v>40</v>
      </c>
      <c r="I4559" s="45">
        <f>6415.6+4529.6</f>
        <v>10945.2</v>
      </c>
      <c r="J4559" s="45">
        <f>1886+4529.6</f>
        <v>6415.6</v>
      </c>
      <c r="K4559" s="49" t="s">
        <v>2650</v>
      </c>
      <c r="L4559" s="45"/>
      <c r="M4559" s="3"/>
    </row>
    <row r="4560" spans="1:13" ht="25.5" x14ac:dyDescent="0.2">
      <c r="A4560" s="46" t="s">
        <v>3712</v>
      </c>
      <c r="B4560" s="46" t="s">
        <v>38</v>
      </c>
      <c r="C4560" s="46" t="s">
        <v>14</v>
      </c>
      <c r="D4560" s="47">
        <v>2087</v>
      </c>
      <c r="E4560" s="46" t="s">
        <v>3713</v>
      </c>
      <c r="F4560" s="48">
        <v>39113</v>
      </c>
      <c r="G4560" s="46"/>
      <c r="H4560" s="46" t="s">
        <v>40</v>
      </c>
      <c r="I4560" s="45">
        <f>64965.52+967.41</f>
        <v>65932.929999999993</v>
      </c>
      <c r="J4560" s="45">
        <f>20566.11+967.41</f>
        <v>21533.52</v>
      </c>
      <c r="K4560" s="88" t="s">
        <v>11651</v>
      </c>
      <c r="L4560" s="45"/>
      <c r="M4560" s="3"/>
    </row>
    <row r="4561" spans="1:13" ht="25.5" x14ac:dyDescent="0.2">
      <c r="A4561" s="46" t="s">
        <v>3714</v>
      </c>
      <c r="B4561" s="46" t="s">
        <v>38</v>
      </c>
      <c r="C4561" s="46" t="s">
        <v>14</v>
      </c>
      <c r="D4561" s="47">
        <v>2174</v>
      </c>
      <c r="E4561" s="46" t="s">
        <v>3715</v>
      </c>
      <c r="F4561" s="48">
        <v>39113</v>
      </c>
      <c r="G4561" s="46"/>
      <c r="H4561" s="46" t="s">
        <v>40</v>
      </c>
      <c r="I4561" s="45">
        <f>360093.39+66584.16</f>
        <v>426677.55000000005</v>
      </c>
      <c r="J4561" s="45">
        <f>192298.88+66584.16</f>
        <v>258883.04</v>
      </c>
      <c r="K4561" s="88" t="s">
        <v>11651</v>
      </c>
      <c r="L4561" s="45"/>
      <c r="M4561" s="3"/>
    </row>
    <row r="4562" spans="1:13" ht="25.5" x14ac:dyDescent="0.2">
      <c r="A4562" s="46" t="s">
        <v>3716</v>
      </c>
      <c r="B4562" s="46" t="s">
        <v>38</v>
      </c>
      <c r="C4562" s="46" t="s">
        <v>14</v>
      </c>
      <c r="D4562" s="47">
        <v>2179</v>
      </c>
      <c r="E4562" s="46" t="s">
        <v>3717</v>
      </c>
      <c r="F4562" s="48">
        <v>39113</v>
      </c>
      <c r="G4562" s="46"/>
      <c r="H4562" s="46" t="s">
        <v>40</v>
      </c>
      <c r="I4562" s="45">
        <f>138017.02+30306.45</f>
        <v>168323.47</v>
      </c>
      <c r="J4562" s="45">
        <f>107710.47+30306.45</f>
        <v>138016.92000000001</v>
      </c>
      <c r="K4562" s="88" t="s">
        <v>11651</v>
      </c>
      <c r="L4562" s="45"/>
      <c r="M4562" s="3"/>
    </row>
    <row r="4563" spans="1:13" ht="25.5" x14ac:dyDescent="0.2">
      <c r="A4563" s="46" t="s">
        <v>3718</v>
      </c>
      <c r="B4563" s="46" t="s">
        <v>38</v>
      </c>
      <c r="C4563" s="46" t="s">
        <v>14</v>
      </c>
      <c r="D4563" s="47">
        <v>2182</v>
      </c>
      <c r="E4563" s="46" t="s">
        <v>3719</v>
      </c>
      <c r="F4563" s="48">
        <v>39113</v>
      </c>
      <c r="G4563" s="46"/>
      <c r="H4563" s="46" t="s">
        <v>40</v>
      </c>
      <c r="I4563" s="45">
        <f>176867.52+898.56</f>
        <v>177766.08</v>
      </c>
      <c r="J4563" s="45">
        <f>175968.96+898.56</f>
        <v>176867.52</v>
      </c>
      <c r="K4563" s="88" t="s">
        <v>11651</v>
      </c>
      <c r="L4563" s="45"/>
      <c r="M4563" s="3"/>
    </row>
    <row r="4564" spans="1:13" ht="25.5" x14ac:dyDescent="0.2">
      <c r="A4564" s="46" t="s">
        <v>3720</v>
      </c>
      <c r="B4564" s="46" t="s">
        <v>38</v>
      </c>
      <c r="C4564" s="46" t="s">
        <v>14</v>
      </c>
      <c r="D4564" s="47">
        <v>2183</v>
      </c>
      <c r="E4564" s="46" t="s">
        <v>2285</v>
      </c>
      <c r="F4564" s="48">
        <v>39113</v>
      </c>
      <c r="G4564" s="46"/>
      <c r="H4564" s="46" t="s">
        <v>40</v>
      </c>
      <c r="I4564" s="45">
        <f>493285.83+76751.89</f>
        <v>570037.72</v>
      </c>
      <c r="J4564" s="45">
        <f>345060.57+76751.89</f>
        <v>421812.46</v>
      </c>
      <c r="K4564" s="88" t="s">
        <v>11651</v>
      </c>
      <c r="L4564" s="45"/>
      <c r="M4564" s="3"/>
    </row>
    <row r="4565" spans="1:13" ht="25.5" x14ac:dyDescent="0.2">
      <c r="A4565" s="46" t="s">
        <v>3721</v>
      </c>
      <c r="B4565" s="46" t="s">
        <v>38</v>
      </c>
      <c r="C4565" s="46" t="s">
        <v>14</v>
      </c>
      <c r="D4565" s="47">
        <v>2185</v>
      </c>
      <c r="E4565" s="46" t="s">
        <v>3722</v>
      </c>
      <c r="F4565" s="48">
        <v>39113</v>
      </c>
      <c r="G4565" s="46"/>
      <c r="H4565" s="46" t="s">
        <v>40</v>
      </c>
      <c r="I4565" s="45">
        <f>131954.22+4800</f>
        <v>136754.22</v>
      </c>
      <c r="J4565" s="45">
        <f>127154.22+4800</f>
        <v>131954.22</v>
      </c>
      <c r="K4565" s="88" t="s">
        <v>11651</v>
      </c>
      <c r="L4565" s="45"/>
      <c r="M4565" s="3"/>
    </row>
    <row r="4566" spans="1:13" ht="25.5" x14ac:dyDescent="0.2">
      <c r="A4566" s="46" t="s">
        <v>3723</v>
      </c>
      <c r="B4566" s="46" t="s">
        <v>38</v>
      </c>
      <c r="C4566" s="46" t="s">
        <v>14</v>
      </c>
      <c r="D4566" s="47">
        <v>2188</v>
      </c>
      <c r="E4566" s="46" t="s">
        <v>3724</v>
      </c>
      <c r="F4566" s="48">
        <v>39113</v>
      </c>
      <c r="G4566" s="46"/>
      <c r="H4566" s="46" t="s">
        <v>40</v>
      </c>
      <c r="I4566" s="45">
        <f>606003.43+31811.02</f>
        <v>637814.45000000007</v>
      </c>
      <c r="J4566" s="45">
        <f>302846.42+31811.02</f>
        <v>334657.44</v>
      </c>
      <c r="K4566" s="88" t="s">
        <v>11651</v>
      </c>
      <c r="L4566" s="45"/>
      <c r="M4566" s="3"/>
    </row>
    <row r="4567" spans="1:13" ht="25.5" x14ac:dyDescent="0.2">
      <c r="A4567" s="46" t="s">
        <v>3725</v>
      </c>
      <c r="B4567" s="46" t="s">
        <v>38</v>
      </c>
      <c r="C4567" s="46" t="s">
        <v>14</v>
      </c>
      <c r="D4567" s="47">
        <v>2209</v>
      </c>
      <c r="E4567" s="46" t="s">
        <v>3726</v>
      </c>
      <c r="F4567" s="48">
        <v>39113</v>
      </c>
      <c r="G4567" s="46"/>
      <c r="H4567" s="46" t="s">
        <v>40</v>
      </c>
      <c r="I4567" s="45">
        <f>298720.4+25239.35</f>
        <v>323959.75</v>
      </c>
      <c r="J4567" s="45">
        <f>80449.5+25239.35</f>
        <v>105688.85</v>
      </c>
      <c r="K4567" s="88" t="s">
        <v>11651</v>
      </c>
      <c r="L4567" s="45"/>
      <c r="M4567" s="3"/>
    </row>
    <row r="4568" spans="1:13" ht="25.5" x14ac:dyDescent="0.2">
      <c r="A4568" s="46" t="s">
        <v>3727</v>
      </c>
      <c r="B4568" s="46" t="s">
        <v>38</v>
      </c>
      <c r="C4568" s="46" t="s">
        <v>14</v>
      </c>
      <c r="D4568" s="47">
        <v>2219</v>
      </c>
      <c r="E4568" s="46" t="s">
        <v>3728</v>
      </c>
      <c r="F4568" s="48">
        <v>39113</v>
      </c>
      <c r="G4568" s="46"/>
      <c r="H4568" s="46" t="s">
        <v>40</v>
      </c>
      <c r="I4568" s="45">
        <f>214728.26+40455.49</f>
        <v>255183.75</v>
      </c>
      <c r="J4568" s="45">
        <f>174272.76+40455.49</f>
        <v>214728.25</v>
      </c>
      <c r="K4568" s="88" t="s">
        <v>11651</v>
      </c>
      <c r="L4568" s="45"/>
      <c r="M4568" s="3"/>
    </row>
    <row r="4569" spans="1:13" ht="25.5" x14ac:dyDescent="0.2">
      <c r="A4569" s="46" t="s">
        <v>3729</v>
      </c>
      <c r="B4569" s="46" t="s">
        <v>38</v>
      </c>
      <c r="C4569" s="46" t="s">
        <v>14</v>
      </c>
      <c r="D4569" s="47">
        <v>2225</v>
      </c>
      <c r="E4569" s="46" t="s">
        <v>3730</v>
      </c>
      <c r="F4569" s="48">
        <v>39113</v>
      </c>
      <c r="G4569" s="46"/>
      <c r="H4569" s="46" t="s">
        <v>40</v>
      </c>
      <c r="I4569" s="45">
        <v>76189.48</v>
      </c>
      <c r="J4569" s="45">
        <v>76021.279999999999</v>
      </c>
      <c r="K4569" s="88" t="s">
        <v>11651</v>
      </c>
      <c r="L4569" s="45"/>
      <c r="M4569" s="3"/>
    </row>
    <row r="4570" spans="1:13" ht="25.5" x14ac:dyDescent="0.2">
      <c r="A4570" s="46" t="s">
        <v>3731</v>
      </c>
      <c r="B4570" s="46" t="s">
        <v>38</v>
      </c>
      <c r="C4570" s="46" t="s">
        <v>14</v>
      </c>
      <c r="D4570" s="47">
        <v>2226</v>
      </c>
      <c r="E4570" s="46" t="s">
        <v>3732</v>
      </c>
      <c r="F4570" s="48">
        <v>39113</v>
      </c>
      <c r="G4570" s="46"/>
      <c r="H4570" s="46" t="s">
        <v>40</v>
      </c>
      <c r="I4570" s="45">
        <f>409700.09+60097.56</f>
        <v>469797.65</v>
      </c>
      <c r="J4570" s="45">
        <f>332768.8+60097.56</f>
        <v>392866.36</v>
      </c>
      <c r="K4570" s="88" t="s">
        <v>11651</v>
      </c>
      <c r="L4570" s="45"/>
      <c r="M4570" s="3"/>
    </row>
    <row r="4571" spans="1:13" ht="25.5" x14ac:dyDescent="0.2">
      <c r="A4571" s="46" t="s">
        <v>3733</v>
      </c>
      <c r="B4571" s="46" t="s">
        <v>38</v>
      </c>
      <c r="C4571" s="46" t="s">
        <v>14</v>
      </c>
      <c r="D4571" s="47">
        <v>2228</v>
      </c>
      <c r="E4571" s="46" t="s">
        <v>3734</v>
      </c>
      <c r="F4571" s="48">
        <v>39113</v>
      </c>
      <c r="G4571" s="46"/>
      <c r="H4571" s="46" t="s">
        <v>40</v>
      </c>
      <c r="I4571" s="45">
        <f>314539.25+18010.18</f>
        <v>332549.43</v>
      </c>
      <c r="J4571" s="45">
        <f>164735.56+18010.18</f>
        <v>182745.74</v>
      </c>
      <c r="K4571" s="88" t="s">
        <v>11651</v>
      </c>
      <c r="L4571" s="45"/>
      <c r="M4571" s="3"/>
    </row>
    <row r="4572" spans="1:13" ht="25.5" x14ac:dyDescent="0.2">
      <c r="A4572" s="46" t="s">
        <v>3739</v>
      </c>
      <c r="B4572" s="46" t="s">
        <v>38</v>
      </c>
      <c r="C4572" s="46" t="s">
        <v>14</v>
      </c>
      <c r="D4572" s="47">
        <v>3325</v>
      </c>
      <c r="E4572" s="46" t="s">
        <v>3740</v>
      </c>
      <c r="F4572" s="48">
        <v>39084</v>
      </c>
      <c r="G4572" s="46"/>
      <c r="H4572" s="46" t="s">
        <v>40</v>
      </c>
      <c r="I4572" s="45">
        <f>429935.71+57062.83</f>
        <v>486998.54000000004</v>
      </c>
      <c r="J4572" s="45">
        <f>372872.88+57062.83</f>
        <v>429935.71</v>
      </c>
      <c r="K4572" s="88" t="s">
        <v>11651</v>
      </c>
      <c r="L4572" s="45"/>
      <c r="M4572" s="3"/>
    </row>
    <row r="4573" spans="1:13" ht="25.5" x14ac:dyDescent="0.2">
      <c r="A4573" s="46" t="s">
        <v>3742</v>
      </c>
      <c r="B4573" s="46" t="s">
        <v>38</v>
      </c>
      <c r="C4573" s="46" t="s">
        <v>14</v>
      </c>
      <c r="D4573" s="47">
        <v>3809</v>
      </c>
      <c r="E4573" s="46" t="s">
        <v>3743</v>
      </c>
      <c r="F4573" s="48">
        <v>39113</v>
      </c>
      <c r="G4573" s="46"/>
      <c r="H4573" s="46" t="s">
        <v>40</v>
      </c>
      <c r="I4573" s="45">
        <f>330674.08+1205.29</f>
        <v>331879.37</v>
      </c>
      <c r="J4573" s="45">
        <f>179373.29+1205.29</f>
        <v>180578.58000000002</v>
      </c>
      <c r="K4573" s="88" t="s">
        <v>11651</v>
      </c>
      <c r="L4573" s="45"/>
      <c r="M4573" s="3"/>
    </row>
    <row r="4574" spans="1:13" ht="25.5" x14ac:dyDescent="0.2">
      <c r="A4574" s="46" t="s">
        <v>3744</v>
      </c>
      <c r="B4574" s="46" t="s">
        <v>38</v>
      </c>
      <c r="C4574" s="46" t="s">
        <v>14</v>
      </c>
      <c r="D4574" s="47">
        <v>3858</v>
      </c>
      <c r="E4574" s="46" t="s">
        <v>3745</v>
      </c>
      <c r="F4574" s="48">
        <v>39113</v>
      </c>
      <c r="G4574" s="46"/>
      <c r="H4574" s="46" t="s">
        <v>40</v>
      </c>
      <c r="I4574" s="45">
        <f>62498.8+4466.75</f>
        <v>66965.55</v>
      </c>
      <c r="J4574" s="45">
        <f>38242.05+4466.75</f>
        <v>42708.800000000003</v>
      </c>
      <c r="K4574" s="88" t="s">
        <v>11651</v>
      </c>
      <c r="L4574" s="45"/>
      <c r="M4574" s="3"/>
    </row>
    <row r="4575" spans="1:13" ht="25.5" x14ac:dyDescent="0.2">
      <c r="A4575" s="46" t="s">
        <v>3746</v>
      </c>
      <c r="B4575" s="46" t="s">
        <v>38</v>
      </c>
      <c r="C4575" s="46" t="s">
        <v>14</v>
      </c>
      <c r="D4575" s="47">
        <v>3862</v>
      </c>
      <c r="E4575" s="46" t="s">
        <v>3747</v>
      </c>
      <c r="F4575" s="48">
        <v>39113</v>
      </c>
      <c r="G4575" s="46"/>
      <c r="H4575" s="46" t="s">
        <v>40</v>
      </c>
      <c r="I4575" s="45">
        <f>60041.38+1670.15</f>
        <v>61711.53</v>
      </c>
      <c r="J4575" s="45">
        <f>34521.23+1670.15</f>
        <v>36191.380000000005</v>
      </c>
      <c r="K4575" s="88" t="s">
        <v>11651</v>
      </c>
      <c r="L4575" s="45"/>
      <c r="M4575" s="3"/>
    </row>
    <row r="4576" spans="1:13" ht="25.5" x14ac:dyDescent="0.2">
      <c r="A4576" s="46" t="s">
        <v>3748</v>
      </c>
      <c r="B4576" s="46" t="s">
        <v>38</v>
      </c>
      <c r="C4576" s="46" t="s">
        <v>14</v>
      </c>
      <c r="D4576" s="47">
        <v>3866</v>
      </c>
      <c r="E4576" s="46" t="s">
        <v>3749</v>
      </c>
      <c r="F4576" s="48">
        <v>39113</v>
      </c>
      <c r="G4576" s="46"/>
      <c r="H4576" s="46" t="s">
        <v>40</v>
      </c>
      <c r="I4576" s="45">
        <v>13128.44</v>
      </c>
      <c r="J4576" s="45">
        <v>8627.44</v>
      </c>
      <c r="K4576" s="88" t="s">
        <v>11651</v>
      </c>
      <c r="L4576" s="45"/>
      <c r="M4576" s="3"/>
    </row>
    <row r="4577" spans="1:13" ht="25.5" x14ac:dyDescent="0.2">
      <c r="A4577" s="46" t="s">
        <v>3750</v>
      </c>
      <c r="B4577" s="46" t="s">
        <v>38</v>
      </c>
      <c r="C4577" s="46" t="s">
        <v>14</v>
      </c>
      <c r="D4577" s="47">
        <v>3890</v>
      </c>
      <c r="E4577" s="46" t="s">
        <v>3751</v>
      </c>
      <c r="F4577" s="48">
        <v>39113</v>
      </c>
      <c r="G4577" s="46"/>
      <c r="H4577" s="46" t="s">
        <v>40</v>
      </c>
      <c r="I4577" s="45">
        <v>35226.959999999999</v>
      </c>
      <c r="J4577" s="45">
        <v>5724.81</v>
      </c>
      <c r="K4577" s="88" t="s">
        <v>11651</v>
      </c>
      <c r="L4577" s="45"/>
      <c r="M4577" s="3"/>
    </row>
    <row r="4578" spans="1:13" ht="25.5" x14ac:dyDescent="0.2">
      <c r="A4578" s="46" t="s">
        <v>3752</v>
      </c>
      <c r="B4578" s="46" t="s">
        <v>38</v>
      </c>
      <c r="C4578" s="46" t="s">
        <v>14</v>
      </c>
      <c r="D4578" s="47">
        <v>3891</v>
      </c>
      <c r="E4578" s="46" t="s">
        <v>3753</v>
      </c>
      <c r="F4578" s="48">
        <v>39113</v>
      </c>
      <c r="G4578" s="46"/>
      <c r="H4578" s="46" t="s">
        <v>40</v>
      </c>
      <c r="I4578" s="45">
        <f>44712.42+820</f>
        <v>45532.42</v>
      </c>
      <c r="J4578" s="45">
        <f>25577.42+820</f>
        <v>26397.42</v>
      </c>
      <c r="K4578" s="88" t="s">
        <v>11651</v>
      </c>
      <c r="L4578" s="45"/>
      <c r="M4578" s="3"/>
    </row>
    <row r="4579" spans="1:13" ht="25.5" x14ac:dyDescent="0.2">
      <c r="A4579" s="46" t="s">
        <v>3790</v>
      </c>
      <c r="B4579" s="46" t="s">
        <v>38</v>
      </c>
      <c r="C4579" s="46" t="s">
        <v>14</v>
      </c>
      <c r="D4579" s="47">
        <v>5119</v>
      </c>
      <c r="E4579" s="46" t="s">
        <v>3791</v>
      </c>
      <c r="F4579" s="48">
        <v>39840</v>
      </c>
      <c r="G4579" s="46"/>
      <c r="H4579" s="46" t="s">
        <v>40</v>
      </c>
      <c r="I4579" s="45">
        <f>191011.17+11806.4</f>
        <v>202817.57</v>
      </c>
      <c r="J4579" s="45">
        <f>123742.47+11806.4</f>
        <v>135548.87</v>
      </c>
      <c r="K4579" s="88" t="s">
        <v>11651</v>
      </c>
      <c r="L4579" s="45"/>
      <c r="M4579" s="3"/>
    </row>
    <row r="4580" spans="1:13" ht="25.5" x14ac:dyDescent="0.2">
      <c r="A4580" s="46" t="s">
        <v>3792</v>
      </c>
      <c r="B4580" s="46" t="s">
        <v>38</v>
      </c>
      <c r="C4580" s="46" t="s">
        <v>14</v>
      </c>
      <c r="D4580" s="47">
        <v>5172</v>
      </c>
      <c r="E4580" s="46" t="s">
        <v>3793</v>
      </c>
      <c r="F4580" s="48">
        <v>39840</v>
      </c>
      <c r="G4580" s="46"/>
      <c r="H4580" s="46" t="s">
        <v>40</v>
      </c>
      <c r="I4580" s="45">
        <f>92767.51+29358.47</f>
        <v>122125.98</v>
      </c>
      <c r="J4580" s="45">
        <f>18211.54+29358.47</f>
        <v>47570.01</v>
      </c>
      <c r="K4580" s="88" t="s">
        <v>11651</v>
      </c>
      <c r="L4580" s="45"/>
      <c r="M4580" s="3"/>
    </row>
    <row r="4581" spans="1:13" ht="25.5" x14ac:dyDescent="0.2">
      <c r="A4581" s="46" t="s">
        <v>3794</v>
      </c>
      <c r="B4581" s="46" t="s">
        <v>38</v>
      </c>
      <c r="C4581" s="46" t="s">
        <v>14</v>
      </c>
      <c r="D4581" s="47">
        <v>5173</v>
      </c>
      <c r="E4581" s="46" t="s">
        <v>3795</v>
      </c>
      <c r="F4581" s="48">
        <v>39791</v>
      </c>
      <c r="G4581" s="46"/>
      <c r="H4581" s="46" t="s">
        <v>40</v>
      </c>
      <c r="I4581" s="45">
        <v>3153.51</v>
      </c>
      <c r="J4581" s="45">
        <v>2833.51</v>
      </c>
      <c r="K4581" s="88" t="s">
        <v>11651</v>
      </c>
      <c r="L4581" s="45"/>
      <c r="M4581" s="3"/>
    </row>
    <row r="4582" spans="1:13" ht="25.5" x14ac:dyDescent="0.25">
      <c r="A4582" s="46" t="s">
        <v>2285</v>
      </c>
      <c r="B4582" s="46" t="s">
        <v>38</v>
      </c>
      <c r="C4582" s="46" t="s">
        <v>14</v>
      </c>
      <c r="D4582" s="47">
        <v>1185</v>
      </c>
      <c r="E4582" s="46" t="s">
        <v>4061</v>
      </c>
      <c r="F4582" s="48">
        <v>39083</v>
      </c>
      <c r="G4582" s="46"/>
      <c r="H4582" s="46" t="s">
        <v>40</v>
      </c>
      <c r="I4582" s="45">
        <f>575980.27+80949.56</f>
        <v>656929.83000000007</v>
      </c>
      <c r="J4582" s="45">
        <f>519971.92+80949.56</f>
        <v>600921.48</v>
      </c>
      <c r="K4582" s="49" t="s">
        <v>4035</v>
      </c>
      <c r="L4582" s="45"/>
      <c r="M4582" s="3"/>
    </row>
    <row r="4583" spans="1:13" ht="38.25" x14ac:dyDescent="0.25">
      <c r="A4583" s="46" t="s">
        <v>3254</v>
      </c>
      <c r="B4583" s="46" t="s">
        <v>38</v>
      </c>
      <c r="C4583" s="46" t="s">
        <v>14</v>
      </c>
      <c r="D4583" s="47">
        <v>1202</v>
      </c>
      <c r="E4583" s="46" t="s">
        <v>4062</v>
      </c>
      <c r="F4583" s="48">
        <v>39083</v>
      </c>
      <c r="G4583" s="46"/>
      <c r="H4583" s="46" t="s">
        <v>40</v>
      </c>
      <c r="I4583" s="45">
        <v>13414.56</v>
      </c>
      <c r="J4583" s="45">
        <v>9163.56</v>
      </c>
      <c r="K4583" s="49" t="s">
        <v>4035</v>
      </c>
      <c r="L4583" s="45"/>
      <c r="M4583" s="3"/>
    </row>
    <row r="4584" spans="1:13" ht="25.5" x14ac:dyDescent="0.25">
      <c r="A4584" s="46" t="s">
        <v>4063</v>
      </c>
      <c r="B4584" s="46" t="s">
        <v>38</v>
      </c>
      <c r="C4584" s="46" t="s">
        <v>14</v>
      </c>
      <c r="D4584" s="47">
        <v>1203</v>
      </c>
      <c r="E4584" s="46" t="s">
        <v>4064</v>
      </c>
      <c r="F4584" s="48">
        <v>39083</v>
      </c>
      <c r="G4584" s="46"/>
      <c r="H4584" s="46" t="s">
        <v>40</v>
      </c>
      <c r="I4584" s="45">
        <v>83450.789999999994</v>
      </c>
      <c r="J4584" s="45">
        <v>81450.789999999994</v>
      </c>
      <c r="K4584" s="49" t="s">
        <v>4035</v>
      </c>
      <c r="L4584" s="45"/>
      <c r="M4584" s="3"/>
    </row>
    <row r="4585" spans="1:13" ht="25.5" x14ac:dyDescent="0.25">
      <c r="A4585" s="46" t="s">
        <v>4065</v>
      </c>
      <c r="B4585" s="46" t="s">
        <v>38</v>
      </c>
      <c r="C4585" s="46" t="s">
        <v>14</v>
      </c>
      <c r="D4585" s="47">
        <v>2056</v>
      </c>
      <c r="E4585" s="46" t="s">
        <v>4066</v>
      </c>
      <c r="F4585" s="48">
        <v>39083</v>
      </c>
      <c r="G4585" s="46"/>
      <c r="H4585" s="46" t="s">
        <v>40</v>
      </c>
      <c r="I4585" s="45">
        <f>258523.23+49824.88</f>
        <v>308348.11</v>
      </c>
      <c r="J4585" s="45">
        <f>260178.88+49824.88</f>
        <v>310003.76</v>
      </c>
      <c r="K4585" s="49" t="s">
        <v>4035</v>
      </c>
      <c r="L4585" s="45"/>
      <c r="M4585" s="3"/>
    </row>
    <row r="4586" spans="1:13" ht="38.25" x14ac:dyDescent="0.25">
      <c r="A4586" s="46" t="s">
        <v>4069</v>
      </c>
      <c r="B4586" s="46" t="s">
        <v>38</v>
      </c>
      <c r="C4586" s="46" t="s">
        <v>14</v>
      </c>
      <c r="D4586" s="47">
        <v>2490</v>
      </c>
      <c r="E4586" s="46" t="s">
        <v>4070</v>
      </c>
      <c r="F4586" s="48">
        <v>39083</v>
      </c>
      <c r="G4586" s="46"/>
      <c r="H4586" s="46" t="s">
        <v>40</v>
      </c>
      <c r="I4586" s="45">
        <v>36749.269999999997</v>
      </c>
      <c r="J4586" s="45">
        <v>25915.62</v>
      </c>
      <c r="K4586" s="49" t="s">
        <v>4035</v>
      </c>
      <c r="L4586" s="45"/>
      <c r="M4586" s="3"/>
    </row>
    <row r="4587" spans="1:13" ht="25.5" x14ac:dyDescent="0.25">
      <c r="A4587" s="46" t="s">
        <v>4073</v>
      </c>
      <c r="B4587" s="46" t="s">
        <v>38</v>
      </c>
      <c r="C4587" s="46" t="s">
        <v>14</v>
      </c>
      <c r="D4587" s="47">
        <v>2517</v>
      </c>
      <c r="E4587" s="46" t="s">
        <v>4074</v>
      </c>
      <c r="F4587" s="48">
        <v>39083</v>
      </c>
      <c r="G4587" s="46"/>
      <c r="H4587" s="46" t="s">
        <v>40</v>
      </c>
      <c r="I4587" s="45">
        <v>104771.38</v>
      </c>
      <c r="J4587" s="45">
        <v>78001.38</v>
      </c>
      <c r="K4587" s="49" t="s">
        <v>4035</v>
      </c>
      <c r="L4587" s="45"/>
      <c r="M4587" s="3"/>
    </row>
    <row r="4588" spans="1:13" ht="38.25" x14ac:dyDescent="0.25">
      <c r="A4588" s="46" t="s">
        <v>4075</v>
      </c>
      <c r="B4588" s="46" t="s">
        <v>38</v>
      </c>
      <c r="C4588" s="46" t="s">
        <v>14</v>
      </c>
      <c r="D4588" s="47">
        <v>2519</v>
      </c>
      <c r="E4588" s="46" t="s">
        <v>4076</v>
      </c>
      <c r="F4588" s="48">
        <v>39083</v>
      </c>
      <c r="G4588" s="46"/>
      <c r="H4588" s="46" t="s">
        <v>40</v>
      </c>
      <c r="I4588" s="45">
        <v>18891</v>
      </c>
      <c r="J4588" s="45">
        <v>18891</v>
      </c>
      <c r="K4588" s="49" t="s">
        <v>4035</v>
      </c>
      <c r="L4588" s="45"/>
      <c r="M4588" s="3"/>
    </row>
    <row r="4589" spans="1:13" ht="25.5" x14ac:dyDescent="0.25">
      <c r="A4589" s="46" t="s">
        <v>4077</v>
      </c>
      <c r="B4589" s="46" t="s">
        <v>38</v>
      </c>
      <c r="C4589" s="46" t="s">
        <v>14</v>
      </c>
      <c r="D4589" s="47">
        <v>2521</v>
      </c>
      <c r="E4589" s="46" t="s">
        <v>4078</v>
      </c>
      <c r="F4589" s="48">
        <v>39083</v>
      </c>
      <c r="G4589" s="46"/>
      <c r="H4589" s="46" t="s">
        <v>40</v>
      </c>
      <c r="I4589" s="45">
        <f>99139.64+7014.91</f>
        <v>106154.55</v>
      </c>
      <c r="J4589" s="45">
        <f>99139.64+7014.91</f>
        <v>106154.55</v>
      </c>
      <c r="K4589" s="49" t="s">
        <v>4035</v>
      </c>
      <c r="L4589" s="45"/>
      <c r="M4589" s="3"/>
    </row>
    <row r="4590" spans="1:13" ht="25.5" x14ac:dyDescent="0.25">
      <c r="A4590" s="46" t="s">
        <v>4079</v>
      </c>
      <c r="B4590" s="46" t="s">
        <v>38</v>
      </c>
      <c r="C4590" s="46" t="s">
        <v>14</v>
      </c>
      <c r="D4590" s="47">
        <v>2522</v>
      </c>
      <c r="E4590" s="46" t="s">
        <v>4080</v>
      </c>
      <c r="F4590" s="48">
        <v>39083</v>
      </c>
      <c r="G4590" s="46"/>
      <c r="H4590" s="46" t="s">
        <v>40</v>
      </c>
      <c r="I4590" s="45">
        <f>367965.28+45257.86</f>
        <v>413223.14</v>
      </c>
      <c r="J4590" s="45">
        <f>228707.76+45257.86</f>
        <v>273965.62</v>
      </c>
      <c r="K4590" s="49" t="s">
        <v>4035</v>
      </c>
      <c r="L4590" s="45"/>
      <c r="M4590" s="3"/>
    </row>
    <row r="4591" spans="1:13" ht="25.5" x14ac:dyDescent="0.25">
      <c r="A4591" s="46" t="s">
        <v>3739</v>
      </c>
      <c r="B4591" s="46" t="s">
        <v>38</v>
      </c>
      <c r="C4591" s="46" t="s">
        <v>14</v>
      </c>
      <c r="D4591" s="47">
        <v>2523</v>
      </c>
      <c r="E4591" s="46" t="s">
        <v>4081</v>
      </c>
      <c r="F4591" s="48">
        <v>39083</v>
      </c>
      <c r="G4591" s="46"/>
      <c r="H4591" s="46" t="s">
        <v>40</v>
      </c>
      <c r="I4591" s="45">
        <f>428171.94+67316.08</f>
        <v>495488.02</v>
      </c>
      <c r="J4591" s="45">
        <f>425508.04+67316.08</f>
        <v>492824.12</v>
      </c>
      <c r="K4591" s="49" t="s">
        <v>4035</v>
      </c>
      <c r="L4591" s="45"/>
      <c r="M4591" s="3"/>
    </row>
    <row r="4592" spans="1:13" ht="38.25" x14ac:dyDescent="0.25">
      <c r="A4592" s="46" t="s">
        <v>4082</v>
      </c>
      <c r="B4592" s="46" t="s">
        <v>38</v>
      </c>
      <c r="C4592" s="46" t="s">
        <v>14</v>
      </c>
      <c r="D4592" s="47">
        <v>2524</v>
      </c>
      <c r="E4592" s="46" t="s">
        <v>4083</v>
      </c>
      <c r="F4592" s="48">
        <v>39083</v>
      </c>
      <c r="G4592" s="46"/>
      <c r="H4592" s="46" t="s">
        <v>40</v>
      </c>
      <c r="I4592" s="45">
        <f>176177.16+21000</f>
        <v>197177.16</v>
      </c>
      <c r="J4592" s="45">
        <f>176177.16+21000</f>
        <v>197177.16</v>
      </c>
      <c r="K4592" s="49" t="s">
        <v>4035</v>
      </c>
      <c r="L4592" s="45"/>
      <c r="M4592" s="3"/>
    </row>
    <row r="4593" spans="1:13" ht="25.5" x14ac:dyDescent="0.25">
      <c r="A4593" s="46" t="s">
        <v>4086</v>
      </c>
      <c r="B4593" s="46" t="s">
        <v>38</v>
      </c>
      <c r="C4593" s="46" t="s">
        <v>14</v>
      </c>
      <c r="D4593" s="47">
        <v>2526</v>
      </c>
      <c r="E4593" s="46" t="s">
        <v>4087</v>
      </c>
      <c r="F4593" s="48">
        <v>39083</v>
      </c>
      <c r="G4593" s="46"/>
      <c r="H4593" s="46" t="s">
        <v>40</v>
      </c>
      <c r="I4593" s="45">
        <f>87980.17+3952.16</f>
        <v>91932.33</v>
      </c>
      <c r="J4593" s="45">
        <f>87980.17+3952.16</f>
        <v>91932.33</v>
      </c>
      <c r="K4593" s="49" t="s">
        <v>4035</v>
      </c>
      <c r="L4593" s="45"/>
      <c r="M4593" s="3"/>
    </row>
    <row r="4594" spans="1:13" ht="25.5" x14ac:dyDescent="0.25">
      <c r="A4594" s="46" t="s">
        <v>4088</v>
      </c>
      <c r="B4594" s="46" t="s">
        <v>38</v>
      </c>
      <c r="C4594" s="46" t="s">
        <v>14</v>
      </c>
      <c r="D4594" s="47">
        <v>2527</v>
      </c>
      <c r="E4594" s="46" t="s">
        <v>4089</v>
      </c>
      <c r="F4594" s="48">
        <v>39083</v>
      </c>
      <c r="G4594" s="46"/>
      <c r="H4594" s="46" t="s">
        <v>40</v>
      </c>
      <c r="I4594" s="45">
        <f>23787.66+1333.84</f>
        <v>25121.5</v>
      </c>
      <c r="J4594" s="45">
        <f>23317.66+1333.84</f>
        <v>24651.5</v>
      </c>
      <c r="K4594" s="49" t="s">
        <v>4035</v>
      </c>
      <c r="L4594" s="45"/>
      <c r="M4594" s="3"/>
    </row>
    <row r="4595" spans="1:13" ht="25.5" x14ac:dyDescent="0.25">
      <c r="A4595" s="46" t="s">
        <v>4090</v>
      </c>
      <c r="B4595" s="46" t="s">
        <v>38</v>
      </c>
      <c r="C4595" s="46" t="s">
        <v>14</v>
      </c>
      <c r="D4595" s="47">
        <v>2528</v>
      </c>
      <c r="E4595" s="46" t="s">
        <v>4091</v>
      </c>
      <c r="F4595" s="48">
        <v>39083</v>
      </c>
      <c r="G4595" s="46"/>
      <c r="H4595" s="46" t="s">
        <v>40</v>
      </c>
      <c r="I4595" s="45">
        <f>79744.7+24837.07</f>
        <v>104581.76999999999</v>
      </c>
      <c r="J4595" s="45">
        <f>63289.1+24837.07</f>
        <v>88126.17</v>
      </c>
      <c r="K4595" s="49" t="s">
        <v>4035</v>
      </c>
      <c r="L4595" s="45"/>
      <c r="M4595" s="3"/>
    </row>
    <row r="4596" spans="1:13" ht="38.25" x14ac:dyDescent="0.25">
      <c r="A4596" s="46" t="s">
        <v>4092</v>
      </c>
      <c r="B4596" s="46" t="s">
        <v>38</v>
      </c>
      <c r="C4596" s="46" t="s">
        <v>14</v>
      </c>
      <c r="D4596" s="47">
        <v>2546</v>
      </c>
      <c r="E4596" s="46" t="s">
        <v>4093</v>
      </c>
      <c r="F4596" s="48">
        <v>39083</v>
      </c>
      <c r="G4596" s="48">
        <v>39813</v>
      </c>
      <c r="H4596" s="46" t="s">
        <v>40</v>
      </c>
      <c r="I4596" s="45">
        <v>2914.69</v>
      </c>
      <c r="J4596" s="45">
        <v>2914.69</v>
      </c>
      <c r="K4596" s="49" t="s">
        <v>4035</v>
      </c>
      <c r="L4596" s="45"/>
      <c r="M4596" s="3"/>
    </row>
    <row r="4597" spans="1:13" ht="25.5" x14ac:dyDescent="0.25">
      <c r="A4597" s="46" t="s">
        <v>4094</v>
      </c>
      <c r="B4597" s="46" t="s">
        <v>38</v>
      </c>
      <c r="C4597" s="46" t="s">
        <v>14</v>
      </c>
      <c r="D4597" s="47">
        <v>2547</v>
      </c>
      <c r="E4597" s="46" t="s">
        <v>4095</v>
      </c>
      <c r="F4597" s="48">
        <v>39083</v>
      </c>
      <c r="G4597" s="46"/>
      <c r="H4597" s="46" t="s">
        <v>40</v>
      </c>
      <c r="I4597" s="45">
        <v>9301.66</v>
      </c>
      <c r="J4597" s="45">
        <v>8171.66</v>
      </c>
      <c r="K4597" s="49" t="s">
        <v>4035</v>
      </c>
      <c r="L4597" s="45"/>
      <c r="M4597" s="3"/>
    </row>
    <row r="4598" spans="1:13" ht="25.5" x14ac:dyDescent="0.25">
      <c r="A4598" s="46" t="s">
        <v>4096</v>
      </c>
      <c r="B4598" s="46" t="s">
        <v>38</v>
      </c>
      <c r="C4598" s="46" t="s">
        <v>14</v>
      </c>
      <c r="D4598" s="47">
        <v>2548</v>
      </c>
      <c r="E4598" s="46" t="s">
        <v>4097</v>
      </c>
      <c r="F4598" s="48">
        <v>39083</v>
      </c>
      <c r="G4598" s="46"/>
      <c r="H4598" s="46" t="s">
        <v>40</v>
      </c>
      <c r="I4598" s="45">
        <v>119904.81</v>
      </c>
      <c r="J4598" s="45">
        <v>97127.31</v>
      </c>
      <c r="K4598" s="49" t="s">
        <v>4035</v>
      </c>
      <c r="L4598" s="45"/>
      <c r="M4598" s="3"/>
    </row>
    <row r="4599" spans="1:13" ht="25.5" x14ac:dyDescent="0.25">
      <c r="A4599" s="46" t="s">
        <v>4098</v>
      </c>
      <c r="B4599" s="46" t="s">
        <v>38</v>
      </c>
      <c r="C4599" s="46" t="s">
        <v>14</v>
      </c>
      <c r="D4599" s="47">
        <v>2549</v>
      </c>
      <c r="E4599" s="46" t="s">
        <v>4099</v>
      </c>
      <c r="F4599" s="48">
        <v>39083</v>
      </c>
      <c r="G4599" s="48">
        <v>39813</v>
      </c>
      <c r="H4599" s="46" t="s">
        <v>40</v>
      </c>
      <c r="I4599" s="45">
        <v>2160</v>
      </c>
      <c r="J4599" s="45">
        <v>2160</v>
      </c>
      <c r="K4599" s="49" t="s">
        <v>4035</v>
      </c>
      <c r="L4599" s="45"/>
      <c r="M4599" s="3"/>
    </row>
    <row r="4600" spans="1:13" ht="25.5" x14ac:dyDescent="0.25">
      <c r="A4600" s="46" t="s">
        <v>11643</v>
      </c>
      <c r="B4600" s="46" t="s">
        <v>38</v>
      </c>
      <c r="C4600" s="46" t="s">
        <v>14</v>
      </c>
      <c r="D4600" s="47">
        <v>2978</v>
      </c>
      <c r="E4600" s="46" t="s">
        <v>4147</v>
      </c>
      <c r="F4600" s="48">
        <v>39083</v>
      </c>
      <c r="G4600" s="46"/>
      <c r="H4600" s="46" t="s">
        <v>40</v>
      </c>
      <c r="I4600" s="45">
        <v>5800</v>
      </c>
      <c r="J4600" s="45">
        <v>4300</v>
      </c>
      <c r="K4600" s="49" t="s">
        <v>4035</v>
      </c>
      <c r="L4600" s="45"/>
      <c r="M4600" s="3"/>
    </row>
    <row r="4601" spans="1:13" ht="38.25" x14ac:dyDescent="0.25">
      <c r="A4601" s="46" t="s">
        <v>4264</v>
      </c>
      <c r="B4601" s="46" t="s">
        <v>38</v>
      </c>
      <c r="C4601" s="46" t="s">
        <v>14</v>
      </c>
      <c r="D4601" s="47">
        <v>8931</v>
      </c>
      <c r="E4601" s="46" t="s">
        <v>4265</v>
      </c>
      <c r="F4601" s="48">
        <v>40544</v>
      </c>
      <c r="G4601" s="46"/>
      <c r="H4601" s="46" t="s">
        <v>40</v>
      </c>
      <c r="I4601" s="45">
        <f>25314.19+2846.77</f>
        <v>28160.959999999999</v>
      </c>
      <c r="J4601" s="45">
        <v>16759.439999999999</v>
      </c>
      <c r="K4601" s="49" t="s">
        <v>4035</v>
      </c>
      <c r="L4601" s="45"/>
      <c r="M4601" s="3"/>
    </row>
    <row r="4602" spans="1:13" ht="25.5" x14ac:dyDescent="0.25">
      <c r="A4602" s="46" t="s">
        <v>4266</v>
      </c>
      <c r="B4602" s="46" t="s">
        <v>38</v>
      </c>
      <c r="C4602" s="46" t="s">
        <v>14</v>
      </c>
      <c r="D4602" s="47">
        <v>8935</v>
      </c>
      <c r="E4602" s="46" t="s">
        <v>4267</v>
      </c>
      <c r="F4602" s="48">
        <v>40544</v>
      </c>
      <c r="G4602" s="46"/>
      <c r="H4602" s="46" t="s">
        <v>40</v>
      </c>
      <c r="I4602" s="45">
        <f>6037.39+4099.47</f>
        <v>10136.86</v>
      </c>
      <c r="J4602" s="45">
        <f>6037.39+4099.47</f>
        <v>10136.86</v>
      </c>
      <c r="K4602" s="49" t="s">
        <v>4035</v>
      </c>
      <c r="L4602" s="45"/>
      <c r="M4602" s="3"/>
    </row>
    <row r="4603" spans="1:13" ht="25.5" x14ac:dyDescent="0.25">
      <c r="A4603" s="46" t="s">
        <v>4268</v>
      </c>
      <c r="B4603" s="46" t="s">
        <v>38</v>
      </c>
      <c r="C4603" s="46" t="s">
        <v>14</v>
      </c>
      <c r="D4603" s="47">
        <v>10636</v>
      </c>
      <c r="E4603" s="46" t="s">
        <v>4269</v>
      </c>
      <c r="F4603" s="48">
        <v>40909</v>
      </c>
      <c r="G4603" s="46"/>
      <c r="H4603" s="46" t="s">
        <v>40</v>
      </c>
      <c r="I4603" s="45">
        <f>13740+8690</f>
        <v>22430</v>
      </c>
      <c r="J4603" s="45">
        <f>13390+8690</f>
        <v>22080</v>
      </c>
      <c r="K4603" s="49" t="s">
        <v>4035</v>
      </c>
      <c r="L4603" s="45"/>
      <c r="M4603" s="3"/>
    </row>
    <row r="4604" spans="1:13" ht="25.5" x14ac:dyDescent="0.25">
      <c r="A4604" s="46" t="s">
        <v>4307</v>
      </c>
      <c r="B4604" s="46" t="s">
        <v>38</v>
      </c>
      <c r="C4604" s="46" t="s">
        <v>14</v>
      </c>
      <c r="D4604" s="47">
        <v>10656</v>
      </c>
      <c r="E4604" s="46" t="s">
        <v>4308</v>
      </c>
      <c r="F4604" s="48">
        <v>40674</v>
      </c>
      <c r="G4604" s="46"/>
      <c r="H4604" s="46" t="s">
        <v>40</v>
      </c>
      <c r="I4604" s="45">
        <v>1186</v>
      </c>
      <c r="J4604" s="45">
        <v>593</v>
      </c>
      <c r="K4604" s="49" t="s">
        <v>4035</v>
      </c>
      <c r="L4604" s="45"/>
      <c r="M4604" s="3"/>
    </row>
    <row r="4605" spans="1:13" ht="38.25" x14ac:dyDescent="0.25">
      <c r="A4605" s="46" t="s">
        <v>10487</v>
      </c>
      <c r="B4605" s="46" t="s">
        <v>38</v>
      </c>
      <c r="C4605" s="46" t="s">
        <v>14</v>
      </c>
      <c r="D4605" s="47">
        <v>10737</v>
      </c>
      <c r="E4605" s="46" t="s">
        <v>10618</v>
      </c>
      <c r="F4605" s="48">
        <v>41275</v>
      </c>
      <c r="G4605" s="46"/>
      <c r="H4605" s="46" t="s">
        <v>651</v>
      </c>
      <c r="I4605" s="45">
        <v>10658.69</v>
      </c>
      <c r="J4605" s="45">
        <v>10658.69</v>
      </c>
      <c r="K4605" s="49" t="s">
        <v>4035</v>
      </c>
      <c r="L4605" s="46"/>
    </row>
    <row r="4606" spans="1:13" ht="25.5" x14ac:dyDescent="0.25">
      <c r="A4606" s="46" t="s">
        <v>4309</v>
      </c>
      <c r="B4606" s="46" t="s">
        <v>38</v>
      </c>
      <c r="C4606" s="46" t="s">
        <v>14</v>
      </c>
      <c r="D4606" s="47">
        <v>11648</v>
      </c>
      <c r="E4606" s="46" t="s">
        <v>4310</v>
      </c>
      <c r="F4606" s="48">
        <v>40909</v>
      </c>
      <c r="G4606" s="48">
        <v>40939</v>
      </c>
      <c r="H4606" s="46" t="s">
        <v>40</v>
      </c>
      <c r="I4606" s="45">
        <v>2000</v>
      </c>
      <c r="J4606" s="45">
        <v>1000</v>
      </c>
      <c r="K4606" s="49" t="s">
        <v>4035</v>
      </c>
      <c r="L4606" s="45"/>
      <c r="M4606" s="3"/>
    </row>
    <row r="4607" spans="1:13" ht="25.5" x14ac:dyDescent="0.25">
      <c r="A4607" s="46" t="s">
        <v>4433</v>
      </c>
      <c r="B4607" s="46" t="s">
        <v>38</v>
      </c>
      <c r="C4607" s="46" t="s">
        <v>14</v>
      </c>
      <c r="D4607" s="47">
        <v>2534</v>
      </c>
      <c r="E4607" s="46" t="s">
        <v>4434</v>
      </c>
      <c r="F4607" s="48">
        <v>39083</v>
      </c>
      <c r="G4607" s="46"/>
      <c r="H4607" s="46" t="s">
        <v>40</v>
      </c>
      <c r="I4607" s="45">
        <f>174563.52+35744.6</f>
        <v>210308.12</v>
      </c>
      <c r="J4607" s="45">
        <f>138818.92+35744.6</f>
        <v>174563.52000000002</v>
      </c>
      <c r="K4607" s="49" t="s">
        <v>4318</v>
      </c>
      <c r="L4607" s="45"/>
      <c r="M4607" s="3"/>
    </row>
    <row r="4608" spans="1:13" ht="38.25" x14ac:dyDescent="0.25">
      <c r="A4608" s="46" t="s">
        <v>4435</v>
      </c>
      <c r="B4608" s="46" t="s">
        <v>38</v>
      </c>
      <c r="C4608" s="46" t="s">
        <v>14</v>
      </c>
      <c r="D4608" s="47">
        <v>2550</v>
      </c>
      <c r="E4608" s="46" t="s">
        <v>4436</v>
      </c>
      <c r="F4608" s="48">
        <v>39083</v>
      </c>
      <c r="G4608" s="46"/>
      <c r="H4608" s="46" t="s">
        <v>40</v>
      </c>
      <c r="I4608" s="45">
        <f>365726.59+21453.25</f>
        <v>387179.84</v>
      </c>
      <c r="J4608" s="45">
        <f>340175.16+21453.25</f>
        <v>361628.41</v>
      </c>
      <c r="K4608" s="49" t="s">
        <v>4318</v>
      </c>
      <c r="L4608" s="45"/>
      <c r="M4608" s="3"/>
    </row>
    <row r="4609" spans="1:13" ht="25.5" x14ac:dyDescent="0.25">
      <c r="A4609" s="46" t="s">
        <v>4437</v>
      </c>
      <c r="B4609" s="46" t="s">
        <v>38</v>
      </c>
      <c r="C4609" s="46" t="s">
        <v>14</v>
      </c>
      <c r="D4609" s="47">
        <v>2552</v>
      </c>
      <c r="E4609" s="46" t="s">
        <v>4438</v>
      </c>
      <c r="F4609" s="48">
        <v>39083</v>
      </c>
      <c r="G4609" s="46"/>
      <c r="H4609" s="46" t="s">
        <v>40</v>
      </c>
      <c r="I4609" s="45">
        <f>37110.98+4996.61</f>
        <v>42107.590000000004</v>
      </c>
      <c r="J4609" s="45">
        <f>23350.57+4996.61</f>
        <v>28347.18</v>
      </c>
      <c r="K4609" s="49" t="s">
        <v>4318</v>
      </c>
      <c r="L4609" s="45"/>
      <c r="M4609" s="3"/>
    </row>
    <row r="4610" spans="1:13" ht="25.5" x14ac:dyDescent="0.25">
      <c r="A4610" s="46" t="s">
        <v>4439</v>
      </c>
      <c r="B4610" s="46" t="s">
        <v>38</v>
      </c>
      <c r="C4610" s="46" t="s">
        <v>14</v>
      </c>
      <c r="D4610" s="47">
        <v>2553</v>
      </c>
      <c r="E4610" s="46" t="s">
        <v>4440</v>
      </c>
      <c r="F4610" s="48">
        <v>39083</v>
      </c>
      <c r="G4610" s="46"/>
      <c r="H4610" s="46" t="s">
        <v>40</v>
      </c>
      <c r="I4610" s="45">
        <v>6689</v>
      </c>
      <c r="J4610" s="45">
        <v>6689</v>
      </c>
      <c r="K4610" s="49" t="s">
        <v>4318</v>
      </c>
      <c r="L4610" s="45"/>
      <c r="M4610" s="3"/>
    </row>
    <row r="4611" spans="1:13" ht="25.5" x14ac:dyDescent="0.25">
      <c r="A4611" s="46" t="s">
        <v>4441</v>
      </c>
      <c r="B4611" s="46" t="s">
        <v>38</v>
      </c>
      <c r="C4611" s="46" t="s">
        <v>14</v>
      </c>
      <c r="D4611" s="47">
        <v>2554</v>
      </c>
      <c r="E4611" s="46" t="s">
        <v>4442</v>
      </c>
      <c r="F4611" s="48">
        <v>39083</v>
      </c>
      <c r="G4611" s="46"/>
      <c r="H4611" s="46" t="s">
        <v>40</v>
      </c>
      <c r="I4611" s="45">
        <f>86899.59+6515.5</f>
        <v>93415.09</v>
      </c>
      <c r="J4611" s="45">
        <f>67829.09+6515.5</f>
        <v>74344.59</v>
      </c>
      <c r="K4611" s="49" t="s">
        <v>4318</v>
      </c>
      <c r="L4611" s="45"/>
      <c r="M4611" s="3"/>
    </row>
    <row r="4612" spans="1:13" ht="51" x14ac:dyDescent="0.25">
      <c r="A4612" s="46" t="s">
        <v>4443</v>
      </c>
      <c r="B4612" s="46" t="s">
        <v>38</v>
      </c>
      <c r="C4612" s="46" t="s">
        <v>14</v>
      </c>
      <c r="D4612" s="47">
        <v>2555</v>
      </c>
      <c r="E4612" s="50" t="s">
        <v>4444</v>
      </c>
      <c r="F4612" s="48">
        <v>39083</v>
      </c>
      <c r="G4612" s="46"/>
      <c r="H4612" s="46" t="s">
        <v>40</v>
      </c>
      <c r="I4612" s="45">
        <f>133268.18+3802</f>
        <v>137070.18</v>
      </c>
      <c r="J4612" s="45">
        <f>128666.18+3802</f>
        <v>132468.18</v>
      </c>
      <c r="K4612" s="49" t="s">
        <v>4318</v>
      </c>
      <c r="L4612" s="45"/>
      <c r="M4612" s="3"/>
    </row>
    <row r="4613" spans="1:13" ht="25.5" x14ac:dyDescent="0.25">
      <c r="A4613" s="46" t="s">
        <v>2284</v>
      </c>
      <c r="B4613" s="46" t="s">
        <v>38</v>
      </c>
      <c r="C4613" s="46" t="s">
        <v>14</v>
      </c>
      <c r="D4613" s="47">
        <v>2556</v>
      </c>
      <c r="E4613" s="46" t="s">
        <v>4445</v>
      </c>
      <c r="F4613" s="48">
        <v>39083</v>
      </c>
      <c r="G4613" s="46"/>
      <c r="H4613" s="46" t="s">
        <v>40</v>
      </c>
      <c r="I4613" s="45">
        <f>365014.75+58253.37</f>
        <v>423268.12</v>
      </c>
      <c r="J4613" s="45">
        <f>306761.38+58253.37</f>
        <v>365014.75</v>
      </c>
      <c r="K4613" s="49" t="s">
        <v>4318</v>
      </c>
      <c r="L4613" s="45"/>
      <c r="M4613" s="3"/>
    </row>
    <row r="4614" spans="1:13" ht="25.5" x14ac:dyDescent="0.25">
      <c r="A4614" s="46" t="s">
        <v>4446</v>
      </c>
      <c r="B4614" s="46" t="s">
        <v>38</v>
      </c>
      <c r="C4614" s="46" t="s">
        <v>14</v>
      </c>
      <c r="D4614" s="47">
        <v>2559</v>
      </c>
      <c r="E4614" s="46" t="s">
        <v>4447</v>
      </c>
      <c r="F4614" s="48">
        <v>39083</v>
      </c>
      <c r="G4614" s="46"/>
      <c r="H4614" s="46" t="s">
        <v>40</v>
      </c>
      <c r="I4614" s="45">
        <v>74643.03</v>
      </c>
      <c r="J4614" s="45">
        <v>74643.03</v>
      </c>
      <c r="K4614" s="49" t="s">
        <v>4318</v>
      </c>
      <c r="L4614" s="45"/>
      <c r="M4614" s="3"/>
    </row>
    <row r="4615" spans="1:13" ht="38.25" x14ac:dyDescent="0.25">
      <c r="A4615" s="46" t="s">
        <v>4448</v>
      </c>
      <c r="B4615" s="46" t="s">
        <v>38</v>
      </c>
      <c r="C4615" s="46" t="s">
        <v>14</v>
      </c>
      <c r="D4615" s="47">
        <v>2560</v>
      </c>
      <c r="E4615" s="46" t="s">
        <v>4449</v>
      </c>
      <c r="F4615" s="48">
        <v>39083</v>
      </c>
      <c r="G4615" s="46"/>
      <c r="H4615" s="46" t="s">
        <v>40</v>
      </c>
      <c r="I4615" s="45">
        <v>76254.67</v>
      </c>
      <c r="J4615" s="45">
        <v>76254.67</v>
      </c>
      <c r="K4615" s="49" t="s">
        <v>4318</v>
      </c>
      <c r="L4615" s="45"/>
      <c r="M4615" s="3"/>
    </row>
    <row r="4616" spans="1:13" ht="38.25" x14ac:dyDescent="0.25">
      <c r="A4616" s="46" t="s">
        <v>4450</v>
      </c>
      <c r="B4616" s="46" t="s">
        <v>38</v>
      </c>
      <c r="C4616" s="46" t="s">
        <v>14</v>
      </c>
      <c r="D4616" s="47">
        <v>2563</v>
      </c>
      <c r="E4616" s="46" t="s">
        <v>4451</v>
      </c>
      <c r="F4616" s="48">
        <v>39083</v>
      </c>
      <c r="G4616" s="46"/>
      <c r="H4616" s="46" t="s">
        <v>40</v>
      </c>
      <c r="I4616" s="45">
        <f>82970+2975</f>
        <v>85945</v>
      </c>
      <c r="J4616" s="45">
        <f>78395+2975</f>
        <v>81370</v>
      </c>
      <c r="K4616" s="49" t="s">
        <v>4318</v>
      </c>
      <c r="L4616" s="45"/>
      <c r="M4616" s="3"/>
    </row>
    <row r="4617" spans="1:13" ht="25.5" x14ac:dyDescent="0.25">
      <c r="A4617" s="46" t="s">
        <v>4452</v>
      </c>
      <c r="B4617" s="46" t="s">
        <v>38</v>
      </c>
      <c r="C4617" s="46" t="s">
        <v>14</v>
      </c>
      <c r="D4617" s="47">
        <v>2564</v>
      </c>
      <c r="E4617" s="46" t="s">
        <v>4453</v>
      </c>
      <c r="F4617" s="48">
        <v>39083</v>
      </c>
      <c r="G4617" s="46"/>
      <c r="H4617" s="46" t="s">
        <v>40</v>
      </c>
      <c r="I4617" s="45">
        <v>3359.06</v>
      </c>
      <c r="J4617" s="45">
        <v>3359.06</v>
      </c>
      <c r="K4617" s="49" t="s">
        <v>4318</v>
      </c>
      <c r="L4617" s="45"/>
      <c r="M4617" s="3"/>
    </row>
    <row r="4618" spans="1:13" ht="25.5" x14ac:dyDescent="0.25">
      <c r="A4618" s="46" t="s">
        <v>4454</v>
      </c>
      <c r="B4618" s="46" t="s">
        <v>38</v>
      </c>
      <c r="C4618" s="46" t="s">
        <v>14</v>
      </c>
      <c r="D4618" s="47">
        <v>2565</v>
      </c>
      <c r="E4618" s="46" t="s">
        <v>4455</v>
      </c>
      <c r="F4618" s="48">
        <v>39083</v>
      </c>
      <c r="G4618" s="46"/>
      <c r="H4618" s="46" t="s">
        <v>40</v>
      </c>
      <c r="I4618" s="45">
        <f>53009.67+2932</f>
        <v>55941.67</v>
      </c>
      <c r="J4618" s="45">
        <f>33387.67+2932</f>
        <v>36319.67</v>
      </c>
      <c r="K4618" s="49" t="s">
        <v>4318</v>
      </c>
      <c r="L4618" s="45"/>
      <c r="M4618" s="3"/>
    </row>
    <row r="4619" spans="1:13" ht="25.5" x14ac:dyDescent="0.25">
      <c r="A4619" s="46" t="s">
        <v>4456</v>
      </c>
      <c r="B4619" s="46" t="s">
        <v>38</v>
      </c>
      <c r="C4619" s="46" t="s">
        <v>14</v>
      </c>
      <c r="D4619" s="47">
        <v>2568</v>
      </c>
      <c r="E4619" s="46" t="s">
        <v>108</v>
      </c>
      <c r="F4619" s="48">
        <v>39083</v>
      </c>
      <c r="G4619" s="46"/>
      <c r="H4619" s="46" t="s">
        <v>40</v>
      </c>
      <c r="I4619" s="45">
        <f>365183.03+37670.95</f>
        <v>402853.98000000004</v>
      </c>
      <c r="J4619" s="45">
        <f>274611.61+37670.95</f>
        <v>312282.56</v>
      </c>
      <c r="K4619" s="49" t="s">
        <v>4318</v>
      </c>
      <c r="L4619" s="45"/>
      <c r="M4619" s="3"/>
    </row>
    <row r="4620" spans="1:13" ht="25.5" x14ac:dyDescent="0.25">
      <c r="A4620" s="46" t="s">
        <v>4503</v>
      </c>
      <c r="B4620" s="46" t="s">
        <v>38</v>
      </c>
      <c r="C4620" s="46" t="s">
        <v>14</v>
      </c>
      <c r="D4620" s="47">
        <v>5370</v>
      </c>
      <c r="E4620" s="46" t="s">
        <v>4504</v>
      </c>
      <c r="F4620" s="48">
        <v>39814</v>
      </c>
      <c r="G4620" s="46"/>
      <c r="H4620" s="46" t="s">
        <v>40</v>
      </c>
      <c r="I4620" s="45">
        <v>40171.46</v>
      </c>
      <c r="J4620" s="45">
        <v>8737.7099999999991</v>
      </c>
      <c r="K4620" s="49" t="s">
        <v>4318</v>
      </c>
      <c r="L4620" s="45"/>
      <c r="M4620" s="3"/>
    </row>
    <row r="4621" spans="1:13" ht="25.5" x14ac:dyDescent="0.25">
      <c r="A4621" s="46" t="s">
        <v>4505</v>
      </c>
      <c r="B4621" s="46" t="s">
        <v>38</v>
      </c>
      <c r="C4621" s="46" t="s">
        <v>14</v>
      </c>
      <c r="D4621" s="47">
        <v>5406</v>
      </c>
      <c r="E4621" s="46" t="s">
        <v>4506</v>
      </c>
      <c r="F4621" s="48">
        <v>39814</v>
      </c>
      <c r="G4621" s="46"/>
      <c r="H4621" s="46" t="s">
        <v>40</v>
      </c>
      <c r="I4621" s="45">
        <v>21495</v>
      </c>
      <c r="J4621" s="45">
        <v>21415</v>
      </c>
      <c r="K4621" s="49" t="s">
        <v>4318</v>
      </c>
      <c r="L4621" s="45"/>
      <c r="M4621" s="3"/>
    </row>
    <row r="4622" spans="1:13" ht="25.5" x14ac:dyDescent="0.25">
      <c r="A4622" s="46" t="s">
        <v>4507</v>
      </c>
      <c r="B4622" s="46" t="s">
        <v>38</v>
      </c>
      <c r="C4622" s="46" t="s">
        <v>14</v>
      </c>
      <c r="D4622" s="47">
        <v>5407</v>
      </c>
      <c r="E4622" s="46" t="s">
        <v>4508</v>
      </c>
      <c r="F4622" s="48">
        <v>39814</v>
      </c>
      <c r="G4622" s="46"/>
      <c r="H4622" s="46" t="s">
        <v>40</v>
      </c>
      <c r="I4622" s="45">
        <f>129433.88+24162.45</f>
        <v>153596.33000000002</v>
      </c>
      <c r="J4622" s="45">
        <f>81931.43+24162.45</f>
        <v>106093.87999999999</v>
      </c>
      <c r="K4622" s="49" t="s">
        <v>4318</v>
      </c>
      <c r="L4622" s="45"/>
      <c r="M4622" s="3"/>
    </row>
    <row r="4623" spans="1:13" ht="25.5" x14ac:dyDescent="0.25">
      <c r="A4623" s="46" t="s">
        <v>4549</v>
      </c>
      <c r="B4623" s="46" t="s">
        <v>38</v>
      </c>
      <c r="C4623" s="46" t="s">
        <v>14</v>
      </c>
      <c r="D4623" s="47">
        <v>7225</v>
      </c>
      <c r="E4623" s="46" t="s">
        <v>4550</v>
      </c>
      <c r="F4623" s="48">
        <v>40179</v>
      </c>
      <c r="G4623" s="46"/>
      <c r="H4623" s="46" t="s">
        <v>40</v>
      </c>
      <c r="I4623" s="45">
        <v>46000</v>
      </c>
      <c r="J4623" s="45">
        <v>46000</v>
      </c>
      <c r="K4623" s="49" t="s">
        <v>4318</v>
      </c>
      <c r="L4623" s="45"/>
      <c r="M4623" s="3"/>
    </row>
    <row r="4624" spans="1:13" ht="25.5" x14ac:dyDescent="0.25">
      <c r="A4624" s="46" t="s">
        <v>4551</v>
      </c>
      <c r="B4624" s="46" t="s">
        <v>38</v>
      </c>
      <c r="C4624" s="46" t="s">
        <v>14</v>
      </c>
      <c r="D4624" s="47">
        <v>7226</v>
      </c>
      <c r="E4624" s="46" t="s">
        <v>4552</v>
      </c>
      <c r="F4624" s="48">
        <v>40179</v>
      </c>
      <c r="G4624" s="48">
        <v>40487</v>
      </c>
      <c r="H4624" s="46" t="s">
        <v>40</v>
      </c>
      <c r="I4624" s="45">
        <v>9000</v>
      </c>
      <c r="J4624" s="45">
        <v>9000</v>
      </c>
      <c r="K4624" s="49" t="s">
        <v>4318</v>
      </c>
      <c r="L4624" s="45"/>
      <c r="M4624" s="3"/>
    </row>
    <row r="4625" spans="1:13" ht="25.5" x14ac:dyDescent="0.25">
      <c r="A4625" s="46" t="s">
        <v>4553</v>
      </c>
      <c r="B4625" s="46" t="s">
        <v>38</v>
      </c>
      <c r="C4625" s="46" t="s">
        <v>14</v>
      </c>
      <c r="D4625" s="47">
        <v>7227</v>
      </c>
      <c r="E4625" s="46" t="s">
        <v>4554</v>
      </c>
      <c r="F4625" s="48">
        <v>39814</v>
      </c>
      <c r="G4625" s="46"/>
      <c r="H4625" s="46" t="s">
        <v>40</v>
      </c>
      <c r="I4625" s="45">
        <v>6250</v>
      </c>
      <c r="J4625" s="45">
        <v>6250</v>
      </c>
      <c r="K4625" s="49" t="s">
        <v>4318</v>
      </c>
      <c r="L4625" s="45"/>
      <c r="M4625" s="3"/>
    </row>
    <row r="4626" spans="1:13" ht="38.25" x14ac:dyDescent="0.25">
      <c r="A4626" s="46" t="s">
        <v>4555</v>
      </c>
      <c r="B4626" s="46" t="s">
        <v>38</v>
      </c>
      <c r="C4626" s="46" t="s">
        <v>14</v>
      </c>
      <c r="D4626" s="47">
        <v>7228</v>
      </c>
      <c r="E4626" s="46" t="s">
        <v>4556</v>
      </c>
      <c r="F4626" s="48">
        <v>40179</v>
      </c>
      <c r="G4626" s="46"/>
      <c r="H4626" s="46" t="s">
        <v>40</v>
      </c>
      <c r="I4626" s="45">
        <v>3000</v>
      </c>
      <c r="J4626" s="45">
        <v>3000</v>
      </c>
      <c r="K4626" s="49" t="s">
        <v>4318</v>
      </c>
      <c r="L4626" s="45"/>
      <c r="M4626" s="3"/>
    </row>
    <row r="4627" spans="1:13" ht="25.5" x14ac:dyDescent="0.25">
      <c r="A4627" s="46" t="s">
        <v>4557</v>
      </c>
      <c r="B4627" s="46" t="s">
        <v>38</v>
      </c>
      <c r="C4627" s="46" t="s">
        <v>14</v>
      </c>
      <c r="D4627" s="47">
        <v>7229</v>
      </c>
      <c r="E4627" s="46" t="s">
        <v>4558</v>
      </c>
      <c r="F4627" s="48">
        <v>40179</v>
      </c>
      <c r="G4627" s="46"/>
      <c r="H4627" s="46" t="s">
        <v>40</v>
      </c>
      <c r="I4627" s="45">
        <v>41400</v>
      </c>
      <c r="J4627" s="45">
        <v>39800</v>
      </c>
      <c r="K4627" s="49" t="s">
        <v>4318</v>
      </c>
      <c r="L4627" s="45"/>
      <c r="M4627" s="3"/>
    </row>
    <row r="4628" spans="1:13" ht="25.5" x14ac:dyDescent="0.25">
      <c r="A4628" s="46" t="s">
        <v>4602</v>
      </c>
      <c r="B4628" s="46" t="s">
        <v>38</v>
      </c>
      <c r="C4628" s="46" t="s">
        <v>14</v>
      </c>
      <c r="D4628" s="47">
        <v>8803</v>
      </c>
      <c r="E4628" s="46" t="s">
        <v>4603</v>
      </c>
      <c r="F4628" s="48">
        <v>40544</v>
      </c>
      <c r="G4628" s="46"/>
      <c r="H4628" s="46" t="s">
        <v>40</v>
      </c>
      <c r="I4628" s="45">
        <f>39900+16800</f>
        <v>56700</v>
      </c>
      <c r="J4628" s="45">
        <f>6900+16800</f>
        <v>23700</v>
      </c>
      <c r="K4628" s="49" t="s">
        <v>4318</v>
      </c>
      <c r="L4628" s="45"/>
      <c r="M4628" s="3"/>
    </row>
    <row r="4629" spans="1:13" ht="25.5" x14ac:dyDescent="0.25">
      <c r="A4629" s="46" t="s">
        <v>4604</v>
      </c>
      <c r="B4629" s="46" t="s">
        <v>38</v>
      </c>
      <c r="C4629" s="46" t="s">
        <v>14</v>
      </c>
      <c r="D4629" s="47">
        <v>8806</v>
      </c>
      <c r="E4629" s="46" t="s">
        <v>4605</v>
      </c>
      <c r="F4629" s="48">
        <v>40544</v>
      </c>
      <c r="G4629" s="46"/>
      <c r="H4629" s="46" t="s">
        <v>40</v>
      </c>
      <c r="I4629" s="45">
        <v>5640.5</v>
      </c>
      <c r="J4629" s="45">
        <v>3160.5</v>
      </c>
      <c r="K4629" s="49" t="s">
        <v>4318</v>
      </c>
      <c r="L4629" s="45"/>
      <c r="M4629" s="3"/>
    </row>
    <row r="4630" spans="1:13" ht="25.5" x14ac:dyDescent="0.25">
      <c r="A4630" s="46" t="s">
        <v>4606</v>
      </c>
      <c r="B4630" s="46" t="s">
        <v>38</v>
      </c>
      <c r="C4630" s="46" t="s">
        <v>14</v>
      </c>
      <c r="D4630" s="47">
        <v>8811</v>
      </c>
      <c r="E4630" s="46" t="s">
        <v>4607</v>
      </c>
      <c r="F4630" s="48">
        <v>40544</v>
      </c>
      <c r="G4630" s="46"/>
      <c r="H4630" s="46" t="s">
        <v>40</v>
      </c>
      <c r="I4630" s="45">
        <f>9103+1135</f>
        <v>10238</v>
      </c>
      <c r="J4630" s="45">
        <f>4928+1135</f>
        <v>6063</v>
      </c>
      <c r="K4630" s="49" t="s">
        <v>4318</v>
      </c>
      <c r="L4630" s="45"/>
      <c r="M4630" s="3"/>
    </row>
    <row r="4631" spans="1:13" ht="25.5" x14ac:dyDescent="0.25">
      <c r="A4631" s="46" t="s">
        <v>4608</v>
      </c>
      <c r="B4631" s="46" t="s">
        <v>38</v>
      </c>
      <c r="C4631" s="46" t="s">
        <v>14</v>
      </c>
      <c r="D4631" s="47">
        <v>8812</v>
      </c>
      <c r="E4631" s="46" t="s">
        <v>4609</v>
      </c>
      <c r="F4631" s="48">
        <v>40544</v>
      </c>
      <c r="G4631" s="46"/>
      <c r="H4631" s="46" t="s">
        <v>40</v>
      </c>
      <c r="I4631" s="45">
        <v>1645</v>
      </c>
      <c r="J4631" s="45">
        <v>655</v>
      </c>
      <c r="K4631" s="49" t="s">
        <v>4318</v>
      </c>
      <c r="L4631" s="45"/>
      <c r="M4631" s="3"/>
    </row>
    <row r="4632" spans="1:13" ht="25.5" x14ac:dyDescent="0.25">
      <c r="A4632" s="46" t="s">
        <v>4610</v>
      </c>
      <c r="B4632" s="46" t="s">
        <v>38</v>
      </c>
      <c r="C4632" s="46" t="s">
        <v>14</v>
      </c>
      <c r="D4632" s="47">
        <v>8813</v>
      </c>
      <c r="E4632" s="46" t="s">
        <v>4611</v>
      </c>
      <c r="F4632" s="48">
        <v>40544</v>
      </c>
      <c r="G4632" s="46"/>
      <c r="H4632" s="46" t="s">
        <v>40</v>
      </c>
      <c r="I4632" s="45">
        <v>1066</v>
      </c>
      <c r="J4632" s="45">
        <v>646</v>
      </c>
      <c r="K4632" s="49" t="s">
        <v>4318</v>
      </c>
      <c r="L4632" s="45"/>
      <c r="M4632" s="3"/>
    </row>
    <row r="4633" spans="1:13" ht="25.5" x14ac:dyDescent="0.25">
      <c r="A4633" s="46" t="s">
        <v>4660</v>
      </c>
      <c r="B4633" s="46" t="s">
        <v>38</v>
      </c>
      <c r="C4633" s="46" t="s">
        <v>14</v>
      </c>
      <c r="D4633" s="47">
        <v>10860</v>
      </c>
      <c r="E4633" s="46" t="s">
        <v>4661</v>
      </c>
      <c r="F4633" s="48">
        <v>40909</v>
      </c>
      <c r="G4633" s="46"/>
      <c r="H4633" s="46" t="s">
        <v>40</v>
      </c>
      <c r="I4633" s="45">
        <f>12477.9+1950</f>
        <v>14427.9</v>
      </c>
      <c r="J4633" s="45">
        <f>7902.9+1950</f>
        <v>9852.9</v>
      </c>
      <c r="K4633" s="49" t="s">
        <v>4318</v>
      </c>
      <c r="L4633" s="45"/>
      <c r="M4633" s="3"/>
    </row>
    <row r="4634" spans="1:13" ht="51" x14ac:dyDescent="0.25">
      <c r="A4634" s="46" t="s">
        <v>10683</v>
      </c>
      <c r="B4634" s="46" t="s">
        <v>38</v>
      </c>
      <c r="C4634" s="46" t="s">
        <v>14</v>
      </c>
      <c r="D4634" s="47">
        <v>12600</v>
      </c>
      <c r="E4634" s="46" t="s">
        <v>10684</v>
      </c>
      <c r="F4634" s="48">
        <v>41275</v>
      </c>
      <c r="G4634" s="46"/>
      <c r="H4634" s="46" t="s">
        <v>651</v>
      </c>
      <c r="I4634" s="45">
        <v>6000</v>
      </c>
      <c r="J4634" s="45">
        <v>3000</v>
      </c>
      <c r="K4634" s="49" t="s">
        <v>4318</v>
      </c>
      <c r="L4634" s="46"/>
    </row>
    <row r="4635" spans="1:13" ht="25.5" x14ac:dyDescent="0.25">
      <c r="A4635" s="46" t="s">
        <v>10685</v>
      </c>
      <c r="B4635" s="46" t="s">
        <v>38</v>
      </c>
      <c r="C4635" s="46" t="s">
        <v>14</v>
      </c>
      <c r="D4635" s="47">
        <v>12607</v>
      </c>
      <c r="E4635" s="46" t="s">
        <v>10686</v>
      </c>
      <c r="F4635" s="48">
        <v>41275</v>
      </c>
      <c r="G4635" s="46"/>
      <c r="H4635" s="46" t="s">
        <v>651</v>
      </c>
      <c r="I4635" s="45">
        <v>2318</v>
      </c>
      <c r="J4635" s="45">
        <v>2318</v>
      </c>
      <c r="K4635" s="49" t="s">
        <v>4318</v>
      </c>
      <c r="L4635" s="46"/>
    </row>
    <row r="4636" spans="1:13" ht="25.5" x14ac:dyDescent="0.25">
      <c r="A4636" s="46" t="s">
        <v>4782</v>
      </c>
      <c r="B4636" s="46" t="s">
        <v>38</v>
      </c>
      <c r="C4636" s="46" t="s">
        <v>14</v>
      </c>
      <c r="D4636" s="47">
        <v>2070</v>
      </c>
      <c r="E4636" s="46" t="s">
        <v>4783</v>
      </c>
      <c r="F4636" s="48">
        <v>39083</v>
      </c>
      <c r="G4636" s="46"/>
      <c r="H4636" s="46" t="s">
        <v>40</v>
      </c>
      <c r="I4636" s="45">
        <v>30904</v>
      </c>
      <c r="J4636" s="45">
        <v>30904</v>
      </c>
      <c r="K4636" s="49" t="s">
        <v>4667</v>
      </c>
      <c r="L4636" s="45"/>
      <c r="M4636" s="3"/>
    </row>
    <row r="4637" spans="1:13" ht="25.5" x14ac:dyDescent="0.25">
      <c r="A4637" s="46" t="s">
        <v>4784</v>
      </c>
      <c r="B4637" s="46" t="s">
        <v>38</v>
      </c>
      <c r="C4637" s="46" t="s">
        <v>14</v>
      </c>
      <c r="D4637" s="47">
        <v>2072</v>
      </c>
      <c r="E4637" s="46" t="s">
        <v>4785</v>
      </c>
      <c r="F4637" s="48">
        <v>39083</v>
      </c>
      <c r="G4637" s="46"/>
      <c r="H4637" s="46" t="s">
        <v>40</v>
      </c>
      <c r="I4637" s="45">
        <v>225</v>
      </c>
      <c r="J4637" s="45">
        <v>225</v>
      </c>
      <c r="K4637" s="49" t="s">
        <v>4667</v>
      </c>
      <c r="L4637" s="45"/>
      <c r="M4637" s="3"/>
    </row>
    <row r="4638" spans="1:13" ht="25.5" x14ac:dyDescent="0.25">
      <c r="A4638" s="46" t="s">
        <v>4786</v>
      </c>
      <c r="B4638" s="46" t="s">
        <v>38</v>
      </c>
      <c r="C4638" s="46" t="s">
        <v>14</v>
      </c>
      <c r="D4638" s="47">
        <v>2073</v>
      </c>
      <c r="E4638" s="46" t="s">
        <v>4787</v>
      </c>
      <c r="F4638" s="48">
        <v>39083</v>
      </c>
      <c r="G4638" s="46"/>
      <c r="H4638" s="46" t="s">
        <v>40</v>
      </c>
      <c r="I4638" s="45">
        <f>271716.54+23648.61</f>
        <v>295365.14999999997</v>
      </c>
      <c r="J4638" s="45">
        <f>238067.93+23648.61</f>
        <v>261716.53999999998</v>
      </c>
      <c r="K4638" s="49" t="s">
        <v>4667</v>
      </c>
      <c r="L4638" s="45"/>
      <c r="M4638" s="3"/>
    </row>
    <row r="4639" spans="1:13" ht="38.25" x14ac:dyDescent="0.25">
      <c r="A4639" s="46" t="s">
        <v>4788</v>
      </c>
      <c r="B4639" s="46" t="s">
        <v>38</v>
      </c>
      <c r="C4639" s="46" t="s">
        <v>14</v>
      </c>
      <c r="D4639" s="47">
        <v>2074</v>
      </c>
      <c r="E4639" s="46" t="s">
        <v>4789</v>
      </c>
      <c r="F4639" s="48">
        <v>39083</v>
      </c>
      <c r="G4639" s="46"/>
      <c r="H4639" s="46" t="s">
        <v>40</v>
      </c>
      <c r="I4639" s="45">
        <f>294317.42+32304.4</f>
        <v>326621.82</v>
      </c>
      <c r="J4639" s="45">
        <f>216702.32+32304.4</f>
        <v>249006.72</v>
      </c>
      <c r="K4639" s="49" t="s">
        <v>4667</v>
      </c>
      <c r="L4639" s="45"/>
      <c r="M4639" s="3"/>
    </row>
    <row r="4640" spans="1:13" ht="25.5" x14ac:dyDescent="0.25">
      <c r="A4640" s="46" t="s">
        <v>4790</v>
      </c>
      <c r="B4640" s="46" t="s">
        <v>38</v>
      </c>
      <c r="C4640" s="46" t="s">
        <v>14</v>
      </c>
      <c r="D4640" s="47">
        <v>2086</v>
      </c>
      <c r="E4640" s="46" t="s">
        <v>4791</v>
      </c>
      <c r="F4640" s="48">
        <v>39083</v>
      </c>
      <c r="G4640" s="46"/>
      <c r="H4640" s="46" t="s">
        <v>40</v>
      </c>
      <c r="I4640" s="45">
        <v>57043</v>
      </c>
      <c r="J4640" s="45">
        <v>48243</v>
      </c>
      <c r="K4640" s="49" t="s">
        <v>4667</v>
      </c>
      <c r="L4640" s="45"/>
      <c r="M4640" s="3"/>
    </row>
    <row r="4641" spans="1:13" ht="38.25" x14ac:dyDescent="0.25">
      <c r="A4641" s="46" t="s">
        <v>4792</v>
      </c>
      <c r="B4641" s="46" t="s">
        <v>38</v>
      </c>
      <c r="C4641" s="46" t="s">
        <v>14</v>
      </c>
      <c r="D4641" s="47">
        <v>2089</v>
      </c>
      <c r="E4641" s="50" t="s">
        <v>4793</v>
      </c>
      <c r="F4641" s="48">
        <v>39083</v>
      </c>
      <c r="G4641" s="46"/>
      <c r="H4641" s="46" t="s">
        <v>40</v>
      </c>
      <c r="I4641" s="45">
        <f>109575.89+5100</f>
        <v>114675.89</v>
      </c>
      <c r="J4641" s="45">
        <f>92339.78+5100</f>
        <v>97439.78</v>
      </c>
      <c r="K4641" s="49" t="s">
        <v>4667</v>
      </c>
      <c r="L4641" s="45"/>
      <c r="M4641" s="3"/>
    </row>
    <row r="4642" spans="1:13" ht="38.25" x14ac:dyDescent="0.25">
      <c r="A4642" s="46" t="s">
        <v>4794</v>
      </c>
      <c r="B4642" s="46" t="s">
        <v>38</v>
      </c>
      <c r="C4642" s="46" t="s">
        <v>14</v>
      </c>
      <c r="D4642" s="47">
        <v>2092</v>
      </c>
      <c r="E4642" s="50" t="s">
        <v>4795</v>
      </c>
      <c r="F4642" s="48">
        <v>39083</v>
      </c>
      <c r="G4642" s="46"/>
      <c r="H4642" s="46" t="s">
        <v>40</v>
      </c>
      <c r="I4642" s="45">
        <f>136543.27+9685.44</f>
        <v>146228.71</v>
      </c>
      <c r="J4642" s="45">
        <f>126857.83+9685.44</f>
        <v>136543.26999999999</v>
      </c>
      <c r="K4642" s="49" t="s">
        <v>4667</v>
      </c>
      <c r="L4642" s="45"/>
      <c r="M4642" s="3"/>
    </row>
    <row r="4643" spans="1:13" ht="25.5" x14ac:dyDescent="0.25">
      <c r="A4643" s="46" t="s">
        <v>4796</v>
      </c>
      <c r="B4643" s="46" t="s">
        <v>38</v>
      </c>
      <c r="C4643" s="46" t="s">
        <v>14</v>
      </c>
      <c r="D4643" s="47">
        <v>2094</v>
      </c>
      <c r="E4643" s="46" t="s">
        <v>4797</v>
      </c>
      <c r="F4643" s="48">
        <v>39083</v>
      </c>
      <c r="G4643" s="46"/>
      <c r="H4643" s="46" t="s">
        <v>40</v>
      </c>
      <c r="I4643" s="45">
        <f>115819+9057.6</f>
        <v>124876.6</v>
      </c>
      <c r="J4643" s="45">
        <f>62851.4+9057.6</f>
        <v>71909</v>
      </c>
      <c r="K4643" s="49" t="s">
        <v>4667</v>
      </c>
      <c r="L4643" s="45"/>
      <c r="M4643" s="3"/>
    </row>
    <row r="4644" spans="1:13" ht="25.5" x14ac:dyDescent="0.25">
      <c r="A4644" s="46" t="s">
        <v>4798</v>
      </c>
      <c r="B4644" s="46" t="s">
        <v>38</v>
      </c>
      <c r="C4644" s="46" t="s">
        <v>14</v>
      </c>
      <c r="D4644" s="47">
        <v>2100</v>
      </c>
      <c r="E4644" s="46" t="s">
        <v>4799</v>
      </c>
      <c r="F4644" s="48">
        <v>39083</v>
      </c>
      <c r="G4644" s="46"/>
      <c r="H4644" s="46" t="s">
        <v>40</v>
      </c>
      <c r="I4644" s="45">
        <f>278840.1+23244.7</f>
        <v>302084.8</v>
      </c>
      <c r="J4644" s="45">
        <f>209893.4+23244.7</f>
        <v>233138.1</v>
      </c>
      <c r="K4644" s="49" t="s">
        <v>4667</v>
      </c>
      <c r="L4644" s="45"/>
      <c r="M4644" s="3"/>
    </row>
    <row r="4645" spans="1:13" ht="25.5" x14ac:dyDescent="0.25">
      <c r="A4645" s="46" t="s">
        <v>4800</v>
      </c>
      <c r="B4645" s="46" t="s">
        <v>38</v>
      </c>
      <c r="C4645" s="46" t="s">
        <v>14</v>
      </c>
      <c r="D4645" s="47">
        <v>2110</v>
      </c>
      <c r="E4645" s="46" t="s">
        <v>4801</v>
      </c>
      <c r="F4645" s="48">
        <v>39083</v>
      </c>
      <c r="G4645" s="46"/>
      <c r="H4645" s="46" t="s">
        <v>40</v>
      </c>
      <c r="I4645" s="45">
        <v>55718.5</v>
      </c>
      <c r="J4645" s="45">
        <v>48128.5</v>
      </c>
      <c r="K4645" s="49" t="s">
        <v>4667</v>
      </c>
      <c r="L4645" s="45"/>
      <c r="M4645" s="3"/>
    </row>
    <row r="4646" spans="1:13" ht="25.5" x14ac:dyDescent="0.25">
      <c r="A4646" s="46" t="s">
        <v>4802</v>
      </c>
      <c r="B4646" s="46" t="s">
        <v>38</v>
      </c>
      <c r="C4646" s="46" t="s">
        <v>14</v>
      </c>
      <c r="D4646" s="47">
        <v>2111</v>
      </c>
      <c r="E4646" s="46" t="s">
        <v>4803</v>
      </c>
      <c r="F4646" s="48">
        <v>39083</v>
      </c>
      <c r="G4646" s="46"/>
      <c r="H4646" s="46" t="s">
        <v>40</v>
      </c>
      <c r="I4646" s="45">
        <v>21729.35</v>
      </c>
      <c r="J4646" s="45">
        <v>16464.349999999999</v>
      </c>
      <c r="K4646" s="49" t="s">
        <v>4667</v>
      </c>
      <c r="L4646" s="45"/>
      <c r="M4646" s="3"/>
    </row>
    <row r="4647" spans="1:13" ht="25.5" x14ac:dyDescent="0.25">
      <c r="A4647" s="46" t="s">
        <v>4804</v>
      </c>
      <c r="B4647" s="46" t="s">
        <v>38</v>
      </c>
      <c r="C4647" s="46" t="s">
        <v>14</v>
      </c>
      <c r="D4647" s="47">
        <v>2112</v>
      </c>
      <c r="E4647" s="46" t="s">
        <v>4805</v>
      </c>
      <c r="F4647" s="48">
        <v>39083</v>
      </c>
      <c r="G4647" s="46"/>
      <c r="H4647" s="46" t="s">
        <v>40</v>
      </c>
      <c r="I4647" s="45">
        <f>55465.35+3212.6</f>
        <v>58677.95</v>
      </c>
      <c r="J4647" s="45">
        <f>34982.75+3212.6</f>
        <v>38195.35</v>
      </c>
      <c r="K4647" s="49" t="s">
        <v>4667</v>
      </c>
      <c r="L4647" s="45"/>
      <c r="M4647" s="3"/>
    </row>
    <row r="4648" spans="1:13" ht="25.5" x14ac:dyDescent="0.25">
      <c r="A4648" s="46" t="s">
        <v>4806</v>
      </c>
      <c r="B4648" s="46" t="s">
        <v>38</v>
      </c>
      <c r="C4648" s="46" t="s">
        <v>14</v>
      </c>
      <c r="D4648" s="47">
        <v>2113</v>
      </c>
      <c r="E4648" s="46" t="s">
        <v>4807</v>
      </c>
      <c r="F4648" s="48">
        <v>39083</v>
      </c>
      <c r="G4648" s="46"/>
      <c r="H4648" s="46" t="s">
        <v>40</v>
      </c>
      <c r="I4648" s="45">
        <v>16211.55</v>
      </c>
      <c r="J4648" s="45">
        <v>11491.55</v>
      </c>
      <c r="K4648" s="49" t="s">
        <v>4667</v>
      </c>
      <c r="L4648" s="45"/>
      <c r="M4648" s="3"/>
    </row>
    <row r="4649" spans="1:13" ht="25.5" x14ac:dyDescent="0.25">
      <c r="A4649" s="46" t="s">
        <v>4808</v>
      </c>
      <c r="B4649" s="46" t="s">
        <v>38</v>
      </c>
      <c r="C4649" s="46" t="s">
        <v>14</v>
      </c>
      <c r="D4649" s="47">
        <v>2114</v>
      </c>
      <c r="E4649" s="46" t="s">
        <v>4809</v>
      </c>
      <c r="F4649" s="48">
        <v>39083</v>
      </c>
      <c r="G4649" s="46"/>
      <c r="H4649" s="46" t="s">
        <v>40</v>
      </c>
      <c r="I4649" s="45">
        <f>329544.14+84797.15</f>
        <v>414341.29000000004</v>
      </c>
      <c r="J4649" s="45">
        <f>244746.99+84797.15</f>
        <v>329544.14</v>
      </c>
      <c r="K4649" s="49" t="s">
        <v>4667</v>
      </c>
      <c r="L4649" s="45"/>
      <c r="M4649" s="3"/>
    </row>
    <row r="4650" spans="1:13" ht="25.5" x14ac:dyDescent="0.25">
      <c r="A4650" s="46" t="s">
        <v>4810</v>
      </c>
      <c r="B4650" s="46" t="s">
        <v>38</v>
      </c>
      <c r="C4650" s="46" t="s">
        <v>14</v>
      </c>
      <c r="D4650" s="47">
        <v>2115</v>
      </c>
      <c r="E4650" s="46" t="s">
        <v>4811</v>
      </c>
      <c r="F4650" s="48">
        <v>39083</v>
      </c>
      <c r="G4650" s="46"/>
      <c r="H4650" s="46" t="s">
        <v>40</v>
      </c>
      <c r="I4650" s="45">
        <v>3726.35</v>
      </c>
      <c r="J4650" s="45">
        <v>2436.35</v>
      </c>
      <c r="K4650" s="49" t="s">
        <v>4667</v>
      </c>
      <c r="L4650" s="45"/>
      <c r="M4650" s="3"/>
    </row>
    <row r="4651" spans="1:13" ht="25.5" x14ac:dyDescent="0.25">
      <c r="A4651" s="46" t="s">
        <v>4812</v>
      </c>
      <c r="B4651" s="46" t="s">
        <v>38</v>
      </c>
      <c r="C4651" s="46" t="s">
        <v>14</v>
      </c>
      <c r="D4651" s="47">
        <v>2116</v>
      </c>
      <c r="E4651" s="46" t="s">
        <v>4813</v>
      </c>
      <c r="F4651" s="48">
        <v>39083</v>
      </c>
      <c r="G4651" s="46"/>
      <c r="H4651" s="46" t="s">
        <v>40</v>
      </c>
      <c r="I4651" s="45">
        <v>8800</v>
      </c>
      <c r="J4651" s="45">
        <v>7400</v>
      </c>
      <c r="K4651" s="49" t="s">
        <v>4667</v>
      </c>
      <c r="L4651" s="45"/>
      <c r="M4651" s="3"/>
    </row>
    <row r="4652" spans="1:13" ht="25.5" x14ac:dyDescent="0.25">
      <c r="A4652" s="46" t="s">
        <v>4814</v>
      </c>
      <c r="B4652" s="46" t="s">
        <v>38</v>
      </c>
      <c r="C4652" s="46" t="s">
        <v>14</v>
      </c>
      <c r="D4652" s="47">
        <v>2118</v>
      </c>
      <c r="E4652" s="46" t="s">
        <v>4815</v>
      </c>
      <c r="F4652" s="48">
        <v>39083</v>
      </c>
      <c r="G4652" s="46"/>
      <c r="H4652" s="46" t="s">
        <v>40</v>
      </c>
      <c r="I4652" s="45">
        <v>18084.400000000001</v>
      </c>
      <c r="J4652" s="45">
        <v>12164.4</v>
      </c>
      <c r="K4652" s="49" t="s">
        <v>4667</v>
      </c>
      <c r="L4652" s="45"/>
      <c r="M4652" s="3"/>
    </row>
    <row r="4653" spans="1:13" ht="25.5" x14ac:dyDescent="0.25">
      <c r="A4653" s="46" t="s">
        <v>4816</v>
      </c>
      <c r="B4653" s="46" t="s">
        <v>38</v>
      </c>
      <c r="C4653" s="46" t="s">
        <v>14</v>
      </c>
      <c r="D4653" s="47">
        <v>2119</v>
      </c>
      <c r="E4653" s="46" t="s">
        <v>4817</v>
      </c>
      <c r="F4653" s="48">
        <v>39083</v>
      </c>
      <c r="G4653" s="46"/>
      <c r="H4653" s="46" t="s">
        <v>40</v>
      </c>
      <c r="I4653" s="45">
        <f>40486.09+2405.59</f>
        <v>42891.679999999993</v>
      </c>
      <c r="J4653" s="45">
        <f>24295.5+2405.59</f>
        <v>26701.09</v>
      </c>
      <c r="K4653" s="49" t="s">
        <v>4667</v>
      </c>
      <c r="L4653" s="45"/>
      <c r="M4653" s="3"/>
    </row>
    <row r="4654" spans="1:13" ht="25.5" x14ac:dyDescent="0.25">
      <c r="A4654" s="46" t="s">
        <v>4818</v>
      </c>
      <c r="B4654" s="46" t="s">
        <v>38</v>
      </c>
      <c r="C4654" s="46" t="s">
        <v>14</v>
      </c>
      <c r="D4654" s="47">
        <v>2128</v>
      </c>
      <c r="E4654" s="46" t="s">
        <v>4819</v>
      </c>
      <c r="F4654" s="48">
        <v>39448</v>
      </c>
      <c r="G4654" s="46"/>
      <c r="H4654" s="46" t="s">
        <v>40</v>
      </c>
      <c r="I4654" s="45">
        <v>24366.7</v>
      </c>
      <c r="J4654" s="45">
        <v>19166.7</v>
      </c>
      <c r="K4654" s="49" t="s">
        <v>4667</v>
      </c>
      <c r="L4654" s="45"/>
      <c r="M4654" s="3"/>
    </row>
    <row r="4655" spans="1:13" ht="25.5" x14ac:dyDescent="0.25">
      <c r="A4655" s="46" t="s">
        <v>4820</v>
      </c>
      <c r="B4655" s="46" t="s">
        <v>38</v>
      </c>
      <c r="C4655" s="46" t="s">
        <v>14</v>
      </c>
      <c r="D4655" s="47">
        <v>2707</v>
      </c>
      <c r="E4655" s="46" t="s">
        <v>4821</v>
      </c>
      <c r="F4655" s="48">
        <v>39083</v>
      </c>
      <c r="G4655" s="46"/>
      <c r="H4655" s="46" t="s">
        <v>40</v>
      </c>
      <c r="I4655" s="45">
        <f>123662.75+9696.35</f>
        <v>133359.1</v>
      </c>
      <c r="J4655" s="45">
        <f>80070.9+9696.35</f>
        <v>89767.25</v>
      </c>
      <c r="K4655" s="49" t="s">
        <v>4667</v>
      </c>
      <c r="L4655" s="45"/>
      <c r="M4655" s="3"/>
    </row>
    <row r="4656" spans="1:13" ht="25.5" x14ac:dyDescent="0.25">
      <c r="A4656" s="46" t="s">
        <v>4822</v>
      </c>
      <c r="B4656" s="46" t="s">
        <v>38</v>
      </c>
      <c r="C4656" s="46" t="s">
        <v>14</v>
      </c>
      <c r="D4656" s="47">
        <v>2709</v>
      </c>
      <c r="E4656" s="46" t="s">
        <v>4823</v>
      </c>
      <c r="F4656" s="48">
        <v>39448</v>
      </c>
      <c r="G4656" s="46"/>
      <c r="H4656" s="46" t="s">
        <v>40</v>
      </c>
      <c r="I4656" s="45">
        <v>4954</v>
      </c>
      <c r="J4656" s="45">
        <v>4954</v>
      </c>
      <c r="K4656" s="49" t="s">
        <v>4667</v>
      </c>
      <c r="L4656" s="45"/>
      <c r="M4656" s="3"/>
    </row>
    <row r="4657" spans="1:13" ht="38.25" x14ac:dyDescent="0.25">
      <c r="A4657" s="46" t="s">
        <v>4822</v>
      </c>
      <c r="B4657" s="46" t="s">
        <v>38</v>
      </c>
      <c r="C4657" s="46" t="s">
        <v>14</v>
      </c>
      <c r="D4657" s="47">
        <v>2923</v>
      </c>
      <c r="E4657" s="46" t="s">
        <v>4858</v>
      </c>
      <c r="F4657" s="48">
        <v>39448</v>
      </c>
      <c r="G4657" s="46"/>
      <c r="H4657" s="46" t="s">
        <v>40</v>
      </c>
      <c r="I4657" s="45">
        <v>4226.6000000000004</v>
      </c>
      <c r="J4657" s="45">
        <v>4226.6000000000004</v>
      </c>
      <c r="K4657" s="49" t="s">
        <v>4667</v>
      </c>
      <c r="L4657" s="45"/>
      <c r="M4657" s="3"/>
    </row>
    <row r="4658" spans="1:13" ht="25.5" x14ac:dyDescent="0.25">
      <c r="A4658" s="46" t="s">
        <v>4873</v>
      </c>
      <c r="B4658" s="46" t="s">
        <v>38</v>
      </c>
      <c r="C4658" s="46" t="s">
        <v>14</v>
      </c>
      <c r="D4658" s="47">
        <v>5562</v>
      </c>
      <c r="E4658" s="46" t="s">
        <v>4874</v>
      </c>
      <c r="F4658" s="48">
        <v>39814</v>
      </c>
      <c r="G4658" s="46"/>
      <c r="H4658" s="46" t="s">
        <v>40</v>
      </c>
      <c r="I4658" s="45">
        <v>15818.95</v>
      </c>
      <c r="J4658" s="45">
        <v>12818.95</v>
      </c>
      <c r="K4658" s="49" t="s">
        <v>4667</v>
      </c>
      <c r="L4658" s="45"/>
      <c r="M4658" s="3"/>
    </row>
    <row r="4659" spans="1:13" ht="38.25" x14ac:dyDescent="0.25">
      <c r="A4659" s="46" t="s">
        <v>4875</v>
      </c>
      <c r="B4659" s="46" t="s">
        <v>38</v>
      </c>
      <c r="C4659" s="46" t="s">
        <v>14</v>
      </c>
      <c r="D4659" s="47">
        <v>5565</v>
      </c>
      <c r="E4659" s="46" t="s">
        <v>4876</v>
      </c>
      <c r="F4659" s="48">
        <v>39814</v>
      </c>
      <c r="G4659" s="46"/>
      <c r="H4659" s="46" t="s">
        <v>40</v>
      </c>
      <c r="I4659" s="45">
        <f>37393.05+8364</f>
        <v>45757.05</v>
      </c>
      <c r="J4659" s="45">
        <f>19463.65+8364.4</f>
        <v>27828.050000000003</v>
      </c>
      <c r="K4659" s="49" t="s">
        <v>4667</v>
      </c>
      <c r="L4659" s="45"/>
      <c r="M4659" s="3"/>
    </row>
    <row r="4660" spans="1:13" ht="25.5" x14ac:dyDescent="0.25">
      <c r="A4660" s="46" t="s">
        <v>2372</v>
      </c>
      <c r="B4660" s="46" t="s">
        <v>38</v>
      </c>
      <c r="C4660" s="46" t="s">
        <v>14</v>
      </c>
      <c r="D4660" s="47">
        <v>5568</v>
      </c>
      <c r="E4660" s="46" t="s">
        <v>4877</v>
      </c>
      <c r="F4660" s="48">
        <v>39814</v>
      </c>
      <c r="G4660" s="46"/>
      <c r="H4660" s="46" t="s">
        <v>40</v>
      </c>
      <c r="I4660" s="45">
        <v>834.6</v>
      </c>
      <c r="J4660" s="45">
        <v>834.6</v>
      </c>
      <c r="K4660" s="49" t="s">
        <v>4667</v>
      </c>
      <c r="L4660" s="45"/>
      <c r="M4660" s="3"/>
    </row>
    <row r="4661" spans="1:13" ht="25.5" x14ac:dyDescent="0.25">
      <c r="A4661" s="46" t="s">
        <v>4878</v>
      </c>
      <c r="B4661" s="46" t="s">
        <v>38</v>
      </c>
      <c r="C4661" s="46" t="s">
        <v>14</v>
      </c>
      <c r="D4661" s="47">
        <v>5571</v>
      </c>
      <c r="E4661" s="46" t="s">
        <v>4879</v>
      </c>
      <c r="F4661" s="48">
        <v>39814</v>
      </c>
      <c r="G4661" s="46"/>
      <c r="H4661" s="46" t="s">
        <v>40</v>
      </c>
      <c r="I4661" s="45">
        <v>19000</v>
      </c>
      <c r="J4661" s="45">
        <v>19000</v>
      </c>
      <c r="K4661" s="49" t="s">
        <v>4667</v>
      </c>
      <c r="L4661" s="45"/>
      <c r="M4661" s="3"/>
    </row>
    <row r="4662" spans="1:13" ht="38.25" x14ac:dyDescent="0.25">
      <c r="A4662" s="46" t="s">
        <v>4880</v>
      </c>
      <c r="B4662" s="46" t="s">
        <v>38</v>
      </c>
      <c r="C4662" s="46" t="s">
        <v>14</v>
      </c>
      <c r="D4662" s="47">
        <v>5572</v>
      </c>
      <c r="E4662" s="50" t="s">
        <v>4881</v>
      </c>
      <c r="F4662" s="48">
        <v>39814</v>
      </c>
      <c r="G4662" s="46"/>
      <c r="H4662" s="46" t="s">
        <v>40</v>
      </c>
      <c r="I4662" s="45">
        <v>800.68</v>
      </c>
      <c r="J4662" s="45">
        <v>800.68</v>
      </c>
      <c r="K4662" s="49" t="s">
        <v>4667</v>
      </c>
      <c r="L4662" s="45"/>
      <c r="M4662" s="3"/>
    </row>
    <row r="4663" spans="1:13" ht="25.5" x14ac:dyDescent="0.25">
      <c r="A4663" s="46" t="s">
        <v>4940</v>
      </c>
      <c r="B4663" s="46" t="s">
        <v>38</v>
      </c>
      <c r="C4663" s="46" t="s">
        <v>14</v>
      </c>
      <c r="D4663" s="47">
        <v>7017</v>
      </c>
      <c r="E4663" s="46" t="s">
        <v>4941</v>
      </c>
      <c r="F4663" s="48">
        <v>40179</v>
      </c>
      <c r="G4663" s="46"/>
      <c r="H4663" s="46" t="s">
        <v>40</v>
      </c>
      <c r="I4663" s="45">
        <v>6300</v>
      </c>
      <c r="J4663" s="45">
        <v>6300</v>
      </c>
      <c r="K4663" s="49" t="s">
        <v>4667</v>
      </c>
      <c r="L4663" s="45"/>
      <c r="M4663" s="3"/>
    </row>
    <row r="4664" spans="1:13" ht="38.25" x14ac:dyDescent="0.25">
      <c r="A4664" s="46" t="s">
        <v>4942</v>
      </c>
      <c r="B4664" s="46" t="s">
        <v>38</v>
      </c>
      <c r="C4664" s="46" t="s">
        <v>14</v>
      </c>
      <c r="D4664" s="47">
        <v>8710</v>
      </c>
      <c r="E4664" s="46" t="s">
        <v>4943</v>
      </c>
      <c r="F4664" s="48">
        <v>40544</v>
      </c>
      <c r="G4664" s="46"/>
      <c r="H4664" s="46" t="s">
        <v>40</v>
      </c>
      <c r="I4664" s="45">
        <v>1210</v>
      </c>
      <c r="J4664" s="45">
        <v>1210</v>
      </c>
      <c r="K4664" s="49" t="s">
        <v>4667</v>
      </c>
      <c r="L4664" s="45"/>
      <c r="M4664" s="3"/>
    </row>
    <row r="4665" spans="1:13" ht="25.5" x14ac:dyDescent="0.25">
      <c r="A4665" s="46" t="s">
        <v>4944</v>
      </c>
      <c r="B4665" s="46" t="s">
        <v>38</v>
      </c>
      <c r="C4665" s="46" t="s">
        <v>14</v>
      </c>
      <c r="D4665" s="47">
        <v>8711</v>
      </c>
      <c r="E4665" s="46" t="s">
        <v>4945</v>
      </c>
      <c r="F4665" s="48">
        <v>40544</v>
      </c>
      <c r="G4665" s="46"/>
      <c r="H4665" s="46" t="s">
        <v>40</v>
      </c>
      <c r="I4665" s="45">
        <v>1200.5</v>
      </c>
      <c r="J4665" s="45">
        <v>1200.5</v>
      </c>
      <c r="K4665" s="49" t="s">
        <v>4667</v>
      </c>
      <c r="L4665" s="45"/>
      <c r="M4665" s="3"/>
    </row>
    <row r="4666" spans="1:13" ht="25.5" x14ac:dyDescent="0.25">
      <c r="A4666" s="46" t="s">
        <v>4946</v>
      </c>
      <c r="B4666" s="46" t="s">
        <v>38</v>
      </c>
      <c r="C4666" s="46" t="s">
        <v>14</v>
      </c>
      <c r="D4666" s="47">
        <v>8713</v>
      </c>
      <c r="E4666" s="46" t="s">
        <v>4947</v>
      </c>
      <c r="F4666" s="48">
        <v>40544</v>
      </c>
      <c r="G4666" s="46"/>
      <c r="H4666" s="46" t="s">
        <v>40</v>
      </c>
      <c r="I4666" s="45">
        <f>23851.28+12826.28</f>
        <v>36677.56</v>
      </c>
      <c r="J4666" s="45">
        <f>4000+12826.28</f>
        <v>16826.28</v>
      </c>
      <c r="K4666" s="49" t="s">
        <v>4667</v>
      </c>
      <c r="L4666" s="45"/>
      <c r="M4666" s="3"/>
    </row>
    <row r="4667" spans="1:13" ht="25.5" x14ac:dyDescent="0.25">
      <c r="A4667" s="46" t="s">
        <v>4948</v>
      </c>
      <c r="B4667" s="46" t="s">
        <v>38</v>
      </c>
      <c r="C4667" s="46" t="s">
        <v>14</v>
      </c>
      <c r="D4667" s="47">
        <v>8715</v>
      </c>
      <c r="E4667" s="46" t="s">
        <v>4949</v>
      </c>
      <c r="F4667" s="48">
        <v>40544</v>
      </c>
      <c r="G4667" s="46"/>
      <c r="H4667" s="46" t="s">
        <v>40</v>
      </c>
      <c r="I4667" s="45">
        <f>15367.46+8408.07</f>
        <v>23775.53</v>
      </c>
      <c r="J4667" s="45">
        <f>5759.39+8408.07</f>
        <v>14167.46</v>
      </c>
      <c r="K4667" s="49" t="s">
        <v>4667</v>
      </c>
      <c r="L4667" s="45"/>
      <c r="M4667" s="3"/>
    </row>
    <row r="4668" spans="1:13" ht="38.25" x14ac:dyDescent="0.25">
      <c r="A4668" s="46" t="s">
        <v>4950</v>
      </c>
      <c r="B4668" s="46" t="s">
        <v>38</v>
      </c>
      <c r="C4668" s="46" t="s">
        <v>14</v>
      </c>
      <c r="D4668" s="47">
        <v>8716</v>
      </c>
      <c r="E4668" s="46" t="s">
        <v>4951</v>
      </c>
      <c r="F4668" s="48">
        <v>40544</v>
      </c>
      <c r="G4668" s="46"/>
      <c r="H4668" s="46" t="s">
        <v>40</v>
      </c>
      <c r="I4668" s="45">
        <v>4942.76</v>
      </c>
      <c r="J4668" s="45">
        <v>3817.76</v>
      </c>
      <c r="K4668" s="49" t="s">
        <v>4667</v>
      </c>
      <c r="L4668" s="45"/>
      <c r="M4668" s="3"/>
    </row>
    <row r="4669" spans="1:13" ht="25.5" x14ac:dyDescent="0.25">
      <c r="A4669" s="46" t="s">
        <v>4979</v>
      </c>
      <c r="B4669" s="46" t="s">
        <v>38</v>
      </c>
      <c r="C4669" s="46" t="s">
        <v>14</v>
      </c>
      <c r="D4669" s="47">
        <v>9262</v>
      </c>
      <c r="E4669" s="46" t="s">
        <v>4980</v>
      </c>
      <c r="F4669" s="48">
        <v>40544</v>
      </c>
      <c r="G4669" s="46"/>
      <c r="H4669" s="46" t="s">
        <v>40</v>
      </c>
      <c r="I4669" s="45">
        <v>11910</v>
      </c>
      <c r="J4669" s="45">
        <v>5955</v>
      </c>
      <c r="K4669" s="49" t="s">
        <v>4667</v>
      </c>
      <c r="L4669" s="45"/>
      <c r="M4669" s="3"/>
    </row>
    <row r="4670" spans="1:13" ht="38.25" x14ac:dyDescent="0.25">
      <c r="A4670" s="46" t="s">
        <v>4985</v>
      </c>
      <c r="B4670" s="46" t="s">
        <v>38</v>
      </c>
      <c r="C4670" s="46" t="s">
        <v>14</v>
      </c>
      <c r="D4670" s="47">
        <v>10610</v>
      </c>
      <c r="E4670" s="46" t="s">
        <v>4986</v>
      </c>
      <c r="F4670" s="48">
        <v>40909</v>
      </c>
      <c r="G4670" s="46"/>
      <c r="H4670" s="46" t="s">
        <v>40</v>
      </c>
      <c r="I4670" s="45">
        <v>5000</v>
      </c>
      <c r="J4670" s="45">
        <v>5000</v>
      </c>
      <c r="K4670" s="49" t="s">
        <v>4667</v>
      </c>
      <c r="L4670" s="45"/>
      <c r="M4670" s="3"/>
    </row>
    <row r="4671" spans="1:13" ht="25.5" x14ac:dyDescent="0.25">
      <c r="A4671" s="46" t="s">
        <v>5010</v>
      </c>
      <c r="B4671" s="46" t="s">
        <v>38</v>
      </c>
      <c r="C4671" s="46" t="s">
        <v>14</v>
      </c>
      <c r="D4671" s="47">
        <v>10952</v>
      </c>
      <c r="E4671" s="46" t="s">
        <v>5011</v>
      </c>
      <c r="F4671" s="48">
        <v>40996</v>
      </c>
      <c r="G4671" s="48">
        <v>40996</v>
      </c>
      <c r="H4671" s="46" t="s">
        <v>40</v>
      </c>
      <c r="I4671" s="45">
        <v>1000</v>
      </c>
      <c r="J4671" s="45">
        <v>500</v>
      </c>
      <c r="K4671" s="49" t="s">
        <v>4667</v>
      </c>
      <c r="L4671" s="45"/>
      <c r="M4671" s="3"/>
    </row>
    <row r="4672" spans="1:13" ht="25.5" x14ac:dyDescent="0.25">
      <c r="A4672" s="46" t="s">
        <v>10737</v>
      </c>
      <c r="B4672" s="46" t="s">
        <v>38</v>
      </c>
      <c r="C4672" s="46" t="s">
        <v>14</v>
      </c>
      <c r="D4672" s="47">
        <v>12604</v>
      </c>
      <c r="E4672" s="46" t="s">
        <v>10738</v>
      </c>
      <c r="F4672" s="48">
        <v>41275</v>
      </c>
      <c r="G4672" s="46"/>
      <c r="H4672" s="46" t="s">
        <v>651</v>
      </c>
      <c r="I4672" s="45">
        <v>900</v>
      </c>
      <c r="J4672" s="45">
        <v>900</v>
      </c>
      <c r="K4672" s="49" t="s">
        <v>4667</v>
      </c>
      <c r="L4672" s="46"/>
    </row>
    <row r="4673" spans="1:60" ht="25.5" x14ac:dyDescent="0.25">
      <c r="A4673" s="46" t="s">
        <v>5149</v>
      </c>
      <c r="B4673" s="46" t="s">
        <v>38</v>
      </c>
      <c r="C4673" s="46" t="s">
        <v>14</v>
      </c>
      <c r="D4673" s="47">
        <v>1639</v>
      </c>
      <c r="E4673" s="46" t="s">
        <v>5150</v>
      </c>
      <c r="F4673" s="48">
        <v>39083</v>
      </c>
      <c r="G4673" s="48">
        <v>39447</v>
      </c>
      <c r="H4673" s="46" t="s">
        <v>40</v>
      </c>
      <c r="I4673" s="45">
        <v>41894.75</v>
      </c>
      <c r="J4673" s="45">
        <v>41894.75</v>
      </c>
      <c r="K4673" s="49" t="s">
        <v>5018</v>
      </c>
      <c r="L4673" s="45"/>
      <c r="M4673" s="3"/>
    </row>
    <row r="4674" spans="1:60" ht="25.5" x14ac:dyDescent="0.25">
      <c r="A4674" s="46" t="s">
        <v>5151</v>
      </c>
      <c r="B4674" s="46" t="s">
        <v>38</v>
      </c>
      <c r="C4674" s="46" t="s">
        <v>14</v>
      </c>
      <c r="D4674" s="47">
        <v>1640</v>
      </c>
      <c r="E4674" s="46" t="s">
        <v>5152</v>
      </c>
      <c r="F4674" s="48">
        <v>39083</v>
      </c>
      <c r="G4674" s="48">
        <v>39447</v>
      </c>
      <c r="H4674" s="46" t="s">
        <v>40</v>
      </c>
      <c r="I4674" s="45">
        <v>82458.720000000001</v>
      </c>
      <c r="J4674" s="45">
        <v>41229.360000000001</v>
      </c>
      <c r="K4674" s="49" t="s">
        <v>5018</v>
      </c>
      <c r="L4674" s="45"/>
      <c r="M4674" s="3"/>
    </row>
    <row r="4675" spans="1:60" ht="25.5" x14ac:dyDescent="0.25">
      <c r="A4675" s="46" t="s">
        <v>5153</v>
      </c>
      <c r="B4675" s="46" t="s">
        <v>38</v>
      </c>
      <c r="C4675" s="46" t="s">
        <v>14</v>
      </c>
      <c r="D4675" s="47">
        <v>1729</v>
      </c>
      <c r="E4675" s="46" t="s">
        <v>5154</v>
      </c>
      <c r="F4675" s="48">
        <v>39087</v>
      </c>
      <c r="G4675" s="48">
        <v>39447</v>
      </c>
      <c r="H4675" s="46" t="s">
        <v>40</v>
      </c>
      <c r="I4675" s="45">
        <v>83410.179999999993</v>
      </c>
      <c r="J4675" s="45">
        <v>83410.179999999993</v>
      </c>
      <c r="K4675" s="49" t="s">
        <v>5018</v>
      </c>
      <c r="L4675" s="45"/>
      <c r="M4675" s="3"/>
    </row>
    <row r="4676" spans="1:60" ht="25.5" x14ac:dyDescent="0.25">
      <c r="A4676" s="46" t="s">
        <v>5155</v>
      </c>
      <c r="B4676" s="46" t="s">
        <v>38</v>
      </c>
      <c r="C4676" s="46" t="s">
        <v>14</v>
      </c>
      <c r="D4676" s="47">
        <v>1730</v>
      </c>
      <c r="E4676" s="46" t="s">
        <v>5156</v>
      </c>
      <c r="F4676" s="48">
        <v>39083</v>
      </c>
      <c r="G4676" s="48">
        <v>39447</v>
      </c>
      <c r="H4676" s="46" t="s">
        <v>40</v>
      </c>
      <c r="I4676" s="45">
        <v>21371.61</v>
      </c>
      <c r="J4676" s="45">
        <v>20971.61</v>
      </c>
      <c r="K4676" s="49" t="s">
        <v>5018</v>
      </c>
      <c r="L4676" s="45"/>
      <c r="M4676" s="3"/>
    </row>
    <row r="4677" spans="1:60" ht="25.5" x14ac:dyDescent="0.25">
      <c r="A4677" s="46" t="s">
        <v>5157</v>
      </c>
      <c r="B4677" s="46" t="s">
        <v>38</v>
      </c>
      <c r="C4677" s="46" t="s">
        <v>14</v>
      </c>
      <c r="D4677" s="47">
        <v>1731</v>
      </c>
      <c r="E4677" s="46" t="s">
        <v>5158</v>
      </c>
      <c r="F4677" s="48">
        <v>39356</v>
      </c>
      <c r="G4677" s="48">
        <v>39360</v>
      </c>
      <c r="H4677" s="46" t="s">
        <v>40</v>
      </c>
      <c r="I4677" s="45">
        <v>21176.07</v>
      </c>
      <c r="J4677" s="45">
        <v>20116.07</v>
      </c>
      <c r="K4677" s="49" t="s">
        <v>5018</v>
      </c>
      <c r="L4677" s="45"/>
      <c r="M4677" s="3"/>
    </row>
    <row r="4678" spans="1:60" ht="25.5" x14ac:dyDescent="0.25">
      <c r="A4678" s="46" t="s">
        <v>5159</v>
      </c>
      <c r="B4678" s="46" t="s">
        <v>38</v>
      </c>
      <c r="C4678" s="46" t="s">
        <v>14</v>
      </c>
      <c r="D4678" s="47">
        <v>1732</v>
      </c>
      <c r="E4678" s="46" t="s">
        <v>5160</v>
      </c>
      <c r="F4678" s="48">
        <v>39326</v>
      </c>
      <c r="G4678" s="48">
        <v>39328</v>
      </c>
      <c r="H4678" s="46" t="s">
        <v>40</v>
      </c>
      <c r="I4678" s="45">
        <v>4400</v>
      </c>
      <c r="J4678" s="45">
        <v>3400</v>
      </c>
      <c r="K4678" s="49" t="s">
        <v>5018</v>
      </c>
      <c r="L4678" s="45"/>
      <c r="M4678" s="3"/>
    </row>
    <row r="4679" spans="1:60" ht="25.5" x14ac:dyDescent="0.25">
      <c r="A4679" s="46" t="s">
        <v>5161</v>
      </c>
      <c r="B4679" s="46" t="s">
        <v>38</v>
      </c>
      <c r="C4679" s="46" t="s">
        <v>14</v>
      </c>
      <c r="D4679" s="47">
        <v>1733</v>
      </c>
      <c r="E4679" s="46" t="s">
        <v>5162</v>
      </c>
      <c r="F4679" s="48">
        <v>39084</v>
      </c>
      <c r="G4679" s="48">
        <v>39447</v>
      </c>
      <c r="H4679" s="46" t="s">
        <v>40</v>
      </c>
      <c r="I4679" s="45">
        <v>10603.36</v>
      </c>
      <c r="J4679" s="45">
        <v>9668.36</v>
      </c>
      <c r="K4679" s="49" t="s">
        <v>5018</v>
      </c>
      <c r="L4679" s="45"/>
      <c r="M4679" s="3"/>
    </row>
    <row r="4680" spans="1:60" ht="25.5" x14ac:dyDescent="0.25">
      <c r="A4680" s="46" t="s">
        <v>5163</v>
      </c>
      <c r="B4680" s="46" t="s">
        <v>38</v>
      </c>
      <c r="C4680" s="46" t="s">
        <v>14</v>
      </c>
      <c r="D4680" s="47">
        <v>1734</v>
      </c>
      <c r="E4680" s="46" t="s">
        <v>5164</v>
      </c>
      <c r="F4680" s="48">
        <v>39083</v>
      </c>
      <c r="G4680" s="48">
        <v>39447</v>
      </c>
      <c r="H4680" s="46" t="s">
        <v>40</v>
      </c>
      <c r="I4680" s="45">
        <v>2155</v>
      </c>
      <c r="J4680" s="45">
        <v>2155</v>
      </c>
      <c r="K4680" s="49" t="s">
        <v>5018</v>
      </c>
      <c r="L4680" s="45"/>
      <c r="M4680" s="3"/>
    </row>
    <row r="4681" spans="1:60" ht="25.5" x14ac:dyDescent="0.25">
      <c r="A4681" s="46" t="s">
        <v>5165</v>
      </c>
      <c r="B4681" s="46" t="s">
        <v>38</v>
      </c>
      <c r="C4681" s="46" t="s">
        <v>14</v>
      </c>
      <c r="D4681" s="47">
        <v>1822</v>
      </c>
      <c r="E4681" s="46" t="s">
        <v>5166</v>
      </c>
      <c r="F4681" s="48">
        <v>39394</v>
      </c>
      <c r="G4681" s="48">
        <v>39394</v>
      </c>
      <c r="H4681" s="46" t="s">
        <v>40</v>
      </c>
      <c r="I4681" s="45">
        <v>325</v>
      </c>
      <c r="J4681" s="45">
        <v>325</v>
      </c>
      <c r="K4681" s="49" t="s">
        <v>5018</v>
      </c>
      <c r="L4681" s="45"/>
      <c r="M4681" s="3"/>
    </row>
    <row r="4682" spans="1:60" ht="25.5" x14ac:dyDescent="0.25">
      <c r="A4682" s="46" t="s">
        <v>5167</v>
      </c>
      <c r="B4682" s="46" t="s">
        <v>38</v>
      </c>
      <c r="C4682" s="46" t="s">
        <v>14</v>
      </c>
      <c r="D4682" s="47">
        <v>1824</v>
      </c>
      <c r="E4682" s="46" t="s">
        <v>5168</v>
      </c>
      <c r="F4682" s="48">
        <v>39405</v>
      </c>
      <c r="G4682" s="48">
        <v>39405</v>
      </c>
      <c r="H4682" s="46" t="s">
        <v>40</v>
      </c>
      <c r="I4682" s="45">
        <v>900</v>
      </c>
      <c r="J4682" s="45">
        <v>450</v>
      </c>
      <c r="K4682" s="49" t="s">
        <v>5018</v>
      </c>
      <c r="L4682" s="45"/>
      <c r="M4682" s="3"/>
    </row>
    <row r="4683" spans="1:60" ht="25.5" x14ac:dyDescent="0.25">
      <c r="A4683" s="46" t="s">
        <v>5169</v>
      </c>
      <c r="B4683" s="46" t="s">
        <v>38</v>
      </c>
      <c r="C4683" s="46" t="s">
        <v>14</v>
      </c>
      <c r="D4683" s="47">
        <v>1827</v>
      </c>
      <c r="E4683" s="46" t="s">
        <v>5170</v>
      </c>
      <c r="F4683" s="48">
        <v>39401</v>
      </c>
      <c r="G4683" s="48">
        <v>39401</v>
      </c>
      <c r="H4683" s="46" t="s">
        <v>40</v>
      </c>
      <c r="I4683" s="45">
        <v>1600</v>
      </c>
      <c r="J4683" s="45">
        <v>550</v>
      </c>
      <c r="K4683" s="49" t="s">
        <v>5018</v>
      </c>
      <c r="L4683" s="45"/>
      <c r="M4683" s="3"/>
    </row>
    <row r="4684" spans="1:60" ht="25.5" x14ac:dyDescent="0.25">
      <c r="A4684" s="46" t="s">
        <v>5171</v>
      </c>
      <c r="B4684" s="46" t="s">
        <v>38</v>
      </c>
      <c r="C4684" s="46" t="s">
        <v>14</v>
      </c>
      <c r="D4684" s="47">
        <v>1832</v>
      </c>
      <c r="E4684" s="46" t="s">
        <v>5172</v>
      </c>
      <c r="F4684" s="48">
        <v>39366</v>
      </c>
      <c r="G4684" s="48">
        <v>39387</v>
      </c>
      <c r="H4684" s="46" t="s">
        <v>40</v>
      </c>
      <c r="I4684" s="45">
        <v>1757</v>
      </c>
      <c r="J4684" s="45">
        <v>457</v>
      </c>
      <c r="K4684" s="49" t="s">
        <v>5018</v>
      </c>
      <c r="L4684" s="45"/>
      <c r="M4684" s="3"/>
    </row>
    <row r="4685" spans="1:60" ht="25.5" x14ac:dyDescent="0.25">
      <c r="A4685" s="46" t="s">
        <v>5173</v>
      </c>
      <c r="B4685" s="46" t="s">
        <v>38</v>
      </c>
      <c r="C4685" s="46" t="s">
        <v>14</v>
      </c>
      <c r="D4685" s="47">
        <v>1839</v>
      </c>
      <c r="E4685" s="46" t="s">
        <v>5174</v>
      </c>
      <c r="F4685" s="48">
        <v>39392</v>
      </c>
      <c r="G4685" s="48">
        <v>39392</v>
      </c>
      <c r="H4685" s="46" t="s">
        <v>40</v>
      </c>
      <c r="I4685" s="45">
        <v>400</v>
      </c>
      <c r="J4685" s="45">
        <v>130</v>
      </c>
      <c r="K4685" s="49" t="s">
        <v>5018</v>
      </c>
      <c r="L4685" s="45"/>
      <c r="M4685" s="3"/>
    </row>
    <row r="4686" spans="1:60" ht="25.5" x14ac:dyDescent="0.25">
      <c r="A4686" s="56" t="s">
        <v>5175</v>
      </c>
      <c r="B4686" s="56" t="s">
        <v>38</v>
      </c>
      <c r="C4686" s="56" t="s">
        <v>14</v>
      </c>
      <c r="D4686" s="57">
        <v>1842</v>
      </c>
      <c r="E4686" s="56" t="s">
        <v>5174</v>
      </c>
      <c r="F4686" s="58">
        <v>39148</v>
      </c>
      <c r="G4686" s="58">
        <v>39169</v>
      </c>
      <c r="H4686" s="56" t="s">
        <v>651</v>
      </c>
      <c r="I4686" s="55">
        <v>850</v>
      </c>
      <c r="J4686" s="55">
        <v>600</v>
      </c>
      <c r="K4686" s="59" t="s">
        <v>5018</v>
      </c>
      <c r="L4686" s="56"/>
      <c r="M4686" s="9"/>
      <c r="N4686" s="9"/>
      <c r="O4686" s="9"/>
      <c r="P4686" s="9"/>
      <c r="Q4686" s="9"/>
      <c r="R4686" s="9"/>
      <c r="S4686" s="9"/>
      <c r="T4686" s="9"/>
      <c r="U4686" s="9"/>
      <c r="V4686" s="9"/>
      <c r="W4686" s="9"/>
      <c r="X4686" s="9"/>
      <c r="Y4686" s="9"/>
      <c r="Z4686" s="9"/>
      <c r="AA4686" s="9"/>
      <c r="AB4686" s="9"/>
      <c r="AC4686" s="9"/>
      <c r="AD4686" s="9"/>
      <c r="AE4686" s="9"/>
      <c r="AF4686" s="9"/>
      <c r="AG4686" s="9"/>
      <c r="AH4686" s="9"/>
      <c r="AI4686" s="9"/>
      <c r="AJ4686" s="9"/>
      <c r="AK4686" s="9"/>
      <c r="AL4686" s="9"/>
      <c r="AM4686" s="9"/>
      <c r="AN4686" s="9"/>
      <c r="AO4686" s="9"/>
      <c r="AP4686" s="9"/>
      <c r="AQ4686" s="9"/>
      <c r="AR4686" s="9"/>
      <c r="AS4686" s="9"/>
      <c r="AT4686" s="9"/>
      <c r="AU4686" s="9"/>
      <c r="AV4686" s="9"/>
      <c r="AW4686" s="9"/>
      <c r="AX4686" s="9"/>
      <c r="AY4686" s="9"/>
      <c r="AZ4686" s="9"/>
      <c r="BA4686" s="9"/>
      <c r="BB4686" s="9"/>
      <c r="BC4686" s="9"/>
      <c r="BD4686" s="9"/>
      <c r="BE4686" s="9"/>
      <c r="BF4686" s="9"/>
      <c r="BG4686" s="9"/>
      <c r="BH4686" s="9"/>
    </row>
    <row r="4687" spans="1:60" ht="25.5" x14ac:dyDescent="0.25">
      <c r="A4687" s="46" t="s">
        <v>5176</v>
      </c>
      <c r="B4687" s="46" t="s">
        <v>38</v>
      </c>
      <c r="C4687" s="46" t="s">
        <v>14</v>
      </c>
      <c r="D4687" s="47">
        <v>1844</v>
      </c>
      <c r="E4687" s="46" t="s">
        <v>5176</v>
      </c>
      <c r="F4687" s="48">
        <v>39354</v>
      </c>
      <c r="G4687" s="48">
        <v>39396</v>
      </c>
      <c r="H4687" s="46" t="s">
        <v>40</v>
      </c>
      <c r="I4687" s="45">
        <v>4541.49</v>
      </c>
      <c r="J4687" s="45">
        <v>2241.4899999999998</v>
      </c>
      <c r="K4687" s="49" t="s">
        <v>5018</v>
      </c>
      <c r="L4687" s="45"/>
      <c r="M4687" s="3"/>
    </row>
    <row r="4688" spans="1:60" ht="25.5" x14ac:dyDescent="0.25">
      <c r="A4688" s="46" t="s">
        <v>5177</v>
      </c>
      <c r="B4688" s="46" t="s">
        <v>38</v>
      </c>
      <c r="C4688" s="46" t="s">
        <v>14</v>
      </c>
      <c r="D4688" s="47">
        <v>1848</v>
      </c>
      <c r="E4688" s="46" t="s">
        <v>5178</v>
      </c>
      <c r="F4688" s="48">
        <v>39252</v>
      </c>
      <c r="G4688" s="48">
        <v>39259</v>
      </c>
      <c r="H4688" s="46" t="s">
        <v>40</v>
      </c>
      <c r="I4688" s="45">
        <v>1200</v>
      </c>
      <c r="J4688" s="45">
        <v>820</v>
      </c>
      <c r="K4688" s="49" t="s">
        <v>5018</v>
      </c>
      <c r="L4688" s="45"/>
      <c r="M4688" s="3"/>
    </row>
    <row r="4689" spans="1:13" ht="25.5" x14ac:dyDescent="0.25">
      <c r="A4689" s="46" t="s">
        <v>5179</v>
      </c>
      <c r="B4689" s="46" t="s">
        <v>38</v>
      </c>
      <c r="C4689" s="46" t="s">
        <v>14</v>
      </c>
      <c r="D4689" s="47">
        <v>1851</v>
      </c>
      <c r="E4689" s="46" t="s">
        <v>5180</v>
      </c>
      <c r="F4689" s="48">
        <v>39125</v>
      </c>
      <c r="G4689" s="48">
        <v>39139</v>
      </c>
      <c r="H4689" s="46" t="s">
        <v>40</v>
      </c>
      <c r="I4689" s="45">
        <v>2579.0500000000002</v>
      </c>
      <c r="J4689" s="45">
        <v>1079.05</v>
      </c>
      <c r="K4689" s="49" t="s">
        <v>5018</v>
      </c>
      <c r="L4689" s="45"/>
      <c r="M4689" s="3"/>
    </row>
    <row r="4690" spans="1:13" ht="25.5" x14ac:dyDescent="0.25">
      <c r="A4690" s="46" t="s">
        <v>5181</v>
      </c>
      <c r="B4690" s="46" t="s">
        <v>38</v>
      </c>
      <c r="C4690" s="46" t="s">
        <v>14</v>
      </c>
      <c r="D4690" s="47">
        <v>1853</v>
      </c>
      <c r="E4690" s="46" t="s">
        <v>5181</v>
      </c>
      <c r="F4690" s="48">
        <v>39394</v>
      </c>
      <c r="G4690" s="48">
        <v>39408</v>
      </c>
      <c r="H4690" s="46" t="s">
        <v>40</v>
      </c>
      <c r="I4690" s="45">
        <v>1100</v>
      </c>
      <c r="J4690" s="45">
        <v>200</v>
      </c>
      <c r="K4690" s="49" t="s">
        <v>5018</v>
      </c>
      <c r="L4690" s="45"/>
      <c r="M4690" s="3"/>
    </row>
    <row r="4691" spans="1:13" ht="25.5" x14ac:dyDescent="0.25">
      <c r="A4691" s="46" t="s">
        <v>5182</v>
      </c>
      <c r="B4691" s="46" t="s">
        <v>38</v>
      </c>
      <c r="C4691" s="46" t="s">
        <v>14</v>
      </c>
      <c r="D4691" s="47">
        <v>1856</v>
      </c>
      <c r="E4691" s="46" t="s">
        <v>5182</v>
      </c>
      <c r="F4691" s="48">
        <v>39191</v>
      </c>
      <c r="G4691" s="48">
        <v>39212</v>
      </c>
      <c r="H4691" s="46" t="s">
        <v>40</v>
      </c>
      <c r="I4691" s="45">
        <v>1400</v>
      </c>
      <c r="J4691" s="45">
        <v>940</v>
      </c>
      <c r="K4691" s="49" t="s">
        <v>5018</v>
      </c>
      <c r="L4691" s="45"/>
      <c r="M4691" s="3"/>
    </row>
    <row r="4692" spans="1:13" ht="25.5" x14ac:dyDescent="0.25">
      <c r="A4692" s="46" t="s">
        <v>5183</v>
      </c>
      <c r="B4692" s="46" t="s">
        <v>38</v>
      </c>
      <c r="C4692" s="46" t="s">
        <v>14</v>
      </c>
      <c r="D4692" s="47">
        <v>1859</v>
      </c>
      <c r="E4692" s="46" t="s">
        <v>5184</v>
      </c>
      <c r="F4692" s="48">
        <v>39219</v>
      </c>
      <c r="G4692" s="48">
        <v>39219</v>
      </c>
      <c r="H4692" s="46" t="s">
        <v>40</v>
      </c>
      <c r="I4692" s="45">
        <v>825</v>
      </c>
      <c r="J4692" s="45">
        <v>625</v>
      </c>
      <c r="K4692" s="49" t="s">
        <v>5018</v>
      </c>
      <c r="L4692" s="45"/>
      <c r="M4692" s="3"/>
    </row>
    <row r="4693" spans="1:13" ht="25.5" x14ac:dyDescent="0.25">
      <c r="A4693" s="46" t="s">
        <v>5185</v>
      </c>
      <c r="B4693" s="46" t="s">
        <v>38</v>
      </c>
      <c r="C4693" s="46" t="s">
        <v>14</v>
      </c>
      <c r="D4693" s="47">
        <v>1861</v>
      </c>
      <c r="E4693" s="46" t="s">
        <v>5186</v>
      </c>
      <c r="F4693" s="48">
        <v>39392</v>
      </c>
      <c r="G4693" s="48">
        <v>39420</v>
      </c>
      <c r="H4693" s="46" t="s">
        <v>40</v>
      </c>
      <c r="I4693" s="45">
        <v>1100</v>
      </c>
      <c r="J4693" s="45">
        <v>120</v>
      </c>
      <c r="K4693" s="49" t="s">
        <v>5018</v>
      </c>
      <c r="L4693" s="45"/>
      <c r="M4693" s="3"/>
    </row>
    <row r="4694" spans="1:13" ht="25.5" x14ac:dyDescent="0.25">
      <c r="A4694" s="46" t="s">
        <v>5188</v>
      </c>
      <c r="B4694" s="46" t="s">
        <v>38</v>
      </c>
      <c r="C4694" s="46" t="s">
        <v>14</v>
      </c>
      <c r="D4694" s="47">
        <v>1864</v>
      </c>
      <c r="E4694" s="46" t="s">
        <v>5188</v>
      </c>
      <c r="F4694" s="48">
        <v>39408</v>
      </c>
      <c r="G4694" s="48">
        <v>39415</v>
      </c>
      <c r="H4694" s="46" t="s">
        <v>40</v>
      </c>
      <c r="I4694" s="45">
        <v>860</v>
      </c>
      <c r="J4694" s="45">
        <v>420</v>
      </c>
      <c r="K4694" s="49" t="s">
        <v>5018</v>
      </c>
      <c r="L4694" s="45"/>
      <c r="M4694" s="3"/>
    </row>
    <row r="4695" spans="1:13" ht="25.5" x14ac:dyDescent="0.25">
      <c r="A4695" s="46" t="s">
        <v>5189</v>
      </c>
      <c r="B4695" s="46" t="s">
        <v>38</v>
      </c>
      <c r="C4695" s="46" t="s">
        <v>14</v>
      </c>
      <c r="D4695" s="47">
        <v>1866</v>
      </c>
      <c r="E4695" s="46" t="s">
        <v>5189</v>
      </c>
      <c r="F4695" s="48">
        <v>39148</v>
      </c>
      <c r="G4695" s="48">
        <v>39171</v>
      </c>
      <c r="H4695" s="46" t="s">
        <v>40</v>
      </c>
      <c r="I4695" s="45">
        <v>910</v>
      </c>
      <c r="J4695" s="45">
        <v>670</v>
      </c>
      <c r="K4695" s="49" t="s">
        <v>5018</v>
      </c>
      <c r="L4695" s="45"/>
      <c r="M4695" s="3"/>
    </row>
    <row r="4696" spans="1:13" ht="63.75" x14ac:dyDescent="0.25">
      <c r="A4696" s="46" t="s">
        <v>5190</v>
      </c>
      <c r="B4696" s="46" t="s">
        <v>38</v>
      </c>
      <c r="C4696" s="46" t="s">
        <v>14</v>
      </c>
      <c r="D4696" s="47">
        <v>1867</v>
      </c>
      <c r="E4696" s="50" t="s">
        <v>5191</v>
      </c>
      <c r="F4696" s="48">
        <v>39405</v>
      </c>
      <c r="G4696" s="48">
        <v>39412</v>
      </c>
      <c r="H4696" s="46" t="s">
        <v>40</v>
      </c>
      <c r="I4696" s="45">
        <v>1500</v>
      </c>
      <c r="J4696" s="45">
        <v>1100</v>
      </c>
      <c r="K4696" s="49" t="s">
        <v>5018</v>
      </c>
      <c r="L4696" s="45"/>
      <c r="M4696" s="3"/>
    </row>
    <row r="4697" spans="1:13" ht="25.5" x14ac:dyDescent="0.25">
      <c r="A4697" s="46" t="s">
        <v>5192</v>
      </c>
      <c r="B4697" s="46" t="s">
        <v>38</v>
      </c>
      <c r="C4697" s="46" t="s">
        <v>14</v>
      </c>
      <c r="D4697" s="47">
        <v>1869</v>
      </c>
      <c r="E4697" s="46" t="s">
        <v>5193</v>
      </c>
      <c r="F4697" s="48">
        <v>39342</v>
      </c>
      <c r="G4697" s="48">
        <v>39377</v>
      </c>
      <c r="H4697" s="46" t="s">
        <v>40</v>
      </c>
      <c r="I4697" s="45">
        <v>7681.29</v>
      </c>
      <c r="J4697" s="45">
        <v>6581.29</v>
      </c>
      <c r="K4697" s="49" t="s">
        <v>5018</v>
      </c>
      <c r="L4697" s="45"/>
      <c r="M4697" s="3"/>
    </row>
    <row r="4698" spans="1:13" ht="25.5" x14ac:dyDescent="0.25">
      <c r="A4698" s="46" t="s">
        <v>5194</v>
      </c>
      <c r="B4698" s="46" t="s">
        <v>38</v>
      </c>
      <c r="C4698" s="46" t="s">
        <v>14</v>
      </c>
      <c r="D4698" s="47">
        <v>1870</v>
      </c>
      <c r="E4698" s="46" t="s">
        <v>5195</v>
      </c>
      <c r="F4698" s="48">
        <v>39392</v>
      </c>
      <c r="G4698" s="48">
        <v>39406</v>
      </c>
      <c r="H4698" s="46" t="s">
        <v>40</v>
      </c>
      <c r="I4698" s="45">
        <v>1840</v>
      </c>
      <c r="J4698" s="45">
        <v>1440</v>
      </c>
      <c r="K4698" s="49" t="s">
        <v>5018</v>
      </c>
      <c r="L4698" s="45"/>
      <c r="M4698" s="3"/>
    </row>
    <row r="4699" spans="1:13" ht="25.5" x14ac:dyDescent="0.25">
      <c r="A4699" s="46" t="s">
        <v>5196</v>
      </c>
      <c r="B4699" s="46" t="s">
        <v>38</v>
      </c>
      <c r="C4699" s="46" t="s">
        <v>14</v>
      </c>
      <c r="D4699" s="47">
        <v>1871</v>
      </c>
      <c r="E4699" s="46" t="s">
        <v>5197</v>
      </c>
      <c r="F4699" s="48">
        <v>39370</v>
      </c>
      <c r="G4699" s="48">
        <v>39377</v>
      </c>
      <c r="H4699" s="46" t="s">
        <v>40</v>
      </c>
      <c r="I4699" s="45">
        <v>3402</v>
      </c>
      <c r="J4699" s="45">
        <v>2602</v>
      </c>
      <c r="K4699" s="49" t="s">
        <v>5018</v>
      </c>
      <c r="L4699" s="45"/>
      <c r="M4699" s="3"/>
    </row>
    <row r="4700" spans="1:13" ht="25.5" x14ac:dyDescent="0.25">
      <c r="A4700" s="46" t="s">
        <v>5198</v>
      </c>
      <c r="B4700" s="46" t="s">
        <v>38</v>
      </c>
      <c r="C4700" s="46" t="s">
        <v>14</v>
      </c>
      <c r="D4700" s="47">
        <v>1872</v>
      </c>
      <c r="E4700" s="46" t="s">
        <v>5198</v>
      </c>
      <c r="F4700" s="48">
        <v>39211</v>
      </c>
      <c r="G4700" s="48">
        <v>39218</v>
      </c>
      <c r="H4700" s="46" t="s">
        <v>40</v>
      </c>
      <c r="I4700" s="45">
        <v>2760.85</v>
      </c>
      <c r="J4700" s="45">
        <v>1560.85</v>
      </c>
      <c r="K4700" s="49" t="s">
        <v>5018</v>
      </c>
      <c r="L4700" s="45"/>
      <c r="M4700" s="3"/>
    </row>
    <row r="4701" spans="1:13" ht="25.5" x14ac:dyDescent="0.25">
      <c r="A4701" s="46" t="s">
        <v>5199</v>
      </c>
      <c r="B4701" s="46" t="s">
        <v>38</v>
      </c>
      <c r="C4701" s="46" t="s">
        <v>14</v>
      </c>
      <c r="D4701" s="47">
        <v>1875</v>
      </c>
      <c r="E4701" s="46" t="s">
        <v>5200</v>
      </c>
      <c r="F4701" s="48">
        <v>39083</v>
      </c>
      <c r="G4701" s="48">
        <v>39447</v>
      </c>
      <c r="H4701" s="46" t="s">
        <v>40</v>
      </c>
      <c r="I4701" s="45">
        <v>484</v>
      </c>
      <c r="J4701" s="45">
        <v>484</v>
      </c>
      <c r="K4701" s="49" t="s">
        <v>5018</v>
      </c>
      <c r="L4701" s="45"/>
      <c r="M4701" s="3"/>
    </row>
    <row r="4702" spans="1:13" ht="25.5" x14ac:dyDescent="0.25">
      <c r="A4702" s="46" t="s">
        <v>5201</v>
      </c>
      <c r="B4702" s="46" t="s">
        <v>38</v>
      </c>
      <c r="C4702" s="46" t="s">
        <v>14</v>
      </c>
      <c r="D4702" s="47">
        <v>1879</v>
      </c>
      <c r="E4702" s="46" t="s">
        <v>5202</v>
      </c>
      <c r="F4702" s="48">
        <v>39351</v>
      </c>
      <c r="G4702" s="48">
        <v>39447</v>
      </c>
      <c r="H4702" s="46" t="s">
        <v>40</v>
      </c>
      <c r="I4702" s="45">
        <v>16834</v>
      </c>
      <c r="J4702" s="45">
        <v>13734</v>
      </c>
      <c r="K4702" s="49" t="s">
        <v>5018</v>
      </c>
      <c r="L4702" s="45"/>
      <c r="M4702" s="3"/>
    </row>
    <row r="4703" spans="1:13" ht="25.5" x14ac:dyDescent="0.25">
      <c r="A4703" s="46" t="s">
        <v>5203</v>
      </c>
      <c r="B4703" s="46" t="s">
        <v>38</v>
      </c>
      <c r="C4703" s="46" t="s">
        <v>14</v>
      </c>
      <c r="D4703" s="47">
        <v>1880</v>
      </c>
      <c r="E4703" s="46" t="s">
        <v>5204</v>
      </c>
      <c r="F4703" s="48">
        <v>39223</v>
      </c>
      <c r="G4703" s="48">
        <v>39233</v>
      </c>
      <c r="H4703" s="46" t="s">
        <v>40</v>
      </c>
      <c r="I4703" s="45">
        <v>2125</v>
      </c>
      <c r="J4703" s="45">
        <v>1525</v>
      </c>
      <c r="K4703" s="49" t="s">
        <v>5018</v>
      </c>
      <c r="L4703" s="45"/>
      <c r="M4703" s="3"/>
    </row>
    <row r="4704" spans="1:13" ht="25.5" x14ac:dyDescent="0.25">
      <c r="A4704" s="46" t="s">
        <v>5205</v>
      </c>
      <c r="B4704" s="46" t="s">
        <v>38</v>
      </c>
      <c r="C4704" s="46" t="s">
        <v>14</v>
      </c>
      <c r="D4704" s="47">
        <v>1886</v>
      </c>
      <c r="E4704" s="46" t="s">
        <v>5206</v>
      </c>
      <c r="F4704" s="48">
        <v>39083</v>
      </c>
      <c r="G4704" s="48">
        <v>39447</v>
      </c>
      <c r="H4704" s="46" t="s">
        <v>40</v>
      </c>
      <c r="I4704" s="45">
        <v>395</v>
      </c>
      <c r="J4704" s="45">
        <v>395</v>
      </c>
      <c r="K4704" s="49" t="s">
        <v>5018</v>
      </c>
      <c r="L4704" s="45"/>
      <c r="M4704" s="3"/>
    </row>
    <row r="4705" spans="1:13" ht="25.5" x14ac:dyDescent="0.25">
      <c r="A4705" s="46" t="s">
        <v>5207</v>
      </c>
      <c r="B4705" s="46" t="s">
        <v>38</v>
      </c>
      <c r="C4705" s="46" t="s">
        <v>14</v>
      </c>
      <c r="D4705" s="47">
        <v>1894</v>
      </c>
      <c r="E4705" s="46" t="s">
        <v>5208</v>
      </c>
      <c r="F4705" s="48">
        <v>39405</v>
      </c>
      <c r="G4705" s="48">
        <v>39412</v>
      </c>
      <c r="H4705" s="46" t="s">
        <v>40</v>
      </c>
      <c r="I4705" s="45">
        <v>850</v>
      </c>
      <c r="J4705" s="45">
        <v>450</v>
      </c>
      <c r="K4705" s="49" t="s">
        <v>5018</v>
      </c>
      <c r="L4705" s="45"/>
      <c r="M4705" s="3"/>
    </row>
    <row r="4706" spans="1:13" ht="25.5" x14ac:dyDescent="0.25">
      <c r="A4706" s="46" t="s">
        <v>5209</v>
      </c>
      <c r="B4706" s="46" t="s">
        <v>38</v>
      </c>
      <c r="C4706" s="46" t="s">
        <v>14</v>
      </c>
      <c r="D4706" s="47">
        <v>1896</v>
      </c>
      <c r="E4706" s="46" t="s">
        <v>5210</v>
      </c>
      <c r="F4706" s="48">
        <v>39198</v>
      </c>
      <c r="G4706" s="48">
        <v>39198</v>
      </c>
      <c r="H4706" s="46" t="s">
        <v>40</v>
      </c>
      <c r="I4706" s="45">
        <v>936.4</v>
      </c>
      <c r="J4706" s="45">
        <v>536.4</v>
      </c>
      <c r="K4706" s="49" t="s">
        <v>5018</v>
      </c>
      <c r="L4706" s="45"/>
      <c r="M4706" s="3"/>
    </row>
    <row r="4707" spans="1:13" ht="25.5" x14ac:dyDescent="0.25">
      <c r="A4707" s="46" t="s">
        <v>5211</v>
      </c>
      <c r="B4707" s="46" t="s">
        <v>38</v>
      </c>
      <c r="C4707" s="46" t="s">
        <v>14</v>
      </c>
      <c r="D4707" s="47">
        <v>1900</v>
      </c>
      <c r="E4707" s="46" t="s">
        <v>5206</v>
      </c>
      <c r="F4707" s="48">
        <v>39377</v>
      </c>
      <c r="G4707" s="48">
        <v>39377</v>
      </c>
      <c r="H4707" s="46" t="s">
        <v>40</v>
      </c>
      <c r="I4707" s="45">
        <v>969.3</v>
      </c>
      <c r="J4707" s="45">
        <v>519.29999999999995</v>
      </c>
      <c r="K4707" s="49" t="s">
        <v>5018</v>
      </c>
      <c r="L4707" s="45"/>
      <c r="M4707" s="3"/>
    </row>
    <row r="4708" spans="1:13" ht="25.5" x14ac:dyDescent="0.25">
      <c r="A4708" s="46" t="s">
        <v>5212</v>
      </c>
      <c r="B4708" s="46" t="s">
        <v>38</v>
      </c>
      <c r="C4708" s="46" t="s">
        <v>14</v>
      </c>
      <c r="D4708" s="47">
        <v>1901</v>
      </c>
      <c r="E4708" s="46" t="s">
        <v>5213</v>
      </c>
      <c r="F4708" s="48">
        <v>39370</v>
      </c>
      <c r="G4708" s="48">
        <v>39386</v>
      </c>
      <c r="H4708" s="46" t="s">
        <v>40</v>
      </c>
      <c r="I4708" s="45">
        <v>2012</v>
      </c>
      <c r="J4708" s="45">
        <v>1612</v>
      </c>
      <c r="K4708" s="49" t="s">
        <v>5018</v>
      </c>
      <c r="L4708" s="45"/>
      <c r="M4708" s="3"/>
    </row>
    <row r="4709" spans="1:13" ht="25.5" x14ac:dyDescent="0.25">
      <c r="A4709" s="46" t="s">
        <v>5214</v>
      </c>
      <c r="B4709" s="46" t="s">
        <v>38</v>
      </c>
      <c r="C4709" s="46" t="s">
        <v>14</v>
      </c>
      <c r="D4709" s="47">
        <v>1903</v>
      </c>
      <c r="E4709" s="46" t="s">
        <v>5213</v>
      </c>
      <c r="F4709" s="48">
        <v>39157</v>
      </c>
      <c r="G4709" s="48">
        <v>39171</v>
      </c>
      <c r="H4709" s="46" t="s">
        <v>40</v>
      </c>
      <c r="I4709" s="45">
        <v>1155</v>
      </c>
      <c r="J4709" s="45">
        <v>255</v>
      </c>
      <c r="K4709" s="49" t="s">
        <v>5018</v>
      </c>
      <c r="L4709" s="45"/>
      <c r="M4709" s="3"/>
    </row>
    <row r="4710" spans="1:13" ht="25.5" x14ac:dyDescent="0.25">
      <c r="A4710" s="46" t="s">
        <v>5215</v>
      </c>
      <c r="B4710" s="46" t="s">
        <v>38</v>
      </c>
      <c r="C4710" s="46" t="s">
        <v>14</v>
      </c>
      <c r="D4710" s="47">
        <v>1904</v>
      </c>
      <c r="E4710" s="46" t="s">
        <v>5216</v>
      </c>
      <c r="F4710" s="48">
        <v>39370</v>
      </c>
      <c r="G4710" s="48">
        <v>39370</v>
      </c>
      <c r="H4710" s="46" t="s">
        <v>40</v>
      </c>
      <c r="I4710" s="45">
        <v>3574</v>
      </c>
      <c r="J4710" s="45">
        <v>2874</v>
      </c>
      <c r="K4710" s="49" t="s">
        <v>5018</v>
      </c>
      <c r="L4710" s="45"/>
      <c r="M4710" s="3"/>
    </row>
    <row r="4711" spans="1:13" ht="25.5" x14ac:dyDescent="0.25">
      <c r="A4711" s="46" t="s">
        <v>5217</v>
      </c>
      <c r="B4711" s="46" t="s">
        <v>38</v>
      </c>
      <c r="C4711" s="46" t="s">
        <v>14</v>
      </c>
      <c r="D4711" s="47">
        <v>1907</v>
      </c>
      <c r="E4711" s="46" t="s">
        <v>5218</v>
      </c>
      <c r="F4711" s="48">
        <v>39399</v>
      </c>
      <c r="G4711" s="48">
        <v>39413</v>
      </c>
      <c r="H4711" s="46" t="s">
        <v>40</v>
      </c>
      <c r="I4711" s="45">
        <v>900</v>
      </c>
      <c r="J4711" s="45">
        <v>200</v>
      </c>
      <c r="K4711" s="49" t="s">
        <v>5018</v>
      </c>
      <c r="L4711" s="45"/>
      <c r="M4711" s="3"/>
    </row>
    <row r="4712" spans="1:13" ht="25.5" x14ac:dyDescent="0.25">
      <c r="A4712" s="46" t="s">
        <v>5219</v>
      </c>
      <c r="B4712" s="46" t="s">
        <v>38</v>
      </c>
      <c r="C4712" s="46" t="s">
        <v>14</v>
      </c>
      <c r="D4712" s="47">
        <v>1908</v>
      </c>
      <c r="E4712" s="46" t="s">
        <v>5220</v>
      </c>
      <c r="F4712" s="48">
        <v>39190</v>
      </c>
      <c r="G4712" s="48">
        <v>39204</v>
      </c>
      <c r="H4712" s="46" t="s">
        <v>40</v>
      </c>
      <c r="I4712" s="45">
        <v>1050</v>
      </c>
      <c r="J4712" s="45">
        <v>450</v>
      </c>
      <c r="K4712" s="49" t="s">
        <v>5018</v>
      </c>
      <c r="L4712" s="45"/>
      <c r="M4712" s="3"/>
    </row>
    <row r="4713" spans="1:13" ht="25.5" x14ac:dyDescent="0.25">
      <c r="A4713" s="46" t="s">
        <v>5221</v>
      </c>
      <c r="B4713" s="46" t="s">
        <v>38</v>
      </c>
      <c r="C4713" s="46" t="s">
        <v>14</v>
      </c>
      <c r="D4713" s="47">
        <v>1909</v>
      </c>
      <c r="E4713" s="46" t="s">
        <v>5222</v>
      </c>
      <c r="F4713" s="48">
        <v>39147</v>
      </c>
      <c r="G4713" s="48">
        <v>39168</v>
      </c>
      <c r="H4713" s="46" t="s">
        <v>40</v>
      </c>
      <c r="I4713" s="45">
        <v>2815</v>
      </c>
      <c r="J4713" s="45">
        <v>1190</v>
      </c>
      <c r="K4713" s="49" t="s">
        <v>5018</v>
      </c>
      <c r="L4713" s="45"/>
      <c r="M4713" s="3"/>
    </row>
    <row r="4714" spans="1:13" ht="25.5" x14ac:dyDescent="0.25">
      <c r="A4714" s="46" t="s">
        <v>5223</v>
      </c>
      <c r="B4714" s="46" t="s">
        <v>38</v>
      </c>
      <c r="C4714" s="46" t="s">
        <v>14</v>
      </c>
      <c r="D4714" s="47">
        <v>1926</v>
      </c>
      <c r="E4714" s="46" t="s">
        <v>5222</v>
      </c>
      <c r="F4714" s="48">
        <v>39364</v>
      </c>
      <c r="G4714" s="48">
        <v>39392</v>
      </c>
      <c r="H4714" s="46" t="s">
        <v>40</v>
      </c>
      <c r="I4714" s="45">
        <v>3000</v>
      </c>
      <c r="J4714" s="45">
        <v>1950</v>
      </c>
      <c r="K4714" s="49" t="s">
        <v>5018</v>
      </c>
      <c r="L4714" s="45"/>
      <c r="M4714" s="3"/>
    </row>
    <row r="4715" spans="1:13" ht="25.5" x14ac:dyDescent="0.25">
      <c r="A4715" s="46" t="s">
        <v>5224</v>
      </c>
      <c r="B4715" s="46" t="s">
        <v>38</v>
      </c>
      <c r="C4715" s="46" t="s">
        <v>14</v>
      </c>
      <c r="D4715" s="47">
        <v>1927</v>
      </c>
      <c r="E4715" s="46" t="s">
        <v>5222</v>
      </c>
      <c r="F4715" s="48">
        <v>39363</v>
      </c>
      <c r="G4715" s="48">
        <v>39398</v>
      </c>
      <c r="H4715" s="46" t="s">
        <v>40</v>
      </c>
      <c r="I4715" s="45">
        <v>3000</v>
      </c>
      <c r="J4715" s="45">
        <v>1500</v>
      </c>
      <c r="K4715" s="49" t="s">
        <v>5018</v>
      </c>
      <c r="L4715" s="45"/>
      <c r="M4715" s="3"/>
    </row>
    <row r="4716" spans="1:13" ht="25.5" x14ac:dyDescent="0.25">
      <c r="A4716" s="46" t="s">
        <v>5225</v>
      </c>
      <c r="B4716" s="46" t="s">
        <v>38</v>
      </c>
      <c r="C4716" s="46" t="s">
        <v>14</v>
      </c>
      <c r="D4716" s="47">
        <v>1928</v>
      </c>
      <c r="E4716" s="46" t="s">
        <v>5222</v>
      </c>
      <c r="F4716" s="48">
        <v>39188</v>
      </c>
      <c r="G4716" s="48">
        <v>39216</v>
      </c>
      <c r="H4716" s="46" t="s">
        <v>40</v>
      </c>
      <c r="I4716" s="45">
        <v>2965</v>
      </c>
      <c r="J4716" s="45">
        <v>1615</v>
      </c>
      <c r="K4716" s="49" t="s">
        <v>5018</v>
      </c>
      <c r="L4716" s="45"/>
      <c r="M4716" s="3"/>
    </row>
    <row r="4717" spans="1:13" ht="25.5" x14ac:dyDescent="0.25">
      <c r="A4717" s="46" t="s">
        <v>5226</v>
      </c>
      <c r="B4717" s="46" t="s">
        <v>38</v>
      </c>
      <c r="C4717" s="46" t="s">
        <v>14</v>
      </c>
      <c r="D4717" s="47">
        <v>1929</v>
      </c>
      <c r="E4717" s="46" t="s">
        <v>5222</v>
      </c>
      <c r="F4717" s="48">
        <v>39198</v>
      </c>
      <c r="G4717" s="48">
        <v>39218</v>
      </c>
      <c r="H4717" s="46" t="s">
        <v>40</v>
      </c>
      <c r="I4717" s="45">
        <v>2815</v>
      </c>
      <c r="J4717" s="45">
        <v>1615</v>
      </c>
      <c r="K4717" s="49" t="s">
        <v>5018</v>
      </c>
      <c r="L4717" s="45"/>
      <c r="M4717" s="3"/>
    </row>
    <row r="4718" spans="1:13" ht="25.5" x14ac:dyDescent="0.25">
      <c r="A4718" s="46" t="s">
        <v>5227</v>
      </c>
      <c r="B4718" s="46" t="s">
        <v>38</v>
      </c>
      <c r="C4718" s="46" t="s">
        <v>14</v>
      </c>
      <c r="D4718" s="47">
        <v>1930</v>
      </c>
      <c r="E4718" s="46" t="s">
        <v>5228</v>
      </c>
      <c r="F4718" s="48">
        <v>39196</v>
      </c>
      <c r="G4718" s="48">
        <v>39217</v>
      </c>
      <c r="H4718" s="46" t="s">
        <v>40</v>
      </c>
      <c r="I4718" s="45">
        <v>2683</v>
      </c>
      <c r="J4718" s="45">
        <v>1533</v>
      </c>
      <c r="K4718" s="49" t="s">
        <v>5018</v>
      </c>
      <c r="L4718" s="45"/>
      <c r="M4718" s="3"/>
    </row>
    <row r="4719" spans="1:13" ht="25.5" x14ac:dyDescent="0.25">
      <c r="A4719" s="46" t="s">
        <v>5229</v>
      </c>
      <c r="B4719" s="46" t="s">
        <v>38</v>
      </c>
      <c r="C4719" s="46" t="s">
        <v>14</v>
      </c>
      <c r="D4719" s="47">
        <v>1931</v>
      </c>
      <c r="E4719" s="46" t="s">
        <v>5230</v>
      </c>
      <c r="F4719" s="48">
        <v>39393</v>
      </c>
      <c r="G4719" s="48">
        <v>39393</v>
      </c>
      <c r="H4719" s="46" t="s">
        <v>40</v>
      </c>
      <c r="I4719" s="45">
        <v>825</v>
      </c>
      <c r="J4719" s="45">
        <v>475</v>
      </c>
      <c r="K4719" s="49" t="s">
        <v>5018</v>
      </c>
      <c r="L4719" s="45"/>
      <c r="M4719" s="3"/>
    </row>
    <row r="4720" spans="1:13" ht="25.5" x14ac:dyDescent="0.25">
      <c r="A4720" s="46" t="s">
        <v>5231</v>
      </c>
      <c r="B4720" s="46" t="s">
        <v>38</v>
      </c>
      <c r="C4720" s="46" t="s">
        <v>14</v>
      </c>
      <c r="D4720" s="47">
        <v>1932</v>
      </c>
      <c r="E4720" s="46" t="s">
        <v>5232</v>
      </c>
      <c r="F4720" s="48">
        <v>39358</v>
      </c>
      <c r="G4720" s="48">
        <v>39398</v>
      </c>
      <c r="H4720" s="46" t="s">
        <v>40</v>
      </c>
      <c r="I4720" s="45">
        <v>4048.18</v>
      </c>
      <c r="J4720" s="45">
        <v>1748.18</v>
      </c>
      <c r="K4720" s="49" t="s">
        <v>5018</v>
      </c>
      <c r="L4720" s="45"/>
      <c r="M4720" s="3"/>
    </row>
    <row r="4721" spans="1:13" ht="25.5" x14ac:dyDescent="0.25">
      <c r="A4721" s="46" t="s">
        <v>5233</v>
      </c>
      <c r="B4721" s="46" t="s">
        <v>38</v>
      </c>
      <c r="C4721" s="46" t="s">
        <v>14</v>
      </c>
      <c r="D4721" s="47">
        <v>1933</v>
      </c>
      <c r="E4721" s="46" t="s">
        <v>5232</v>
      </c>
      <c r="F4721" s="48">
        <v>39125</v>
      </c>
      <c r="G4721" s="48">
        <v>39196</v>
      </c>
      <c r="H4721" s="46" t="s">
        <v>40</v>
      </c>
      <c r="I4721" s="45">
        <v>2950</v>
      </c>
      <c r="J4721" s="45">
        <v>450</v>
      </c>
      <c r="K4721" s="49" t="s">
        <v>5018</v>
      </c>
      <c r="L4721" s="45"/>
      <c r="M4721" s="3"/>
    </row>
    <row r="4722" spans="1:13" ht="25.5" x14ac:dyDescent="0.25">
      <c r="A4722" s="46" t="s">
        <v>5234</v>
      </c>
      <c r="B4722" s="46" t="s">
        <v>38</v>
      </c>
      <c r="C4722" s="46" t="s">
        <v>14</v>
      </c>
      <c r="D4722" s="47">
        <v>1934</v>
      </c>
      <c r="E4722" s="46" t="s">
        <v>5232</v>
      </c>
      <c r="F4722" s="48">
        <v>39392</v>
      </c>
      <c r="G4722" s="48">
        <v>39422</v>
      </c>
      <c r="H4722" s="46" t="s">
        <v>40</v>
      </c>
      <c r="I4722" s="45">
        <v>4090.33</v>
      </c>
      <c r="J4722" s="45">
        <v>2490.33</v>
      </c>
      <c r="K4722" s="49" t="s">
        <v>5018</v>
      </c>
      <c r="L4722" s="45"/>
      <c r="M4722" s="3"/>
    </row>
    <row r="4723" spans="1:13" ht="25.5" x14ac:dyDescent="0.25">
      <c r="A4723" s="46" t="s">
        <v>5235</v>
      </c>
      <c r="B4723" s="46" t="s">
        <v>38</v>
      </c>
      <c r="C4723" s="46" t="s">
        <v>14</v>
      </c>
      <c r="D4723" s="47">
        <v>1935</v>
      </c>
      <c r="E4723" s="46" t="s">
        <v>5232</v>
      </c>
      <c r="F4723" s="48">
        <v>39162</v>
      </c>
      <c r="G4723" s="48">
        <v>39232</v>
      </c>
      <c r="H4723" s="46" t="s">
        <v>40</v>
      </c>
      <c r="I4723" s="45">
        <v>2750</v>
      </c>
      <c r="J4723" s="45">
        <v>1150</v>
      </c>
      <c r="K4723" s="49" t="s">
        <v>5018</v>
      </c>
      <c r="L4723" s="45"/>
      <c r="M4723" s="3"/>
    </row>
    <row r="4724" spans="1:13" ht="25.5" x14ac:dyDescent="0.25">
      <c r="A4724" s="46" t="s">
        <v>5236</v>
      </c>
      <c r="B4724" s="46" t="s">
        <v>38</v>
      </c>
      <c r="C4724" s="46" t="s">
        <v>14</v>
      </c>
      <c r="D4724" s="47">
        <v>1936</v>
      </c>
      <c r="E4724" s="46" t="s">
        <v>5232</v>
      </c>
      <c r="F4724" s="48">
        <v>39500</v>
      </c>
      <c r="G4724" s="48">
        <v>39813</v>
      </c>
      <c r="H4724" s="46" t="s">
        <v>40</v>
      </c>
      <c r="I4724" s="45">
        <v>95.65</v>
      </c>
      <c r="J4724" s="45">
        <v>95.65</v>
      </c>
      <c r="K4724" s="49" t="s">
        <v>5018</v>
      </c>
      <c r="L4724" s="45"/>
      <c r="M4724" s="3"/>
    </row>
    <row r="4725" spans="1:13" ht="25.5" x14ac:dyDescent="0.25">
      <c r="A4725" s="46" t="s">
        <v>5237</v>
      </c>
      <c r="B4725" s="46" t="s">
        <v>38</v>
      </c>
      <c r="C4725" s="46" t="s">
        <v>14</v>
      </c>
      <c r="D4725" s="47">
        <v>1937</v>
      </c>
      <c r="E4725" s="46" t="s">
        <v>5238</v>
      </c>
      <c r="F4725" s="48">
        <v>39083</v>
      </c>
      <c r="G4725" s="48">
        <v>39813</v>
      </c>
      <c r="H4725" s="46" t="s">
        <v>40</v>
      </c>
      <c r="I4725" s="45">
        <v>95.65</v>
      </c>
      <c r="J4725" s="45">
        <v>95.65</v>
      </c>
      <c r="K4725" s="49" t="s">
        <v>5018</v>
      </c>
      <c r="L4725" s="45"/>
      <c r="M4725" s="3"/>
    </row>
    <row r="4726" spans="1:13" ht="25.5" x14ac:dyDescent="0.25">
      <c r="A4726" s="46" t="s">
        <v>5239</v>
      </c>
      <c r="B4726" s="46" t="s">
        <v>38</v>
      </c>
      <c r="C4726" s="46" t="s">
        <v>14</v>
      </c>
      <c r="D4726" s="47">
        <v>1938</v>
      </c>
      <c r="E4726" s="46" t="s">
        <v>5240</v>
      </c>
      <c r="F4726" s="48">
        <v>39542</v>
      </c>
      <c r="G4726" s="48">
        <v>39813</v>
      </c>
      <c r="H4726" s="46" t="s">
        <v>40</v>
      </c>
      <c r="I4726" s="45">
        <v>325.66000000000003</v>
      </c>
      <c r="J4726" s="45">
        <v>325.66000000000003</v>
      </c>
      <c r="K4726" s="49" t="s">
        <v>5018</v>
      </c>
      <c r="L4726" s="45"/>
      <c r="M4726" s="3"/>
    </row>
    <row r="4727" spans="1:13" ht="25.5" x14ac:dyDescent="0.25">
      <c r="A4727" s="46" t="s">
        <v>5241</v>
      </c>
      <c r="B4727" s="46" t="s">
        <v>38</v>
      </c>
      <c r="C4727" s="46" t="s">
        <v>14</v>
      </c>
      <c r="D4727" s="47">
        <v>1939</v>
      </c>
      <c r="E4727" s="46" t="s">
        <v>5242</v>
      </c>
      <c r="F4727" s="48">
        <v>39392</v>
      </c>
      <c r="G4727" s="48">
        <v>39413</v>
      </c>
      <c r="H4727" s="46" t="s">
        <v>40</v>
      </c>
      <c r="I4727" s="45">
        <v>1400</v>
      </c>
      <c r="J4727" s="45">
        <v>300</v>
      </c>
      <c r="K4727" s="49" t="s">
        <v>5018</v>
      </c>
      <c r="L4727" s="45"/>
      <c r="M4727" s="3"/>
    </row>
    <row r="4728" spans="1:13" ht="25.5" x14ac:dyDescent="0.25">
      <c r="A4728" s="46" t="s">
        <v>5243</v>
      </c>
      <c r="B4728" s="46" t="s">
        <v>38</v>
      </c>
      <c r="C4728" s="46" t="s">
        <v>14</v>
      </c>
      <c r="D4728" s="47">
        <v>1940</v>
      </c>
      <c r="E4728" s="46" t="s">
        <v>5243</v>
      </c>
      <c r="F4728" s="48">
        <v>39146</v>
      </c>
      <c r="G4728" s="48">
        <v>39174</v>
      </c>
      <c r="H4728" s="46" t="s">
        <v>40</v>
      </c>
      <c r="I4728" s="45">
        <v>1400</v>
      </c>
      <c r="J4728" s="45">
        <v>350</v>
      </c>
      <c r="K4728" s="49" t="s">
        <v>5018</v>
      </c>
      <c r="L4728" s="45"/>
      <c r="M4728" s="3"/>
    </row>
    <row r="4729" spans="1:13" ht="25.5" x14ac:dyDescent="0.25">
      <c r="A4729" s="46" t="s">
        <v>5244</v>
      </c>
      <c r="B4729" s="46" t="s">
        <v>38</v>
      </c>
      <c r="C4729" s="46" t="s">
        <v>14</v>
      </c>
      <c r="D4729" s="47">
        <v>1941</v>
      </c>
      <c r="E4729" s="46" t="s">
        <v>5244</v>
      </c>
      <c r="F4729" s="48">
        <v>39149</v>
      </c>
      <c r="G4729" s="48">
        <v>39163</v>
      </c>
      <c r="H4729" s="46" t="s">
        <v>40</v>
      </c>
      <c r="I4729" s="45">
        <v>1400</v>
      </c>
      <c r="J4729" s="45">
        <v>895</v>
      </c>
      <c r="K4729" s="49" t="s">
        <v>5018</v>
      </c>
      <c r="L4729" s="45"/>
      <c r="M4729" s="3"/>
    </row>
    <row r="4730" spans="1:13" ht="25.5" x14ac:dyDescent="0.25">
      <c r="A4730" s="46" t="s">
        <v>5245</v>
      </c>
      <c r="B4730" s="46" t="s">
        <v>38</v>
      </c>
      <c r="C4730" s="46" t="s">
        <v>14</v>
      </c>
      <c r="D4730" s="47">
        <v>1942</v>
      </c>
      <c r="E4730" s="46" t="s">
        <v>5246</v>
      </c>
      <c r="F4730" s="48">
        <v>39142</v>
      </c>
      <c r="G4730" s="48">
        <v>39202</v>
      </c>
      <c r="H4730" s="46" t="s">
        <v>40</v>
      </c>
      <c r="I4730" s="45">
        <v>2367</v>
      </c>
      <c r="J4730" s="45">
        <v>2067</v>
      </c>
      <c r="K4730" s="49" t="s">
        <v>5018</v>
      </c>
      <c r="L4730" s="45"/>
      <c r="M4730" s="3"/>
    </row>
    <row r="4731" spans="1:13" ht="25.5" x14ac:dyDescent="0.25">
      <c r="A4731" s="46" t="s">
        <v>5247</v>
      </c>
      <c r="B4731" s="46" t="s">
        <v>38</v>
      </c>
      <c r="C4731" s="46" t="s">
        <v>14</v>
      </c>
      <c r="D4731" s="47">
        <v>1943</v>
      </c>
      <c r="E4731" s="46" t="s">
        <v>5248</v>
      </c>
      <c r="F4731" s="48">
        <v>39387</v>
      </c>
      <c r="G4731" s="48">
        <v>39387</v>
      </c>
      <c r="H4731" s="46" t="s">
        <v>40</v>
      </c>
      <c r="I4731" s="45">
        <v>825</v>
      </c>
      <c r="J4731" s="45">
        <v>635</v>
      </c>
      <c r="K4731" s="49" t="s">
        <v>5018</v>
      </c>
      <c r="L4731" s="45"/>
      <c r="M4731" s="3"/>
    </row>
    <row r="4732" spans="1:13" ht="25.5" x14ac:dyDescent="0.25">
      <c r="A4732" s="46" t="s">
        <v>5249</v>
      </c>
      <c r="B4732" s="46" t="s">
        <v>38</v>
      </c>
      <c r="C4732" s="46" t="s">
        <v>14</v>
      </c>
      <c r="D4732" s="47">
        <v>1944</v>
      </c>
      <c r="E4732" s="46" t="s">
        <v>5250</v>
      </c>
      <c r="F4732" s="48">
        <v>39155</v>
      </c>
      <c r="G4732" s="48">
        <v>39155</v>
      </c>
      <c r="H4732" s="46" t="s">
        <v>40</v>
      </c>
      <c r="I4732" s="45">
        <v>800</v>
      </c>
      <c r="J4732" s="45">
        <v>500</v>
      </c>
      <c r="K4732" s="49" t="s">
        <v>5018</v>
      </c>
      <c r="L4732" s="45"/>
      <c r="M4732" s="3"/>
    </row>
    <row r="4733" spans="1:13" ht="25.5" x14ac:dyDescent="0.25">
      <c r="A4733" s="46" t="s">
        <v>5251</v>
      </c>
      <c r="B4733" s="46" t="s">
        <v>38</v>
      </c>
      <c r="C4733" s="46" t="s">
        <v>14</v>
      </c>
      <c r="D4733" s="47">
        <v>1945</v>
      </c>
      <c r="E4733" s="46" t="s">
        <v>5252</v>
      </c>
      <c r="F4733" s="48">
        <v>39368</v>
      </c>
      <c r="G4733" s="48">
        <v>39375</v>
      </c>
      <c r="H4733" s="46" t="s">
        <v>40</v>
      </c>
      <c r="I4733" s="45">
        <v>3552</v>
      </c>
      <c r="J4733" s="45">
        <v>2352</v>
      </c>
      <c r="K4733" s="49" t="s">
        <v>5018</v>
      </c>
      <c r="L4733" s="45"/>
      <c r="M4733" s="3"/>
    </row>
    <row r="4734" spans="1:13" ht="25.5" x14ac:dyDescent="0.25">
      <c r="A4734" s="46" t="s">
        <v>5255</v>
      </c>
      <c r="B4734" s="46" t="s">
        <v>38</v>
      </c>
      <c r="C4734" s="46" t="s">
        <v>14</v>
      </c>
      <c r="D4734" s="47">
        <v>1947</v>
      </c>
      <c r="E4734" s="46" t="s">
        <v>5256</v>
      </c>
      <c r="F4734" s="48">
        <v>39149</v>
      </c>
      <c r="G4734" s="48">
        <v>39156</v>
      </c>
      <c r="H4734" s="46" t="s">
        <v>40</v>
      </c>
      <c r="I4734" s="45">
        <v>2720</v>
      </c>
      <c r="J4734" s="45">
        <v>2020</v>
      </c>
      <c r="K4734" s="49" t="s">
        <v>5018</v>
      </c>
      <c r="L4734" s="45"/>
      <c r="M4734" s="3"/>
    </row>
    <row r="4735" spans="1:13" ht="25.5" x14ac:dyDescent="0.25">
      <c r="A4735" s="46" t="s">
        <v>5257</v>
      </c>
      <c r="B4735" s="46" t="s">
        <v>38</v>
      </c>
      <c r="C4735" s="46" t="s">
        <v>14</v>
      </c>
      <c r="D4735" s="47">
        <v>1948</v>
      </c>
      <c r="E4735" s="46" t="s">
        <v>5256</v>
      </c>
      <c r="F4735" s="48">
        <v>39204</v>
      </c>
      <c r="G4735" s="48">
        <v>39239</v>
      </c>
      <c r="H4735" s="46" t="s">
        <v>40</v>
      </c>
      <c r="I4735" s="45">
        <v>2950</v>
      </c>
      <c r="J4735" s="45">
        <v>1900</v>
      </c>
      <c r="K4735" s="49" t="s">
        <v>5018</v>
      </c>
      <c r="L4735" s="45"/>
      <c r="M4735" s="3"/>
    </row>
    <row r="4736" spans="1:13" ht="25.5" x14ac:dyDescent="0.25">
      <c r="A4736" s="46" t="s">
        <v>5258</v>
      </c>
      <c r="B4736" s="46" t="s">
        <v>38</v>
      </c>
      <c r="C4736" s="46" t="s">
        <v>14</v>
      </c>
      <c r="D4736" s="47">
        <v>1949</v>
      </c>
      <c r="E4736" s="46" t="s">
        <v>5259</v>
      </c>
      <c r="F4736" s="48">
        <v>39162</v>
      </c>
      <c r="G4736" s="48">
        <v>39176</v>
      </c>
      <c r="H4736" s="46" t="s">
        <v>40</v>
      </c>
      <c r="I4736" s="45">
        <v>1409.29</v>
      </c>
      <c r="J4736" s="45">
        <v>1009.29</v>
      </c>
      <c r="K4736" s="49" t="s">
        <v>5018</v>
      </c>
      <c r="L4736" s="45"/>
      <c r="M4736" s="3"/>
    </row>
    <row r="4737" spans="1:13" ht="25.5" x14ac:dyDescent="0.25">
      <c r="A4737" s="46" t="s">
        <v>5260</v>
      </c>
      <c r="B4737" s="46" t="s">
        <v>38</v>
      </c>
      <c r="C4737" s="46" t="s">
        <v>14</v>
      </c>
      <c r="D4737" s="47">
        <v>1950</v>
      </c>
      <c r="E4737" s="46" t="s">
        <v>5261</v>
      </c>
      <c r="F4737" s="48">
        <v>39189</v>
      </c>
      <c r="G4737" s="48">
        <v>39210</v>
      </c>
      <c r="H4737" s="46" t="s">
        <v>40</v>
      </c>
      <c r="I4737" s="45">
        <v>5495</v>
      </c>
      <c r="J4737" s="45">
        <v>4595</v>
      </c>
      <c r="K4737" s="49" t="s">
        <v>5018</v>
      </c>
      <c r="L4737" s="45"/>
      <c r="M4737" s="3"/>
    </row>
    <row r="4738" spans="1:13" ht="25.5" x14ac:dyDescent="0.25">
      <c r="A4738" s="46" t="s">
        <v>5262</v>
      </c>
      <c r="B4738" s="46" t="s">
        <v>38</v>
      </c>
      <c r="C4738" s="46" t="s">
        <v>14</v>
      </c>
      <c r="D4738" s="47">
        <v>1951</v>
      </c>
      <c r="E4738" s="46" t="s">
        <v>5263</v>
      </c>
      <c r="F4738" s="48">
        <v>39083</v>
      </c>
      <c r="G4738" s="48">
        <v>39447</v>
      </c>
      <c r="H4738" s="46" t="s">
        <v>40</v>
      </c>
      <c r="I4738" s="45">
        <v>653</v>
      </c>
      <c r="J4738" s="45">
        <v>523</v>
      </c>
      <c r="K4738" s="49" t="s">
        <v>5018</v>
      </c>
      <c r="L4738" s="45"/>
      <c r="M4738" s="3"/>
    </row>
    <row r="4739" spans="1:13" ht="25.5" x14ac:dyDescent="0.25">
      <c r="A4739" s="46" t="s">
        <v>5264</v>
      </c>
      <c r="B4739" s="46" t="s">
        <v>38</v>
      </c>
      <c r="C4739" s="46" t="s">
        <v>14</v>
      </c>
      <c r="D4739" s="47">
        <v>2227</v>
      </c>
      <c r="E4739" s="46" t="s">
        <v>5265</v>
      </c>
      <c r="F4739" s="48">
        <v>39088</v>
      </c>
      <c r="G4739" s="48">
        <v>39447</v>
      </c>
      <c r="H4739" s="46" t="s">
        <v>40</v>
      </c>
      <c r="I4739" s="45">
        <v>22304.97</v>
      </c>
      <c r="J4739" s="45">
        <v>21604.97</v>
      </c>
      <c r="K4739" s="49" t="s">
        <v>5018</v>
      </c>
      <c r="L4739" s="45"/>
      <c r="M4739" s="3"/>
    </row>
    <row r="4740" spans="1:13" ht="63.75" x14ac:dyDescent="0.25">
      <c r="A4740" s="46" t="s">
        <v>5266</v>
      </c>
      <c r="B4740" s="46" t="s">
        <v>38</v>
      </c>
      <c r="C4740" s="46" t="s">
        <v>14</v>
      </c>
      <c r="D4740" s="47">
        <v>2551</v>
      </c>
      <c r="E4740" s="50" t="s">
        <v>5267</v>
      </c>
      <c r="F4740" s="48">
        <v>39083</v>
      </c>
      <c r="G4740" s="48">
        <v>39447</v>
      </c>
      <c r="H4740" s="46" t="s">
        <v>40</v>
      </c>
      <c r="I4740" s="45">
        <v>11082.21</v>
      </c>
      <c r="J4740" s="45">
        <v>1082.21</v>
      </c>
      <c r="K4740" s="49" t="s">
        <v>5018</v>
      </c>
      <c r="L4740" s="45"/>
      <c r="M4740" s="3"/>
    </row>
    <row r="4741" spans="1:13" ht="25.5" x14ac:dyDescent="0.25">
      <c r="A4741" s="46" t="s">
        <v>5268</v>
      </c>
      <c r="B4741" s="46" t="s">
        <v>38</v>
      </c>
      <c r="C4741" s="46" t="s">
        <v>14</v>
      </c>
      <c r="D4741" s="47">
        <v>2561</v>
      </c>
      <c r="E4741" s="46" t="s">
        <v>5268</v>
      </c>
      <c r="F4741" s="48">
        <v>39449</v>
      </c>
      <c r="G4741" s="48">
        <v>39813</v>
      </c>
      <c r="H4741" s="46" t="s">
        <v>40</v>
      </c>
      <c r="I4741" s="45">
        <v>24441.119999999999</v>
      </c>
      <c r="J4741" s="45">
        <v>24341.119999999999</v>
      </c>
      <c r="K4741" s="49" t="s">
        <v>5018</v>
      </c>
      <c r="L4741" s="45"/>
      <c r="M4741" s="3"/>
    </row>
    <row r="4742" spans="1:13" ht="25.5" x14ac:dyDescent="0.25">
      <c r="A4742" s="46" t="s">
        <v>5269</v>
      </c>
      <c r="B4742" s="46" t="s">
        <v>38</v>
      </c>
      <c r="C4742" s="46" t="s">
        <v>14</v>
      </c>
      <c r="D4742" s="47">
        <v>2566</v>
      </c>
      <c r="E4742" s="46" t="s">
        <v>5269</v>
      </c>
      <c r="F4742" s="48">
        <v>39602</v>
      </c>
      <c r="G4742" s="48">
        <v>39731</v>
      </c>
      <c r="H4742" s="46" t="s">
        <v>40</v>
      </c>
      <c r="I4742" s="45">
        <v>5219.08</v>
      </c>
      <c r="J4742" s="45">
        <v>5219.08</v>
      </c>
      <c r="K4742" s="49" t="s">
        <v>5018</v>
      </c>
      <c r="L4742" s="45"/>
      <c r="M4742" s="3"/>
    </row>
    <row r="4743" spans="1:13" ht="25.5" x14ac:dyDescent="0.25">
      <c r="A4743" s="46" t="s">
        <v>5270</v>
      </c>
      <c r="B4743" s="46" t="s">
        <v>38</v>
      </c>
      <c r="C4743" s="46" t="s">
        <v>14</v>
      </c>
      <c r="D4743" s="47">
        <v>2576</v>
      </c>
      <c r="E4743" s="46" t="s">
        <v>5270</v>
      </c>
      <c r="F4743" s="48">
        <v>39448</v>
      </c>
      <c r="G4743" s="48">
        <v>39813</v>
      </c>
      <c r="H4743" s="46" t="s">
        <v>40</v>
      </c>
      <c r="I4743" s="45">
        <v>14500</v>
      </c>
      <c r="J4743" s="45">
        <v>14500</v>
      </c>
      <c r="K4743" s="49" t="s">
        <v>5018</v>
      </c>
      <c r="L4743" s="45"/>
      <c r="M4743" s="3"/>
    </row>
    <row r="4744" spans="1:13" ht="25.5" x14ac:dyDescent="0.25">
      <c r="A4744" s="46" t="s">
        <v>5271</v>
      </c>
      <c r="B4744" s="46" t="s">
        <v>38</v>
      </c>
      <c r="C4744" s="46" t="s">
        <v>14</v>
      </c>
      <c r="D4744" s="47">
        <v>2581</v>
      </c>
      <c r="E4744" s="46" t="s">
        <v>5271</v>
      </c>
      <c r="F4744" s="48">
        <v>39734</v>
      </c>
      <c r="G4744" s="48">
        <v>39738</v>
      </c>
      <c r="H4744" s="46" t="s">
        <v>40</v>
      </c>
      <c r="I4744" s="45">
        <v>9877.6200000000008</v>
      </c>
      <c r="J4744" s="45">
        <v>2729.48</v>
      </c>
      <c r="K4744" s="49" t="s">
        <v>5018</v>
      </c>
      <c r="L4744" s="45"/>
      <c r="M4744" s="3"/>
    </row>
    <row r="4745" spans="1:13" ht="38.25" x14ac:dyDescent="0.25">
      <c r="A4745" s="46" t="s">
        <v>5272</v>
      </c>
      <c r="B4745" s="46" t="s">
        <v>38</v>
      </c>
      <c r="C4745" s="46" t="s">
        <v>14</v>
      </c>
      <c r="D4745" s="47">
        <v>2582</v>
      </c>
      <c r="E4745" s="46" t="s">
        <v>5273</v>
      </c>
      <c r="F4745" s="48">
        <v>39448</v>
      </c>
      <c r="G4745" s="48">
        <v>39813</v>
      </c>
      <c r="H4745" s="46" t="s">
        <v>40</v>
      </c>
      <c r="I4745" s="45">
        <v>918.5</v>
      </c>
      <c r="J4745" s="45">
        <v>918.5</v>
      </c>
      <c r="K4745" s="49" t="s">
        <v>5018</v>
      </c>
      <c r="L4745" s="45"/>
      <c r="M4745" s="3"/>
    </row>
    <row r="4746" spans="1:13" ht="38.25" x14ac:dyDescent="0.25">
      <c r="A4746" s="46" t="s">
        <v>5274</v>
      </c>
      <c r="B4746" s="46" t="s">
        <v>38</v>
      </c>
      <c r="C4746" s="46" t="s">
        <v>14</v>
      </c>
      <c r="D4746" s="47">
        <v>2584</v>
      </c>
      <c r="E4746" s="50" t="s">
        <v>5275</v>
      </c>
      <c r="F4746" s="48">
        <v>39448</v>
      </c>
      <c r="G4746" s="48">
        <v>39813</v>
      </c>
      <c r="H4746" s="46" t="s">
        <v>40</v>
      </c>
      <c r="I4746" s="45">
        <v>5000</v>
      </c>
      <c r="J4746" s="45">
        <v>5000</v>
      </c>
      <c r="K4746" s="49" t="s">
        <v>5018</v>
      </c>
      <c r="L4746" s="45"/>
      <c r="M4746" s="3"/>
    </row>
    <row r="4747" spans="1:13" ht="25.5" x14ac:dyDescent="0.25">
      <c r="A4747" s="46" t="s">
        <v>5276</v>
      </c>
      <c r="B4747" s="46" t="s">
        <v>38</v>
      </c>
      <c r="C4747" s="46" t="s">
        <v>14</v>
      </c>
      <c r="D4747" s="47">
        <v>2585</v>
      </c>
      <c r="E4747" s="46" t="s">
        <v>5277</v>
      </c>
      <c r="F4747" s="48">
        <v>39448</v>
      </c>
      <c r="G4747" s="48">
        <v>39813</v>
      </c>
      <c r="H4747" s="46" t="s">
        <v>40</v>
      </c>
      <c r="I4747" s="45">
        <v>1837.68</v>
      </c>
      <c r="J4747" s="45">
        <v>1837.68</v>
      </c>
      <c r="K4747" s="49" t="s">
        <v>5018</v>
      </c>
      <c r="L4747" s="45"/>
      <c r="M4747" s="3"/>
    </row>
    <row r="4748" spans="1:13" ht="25.5" x14ac:dyDescent="0.25">
      <c r="A4748" s="46" t="s">
        <v>5278</v>
      </c>
      <c r="B4748" s="46" t="s">
        <v>38</v>
      </c>
      <c r="C4748" s="46" t="s">
        <v>14</v>
      </c>
      <c r="D4748" s="47">
        <v>2586</v>
      </c>
      <c r="E4748" s="46" t="s">
        <v>5278</v>
      </c>
      <c r="F4748" s="48">
        <v>39448</v>
      </c>
      <c r="G4748" s="48">
        <v>39813</v>
      </c>
      <c r="H4748" s="46" t="s">
        <v>40</v>
      </c>
      <c r="I4748" s="45">
        <v>83445.91</v>
      </c>
      <c r="J4748" s="45">
        <v>83445.91</v>
      </c>
      <c r="K4748" s="49" t="s">
        <v>5018</v>
      </c>
      <c r="L4748" s="45"/>
      <c r="M4748" s="3"/>
    </row>
    <row r="4749" spans="1:13" ht="25.5" x14ac:dyDescent="0.25">
      <c r="A4749" s="46" t="s">
        <v>5279</v>
      </c>
      <c r="B4749" s="46" t="s">
        <v>38</v>
      </c>
      <c r="C4749" s="46" t="s">
        <v>14</v>
      </c>
      <c r="D4749" s="47">
        <v>2587</v>
      </c>
      <c r="E4749" s="46" t="s">
        <v>5279</v>
      </c>
      <c r="F4749" s="48">
        <v>39448</v>
      </c>
      <c r="G4749" s="48">
        <v>39813</v>
      </c>
      <c r="H4749" s="46" t="s">
        <v>40</v>
      </c>
      <c r="I4749" s="45">
        <v>43646.07</v>
      </c>
      <c r="J4749" s="45">
        <v>43646.07</v>
      </c>
      <c r="K4749" s="49" t="s">
        <v>5018</v>
      </c>
      <c r="L4749" s="45"/>
      <c r="M4749" s="3"/>
    </row>
    <row r="4750" spans="1:13" ht="25.5" x14ac:dyDescent="0.25">
      <c r="A4750" s="46" t="s">
        <v>5280</v>
      </c>
      <c r="B4750" s="46" t="s">
        <v>38</v>
      </c>
      <c r="C4750" s="46" t="s">
        <v>14</v>
      </c>
      <c r="D4750" s="47">
        <v>2588</v>
      </c>
      <c r="E4750" s="46" t="s">
        <v>5280</v>
      </c>
      <c r="F4750" s="48">
        <v>39448</v>
      </c>
      <c r="G4750" s="48">
        <v>39813</v>
      </c>
      <c r="H4750" s="46" t="s">
        <v>40</v>
      </c>
      <c r="I4750" s="45">
        <v>1532.37</v>
      </c>
      <c r="J4750" s="45">
        <v>1532.37</v>
      </c>
      <c r="K4750" s="49" t="s">
        <v>5018</v>
      </c>
      <c r="L4750" s="45"/>
      <c r="M4750" s="3"/>
    </row>
    <row r="4751" spans="1:13" ht="25.5" x14ac:dyDescent="0.25">
      <c r="A4751" s="46" t="s">
        <v>5281</v>
      </c>
      <c r="B4751" s="46" t="s">
        <v>38</v>
      </c>
      <c r="C4751" s="46" t="s">
        <v>14</v>
      </c>
      <c r="D4751" s="47">
        <v>2589</v>
      </c>
      <c r="E4751" s="46" t="s">
        <v>5282</v>
      </c>
      <c r="F4751" s="48">
        <v>39448</v>
      </c>
      <c r="G4751" s="48">
        <v>39813</v>
      </c>
      <c r="H4751" s="46" t="s">
        <v>40</v>
      </c>
      <c r="I4751" s="45">
        <v>1954.4</v>
      </c>
      <c r="J4751" s="45">
        <v>1954.4</v>
      </c>
      <c r="K4751" s="49" t="s">
        <v>5018</v>
      </c>
      <c r="L4751" s="45"/>
      <c r="M4751" s="3"/>
    </row>
    <row r="4752" spans="1:13" ht="25.5" x14ac:dyDescent="0.25">
      <c r="A4752" s="46" t="s">
        <v>5283</v>
      </c>
      <c r="B4752" s="46" t="s">
        <v>38</v>
      </c>
      <c r="C4752" s="46" t="s">
        <v>14</v>
      </c>
      <c r="D4752" s="47">
        <v>2590</v>
      </c>
      <c r="E4752" s="46" t="s">
        <v>5283</v>
      </c>
      <c r="F4752" s="48">
        <v>39448</v>
      </c>
      <c r="G4752" s="48">
        <v>39813</v>
      </c>
      <c r="H4752" s="46" t="s">
        <v>40</v>
      </c>
      <c r="I4752" s="45">
        <v>1446.35</v>
      </c>
      <c r="J4752" s="45">
        <v>1446.35</v>
      </c>
      <c r="K4752" s="49" t="s">
        <v>5018</v>
      </c>
      <c r="L4752" s="45"/>
      <c r="M4752" s="3"/>
    </row>
    <row r="4753" spans="1:13" ht="63.75" x14ac:dyDescent="0.25">
      <c r="A4753" s="46" t="s">
        <v>5284</v>
      </c>
      <c r="B4753" s="46" t="s">
        <v>38</v>
      </c>
      <c r="C4753" s="46" t="s">
        <v>14</v>
      </c>
      <c r="D4753" s="47">
        <v>2591</v>
      </c>
      <c r="E4753" s="50" t="s">
        <v>5267</v>
      </c>
      <c r="F4753" s="48">
        <v>39448</v>
      </c>
      <c r="G4753" s="48">
        <v>39813</v>
      </c>
      <c r="H4753" s="46" t="s">
        <v>40</v>
      </c>
      <c r="I4753" s="45">
        <v>20188.34</v>
      </c>
      <c r="J4753" s="45">
        <v>10188.34</v>
      </c>
      <c r="K4753" s="49" t="s">
        <v>5018</v>
      </c>
      <c r="L4753" s="45"/>
      <c r="M4753" s="3"/>
    </row>
    <row r="4754" spans="1:13" ht="25.5" x14ac:dyDescent="0.25">
      <c r="A4754" s="46" t="s">
        <v>5285</v>
      </c>
      <c r="B4754" s="46" t="s">
        <v>38</v>
      </c>
      <c r="C4754" s="46" t="s">
        <v>14</v>
      </c>
      <c r="D4754" s="47">
        <v>2592</v>
      </c>
      <c r="E4754" s="46" t="s">
        <v>5286</v>
      </c>
      <c r="F4754" s="48">
        <v>39720</v>
      </c>
      <c r="G4754" s="48">
        <v>39720</v>
      </c>
      <c r="H4754" s="46" t="s">
        <v>40</v>
      </c>
      <c r="I4754" s="45">
        <v>4400</v>
      </c>
      <c r="J4754" s="45">
        <v>3400</v>
      </c>
      <c r="K4754" s="49" t="s">
        <v>5018</v>
      </c>
      <c r="L4754" s="45"/>
      <c r="M4754" s="3"/>
    </row>
    <row r="4755" spans="1:13" ht="25.5" x14ac:dyDescent="0.25">
      <c r="A4755" s="46" t="s">
        <v>5287</v>
      </c>
      <c r="B4755" s="46" t="s">
        <v>38</v>
      </c>
      <c r="C4755" s="46" t="s">
        <v>14</v>
      </c>
      <c r="D4755" s="47">
        <v>2594</v>
      </c>
      <c r="E4755" s="46" t="s">
        <v>5287</v>
      </c>
      <c r="F4755" s="48">
        <v>39448</v>
      </c>
      <c r="G4755" s="48">
        <v>39813</v>
      </c>
      <c r="H4755" s="46" t="s">
        <v>40</v>
      </c>
      <c r="I4755" s="45">
        <v>26955.919999999998</v>
      </c>
      <c r="J4755" s="45">
        <v>26555.919999999998</v>
      </c>
      <c r="K4755" s="49" t="s">
        <v>5018</v>
      </c>
      <c r="L4755" s="45"/>
      <c r="M4755" s="3"/>
    </row>
    <row r="4756" spans="1:13" ht="25.5" x14ac:dyDescent="0.25">
      <c r="A4756" s="46" t="s">
        <v>5288</v>
      </c>
      <c r="B4756" s="46" t="s">
        <v>38</v>
      </c>
      <c r="C4756" s="46" t="s">
        <v>14</v>
      </c>
      <c r="D4756" s="47">
        <v>2595</v>
      </c>
      <c r="E4756" s="46" t="s">
        <v>5289</v>
      </c>
      <c r="F4756" s="48">
        <v>39448</v>
      </c>
      <c r="G4756" s="48">
        <v>39813</v>
      </c>
      <c r="H4756" s="46" t="s">
        <v>40</v>
      </c>
      <c r="I4756" s="45">
        <v>75931.600000000006</v>
      </c>
      <c r="J4756" s="45">
        <v>37965.800000000003</v>
      </c>
      <c r="K4756" s="49" t="s">
        <v>5018</v>
      </c>
      <c r="L4756" s="45"/>
      <c r="M4756" s="3"/>
    </row>
    <row r="4757" spans="1:13" ht="25.5" x14ac:dyDescent="0.25">
      <c r="A4757" s="46" t="s">
        <v>5290</v>
      </c>
      <c r="B4757" s="46" t="s">
        <v>38</v>
      </c>
      <c r="C4757" s="46" t="s">
        <v>14</v>
      </c>
      <c r="D4757" s="47">
        <v>2596</v>
      </c>
      <c r="E4757" s="46" t="s">
        <v>5290</v>
      </c>
      <c r="F4757" s="48">
        <v>39499</v>
      </c>
      <c r="G4757" s="48">
        <v>39520</v>
      </c>
      <c r="H4757" s="46" t="s">
        <v>40</v>
      </c>
      <c r="I4757" s="45">
        <v>1400</v>
      </c>
      <c r="J4757" s="45">
        <v>700</v>
      </c>
      <c r="K4757" s="49" t="s">
        <v>5018</v>
      </c>
      <c r="L4757" s="45"/>
      <c r="M4757" s="3"/>
    </row>
    <row r="4758" spans="1:13" ht="25.5" x14ac:dyDescent="0.25">
      <c r="A4758" s="46" t="s">
        <v>5291</v>
      </c>
      <c r="B4758" s="46" t="s">
        <v>38</v>
      </c>
      <c r="C4758" s="46" t="s">
        <v>14</v>
      </c>
      <c r="D4758" s="47">
        <v>2597</v>
      </c>
      <c r="E4758" s="46" t="s">
        <v>5291</v>
      </c>
      <c r="F4758" s="48">
        <v>39757</v>
      </c>
      <c r="G4758" s="48">
        <v>39778</v>
      </c>
      <c r="H4758" s="46" t="s">
        <v>40</v>
      </c>
      <c r="I4758" s="45">
        <v>1400</v>
      </c>
      <c r="J4758" s="45">
        <v>700</v>
      </c>
      <c r="K4758" s="49" t="s">
        <v>5018</v>
      </c>
      <c r="L4758" s="45"/>
      <c r="M4758" s="3"/>
    </row>
    <row r="4759" spans="1:13" ht="25.5" x14ac:dyDescent="0.25">
      <c r="A4759" s="46" t="s">
        <v>5292</v>
      </c>
      <c r="B4759" s="46" t="s">
        <v>38</v>
      </c>
      <c r="C4759" s="46" t="s">
        <v>14</v>
      </c>
      <c r="D4759" s="47">
        <v>2598</v>
      </c>
      <c r="E4759" s="46" t="s">
        <v>5292</v>
      </c>
      <c r="F4759" s="48">
        <v>39548</v>
      </c>
      <c r="G4759" s="48">
        <v>39569</v>
      </c>
      <c r="H4759" s="46" t="s">
        <v>40</v>
      </c>
      <c r="I4759" s="45">
        <v>1400</v>
      </c>
      <c r="J4759" s="45">
        <v>100</v>
      </c>
      <c r="K4759" s="49" t="s">
        <v>5018</v>
      </c>
      <c r="L4759" s="45"/>
      <c r="M4759" s="3"/>
    </row>
    <row r="4760" spans="1:13" ht="25.5" x14ac:dyDescent="0.25">
      <c r="A4760" s="46" t="s">
        <v>5293</v>
      </c>
      <c r="B4760" s="46" t="s">
        <v>38</v>
      </c>
      <c r="C4760" s="46" t="s">
        <v>14</v>
      </c>
      <c r="D4760" s="47">
        <v>2599</v>
      </c>
      <c r="E4760" s="46" t="s">
        <v>5293</v>
      </c>
      <c r="F4760" s="48">
        <v>39756</v>
      </c>
      <c r="G4760" s="48">
        <v>39766</v>
      </c>
      <c r="H4760" s="46" t="s">
        <v>40</v>
      </c>
      <c r="I4760" s="45">
        <v>1400</v>
      </c>
      <c r="J4760" s="45">
        <v>300</v>
      </c>
      <c r="K4760" s="49" t="s">
        <v>5018</v>
      </c>
      <c r="L4760" s="45"/>
      <c r="M4760" s="3"/>
    </row>
    <row r="4761" spans="1:13" ht="25.5" x14ac:dyDescent="0.25">
      <c r="A4761" s="46" t="s">
        <v>5294</v>
      </c>
      <c r="B4761" s="46" t="s">
        <v>38</v>
      </c>
      <c r="C4761" s="46" t="s">
        <v>14</v>
      </c>
      <c r="D4761" s="47">
        <v>2600</v>
      </c>
      <c r="E4761" s="46" t="s">
        <v>5294</v>
      </c>
      <c r="F4761" s="48">
        <v>39448</v>
      </c>
      <c r="G4761" s="48">
        <v>39813</v>
      </c>
      <c r="H4761" s="46" t="s">
        <v>40</v>
      </c>
      <c r="I4761" s="45">
        <v>4113.5</v>
      </c>
      <c r="J4761" s="45">
        <v>3153.5</v>
      </c>
      <c r="K4761" s="49" t="s">
        <v>5018</v>
      </c>
      <c r="L4761" s="45"/>
      <c r="M4761" s="3"/>
    </row>
    <row r="4762" spans="1:13" ht="25.5" x14ac:dyDescent="0.25">
      <c r="A4762" s="46" t="s">
        <v>5295</v>
      </c>
      <c r="B4762" s="46" t="s">
        <v>38</v>
      </c>
      <c r="C4762" s="46" t="s">
        <v>14</v>
      </c>
      <c r="D4762" s="47">
        <v>2601</v>
      </c>
      <c r="E4762" s="46" t="s">
        <v>5295</v>
      </c>
      <c r="F4762" s="48">
        <v>39555</v>
      </c>
      <c r="G4762" s="48">
        <v>39555</v>
      </c>
      <c r="H4762" s="46" t="s">
        <v>40</v>
      </c>
      <c r="I4762" s="45">
        <v>880</v>
      </c>
      <c r="J4762" s="45">
        <v>580</v>
      </c>
      <c r="K4762" s="49" t="s">
        <v>5018</v>
      </c>
      <c r="L4762" s="45"/>
      <c r="M4762" s="3"/>
    </row>
    <row r="4763" spans="1:13" ht="25.5" x14ac:dyDescent="0.25">
      <c r="A4763" s="46" t="s">
        <v>5296</v>
      </c>
      <c r="B4763" s="46" t="s">
        <v>38</v>
      </c>
      <c r="C4763" s="46" t="s">
        <v>14</v>
      </c>
      <c r="D4763" s="47">
        <v>2603</v>
      </c>
      <c r="E4763" s="46" t="s">
        <v>5296</v>
      </c>
      <c r="F4763" s="48">
        <v>39476</v>
      </c>
      <c r="G4763" s="48">
        <v>39813</v>
      </c>
      <c r="H4763" s="46" t="s">
        <v>40</v>
      </c>
      <c r="I4763" s="45">
        <v>10340</v>
      </c>
      <c r="J4763" s="45">
        <v>7140</v>
      </c>
      <c r="K4763" s="49" t="s">
        <v>5018</v>
      </c>
      <c r="L4763" s="45"/>
      <c r="M4763" s="3"/>
    </row>
    <row r="4764" spans="1:13" ht="25.5" x14ac:dyDescent="0.25">
      <c r="A4764" s="46" t="s">
        <v>5297</v>
      </c>
      <c r="B4764" s="46" t="s">
        <v>38</v>
      </c>
      <c r="C4764" s="46" t="s">
        <v>14</v>
      </c>
      <c r="D4764" s="47">
        <v>2826</v>
      </c>
      <c r="E4764" s="46" t="s">
        <v>5297</v>
      </c>
      <c r="F4764" s="48">
        <v>39497</v>
      </c>
      <c r="G4764" s="48">
        <v>39511</v>
      </c>
      <c r="H4764" s="46" t="s">
        <v>40</v>
      </c>
      <c r="I4764" s="45">
        <v>2694</v>
      </c>
      <c r="J4764" s="45">
        <v>1594</v>
      </c>
      <c r="K4764" s="49" t="s">
        <v>5018</v>
      </c>
      <c r="L4764" s="45"/>
      <c r="M4764" s="3"/>
    </row>
    <row r="4765" spans="1:13" ht="25.5" x14ac:dyDescent="0.25">
      <c r="A4765" s="46" t="s">
        <v>5298</v>
      </c>
      <c r="B4765" s="46" t="s">
        <v>38</v>
      </c>
      <c r="C4765" s="46" t="s">
        <v>14</v>
      </c>
      <c r="D4765" s="47">
        <v>2830</v>
      </c>
      <c r="E4765" s="46" t="s">
        <v>5240</v>
      </c>
      <c r="F4765" s="48">
        <v>39480</v>
      </c>
      <c r="G4765" s="48">
        <v>39510</v>
      </c>
      <c r="H4765" s="46" t="s">
        <v>40</v>
      </c>
      <c r="I4765" s="45">
        <v>4565.49</v>
      </c>
      <c r="J4765" s="45">
        <v>1865.49</v>
      </c>
      <c r="K4765" s="49" t="s">
        <v>5018</v>
      </c>
      <c r="L4765" s="45"/>
      <c r="M4765" s="3"/>
    </row>
    <row r="4766" spans="1:13" ht="25.5" x14ac:dyDescent="0.25">
      <c r="A4766" s="46" t="s">
        <v>5299</v>
      </c>
      <c r="B4766" s="46" t="s">
        <v>38</v>
      </c>
      <c r="C4766" s="46" t="s">
        <v>14</v>
      </c>
      <c r="D4766" s="47">
        <v>2831</v>
      </c>
      <c r="E4766" s="46" t="s">
        <v>5240</v>
      </c>
      <c r="F4766" s="48">
        <v>39480</v>
      </c>
      <c r="G4766" s="48">
        <v>39568</v>
      </c>
      <c r="H4766" s="46" t="s">
        <v>40</v>
      </c>
      <c r="I4766" s="45">
        <v>1580.13</v>
      </c>
      <c r="J4766" s="45">
        <v>680.13</v>
      </c>
      <c r="K4766" s="49" t="s">
        <v>5018</v>
      </c>
      <c r="L4766" s="45"/>
      <c r="M4766" s="3"/>
    </row>
    <row r="4767" spans="1:13" ht="25.5" x14ac:dyDescent="0.25">
      <c r="A4767" s="46" t="s">
        <v>5300</v>
      </c>
      <c r="B4767" s="46" t="s">
        <v>38</v>
      </c>
      <c r="C4767" s="46" t="s">
        <v>14</v>
      </c>
      <c r="D4767" s="47">
        <v>2836</v>
      </c>
      <c r="E4767" s="46" t="s">
        <v>5301</v>
      </c>
      <c r="F4767" s="48">
        <v>39692</v>
      </c>
      <c r="G4767" s="48">
        <v>40178</v>
      </c>
      <c r="H4767" s="46" t="s">
        <v>40</v>
      </c>
      <c r="I4767" s="45">
        <v>2895.64</v>
      </c>
      <c r="J4767" s="45">
        <v>1395.64</v>
      </c>
      <c r="K4767" s="49" t="s">
        <v>5018</v>
      </c>
      <c r="L4767" s="45"/>
      <c r="M4767" s="3"/>
    </row>
    <row r="4768" spans="1:13" ht="25.5" x14ac:dyDescent="0.25">
      <c r="A4768" s="46" t="s">
        <v>5302</v>
      </c>
      <c r="B4768" s="46" t="s">
        <v>38</v>
      </c>
      <c r="C4768" s="46" t="s">
        <v>14</v>
      </c>
      <c r="D4768" s="47">
        <v>2837</v>
      </c>
      <c r="E4768" s="46" t="s">
        <v>5303</v>
      </c>
      <c r="F4768" s="48">
        <v>39692</v>
      </c>
      <c r="G4768" s="48">
        <v>40178</v>
      </c>
      <c r="H4768" s="46" t="s">
        <v>40</v>
      </c>
      <c r="I4768" s="45">
        <v>3396.7</v>
      </c>
      <c r="J4768" s="45">
        <v>1696.7</v>
      </c>
      <c r="K4768" s="49" t="s">
        <v>5018</v>
      </c>
      <c r="L4768" s="45"/>
      <c r="M4768" s="3"/>
    </row>
    <row r="4769" spans="1:13" ht="25.5" x14ac:dyDescent="0.25">
      <c r="A4769" s="46" t="s">
        <v>5304</v>
      </c>
      <c r="B4769" s="46" t="s">
        <v>38</v>
      </c>
      <c r="C4769" s="46" t="s">
        <v>14</v>
      </c>
      <c r="D4769" s="47">
        <v>2838</v>
      </c>
      <c r="E4769" s="46" t="s">
        <v>5250</v>
      </c>
      <c r="F4769" s="48">
        <v>39692</v>
      </c>
      <c r="G4769" s="48">
        <v>39813</v>
      </c>
      <c r="H4769" s="46" t="s">
        <v>40</v>
      </c>
      <c r="I4769" s="45">
        <v>825</v>
      </c>
      <c r="J4769" s="45">
        <v>525</v>
      </c>
      <c r="K4769" s="49" t="s">
        <v>5018</v>
      </c>
      <c r="L4769" s="45"/>
      <c r="M4769" s="3"/>
    </row>
    <row r="4770" spans="1:13" ht="25.5" x14ac:dyDescent="0.25">
      <c r="A4770" s="46" t="s">
        <v>5305</v>
      </c>
      <c r="B4770" s="46" t="s">
        <v>38</v>
      </c>
      <c r="C4770" s="46" t="s">
        <v>14</v>
      </c>
      <c r="D4770" s="47">
        <v>2839</v>
      </c>
      <c r="E4770" s="46" t="s">
        <v>5305</v>
      </c>
      <c r="F4770" s="48">
        <v>39482</v>
      </c>
      <c r="G4770" s="48">
        <v>39510</v>
      </c>
      <c r="H4770" s="46" t="s">
        <v>40</v>
      </c>
      <c r="I4770" s="45">
        <v>4815</v>
      </c>
      <c r="J4770" s="45">
        <v>3015</v>
      </c>
      <c r="K4770" s="49" t="s">
        <v>5018</v>
      </c>
      <c r="L4770" s="45"/>
      <c r="M4770" s="3"/>
    </row>
    <row r="4771" spans="1:13" ht="25.5" x14ac:dyDescent="0.25">
      <c r="A4771" s="46" t="s">
        <v>5306</v>
      </c>
      <c r="B4771" s="46" t="s">
        <v>38</v>
      </c>
      <c r="C4771" s="46" t="s">
        <v>14</v>
      </c>
      <c r="D4771" s="47">
        <v>2841</v>
      </c>
      <c r="E4771" s="46" t="s">
        <v>5306</v>
      </c>
      <c r="F4771" s="48">
        <v>39692</v>
      </c>
      <c r="G4771" s="48">
        <v>39813</v>
      </c>
      <c r="H4771" s="46" t="s">
        <v>40</v>
      </c>
      <c r="I4771" s="45">
        <v>2000</v>
      </c>
      <c r="J4771" s="45">
        <v>950</v>
      </c>
      <c r="K4771" s="49" t="s">
        <v>5018</v>
      </c>
      <c r="L4771" s="45"/>
      <c r="M4771" s="3"/>
    </row>
    <row r="4772" spans="1:13" ht="25.5" x14ac:dyDescent="0.25">
      <c r="A4772" s="46" t="s">
        <v>5307</v>
      </c>
      <c r="B4772" s="46" t="s">
        <v>38</v>
      </c>
      <c r="C4772" s="46" t="s">
        <v>14</v>
      </c>
      <c r="D4772" s="47">
        <v>2842</v>
      </c>
      <c r="E4772" s="46" t="s">
        <v>5307</v>
      </c>
      <c r="F4772" s="48">
        <v>39692</v>
      </c>
      <c r="G4772" s="48">
        <v>39813</v>
      </c>
      <c r="H4772" s="46" t="s">
        <v>40</v>
      </c>
      <c r="I4772" s="45">
        <v>1500</v>
      </c>
      <c r="J4772" s="45">
        <v>500</v>
      </c>
      <c r="K4772" s="49" t="s">
        <v>5018</v>
      </c>
      <c r="L4772" s="45"/>
      <c r="M4772" s="3"/>
    </row>
    <row r="4773" spans="1:13" ht="25.5" x14ac:dyDescent="0.25">
      <c r="A4773" s="46" t="s">
        <v>5308</v>
      </c>
      <c r="B4773" s="46" t="s">
        <v>38</v>
      </c>
      <c r="C4773" s="46" t="s">
        <v>14</v>
      </c>
      <c r="D4773" s="47">
        <v>2844</v>
      </c>
      <c r="E4773" s="46" t="s">
        <v>5308</v>
      </c>
      <c r="F4773" s="48">
        <v>39779</v>
      </c>
      <c r="G4773" s="48">
        <v>39785</v>
      </c>
      <c r="H4773" s="46" t="s">
        <v>40</v>
      </c>
      <c r="I4773" s="45">
        <v>600</v>
      </c>
      <c r="J4773" s="45">
        <v>600</v>
      </c>
      <c r="K4773" s="49" t="s">
        <v>5018</v>
      </c>
      <c r="L4773" s="45"/>
      <c r="M4773" s="3"/>
    </row>
    <row r="4774" spans="1:13" ht="25.5" x14ac:dyDescent="0.25">
      <c r="A4774" s="46" t="s">
        <v>5309</v>
      </c>
      <c r="B4774" s="46" t="s">
        <v>38</v>
      </c>
      <c r="C4774" s="46" t="s">
        <v>14</v>
      </c>
      <c r="D4774" s="47">
        <v>2845</v>
      </c>
      <c r="E4774" s="46" t="s">
        <v>5309</v>
      </c>
      <c r="F4774" s="48">
        <v>39546</v>
      </c>
      <c r="G4774" s="48">
        <v>39553</v>
      </c>
      <c r="H4774" s="46" t="s">
        <v>40</v>
      </c>
      <c r="I4774" s="45">
        <v>2534</v>
      </c>
      <c r="J4774" s="45">
        <v>1159</v>
      </c>
      <c r="K4774" s="49" t="s">
        <v>5018</v>
      </c>
      <c r="L4774" s="45"/>
      <c r="M4774" s="3"/>
    </row>
    <row r="4775" spans="1:13" ht="25.5" x14ac:dyDescent="0.25">
      <c r="A4775" s="46" t="s">
        <v>5310</v>
      </c>
      <c r="B4775" s="46" t="s">
        <v>38</v>
      </c>
      <c r="C4775" s="46" t="s">
        <v>14</v>
      </c>
      <c r="D4775" s="47">
        <v>2846</v>
      </c>
      <c r="E4775" s="46" t="s">
        <v>5310</v>
      </c>
      <c r="F4775" s="48">
        <v>39755</v>
      </c>
      <c r="G4775" s="48">
        <v>39769</v>
      </c>
      <c r="H4775" s="46" t="s">
        <v>40</v>
      </c>
      <c r="I4775" s="45">
        <v>2055</v>
      </c>
      <c r="J4775" s="45">
        <v>1955</v>
      </c>
      <c r="K4775" s="49" t="s">
        <v>5018</v>
      </c>
      <c r="L4775" s="45"/>
      <c r="M4775" s="3"/>
    </row>
    <row r="4776" spans="1:13" ht="25.5" x14ac:dyDescent="0.25">
      <c r="A4776" s="46" t="s">
        <v>5311</v>
      </c>
      <c r="B4776" s="46" t="s">
        <v>38</v>
      </c>
      <c r="C4776" s="46" t="s">
        <v>14</v>
      </c>
      <c r="D4776" s="47">
        <v>2848</v>
      </c>
      <c r="E4776" s="46" t="s">
        <v>5311</v>
      </c>
      <c r="F4776" s="48">
        <v>39494</v>
      </c>
      <c r="G4776" s="48">
        <v>39508</v>
      </c>
      <c r="H4776" s="46" t="s">
        <v>40</v>
      </c>
      <c r="I4776" s="45">
        <v>4048</v>
      </c>
      <c r="J4776" s="45">
        <v>3548</v>
      </c>
      <c r="K4776" s="49" t="s">
        <v>5018</v>
      </c>
      <c r="L4776" s="45"/>
      <c r="M4776" s="3"/>
    </row>
    <row r="4777" spans="1:13" ht="25.5" x14ac:dyDescent="0.25">
      <c r="A4777" s="46" t="s">
        <v>5312</v>
      </c>
      <c r="B4777" s="46" t="s">
        <v>38</v>
      </c>
      <c r="C4777" s="46" t="s">
        <v>14</v>
      </c>
      <c r="D4777" s="47">
        <v>2849</v>
      </c>
      <c r="E4777" s="46" t="s">
        <v>5312</v>
      </c>
      <c r="F4777" s="48">
        <v>39692</v>
      </c>
      <c r="G4777" s="48">
        <v>39813</v>
      </c>
      <c r="H4777" s="46" t="s">
        <v>40</v>
      </c>
      <c r="I4777" s="45">
        <v>1200</v>
      </c>
      <c r="J4777" s="45">
        <v>1200</v>
      </c>
      <c r="K4777" s="49" t="s">
        <v>5018</v>
      </c>
      <c r="L4777" s="45"/>
      <c r="M4777" s="3"/>
    </row>
    <row r="4778" spans="1:13" ht="25.5" x14ac:dyDescent="0.25">
      <c r="A4778" s="46" t="s">
        <v>5313</v>
      </c>
      <c r="B4778" s="46" t="s">
        <v>38</v>
      </c>
      <c r="C4778" s="46" t="s">
        <v>14</v>
      </c>
      <c r="D4778" s="47">
        <v>2850</v>
      </c>
      <c r="E4778" s="46" t="s">
        <v>5313</v>
      </c>
      <c r="F4778" s="48">
        <v>39504</v>
      </c>
      <c r="G4778" s="48">
        <v>39518</v>
      </c>
      <c r="H4778" s="46" t="s">
        <v>40</v>
      </c>
      <c r="I4778" s="45">
        <v>1100</v>
      </c>
      <c r="J4778" s="45">
        <v>350</v>
      </c>
      <c r="K4778" s="49" t="s">
        <v>5018</v>
      </c>
      <c r="L4778" s="45"/>
      <c r="M4778" s="3"/>
    </row>
    <row r="4779" spans="1:13" ht="25.5" x14ac:dyDescent="0.25">
      <c r="A4779" s="46" t="s">
        <v>5314</v>
      </c>
      <c r="B4779" s="46" t="s">
        <v>38</v>
      </c>
      <c r="C4779" s="46" t="s">
        <v>14</v>
      </c>
      <c r="D4779" s="47">
        <v>2851</v>
      </c>
      <c r="E4779" s="46" t="s">
        <v>5314</v>
      </c>
      <c r="F4779" s="48">
        <v>39728</v>
      </c>
      <c r="G4779" s="48">
        <v>39742</v>
      </c>
      <c r="H4779" s="46" t="s">
        <v>40</v>
      </c>
      <c r="I4779" s="45">
        <v>1100</v>
      </c>
      <c r="J4779" s="45">
        <v>625</v>
      </c>
      <c r="K4779" s="49" t="s">
        <v>5018</v>
      </c>
      <c r="L4779" s="45"/>
      <c r="M4779" s="3"/>
    </row>
    <row r="4780" spans="1:13" ht="25.5" x14ac:dyDescent="0.25">
      <c r="A4780" s="46" t="s">
        <v>5315</v>
      </c>
      <c r="B4780" s="46" t="s">
        <v>38</v>
      </c>
      <c r="C4780" s="46" t="s">
        <v>14</v>
      </c>
      <c r="D4780" s="47">
        <v>2852</v>
      </c>
      <c r="E4780" s="46" t="s">
        <v>5315</v>
      </c>
      <c r="F4780" s="48">
        <v>39511</v>
      </c>
      <c r="G4780" s="48">
        <v>39518</v>
      </c>
      <c r="H4780" s="46" t="s">
        <v>40</v>
      </c>
      <c r="I4780" s="45">
        <v>600</v>
      </c>
      <c r="J4780" s="45">
        <v>100</v>
      </c>
      <c r="K4780" s="49" t="s">
        <v>5018</v>
      </c>
      <c r="L4780" s="45"/>
      <c r="M4780" s="3"/>
    </row>
    <row r="4781" spans="1:13" ht="25.5" x14ac:dyDescent="0.25">
      <c r="A4781" s="46" t="s">
        <v>5316</v>
      </c>
      <c r="B4781" s="46" t="s">
        <v>38</v>
      </c>
      <c r="C4781" s="46" t="s">
        <v>14</v>
      </c>
      <c r="D4781" s="47">
        <v>2853</v>
      </c>
      <c r="E4781" s="46" t="s">
        <v>5317</v>
      </c>
      <c r="F4781" s="48">
        <v>39541</v>
      </c>
      <c r="G4781" s="48">
        <v>39541</v>
      </c>
      <c r="H4781" s="46" t="s">
        <v>40</v>
      </c>
      <c r="I4781" s="45">
        <v>865</v>
      </c>
      <c r="J4781" s="45">
        <v>115</v>
      </c>
      <c r="K4781" s="49" t="s">
        <v>5018</v>
      </c>
      <c r="L4781" s="45"/>
      <c r="M4781" s="3"/>
    </row>
    <row r="4782" spans="1:13" ht="25.5" x14ac:dyDescent="0.25">
      <c r="A4782" s="46" t="s">
        <v>5318</v>
      </c>
      <c r="B4782" s="46" t="s">
        <v>38</v>
      </c>
      <c r="C4782" s="46" t="s">
        <v>14</v>
      </c>
      <c r="D4782" s="47">
        <v>2854</v>
      </c>
      <c r="E4782" s="46" t="s">
        <v>5318</v>
      </c>
      <c r="F4782" s="48">
        <v>39539</v>
      </c>
      <c r="G4782" s="48">
        <v>39721</v>
      </c>
      <c r="H4782" s="46" t="s">
        <v>40</v>
      </c>
      <c r="I4782" s="45">
        <v>12270</v>
      </c>
      <c r="J4782" s="45">
        <v>2264.92</v>
      </c>
      <c r="K4782" s="49" t="s">
        <v>5018</v>
      </c>
      <c r="L4782" s="45"/>
      <c r="M4782" s="3"/>
    </row>
    <row r="4783" spans="1:13" ht="25.5" x14ac:dyDescent="0.25">
      <c r="A4783" s="46" t="s">
        <v>5319</v>
      </c>
      <c r="B4783" s="46" t="s">
        <v>38</v>
      </c>
      <c r="C4783" s="46" t="s">
        <v>14</v>
      </c>
      <c r="D4783" s="47">
        <v>2855</v>
      </c>
      <c r="E4783" s="46" t="s">
        <v>5319</v>
      </c>
      <c r="F4783" s="48">
        <v>39708</v>
      </c>
      <c r="G4783" s="48">
        <v>39813</v>
      </c>
      <c r="H4783" s="46" t="s">
        <v>40</v>
      </c>
      <c r="I4783" s="45">
        <v>10498</v>
      </c>
      <c r="J4783" s="45">
        <v>3575.5</v>
      </c>
      <c r="K4783" s="49" t="s">
        <v>5018</v>
      </c>
      <c r="L4783" s="45"/>
      <c r="M4783" s="3"/>
    </row>
    <row r="4784" spans="1:13" ht="25.5" x14ac:dyDescent="0.25">
      <c r="A4784" s="46" t="s">
        <v>5320</v>
      </c>
      <c r="B4784" s="46" t="s">
        <v>38</v>
      </c>
      <c r="C4784" s="46" t="s">
        <v>14</v>
      </c>
      <c r="D4784" s="47">
        <v>2856</v>
      </c>
      <c r="E4784" s="46" t="s">
        <v>5320</v>
      </c>
      <c r="F4784" s="48">
        <v>39503</v>
      </c>
      <c r="G4784" s="48">
        <v>39517</v>
      </c>
      <c r="H4784" s="46" t="s">
        <v>40</v>
      </c>
      <c r="I4784" s="45">
        <v>1500</v>
      </c>
      <c r="J4784" s="45">
        <v>225</v>
      </c>
      <c r="K4784" s="49" t="s">
        <v>5018</v>
      </c>
      <c r="L4784" s="45"/>
      <c r="M4784" s="3"/>
    </row>
    <row r="4785" spans="1:13" ht="25.5" x14ac:dyDescent="0.25">
      <c r="A4785" s="46" t="s">
        <v>5321</v>
      </c>
      <c r="B4785" s="46" t="s">
        <v>38</v>
      </c>
      <c r="C4785" s="46" t="s">
        <v>14</v>
      </c>
      <c r="D4785" s="47">
        <v>2857</v>
      </c>
      <c r="E4785" s="46" t="s">
        <v>5321</v>
      </c>
      <c r="F4785" s="48">
        <v>39727</v>
      </c>
      <c r="G4785" s="48">
        <v>39741</v>
      </c>
      <c r="H4785" s="46" t="s">
        <v>40</v>
      </c>
      <c r="I4785" s="45">
        <v>1425</v>
      </c>
      <c r="J4785" s="45">
        <v>450</v>
      </c>
      <c r="K4785" s="49" t="s">
        <v>5018</v>
      </c>
      <c r="L4785" s="45"/>
      <c r="M4785" s="3"/>
    </row>
    <row r="4786" spans="1:13" ht="25.5" x14ac:dyDescent="0.25">
      <c r="A4786" s="46" t="s">
        <v>5322</v>
      </c>
      <c r="B4786" s="46" t="s">
        <v>38</v>
      </c>
      <c r="C4786" s="46" t="s">
        <v>14</v>
      </c>
      <c r="D4786" s="47">
        <v>2858</v>
      </c>
      <c r="E4786" s="46" t="s">
        <v>5322</v>
      </c>
      <c r="F4786" s="48">
        <v>39538</v>
      </c>
      <c r="G4786" s="48">
        <v>39539</v>
      </c>
      <c r="H4786" s="46" t="s">
        <v>40</v>
      </c>
      <c r="I4786" s="45">
        <v>2750</v>
      </c>
      <c r="J4786" s="45">
        <v>1650</v>
      </c>
      <c r="K4786" s="49" t="s">
        <v>5018</v>
      </c>
      <c r="L4786" s="45"/>
      <c r="M4786" s="3"/>
    </row>
    <row r="4787" spans="1:13" ht="25.5" x14ac:dyDescent="0.25">
      <c r="A4787" s="46" t="s">
        <v>5323</v>
      </c>
      <c r="B4787" s="46" t="s">
        <v>38</v>
      </c>
      <c r="C4787" s="46" t="s">
        <v>14</v>
      </c>
      <c r="D4787" s="47">
        <v>2859</v>
      </c>
      <c r="E4787" s="46" t="s">
        <v>5323</v>
      </c>
      <c r="F4787" s="48">
        <v>39784</v>
      </c>
      <c r="G4787" s="48">
        <v>39798</v>
      </c>
      <c r="H4787" s="46" t="s">
        <v>40</v>
      </c>
      <c r="I4787" s="45">
        <v>900</v>
      </c>
      <c r="J4787" s="45">
        <v>900</v>
      </c>
      <c r="K4787" s="49" t="s">
        <v>5018</v>
      </c>
      <c r="L4787" s="45"/>
      <c r="M4787" s="3"/>
    </row>
    <row r="4788" spans="1:13" ht="25.5" x14ac:dyDescent="0.25">
      <c r="A4788" s="46" t="s">
        <v>5324</v>
      </c>
      <c r="B4788" s="46" t="s">
        <v>38</v>
      </c>
      <c r="C4788" s="46" t="s">
        <v>14</v>
      </c>
      <c r="D4788" s="47">
        <v>2861</v>
      </c>
      <c r="E4788" s="46" t="s">
        <v>5324</v>
      </c>
      <c r="F4788" s="48">
        <v>39553</v>
      </c>
      <c r="G4788" s="48">
        <v>39567</v>
      </c>
      <c r="H4788" s="46" t="s">
        <v>40</v>
      </c>
      <c r="I4788" s="45">
        <v>900</v>
      </c>
      <c r="J4788" s="45">
        <v>150</v>
      </c>
      <c r="K4788" s="49" t="s">
        <v>5018</v>
      </c>
      <c r="L4788" s="45"/>
      <c r="M4788" s="3"/>
    </row>
    <row r="4789" spans="1:13" ht="25.5" x14ac:dyDescent="0.25">
      <c r="A4789" s="46" t="s">
        <v>5325</v>
      </c>
      <c r="B4789" s="46" t="s">
        <v>38</v>
      </c>
      <c r="C4789" s="46" t="s">
        <v>14</v>
      </c>
      <c r="D4789" s="47">
        <v>2862</v>
      </c>
      <c r="E4789" s="46" t="s">
        <v>5325</v>
      </c>
      <c r="F4789" s="48">
        <v>39538</v>
      </c>
      <c r="G4789" s="48">
        <v>39566</v>
      </c>
      <c r="H4789" s="46" t="s">
        <v>40</v>
      </c>
      <c r="I4789" s="45">
        <v>4815</v>
      </c>
      <c r="J4789" s="45">
        <v>2615</v>
      </c>
      <c r="K4789" s="49" t="s">
        <v>5018</v>
      </c>
      <c r="L4789" s="45"/>
      <c r="M4789" s="3"/>
    </row>
    <row r="4790" spans="1:13" ht="25.5" x14ac:dyDescent="0.25">
      <c r="A4790" s="46" t="s">
        <v>5326</v>
      </c>
      <c r="B4790" s="46" t="s">
        <v>38</v>
      </c>
      <c r="C4790" s="46" t="s">
        <v>14</v>
      </c>
      <c r="D4790" s="47">
        <v>2863</v>
      </c>
      <c r="E4790" s="46" t="s">
        <v>5326</v>
      </c>
      <c r="F4790" s="48">
        <v>39741</v>
      </c>
      <c r="G4790" s="48">
        <v>39769</v>
      </c>
      <c r="H4790" s="46" t="s">
        <v>40</v>
      </c>
      <c r="I4790" s="45">
        <v>1700</v>
      </c>
      <c r="J4790" s="45">
        <v>1000</v>
      </c>
      <c r="K4790" s="49" t="s">
        <v>5018</v>
      </c>
      <c r="L4790" s="45"/>
      <c r="M4790" s="3"/>
    </row>
    <row r="4791" spans="1:13" ht="25.5" x14ac:dyDescent="0.25">
      <c r="A4791" s="46" t="s">
        <v>5327</v>
      </c>
      <c r="B4791" s="46" t="s">
        <v>38</v>
      </c>
      <c r="C4791" s="46" t="s">
        <v>14</v>
      </c>
      <c r="D4791" s="47">
        <v>2864</v>
      </c>
      <c r="E4791" s="46" t="s">
        <v>5327</v>
      </c>
      <c r="F4791" s="48">
        <v>39540</v>
      </c>
      <c r="G4791" s="48">
        <v>40178</v>
      </c>
      <c r="H4791" s="46" t="s">
        <v>40</v>
      </c>
      <c r="I4791" s="45">
        <v>3218</v>
      </c>
      <c r="J4791" s="45">
        <v>600</v>
      </c>
      <c r="K4791" s="49" t="s">
        <v>5018</v>
      </c>
      <c r="L4791" s="45"/>
      <c r="M4791" s="3"/>
    </row>
    <row r="4792" spans="1:13" ht="25.5" x14ac:dyDescent="0.25">
      <c r="A4792" s="46" t="s">
        <v>5328</v>
      </c>
      <c r="B4792" s="46" t="s">
        <v>38</v>
      </c>
      <c r="C4792" s="46" t="s">
        <v>14</v>
      </c>
      <c r="D4792" s="47">
        <v>2865</v>
      </c>
      <c r="E4792" s="46" t="s">
        <v>5328</v>
      </c>
      <c r="F4792" s="48">
        <v>39547</v>
      </c>
      <c r="G4792" s="48">
        <v>39561</v>
      </c>
      <c r="H4792" s="46" t="s">
        <v>40</v>
      </c>
      <c r="I4792" s="45">
        <v>2195</v>
      </c>
      <c r="J4792" s="45">
        <v>1395</v>
      </c>
      <c r="K4792" s="49" t="s">
        <v>5018</v>
      </c>
      <c r="L4792" s="45"/>
      <c r="M4792" s="3"/>
    </row>
    <row r="4793" spans="1:13" ht="25.5" x14ac:dyDescent="0.25">
      <c r="A4793" s="46" t="s">
        <v>5329</v>
      </c>
      <c r="B4793" s="46" t="s">
        <v>38</v>
      </c>
      <c r="C4793" s="46" t="s">
        <v>14</v>
      </c>
      <c r="D4793" s="47">
        <v>2866</v>
      </c>
      <c r="E4793" s="46" t="s">
        <v>5240</v>
      </c>
      <c r="F4793" s="48">
        <v>39553</v>
      </c>
      <c r="G4793" s="48">
        <v>40086</v>
      </c>
      <c r="H4793" s="46" t="s">
        <v>40</v>
      </c>
      <c r="I4793" s="45">
        <v>4662.79</v>
      </c>
      <c r="J4793" s="45">
        <v>2502.79</v>
      </c>
      <c r="K4793" s="49" t="s">
        <v>5018</v>
      </c>
      <c r="L4793" s="45"/>
      <c r="M4793" s="3"/>
    </row>
    <row r="4794" spans="1:13" ht="25.5" x14ac:dyDescent="0.25">
      <c r="A4794" s="46" t="s">
        <v>5330</v>
      </c>
      <c r="B4794" s="46" t="s">
        <v>38</v>
      </c>
      <c r="C4794" s="46" t="s">
        <v>14</v>
      </c>
      <c r="D4794" s="47">
        <v>2867</v>
      </c>
      <c r="E4794" s="46" t="s">
        <v>5330</v>
      </c>
      <c r="F4794" s="48">
        <v>39557</v>
      </c>
      <c r="G4794" s="48">
        <v>39564</v>
      </c>
      <c r="H4794" s="46" t="s">
        <v>40</v>
      </c>
      <c r="I4794" s="45">
        <v>1400</v>
      </c>
      <c r="J4794" s="45">
        <v>800</v>
      </c>
      <c r="K4794" s="49" t="s">
        <v>5018</v>
      </c>
      <c r="L4794" s="45"/>
      <c r="M4794" s="3"/>
    </row>
    <row r="4795" spans="1:13" ht="25.5" x14ac:dyDescent="0.25">
      <c r="A4795" s="46" t="s">
        <v>5331</v>
      </c>
      <c r="B4795" s="46" t="s">
        <v>38</v>
      </c>
      <c r="C4795" s="46" t="s">
        <v>14</v>
      </c>
      <c r="D4795" s="47">
        <v>2868</v>
      </c>
      <c r="E4795" s="46" t="s">
        <v>5331</v>
      </c>
      <c r="F4795" s="48">
        <v>39729</v>
      </c>
      <c r="G4795" s="48">
        <v>39736</v>
      </c>
      <c r="H4795" s="46" t="s">
        <v>40</v>
      </c>
      <c r="I4795" s="45">
        <v>1400</v>
      </c>
      <c r="J4795" s="45">
        <v>900</v>
      </c>
      <c r="K4795" s="49" t="s">
        <v>5018</v>
      </c>
      <c r="L4795" s="45"/>
      <c r="M4795" s="3"/>
    </row>
    <row r="4796" spans="1:13" ht="25.5" x14ac:dyDescent="0.25">
      <c r="A4796" s="46" t="s">
        <v>5332</v>
      </c>
      <c r="B4796" s="46" t="s">
        <v>38</v>
      </c>
      <c r="C4796" s="46" t="s">
        <v>14</v>
      </c>
      <c r="D4796" s="47">
        <v>2982</v>
      </c>
      <c r="E4796" s="46" t="s">
        <v>5332</v>
      </c>
      <c r="F4796" s="48">
        <v>39405</v>
      </c>
      <c r="G4796" s="48">
        <v>39813</v>
      </c>
      <c r="H4796" s="46" t="s">
        <v>40</v>
      </c>
      <c r="I4796" s="45">
        <v>1650</v>
      </c>
      <c r="J4796" s="45">
        <v>875</v>
      </c>
      <c r="K4796" s="49" t="s">
        <v>5018</v>
      </c>
      <c r="L4796" s="45"/>
      <c r="M4796" s="3"/>
    </row>
    <row r="4797" spans="1:13" ht="25.5" x14ac:dyDescent="0.25">
      <c r="A4797" s="46" t="s">
        <v>5333</v>
      </c>
      <c r="B4797" s="46" t="s">
        <v>38</v>
      </c>
      <c r="C4797" s="46" t="s">
        <v>14</v>
      </c>
      <c r="D4797" s="47">
        <v>3036</v>
      </c>
      <c r="E4797" s="46" t="s">
        <v>5333</v>
      </c>
      <c r="F4797" s="48">
        <v>39083</v>
      </c>
      <c r="G4797" s="48">
        <v>41639</v>
      </c>
      <c r="H4797" s="46" t="s">
        <v>40</v>
      </c>
      <c r="I4797" s="45">
        <v>210122.97</v>
      </c>
      <c r="J4797" s="45">
        <v>210122.97</v>
      </c>
      <c r="K4797" s="49" t="s">
        <v>5018</v>
      </c>
      <c r="L4797" s="45"/>
      <c r="M4797" s="3"/>
    </row>
    <row r="4798" spans="1:13" ht="38.25" x14ac:dyDescent="0.25">
      <c r="A4798" s="46" t="s">
        <v>5334</v>
      </c>
      <c r="B4798" s="46" t="s">
        <v>38</v>
      </c>
      <c r="C4798" s="46" t="s">
        <v>14</v>
      </c>
      <c r="D4798" s="47">
        <v>3037</v>
      </c>
      <c r="E4798" s="46" t="s">
        <v>5335</v>
      </c>
      <c r="F4798" s="48">
        <v>39448</v>
      </c>
      <c r="G4798" s="48">
        <v>39813</v>
      </c>
      <c r="H4798" s="46" t="s">
        <v>40</v>
      </c>
      <c r="I4798" s="45">
        <v>7861</v>
      </c>
      <c r="J4798" s="45">
        <v>7861</v>
      </c>
      <c r="K4798" s="49" t="s">
        <v>5018</v>
      </c>
      <c r="L4798" s="45"/>
      <c r="M4798" s="3"/>
    </row>
    <row r="4799" spans="1:13" ht="38.25" x14ac:dyDescent="0.25">
      <c r="A4799" s="46" t="s">
        <v>5336</v>
      </c>
      <c r="B4799" s="46" t="s">
        <v>38</v>
      </c>
      <c r="C4799" s="46" t="s">
        <v>14</v>
      </c>
      <c r="D4799" s="47">
        <v>3038</v>
      </c>
      <c r="E4799" s="46" t="s">
        <v>5337</v>
      </c>
      <c r="F4799" s="48">
        <v>39083</v>
      </c>
      <c r="G4799" s="48">
        <v>39447</v>
      </c>
      <c r="H4799" s="46" t="s">
        <v>40</v>
      </c>
      <c r="I4799" s="45">
        <v>1500.4</v>
      </c>
      <c r="J4799" s="45">
        <v>1500.4</v>
      </c>
      <c r="K4799" s="49" t="s">
        <v>5018</v>
      </c>
      <c r="L4799" s="45"/>
      <c r="M4799" s="3"/>
    </row>
    <row r="4800" spans="1:13" ht="38.25" x14ac:dyDescent="0.25">
      <c r="A4800" s="46" t="s">
        <v>5383</v>
      </c>
      <c r="B4800" s="46" t="s">
        <v>38</v>
      </c>
      <c r="C4800" s="46" t="s">
        <v>14</v>
      </c>
      <c r="D4800" s="47">
        <v>5348</v>
      </c>
      <c r="E4800" s="46" t="s">
        <v>5384</v>
      </c>
      <c r="F4800" s="48">
        <v>39814</v>
      </c>
      <c r="G4800" s="48">
        <v>40178</v>
      </c>
      <c r="H4800" s="46" t="s">
        <v>40</v>
      </c>
      <c r="I4800" s="45">
        <v>38234.1</v>
      </c>
      <c r="J4800" s="45">
        <v>38234.1</v>
      </c>
      <c r="K4800" s="49" t="s">
        <v>5018</v>
      </c>
      <c r="L4800" s="45"/>
      <c r="M4800" s="3"/>
    </row>
    <row r="4801" spans="1:13" ht="25.5" x14ac:dyDescent="0.25">
      <c r="A4801" s="46" t="s">
        <v>5385</v>
      </c>
      <c r="B4801" s="46" t="s">
        <v>38</v>
      </c>
      <c r="C4801" s="46" t="s">
        <v>14</v>
      </c>
      <c r="D4801" s="47">
        <v>5351</v>
      </c>
      <c r="E4801" s="46" t="s">
        <v>5385</v>
      </c>
      <c r="F4801" s="48">
        <v>39814</v>
      </c>
      <c r="G4801" s="48">
        <v>39994</v>
      </c>
      <c r="H4801" s="46" t="s">
        <v>40</v>
      </c>
      <c r="I4801" s="45">
        <v>11107.5</v>
      </c>
      <c r="J4801" s="45">
        <v>10607.5</v>
      </c>
      <c r="K4801" s="49" t="s">
        <v>5018</v>
      </c>
      <c r="L4801" s="45"/>
      <c r="M4801" s="3"/>
    </row>
    <row r="4802" spans="1:13" ht="25.5" x14ac:dyDescent="0.25">
      <c r="A4802" s="46" t="s">
        <v>5386</v>
      </c>
      <c r="B4802" s="46" t="s">
        <v>38</v>
      </c>
      <c r="C4802" s="46" t="s">
        <v>14</v>
      </c>
      <c r="D4802" s="47">
        <v>5393</v>
      </c>
      <c r="E4802" s="46" t="s">
        <v>5387</v>
      </c>
      <c r="F4802" s="48">
        <v>39814</v>
      </c>
      <c r="G4802" s="48">
        <v>40178</v>
      </c>
      <c r="H4802" s="46" t="s">
        <v>40</v>
      </c>
      <c r="I4802" s="45">
        <v>19955.240000000002</v>
      </c>
      <c r="J4802" s="45">
        <v>19555.240000000002</v>
      </c>
      <c r="K4802" s="49" t="s">
        <v>5018</v>
      </c>
      <c r="L4802" s="45"/>
      <c r="M4802" s="3"/>
    </row>
    <row r="4803" spans="1:13" ht="25.5" x14ac:dyDescent="0.25">
      <c r="A4803" s="46" t="s">
        <v>5388</v>
      </c>
      <c r="B4803" s="46" t="s">
        <v>38</v>
      </c>
      <c r="C4803" s="46" t="s">
        <v>14</v>
      </c>
      <c r="D4803" s="47">
        <v>5394</v>
      </c>
      <c r="E4803" s="46" t="s">
        <v>5389</v>
      </c>
      <c r="F4803" s="48">
        <v>39814</v>
      </c>
      <c r="G4803" s="48">
        <v>40178</v>
      </c>
      <c r="H4803" s="46" t="s">
        <v>40</v>
      </c>
      <c r="I4803" s="45">
        <v>624</v>
      </c>
      <c r="J4803" s="45">
        <v>624</v>
      </c>
      <c r="K4803" s="49" t="s">
        <v>5018</v>
      </c>
      <c r="L4803" s="45"/>
      <c r="M4803" s="3"/>
    </row>
    <row r="4804" spans="1:13" ht="25.5" x14ac:dyDescent="0.25">
      <c r="A4804" s="46" t="s">
        <v>5390</v>
      </c>
      <c r="B4804" s="46" t="s">
        <v>38</v>
      </c>
      <c r="C4804" s="46" t="s">
        <v>14</v>
      </c>
      <c r="D4804" s="47">
        <v>5396</v>
      </c>
      <c r="E4804" s="46" t="s">
        <v>5391</v>
      </c>
      <c r="F4804" s="48">
        <v>39814</v>
      </c>
      <c r="G4804" s="48">
        <v>40178</v>
      </c>
      <c r="H4804" s="46" t="s">
        <v>40</v>
      </c>
      <c r="I4804" s="45">
        <v>4106</v>
      </c>
      <c r="J4804" s="45">
        <v>3106</v>
      </c>
      <c r="K4804" s="49" t="s">
        <v>5018</v>
      </c>
      <c r="L4804" s="45"/>
      <c r="M4804" s="3"/>
    </row>
    <row r="4805" spans="1:13" ht="25.5" x14ac:dyDescent="0.25">
      <c r="A4805" s="46" t="s">
        <v>5392</v>
      </c>
      <c r="B4805" s="46" t="s">
        <v>38</v>
      </c>
      <c r="C4805" s="46" t="s">
        <v>14</v>
      </c>
      <c r="D4805" s="47">
        <v>5397</v>
      </c>
      <c r="E4805" s="46" t="s">
        <v>5393</v>
      </c>
      <c r="F4805" s="48">
        <v>39814</v>
      </c>
      <c r="G4805" s="48">
        <v>40178</v>
      </c>
      <c r="H4805" s="46" t="s">
        <v>40</v>
      </c>
      <c r="I4805" s="45">
        <v>2175.54</v>
      </c>
      <c r="J4805" s="45">
        <v>2006.79</v>
      </c>
      <c r="K4805" s="49" t="s">
        <v>5018</v>
      </c>
      <c r="L4805" s="45"/>
      <c r="M4805" s="3"/>
    </row>
    <row r="4806" spans="1:13" ht="38.25" x14ac:dyDescent="0.25">
      <c r="A4806" s="46" t="s">
        <v>5394</v>
      </c>
      <c r="B4806" s="46" t="s">
        <v>38</v>
      </c>
      <c r="C4806" s="46" t="s">
        <v>14</v>
      </c>
      <c r="D4806" s="47">
        <v>5398</v>
      </c>
      <c r="E4806" s="46" t="s">
        <v>5395</v>
      </c>
      <c r="F4806" s="48">
        <v>40087</v>
      </c>
      <c r="G4806" s="48">
        <v>40117</v>
      </c>
      <c r="H4806" s="46" t="s">
        <v>40</v>
      </c>
      <c r="I4806" s="45">
        <v>3185.73</v>
      </c>
      <c r="J4806" s="45">
        <v>2335.23</v>
      </c>
      <c r="K4806" s="49" t="s">
        <v>5018</v>
      </c>
      <c r="L4806" s="45"/>
      <c r="M4806" s="3"/>
    </row>
    <row r="4807" spans="1:13" ht="25.5" x14ac:dyDescent="0.25">
      <c r="A4807" s="46" t="s">
        <v>5396</v>
      </c>
      <c r="B4807" s="46" t="s">
        <v>38</v>
      </c>
      <c r="C4807" s="46" t="s">
        <v>14</v>
      </c>
      <c r="D4807" s="47">
        <v>5399</v>
      </c>
      <c r="E4807" s="46" t="s">
        <v>5397</v>
      </c>
      <c r="F4807" s="48">
        <v>39814</v>
      </c>
      <c r="G4807" s="48">
        <v>40178</v>
      </c>
      <c r="H4807" s="46" t="s">
        <v>40</v>
      </c>
      <c r="I4807" s="45">
        <v>58304.14</v>
      </c>
      <c r="J4807" s="45">
        <v>57284.14</v>
      </c>
      <c r="K4807" s="49" t="s">
        <v>5018</v>
      </c>
      <c r="L4807" s="45"/>
      <c r="M4807" s="3"/>
    </row>
    <row r="4808" spans="1:13" ht="25.5" x14ac:dyDescent="0.25">
      <c r="A4808" s="46" t="s">
        <v>5398</v>
      </c>
      <c r="B4808" s="46" t="s">
        <v>38</v>
      </c>
      <c r="C4808" s="46" t="s">
        <v>14</v>
      </c>
      <c r="D4808" s="47">
        <v>5400</v>
      </c>
      <c r="E4808" s="46" t="s">
        <v>5399</v>
      </c>
      <c r="F4808" s="48">
        <v>39873</v>
      </c>
      <c r="G4808" s="48">
        <v>40117</v>
      </c>
      <c r="H4808" s="46" t="s">
        <v>40</v>
      </c>
      <c r="I4808" s="45">
        <v>12000</v>
      </c>
      <c r="J4808" s="45">
        <v>10000</v>
      </c>
      <c r="K4808" s="49" t="s">
        <v>5018</v>
      </c>
      <c r="L4808" s="45"/>
      <c r="M4808" s="3"/>
    </row>
    <row r="4809" spans="1:13" ht="25.5" x14ac:dyDescent="0.25">
      <c r="A4809" s="46" t="s">
        <v>5400</v>
      </c>
      <c r="B4809" s="46" t="s">
        <v>38</v>
      </c>
      <c r="C4809" s="46" t="s">
        <v>14</v>
      </c>
      <c r="D4809" s="47">
        <v>5401</v>
      </c>
      <c r="E4809" s="46" t="s">
        <v>5401</v>
      </c>
      <c r="F4809" s="48">
        <v>39873</v>
      </c>
      <c r="G4809" s="48">
        <v>40482</v>
      </c>
      <c r="H4809" s="46" t="s">
        <v>40</v>
      </c>
      <c r="I4809" s="45">
        <v>24042.11</v>
      </c>
      <c r="J4809" s="45">
        <v>15292.11</v>
      </c>
      <c r="K4809" s="49" t="s">
        <v>5018</v>
      </c>
      <c r="L4809" s="45"/>
      <c r="M4809" s="3"/>
    </row>
    <row r="4810" spans="1:13" ht="25.5" x14ac:dyDescent="0.25">
      <c r="A4810" s="46" t="s">
        <v>5402</v>
      </c>
      <c r="B4810" s="46" t="s">
        <v>38</v>
      </c>
      <c r="C4810" s="46" t="s">
        <v>14</v>
      </c>
      <c r="D4810" s="47">
        <v>5402</v>
      </c>
      <c r="E4810" s="46" t="s">
        <v>5402</v>
      </c>
      <c r="F4810" s="48">
        <v>39814</v>
      </c>
      <c r="G4810" s="48">
        <v>40543</v>
      </c>
      <c r="H4810" s="46" t="s">
        <v>40</v>
      </c>
      <c r="I4810" s="45">
        <v>29577.91</v>
      </c>
      <c r="J4810" s="45">
        <v>25077.91</v>
      </c>
      <c r="K4810" s="49" t="s">
        <v>5018</v>
      </c>
      <c r="L4810" s="45"/>
      <c r="M4810" s="3"/>
    </row>
    <row r="4811" spans="1:13" ht="25.5" x14ac:dyDescent="0.25">
      <c r="A4811" s="46" t="s">
        <v>5403</v>
      </c>
      <c r="B4811" s="46" t="s">
        <v>38</v>
      </c>
      <c r="C4811" s="46" t="s">
        <v>14</v>
      </c>
      <c r="D4811" s="47">
        <v>5403</v>
      </c>
      <c r="E4811" s="46" t="s">
        <v>5404</v>
      </c>
      <c r="F4811" s="48">
        <v>39814</v>
      </c>
      <c r="G4811" s="48">
        <v>40543</v>
      </c>
      <c r="H4811" s="46" t="s">
        <v>40</v>
      </c>
      <c r="I4811" s="45">
        <v>2036.35</v>
      </c>
      <c r="J4811" s="45">
        <v>1776.35</v>
      </c>
      <c r="K4811" s="49" t="s">
        <v>5018</v>
      </c>
      <c r="L4811" s="45"/>
      <c r="M4811" s="3"/>
    </row>
    <row r="4812" spans="1:13" ht="25.5" x14ac:dyDescent="0.25">
      <c r="A4812" s="46" t="s">
        <v>5405</v>
      </c>
      <c r="B4812" s="46" t="s">
        <v>38</v>
      </c>
      <c r="C4812" s="46" t="s">
        <v>14</v>
      </c>
      <c r="D4812" s="47">
        <v>5404</v>
      </c>
      <c r="E4812" s="46" t="s">
        <v>5406</v>
      </c>
      <c r="F4812" s="48">
        <v>39814</v>
      </c>
      <c r="G4812" s="48">
        <v>40178</v>
      </c>
      <c r="H4812" s="46" t="s">
        <v>40</v>
      </c>
      <c r="I4812" s="45">
        <v>592.95000000000005</v>
      </c>
      <c r="J4812" s="45">
        <v>592.95000000000005</v>
      </c>
      <c r="K4812" s="49" t="s">
        <v>5018</v>
      </c>
      <c r="L4812" s="45"/>
      <c r="M4812" s="3"/>
    </row>
    <row r="4813" spans="1:13" ht="51" x14ac:dyDescent="0.25">
      <c r="A4813" s="46" t="s">
        <v>5407</v>
      </c>
      <c r="B4813" s="46" t="s">
        <v>38</v>
      </c>
      <c r="C4813" s="46" t="s">
        <v>14</v>
      </c>
      <c r="D4813" s="47">
        <v>5405</v>
      </c>
      <c r="E4813" s="50" t="s">
        <v>5408</v>
      </c>
      <c r="F4813" s="48">
        <v>39814</v>
      </c>
      <c r="G4813" s="48">
        <v>40178</v>
      </c>
      <c r="H4813" s="46" t="s">
        <v>40</v>
      </c>
      <c r="I4813" s="45">
        <v>8568</v>
      </c>
      <c r="J4813" s="45">
        <v>5112</v>
      </c>
      <c r="K4813" s="49" t="s">
        <v>5018</v>
      </c>
      <c r="L4813" s="45"/>
      <c r="M4813" s="3"/>
    </row>
    <row r="4814" spans="1:13" ht="25.5" x14ac:dyDescent="0.25">
      <c r="A4814" s="46" t="s">
        <v>5409</v>
      </c>
      <c r="B4814" s="46" t="s">
        <v>38</v>
      </c>
      <c r="C4814" s="46" t="s">
        <v>14</v>
      </c>
      <c r="D4814" s="47">
        <v>5408</v>
      </c>
      <c r="E4814" s="46" t="s">
        <v>5410</v>
      </c>
      <c r="F4814" s="48">
        <v>39995</v>
      </c>
      <c r="G4814" s="48">
        <v>40178</v>
      </c>
      <c r="H4814" s="46" t="s">
        <v>40</v>
      </c>
      <c r="I4814" s="45">
        <v>8491.9599999999991</v>
      </c>
      <c r="J4814" s="45">
        <v>8491.9599999999991</v>
      </c>
      <c r="K4814" s="49" t="s">
        <v>5018</v>
      </c>
      <c r="L4814" s="45"/>
      <c r="M4814" s="3"/>
    </row>
    <row r="4815" spans="1:13" ht="25.5" x14ac:dyDescent="0.25">
      <c r="A4815" s="46" t="s">
        <v>5411</v>
      </c>
      <c r="B4815" s="46" t="s">
        <v>38</v>
      </c>
      <c r="C4815" s="46" t="s">
        <v>14</v>
      </c>
      <c r="D4815" s="47">
        <v>5409</v>
      </c>
      <c r="E4815" s="46" t="s">
        <v>5412</v>
      </c>
      <c r="F4815" s="48">
        <v>39814</v>
      </c>
      <c r="G4815" s="48">
        <v>40178</v>
      </c>
      <c r="H4815" s="46" t="s">
        <v>40</v>
      </c>
      <c r="I4815" s="45">
        <v>62741.279999999999</v>
      </c>
      <c r="J4815" s="45">
        <v>31370.59</v>
      </c>
      <c r="K4815" s="49" t="s">
        <v>5018</v>
      </c>
      <c r="L4815" s="45"/>
      <c r="M4815" s="3"/>
    </row>
    <row r="4816" spans="1:13" ht="25.5" x14ac:dyDescent="0.25">
      <c r="A4816" s="46" t="s">
        <v>5413</v>
      </c>
      <c r="B4816" s="46" t="s">
        <v>38</v>
      </c>
      <c r="C4816" s="46" t="s">
        <v>14</v>
      </c>
      <c r="D4816" s="47">
        <v>5410</v>
      </c>
      <c r="E4816" s="46" t="s">
        <v>5413</v>
      </c>
      <c r="F4816" s="48">
        <v>39814</v>
      </c>
      <c r="G4816" s="48">
        <v>40178</v>
      </c>
      <c r="H4816" s="46" t="s">
        <v>40</v>
      </c>
      <c r="I4816" s="45">
        <v>800</v>
      </c>
      <c r="J4816" s="45">
        <v>800</v>
      </c>
      <c r="K4816" s="49" t="s">
        <v>5018</v>
      </c>
      <c r="L4816" s="45"/>
      <c r="M4816" s="3"/>
    </row>
    <row r="4817" spans="1:13" ht="25.5" x14ac:dyDescent="0.25">
      <c r="A4817" s="46" t="s">
        <v>5414</v>
      </c>
      <c r="B4817" s="46" t="s">
        <v>38</v>
      </c>
      <c r="C4817" s="46" t="s">
        <v>14</v>
      </c>
      <c r="D4817" s="47">
        <v>5411</v>
      </c>
      <c r="E4817" s="46" t="s">
        <v>5415</v>
      </c>
      <c r="F4817" s="48">
        <v>39814</v>
      </c>
      <c r="G4817" s="48">
        <v>40178</v>
      </c>
      <c r="H4817" s="46" t="s">
        <v>40</v>
      </c>
      <c r="I4817" s="45">
        <v>17328.91</v>
      </c>
      <c r="J4817" s="45">
        <v>17328.91</v>
      </c>
      <c r="K4817" s="49" t="s">
        <v>5018</v>
      </c>
      <c r="L4817" s="45"/>
      <c r="M4817" s="3"/>
    </row>
    <row r="4818" spans="1:13" ht="51" x14ac:dyDescent="0.25">
      <c r="A4818" s="46" t="s">
        <v>5416</v>
      </c>
      <c r="B4818" s="46" t="s">
        <v>38</v>
      </c>
      <c r="C4818" s="46" t="s">
        <v>14</v>
      </c>
      <c r="D4818" s="47">
        <v>5412</v>
      </c>
      <c r="E4818" s="50" t="s">
        <v>5417</v>
      </c>
      <c r="F4818" s="48">
        <v>39814</v>
      </c>
      <c r="G4818" s="48">
        <v>40178</v>
      </c>
      <c r="H4818" s="46" t="s">
        <v>40</v>
      </c>
      <c r="I4818" s="45">
        <v>14036.16</v>
      </c>
      <c r="J4818" s="45">
        <v>2121.09</v>
      </c>
      <c r="K4818" s="49" t="s">
        <v>5018</v>
      </c>
      <c r="L4818" s="45"/>
      <c r="M4818" s="3"/>
    </row>
    <row r="4819" spans="1:13" ht="25.5" x14ac:dyDescent="0.25">
      <c r="A4819" s="46" t="s">
        <v>5418</v>
      </c>
      <c r="B4819" s="46" t="s">
        <v>38</v>
      </c>
      <c r="C4819" s="46" t="s">
        <v>14</v>
      </c>
      <c r="D4819" s="47">
        <v>5424</v>
      </c>
      <c r="E4819" s="46" t="s">
        <v>5419</v>
      </c>
      <c r="F4819" s="48">
        <v>39814</v>
      </c>
      <c r="G4819" s="48">
        <v>40178</v>
      </c>
      <c r="H4819" s="46" t="s">
        <v>40</v>
      </c>
      <c r="I4819" s="45">
        <v>1947</v>
      </c>
      <c r="J4819" s="45">
        <v>1547</v>
      </c>
      <c r="K4819" s="49" t="s">
        <v>5018</v>
      </c>
      <c r="L4819" s="45"/>
      <c r="M4819" s="3"/>
    </row>
    <row r="4820" spans="1:13" ht="25.5" x14ac:dyDescent="0.25">
      <c r="A4820" s="46" t="s">
        <v>5420</v>
      </c>
      <c r="B4820" s="46" t="s">
        <v>38</v>
      </c>
      <c r="C4820" s="46" t="s">
        <v>14</v>
      </c>
      <c r="D4820" s="47">
        <v>5425</v>
      </c>
      <c r="E4820" s="46" t="s">
        <v>5420</v>
      </c>
      <c r="F4820" s="48">
        <v>39814</v>
      </c>
      <c r="G4820" s="48">
        <v>40178</v>
      </c>
      <c r="H4820" s="46" t="s">
        <v>40</v>
      </c>
      <c r="I4820" s="45">
        <v>1472</v>
      </c>
      <c r="J4820" s="45">
        <v>272</v>
      </c>
      <c r="K4820" s="49" t="s">
        <v>5018</v>
      </c>
      <c r="L4820" s="45"/>
      <c r="M4820" s="3"/>
    </row>
    <row r="4821" spans="1:13" ht="25.5" x14ac:dyDescent="0.25">
      <c r="A4821" s="46" t="s">
        <v>5421</v>
      </c>
      <c r="B4821" s="46" t="s">
        <v>38</v>
      </c>
      <c r="C4821" s="46" t="s">
        <v>14</v>
      </c>
      <c r="D4821" s="47">
        <v>5426</v>
      </c>
      <c r="E4821" s="46" t="s">
        <v>5421</v>
      </c>
      <c r="F4821" s="48">
        <v>39814</v>
      </c>
      <c r="G4821" s="48">
        <v>40178</v>
      </c>
      <c r="H4821" s="46" t="s">
        <v>40</v>
      </c>
      <c r="I4821" s="45">
        <v>1053</v>
      </c>
      <c r="J4821" s="45">
        <v>753</v>
      </c>
      <c r="K4821" s="49" t="s">
        <v>5018</v>
      </c>
      <c r="L4821" s="45"/>
      <c r="M4821" s="3"/>
    </row>
    <row r="4822" spans="1:13" ht="25.5" x14ac:dyDescent="0.25">
      <c r="A4822" s="46" t="s">
        <v>5422</v>
      </c>
      <c r="B4822" s="46" t="s">
        <v>38</v>
      </c>
      <c r="C4822" s="46" t="s">
        <v>14</v>
      </c>
      <c r="D4822" s="47">
        <v>5427</v>
      </c>
      <c r="E4822" s="46" t="s">
        <v>5422</v>
      </c>
      <c r="F4822" s="48">
        <v>39814</v>
      </c>
      <c r="G4822" s="48">
        <v>40178</v>
      </c>
      <c r="H4822" s="46" t="s">
        <v>40</v>
      </c>
      <c r="I4822" s="45">
        <v>828</v>
      </c>
      <c r="J4822" s="45">
        <v>428</v>
      </c>
      <c r="K4822" s="49" t="s">
        <v>5018</v>
      </c>
      <c r="L4822" s="45"/>
      <c r="M4822" s="3"/>
    </row>
    <row r="4823" spans="1:13" ht="25.5" x14ac:dyDescent="0.25">
      <c r="A4823" s="46" t="s">
        <v>5423</v>
      </c>
      <c r="B4823" s="46" t="s">
        <v>38</v>
      </c>
      <c r="C4823" s="46" t="s">
        <v>14</v>
      </c>
      <c r="D4823" s="47">
        <v>5428</v>
      </c>
      <c r="E4823" s="46" t="s">
        <v>5423</v>
      </c>
      <c r="F4823" s="48">
        <v>39814</v>
      </c>
      <c r="G4823" s="48">
        <v>40178</v>
      </c>
      <c r="H4823" s="46" t="s">
        <v>40</v>
      </c>
      <c r="I4823" s="45">
        <v>937.25</v>
      </c>
      <c r="J4823" s="45">
        <v>337.25</v>
      </c>
      <c r="K4823" s="49" t="s">
        <v>5018</v>
      </c>
      <c r="L4823" s="45"/>
      <c r="M4823" s="3"/>
    </row>
    <row r="4824" spans="1:13" ht="25.5" x14ac:dyDescent="0.25">
      <c r="A4824" s="46" t="s">
        <v>5424</v>
      </c>
      <c r="B4824" s="46" t="s">
        <v>38</v>
      </c>
      <c r="C4824" s="46" t="s">
        <v>14</v>
      </c>
      <c r="D4824" s="47">
        <v>5429</v>
      </c>
      <c r="E4824" s="46" t="s">
        <v>5424</v>
      </c>
      <c r="F4824" s="48">
        <v>39814</v>
      </c>
      <c r="G4824" s="48">
        <v>40178</v>
      </c>
      <c r="H4824" s="46" t="s">
        <v>40</v>
      </c>
      <c r="I4824" s="45">
        <v>1300</v>
      </c>
      <c r="J4824" s="45">
        <v>400</v>
      </c>
      <c r="K4824" s="49" t="s">
        <v>5018</v>
      </c>
      <c r="L4824" s="45"/>
      <c r="M4824" s="3"/>
    </row>
    <row r="4825" spans="1:13" ht="25.5" x14ac:dyDescent="0.25">
      <c r="A4825" s="46" t="s">
        <v>5425</v>
      </c>
      <c r="B4825" s="46" t="s">
        <v>38</v>
      </c>
      <c r="C4825" s="46" t="s">
        <v>14</v>
      </c>
      <c r="D4825" s="47">
        <v>5431</v>
      </c>
      <c r="E4825" s="46" t="s">
        <v>5425</v>
      </c>
      <c r="F4825" s="48">
        <v>39814</v>
      </c>
      <c r="G4825" s="48">
        <v>40178</v>
      </c>
      <c r="H4825" s="46" t="s">
        <v>40</v>
      </c>
      <c r="I4825" s="45">
        <v>1288</v>
      </c>
      <c r="J4825" s="45">
        <v>613</v>
      </c>
      <c r="K4825" s="49" t="s">
        <v>5018</v>
      </c>
      <c r="L4825" s="45"/>
      <c r="M4825" s="3"/>
    </row>
    <row r="4826" spans="1:13" ht="25.5" x14ac:dyDescent="0.25">
      <c r="A4826" s="46" t="s">
        <v>5426</v>
      </c>
      <c r="B4826" s="46" t="s">
        <v>38</v>
      </c>
      <c r="C4826" s="46" t="s">
        <v>14</v>
      </c>
      <c r="D4826" s="47">
        <v>5432</v>
      </c>
      <c r="E4826" s="46" t="s">
        <v>5426</v>
      </c>
      <c r="F4826" s="48">
        <v>39814</v>
      </c>
      <c r="G4826" s="48">
        <v>40178</v>
      </c>
      <c r="H4826" s="46" t="s">
        <v>40</v>
      </c>
      <c r="I4826" s="45">
        <v>1820</v>
      </c>
      <c r="J4826" s="45">
        <v>1420</v>
      </c>
      <c r="K4826" s="49" t="s">
        <v>5018</v>
      </c>
      <c r="L4826" s="45"/>
      <c r="M4826" s="3"/>
    </row>
    <row r="4827" spans="1:13" ht="25.5" x14ac:dyDescent="0.25">
      <c r="A4827" s="46" t="s">
        <v>5427</v>
      </c>
      <c r="B4827" s="46" t="s">
        <v>38</v>
      </c>
      <c r="C4827" s="46" t="s">
        <v>14</v>
      </c>
      <c r="D4827" s="47">
        <v>5433</v>
      </c>
      <c r="E4827" s="46" t="s">
        <v>5427</v>
      </c>
      <c r="F4827" s="48">
        <v>39814</v>
      </c>
      <c r="G4827" s="48">
        <v>40178</v>
      </c>
      <c r="H4827" s="46" t="s">
        <v>40</v>
      </c>
      <c r="I4827" s="45">
        <v>1380</v>
      </c>
      <c r="J4827" s="45">
        <v>780</v>
      </c>
      <c r="K4827" s="49" t="s">
        <v>5018</v>
      </c>
      <c r="L4827" s="45"/>
      <c r="M4827" s="3"/>
    </row>
    <row r="4828" spans="1:13" ht="25.5" x14ac:dyDescent="0.25">
      <c r="A4828" s="46" t="s">
        <v>5428</v>
      </c>
      <c r="B4828" s="46" t="s">
        <v>38</v>
      </c>
      <c r="C4828" s="46" t="s">
        <v>14</v>
      </c>
      <c r="D4828" s="47">
        <v>5434</v>
      </c>
      <c r="E4828" s="46" t="s">
        <v>5428</v>
      </c>
      <c r="F4828" s="48">
        <v>39814</v>
      </c>
      <c r="G4828" s="48">
        <v>40178</v>
      </c>
      <c r="H4828" s="46" t="s">
        <v>40</v>
      </c>
      <c r="I4828" s="45">
        <v>850</v>
      </c>
      <c r="J4828" s="45">
        <v>405</v>
      </c>
      <c r="K4828" s="49" t="s">
        <v>5018</v>
      </c>
      <c r="L4828" s="45"/>
      <c r="M4828" s="3"/>
    </row>
    <row r="4829" spans="1:13" ht="25.5" x14ac:dyDescent="0.25">
      <c r="A4829" s="46" t="s">
        <v>5429</v>
      </c>
      <c r="B4829" s="46" t="s">
        <v>38</v>
      </c>
      <c r="C4829" s="46" t="s">
        <v>14</v>
      </c>
      <c r="D4829" s="47">
        <v>5435</v>
      </c>
      <c r="E4829" s="46" t="s">
        <v>5430</v>
      </c>
      <c r="F4829" s="48">
        <v>39814</v>
      </c>
      <c r="G4829" s="48">
        <v>40178</v>
      </c>
      <c r="H4829" s="46" t="s">
        <v>40</v>
      </c>
      <c r="I4829" s="45">
        <v>765.5</v>
      </c>
      <c r="J4829" s="45">
        <v>365</v>
      </c>
      <c r="K4829" s="49" t="s">
        <v>5018</v>
      </c>
      <c r="L4829" s="45"/>
      <c r="M4829" s="3"/>
    </row>
    <row r="4830" spans="1:13" ht="25.5" x14ac:dyDescent="0.25">
      <c r="A4830" s="46" t="s">
        <v>5431</v>
      </c>
      <c r="B4830" s="46" t="s">
        <v>38</v>
      </c>
      <c r="C4830" s="46" t="s">
        <v>14</v>
      </c>
      <c r="D4830" s="47">
        <v>5437</v>
      </c>
      <c r="E4830" s="46" t="s">
        <v>5431</v>
      </c>
      <c r="F4830" s="48">
        <v>39814</v>
      </c>
      <c r="G4830" s="48">
        <v>40178</v>
      </c>
      <c r="H4830" s="46" t="s">
        <v>40</v>
      </c>
      <c r="I4830" s="45">
        <v>1542</v>
      </c>
      <c r="J4830" s="45">
        <v>467</v>
      </c>
      <c r="K4830" s="49" t="s">
        <v>5018</v>
      </c>
      <c r="L4830" s="45"/>
      <c r="M4830" s="3"/>
    </row>
    <row r="4831" spans="1:13" ht="25.5" x14ac:dyDescent="0.25">
      <c r="A4831" s="46" t="s">
        <v>5432</v>
      </c>
      <c r="B4831" s="46" t="s">
        <v>38</v>
      </c>
      <c r="C4831" s="46" t="s">
        <v>14</v>
      </c>
      <c r="D4831" s="47">
        <v>5438</v>
      </c>
      <c r="E4831" s="46" t="s">
        <v>5432</v>
      </c>
      <c r="F4831" s="48">
        <v>39814</v>
      </c>
      <c r="G4831" s="48">
        <v>40178</v>
      </c>
      <c r="H4831" s="46" t="s">
        <v>40</v>
      </c>
      <c r="I4831" s="45">
        <v>1384</v>
      </c>
      <c r="J4831" s="45">
        <v>359.5</v>
      </c>
      <c r="K4831" s="49" t="s">
        <v>5018</v>
      </c>
      <c r="L4831" s="45"/>
      <c r="M4831" s="3"/>
    </row>
    <row r="4832" spans="1:13" ht="25.5" x14ac:dyDescent="0.25">
      <c r="A4832" s="46" t="s">
        <v>5433</v>
      </c>
      <c r="B4832" s="46" t="s">
        <v>38</v>
      </c>
      <c r="C4832" s="46" t="s">
        <v>14</v>
      </c>
      <c r="D4832" s="47">
        <v>5439</v>
      </c>
      <c r="E4832" s="46" t="s">
        <v>5433</v>
      </c>
      <c r="F4832" s="48">
        <v>39814</v>
      </c>
      <c r="G4832" s="48">
        <v>40178</v>
      </c>
      <c r="H4832" s="46" t="s">
        <v>40</v>
      </c>
      <c r="I4832" s="45">
        <v>2300</v>
      </c>
      <c r="J4832" s="45">
        <v>800</v>
      </c>
      <c r="K4832" s="49" t="s">
        <v>5018</v>
      </c>
      <c r="L4832" s="45"/>
      <c r="M4832" s="3"/>
    </row>
    <row r="4833" spans="1:13" ht="25.5" x14ac:dyDescent="0.25">
      <c r="A4833" s="46" t="s">
        <v>5434</v>
      </c>
      <c r="B4833" s="46" t="s">
        <v>38</v>
      </c>
      <c r="C4833" s="46" t="s">
        <v>14</v>
      </c>
      <c r="D4833" s="47">
        <v>5440</v>
      </c>
      <c r="E4833" s="46" t="s">
        <v>5434</v>
      </c>
      <c r="F4833" s="48">
        <v>39814</v>
      </c>
      <c r="G4833" s="48">
        <v>40178</v>
      </c>
      <c r="H4833" s="46" t="s">
        <v>40</v>
      </c>
      <c r="I4833" s="45">
        <v>1504.08</v>
      </c>
      <c r="J4833" s="45">
        <v>1004.08</v>
      </c>
      <c r="K4833" s="49" t="s">
        <v>5018</v>
      </c>
      <c r="L4833" s="45"/>
      <c r="M4833" s="3"/>
    </row>
    <row r="4834" spans="1:13" ht="25.5" x14ac:dyDescent="0.25">
      <c r="A4834" s="46" t="s">
        <v>5435</v>
      </c>
      <c r="B4834" s="46" t="s">
        <v>38</v>
      </c>
      <c r="C4834" s="46" t="s">
        <v>14</v>
      </c>
      <c r="D4834" s="47">
        <v>5441</v>
      </c>
      <c r="E4834" s="46" t="s">
        <v>5436</v>
      </c>
      <c r="F4834" s="48">
        <v>39814</v>
      </c>
      <c r="G4834" s="48">
        <v>40178</v>
      </c>
      <c r="H4834" s="46" t="s">
        <v>40</v>
      </c>
      <c r="I4834" s="45">
        <v>1012</v>
      </c>
      <c r="J4834" s="45">
        <v>487</v>
      </c>
      <c r="K4834" s="49" t="s">
        <v>5018</v>
      </c>
      <c r="L4834" s="45"/>
      <c r="M4834" s="3"/>
    </row>
    <row r="4835" spans="1:13" ht="25.5" x14ac:dyDescent="0.25">
      <c r="A4835" s="46" t="s">
        <v>5437</v>
      </c>
      <c r="B4835" s="46" t="s">
        <v>38</v>
      </c>
      <c r="C4835" s="46" t="s">
        <v>14</v>
      </c>
      <c r="D4835" s="47">
        <v>5442</v>
      </c>
      <c r="E4835" s="46" t="s">
        <v>5437</v>
      </c>
      <c r="F4835" s="48">
        <v>39814</v>
      </c>
      <c r="G4835" s="48">
        <v>40178</v>
      </c>
      <c r="H4835" s="46" t="s">
        <v>40</v>
      </c>
      <c r="I4835" s="45">
        <v>2640.15</v>
      </c>
      <c r="J4835" s="45">
        <v>1065.1500000000001</v>
      </c>
      <c r="K4835" s="49" t="s">
        <v>5018</v>
      </c>
      <c r="L4835" s="45"/>
      <c r="M4835" s="3"/>
    </row>
    <row r="4836" spans="1:13" ht="25.5" x14ac:dyDescent="0.25">
      <c r="A4836" s="46" t="s">
        <v>5438</v>
      </c>
      <c r="B4836" s="46" t="s">
        <v>38</v>
      </c>
      <c r="C4836" s="46" t="s">
        <v>14</v>
      </c>
      <c r="D4836" s="47">
        <v>5443</v>
      </c>
      <c r="E4836" s="46" t="s">
        <v>5438</v>
      </c>
      <c r="F4836" s="48">
        <v>39814</v>
      </c>
      <c r="G4836" s="48">
        <v>40178</v>
      </c>
      <c r="H4836" s="46" t="s">
        <v>40</v>
      </c>
      <c r="I4836" s="45">
        <v>2640.15</v>
      </c>
      <c r="J4836" s="45">
        <v>1140.1500000000001</v>
      </c>
      <c r="K4836" s="49" t="s">
        <v>5018</v>
      </c>
      <c r="L4836" s="45"/>
      <c r="M4836" s="3"/>
    </row>
    <row r="4837" spans="1:13" ht="25.5" x14ac:dyDescent="0.25">
      <c r="A4837" s="46" t="s">
        <v>5439</v>
      </c>
      <c r="B4837" s="46" t="s">
        <v>38</v>
      </c>
      <c r="C4837" s="46" t="s">
        <v>14</v>
      </c>
      <c r="D4837" s="47">
        <v>5444</v>
      </c>
      <c r="E4837" s="46" t="s">
        <v>5440</v>
      </c>
      <c r="F4837" s="48">
        <v>39814</v>
      </c>
      <c r="G4837" s="48">
        <v>40178</v>
      </c>
      <c r="H4837" s="46" t="s">
        <v>40</v>
      </c>
      <c r="I4837" s="45">
        <v>1800</v>
      </c>
      <c r="J4837" s="45">
        <v>200</v>
      </c>
      <c r="K4837" s="49" t="s">
        <v>5018</v>
      </c>
      <c r="L4837" s="45"/>
      <c r="M4837" s="3"/>
    </row>
    <row r="4838" spans="1:13" ht="25.5" x14ac:dyDescent="0.25">
      <c r="A4838" s="46" t="s">
        <v>5441</v>
      </c>
      <c r="B4838" s="46" t="s">
        <v>38</v>
      </c>
      <c r="C4838" s="46" t="s">
        <v>14</v>
      </c>
      <c r="D4838" s="47">
        <v>5445</v>
      </c>
      <c r="E4838" s="46" t="s">
        <v>5441</v>
      </c>
      <c r="F4838" s="48">
        <v>39814</v>
      </c>
      <c r="G4838" s="48">
        <v>40178</v>
      </c>
      <c r="H4838" s="46" t="s">
        <v>40</v>
      </c>
      <c r="I4838" s="45">
        <v>964</v>
      </c>
      <c r="J4838" s="45">
        <v>664</v>
      </c>
      <c r="K4838" s="49" t="s">
        <v>5018</v>
      </c>
      <c r="L4838" s="45"/>
      <c r="M4838" s="3"/>
    </row>
    <row r="4839" spans="1:13" ht="25.5" x14ac:dyDescent="0.25">
      <c r="A4839" s="46" t="s">
        <v>5442</v>
      </c>
      <c r="B4839" s="46" t="s">
        <v>38</v>
      </c>
      <c r="C4839" s="46" t="s">
        <v>14</v>
      </c>
      <c r="D4839" s="47">
        <v>5446</v>
      </c>
      <c r="E4839" s="46" t="s">
        <v>5443</v>
      </c>
      <c r="F4839" s="48">
        <v>39814</v>
      </c>
      <c r="G4839" s="48">
        <v>40178</v>
      </c>
      <c r="H4839" s="46" t="s">
        <v>40</v>
      </c>
      <c r="I4839" s="45">
        <v>4540.0600000000004</v>
      </c>
      <c r="J4839" s="45">
        <v>2874.23</v>
      </c>
      <c r="K4839" s="49" t="s">
        <v>5018</v>
      </c>
      <c r="L4839" s="45"/>
      <c r="M4839" s="3"/>
    </row>
    <row r="4840" spans="1:13" ht="25.5" x14ac:dyDescent="0.25">
      <c r="A4840" s="46" t="s">
        <v>5444</v>
      </c>
      <c r="B4840" s="46" t="s">
        <v>38</v>
      </c>
      <c r="C4840" s="46" t="s">
        <v>14</v>
      </c>
      <c r="D4840" s="47">
        <v>5447</v>
      </c>
      <c r="E4840" s="46" t="s">
        <v>5445</v>
      </c>
      <c r="F4840" s="48">
        <v>39814</v>
      </c>
      <c r="G4840" s="48">
        <v>40178</v>
      </c>
      <c r="H4840" s="46" t="s">
        <v>40</v>
      </c>
      <c r="I4840" s="45">
        <v>2957.66</v>
      </c>
      <c r="J4840" s="45">
        <v>1057.6600000000001</v>
      </c>
      <c r="K4840" s="49" t="s">
        <v>5018</v>
      </c>
      <c r="L4840" s="45"/>
      <c r="M4840" s="3"/>
    </row>
    <row r="4841" spans="1:13" ht="25.5" x14ac:dyDescent="0.25">
      <c r="A4841" s="46" t="s">
        <v>5446</v>
      </c>
      <c r="B4841" s="46" t="s">
        <v>38</v>
      </c>
      <c r="C4841" s="46" t="s">
        <v>14</v>
      </c>
      <c r="D4841" s="47">
        <v>5448</v>
      </c>
      <c r="E4841" s="46" t="s">
        <v>5447</v>
      </c>
      <c r="F4841" s="48">
        <v>39814</v>
      </c>
      <c r="G4841" s="48">
        <v>40178</v>
      </c>
      <c r="H4841" s="46" t="s">
        <v>40</v>
      </c>
      <c r="I4841" s="45">
        <v>2459.16</v>
      </c>
      <c r="J4841" s="45">
        <v>1359.16</v>
      </c>
      <c r="K4841" s="49" t="s">
        <v>5018</v>
      </c>
      <c r="L4841" s="45"/>
      <c r="M4841" s="3"/>
    </row>
    <row r="4842" spans="1:13" ht="25.5" x14ac:dyDescent="0.25">
      <c r="A4842" s="46" t="s">
        <v>5448</v>
      </c>
      <c r="B4842" s="46" t="s">
        <v>38</v>
      </c>
      <c r="C4842" s="46" t="s">
        <v>14</v>
      </c>
      <c r="D4842" s="47">
        <v>5449</v>
      </c>
      <c r="E4842" s="46" t="s">
        <v>5449</v>
      </c>
      <c r="F4842" s="48">
        <v>39814</v>
      </c>
      <c r="G4842" s="48">
        <v>40178</v>
      </c>
      <c r="H4842" s="46" t="s">
        <v>40</v>
      </c>
      <c r="I4842" s="45">
        <v>2812.38</v>
      </c>
      <c r="J4842" s="45">
        <v>1112.3800000000001</v>
      </c>
      <c r="K4842" s="49" t="s">
        <v>5018</v>
      </c>
      <c r="L4842" s="45"/>
      <c r="M4842" s="3"/>
    </row>
    <row r="4843" spans="1:13" ht="25.5" x14ac:dyDescent="0.25">
      <c r="A4843" s="46" t="s">
        <v>5448</v>
      </c>
      <c r="B4843" s="46" t="s">
        <v>38</v>
      </c>
      <c r="C4843" s="46" t="s">
        <v>14</v>
      </c>
      <c r="D4843" s="47">
        <v>5450</v>
      </c>
      <c r="E4843" s="46" t="s">
        <v>5450</v>
      </c>
      <c r="F4843" s="48">
        <v>39814</v>
      </c>
      <c r="G4843" s="48">
        <v>40178</v>
      </c>
      <c r="H4843" s="46" t="s">
        <v>40</v>
      </c>
      <c r="I4843" s="45">
        <v>4079.77</v>
      </c>
      <c r="J4843" s="45">
        <v>1709.77</v>
      </c>
      <c r="K4843" s="49" t="s">
        <v>5018</v>
      </c>
      <c r="L4843" s="45"/>
      <c r="M4843" s="3"/>
    </row>
    <row r="4844" spans="1:13" ht="25.5" x14ac:dyDescent="0.25">
      <c r="A4844" s="46" t="s">
        <v>5451</v>
      </c>
      <c r="B4844" s="46" t="s">
        <v>38</v>
      </c>
      <c r="C4844" s="46" t="s">
        <v>14</v>
      </c>
      <c r="D4844" s="47">
        <v>5451</v>
      </c>
      <c r="E4844" s="46" t="s">
        <v>5451</v>
      </c>
      <c r="F4844" s="48">
        <v>39814</v>
      </c>
      <c r="G4844" s="48">
        <v>40178</v>
      </c>
      <c r="H4844" s="46" t="s">
        <v>40</v>
      </c>
      <c r="I4844" s="45">
        <v>644</v>
      </c>
      <c r="J4844" s="45">
        <v>344</v>
      </c>
      <c r="K4844" s="49" t="s">
        <v>5018</v>
      </c>
      <c r="L4844" s="45"/>
      <c r="M4844" s="3"/>
    </row>
    <row r="4845" spans="1:13" ht="25.5" x14ac:dyDescent="0.25">
      <c r="A4845" s="46" t="s">
        <v>5452</v>
      </c>
      <c r="B4845" s="46" t="s">
        <v>38</v>
      </c>
      <c r="C4845" s="46" t="s">
        <v>14</v>
      </c>
      <c r="D4845" s="47">
        <v>5452</v>
      </c>
      <c r="E4845" s="46" t="s">
        <v>5452</v>
      </c>
      <c r="F4845" s="48">
        <v>39814</v>
      </c>
      <c r="G4845" s="48">
        <v>40178</v>
      </c>
      <c r="H4845" s="46" t="s">
        <v>40</v>
      </c>
      <c r="I4845" s="45">
        <v>1507.9</v>
      </c>
      <c r="J4845" s="45">
        <v>757.9</v>
      </c>
      <c r="K4845" s="49" t="s">
        <v>5018</v>
      </c>
      <c r="L4845" s="45"/>
      <c r="M4845" s="3"/>
    </row>
    <row r="4846" spans="1:13" ht="25.5" x14ac:dyDescent="0.25">
      <c r="A4846" s="46" t="s">
        <v>5453</v>
      </c>
      <c r="B4846" s="46" t="s">
        <v>38</v>
      </c>
      <c r="C4846" s="46" t="s">
        <v>14</v>
      </c>
      <c r="D4846" s="47">
        <v>5453</v>
      </c>
      <c r="E4846" s="46" t="s">
        <v>5454</v>
      </c>
      <c r="F4846" s="48">
        <v>39814</v>
      </c>
      <c r="G4846" s="48">
        <v>40178</v>
      </c>
      <c r="H4846" s="46" t="s">
        <v>40</v>
      </c>
      <c r="I4846" s="45">
        <v>2044</v>
      </c>
      <c r="J4846" s="45">
        <v>1244</v>
      </c>
      <c r="K4846" s="49" t="s">
        <v>5018</v>
      </c>
      <c r="L4846" s="45"/>
      <c r="M4846" s="3"/>
    </row>
    <row r="4847" spans="1:13" ht="25.5" x14ac:dyDescent="0.25">
      <c r="A4847" s="46" t="s">
        <v>5455</v>
      </c>
      <c r="B4847" s="46" t="s">
        <v>38</v>
      </c>
      <c r="C4847" s="46" t="s">
        <v>14</v>
      </c>
      <c r="D4847" s="47">
        <v>5454</v>
      </c>
      <c r="E4847" s="46" t="s">
        <v>5455</v>
      </c>
      <c r="F4847" s="48">
        <v>39814</v>
      </c>
      <c r="G4847" s="48">
        <v>40178</v>
      </c>
      <c r="H4847" s="46" t="s">
        <v>40</v>
      </c>
      <c r="I4847" s="45">
        <v>1126.1500000000001</v>
      </c>
      <c r="J4847" s="45">
        <v>976.15</v>
      </c>
      <c r="K4847" s="49" t="s">
        <v>5018</v>
      </c>
      <c r="L4847" s="45"/>
      <c r="M4847" s="3"/>
    </row>
    <row r="4848" spans="1:13" ht="25.5" x14ac:dyDescent="0.25">
      <c r="A4848" s="46" t="s">
        <v>5456</v>
      </c>
      <c r="B4848" s="46" t="s">
        <v>38</v>
      </c>
      <c r="C4848" s="46" t="s">
        <v>14</v>
      </c>
      <c r="D4848" s="47">
        <v>5455</v>
      </c>
      <c r="E4848" s="46" t="s">
        <v>5456</v>
      </c>
      <c r="F4848" s="48">
        <v>39814</v>
      </c>
      <c r="G4848" s="48">
        <v>40178</v>
      </c>
      <c r="H4848" s="46" t="s">
        <v>40</v>
      </c>
      <c r="I4848" s="45">
        <v>795.8</v>
      </c>
      <c r="J4848" s="45">
        <v>295.8</v>
      </c>
      <c r="K4848" s="49" t="s">
        <v>5018</v>
      </c>
      <c r="L4848" s="45"/>
      <c r="M4848" s="3"/>
    </row>
    <row r="4849" spans="1:13" ht="25.5" x14ac:dyDescent="0.25">
      <c r="A4849" s="46" t="s">
        <v>5457</v>
      </c>
      <c r="B4849" s="46" t="s">
        <v>38</v>
      </c>
      <c r="C4849" s="46" t="s">
        <v>14</v>
      </c>
      <c r="D4849" s="47">
        <v>5635</v>
      </c>
      <c r="E4849" s="46" t="s">
        <v>5457</v>
      </c>
      <c r="F4849" s="48">
        <v>39814</v>
      </c>
      <c r="G4849" s="48">
        <v>40178</v>
      </c>
      <c r="H4849" s="46" t="s">
        <v>40</v>
      </c>
      <c r="I4849" s="45">
        <v>1518</v>
      </c>
      <c r="J4849" s="45">
        <v>818</v>
      </c>
      <c r="K4849" s="49" t="s">
        <v>5018</v>
      </c>
      <c r="L4849" s="45"/>
      <c r="M4849" s="3"/>
    </row>
    <row r="4850" spans="1:13" ht="25.5" x14ac:dyDescent="0.25">
      <c r="A4850" s="46" t="s">
        <v>5458</v>
      </c>
      <c r="B4850" s="46" t="s">
        <v>38</v>
      </c>
      <c r="C4850" s="46" t="s">
        <v>14</v>
      </c>
      <c r="D4850" s="47">
        <v>5644</v>
      </c>
      <c r="E4850" s="46" t="s">
        <v>5458</v>
      </c>
      <c r="F4850" s="48">
        <v>39814</v>
      </c>
      <c r="G4850" s="48">
        <v>40117</v>
      </c>
      <c r="H4850" s="46" t="s">
        <v>40</v>
      </c>
      <c r="I4850" s="45">
        <v>1472</v>
      </c>
      <c r="J4850" s="45">
        <v>322</v>
      </c>
      <c r="K4850" s="49" t="s">
        <v>5018</v>
      </c>
      <c r="L4850" s="45"/>
      <c r="M4850" s="3"/>
    </row>
    <row r="4851" spans="1:13" ht="25.5" x14ac:dyDescent="0.25">
      <c r="A4851" s="46" t="s">
        <v>5459</v>
      </c>
      <c r="B4851" s="46" t="s">
        <v>38</v>
      </c>
      <c r="C4851" s="46" t="s">
        <v>14</v>
      </c>
      <c r="D4851" s="47">
        <v>5719</v>
      </c>
      <c r="E4851" s="46" t="s">
        <v>5460</v>
      </c>
      <c r="F4851" s="48">
        <v>39814</v>
      </c>
      <c r="G4851" s="48">
        <v>40178</v>
      </c>
      <c r="H4851" s="46" t="s">
        <v>40</v>
      </c>
      <c r="I4851" s="45">
        <v>3093.2</v>
      </c>
      <c r="J4851" s="45">
        <v>3093.2</v>
      </c>
      <c r="K4851" s="49" t="s">
        <v>5018</v>
      </c>
      <c r="L4851" s="45"/>
      <c r="M4851" s="3"/>
    </row>
    <row r="4852" spans="1:13" ht="25.5" x14ac:dyDescent="0.25">
      <c r="A4852" s="46" t="s">
        <v>5483</v>
      </c>
      <c r="B4852" s="46" t="s">
        <v>38</v>
      </c>
      <c r="C4852" s="46" t="s">
        <v>14</v>
      </c>
      <c r="D4852" s="47">
        <v>7557</v>
      </c>
      <c r="E4852" s="46" t="s">
        <v>5240</v>
      </c>
      <c r="F4852" s="48">
        <v>40179</v>
      </c>
      <c r="G4852" s="48">
        <v>40543</v>
      </c>
      <c r="H4852" s="46" t="s">
        <v>40</v>
      </c>
      <c r="I4852" s="45">
        <v>3452.34</v>
      </c>
      <c r="J4852" s="45">
        <v>1352.34</v>
      </c>
      <c r="K4852" s="49" t="s">
        <v>5018</v>
      </c>
      <c r="L4852" s="45"/>
      <c r="M4852" s="3"/>
    </row>
    <row r="4853" spans="1:13" ht="25.5" x14ac:dyDescent="0.25">
      <c r="A4853" s="46" t="s">
        <v>5484</v>
      </c>
      <c r="B4853" s="46" t="s">
        <v>38</v>
      </c>
      <c r="C4853" s="46" t="s">
        <v>14</v>
      </c>
      <c r="D4853" s="47">
        <v>7558</v>
      </c>
      <c r="E4853" s="46" t="s">
        <v>5240</v>
      </c>
      <c r="F4853" s="48">
        <v>40179</v>
      </c>
      <c r="G4853" s="48">
        <v>40543</v>
      </c>
      <c r="H4853" s="46" t="s">
        <v>40</v>
      </c>
      <c r="I4853" s="45">
        <v>3331.34</v>
      </c>
      <c r="J4853" s="45">
        <v>1931.34</v>
      </c>
      <c r="K4853" s="49" t="s">
        <v>5018</v>
      </c>
      <c r="L4853" s="45"/>
      <c r="M4853" s="3"/>
    </row>
    <row r="4854" spans="1:13" ht="25.5" x14ac:dyDescent="0.25">
      <c r="A4854" s="46" t="s">
        <v>5485</v>
      </c>
      <c r="B4854" s="46" t="s">
        <v>38</v>
      </c>
      <c r="C4854" s="46" t="s">
        <v>14</v>
      </c>
      <c r="D4854" s="47">
        <v>7559</v>
      </c>
      <c r="E4854" s="46" t="s">
        <v>5240</v>
      </c>
      <c r="F4854" s="48">
        <v>40179</v>
      </c>
      <c r="G4854" s="48">
        <v>40543</v>
      </c>
      <c r="H4854" s="46" t="s">
        <v>40</v>
      </c>
      <c r="I4854" s="45">
        <v>2698.32</v>
      </c>
      <c r="J4854" s="45">
        <v>618.32000000000005</v>
      </c>
      <c r="K4854" s="49" t="s">
        <v>5018</v>
      </c>
      <c r="L4854" s="45"/>
      <c r="M4854" s="3"/>
    </row>
    <row r="4855" spans="1:13" ht="25.5" x14ac:dyDescent="0.25">
      <c r="A4855" s="46" t="s">
        <v>5486</v>
      </c>
      <c r="B4855" s="46" t="s">
        <v>38</v>
      </c>
      <c r="C4855" s="46" t="s">
        <v>14</v>
      </c>
      <c r="D4855" s="47">
        <v>7560</v>
      </c>
      <c r="E4855" s="46" t="s">
        <v>5240</v>
      </c>
      <c r="F4855" s="48">
        <v>40179</v>
      </c>
      <c r="G4855" s="48">
        <v>40543</v>
      </c>
      <c r="H4855" s="46" t="s">
        <v>40</v>
      </c>
      <c r="I4855" s="45">
        <v>4006.36</v>
      </c>
      <c r="J4855" s="45">
        <v>2606.36</v>
      </c>
      <c r="K4855" s="49" t="s">
        <v>5018</v>
      </c>
      <c r="L4855" s="45"/>
      <c r="M4855" s="3"/>
    </row>
    <row r="4856" spans="1:13" ht="25.5" x14ac:dyDescent="0.25">
      <c r="A4856" s="46" t="s">
        <v>5487</v>
      </c>
      <c r="B4856" s="46" t="s">
        <v>38</v>
      </c>
      <c r="C4856" s="46" t="s">
        <v>14</v>
      </c>
      <c r="D4856" s="47">
        <v>7561</v>
      </c>
      <c r="E4856" s="46" t="s">
        <v>5240</v>
      </c>
      <c r="F4856" s="48">
        <v>40179</v>
      </c>
      <c r="G4856" s="48">
        <v>40543</v>
      </c>
      <c r="H4856" s="46" t="s">
        <v>40</v>
      </c>
      <c r="I4856" s="45">
        <v>3095.31</v>
      </c>
      <c r="J4856" s="45">
        <v>2095.31</v>
      </c>
      <c r="K4856" s="49" t="s">
        <v>5018</v>
      </c>
      <c r="L4856" s="45"/>
      <c r="M4856" s="3"/>
    </row>
    <row r="4857" spans="1:13" ht="25.5" x14ac:dyDescent="0.25">
      <c r="A4857" s="46" t="s">
        <v>5488</v>
      </c>
      <c r="B4857" s="46" t="s">
        <v>38</v>
      </c>
      <c r="C4857" s="46" t="s">
        <v>14</v>
      </c>
      <c r="D4857" s="47">
        <v>7563</v>
      </c>
      <c r="E4857" s="46" t="s">
        <v>5489</v>
      </c>
      <c r="F4857" s="48">
        <v>40179</v>
      </c>
      <c r="G4857" s="48">
        <v>40543</v>
      </c>
      <c r="H4857" s="46" t="s">
        <v>40</v>
      </c>
      <c r="I4857" s="45">
        <v>375</v>
      </c>
      <c r="J4857" s="45">
        <v>275</v>
      </c>
      <c r="K4857" s="49" t="s">
        <v>5018</v>
      </c>
      <c r="L4857" s="45"/>
      <c r="M4857" s="3"/>
    </row>
    <row r="4858" spans="1:13" ht="25.5" x14ac:dyDescent="0.25">
      <c r="A4858" s="46" t="s">
        <v>5490</v>
      </c>
      <c r="B4858" s="46" t="s">
        <v>38</v>
      </c>
      <c r="C4858" s="46" t="s">
        <v>14</v>
      </c>
      <c r="D4858" s="47">
        <v>7564</v>
      </c>
      <c r="E4858" s="46" t="s">
        <v>5491</v>
      </c>
      <c r="F4858" s="48">
        <v>40179</v>
      </c>
      <c r="G4858" s="48">
        <v>40543</v>
      </c>
      <c r="H4858" s="46" t="s">
        <v>40</v>
      </c>
      <c r="I4858" s="45">
        <v>1800</v>
      </c>
      <c r="J4858" s="45">
        <v>1500</v>
      </c>
      <c r="K4858" s="49" t="s">
        <v>5018</v>
      </c>
      <c r="L4858" s="45"/>
      <c r="M4858" s="3"/>
    </row>
    <row r="4859" spans="1:13" ht="25.5" x14ac:dyDescent="0.25">
      <c r="A4859" s="46" t="s">
        <v>5492</v>
      </c>
      <c r="B4859" s="46" t="s">
        <v>38</v>
      </c>
      <c r="C4859" s="46" t="s">
        <v>14</v>
      </c>
      <c r="D4859" s="47">
        <v>7565</v>
      </c>
      <c r="E4859" s="46" t="s">
        <v>5493</v>
      </c>
      <c r="F4859" s="48">
        <v>40179</v>
      </c>
      <c r="G4859" s="48">
        <v>40543</v>
      </c>
      <c r="H4859" s="46" t="s">
        <v>40</v>
      </c>
      <c r="I4859" s="45">
        <v>885.05</v>
      </c>
      <c r="J4859" s="45">
        <v>535.04999999999995</v>
      </c>
      <c r="K4859" s="49" t="s">
        <v>5018</v>
      </c>
      <c r="L4859" s="45"/>
      <c r="M4859" s="3"/>
    </row>
    <row r="4860" spans="1:13" ht="25.5" x14ac:dyDescent="0.25">
      <c r="A4860" s="46" t="s">
        <v>5494</v>
      </c>
      <c r="B4860" s="46" t="s">
        <v>38</v>
      </c>
      <c r="C4860" s="46" t="s">
        <v>14</v>
      </c>
      <c r="D4860" s="47">
        <v>7566</v>
      </c>
      <c r="E4860" s="46" t="s">
        <v>5495</v>
      </c>
      <c r="F4860" s="48">
        <v>40181</v>
      </c>
      <c r="G4860" s="48">
        <v>40501</v>
      </c>
      <c r="H4860" s="46" t="s">
        <v>40</v>
      </c>
      <c r="I4860" s="45">
        <v>1166.8499999999999</v>
      </c>
      <c r="J4860" s="45">
        <v>866.85</v>
      </c>
      <c r="K4860" s="49" t="s">
        <v>5018</v>
      </c>
      <c r="L4860" s="45"/>
      <c r="M4860" s="3"/>
    </row>
    <row r="4861" spans="1:13" ht="25.5" x14ac:dyDescent="0.25">
      <c r="A4861" s="46" t="s">
        <v>5496</v>
      </c>
      <c r="B4861" s="46" t="s">
        <v>38</v>
      </c>
      <c r="C4861" s="46" t="s">
        <v>14</v>
      </c>
      <c r="D4861" s="47">
        <v>7567</v>
      </c>
      <c r="E4861" s="46" t="s">
        <v>5250</v>
      </c>
      <c r="F4861" s="48">
        <v>40179</v>
      </c>
      <c r="G4861" s="48">
        <v>40543</v>
      </c>
      <c r="H4861" s="46" t="s">
        <v>40</v>
      </c>
      <c r="I4861" s="45">
        <v>909.7</v>
      </c>
      <c r="J4861" s="45">
        <v>809.7</v>
      </c>
      <c r="K4861" s="49" t="s">
        <v>5018</v>
      </c>
      <c r="L4861" s="45"/>
      <c r="M4861" s="3"/>
    </row>
    <row r="4862" spans="1:13" ht="25.5" x14ac:dyDescent="0.25">
      <c r="A4862" s="46" t="s">
        <v>5497</v>
      </c>
      <c r="B4862" s="46" t="s">
        <v>38</v>
      </c>
      <c r="C4862" s="46" t="s">
        <v>14</v>
      </c>
      <c r="D4862" s="47">
        <v>7568</v>
      </c>
      <c r="E4862" s="46" t="s">
        <v>5495</v>
      </c>
      <c r="F4862" s="48">
        <v>40179</v>
      </c>
      <c r="G4862" s="48">
        <v>40543</v>
      </c>
      <c r="H4862" s="46" t="s">
        <v>40</v>
      </c>
      <c r="I4862" s="45">
        <v>790</v>
      </c>
      <c r="J4862" s="45">
        <v>590</v>
      </c>
      <c r="K4862" s="49" t="s">
        <v>5018</v>
      </c>
      <c r="L4862" s="45"/>
      <c r="M4862" s="3"/>
    </row>
    <row r="4863" spans="1:13" ht="25.5" x14ac:dyDescent="0.25">
      <c r="A4863" s="46" t="s">
        <v>5498</v>
      </c>
      <c r="B4863" s="46" t="s">
        <v>38</v>
      </c>
      <c r="C4863" s="46" t="s">
        <v>14</v>
      </c>
      <c r="D4863" s="47">
        <v>7570</v>
      </c>
      <c r="E4863" s="46" t="s">
        <v>5499</v>
      </c>
      <c r="F4863" s="48">
        <v>40179</v>
      </c>
      <c r="G4863" s="48">
        <v>40543</v>
      </c>
      <c r="H4863" s="46" t="s">
        <v>40</v>
      </c>
      <c r="I4863" s="45">
        <v>1987</v>
      </c>
      <c r="J4863" s="45">
        <v>1087</v>
      </c>
      <c r="K4863" s="49" t="s">
        <v>5018</v>
      </c>
      <c r="L4863" s="45"/>
      <c r="M4863" s="3"/>
    </row>
    <row r="4864" spans="1:13" ht="25.5" x14ac:dyDescent="0.25">
      <c r="A4864" s="46" t="s">
        <v>5500</v>
      </c>
      <c r="B4864" s="46" t="s">
        <v>38</v>
      </c>
      <c r="C4864" s="46" t="s">
        <v>14</v>
      </c>
      <c r="D4864" s="47">
        <v>7571</v>
      </c>
      <c r="E4864" s="46" t="s">
        <v>5501</v>
      </c>
      <c r="F4864" s="48">
        <v>40179</v>
      </c>
      <c r="G4864" s="48">
        <v>40543</v>
      </c>
      <c r="H4864" s="46" t="s">
        <v>40</v>
      </c>
      <c r="I4864" s="45">
        <v>1217.5</v>
      </c>
      <c r="J4864" s="45">
        <v>867.5</v>
      </c>
      <c r="K4864" s="49" t="s">
        <v>5018</v>
      </c>
      <c r="L4864" s="45"/>
      <c r="M4864" s="3"/>
    </row>
    <row r="4865" spans="1:13" ht="25.5" x14ac:dyDescent="0.25">
      <c r="A4865" s="46" t="s">
        <v>5502</v>
      </c>
      <c r="B4865" s="46" t="s">
        <v>38</v>
      </c>
      <c r="C4865" s="46" t="s">
        <v>14</v>
      </c>
      <c r="D4865" s="47">
        <v>7572</v>
      </c>
      <c r="E4865" s="46" t="s">
        <v>5503</v>
      </c>
      <c r="F4865" s="48">
        <v>40179</v>
      </c>
      <c r="G4865" s="48">
        <v>40543</v>
      </c>
      <c r="H4865" s="46" t="s">
        <v>40</v>
      </c>
      <c r="I4865" s="45">
        <v>2676.4</v>
      </c>
      <c r="J4865" s="45">
        <v>1726.4</v>
      </c>
      <c r="K4865" s="49" t="s">
        <v>5018</v>
      </c>
      <c r="L4865" s="45"/>
      <c r="M4865" s="3"/>
    </row>
    <row r="4866" spans="1:13" ht="25.5" x14ac:dyDescent="0.25">
      <c r="A4866" s="46" t="s">
        <v>5504</v>
      </c>
      <c r="B4866" s="46" t="s">
        <v>38</v>
      </c>
      <c r="C4866" s="46" t="s">
        <v>14</v>
      </c>
      <c r="D4866" s="47">
        <v>7573</v>
      </c>
      <c r="E4866" s="46" t="s">
        <v>5505</v>
      </c>
      <c r="F4866" s="48">
        <v>40179</v>
      </c>
      <c r="G4866" s="48">
        <v>40543</v>
      </c>
      <c r="H4866" s="46" t="s">
        <v>40</v>
      </c>
      <c r="I4866" s="45">
        <v>1777.6</v>
      </c>
      <c r="J4866" s="45">
        <v>1202.5999999999999</v>
      </c>
      <c r="K4866" s="49" t="s">
        <v>5018</v>
      </c>
      <c r="L4866" s="45"/>
      <c r="M4866" s="3"/>
    </row>
    <row r="4867" spans="1:13" ht="25.5" x14ac:dyDescent="0.25">
      <c r="A4867" s="46" t="s">
        <v>5506</v>
      </c>
      <c r="B4867" s="46" t="s">
        <v>38</v>
      </c>
      <c r="C4867" s="46" t="s">
        <v>14</v>
      </c>
      <c r="D4867" s="47">
        <v>7574</v>
      </c>
      <c r="E4867" s="46" t="s">
        <v>5507</v>
      </c>
      <c r="F4867" s="48">
        <v>40179</v>
      </c>
      <c r="G4867" s="48">
        <v>40543</v>
      </c>
      <c r="H4867" s="46" t="s">
        <v>40</v>
      </c>
      <c r="I4867" s="45">
        <v>1877.6</v>
      </c>
      <c r="J4867" s="45">
        <v>977.6</v>
      </c>
      <c r="K4867" s="49" t="s">
        <v>5018</v>
      </c>
      <c r="L4867" s="45"/>
      <c r="M4867" s="3"/>
    </row>
    <row r="4868" spans="1:13" ht="25.5" x14ac:dyDescent="0.25">
      <c r="A4868" s="46" t="s">
        <v>5508</v>
      </c>
      <c r="B4868" s="46" t="s">
        <v>38</v>
      </c>
      <c r="C4868" s="46" t="s">
        <v>14</v>
      </c>
      <c r="D4868" s="47">
        <v>7575</v>
      </c>
      <c r="E4868" s="46" t="s">
        <v>5509</v>
      </c>
      <c r="F4868" s="48">
        <v>40179</v>
      </c>
      <c r="G4868" s="48">
        <v>40543</v>
      </c>
      <c r="H4868" s="46" t="s">
        <v>40</v>
      </c>
      <c r="I4868" s="45">
        <v>1095</v>
      </c>
      <c r="J4868" s="45">
        <v>595</v>
      </c>
      <c r="K4868" s="49" t="s">
        <v>5018</v>
      </c>
      <c r="L4868" s="45"/>
      <c r="M4868" s="3"/>
    </row>
    <row r="4869" spans="1:13" ht="25.5" x14ac:dyDescent="0.25">
      <c r="A4869" s="46" t="s">
        <v>5510</v>
      </c>
      <c r="B4869" s="46" t="s">
        <v>38</v>
      </c>
      <c r="C4869" s="46" t="s">
        <v>14</v>
      </c>
      <c r="D4869" s="47">
        <v>7577</v>
      </c>
      <c r="E4869" s="46" t="s">
        <v>5511</v>
      </c>
      <c r="F4869" s="48">
        <v>40179</v>
      </c>
      <c r="G4869" s="48">
        <v>40543</v>
      </c>
      <c r="H4869" s="46" t="s">
        <v>40</v>
      </c>
      <c r="I4869" s="45">
        <v>1992.5</v>
      </c>
      <c r="J4869" s="45">
        <v>1617.5</v>
      </c>
      <c r="K4869" s="49" t="s">
        <v>5018</v>
      </c>
      <c r="L4869" s="45"/>
      <c r="M4869" s="3"/>
    </row>
    <row r="4870" spans="1:13" ht="25.5" x14ac:dyDescent="0.25">
      <c r="A4870" s="46" t="s">
        <v>5512</v>
      </c>
      <c r="B4870" s="46" t="s">
        <v>38</v>
      </c>
      <c r="C4870" s="46" t="s">
        <v>14</v>
      </c>
      <c r="D4870" s="47">
        <v>7578</v>
      </c>
      <c r="E4870" s="46" t="s">
        <v>5513</v>
      </c>
      <c r="F4870" s="48">
        <v>40179</v>
      </c>
      <c r="G4870" s="48">
        <v>40543</v>
      </c>
      <c r="H4870" s="46" t="s">
        <v>40</v>
      </c>
      <c r="I4870" s="45">
        <v>2826.4</v>
      </c>
      <c r="J4870" s="45">
        <v>1476.4</v>
      </c>
      <c r="K4870" s="49" t="s">
        <v>5018</v>
      </c>
      <c r="L4870" s="45"/>
      <c r="M4870" s="3"/>
    </row>
    <row r="4871" spans="1:13" ht="25.5" x14ac:dyDescent="0.25">
      <c r="A4871" s="46" t="s">
        <v>5514</v>
      </c>
      <c r="B4871" s="46" t="s">
        <v>38</v>
      </c>
      <c r="C4871" s="46" t="s">
        <v>14</v>
      </c>
      <c r="D4871" s="47">
        <v>7579</v>
      </c>
      <c r="E4871" s="46" t="s">
        <v>5515</v>
      </c>
      <c r="F4871" s="48">
        <v>40179</v>
      </c>
      <c r="G4871" s="48">
        <v>40543</v>
      </c>
      <c r="H4871" s="46" t="s">
        <v>40</v>
      </c>
      <c r="I4871" s="45">
        <v>1930.95</v>
      </c>
      <c r="J4871" s="45">
        <v>1030.95</v>
      </c>
      <c r="K4871" s="49" t="s">
        <v>5018</v>
      </c>
      <c r="L4871" s="45"/>
      <c r="M4871" s="3"/>
    </row>
    <row r="4872" spans="1:13" ht="25.5" x14ac:dyDescent="0.25">
      <c r="A4872" s="46" t="s">
        <v>5516</v>
      </c>
      <c r="B4872" s="46" t="s">
        <v>38</v>
      </c>
      <c r="C4872" s="46" t="s">
        <v>14</v>
      </c>
      <c r="D4872" s="47">
        <v>7580</v>
      </c>
      <c r="E4872" s="46" t="s">
        <v>5517</v>
      </c>
      <c r="F4872" s="48">
        <v>40179</v>
      </c>
      <c r="G4872" s="48">
        <v>40543</v>
      </c>
      <c r="H4872" s="46" t="s">
        <v>40</v>
      </c>
      <c r="I4872" s="45">
        <v>1697.6</v>
      </c>
      <c r="J4872" s="45">
        <v>717.6</v>
      </c>
      <c r="K4872" s="49" t="s">
        <v>5018</v>
      </c>
      <c r="L4872" s="45"/>
      <c r="M4872" s="3"/>
    </row>
    <row r="4873" spans="1:13" ht="25.5" x14ac:dyDescent="0.25">
      <c r="A4873" s="46" t="s">
        <v>5518</v>
      </c>
      <c r="B4873" s="46" t="s">
        <v>38</v>
      </c>
      <c r="C4873" s="46" t="s">
        <v>14</v>
      </c>
      <c r="D4873" s="47">
        <v>7583</v>
      </c>
      <c r="E4873" s="46" t="s">
        <v>5519</v>
      </c>
      <c r="F4873" s="48">
        <v>40179</v>
      </c>
      <c r="G4873" s="48">
        <v>40543</v>
      </c>
      <c r="H4873" s="46" t="s">
        <v>40</v>
      </c>
      <c r="I4873" s="45">
        <v>2866</v>
      </c>
      <c r="J4873" s="45">
        <v>2266</v>
      </c>
      <c r="K4873" s="49" t="s">
        <v>5018</v>
      </c>
      <c r="L4873" s="45"/>
      <c r="M4873" s="3"/>
    </row>
    <row r="4874" spans="1:13" ht="25.5" x14ac:dyDescent="0.25">
      <c r="A4874" s="46" t="s">
        <v>5520</v>
      </c>
      <c r="B4874" s="46" t="s">
        <v>38</v>
      </c>
      <c r="C4874" s="46" t="s">
        <v>14</v>
      </c>
      <c r="D4874" s="47">
        <v>7585</v>
      </c>
      <c r="E4874" s="46" t="s">
        <v>5520</v>
      </c>
      <c r="F4874" s="48">
        <v>40179</v>
      </c>
      <c r="G4874" s="48">
        <v>40908</v>
      </c>
      <c r="H4874" s="46" t="s">
        <v>40</v>
      </c>
      <c r="I4874" s="45">
        <v>17091</v>
      </c>
      <c r="J4874" s="45">
        <v>13591</v>
      </c>
      <c r="K4874" s="49" t="s">
        <v>5018</v>
      </c>
      <c r="L4874" s="45"/>
      <c r="M4874" s="3"/>
    </row>
    <row r="4875" spans="1:13" ht="25.5" x14ac:dyDescent="0.25">
      <c r="A4875" s="46" t="s">
        <v>5521</v>
      </c>
      <c r="B4875" s="46" t="s">
        <v>38</v>
      </c>
      <c r="C4875" s="46" t="s">
        <v>14</v>
      </c>
      <c r="D4875" s="47">
        <v>7586</v>
      </c>
      <c r="E4875" s="46" t="s">
        <v>5522</v>
      </c>
      <c r="F4875" s="48">
        <v>40179</v>
      </c>
      <c r="G4875" s="48">
        <v>40543</v>
      </c>
      <c r="H4875" s="46" t="s">
        <v>40</v>
      </c>
      <c r="I4875" s="45">
        <v>4700.3</v>
      </c>
      <c r="J4875" s="45">
        <v>4400.3</v>
      </c>
      <c r="K4875" s="49" t="s">
        <v>5018</v>
      </c>
      <c r="L4875" s="45"/>
      <c r="M4875" s="3"/>
    </row>
    <row r="4876" spans="1:13" ht="25.5" x14ac:dyDescent="0.25">
      <c r="A4876" s="46" t="s">
        <v>5523</v>
      </c>
      <c r="B4876" s="46" t="s">
        <v>38</v>
      </c>
      <c r="C4876" s="46" t="s">
        <v>14</v>
      </c>
      <c r="D4876" s="47">
        <v>7587</v>
      </c>
      <c r="E4876" s="46" t="s">
        <v>5213</v>
      </c>
      <c r="F4876" s="48">
        <v>40179</v>
      </c>
      <c r="G4876" s="48">
        <v>40543</v>
      </c>
      <c r="H4876" s="46" t="s">
        <v>40</v>
      </c>
      <c r="I4876" s="45">
        <v>1822.5</v>
      </c>
      <c r="J4876" s="45">
        <v>647.5</v>
      </c>
      <c r="K4876" s="49" t="s">
        <v>5018</v>
      </c>
      <c r="L4876" s="45"/>
      <c r="M4876" s="3"/>
    </row>
    <row r="4877" spans="1:13" ht="25.5" x14ac:dyDescent="0.25">
      <c r="A4877" s="46" t="s">
        <v>5524</v>
      </c>
      <c r="B4877" s="46" t="s">
        <v>38</v>
      </c>
      <c r="C4877" s="46" t="s">
        <v>14</v>
      </c>
      <c r="D4877" s="47">
        <v>7588</v>
      </c>
      <c r="E4877" s="46" t="s">
        <v>5525</v>
      </c>
      <c r="F4877" s="48">
        <v>40179</v>
      </c>
      <c r="G4877" s="48">
        <v>40543</v>
      </c>
      <c r="H4877" s="46" t="s">
        <v>40</v>
      </c>
      <c r="I4877" s="45">
        <v>3450.1</v>
      </c>
      <c r="J4877" s="45">
        <v>1950.1</v>
      </c>
      <c r="K4877" s="49" t="s">
        <v>5018</v>
      </c>
      <c r="L4877" s="45"/>
      <c r="M4877" s="3"/>
    </row>
    <row r="4878" spans="1:13" ht="25.5" x14ac:dyDescent="0.25">
      <c r="A4878" s="46" t="s">
        <v>5526</v>
      </c>
      <c r="B4878" s="46" t="s">
        <v>38</v>
      </c>
      <c r="C4878" s="46" t="s">
        <v>14</v>
      </c>
      <c r="D4878" s="47">
        <v>7591</v>
      </c>
      <c r="E4878" s="46" t="s">
        <v>5527</v>
      </c>
      <c r="F4878" s="48">
        <v>40179</v>
      </c>
      <c r="G4878" s="48">
        <v>40543</v>
      </c>
      <c r="H4878" s="46" t="s">
        <v>40</v>
      </c>
      <c r="I4878" s="45">
        <v>1171</v>
      </c>
      <c r="J4878" s="45">
        <v>721</v>
      </c>
      <c r="K4878" s="49" t="s">
        <v>5018</v>
      </c>
      <c r="L4878" s="45"/>
      <c r="M4878" s="3"/>
    </row>
    <row r="4879" spans="1:13" ht="25.5" x14ac:dyDescent="0.25">
      <c r="A4879" s="46" t="s">
        <v>5528</v>
      </c>
      <c r="B4879" s="46" t="s">
        <v>38</v>
      </c>
      <c r="C4879" s="46" t="s">
        <v>14</v>
      </c>
      <c r="D4879" s="47">
        <v>7592</v>
      </c>
      <c r="E4879" s="46" t="s">
        <v>5529</v>
      </c>
      <c r="F4879" s="48">
        <v>40179</v>
      </c>
      <c r="G4879" s="48">
        <v>40543</v>
      </c>
      <c r="H4879" s="46" t="s">
        <v>40</v>
      </c>
      <c r="I4879" s="45">
        <v>1636.75</v>
      </c>
      <c r="J4879" s="45">
        <v>636.75</v>
      </c>
      <c r="K4879" s="49" t="s">
        <v>5018</v>
      </c>
      <c r="L4879" s="45"/>
      <c r="M4879" s="3"/>
    </row>
    <row r="4880" spans="1:13" ht="25.5" x14ac:dyDescent="0.25">
      <c r="A4880" s="46" t="s">
        <v>5530</v>
      </c>
      <c r="B4880" s="46" t="s">
        <v>38</v>
      </c>
      <c r="C4880" s="46" t="s">
        <v>14</v>
      </c>
      <c r="D4880" s="47">
        <v>7593</v>
      </c>
      <c r="E4880" s="46" t="s">
        <v>5531</v>
      </c>
      <c r="F4880" s="48">
        <v>40179</v>
      </c>
      <c r="G4880" s="48">
        <v>40543</v>
      </c>
      <c r="H4880" s="46" t="s">
        <v>40</v>
      </c>
      <c r="I4880" s="45">
        <v>791</v>
      </c>
      <c r="J4880" s="45">
        <v>91</v>
      </c>
      <c r="K4880" s="49" t="s">
        <v>5018</v>
      </c>
      <c r="L4880" s="45"/>
      <c r="M4880" s="3"/>
    </row>
    <row r="4881" spans="1:13" ht="25.5" x14ac:dyDescent="0.25">
      <c r="A4881" s="46" t="s">
        <v>5532</v>
      </c>
      <c r="B4881" s="46" t="s">
        <v>38</v>
      </c>
      <c r="C4881" s="46" t="s">
        <v>14</v>
      </c>
      <c r="D4881" s="47">
        <v>7594</v>
      </c>
      <c r="E4881" s="46" t="s">
        <v>5533</v>
      </c>
      <c r="F4881" s="48">
        <v>40179</v>
      </c>
      <c r="G4881" s="48">
        <v>40543</v>
      </c>
      <c r="H4881" s="46" t="s">
        <v>40</v>
      </c>
      <c r="I4881" s="45">
        <v>771.25</v>
      </c>
      <c r="J4881" s="45">
        <v>471.25</v>
      </c>
      <c r="K4881" s="49" t="s">
        <v>5018</v>
      </c>
      <c r="L4881" s="45"/>
      <c r="M4881" s="3"/>
    </row>
    <row r="4882" spans="1:13" ht="25.5" x14ac:dyDescent="0.25">
      <c r="A4882" s="46" t="s">
        <v>5534</v>
      </c>
      <c r="B4882" s="46" t="s">
        <v>38</v>
      </c>
      <c r="C4882" s="46" t="s">
        <v>14</v>
      </c>
      <c r="D4882" s="47">
        <v>7595</v>
      </c>
      <c r="E4882" s="46" t="s">
        <v>5535</v>
      </c>
      <c r="F4882" s="48">
        <v>40179</v>
      </c>
      <c r="G4882" s="48">
        <v>40543</v>
      </c>
      <c r="H4882" s="46" t="s">
        <v>40</v>
      </c>
      <c r="I4882" s="45">
        <v>1542.5</v>
      </c>
      <c r="J4882" s="45">
        <v>542.5</v>
      </c>
      <c r="K4882" s="49" t="s">
        <v>5018</v>
      </c>
      <c r="L4882" s="45"/>
      <c r="M4882" s="3"/>
    </row>
    <row r="4883" spans="1:13" ht="25.5" x14ac:dyDescent="0.25">
      <c r="A4883" s="46" t="s">
        <v>5536</v>
      </c>
      <c r="B4883" s="46" t="s">
        <v>38</v>
      </c>
      <c r="C4883" s="46" t="s">
        <v>14</v>
      </c>
      <c r="D4883" s="47">
        <v>7596</v>
      </c>
      <c r="E4883" s="46" t="s">
        <v>5529</v>
      </c>
      <c r="F4883" s="48">
        <v>40179</v>
      </c>
      <c r="G4883" s="48">
        <v>40543</v>
      </c>
      <c r="H4883" s="46" t="s">
        <v>40</v>
      </c>
      <c r="I4883" s="45">
        <v>1608.6</v>
      </c>
      <c r="J4883" s="45">
        <v>808.6</v>
      </c>
      <c r="K4883" s="49" t="s">
        <v>5018</v>
      </c>
      <c r="L4883" s="45"/>
      <c r="M4883" s="3"/>
    </row>
    <row r="4884" spans="1:13" ht="25.5" x14ac:dyDescent="0.25">
      <c r="A4884" s="46" t="s">
        <v>5537</v>
      </c>
      <c r="B4884" s="46" t="s">
        <v>38</v>
      </c>
      <c r="C4884" s="46" t="s">
        <v>14</v>
      </c>
      <c r="D4884" s="47">
        <v>7597</v>
      </c>
      <c r="E4884" s="46" t="s">
        <v>5529</v>
      </c>
      <c r="F4884" s="48">
        <v>40179</v>
      </c>
      <c r="G4884" s="48">
        <v>40543</v>
      </c>
      <c r="H4884" s="46" t="s">
        <v>40</v>
      </c>
      <c r="I4884" s="45">
        <v>1637.2</v>
      </c>
      <c r="J4884" s="45">
        <v>1037.2</v>
      </c>
      <c r="K4884" s="49" t="s">
        <v>5018</v>
      </c>
      <c r="L4884" s="45"/>
      <c r="M4884" s="3"/>
    </row>
    <row r="4885" spans="1:13" ht="25.5" x14ac:dyDescent="0.25">
      <c r="A4885" s="46" t="s">
        <v>5538</v>
      </c>
      <c r="B4885" s="46" t="s">
        <v>38</v>
      </c>
      <c r="C4885" s="46" t="s">
        <v>14</v>
      </c>
      <c r="D4885" s="47">
        <v>7598</v>
      </c>
      <c r="E4885" s="46" t="s">
        <v>5531</v>
      </c>
      <c r="F4885" s="48">
        <v>40179</v>
      </c>
      <c r="G4885" s="48">
        <v>40543</v>
      </c>
      <c r="H4885" s="46" t="s">
        <v>40</v>
      </c>
      <c r="I4885" s="45">
        <v>818.6</v>
      </c>
      <c r="J4885" s="45">
        <v>418.6</v>
      </c>
      <c r="K4885" s="49" t="s">
        <v>5018</v>
      </c>
      <c r="L4885" s="45"/>
      <c r="M4885" s="3"/>
    </row>
    <row r="4886" spans="1:13" ht="25.5" x14ac:dyDescent="0.25">
      <c r="A4886" s="46" t="s">
        <v>5539</v>
      </c>
      <c r="B4886" s="46" t="s">
        <v>38</v>
      </c>
      <c r="C4886" s="46" t="s">
        <v>14</v>
      </c>
      <c r="D4886" s="47">
        <v>7599</v>
      </c>
      <c r="E4886" s="46" t="s">
        <v>5540</v>
      </c>
      <c r="F4886" s="48">
        <v>40179</v>
      </c>
      <c r="G4886" s="48">
        <v>40543</v>
      </c>
      <c r="H4886" s="46" t="s">
        <v>40</v>
      </c>
      <c r="I4886" s="45">
        <v>818.6</v>
      </c>
      <c r="J4886" s="45">
        <v>518.6</v>
      </c>
      <c r="K4886" s="49" t="s">
        <v>5018</v>
      </c>
      <c r="L4886" s="45"/>
      <c r="M4886" s="3"/>
    </row>
    <row r="4887" spans="1:13" ht="25.5" x14ac:dyDescent="0.25">
      <c r="A4887" s="46" t="s">
        <v>5541</v>
      </c>
      <c r="B4887" s="46" t="s">
        <v>38</v>
      </c>
      <c r="C4887" s="46" t="s">
        <v>14</v>
      </c>
      <c r="D4887" s="47">
        <v>7600</v>
      </c>
      <c r="E4887" s="46" t="s">
        <v>5542</v>
      </c>
      <c r="F4887" s="48">
        <v>40179</v>
      </c>
      <c r="G4887" s="48">
        <v>40543</v>
      </c>
      <c r="H4887" s="46" t="s">
        <v>40</v>
      </c>
      <c r="I4887" s="45">
        <v>16230.56</v>
      </c>
      <c r="J4887" s="45">
        <v>2480.12</v>
      </c>
      <c r="K4887" s="49" t="s">
        <v>5018</v>
      </c>
      <c r="L4887" s="45"/>
      <c r="M4887" s="3"/>
    </row>
    <row r="4888" spans="1:13" ht="25.5" x14ac:dyDescent="0.25">
      <c r="A4888" s="46" t="s">
        <v>5543</v>
      </c>
      <c r="B4888" s="46" t="s">
        <v>38</v>
      </c>
      <c r="C4888" s="46" t="s">
        <v>14</v>
      </c>
      <c r="D4888" s="47">
        <v>7601</v>
      </c>
      <c r="E4888" s="46" t="s">
        <v>5544</v>
      </c>
      <c r="F4888" s="48">
        <v>40179</v>
      </c>
      <c r="G4888" s="48">
        <v>40543</v>
      </c>
      <c r="H4888" s="46" t="s">
        <v>40</v>
      </c>
      <c r="I4888" s="45">
        <v>10412.93</v>
      </c>
      <c r="J4888" s="45">
        <v>8137.93</v>
      </c>
      <c r="K4888" s="49" t="s">
        <v>5018</v>
      </c>
      <c r="L4888" s="45"/>
      <c r="M4888" s="3"/>
    </row>
    <row r="4889" spans="1:13" ht="25.5" x14ac:dyDescent="0.25">
      <c r="A4889" s="46" t="s">
        <v>5545</v>
      </c>
      <c r="B4889" s="46" t="s">
        <v>38</v>
      </c>
      <c r="C4889" s="46" t="s">
        <v>14</v>
      </c>
      <c r="D4889" s="47">
        <v>7602</v>
      </c>
      <c r="E4889" s="46" t="s">
        <v>5546</v>
      </c>
      <c r="F4889" s="48">
        <v>40179</v>
      </c>
      <c r="G4889" s="48">
        <v>40543</v>
      </c>
      <c r="H4889" s="46" t="s">
        <v>40</v>
      </c>
      <c r="I4889" s="45">
        <v>15975.38</v>
      </c>
      <c r="J4889" s="45">
        <v>15675.38</v>
      </c>
      <c r="K4889" s="49" t="s">
        <v>5018</v>
      </c>
      <c r="L4889" s="45"/>
      <c r="M4889" s="3"/>
    </row>
    <row r="4890" spans="1:13" ht="25.5" x14ac:dyDescent="0.25">
      <c r="A4890" s="46" t="s">
        <v>5547</v>
      </c>
      <c r="B4890" s="46" t="s">
        <v>38</v>
      </c>
      <c r="C4890" s="46" t="s">
        <v>14</v>
      </c>
      <c r="D4890" s="47">
        <v>7624</v>
      </c>
      <c r="E4890" s="46" t="s">
        <v>5548</v>
      </c>
      <c r="F4890" s="48">
        <v>40179</v>
      </c>
      <c r="G4890" s="48">
        <v>40543</v>
      </c>
      <c r="H4890" s="46" t="s">
        <v>40</v>
      </c>
      <c r="I4890" s="45">
        <v>108.9</v>
      </c>
      <c r="J4890" s="45">
        <v>108.9</v>
      </c>
      <c r="K4890" s="49" t="s">
        <v>5018</v>
      </c>
      <c r="L4890" s="45"/>
      <c r="M4890" s="3"/>
    </row>
    <row r="4891" spans="1:13" ht="25.5" x14ac:dyDescent="0.25">
      <c r="A4891" s="46" t="s">
        <v>5549</v>
      </c>
      <c r="B4891" s="46" t="s">
        <v>38</v>
      </c>
      <c r="C4891" s="46" t="s">
        <v>14</v>
      </c>
      <c r="D4891" s="47">
        <v>7625</v>
      </c>
      <c r="E4891" s="46" t="s">
        <v>5550</v>
      </c>
      <c r="F4891" s="48">
        <v>40179</v>
      </c>
      <c r="G4891" s="48">
        <v>40543</v>
      </c>
      <c r="H4891" s="46" t="s">
        <v>40</v>
      </c>
      <c r="I4891" s="45">
        <v>3333.25</v>
      </c>
      <c r="J4891" s="45">
        <v>3333.25</v>
      </c>
      <c r="K4891" s="49" t="s">
        <v>5018</v>
      </c>
      <c r="L4891" s="45"/>
      <c r="M4891" s="3"/>
    </row>
    <row r="4892" spans="1:13" ht="25.5" x14ac:dyDescent="0.25">
      <c r="A4892" s="46" t="s">
        <v>5551</v>
      </c>
      <c r="B4892" s="46" t="s">
        <v>38</v>
      </c>
      <c r="C4892" s="46" t="s">
        <v>14</v>
      </c>
      <c r="D4892" s="47">
        <v>7626</v>
      </c>
      <c r="E4892" s="46" t="s">
        <v>5552</v>
      </c>
      <c r="F4892" s="48">
        <v>40179</v>
      </c>
      <c r="G4892" s="48">
        <v>40543</v>
      </c>
      <c r="H4892" s="46" t="s">
        <v>40</v>
      </c>
      <c r="I4892" s="45">
        <v>565</v>
      </c>
      <c r="J4892" s="45">
        <v>565</v>
      </c>
      <c r="K4892" s="49" t="s">
        <v>5018</v>
      </c>
      <c r="L4892" s="45"/>
      <c r="M4892" s="3"/>
    </row>
    <row r="4893" spans="1:13" ht="25.5" x14ac:dyDescent="0.25">
      <c r="A4893" s="46" t="s">
        <v>5553</v>
      </c>
      <c r="B4893" s="46" t="s">
        <v>38</v>
      </c>
      <c r="C4893" s="46" t="s">
        <v>14</v>
      </c>
      <c r="D4893" s="47">
        <v>7627</v>
      </c>
      <c r="E4893" s="46" t="s">
        <v>5554</v>
      </c>
      <c r="F4893" s="48">
        <v>40179</v>
      </c>
      <c r="G4893" s="48">
        <v>40543</v>
      </c>
      <c r="H4893" s="46" t="s">
        <v>40</v>
      </c>
      <c r="I4893" s="45">
        <v>2308</v>
      </c>
      <c r="J4893" s="45">
        <v>2308</v>
      </c>
      <c r="K4893" s="49" t="s">
        <v>5018</v>
      </c>
      <c r="L4893" s="45"/>
      <c r="M4893" s="3"/>
    </row>
    <row r="4894" spans="1:13" ht="38.25" x14ac:dyDescent="0.25">
      <c r="A4894" s="46" t="s">
        <v>5555</v>
      </c>
      <c r="B4894" s="46" t="s">
        <v>38</v>
      </c>
      <c r="C4894" s="46" t="s">
        <v>14</v>
      </c>
      <c r="D4894" s="47">
        <v>7628</v>
      </c>
      <c r="E4894" s="50" t="s">
        <v>5556</v>
      </c>
      <c r="F4894" s="48">
        <v>40179</v>
      </c>
      <c r="G4894" s="48">
        <v>40543</v>
      </c>
      <c r="H4894" s="46" t="s">
        <v>40</v>
      </c>
      <c r="I4894" s="45">
        <v>28346.13</v>
      </c>
      <c r="J4894" s="45">
        <v>28346.13</v>
      </c>
      <c r="K4894" s="49" t="s">
        <v>5018</v>
      </c>
      <c r="L4894" s="45"/>
      <c r="M4894" s="3"/>
    </row>
    <row r="4895" spans="1:13" ht="25.5" x14ac:dyDescent="0.25">
      <c r="A4895" s="46" t="s">
        <v>5557</v>
      </c>
      <c r="B4895" s="46" t="s">
        <v>38</v>
      </c>
      <c r="C4895" s="46" t="s">
        <v>14</v>
      </c>
      <c r="D4895" s="47">
        <v>7629</v>
      </c>
      <c r="E4895" s="46" t="s">
        <v>5397</v>
      </c>
      <c r="F4895" s="48">
        <v>40179</v>
      </c>
      <c r="G4895" s="48">
        <v>40543</v>
      </c>
      <c r="H4895" s="46" t="s">
        <v>40</v>
      </c>
      <c r="I4895" s="45">
        <v>52981.62</v>
      </c>
      <c r="J4895" s="45">
        <v>52981.62</v>
      </c>
      <c r="K4895" s="49" t="s">
        <v>5018</v>
      </c>
      <c r="L4895" s="45"/>
      <c r="M4895" s="3"/>
    </row>
    <row r="4896" spans="1:13" ht="25.5" x14ac:dyDescent="0.25">
      <c r="A4896" s="46" t="s">
        <v>5558</v>
      </c>
      <c r="B4896" s="46" t="s">
        <v>38</v>
      </c>
      <c r="C4896" s="46" t="s">
        <v>14</v>
      </c>
      <c r="D4896" s="47">
        <v>7631</v>
      </c>
      <c r="E4896" s="46" t="s">
        <v>5559</v>
      </c>
      <c r="F4896" s="48">
        <v>40179</v>
      </c>
      <c r="G4896" s="48">
        <v>40543</v>
      </c>
      <c r="H4896" s="46" t="s">
        <v>40</v>
      </c>
      <c r="I4896" s="45">
        <v>2611</v>
      </c>
      <c r="J4896" s="45">
        <v>2611</v>
      </c>
      <c r="K4896" s="49" t="s">
        <v>5018</v>
      </c>
      <c r="L4896" s="45"/>
      <c r="M4896" s="3"/>
    </row>
    <row r="4897" spans="1:13" ht="25.5" x14ac:dyDescent="0.25">
      <c r="A4897" s="46" t="s">
        <v>5560</v>
      </c>
      <c r="B4897" s="46" t="s">
        <v>38</v>
      </c>
      <c r="C4897" s="46" t="s">
        <v>14</v>
      </c>
      <c r="D4897" s="47">
        <v>7635</v>
      </c>
      <c r="E4897" s="46" t="s">
        <v>5561</v>
      </c>
      <c r="F4897" s="48">
        <v>40179</v>
      </c>
      <c r="G4897" s="48">
        <v>40543</v>
      </c>
      <c r="H4897" s="46" t="s">
        <v>40</v>
      </c>
      <c r="I4897" s="45">
        <v>40792.07</v>
      </c>
      <c r="J4897" s="45">
        <v>21969.26</v>
      </c>
      <c r="K4897" s="49" t="s">
        <v>5018</v>
      </c>
      <c r="L4897" s="45"/>
      <c r="M4897" s="3"/>
    </row>
    <row r="4898" spans="1:13" ht="25.5" x14ac:dyDescent="0.25">
      <c r="A4898" s="46" t="s">
        <v>5590</v>
      </c>
      <c r="B4898" s="46" t="s">
        <v>38</v>
      </c>
      <c r="C4898" s="46" t="s">
        <v>14</v>
      </c>
      <c r="D4898" s="47">
        <v>9302</v>
      </c>
      <c r="E4898" s="46" t="s">
        <v>5591</v>
      </c>
      <c r="F4898" s="48">
        <v>40790</v>
      </c>
      <c r="G4898" s="48">
        <v>40908</v>
      </c>
      <c r="H4898" s="46" t="s">
        <v>40</v>
      </c>
      <c r="I4898" s="45">
        <v>15835.74</v>
      </c>
      <c r="J4898" s="45">
        <v>15835.74</v>
      </c>
      <c r="K4898" s="49" t="s">
        <v>5018</v>
      </c>
      <c r="L4898" s="45"/>
      <c r="M4898" s="3"/>
    </row>
    <row r="4899" spans="1:13" ht="25.5" x14ac:dyDescent="0.25">
      <c r="A4899" s="46" t="s">
        <v>5592</v>
      </c>
      <c r="B4899" s="46" t="s">
        <v>38</v>
      </c>
      <c r="C4899" s="46" t="s">
        <v>14</v>
      </c>
      <c r="D4899" s="47">
        <v>9303</v>
      </c>
      <c r="E4899" s="46" t="s">
        <v>5593</v>
      </c>
      <c r="F4899" s="48">
        <v>40544</v>
      </c>
      <c r="G4899" s="48">
        <v>40908</v>
      </c>
      <c r="H4899" s="46" t="s">
        <v>40</v>
      </c>
      <c r="I4899" s="45">
        <v>43527.01</v>
      </c>
      <c r="J4899" s="45">
        <v>43527.01</v>
      </c>
      <c r="K4899" s="49" t="s">
        <v>5018</v>
      </c>
      <c r="L4899" s="45"/>
      <c r="M4899" s="3"/>
    </row>
    <row r="4900" spans="1:13" ht="25.5" x14ac:dyDescent="0.25">
      <c r="A4900" s="46" t="s">
        <v>5594</v>
      </c>
      <c r="B4900" s="46" t="s">
        <v>38</v>
      </c>
      <c r="C4900" s="46" t="s">
        <v>14</v>
      </c>
      <c r="D4900" s="47">
        <v>9304</v>
      </c>
      <c r="E4900" s="46" t="s">
        <v>5594</v>
      </c>
      <c r="F4900" s="48">
        <v>40544</v>
      </c>
      <c r="G4900" s="48">
        <v>40908</v>
      </c>
      <c r="H4900" s="46" t="s">
        <v>40</v>
      </c>
      <c r="I4900" s="45">
        <v>60326.23</v>
      </c>
      <c r="J4900" s="45">
        <v>60326.23</v>
      </c>
      <c r="K4900" s="49" t="s">
        <v>5018</v>
      </c>
      <c r="L4900" s="45"/>
      <c r="M4900" s="3"/>
    </row>
    <row r="4901" spans="1:13" ht="25.5" x14ac:dyDescent="0.25">
      <c r="A4901" s="46" t="s">
        <v>5595</v>
      </c>
      <c r="B4901" s="46" t="s">
        <v>38</v>
      </c>
      <c r="C4901" s="46" t="s">
        <v>14</v>
      </c>
      <c r="D4901" s="47">
        <v>9306</v>
      </c>
      <c r="E4901" s="46" t="s">
        <v>5596</v>
      </c>
      <c r="F4901" s="48">
        <v>40787</v>
      </c>
      <c r="G4901" s="48">
        <v>41061</v>
      </c>
      <c r="H4901" s="46" t="s">
        <v>40</v>
      </c>
      <c r="I4901" s="45">
        <v>8746</v>
      </c>
      <c r="J4901" s="45">
        <v>7496</v>
      </c>
      <c r="K4901" s="49" t="s">
        <v>5018</v>
      </c>
      <c r="L4901" s="45"/>
      <c r="M4901" s="3"/>
    </row>
    <row r="4902" spans="1:13" ht="25.5" x14ac:dyDescent="0.25">
      <c r="A4902" s="46" t="s">
        <v>5597</v>
      </c>
      <c r="B4902" s="46" t="s">
        <v>38</v>
      </c>
      <c r="C4902" s="46" t="s">
        <v>14</v>
      </c>
      <c r="D4902" s="47">
        <v>9307</v>
      </c>
      <c r="E4902" s="46" t="s">
        <v>5598</v>
      </c>
      <c r="F4902" s="48">
        <v>40787</v>
      </c>
      <c r="G4902" s="48">
        <v>40908</v>
      </c>
      <c r="H4902" s="46" t="s">
        <v>40</v>
      </c>
      <c r="I4902" s="45">
        <v>5205</v>
      </c>
      <c r="J4902" s="45">
        <v>4605</v>
      </c>
      <c r="K4902" s="49" t="s">
        <v>5018</v>
      </c>
      <c r="L4902" s="45"/>
      <c r="M4902" s="3"/>
    </row>
    <row r="4903" spans="1:13" ht="25.5" x14ac:dyDescent="0.25">
      <c r="A4903" s="46" t="s">
        <v>5599</v>
      </c>
      <c r="B4903" s="46" t="s">
        <v>38</v>
      </c>
      <c r="C4903" s="46" t="s">
        <v>14</v>
      </c>
      <c r="D4903" s="47">
        <v>9308</v>
      </c>
      <c r="E4903" s="46" t="s">
        <v>5600</v>
      </c>
      <c r="F4903" s="48">
        <v>40544</v>
      </c>
      <c r="G4903" s="48">
        <v>40908</v>
      </c>
      <c r="H4903" s="46" t="s">
        <v>40</v>
      </c>
      <c r="I4903" s="45">
        <v>23369.77</v>
      </c>
      <c r="J4903" s="45">
        <v>23369.77</v>
      </c>
      <c r="K4903" s="49" t="s">
        <v>5018</v>
      </c>
      <c r="L4903" s="45"/>
      <c r="M4903" s="3"/>
    </row>
    <row r="4904" spans="1:13" ht="25.5" x14ac:dyDescent="0.25">
      <c r="A4904" s="46" t="s">
        <v>5601</v>
      </c>
      <c r="B4904" s="46" t="s">
        <v>38</v>
      </c>
      <c r="C4904" s="46" t="s">
        <v>14</v>
      </c>
      <c r="D4904" s="47">
        <v>9309</v>
      </c>
      <c r="E4904" s="46" t="s">
        <v>5602</v>
      </c>
      <c r="F4904" s="48">
        <v>40814</v>
      </c>
      <c r="G4904" s="48">
        <v>40908</v>
      </c>
      <c r="H4904" s="46" t="s">
        <v>40</v>
      </c>
      <c r="I4904" s="45">
        <v>12762.55</v>
      </c>
      <c r="J4904" s="45">
        <v>8947.5499999999993</v>
      </c>
      <c r="K4904" s="49" t="s">
        <v>5018</v>
      </c>
      <c r="L4904" s="45"/>
      <c r="M4904" s="3"/>
    </row>
    <row r="4905" spans="1:13" ht="25.5" x14ac:dyDescent="0.25">
      <c r="A4905" s="46" t="s">
        <v>5603</v>
      </c>
      <c r="B4905" s="46" t="s">
        <v>38</v>
      </c>
      <c r="C4905" s="46" t="s">
        <v>14</v>
      </c>
      <c r="D4905" s="47">
        <v>9310</v>
      </c>
      <c r="E4905" s="46" t="s">
        <v>5604</v>
      </c>
      <c r="F4905" s="48">
        <v>40841</v>
      </c>
      <c r="G4905" s="48">
        <v>40841</v>
      </c>
      <c r="H4905" s="46" t="s">
        <v>40</v>
      </c>
      <c r="I4905" s="45">
        <v>400</v>
      </c>
      <c r="J4905" s="45">
        <v>400</v>
      </c>
      <c r="K4905" s="49" t="s">
        <v>5018</v>
      </c>
      <c r="L4905" s="45"/>
      <c r="M4905" s="3"/>
    </row>
    <row r="4906" spans="1:13" ht="25.5" x14ac:dyDescent="0.25">
      <c r="A4906" s="46" t="s">
        <v>5605</v>
      </c>
      <c r="B4906" s="46" t="s">
        <v>38</v>
      </c>
      <c r="C4906" s="46" t="s">
        <v>14</v>
      </c>
      <c r="D4906" s="47">
        <v>9311</v>
      </c>
      <c r="E4906" s="46" t="s">
        <v>5606</v>
      </c>
      <c r="F4906" s="48">
        <v>40821</v>
      </c>
      <c r="G4906" s="48">
        <v>40821</v>
      </c>
      <c r="H4906" s="46" t="s">
        <v>40</v>
      </c>
      <c r="I4906" s="45">
        <v>250</v>
      </c>
      <c r="J4906" s="45">
        <v>250</v>
      </c>
      <c r="K4906" s="49" t="s">
        <v>5018</v>
      </c>
      <c r="L4906" s="45"/>
      <c r="M4906" s="3"/>
    </row>
    <row r="4907" spans="1:13" ht="25.5" x14ac:dyDescent="0.25">
      <c r="A4907" s="46" t="s">
        <v>5607</v>
      </c>
      <c r="B4907" s="46" t="s">
        <v>38</v>
      </c>
      <c r="C4907" s="46" t="s">
        <v>14</v>
      </c>
      <c r="D4907" s="47">
        <v>9313</v>
      </c>
      <c r="E4907" s="46" t="s">
        <v>5608</v>
      </c>
      <c r="F4907" s="48">
        <v>40544</v>
      </c>
      <c r="G4907" s="48">
        <v>40908</v>
      </c>
      <c r="H4907" s="46" t="s">
        <v>40</v>
      </c>
      <c r="I4907" s="45">
        <v>1032.45</v>
      </c>
      <c r="J4907" s="45">
        <v>1032.45</v>
      </c>
      <c r="K4907" s="49" t="s">
        <v>5018</v>
      </c>
      <c r="L4907" s="45"/>
      <c r="M4907" s="3"/>
    </row>
    <row r="4908" spans="1:13" ht="25.5" x14ac:dyDescent="0.25">
      <c r="A4908" s="46" t="s">
        <v>5609</v>
      </c>
      <c r="B4908" s="46" t="s">
        <v>38</v>
      </c>
      <c r="C4908" s="46" t="s">
        <v>14</v>
      </c>
      <c r="D4908" s="47">
        <v>9314</v>
      </c>
      <c r="E4908" s="46" t="s">
        <v>5610</v>
      </c>
      <c r="F4908" s="48">
        <v>40544</v>
      </c>
      <c r="G4908" s="48">
        <v>40908</v>
      </c>
      <c r="H4908" s="46" t="s">
        <v>40</v>
      </c>
      <c r="I4908" s="45">
        <v>1023.45</v>
      </c>
      <c r="J4908" s="45">
        <v>1023.45</v>
      </c>
      <c r="K4908" s="49" t="s">
        <v>5018</v>
      </c>
      <c r="L4908" s="45"/>
      <c r="M4908" s="3"/>
    </row>
    <row r="4909" spans="1:13" ht="25.5" x14ac:dyDescent="0.25">
      <c r="A4909" s="46" t="s">
        <v>5611</v>
      </c>
      <c r="B4909" s="46" t="s">
        <v>38</v>
      </c>
      <c r="C4909" s="46" t="s">
        <v>14</v>
      </c>
      <c r="D4909" s="47">
        <v>9315</v>
      </c>
      <c r="E4909" s="46" t="s">
        <v>5612</v>
      </c>
      <c r="F4909" s="48">
        <v>40544</v>
      </c>
      <c r="G4909" s="48">
        <v>40908</v>
      </c>
      <c r="H4909" s="46" t="s">
        <v>40</v>
      </c>
      <c r="I4909" s="45">
        <v>1057.95</v>
      </c>
      <c r="J4909" s="45">
        <v>1057.95</v>
      </c>
      <c r="K4909" s="49" t="s">
        <v>5018</v>
      </c>
      <c r="L4909" s="45"/>
      <c r="M4909" s="3"/>
    </row>
    <row r="4910" spans="1:13" ht="25.5" x14ac:dyDescent="0.25">
      <c r="A4910" s="46" t="s">
        <v>5613</v>
      </c>
      <c r="B4910" s="46" t="s">
        <v>38</v>
      </c>
      <c r="C4910" s="46" t="s">
        <v>14</v>
      </c>
      <c r="D4910" s="47">
        <v>9316</v>
      </c>
      <c r="E4910" s="46" t="s">
        <v>5614</v>
      </c>
      <c r="F4910" s="48">
        <v>40544</v>
      </c>
      <c r="G4910" s="48">
        <v>40908</v>
      </c>
      <c r="H4910" s="46" t="s">
        <v>40</v>
      </c>
      <c r="I4910" s="45">
        <v>1063.45</v>
      </c>
      <c r="J4910" s="45">
        <v>1063.45</v>
      </c>
      <c r="K4910" s="49" t="s">
        <v>5018</v>
      </c>
      <c r="L4910" s="45"/>
      <c r="M4910" s="3"/>
    </row>
    <row r="4911" spans="1:13" ht="25.5" x14ac:dyDescent="0.25">
      <c r="A4911" s="46" t="s">
        <v>5615</v>
      </c>
      <c r="B4911" s="46" t="s">
        <v>38</v>
      </c>
      <c r="C4911" s="46" t="s">
        <v>14</v>
      </c>
      <c r="D4911" s="47">
        <v>9317</v>
      </c>
      <c r="E4911" s="46" t="s">
        <v>5616</v>
      </c>
      <c r="F4911" s="48">
        <v>40544</v>
      </c>
      <c r="G4911" s="48">
        <v>40908</v>
      </c>
      <c r="H4911" s="46" t="s">
        <v>40</v>
      </c>
      <c r="I4911" s="45">
        <v>1135.45</v>
      </c>
      <c r="J4911" s="45">
        <v>1135.45</v>
      </c>
      <c r="K4911" s="49" t="s">
        <v>5018</v>
      </c>
      <c r="L4911" s="45"/>
      <c r="M4911" s="3"/>
    </row>
    <row r="4912" spans="1:13" ht="25.5" x14ac:dyDescent="0.25">
      <c r="A4912" s="46" t="s">
        <v>5617</v>
      </c>
      <c r="B4912" s="46" t="s">
        <v>38</v>
      </c>
      <c r="C4912" s="46" t="s">
        <v>14</v>
      </c>
      <c r="D4912" s="47">
        <v>9318</v>
      </c>
      <c r="E4912" s="46" t="s">
        <v>5618</v>
      </c>
      <c r="F4912" s="48">
        <v>40544</v>
      </c>
      <c r="G4912" s="48">
        <v>40908</v>
      </c>
      <c r="H4912" s="46" t="s">
        <v>40</v>
      </c>
      <c r="I4912" s="45">
        <v>905.95</v>
      </c>
      <c r="J4912" s="45">
        <v>905.95</v>
      </c>
      <c r="K4912" s="49" t="s">
        <v>5018</v>
      </c>
      <c r="L4912" s="45"/>
      <c r="M4912" s="3"/>
    </row>
    <row r="4913" spans="1:13" ht="25.5" x14ac:dyDescent="0.25">
      <c r="A4913" s="46" t="s">
        <v>5619</v>
      </c>
      <c r="B4913" s="46" t="s">
        <v>38</v>
      </c>
      <c r="C4913" s="46" t="s">
        <v>14</v>
      </c>
      <c r="D4913" s="47">
        <v>9319</v>
      </c>
      <c r="E4913" s="46" t="s">
        <v>5619</v>
      </c>
      <c r="F4913" s="48">
        <v>40866</v>
      </c>
      <c r="G4913" s="48">
        <v>40866</v>
      </c>
      <c r="H4913" s="46" t="s">
        <v>40</v>
      </c>
      <c r="I4913" s="45">
        <v>300.5</v>
      </c>
      <c r="J4913" s="45">
        <v>300.5</v>
      </c>
      <c r="K4913" s="49" t="s">
        <v>5018</v>
      </c>
      <c r="L4913" s="45"/>
      <c r="M4913" s="3"/>
    </row>
    <row r="4914" spans="1:13" ht="25.5" x14ac:dyDescent="0.25">
      <c r="A4914" s="46" t="s">
        <v>5620</v>
      </c>
      <c r="B4914" s="46" t="s">
        <v>38</v>
      </c>
      <c r="C4914" s="46" t="s">
        <v>14</v>
      </c>
      <c r="D4914" s="47">
        <v>9320</v>
      </c>
      <c r="E4914" s="46" t="s">
        <v>5240</v>
      </c>
      <c r="F4914" s="48">
        <v>40575</v>
      </c>
      <c r="G4914" s="48">
        <v>40634</v>
      </c>
      <c r="H4914" s="46" t="s">
        <v>40</v>
      </c>
      <c r="I4914" s="45">
        <v>3481</v>
      </c>
      <c r="J4914" s="45">
        <v>2171</v>
      </c>
      <c r="K4914" s="49" t="s">
        <v>5018</v>
      </c>
      <c r="L4914" s="45"/>
      <c r="M4914" s="3"/>
    </row>
    <row r="4915" spans="1:13" ht="25.5" x14ac:dyDescent="0.25">
      <c r="A4915" s="46" t="s">
        <v>5621</v>
      </c>
      <c r="B4915" s="46" t="s">
        <v>38</v>
      </c>
      <c r="C4915" s="46" t="s">
        <v>14</v>
      </c>
      <c r="D4915" s="47">
        <v>9321</v>
      </c>
      <c r="E4915" s="46" t="s">
        <v>5240</v>
      </c>
      <c r="F4915" s="48">
        <v>40616</v>
      </c>
      <c r="G4915" s="48">
        <v>40677</v>
      </c>
      <c r="H4915" s="46" t="s">
        <v>40</v>
      </c>
      <c r="I4915" s="45">
        <v>3170</v>
      </c>
      <c r="J4915" s="45">
        <v>1810</v>
      </c>
      <c r="K4915" s="49" t="s">
        <v>5018</v>
      </c>
      <c r="L4915" s="45"/>
      <c r="M4915" s="3"/>
    </row>
    <row r="4916" spans="1:13" ht="25.5" x14ac:dyDescent="0.25">
      <c r="A4916" s="46" t="s">
        <v>5622</v>
      </c>
      <c r="B4916" s="46" t="s">
        <v>38</v>
      </c>
      <c r="C4916" s="46" t="s">
        <v>14</v>
      </c>
      <c r="D4916" s="47">
        <v>9322</v>
      </c>
      <c r="E4916" s="46" t="s">
        <v>5240</v>
      </c>
      <c r="F4916" s="48">
        <v>40667</v>
      </c>
      <c r="G4916" s="48">
        <v>40704</v>
      </c>
      <c r="H4916" s="46" t="s">
        <v>40</v>
      </c>
      <c r="I4916" s="45">
        <v>3635</v>
      </c>
      <c r="J4916" s="45">
        <v>2194.0500000000002</v>
      </c>
      <c r="K4916" s="49" t="s">
        <v>5018</v>
      </c>
      <c r="L4916" s="45"/>
      <c r="M4916" s="3"/>
    </row>
    <row r="4917" spans="1:13" ht="25.5" x14ac:dyDescent="0.25">
      <c r="A4917" s="46" t="s">
        <v>5623</v>
      </c>
      <c r="B4917" s="46" t="s">
        <v>38</v>
      </c>
      <c r="C4917" s="46" t="s">
        <v>14</v>
      </c>
      <c r="D4917" s="47">
        <v>9323</v>
      </c>
      <c r="E4917" s="46" t="s">
        <v>5240</v>
      </c>
      <c r="F4917" s="48">
        <v>40772</v>
      </c>
      <c r="G4917" s="48">
        <v>40803</v>
      </c>
      <c r="H4917" s="46" t="s">
        <v>40</v>
      </c>
      <c r="I4917" s="45">
        <v>3449.8</v>
      </c>
      <c r="J4917" s="45">
        <v>2249.8000000000002</v>
      </c>
      <c r="K4917" s="49" t="s">
        <v>5018</v>
      </c>
      <c r="L4917" s="45"/>
      <c r="M4917" s="3"/>
    </row>
    <row r="4918" spans="1:13" ht="25.5" x14ac:dyDescent="0.25">
      <c r="A4918" s="46" t="s">
        <v>5624</v>
      </c>
      <c r="B4918" s="46" t="s">
        <v>38</v>
      </c>
      <c r="C4918" s="46" t="s">
        <v>14</v>
      </c>
      <c r="D4918" s="47">
        <v>9324</v>
      </c>
      <c r="E4918" s="46" t="s">
        <v>5240</v>
      </c>
      <c r="F4918" s="48">
        <v>40854</v>
      </c>
      <c r="G4918" s="48">
        <v>40891</v>
      </c>
      <c r="H4918" s="46" t="s">
        <v>40</v>
      </c>
      <c r="I4918" s="45">
        <v>1936</v>
      </c>
      <c r="J4918" s="45">
        <v>736</v>
      </c>
      <c r="K4918" s="49" t="s">
        <v>5018</v>
      </c>
      <c r="L4918" s="45"/>
      <c r="M4918" s="3"/>
    </row>
    <row r="4919" spans="1:13" ht="25.5" x14ac:dyDescent="0.25">
      <c r="A4919" s="46" t="s">
        <v>5625</v>
      </c>
      <c r="B4919" s="46" t="s">
        <v>38</v>
      </c>
      <c r="C4919" s="46" t="s">
        <v>14</v>
      </c>
      <c r="D4919" s="47">
        <v>9325</v>
      </c>
      <c r="E4919" s="46" t="s">
        <v>5626</v>
      </c>
      <c r="F4919" s="48">
        <v>40695</v>
      </c>
      <c r="G4919" s="48">
        <v>40908</v>
      </c>
      <c r="H4919" s="46" t="s">
        <v>40</v>
      </c>
      <c r="I4919" s="45">
        <v>9900.31</v>
      </c>
      <c r="J4919" s="45">
        <v>6420.31</v>
      </c>
      <c r="K4919" s="49" t="s">
        <v>5018</v>
      </c>
      <c r="L4919" s="45"/>
      <c r="M4919" s="3"/>
    </row>
    <row r="4920" spans="1:13" ht="25.5" x14ac:dyDescent="0.25">
      <c r="A4920" s="46" t="s">
        <v>5627</v>
      </c>
      <c r="B4920" s="46" t="s">
        <v>38</v>
      </c>
      <c r="C4920" s="46" t="s">
        <v>14</v>
      </c>
      <c r="D4920" s="47">
        <v>9326</v>
      </c>
      <c r="E4920" s="46" t="s">
        <v>5628</v>
      </c>
      <c r="F4920" s="48">
        <v>40886</v>
      </c>
      <c r="G4920" s="48">
        <v>40886</v>
      </c>
      <c r="H4920" s="46" t="s">
        <v>40</v>
      </c>
      <c r="I4920" s="45">
        <v>750</v>
      </c>
      <c r="J4920" s="45">
        <v>750</v>
      </c>
      <c r="K4920" s="49" t="s">
        <v>5018</v>
      </c>
      <c r="L4920" s="45"/>
      <c r="M4920" s="3"/>
    </row>
    <row r="4921" spans="1:13" ht="25.5" x14ac:dyDescent="0.25">
      <c r="A4921" s="46" t="s">
        <v>5629</v>
      </c>
      <c r="B4921" s="46" t="s">
        <v>38</v>
      </c>
      <c r="C4921" s="46" t="s">
        <v>14</v>
      </c>
      <c r="D4921" s="47">
        <v>9328</v>
      </c>
      <c r="E4921" s="46" t="s">
        <v>5630</v>
      </c>
      <c r="F4921" s="48">
        <v>40617</v>
      </c>
      <c r="G4921" s="48">
        <v>40617</v>
      </c>
      <c r="H4921" s="46" t="s">
        <v>40</v>
      </c>
      <c r="I4921" s="45">
        <v>875</v>
      </c>
      <c r="J4921" s="45">
        <v>200</v>
      </c>
      <c r="K4921" s="49" t="s">
        <v>5018</v>
      </c>
      <c r="L4921" s="45"/>
      <c r="M4921" s="3"/>
    </row>
    <row r="4922" spans="1:13" ht="25.5" x14ac:dyDescent="0.25">
      <c r="A4922" s="46" t="s">
        <v>5631</v>
      </c>
      <c r="B4922" s="46" t="s">
        <v>38</v>
      </c>
      <c r="C4922" s="46" t="s">
        <v>14</v>
      </c>
      <c r="D4922" s="47">
        <v>9329</v>
      </c>
      <c r="E4922" s="46" t="s">
        <v>5632</v>
      </c>
      <c r="F4922" s="48">
        <v>40617</v>
      </c>
      <c r="G4922" s="48">
        <v>40617</v>
      </c>
      <c r="H4922" s="46" t="s">
        <v>40</v>
      </c>
      <c r="I4922" s="45">
        <v>870</v>
      </c>
      <c r="J4922" s="45">
        <v>445</v>
      </c>
      <c r="K4922" s="49" t="s">
        <v>5018</v>
      </c>
      <c r="L4922" s="45"/>
      <c r="M4922" s="3"/>
    </row>
    <row r="4923" spans="1:13" ht="25.5" x14ac:dyDescent="0.25">
      <c r="A4923" s="46" t="s">
        <v>5633</v>
      </c>
      <c r="B4923" s="46" t="s">
        <v>38</v>
      </c>
      <c r="C4923" s="46" t="s">
        <v>14</v>
      </c>
      <c r="D4923" s="47">
        <v>9330</v>
      </c>
      <c r="E4923" s="46" t="s">
        <v>5634</v>
      </c>
      <c r="F4923" s="48">
        <v>40610</v>
      </c>
      <c r="G4923" s="48">
        <v>40648</v>
      </c>
      <c r="H4923" s="46" t="s">
        <v>40</v>
      </c>
      <c r="I4923" s="45">
        <v>2821.6</v>
      </c>
      <c r="J4923" s="45">
        <v>1621.6</v>
      </c>
      <c r="K4923" s="49" t="s">
        <v>5018</v>
      </c>
      <c r="L4923" s="45"/>
      <c r="M4923" s="3"/>
    </row>
    <row r="4924" spans="1:13" ht="25.5" x14ac:dyDescent="0.25">
      <c r="A4924" s="46" t="s">
        <v>5635</v>
      </c>
      <c r="B4924" s="46" t="s">
        <v>38</v>
      </c>
      <c r="C4924" s="46" t="s">
        <v>14</v>
      </c>
      <c r="D4924" s="47">
        <v>9331</v>
      </c>
      <c r="E4924" s="46" t="s">
        <v>5636</v>
      </c>
      <c r="F4924" s="48">
        <v>40626</v>
      </c>
      <c r="G4924" s="48">
        <v>40657</v>
      </c>
      <c r="H4924" s="46" t="s">
        <v>40</v>
      </c>
      <c r="I4924" s="45">
        <v>1697.6</v>
      </c>
      <c r="J4924" s="45">
        <v>1297.5999999999999</v>
      </c>
      <c r="K4924" s="49" t="s">
        <v>5018</v>
      </c>
      <c r="L4924" s="45"/>
      <c r="M4924" s="3"/>
    </row>
    <row r="4925" spans="1:13" ht="25.5" x14ac:dyDescent="0.25">
      <c r="A4925" s="46" t="s">
        <v>5637</v>
      </c>
      <c r="B4925" s="46" t="s">
        <v>38</v>
      </c>
      <c r="C4925" s="46" t="s">
        <v>14</v>
      </c>
      <c r="D4925" s="47">
        <v>9332</v>
      </c>
      <c r="E4925" s="46" t="s">
        <v>5180</v>
      </c>
      <c r="F4925" s="48">
        <v>40577</v>
      </c>
      <c r="G4925" s="48">
        <v>40626</v>
      </c>
      <c r="H4925" s="46" t="s">
        <v>40</v>
      </c>
      <c r="I4925" s="45">
        <v>1974.4</v>
      </c>
      <c r="J4925" s="45">
        <v>1274.4000000000001</v>
      </c>
      <c r="K4925" s="49" t="s">
        <v>5018</v>
      </c>
      <c r="L4925" s="45"/>
      <c r="M4925" s="3"/>
    </row>
    <row r="4926" spans="1:13" ht="25.5" x14ac:dyDescent="0.25">
      <c r="A4926" s="46" t="s">
        <v>5638</v>
      </c>
      <c r="B4926" s="46" t="s">
        <v>38</v>
      </c>
      <c r="C4926" s="46" t="s">
        <v>14</v>
      </c>
      <c r="D4926" s="47">
        <v>9333</v>
      </c>
      <c r="E4926" s="46" t="s">
        <v>5639</v>
      </c>
      <c r="F4926" s="48">
        <v>40612</v>
      </c>
      <c r="G4926" s="48">
        <v>40612</v>
      </c>
      <c r="H4926" s="46" t="s">
        <v>40</v>
      </c>
      <c r="I4926" s="45">
        <v>385</v>
      </c>
      <c r="J4926" s="45">
        <v>260</v>
      </c>
      <c r="K4926" s="49" t="s">
        <v>5018</v>
      </c>
      <c r="L4926" s="45"/>
      <c r="M4926" s="3"/>
    </row>
    <row r="4927" spans="1:13" ht="25.5" x14ac:dyDescent="0.25">
      <c r="A4927" s="46" t="s">
        <v>5640</v>
      </c>
      <c r="B4927" s="46" t="s">
        <v>38</v>
      </c>
      <c r="C4927" s="46" t="s">
        <v>14</v>
      </c>
      <c r="D4927" s="47">
        <v>9334</v>
      </c>
      <c r="E4927" s="46" t="s">
        <v>5641</v>
      </c>
      <c r="F4927" s="48">
        <v>40618</v>
      </c>
      <c r="G4927" s="48">
        <v>40618</v>
      </c>
      <c r="H4927" s="46" t="s">
        <v>40</v>
      </c>
      <c r="I4927" s="45">
        <v>375</v>
      </c>
      <c r="J4927" s="45">
        <v>300</v>
      </c>
      <c r="K4927" s="49" t="s">
        <v>5018</v>
      </c>
      <c r="L4927" s="45"/>
      <c r="M4927" s="3"/>
    </row>
    <row r="4928" spans="1:13" ht="25.5" x14ac:dyDescent="0.25">
      <c r="A4928" s="46" t="s">
        <v>5642</v>
      </c>
      <c r="B4928" s="46" t="s">
        <v>38</v>
      </c>
      <c r="C4928" s="46" t="s">
        <v>14</v>
      </c>
      <c r="D4928" s="47">
        <v>9335</v>
      </c>
      <c r="E4928" s="46" t="s">
        <v>5643</v>
      </c>
      <c r="F4928" s="48">
        <v>40617</v>
      </c>
      <c r="G4928" s="48">
        <v>40617</v>
      </c>
      <c r="H4928" s="46" t="s">
        <v>40</v>
      </c>
      <c r="I4928" s="45">
        <v>390</v>
      </c>
      <c r="J4928" s="45">
        <v>240</v>
      </c>
      <c r="K4928" s="49" t="s">
        <v>5018</v>
      </c>
      <c r="L4928" s="45"/>
      <c r="M4928" s="3"/>
    </row>
    <row r="4929" spans="1:13" ht="25.5" x14ac:dyDescent="0.25">
      <c r="A4929" s="46" t="s">
        <v>5644</v>
      </c>
      <c r="B4929" s="46" t="s">
        <v>38</v>
      </c>
      <c r="C4929" s="46" t="s">
        <v>14</v>
      </c>
      <c r="D4929" s="47">
        <v>9336</v>
      </c>
      <c r="E4929" s="46" t="s">
        <v>5645</v>
      </c>
      <c r="F4929" s="48">
        <v>40613</v>
      </c>
      <c r="G4929" s="48">
        <v>40613</v>
      </c>
      <c r="H4929" s="46" t="s">
        <v>40</v>
      </c>
      <c r="I4929" s="45">
        <v>385</v>
      </c>
      <c r="J4929" s="45">
        <v>285</v>
      </c>
      <c r="K4929" s="49" t="s">
        <v>5018</v>
      </c>
      <c r="L4929" s="45"/>
      <c r="M4929" s="3"/>
    </row>
    <row r="4930" spans="1:13" ht="25.5" x14ac:dyDescent="0.25">
      <c r="A4930" s="46" t="s">
        <v>5646</v>
      </c>
      <c r="B4930" s="46" t="s">
        <v>38</v>
      </c>
      <c r="C4930" s="46" t="s">
        <v>14</v>
      </c>
      <c r="D4930" s="47">
        <v>9337</v>
      </c>
      <c r="E4930" s="46" t="s">
        <v>5634</v>
      </c>
      <c r="F4930" s="48">
        <v>40813</v>
      </c>
      <c r="G4930" s="48">
        <v>40843</v>
      </c>
      <c r="H4930" s="46" t="s">
        <v>40</v>
      </c>
      <c r="I4930" s="45">
        <v>2726.4</v>
      </c>
      <c r="J4930" s="45">
        <v>2126.4</v>
      </c>
      <c r="K4930" s="49" t="s">
        <v>5018</v>
      </c>
      <c r="L4930" s="45"/>
      <c r="M4930" s="3"/>
    </row>
    <row r="4931" spans="1:13" ht="25.5" x14ac:dyDescent="0.25">
      <c r="A4931" s="46" t="s">
        <v>5647</v>
      </c>
      <c r="B4931" s="46" t="s">
        <v>38</v>
      </c>
      <c r="C4931" s="46" t="s">
        <v>14</v>
      </c>
      <c r="D4931" s="47">
        <v>9338</v>
      </c>
      <c r="E4931" s="46" t="s">
        <v>5648</v>
      </c>
      <c r="F4931" s="48">
        <v>40842</v>
      </c>
      <c r="G4931" s="48">
        <v>40842</v>
      </c>
      <c r="H4931" s="46" t="s">
        <v>40</v>
      </c>
      <c r="I4931" s="45">
        <v>350</v>
      </c>
      <c r="J4931" s="45">
        <v>230</v>
      </c>
      <c r="K4931" s="49" t="s">
        <v>5018</v>
      </c>
      <c r="L4931" s="45"/>
      <c r="M4931" s="3"/>
    </row>
    <row r="4932" spans="1:13" ht="25.5" x14ac:dyDescent="0.25">
      <c r="A4932" s="46" t="s">
        <v>5649</v>
      </c>
      <c r="B4932" s="46" t="s">
        <v>38</v>
      </c>
      <c r="C4932" s="46" t="s">
        <v>14</v>
      </c>
      <c r="D4932" s="47">
        <v>9339</v>
      </c>
      <c r="E4932" s="46" t="s">
        <v>5636</v>
      </c>
      <c r="F4932" s="48">
        <v>40856</v>
      </c>
      <c r="G4932" s="48">
        <v>40873</v>
      </c>
      <c r="H4932" s="46" t="s">
        <v>40</v>
      </c>
      <c r="I4932" s="45">
        <v>1794.4</v>
      </c>
      <c r="J4932" s="45">
        <v>894.4</v>
      </c>
      <c r="K4932" s="49" t="s">
        <v>5018</v>
      </c>
      <c r="L4932" s="45"/>
      <c r="M4932" s="3"/>
    </row>
    <row r="4933" spans="1:13" ht="25.5" x14ac:dyDescent="0.25">
      <c r="A4933" s="46" t="s">
        <v>5650</v>
      </c>
      <c r="B4933" s="46" t="s">
        <v>38</v>
      </c>
      <c r="C4933" s="46" t="s">
        <v>14</v>
      </c>
      <c r="D4933" s="47">
        <v>9340</v>
      </c>
      <c r="E4933" s="46" t="s">
        <v>5651</v>
      </c>
      <c r="F4933" s="48">
        <v>40823</v>
      </c>
      <c r="G4933" s="48">
        <v>40823</v>
      </c>
      <c r="H4933" s="46" t="s">
        <v>40</v>
      </c>
      <c r="I4933" s="45">
        <v>755</v>
      </c>
      <c r="J4933" s="45">
        <v>455</v>
      </c>
      <c r="K4933" s="49" t="s">
        <v>5018</v>
      </c>
      <c r="L4933" s="45"/>
      <c r="M4933" s="3"/>
    </row>
    <row r="4934" spans="1:13" ht="25.5" x14ac:dyDescent="0.25">
      <c r="A4934" s="46" t="s">
        <v>5652</v>
      </c>
      <c r="B4934" s="46" t="s">
        <v>38</v>
      </c>
      <c r="C4934" s="46" t="s">
        <v>14</v>
      </c>
      <c r="D4934" s="47">
        <v>9341</v>
      </c>
      <c r="E4934" s="46" t="s">
        <v>5653</v>
      </c>
      <c r="F4934" s="48">
        <v>40833</v>
      </c>
      <c r="G4934" s="48">
        <v>40840</v>
      </c>
      <c r="H4934" s="46" t="s">
        <v>40</v>
      </c>
      <c r="I4934" s="45">
        <v>1227</v>
      </c>
      <c r="J4934" s="45">
        <v>777</v>
      </c>
      <c r="K4934" s="49" t="s">
        <v>5018</v>
      </c>
      <c r="L4934" s="45"/>
      <c r="M4934" s="3"/>
    </row>
    <row r="4935" spans="1:13" ht="25.5" x14ac:dyDescent="0.25">
      <c r="A4935" s="46" t="s">
        <v>5654</v>
      </c>
      <c r="B4935" s="46" t="s">
        <v>38</v>
      </c>
      <c r="C4935" s="46" t="s">
        <v>14</v>
      </c>
      <c r="D4935" s="47">
        <v>9342</v>
      </c>
      <c r="E4935" s="46" t="s">
        <v>5655</v>
      </c>
      <c r="F4935" s="48">
        <v>40632</v>
      </c>
      <c r="G4935" s="48">
        <v>40663</v>
      </c>
      <c r="H4935" s="46" t="s">
        <v>40</v>
      </c>
      <c r="I4935" s="45">
        <v>1732.5</v>
      </c>
      <c r="J4935" s="45">
        <v>457.5</v>
      </c>
      <c r="K4935" s="49" t="s">
        <v>5018</v>
      </c>
      <c r="L4935" s="45"/>
      <c r="M4935" s="3"/>
    </row>
    <row r="4936" spans="1:13" ht="25.5" x14ac:dyDescent="0.25">
      <c r="A4936" s="46" t="s">
        <v>5656</v>
      </c>
      <c r="B4936" s="46" t="s">
        <v>38</v>
      </c>
      <c r="C4936" s="46" t="s">
        <v>14</v>
      </c>
      <c r="D4936" s="47">
        <v>9343</v>
      </c>
      <c r="E4936" s="46" t="s">
        <v>5657</v>
      </c>
      <c r="F4936" s="48">
        <v>40672</v>
      </c>
      <c r="G4936" s="48">
        <v>40703</v>
      </c>
      <c r="H4936" s="46" t="s">
        <v>40</v>
      </c>
      <c r="I4936" s="45">
        <v>2389.6</v>
      </c>
      <c r="J4936" s="45">
        <v>1894.6</v>
      </c>
      <c r="K4936" s="49" t="s">
        <v>5018</v>
      </c>
      <c r="L4936" s="45"/>
      <c r="M4936" s="3"/>
    </row>
    <row r="4937" spans="1:13" ht="25.5" x14ac:dyDescent="0.25">
      <c r="A4937" s="46" t="s">
        <v>5658</v>
      </c>
      <c r="B4937" s="46" t="s">
        <v>38</v>
      </c>
      <c r="C4937" s="46" t="s">
        <v>14</v>
      </c>
      <c r="D4937" s="47">
        <v>9344</v>
      </c>
      <c r="E4937" s="46" t="s">
        <v>5659</v>
      </c>
      <c r="F4937" s="48">
        <v>40660</v>
      </c>
      <c r="G4937" s="48">
        <v>40660</v>
      </c>
      <c r="H4937" s="46" t="s">
        <v>40</v>
      </c>
      <c r="I4937" s="45">
        <v>512.5</v>
      </c>
      <c r="J4937" s="45">
        <v>337.5</v>
      </c>
      <c r="K4937" s="49" t="s">
        <v>5018</v>
      </c>
      <c r="L4937" s="45"/>
      <c r="M4937" s="3"/>
    </row>
    <row r="4938" spans="1:13" ht="25.5" x14ac:dyDescent="0.25">
      <c r="A4938" s="46" t="s">
        <v>5660</v>
      </c>
      <c r="B4938" s="46" t="s">
        <v>38</v>
      </c>
      <c r="C4938" s="46" t="s">
        <v>14</v>
      </c>
      <c r="D4938" s="47">
        <v>9345</v>
      </c>
      <c r="E4938" s="46" t="s">
        <v>5661</v>
      </c>
      <c r="F4938" s="48">
        <v>40854</v>
      </c>
      <c r="G4938" s="48">
        <v>40884</v>
      </c>
      <c r="H4938" s="46" t="s">
        <v>40</v>
      </c>
      <c r="I4938" s="45">
        <v>1785</v>
      </c>
      <c r="J4938" s="45">
        <v>885</v>
      </c>
      <c r="K4938" s="49" t="s">
        <v>5018</v>
      </c>
      <c r="L4938" s="45"/>
      <c r="M4938" s="3"/>
    </row>
    <row r="4939" spans="1:13" ht="25.5" x14ac:dyDescent="0.25">
      <c r="A4939" s="46" t="s">
        <v>5662</v>
      </c>
      <c r="B4939" s="46" t="s">
        <v>38</v>
      </c>
      <c r="C4939" s="46" t="s">
        <v>14</v>
      </c>
      <c r="D4939" s="47">
        <v>9347</v>
      </c>
      <c r="E4939" s="46" t="s">
        <v>5663</v>
      </c>
      <c r="F4939" s="48">
        <v>40875</v>
      </c>
      <c r="G4939" s="48">
        <v>40875</v>
      </c>
      <c r="H4939" s="46" t="s">
        <v>40</v>
      </c>
      <c r="I4939" s="45">
        <v>522.5</v>
      </c>
      <c r="J4939" s="45">
        <v>297.5</v>
      </c>
      <c r="K4939" s="49" t="s">
        <v>5018</v>
      </c>
      <c r="L4939" s="45"/>
      <c r="M4939" s="3"/>
    </row>
    <row r="4940" spans="1:13" ht="25.5" x14ac:dyDescent="0.25">
      <c r="A4940" s="46" t="s">
        <v>5664</v>
      </c>
      <c r="B4940" s="46" t="s">
        <v>38</v>
      </c>
      <c r="C4940" s="46" t="s">
        <v>14</v>
      </c>
      <c r="D4940" s="47">
        <v>9349</v>
      </c>
      <c r="E4940" s="46" t="s">
        <v>5665</v>
      </c>
      <c r="F4940" s="48">
        <v>40695</v>
      </c>
      <c r="G4940" s="48">
        <v>40908</v>
      </c>
      <c r="H4940" s="46" t="s">
        <v>40</v>
      </c>
      <c r="I4940" s="45">
        <v>1208.5999999999999</v>
      </c>
      <c r="J4940" s="45">
        <v>1208.5999999999999</v>
      </c>
      <c r="K4940" s="49" t="s">
        <v>5018</v>
      </c>
      <c r="L4940" s="45"/>
      <c r="M4940" s="3"/>
    </row>
    <row r="4941" spans="1:13" ht="25.5" x14ac:dyDescent="0.25">
      <c r="A4941" s="46" t="s">
        <v>5666</v>
      </c>
      <c r="B4941" s="46" t="s">
        <v>38</v>
      </c>
      <c r="C4941" s="46" t="s">
        <v>14</v>
      </c>
      <c r="D4941" s="47">
        <v>9356</v>
      </c>
      <c r="E4941" s="46" t="s">
        <v>5256</v>
      </c>
      <c r="F4941" s="48">
        <v>40683</v>
      </c>
      <c r="G4941" s="48">
        <v>40690</v>
      </c>
      <c r="H4941" s="46" t="s">
        <v>40</v>
      </c>
      <c r="I4941" s="45">
        <v>881</v>
      </c>
      <c r="J4941" s="45">
        <v>281</v>
      </c>
      <c r="K4941" s="49" t="s">
        <v>5018</v>
      </c>
      <c r="L4941" s="45"/>
      <c r="M4941" s="3"/>
    </row>
    <row r="4942" spans="1:13" ht="25.5" x14ac:dyDescent="0.25">
      <c r="A4942" s="46" t="s">
        <v>5667</v>
      </c>
      <c r="B4942" s="46" t="s">
        <v>38</v>
      </c>
      <c r="C4942" s="46" t="s">
        <v>14</v>
      </c>
      <c r="D4942" s="47">
        <v>9357</v>
      </c>
      <c r="E4942" s="46" t="s">
        <v>5540</v>
      </c>
      <c r="F4942" s="48">
        <v>40679</v>
      </c>
      <c r="G4942" s="48">
        <v>40679</v>
      </c>
      <c r="H4942" s="46" t="s">
        <v>40</v>
      </c>
      <c r="I4942" s="45">
        <v>1427</v>
      </c>
      <c r="J4942" s="45">
        <v>877</v>
      </c>
      <c r="K4942" s="49" t="s">
        <v>5018</v>
      </c>
      <c r="L4942" s="45"/>
      <c r="M4942" s="3"/>
    </row>
    <row r="4943" spans="1:13" ht="25.5" x14ac:dyDescent="0.25">
      <c r="A4943" s="46" t="s">
        <v>5668</v>
      </c>
      <c r="B4943" s="46" t="s">
        <v>38</v>
      </c>
      <c r="C4943" s="46" t="s">
        <v>14</v>
      </c>
      <c r="D4943" s="47">
        <v>9358</v>
      </c>
      <c r="E4943" s="46" t="s">
        <v>5669</v>
      </c>
      <c r="F4943" s="48">
        <v>40837</v>
      </c>
      <c r="G4943" s="48">
        <v>40837</v>
      </c>
      <c r="H4943" s="46" t="s">
        <v>40</v>
      </c>
      <c r="I4943" s="45">
        <v>949</v>
      </c>
      <c r="J4943" s="45">
        <v>399</v>
      </c>
      <c r="K4943" s="49" t="s">
        <v>5018</v>
      </c>
      <c r="L4943" s="45"/>
      <c r="M4943" s="3"/>
    </row>
    <row r="4944" spans="1:13" ht="25.5" x14ac:dyDescent="0.25">
      <c r="A4944" s="46" t="s">
        <v>5670</v>
      </c>
      <c r="B4944" s="46" t="s">
        <v>38</v>
      </c>
      <c r="C4944" s="46" t="s">
        <v>14</v>
      </c>
      <c r="D4944" s="47">
        <v>9359</v>
      </c>
      <c r="E4944" s="46" t="s">
        <v>5540</v>
      </c>
      <c r="F4944" s="48">
        <v>40868</v>
      </c>
      <c r="G4944" s="48">
        <v>40868</v>
      </c>
      <c r="H4944" s="46" t="s">
        <v>40</v>
      </c>
      <c r="I4944" s="45">
        <v>600</v>
      </c>
      <c r="J4944" s="45">
        <v>250</v>
      </c>
      <c r="K4944" s="49" t="s">
        <v>5018</v>
      </c>
      <c r="L4944" s="45"/>
      <c r="M4944" s="3"/>
    </row>
    <row r="4945" spans="1:13" ht="25.5" x14ac:dyDescent="0.25">
      <c r="A4945" s="46" t="s">
        <v>5671</v>
      </c>
      <c r="B4945" s="46" t="s">
        <v>38</v>
      </c>
      <c r="C4945" s="46" t="s">
        <v>14</v>
      </c>
      <c r="D4945" s="47">
        <v>9361</v>
      </c>
      <c r="E4945" s="46" t="s">
        <v>5672</v>
      </c>
      <c r="F4945" s="48">
        <v>40544</v>
      </c>
      <c r="G4945" s="48">
        <v>40908</v>
      </c>
      <c r="H4945" s="46" t="s">
        <v>40</v>
      </c>
      <c r="I4945" s="45">
        <v>45930.98</v>
      </c>
      <c r="J4945" s="45">
        <v>45930.98</v>
      </c>
      <c r="K4945" s="49" t="s">
        <v>5018</v>
      </c>
      <c r="L4945" s="45"/>
      <c r="M4945" s="3"/>
    </row>
    <row r="4946" spans="1:13" ht="25.5" x14ac:dyDescent="0.25">
      <c r="A4946" s="46" t="s">
        <v>5698</v>
      </c>
      <c r="B4946" s="46" t="s">
        <v>38</v>
      </c>
      <c r="C4946" s="46" t="s">
        <v>14</v>
      </c>
      <c r="D4946" s="47">
        <v>10695</v>
      </c>
      <c r="E4946" s="46" t="s">
        <v>5698</v>
      </c>
      <c r="F4946" s="48">
        <v>40909</v>
      </c>
      <c r="G4946" s="48">
        <v>41274</v>
      </c>
      <c r="H4946" s="46" t="s">
        <v>40</v>
      </c>
      <c r="I4946" s="45">
        <v>60420.4</v>
      </c>
      <c r="J4946" s="45">
        <v>60420.4</v>
      </c>
      <c r="K4946" s="49" t="s">
        <v>5018</v>
      </c>
      <c r="L4946" s="45"/>
      <c r="M4946" s="3"/>
    </row>
    <row r="4947" spans="1:13" ht="25.5" x14ac:dyDescent="0.25">
      <c r="A4947" s="46" t="s">
        <v>5699</v>
      </c>
      <c r="B4947" s="46" t="s">
        <v>38</v>
      </c>
      <c r="C4947" s="46" t="s">
        <v>14</v>
      </c>
      <c r="D4947" s="47">
        <v>10696</v>
      </c>
      <c r="E4947" s="46" t="s">
        <v>5700</v>
      </c>
      <c r="F4947" s="48">
        <v>40909</v>
      </c>
      <c r="G4947" s="48">
        <v>41274</v>
      </c>
      <c r="H4947" s="46" t="s">
        <v>40</v>
      </c>
      <c r="I4947" s="45">
        <v>5000</v>
      </c>
      <c r="J4947" s="45">
        <v>5000</v>
      </c>
      <c r="K4947" s="49" t="s">
        <v>5018</v>
      </c>
      <c r="L4947" s="45"/>
      <c r="M4947" s="3"/>
    </row>
    <row r="4948" spans="1:13" ht="25.5" x14ac:dyDescent="0.25">
      <c r="A4948" s="46" t="s">
        <v>5701</v>
      </c>
      <c r="B4948" s="46" t="s">
        <v>38</v>
      </c>
      <c r="C4948" s="46" t="s">
        <v>14</v>
      </c>
      <c r="D4948" s="47">
        <v>10697</v>
      </c>
      <c r="E4948" s="46" t="s">
        <v>5701</v>
      </c>
      <c r="F4948" s="48">
        <v>40909</v>
      </c>
      <c r="G4948" s="48">
        <v>41274</v>
      </c>
      <c r="H4948" s="46" t="s">
        <v>40</v>
      </c>
      <c r="I4948" s="45">
        <v>283.19</v>
      </c>
      <c r="J4948" s="45">
        <v>283.19</v>
      </c>
      <c r="K4948" s="49" t="s">
        <v>5018</v>
      </c>
      <c r="L4948" s="45"/>
      <c r="M4948" s="3"/>
    </row>
    <row r="4949" spans="1:13" ht="25.5" x14ac:dyDescent="0.25">
      <c r="A4949" s="46" t="s">
        <v>5702</v>
      </c>
      <c r="B4949" s="46" t="s">
        <v>38</v>
      </c>
      <c r="C4949" s="46" t="s">
        <v>14</v>
      </c>
      <c r="D4949" s="47">
        <v>10699</v>
      </c>
      <c r="E4949" s="46" t="s">
        <v>5703</v>
      </c>
      <c r="F4949" s="48">
        <v>40909</v>
      </c>
      <c r="G4949" s="48">
        <v>41274</v>
      </c>
      <c r="H4949" s="46" t="s">
        <v>40</v>
      </c>
      <c r="I4949" s="45">
        <v>5000</v>
      </c>
      <c r="J4949" s="45">
        <v>5000</v>
      </c>
      <c r="K4949" s="49" t="s">
        <v>5018</v>
      </c>
      <c r="L4949" s="45"/>
      <c r="M4949" s="3"/>
    </row>
    <row r="4950" spans="1:13" ht="25.5" x14ac:dyDescent="0.25">
      <c r="A4950" s="46" t="s">
        <v>5704</v>
      </c>
      <c r="B4950" s="46" t="s">
        <v>38</v>
      </c>
      <c r="C4950" s="46" t="s">
        <v>14</v>
      </c>
      <c r="D4950" s="47">
        <v>10705</v>
      </c>
      <c r="E4950" s="46" t="s">
        <v>5705</v>
      </c>
      <c r="F4950" s="48">
        <v>40909</v>
      </c>
      <c r="G4950" s="48">
        <v>41273</v>
      </c>
      <c r="H4950" s="46" t="s">
        <v>40</v>
      </c>
      <c r="I4950" s="45">
        <v>600</v>
      </c>
      <c r="J4950" s="45">
        <v>600</v>
      </c>
      <c r="K4950" s="49" t="s">
        <v>5018</v>
      </c>
      <c r="L4950" s="45"/>
      <c r="M4950" s="3"/>
    </row>
    <row r="4951" spans="1:13" ht="25.5" x14ac:dyDescent="0.25">
      <c r="A4951" s="46" t="s">
        <v>5706</v>
      </c>
      <c r="B4951" s="46" t="s">
        <v>38</v>
      </c>
      <c r="C4951" s="46" t="s">
        <v>14</v>
      </c>
      <c r="D4951" s="47">
        <v>10706</v>
      </c>
      <c r="E4951" s="46" t="s">
        <v>5707</v>
      </c>
      <c r="F4951" s="48">
        <v>40909</v>
      </c>
      <c r="G4951" s="48">
        <v>41274</v>
      </c>
      <c r="H4951" s="46" t="s">
        <v>40</v>
      </c>
      <c r="I4951" s="45">
        <v>300</v>
      </c>
      <c r="J4951" s="45">
        <v>300</v>
      </c>
      <c r="K4951" s="49" t="s">
        <v>5018</v>
      </c>
      <c r="L4951" s="45"/>
      <c r="M4951" s="3"/>
    </row>
    <row r="4952" spans="1:13" ht="25.5" x14ac:dyDescent="0.25">
      <c r="A4952" s="46" t="s">
        <v>5708</v>
      </c>
      <c r="B4952" s="46" t="s">
        <v>38</v>
      </c>
      <c r="C4952" s="46" t="s">
        <v>14</v>
      </c>
      <c r="D4952" s="47">
        <v>10710</v>
      </c>
      <c r="E4952" s="46" t="s">
        <v>5240</v>
      </c>
      <c r="F4952" s="48">
        <v>40909</v>
      </c>
      <c r="G4952" s="48">
        <v>41274</v>
      </c>
      <c r="H4952" s="46" t="s">
        <v>40</v>
      </c>
      <c r="I4952" s="45">
        <v>2469.75</v>
      </c>
      <c r="J4952" s="45">
        <v>1644.75</v>
      </c>
      <c r="K4952" s="49" t="s">
        <v>5018</v>
      </c>
      <c r="L4952" s="45"/>
      <c r="M4952" s="3"/>
    </row>
    <row r="4953" spans="1:13" ht="25.5" x14ac:dyDescent="0.25">
      <c r="A4953" s="46" t="s">
        <v>5709</v>
      </c>
      <c r="B4953" s="46" t="s">
        <v>38</v>
      </c>
      <c r="C4953" s="46" t="s">
        <v>14</v>
      </c>
      <c r="D4953" s="47">
        <v>10711</v>
      </c>
      <c r="E4953" s="46" t="s">
        <v>5240</v>
      </c>
      <c r="F4953" s="48">
        <v>40909</v>
      </c>
      <c r="G4953" s="48">
        <v>41274</v>
      </c>
      <c r="H4953" s="46" t="s">
        <v>40</v>
      </c>
      <c r="I4953" s="45">
        <v>3237</v>
      </c>
      <c r="J4953" s="45">
        <v>2412</v>
      </c>
      <c r="K4953" s="49" t="s">
        <v>5018</v>
      </c>
      <c r="L4953" s="45"/>
      <c r="M4953" s="3"/>
    </row>
    <row r="4954" spans="1:13" ht="25.5" x14ac:dyDescent="0.25">
      <c r="A4954" s="46" t="s">
        <v>5710</v>
      </c>
      <c r="B4954" s="46" t="s">
        <v>38</v>
      </c>
      <c r="C4954" s="46" t="s">
        <v>14</v>
      </c>
      <c r="D4954" s="47">
        <v>10714</v>
      </c>
      <c r="E4954" s="46" t="s">
        <v>5240</v>
      </c>
      <c r="F4954" s="48">
        <v>40909</v>
      </c>
      <c r="G4954" s="48">
        <v>41274</v>
      </c>
      <c r="H4954" s="46" t="s">
        <v>40</v>
      </c>
      <c r="I4954" s="45">
        <v>2071.25</v>
      </c>
      <c r="J4954" s="45">
        <v>421.25</v>
      </c>
      <c r="K4954" s="49" t="s">
        <v>5018</v>
      </c>
      <c r="L4954" s="45"/>
      <c r="M4954" s="3"/>
    </row>
    <row r="4955" spans="1:13" ht="25.5" x14ac:dyDescent="0.25">
      <c r="A4955" s="46" t="s">
        <v>5711</v>
      </c>
      <c r="B4955" s="46" t="s">
        <v>38</v>
      </c>
      <c r="C4955" s="46" t="s">
        <v>14</v>
      </c>
      <c r="D4955" s="47">
        <v>10781</v>
      </c>
      <c r="E4955" s="46" t="s">
        <v>5712</v>
      </c>
      <c r="F4955" s="48">
        <v>40909</v>
      </c>
      <c r="G4955" s="48">
        <v>41274</v>
      </c>
      <c r="H4955" s="46" t="s">
        <v>40</v>
      </c>
      <c r="I4955" s="45">
        <v>480</v>
      </c>
      <c r="J4955" s="45">
        <v>255</v>
      </c>
      <c r="K4955" s="49" t="s">
        <v>5018</v>
      </c>
      <c r="L4955" s="45"/>
      <c r="M4955" s="3"/>
    </row>
    <row r="4956" spans="1:13" ht="25.5" x14ac:dyDescent="0.25">
      <c r="A4956" s="46" t="s">
        <v>5713</v>
      </c>
      <c r="B4956" s="46" t="s">
        <v>38</v>
      </c>
      <c r="C4956" s="46" t="s">
        <v>14</v>
      </c>
      <c r="D4956" s="47">
        <v>10782</v>
      </c>
      <c r="E4956" s="46" t="s">
        <v>5240</v>
      </c>
      <c r="F4956" s="48">
        <v>40909</v>
      </c>
      <c r="G4956" s="48">
        <v>41274</v>
      </c>
      <c r="H4956" s="46" t="s">
        <v>40</v>
      </c>
      <c r="I4956" s="45">
        <v>3366.5</v>
      </c>
      <c r="J4956" s="45">
        <v>2091.5</v>
      </c>
      <c r="K4956" s="49" t="s">
        <v>5018</v>
      </c>
      <c r="L4956" s="45"/>
      <c r="M4956" s="3"/>
    </row>
    <row r="4957" spans="1:13" ht="25.5" x14ac:dyDescent="0.25">
      <c r="A4957" s="46" t="s">
        <v>5714</v>
      </c>
      <c r="B4957" s="46" t="s">
        <v>38</v>
      </c>
      <c r="C4957" s="46" t="s">
        <v>14</v>
      </c>
      <c r="D4957" s="47">
        <v>10784</v>
      </c>
      <c r="E4957" s="46" t="s">
        <v>5712</v>
      </c>
      <c r="F4957" s="48">
        <v>40909</v>
      </c>
      <c r="G4957" s="48">
        <v>41274</v>
      </c>
      <c r="H4957" s="46" t="s">
        <v>40</v>
      </c>
      <c r="I4957" s="45">
        <v>480</v>
      </c>
      <c r="J4957" s="45">
        <v>255</v>
      </c>
      <c r="K4957" s="49" t="s">
        <v>5018</v>
      </c>
      <c r="L4957" s="45"/>
      <c r="M4957" s="3"/>
    </row>
    <row r="4958" spans="1:13" ht="25.5" x14ac:dyDescent="0.25">
      <c r="A4958" s="46" t="s">
        <v>5715</v>
      </c>
      <c r="B4958" s="46" t="s">
        <v>38</v>
      </c>
      <c r="C4958" s="46" t="s">
        <v>14</v>
      </c>
      <c r="D4958" s="47">
        <v>10786</v>
      </c>
      <c r="E4958" s="46" t="s">
        <v>5240</v>
      </c>
      <c r="F4958" s="48">
        <v>40909</v>
      </c>
      <c r="G4958" s="48">
        <v>41274</v>
      </c>
      <c r="H4958" s="46" t="s">
        <v>40</v>
      </c>
      <c r="I4958" s="45">
        <v>2537.5</v>
      </c>
      <c r="J4958" s="45">
        <v>1337.5</v>
      </c>
      <c r="K4958" s="49" t="s">
        <v>5018</v>
      </c>
      <c r="L4958" s="45"/>
      <c r="M4958" s="3"/>
    </row>
    <row r="4959" spans="1:13" ht="25.5" x14ac:dyDescent="0.25">
      <c r="A4959" s="46" t="s">
        <v>5716</v>
      </c>
      <c r="B4959" s="46" t="s">
        <v>38</v>
      </c>
      <c r="C4959" s="46" t="s">
        <v>14</v>
      </c>
      <c r="D4959" s="47">
        <v>10787</v>
      </c>
      <c r="E4959" s="46" t="s">
        <v>5717</v>
      </c>
      <c r="F4959" s="48">
        <v>40909</v>
      </c>
      <c r="G4959" s="48">
        <v>41274</v>
      </c>
      <c r="H4959" s="46" t="s">
        <v>40</v>
      </c>
      <c r="I4959" s="45">
        <v>5771.86</v>
      </c>
      <c r="J4959" s="45">
        <v>241.71</v>
      </c>
      <c r="K4959" s="49" t="s">
        <v>5018</v>
      </c>
      <c r="L4959" s="45"/>
      <c r="M4959" s="3"/>
    </row>
    <row r="4960" spans="1:13" ht="25.5" x14ac:dyDescent="0.25">
      <c r="A4960" s="46" t="s">
        <v>5718</v>
      </c>
      <c r="B4960" s="46" t="s">
        <v>38</v>
      </c>
      <c r="C4960" s="46" t="s">
        <v>14</v>
      </c>
      <c r="D4960" s="47">
        <v>10788</v>
      </c>
      <c r="E4960" s="46" t="s">
        <v>5719</v>
      </c>
      <c r="F4960" s="48">
        <v>40909</v>
      </c>
      <c r="G4960" s="48">
        <v>41274</v>
      </c>
      <c r="H4960" s="46" t="s">
        <v>40</v>
      </c>
      <c r="I4960" s="45">
        <v>375</v>
      </c>
      <c r="J4960" s="45">
        <v>275</v>
      </c>
      <c r="K4960" s="49" t="s">
        <v>5018</v>
      </c>
      <c r="L4960" s="45"/>
      <c r="M4960" s="3"/>
    </row>
    <row r="4961" spans="1:13" ht="25.5" x14ac:dyDescent="0.25">
      <c r="A4961" s="46" t="s">
        <v>5720</v>
      </c>
      <c r="B4961" s="46" t="s">
        <v>38</v>
      </c>
      <c r="C4961" s="46" t="s">
        <v>14</v>
      </c>
      <c r="D4961" s="47">
        <v>10789</v>
      </c>
      <c r="E4961" s="46" t="s">
        <v>5721</v>
      </c>
      <c r="F4961" s="48">
        <v>40909</v>
      </c>
      <c r="G4961" s="48">
        <v>41274</v>
      </c>
      <c r="H4961" s="46" t="s">
        <v>40</v>
      </c>
      <c r="I4961" s="45">
        <v>400</v>
      </c>
      <c r="J4961" s="45">
        <v>125</v>
      </c>
      <c r="K4961" s="49" t="s">
        <v>5018</v>
      </c>
      <c r="L4961" s="45"/>
      <c r="M4961" s="3"/>
    </row>
    <row r="4962" spans="1:13" ht="25.5" x14ac:dyDescent="0.25">
      <c r="A4962" s="46" t="s">
        <v>5722</v>
      </c>
      <c r="B4962" s="46" t="s">
        <v>38</v>
      </c>
      <c r="C4962" s="46" t="s">
        <v>14</v>
      </c>
      <c r="D4962" s="47">
        <v>10790</v>
      </c>
      <c r="E4962" s="46" t="s">
        <v>5723</v>
      </c>
      <c r="F4962" s="48">
        <v>40909</v>
      </c>
      <c r="G4962" s="48">
        <v>41274</v>
      </c>
      <c r="H4962" s="46" t="s">
        <v>40</v>
      </c>
      <c r="I4962" s="45">
        <v>759.6</v>
      </c>
      <c r="J4962" s="45">
        <v>459.6</v>
      </c>
      <c r="K4962" s="49" t="s">
        <v>5018</v>
      </c>
      <c r="L4962" s="45"/>
      <c r="M4962" s="3"/>
    </row>
    <row r="4963" spans="1:13" ht="25.5" x14ac:dyDescent="0.25">
      <c r="A4963" s="46" t="s">
        <v>5724</v>
      </c>
      <c r="B4963" s="46" t="s">
        <v>38</v>
      </c>
      <c r="C4963" s="46" t="s">
        <v>14</v>
      </c>
      <c r="D4963" s="47">
        <v>10792</v>
      </c>
      <c r="E4963" s="46" t="s">
        <v>5725</v>
      </c>
      <c r="F4963" s="48">
        <v>40909</v>
      </c>
      <c r="G4963" s="48">
        <v>41274</v>
      </c>
      <c r="H4963" s="46" t="s">
        <v>40</v>
      </c>
      <c r="I4963" s="45">
        <v>782.2</v>
      </c>
      <c r="J4963" s="45">
        <v>532.20000000000005</v>
      </c>
      <c r="K4963" s="49" t="s">
        <v>5018</v>
      </c>
      <c r="L4963" s="45"/>
      <c r="M4963" s="3"/>
    </row>
    <row r="4964" spans="1:13" ht="25.5" x14ac:dyDescent="0.25">
      <c r="A4964" s="46" t="s">
        <v>5726</v>
      </c>
      <c r="B4964" s="46" t="s">
        <v>38</v>
      </c>
      <c r="C4964" s="46" t="s">
        <v>14</v>
      </c>
      <c r="D4964" s="47">
        <v>10793</v>
      </c>
      <c r="E4964" s="46" t="s">
        <v>5727</v>
      </c>
      <c r="F4964" s="48">
        <v>40909</v>
      </c>
      <c r="G4964" s="48">
        <v>41274</v>
      </c>
      <c r="H4964" s="46" t="s">
        <v>40</v>
      </c>
      <c r="I4964" s="45">
        <v>712.25</v>
      </c>
      <c r="J4964" s="45">
        <v>262.25</v>
      </c>
      <c r="K4964" s="49" t="s">
        <v>5018</v>
      </c>
      <c r="L4964" s="45"/>
      <c r="M4964" s="3"/>
    </row>
    <row r="4965" spans="1:13" ht="25.5" x14ac:dyDescent="0.25">
      <c r="A4965" s="46" t="s">
        <v>5728</v>
      </c>
      <c r="B4965" s="46" t="s">
        <v>38</v>
      </c>
      <c r="C4965" s="46" t="s">
        <v>14</v>
      </c>
      <c r="D4965" s="47">
        <v>10794</v>
      </c>
      <c r="E4965" s="46" t="s">
        <v>5729</v>
      </c>
      <c r="F4965" s="48">
        <v>40909</v>
      </c>
      <c r="G4965" s="48">
        <v>41274</v>
      </c>
      <c r="H4965" s="46" t="s">
        <v>40</v>
      </c>
      <c r="I4965" s="45">
        <v>824.7</v>
      </c>
      <c r="J4965" s="45">
        <v>474.7</v>
      </c>
      <c r="K4965" s="49" t="s">
        <v>5018</v>
      </c>
      <c r="L4965" s="45"/>
      <c r="M4965" s="3"/>
    </row>
    <row r="4966" spans="1:13" ht="25.5" x14ac:dyDescent="0.25">
      <c r="A4966" s="46" t="s">
        <v>5730</v>
      </c>
      <c r="B4966" s="46" t="s">
        <v>38</v>
      </c>
      <c r="C4966" s="46" t="s">
        <v>14</v>
      </c>
      <c r="D4966" s="47">
        <v>10796</v>
      </c>
      <c r="E4966" s="46" t="s">
        <v>5731</v>
      </c>
      <c r="F4966" s="48">
        <v>40909</v>
      </c>
      <c r="G4966" s="48">
        <v>41274</v>
      </c>
      <c r="H4966" s="46" t="s">
        <v>40</v>
      </c>
      <c r="I4966" s="45">
        <v>440</v>
      </c>
      <c r="J4966" s="45">
        <v>315</v>
      </c>
      <c r="K4966" s="49" t="s">
        <v>5018</v>
      </c>
      <c r="L4966" s="45"/>
      <c r="M4966" s="3"/>
    </row>
    <row r="4967" spans="1:13" ht="25.5" x14ac:dyDescent="0.25">
      <c r="A4967" s="46" t="s">
        <v>5732</v>
      </c>
      <c r="B4967" s="46" t="s">
        <v>38</v>
      </c>
      <c r="C4967" s="46" t="s">
        <v>14</v>
      </c>
      <c r="D4967" s="47">
        <v>10797</v>
      </c>
      <c r="E4967" s="46" t="s">
        <v>5733</v>
      </c>
      <c r="F4967" s="48">
        <v>40909</v>
      </c>
      <c r="G4967" s="48">
        <v>41274</v>
      </c>
      <c r="H4967" s="46" t="s">
        <v>40</v>
      </c>
      <c r="I4967" s="45">
        <v>762.25</v>
      </c>
      <c r="J4967" s="45">
        <v>562.25</v>
      </c>
      <c r="K4967" s="49" t="s">
        <v>5018</v>
      </c>
      <c r="L4967" s="45"/>
      <c r="M4967" s="3"/>
    </row>
    <row r="4968" spans="1:13" ht="25.5" x14ac:dyDescent="0.25">
      <c r="A4968" s="46" t="s">
        <v>5734</v>
      </c>
      <c r="B4968" s="46" t="s">
        <v>38</v>
      </c>
      <c r="C4968" s="46" t="s">
        <v>14</v>
      </c>
      <c r="D4968" s="47">
        <v>10799</v>
      </c>
      <c r="E4968" s="46" t="s">
        <v>5735</v>
      </c>
      <c r="F4968" s="48">
        <v>40909</v>
      </c>
      <c r="G4968" s="48">
        <v>41274</v>
      </c>
      <c r="H4968" s="46" t="s">
        <v>40</v>
      </c>
      <c r="I4968" s="45">
        <v>749.7</v>
      </c>
      <c r="J4968" s="45">
        <v>649.70000000000005</v>
      </c>
      <c r="K4968" s="49" t="s">
        <v>5018</v>
      </c>
      <c r="L4968" s="45"/>
      <c r="M4968" s="3"/>
    </row>
    <row r="4969" spans="1:13" ht="25.5" x14ac:dyDescent="0.25">
      <c r="A4969" s="46" t="s">
        <v>5736</v>
      </c>
      <c r="B4969" s="46" t="s">
        <v>38</v>
      </c>
      <c r="C4969" s="46" t="s">
        <v>14</v>
      </c>
      <c r="D4969" s="47">
        <v>10808</v>
      </c>
      <c r="E4969" s="46" t="s">
        <v>5737</v>
      </c>
      <c r="F4969" s="48">
        <v>40909</v>
      </c>
      <c r="G4969" s="48">
        <v>41274</v>
      </c>
      <c r="H4969" s="46" t="s">
        <v>40</v>
      </c>
      <c r="I4969" s="45">
        <v>911.85</v>
      </c>
      <c r="J4969" s="45">
        <v>411.85</v>
      </c>
      <c r="K4969" s="49" t="s">
        <v>5018</v>
      </c>
      <c r="L4969" s="45"/>
      <c r="M4969" s="3"/>
    </row>
    <row r="4970" spans="1:13" ht="25.5" x14ac:dyDescent="0.25">
      <c r="A4970" s="46" t="s">
        <v>5738</v>
      </c>
      <c r="B4970" s="46" t="s">
        <v>38</v>
      </c>
      <c r="C4970" s="46" t="s">
        <v>14</v>
      </c>
      <c r="D4970" s="47">
        <v>10809</v>
      </c>
      <c r="E4970" s="46" t="s">
        <v>5739</v>
      </c>
      <c r="F4970" s="48">
        <v>40909</v>
      </c>
      <c r="G4970" s="48">
        <v>41274</v>
      </c>
      <c r="H4970" s="46" t="s">
        <v>40</v>
      </c>
      <c r="I4970" s="45">
        <v>450</v>
      </c>
      <c r="J4970" s="45">
        <v>375</v>
      </c>
      <c r="K4970" s="49" t="s">
        <v>5018</v>
      </c>
      <c r="L4970" s="45"/>
      <c r="M4970" s="3"/>
    </row>
    <row r="4971" spans="1:13" ht="25.5" x14ac:dyDescent="0.25">
      <c r="A4971" s="46" t="s">
        <v>5740</v>
      </c>
      <c r="B4971" s="46" t="s">
        <v>38</v>
      </c>
      <c r="C4971" s="46" t="s">
        <v>14</v>
      </c>
      <c r="D4971" s="47">
        <v>10810</v>
      </c>
      <c r="E4971" s="46" t="s">
        <v>5741</v>
      </c>
      <c r="F4971" s="48">
        <v>40909</v>
      </c>
      <c r="G4971" s="48">
        <v>41274</v>
      </c>
      <c r="H4971" s="46" t="s">
        <v>40</v>
      </c>
      <c r="I4971" s="45">
        <v>437.5</v>
      </c>
      <c r="J4971" s="45">
        <v>337.5</v>
      </c>
      <c r="K4971" s="49" t="s">
        <v>5018</v>
      </c>
      <c r="L4971" s="45"/>
      <c r="M4971" s="3"/>
    </row>
    <row r="4972" spans="1:13" ht="25.5" x14ac:dyDescent="0.25">
      <c r="A4972" s="46" t="s">
        <v>5742</v>
      </c>
      <c r="B4972" s="46" t="s">
        <v>38</v>
      </c>
      <c r="C4972" s="46" t="s">
        <v>14</v>
      </c>
      <c r="D4972" s="47">
        <v>10811</v>
      </c>
      <c r="E4972" s="46" t="s">
        <v>5743</v>
      </c>
      <c r="F4972" s="48">
        <v>40909</v>
      </c>
      <c r="G4972" s="48">
        <v>41274</v>
      </c>
      <c r="H4972" s="46" t="s">
        <v>40</v>
      </c>
      <c r="I4972" s="45">
        <v>350</v>
      </c>
      <c r="J4972" s="45">
        <v>300</v>
      </c>
      <c r="K4972" s="49" t="s">
        <v>5018</v>
      </c>
      <c r="L4972" s="45"/>
      <c r="M4972" s="3"/>
    </row>
    <row r="4973" spans="1:13" ht="25.5" x14ac:dyDescent="0.25">
      <c r="A4973" s="46" t="s">
        <v>5744</v>
      </c>
      <c r="B4973" s="46" t="s">
        <v>38</v>
      </c>
      <c r="C4973" s="46" t="s">
        <v>14</v>
      </c>
      <c r="D4973" s="47">
        <v>10812</v>
      </c>
      <c r="E4973" s="46" t="s">
        <v>5745</v>
      </c>
      <c r="F4973" s="48">
        <v>40909</v>
      </c>
      <c r="G4973" s="48">
        <v>41274</v>
      </c>
      <c r="H4973" s="46" t="s">
        <v>40</v>
      </c>
      <c r="I4973" s="45">
        <v>674.5</v>
      </c>
      <c r="J4973" s="45">
        <v>374.5</v>
      </c>
      <c r="K4973" s="49" t="s">
        <v>5018</v>
      </c>
      <c r="L4973" s="45"/>
      <c r="M4973" s="3"/>
    </row>
    <row r="4974" spans="1:13" ht="25.5" x14ac:dyDescent="0.25">
      <c r="A4974" s="46" t="s">
        <v>5746</v>
      </c>
      <c r="B4974" s="46" t="s">
        <v>38</v>
      </c>
      <c r="C4974" s="46" t="s">
        <v>14</v>
      </c>
      <c r="D4974" s="47">
        <v>10813</v>
      </c>
      <c r="E4974" s="46" t="s">
        <v>5747</v>
      </c>
      <c r="F4974" s="48">
        <v>40909</v>
      </c>
      <c r="G4974" s="48">
        <v>41274</v>
      </c>
      <c r="H4974" s="46" t="s">
        <v>40</v>
      </c>
      <c r="I4974" s="45">
        <v>372.5</v>
      </c>
      <c r="J4974" s="45">
        <v>197.5</v>
      </c>
      <c r="K4974" s="49" t="s">
        <v>5018</v>
      </c>
      <c r="L4974" s="45"/>
      <c r="M4974" s="3"/>
    </row>
    <row r="4975" spans="1:13" ht="25.5" x14ac:dyDescent="0.25">
      <c r="A4975" s="46" t="s">
        <v>5748</v>
      </c>
      <c r="B4975" s="46" t="s">
        <v>38</v>
      </c>
      <c r="C4975" s="46" t="s">
        <v>14</v>
      </c>
      <c r="D4975" s="47">
        <v>10814</v>
      </c>
      <c r="E4975" s="46" t="s">
        <v>5749</v>
      </c>
      <c r="F4975" s="48">
        <v>40909</v>
      </c>
      <c r="G4975" s="48">
        <v>41274</v>
      </c>
      <c r="H4975" s="46" t="s">
        <v>40</v>
      </c>
      <c r="I4975" s="45">
        <v>388.5</v>
      </c>
      <c r="J4975" s="45">
        <v>188.5</v>
      </c>
      <c r="K4975" s="49" t="s">
        <v>5018</v>
      </c>
      <c r="L4975" s="45"/>
      <c r="M4975" s="3"/>
    </row>
    <row r="4976" spans="1:13" ht="25.5" x14ac:dyDescent="0.25">
      <c r="A4976" s="46" t="s">
        <v>5750</v>
      </c>
      <c r="B4976" s="46" t="s">
        <v>38</v>
      </c>
      <c r="C4976" s="46" t="s">
        <v>14</v>
      </c>
      <c r="D4976" s="47">
        <v>10815</v>
      </c>
      <c r="E4976" s="46" t="s">
        <v>5751</v>
      </c>
      <c r="F4976" s="48">
        <v>40909</v>
      </c>
      <c r="G4976" s="48">
        <v>41274</v>
      </c>
      <c r="H4976" s="46" t="s">
        <v>40</v>
      </c>
      <c r="I4976" s="45">
        <v>712.5</v>
      </c>
      <c r="J4976" s="45">
        <v>387.5</v>
      </c>
      <c r="K4976" s="49" t="s">
        <v>5018</v>
      </c>
      <c r="L4976" s="45"/>
      <c r="M4976" s="3"/>
    </row>
    <row r="4977" spans="1:13" ht="25.5" x14ac:dyDescent="0.25">
      <c r="A4977" s="46" t="s">
        <v>5752</v>
      </c>
      <c r="B4977" s="46" t="s">
        <v>38</v>
      </c>
      <c r="C4977" s="46" t="s">
        <v>14</v>
      </c>
      <c r="D4977" s="47">
        <v>10816</v>
      </c>
      <c r="E4977" s="46" t="s">
        <v>5753</v>
      </c>
      <c r="F4977" s="48">
        <v>40909</v>
      </c>
      <c r="G4977" s="48">
        <v>41274</v>
      </c>
      <c r="H4977" s="46" t="s">
        <v>40</v>
      </c>
      <c r="I4977" s="45">
        <v>2780.8</v>
      </c>
      <c r="J4977" s="45">
        <v>2080.8000000000002</v>
      </c>
      <c r="K4977" s="49" t="s">
        <v>5018</v>
      </c>
      <c r="L4977" s="45"/>
      <c r="M4977" s="3"/>
    </row>
    <row r="4978" spans="1:13" ht="25.5" x14ac:dyDescent="0.25">
      <c r="A4978" s="46" t="s">
        <v>5754</v>
      </c>
      <c r="B4978" s="46" t="s">
        <v>38</v>
      </c>
      <c r="C4978" s="46" t="s">
        <v>14</v>
      </c>
      <c r="D4978" s="47">
        <v>10817</v>
      </c>
      <c r="E4978" s="46" t="s">
        <v>5180</v>
      </c>
      <c r="F4978" s="48">
        <v>40909</v>
      </c>
      <c r="G4978" s="48">
        <v>41274</v>
      </c>
      <c r="H4978" s="46" t="s">
        <v>40</v>
      </c>
      <c r="I4978" s="45">
        <v>1590.4</v>
      </c>
      <c r="J4978" s="45">
        <v>1290.4000000000001</v>
      </c>
      <c r="K4978" s="49" t="s">
        <v>5018</v>
      </c>
      <c r="L4978" s="45"/>
      <c r="M4978" s="3"/>
    </row>
    <row r="4979" spans="1:13" ht="25.5" x14ac:dyDescent="0.25">
      <c r="A4979" s="46" t="s">
        <v>5755</v>
      </c>
      <c r="B4979" s="46" t="s">
        <v>38</v>
      </c>
      <c r="C4979" s="46" t="s">
        <v>14</v>
      </c>
      <c r="D4979" s="47">
        <v>10819</v>
      </c>
      <c r="E4979" s="46" t="s">
        <v>5756</v>
      </c>
      <c r="F4979" s="48">
        <v>40909</v>
      </c>
      <c r="G4979" s="48">
        <v>41274</v>
      </c>
      <c r="H4979" s="46" t="s">
        <v>40</v>
      </c>
      <c r="I4979" s="45">
        <v>3030</v>
      </c>
      <c r="J4979" s="45">
        <v>2280</v>
      </c>
      <c r="K4979" s="49" t="s">
        <v>5018</v>
      </c>
      <c r="L4979" s="45"/>
      <c r="M4979" s="3"/>
    </row>
    <row r="4980" spans="1:13" ht="25.5" x14ac:dyDescent="0.25">
      <c r="A4980" s="46" t="s">
        <v>5757</v>
      </c>
      <c r="B4980" s="46" t="s">
        <v>38</v>
      </c>
      <c r="C4980" s="46" t="s">
        <v>14</v>
      </c>
      <c r="D4980" s="47">
        <v>10828</v>
      </c>
      <c r="E4980" s="46" t="s">
        <v>5753</v>
      </c>
      <c r="F4980" s="48">
        <v>40909</v>
      </c>
      <c r="G4980" s="48">
        <v>41274</v>
      </c>
      <c r="H4980" s="46" t="s">
        <v>40</v>
      </c>
      <c r="I4980" s="45">
        <v>2633.2</v>
      </c>
      <c r="J4980" s="45">
        <v>1633.2</v>
      </c>
      <c r="K4980" s="49" t="s">
        <v>5018</v>
      </c>
      <c r="L4980" s="45"/>
      <c r="M4980" s="3"/>
    </row>
    <row r="4981" spans="1:13" ht="25.5" x14ac:dyDescent="0.25">
      <c r="A4981" s="46" t="s">
        <v>5758</v>
      </c>
      <c r="B4981" s="46" t="s">
        <v>38</v>
      </c>
      <c r="C4981" s="46" t="s">
        <v>14</v>
      </c>
      <c r="D4981" s="47">
        <v>10830</v>
      </c>
      <c r="E4981" s="46" t="s">
        <v>5759</v>
      </c>
      <c r="F4981" s="48">
        <v>40909</v>
      </c>
      <c r="G4981" s="48">
        <v>41274</v>
      </c>
      <c r="H4981" s="46" t="s">
        <v>40</v>
      </c>
      <c r="I4981" s="45">
        <v>999</v>
      </c>
      <c r="J4981" s="45">
        <v>199</v>
      </c>
      <c r="K4981" s="49" t="s">
        <v>5018</v>
      </c>
      <c r="L4981" s="45"/>
      <c r="M4981" s="3"/>
    </row>
    <row r="4982" spans="1:13" ht="25.5" x14ac:dyDescent="0.25">
      <c r="A4982" s="46" t="s">
        <v>5760</v>
      </c>
      <c r="B4982" s="46" t="s">
        <v>38</v>
      </c>
      <c r="C4982" s="46" t="s">
        <v>14</v>
      </c>
      <c r="D4982" s="47">
        <v>10831</v>
      </c>
      <c r="E4982" s="46" t="s">
        <v>5761</v>
      </c>
      <c r="F4982" s="48">
        <v>40909</v>
      </c>
      <c r="G4982" s="48">
        <v>41274</v>
      </c>
      <c r="H4982" s="46" t="s">
        <v>40</v>
      </c>
      <c r="I4982" s="45">
        <v>1708.8</v>
      </c>
      <c r="J4982" s="45">
        <v>1183.8</v>
      </c>
      <c r="K4982" s="49" t="s">
        <v>5018</v>
      </c>
      <c r="L4982" s="45"/>
      <c r="M4982" s="3"/>
    </row>
    <row r="4983" spans="1:13" ht="25.5" x14ac:dyDescent="0.25">
      <c r="A4983" s="46" t="s">
        <v>5762</v>
      </c>
      <c r="B4983" s="46" t="s">
        <v>38</v>
      </c>
      <c r="C4983" s="46" t="s">
        <v>14</v>
      </c>
      <c r="D4983" s="47">
        <v>10832</v>
      </c>
      <c r="E4983" s="46" t="s">
        <v>5745</v>
      </c>
      <c r="F4983" s="48">
        <v>40909</v>
      </c>
      <c r="G4983" s="48">
        <v>41274</v>
      </c>
      <c r="H4983" s="46" t="s">
        <v>40</v>
      </c>
      <c r="I4983" s="45">
        <v>609.75</v>
      </c>
      <c r="J4983" s="45">
        <v>309.75</v>
      </c>
      <c r="K4983" s="49" t="s">
        <v>5018</v>
      </c>
      <c r="L4983" s="45"/>
      <c r="M4983" s="3"/>
    </row>
    <row r="4984" spans="1:13" ht="25.5" x14ac:dyDescent="0.25">
      <c r="A4984" s="46" t="s">
        <v>5763</v>
      </c>
      <c r="B4984" s="46" t="s">
        <v>38</v>
      </c>
      <c r="C4984" s="46" t="s">
        <v>14</v>
      </c>
      <c r="D4984" s="47">
        <v>10833</v>
      </c>
      <c r="E4984" s="46" t="s">
        <v>5751</v>
      </c>
      <c r="F4984" s="48">
        <v>40909</v>
      </c>
      <c r="G4984" s="48">
        <v>41274</v>
      </c>
      <c r="H4984" s="46" t="s">
        <v>40</v>
      </c>
      <c r="I4984" s="45">
        <v>435</v>
      </c>
      <c r="J4984" s="45">
        <v>260</v>
      </c>
      <c r="K4984" s="49" t="s">
        <v>5018</v>
      </c>
      <c r="L4984" s="45"/>
      <c r="M4984" s="3"/>
    </row>
    <row r="4985" spans="1:13" ht="25.5" x14ac:dyDescent="0.25">
      <c r="A4985" s="46" t="s">
        <v>5764</v>
      </c>
      <c r="B4985" s="46" t="s">
        <v>38</v>
      </c>
      <c r="C4985" s="46" t="s">
        <v>14</v>
      </c>
      <c r="D4985" s="47">
        <v>10839</v>
      </c>
      <c r="E4985" s="46" t="s">
        <v>5765</v>
      </c>
      <c r="F4985" s="48">
        <v>40909</v>
      </c>
      <c r="G4985" s="48">
        <v>41274</v>
      </c>
      <c r="H4985" s="46" t="s">
        <v>40</v>
      </c>
      <c r="I4985" s="45">
        <v>2192.8000000000002</v>
      </c>
      <c r="J4985" s="45">
        <v>1692.8</v>
      </c>
      <c r="K4985" s="49" t="s">
        <v>5018</v>
      </c>
      <c r="L4985" s="45"/>
      <c r="M4985" s="3"/>
    </row>
    <row r="4986" spans="1:13" ht="25.5" x14ac:dyDescent="0.25">
      <c r="A4986" s="46" t="s">
        <v>5766</v>
      </c>
      <c r="B4986" s="46" t="s">
        <v>38</v>
      </c>
      <c r="C4986" s="46" t="s">
        <v>14</v>
      </c>
      <c r="D4986" s="47">
        <v>10840</v>
      </c>
      <c r="E4986" s="46" t="s">
        <v>5767</v>
      </c>
      <c r="F4986" s="48">
        <v>40909</v>
      </c>
      <c r="G4986" s="48">
        <v>41274</v>
      </c>
      <c r="H4986" s="46" t="s">
        <v>40</v>
      </c>
      <c r="I4986" s="45">
        <v>415</v>
      </c>
      <c r="J4986" s="45">
        <v>265</v>
      </c>
      <c r="K4986" s="49" t="s">
        <v>5018</v>
      </c>
      <c r="L4986" s="45"/>
      <c r="M4986" s="3"/>
    </row>
    <row r="4987" spans="1:13" ht="25.5" x14ac:dyDescent="0.25">
      <c r="A4987" s="46" t="s">
        <v>5768</v>
      </c>
      <c r="B4987" s="46" t="s">
        <v>38</v>
      </c>
      <c r="C4987" s="46" t="s">
        <v>14</v>
      </c>
      <c r="D4987" s="47">
        <v>10841</v>
      </c>
      <c r="E4987" s="46" t="s">
        <v>5769</v>
      </c>
      <c r="F4987" s="48">
        <v>40909</v>
      </c>
      <c r="G4987" s="48">
        <v>41274</v>
      </c>
      <c r="H4987" s="46" t="s">
        <v>40</v>
      </c>
      <c r="I4987" s="45">
        <v>1764</v>
      </c>
      <c r="J4987" s="45">
        <v>864</v>
      </c>
      <c r="K4987" s="49" t="s">
        <v>5018</v>
      </c>
      <c r="L4987" s="45"/>
      <c r="M4987" s="3"/>
    </row>
    <row r="4988" spans="1:13" ht="25.5" x14ac:dyDescent="0.25">
      <c r="A4988" s="46" t="s">
        <v>5770</v>
      </c>
      <c r="B4988" s="46" t="s">
        <v>38</v>
      </c>
      <c r="C4988" s="46" t="s">
        <v>14</v>
      </c>
      <c r="D4988" s="47">
        <v>10842</v>
      </c>
      <c r="E4988" s="46" t="s">
        <v>5771</v>
      </c>
      <c r="F4988" s="48">
        <v>40909</v>
      </c>
      <c r="G4988" s="48">
        <v>41274</v>
      </c>
      <c r="H4988" s="46" t="s">
        <v>40</v>
      </c>
      <c r="I4988" s="45">
        <v>2364</v>
      </c>
      <c r="J4988" s="45">
        <v>2064</v>
      </c>
      <c r="K4988" s="49" t="s">
        <v>5018</v>
      </c>
      <c r="L4988" s="45"/>
      <c r="M4988" s="3"/>
    </row>
    <row r="4989" spans="1:13" ht="25.5" x14ac:dyDescent="0.25">
      <c r="A4989" s="46" t="s">
        <v>5772</v>
      </c>
      <c r="B4989" s="46" t="s">
        <v>38</v>
      </c>
      <c r="C4989" s="46" t="s">
        <v>14</v>
      </c>
      <c r="D4989" s="47">
        <v>10843</v>
      </c>
      <c r="E4989" s="46" t="s">
        <v>5773</v>
      </c>
      <c r="F4989" s="48">
        <v>40909</v>
      </c>
      <c r="G4989" s="48">
        <v>41274</v>
      </c>
      <c r="H4989" s="46" t="s">
        <v>40</v>
      </c>
      <c r="I4989" s="45">
        <v>1879</v>
      </c>
      <c r="J4989" s="45">
        <v>904</v>
      </c>
      <c r="K4989" s="49" t="s">
        <v>5018</v>
      </c>
      <c r="L4989" s="45"/>
      <c r="M4989" s="3"/>
    </row>
    <row r="4990" spans="1:13" ht="25.5" x14ac:dyDescent="0.25">
      <c r="A4990" s="46" t="s">
        <v>5774</v>
      </c>
      <c r="B4990" s="46" t="s">
        <v>38</v>
      </c>
      <c r="C4990" s="46" t="s">
        <v>14</v>
      </c>
      <c r="D4990" s="47">
        <v>10844</v>
      </c>
      <c r="E4990" s="46" t="s">
        <v>5775</v>
      </c>
      <c r="F4990" s="48">
        <v>40909</v>
      </c>
      <c r="G4990" s="48">
        <v>41274</v>
      </c>
      <c r="H4990" s="46" t="s">
        <v>40</v>
      </c>
      <c r="I4990" s="45">
        <v>321</v>
      </c>
      <c r="J4990" s="45">
        <v>171</v>
      </c>
      <c r="K4990" s="49" t="s">
        <v>5018</v>
      </c>
      <c r="L4990" s="45"/>
      <c r="M4990" s="3"/>
    </row>
    <row r="4991" spans="1:13" ht="25.5" x14ac:dyDescent="0.25">
      <c r="A4991" s="46" t="s">
        <v>5776</v>
      </c>
      <c r="B4991" s="46" t="s">
        <v>38</v>
      </c>
      <c r="C4991" s="46" t="s">
        <v>14</v>
      </c>
      <c r="D4991" s="47">
        <v>10845</v>
      </c>
      <c r="E4991" s="46" t="s">
        <v>5777</v>
      </c>
      <c r="F4991" s="48">
        <v>40909</v>
      </c>
      <c r="G4991" s="48">
        <v>41274</v>
      </c>
      <c r="H4991" s="46" t="s">
        <v>40</v>
      </c>
      <c r="I4991" s="45">
        <v>1500</v>
      </c>
      <c r="J4991" s="45">
        <v>1500</v>
      </c>
      <c r="K4991" s="49" t="s">
        <v>5018</v>
      </c>
      <c r="L4991" s="45"/>
      <c r="M4991" s="3"/>
    </row>
    <row r="4992" spans="1:13" ht="25.5" x14ac:dyDescent="0.25">
      <c r="A4992" s="46" t="s">
        <v>5778</v>
      </c>
      <c r="B4992" s="46" t="s">
        <v>38</v>
      </c>
      <c r="C4992" s="46" t="s">
        <v>14</v>
      </c>
      <c r="D4992" s="47">
        <v>10856</v>
      </c>
      <c r="E4992" s="46" t="s">
        <v>5779</v>
      </c>
      <c r="F4992" s="48">
        <v>40909</v>
      </c>
      <c r="G4992" s="48">
        <v>41274</v>
      </c>
      <c r="H4992" s="46" t="s">
        <v>40</v>
      </c>
      <c r="I4992" s="45">
        <v>790</v>
      </c>
      <c r="J4992" s="45">
        <v>140</v>
      </c>
      <c r="K4992" s="49" t="s">
        <v>5018</v>
      </c>
      <c r="L4992" s="45"/>
      <c r="M4992" s="3"/>
    </row>
    <row r="4993" spans="1:13" ht="25.5" x14ac:dyDescent="0.25">
      <c r="A4993" s="46" t="s">
        <v>5780</v>
      </c>
      <c r="B4993" s="46" t="s">
        <v>38</v>
      </c>
      <c r="C4993" s="46" t="s">
        <v>14</v>
      </c>
      <c r="D4993" s="47">
        <v>10857</v>
      </c>
      <c r="E4993" s="46" t="s">
        <v>5781</v>
      </c>
      <c r="F4993" s="48">
        <v>40909</v>
      </c>
      <c r="G4993" s="48">
        <v>41274</v>
      </c>
      <c r="H4993" s="46" t="s">
        <v>40</v>
      </c>
      <c r="I4993" s="45">
        <v>390</v>
      </c>
      <c r="J4993" s="45">
        <v>265</v>
      </c>
      <c r="K4993" s="49" t="s">
        <v>5018</v>
      </c>
      <c r="L4993" s="45"/>
      <c r="M4993" s="3"/>
    </row>
    <row r="4994" spans="1:13" ht="25.5" x14ac:dyDescent="0.25">
      <c r="A4994" s="46" t="s">
        <v>5782</v>
      </c>
      <c r="B4994" s="46" t="s">
        <v>38</v>
      </c>
      <c r="C4994" s="46" t="s">
        <v>14</v>
      </c>
      <c r="D4994" s="47">
        <v>10859</v>
      </c>
      <c r="E4994" s="46" t="s">
        <v>5783</v>
      </c>
      <c r="F4994" s="48">
        <v>40909</v>
      </c>
      <c r="G4994" s="48">
        <v>41274</v>
      </c>
      <c r="H4994" s="46" t="s">
        <v>40</v>
      </c>
      <c r="I4994" s="45">
        <v>1530</v>
      </c>
      <c r="J4994" s="45">
        <v>630</v>
      </c>
      <c r="K4994" s="49" t="s">
        <v>5018</v>
      </c>
      <c r="L4994" s="45"/>
      <c r="M4994" s="3"/>
    </row>
    <row r="4995" spans="1:13" ht="25.5" x14ac:dyDescent="0.25">
      <c r="A4995" s="46" t="s">
        <v>5784</v>
      </c>
      <c r="B4995" s="46" t="s">
        <v>38</v>
      </c>
      <c r="C4995" s="46" t="s">
        <v>14</v>
      </c>
      <c r="D4995" s="47">
        <v>10861</v>
      </c>
      <c r="E4995" s="46" t="s">
        <v>5785</v>
      </c>
      <c r="F4995" s="48">
        <v>40909</v>
      </c>
      <c r="G4995" s="48">
        <v>41274</v>
      </c>
      <c r="H4995" s="46" t="s">
        <v>40</v>
      </c>
      <c r="I4995" s="45">
        <v>849</v>
      </c>
      <c r="J4995" s="45">
        <v>399</v>
      </c>
      <c r="K4995" s="49" t="s">
        <v>5018</v>
      </c>
      <c r="L4995" s="45"/>
      <c r="M4995" s="3"/>
    </row>
    <row r="4996" spans="1:13" ht="25.5" x14ac:dyDescent="0.25">
      <c r="A4996" s="46" t="s">
        <v>5786</v>
      </c>
      <c r="B4996" s="46" t="s">
        <v>38</v>
      </c>
      <c r="C4996" s="46" t="s">
        <v>14</v>
      </c>
      <c r="D4996" s="47">
        <v>10862</v>
      </c>
      <c r="E4996" s="46" t="s">
        <v>5783</v>
      </c>
      <c r="F4996" s="48">
        <v>40909</v>
      </c>
      <c r="G4996" s="48">
        <v>41274</v>
      </c>
      <c r="H4996" s="46" t="s">
        <v>40</v>
      </c>
      <c r="I4996" s="45">
        <v>1771</v>
      </c>
      <c r="J4996" s="45">
        <v>971</v>
      </c>
      <c r="K4996" s="49" t="s">
        <v>5018</v>
      </c>
      <c r="L4996" s="45"/>
      <c r="M4996" s="3"/>
    </row>
    <row r="4997" spans="1:13" ht="25.5" x14ac:dyDescent="0.25">
      <c r="A4997" s="46" t="s">
        <v>5787</v>
      </c>
      <c r="B4997" s="46" t="s">
        <v>38</v>
      </c>
      <c r="C4997" s="46" t="s">
        <v>14</v>
      </c>
      <c r="D4997" s="47">
        <v>10863</v>
      </c>
      <c r="E4997" s="46" t="s">
        <v>5788</v>
      </c>
      <c r="F4997" s="48">
        <v>40909</v>
      </c>
      <c r="G4997" s="48">
        <v>41274</v>
      </c>
      <c r="H4997" s="46" t="s">
        <v>40</v>
      </c>
      <c r="I4997" s="45">
        <v>858</v>
      </c>
      <c r="J4997" s="45">
        <v>458</v>
      </c>
      <c r="K4997" s="49" t="s">
        <v>5018</v>
      </c>
      <c r="L4997" s="45"/>
      <c r="M4997" s="3"/>
    </row>
    <row r="4998" spans="1:13" ht="25.5" x14ac:dyDescent="0.25">
      <c r="A4998" s="46" t="s">
        <v>5789</v>
      </c>
      <c r="B4998" s="46" t="s">
        <v>38</v>
      </c>
      <c r="C4998" s="46" t="s">
        <v>14</v>
      </c>
      <c r="D4998" s="47">
        <v>10864</v>
      </c>
      <c r="E4998" s="46" t="s">
        <v>5783</v>
      </c>
      <c r="F4998" s="48">
        <v>40909</v>
      </c>
      <c r="G4998" s="48">
        <v>41274</v>
      </c>
      <c r="H4998" s="46" t="s">
        <v>40</v>
      </c>
      <c r="I4998" s="45">
        <v>1671</v>
      </c>
      <c r="J4998" s="45">
        <v>971</v>
      </c>
      <c r="K4998" s="49" t="s">
        <v>5018</v>
      </c>
      <c r="L4998" s="45"/>
      <c r="M4998" s="3"/>
    </row>
    <row r="4999" spans="1:13" ht="25.5" x14ac:dyDescent="0.25">
      <c r="A4999" s="46" t="s">
        <v>5790</v>
      </c>
      <c r="B4999" s="46" t="s">
        <v>38</v>
      </c>
      <c r="C4999" s="46" t="s">
        <v>14</v>
      </c>
      <c r="D4999" s="47">
        <v>10865</v>
      </c>
      <c r="E4999" s="46" t="s">
        <v>5791</v>
      </c>
      <c r="F4999" s="48">
        <v>40909</v>
      </c>
      <c r="G4999" s="48">
        <v>41274</v>
      </c>
      <c r="H4999" s="46" t="s">
        <v>40</v>
      </c>
      <c r="I4999" s="45">
        <v>849</v>
      </c>
      <c r="J4999" s="45">
        <v>299</v>
      </c>
      <c r="K4999" s="49" t="s">
        <v>5018</v>
      </c>
      <c r="L4999" s="45"/>
      <c r="M4999" s="3"/>
    </row>
    <row r="5000" spans="1:13" ht="25.5" x14ac:dyDescent="0.25">
      <c r="A5000" s="46" t="s">
        <v>5792</v>
      </c>
      <c r="B5000" s="46" t="s">
        <v>38</v>
      </c>
      <c r="C5000" s="46" t="s">
        <v>14</v>
      </c>
      <c r="D5000" s="47">
        <v>10866</v>
      </c>
      <c r="E5000" s="46" t="s">
        <v>5793</v>
      </c>
      <c r="F5000" s="48">
        <v>40909</v>
      </c>
      <c r="G5000" s="48">
        <v>41274</v>
      </c>
      <c r="H5000" s="46" t="s">
        <v>40</v>
      </c>
      <c r="I5000" s="45">
        <v>16017.84</v>
      </c>
      <c r="J5000" s="45">
        <v>15117.84</v>
      </c>
      <c r="K5000" s="49" t="s">
        <v>5018</v>
      </c>
      <c r="L5000" s="45"/>
      <c r="M5000" s="3"/>
    </row>
    <row r="5001" spans="1:13" ht="25.5" x14ac:dyDescent="0.25">
      <c r="A5001" s="46" t="s">
        <v>5794</v>
      </c>
      <c r="B5001" s="46" t="s">
        <v>38</v>
      </c>
      <c r="C5001" s="46" t="s">
        <v>14</v>
      </c>
      <c r="D5001" s="47">
        <v>10867</v>
      </c>
      <c r="E5001" s="46" t="s">
        <v>5795</v>
      </c>
      <c r="F5001" s="48">
        <v>40909</v>
      </c>
      <c r="G5001" s="48">
        <v>41274</v>
      </c>
      <c r="H5001" s="46" t="s">
        <v>40</v>
      </c>
      <c r="I5001" s="45">
        <v>1382.5</v>
      </c>
      <c r="J5001" s="45">
        <v>1232.5</v>
      </c>
      <c r="K5001" s="49" t="s">
        <v>5018</v>
      </c>
      <c r="L5001" s="45"/>
      <c r="M5001" s="3"/>
    </row>
    <row r="5002" spans="1:13" ht="25.5" x14ac:dyDescent="0.25">
      <c r="A5002" s="46" t="s">
        <v>5796</v>
      </c>
      <c r="B5002" s="46" t="s">
        <v>38</v>
      </c>
      <c r="C5002" s="46" t="s">
        <v>14</v>
      </c>
      <c r="D5002" s="47">
        <v>10868</v>
      </c>
      <c r="E5002" s="46" t="s">
        <v>5797</v>
      </c>
      <c r="F5002" s="48">
        <v>40909</v>
      </c>
      <c r="G5002" s="48">
        <v>41274</v>
      </c>
      <c r="H5002" s="46" t="s">
        <v>40</v>
      </c>
      <c r="I5002" s="45">
        <v>1074</v>
      </c>
      <c r="J5002" s="45">
        <v>1074</v>
      </c>
      <c r="K5002" s="49" t="s">
        <v>5018</v>
      </c>
      <c r="L5002" s="45"/>
      <c r="M5002" s="3"/>
    </row>
    <row r="5003" spans="1:13" ht="25.5" x14ac:dyDescent="0.25">
      <c r="A5003" s="46" t="s">
        <v>5798</v>
      </c>
      <c r="B5003" s="46" t="s">
        <v>38</v>
      </c>
      <c r="C5003" s="46" t="s">
        <v>14</v>
      </c>
      <c r="D5003" s="47">
        <v>10873</v>
      </c>
      <c r="E5003" s="46" t="s">
        <v>5799</v>
      </c>
      <c r="F5003" s="48">
        <v>40909</v>
      </c>
      <c r="G5003" s="48">
        <v>41274</v>
      </c>
      <c r="H5003" s="46" t="s">
        <v>40</v>
      </c>
      <c r="I5003" s="45">
        <v>57074.21</v>
      </c>
      <c r="J5003" s="45">
        <v>57074.21</v>
      </c>
      <c r="K5003" s="49" t="s">
        <v>5018</v>
      </c>
      <c r="L5003" s="45"/>
      <c r="M5003" s="3"/>
    </row>
    <row r="5004" spans="1:13" ht="25.5" x14ac:dyDescent="0.25">
      <c r="A5004" s="46" t="s">
        <v>5800</v>
      </c>
      <c r="B5004" s="46" t="s">
        <v>38</v>
      </c>
      <c r="C5004" s="46" t="s">
        <v>14</v>
      </c>
      <c r="D5004" s="47">
        <v>10874</v>
      </c>
      <c r="E5004" s="46" t="s">
        <v>5801</v>
      </c>
      <c r="F5004" s="48">
        <v>40909</v>
      </c>
      <c r="G5004" s="48">
        <v>41274</v>
      </c>
      <c r="H5004" s="46" t="s">
        <v>40</v>
      </c>
      <c r="I5004" s="45">
        <v>21847.35</v>
      </c>
      <c r="J5004" s="45">
        <v>21847.85</v>
      </c>
      <c r="K5004" s="49" t="s">
        <v>5018</v>
      </c>
      <c r="L5004" s="45"/>
      <c r="M5004" s="3"/>
    </row>
    <row r="5005" spans="1:13" ht="25.5" x14ac:dyDescent="0.25">
      <c r="A5005" s="46" t="s">
        <v>5802</v>
      </c>
      <c r="B5005" s="46" t="s">
        <v>38</v>
      </c>
      <c r="C5005" s="46" t="s">
        <v>14</v>
      </c>
      <c r="D5005" s="47">
        <v>10876</v>
      </c>
      <c r="E5005" s="46" t="s">
        <v>5803</v>
      </c>
      <c r="F5005" s="48">
        <v>40909</v>
      </c>
      <c r="G5005" s="48">
        <v>41274</v>
      </c>
      <c r="H5005" s="46" t="s">
        <v>40</v>
      </c>
      <c r="I5005" s="45">
        <v>300</v>
      </c>
      <c r="J5005" s="45">
        <v>300</v>
      </c>
      <c r="K5005" s="49" t="s">
        <v>5018</v>
      </c>
      <c r="L5005" s="45"/>
      <c r="M5005" s="3"/>
    </row>
    <row r="5006" spans="1:13" ht="25.5" x14ac:dyDescent="0.25">
      <c r="A5006" s="46" t="s">
        <v>5804</v>
      </c>
      <c r="B5006" s="46" t="s">
        <v>38</v>
      </c>
      <c r="C5006" s="46" t="s">
        <v>14</v>
      </c>
      <c r="D5006" s="47">
        <v>10877</v>
      </c>
      <c r="E5006" s="46" t="s">
        <v>5805</v>
      </c>
      <c r="F5006" s="48">
        <v>40909</v>
      </c>
      <c r="G5006" s="48">
        <v>41274</v>
      </c>
      <c r="H5006" s="46" t="s">
        <v>40</v>
      </c>
      <c r="I5006" s="45">
        <v>729</v>
      </c>
      <c r="J5006" s="45">
        <v>729</v>
      </c>
      <c r="K5006" s="49" t="s">
        <v>5018</v>
      </c>
      <c r="L5006" s="45"/>
      <c r="M5006" s="3"/>
    </row>
    <row r="5007" spans="1:13" ht="25.5" x14ac:dyDescent="0.25">
      <c r="A5007" s="46" t="s">
        <v>5806</v>
      </c>
      <c r="B5007" s="46" t="s">
        <v>38</v>
      </c>
      <c r="C5007" s="46" t="s">
        <v>14</v>
      </c>
      <c r="D5007" s="47">
        <v>10878</v>
      </c>
      <c r="E5007" s="46" t="s">
        <v>5807</v>
      </c>
      <c r="F5007" s="48">
        <v>40909</v>
      </c>
      <c r="G5007" s="48">
        <v>41274</v>
      </c>
      <c r="H5007" s="46" t="s">
        <v>40</v>
      </c>
      <c r="I5007" s="45">
        <v>750</v>
      </c>
      <c r="J5007" s="45">
        <v>750</v>
      </c>
      <c r="K5007" s="49" t="s">
        <v>5018</v>
      </c>
      <c r="L5007" s="45"/>
      <c r="M5007" s="3"/>
    </row>
    <row r="5008" spans="1:13" ht="25.5" x14ac:dyDescent="0.25">
      <c r="A5008" s="46" t="s">
        <v>5808</v>
      </c>
      <c r="B5008" s="46" t="s">
        <v>38</v>
      </c>
      <c r="C5008" s="46" t="s">
        <v>14</v>
      </c>
      <c r="D5008" s="47">
        <v>10879</v>
      </c>
      <c r="E5008" s="46" t="s">
        <v>5809</v>
      </c>
      <c r="F5008" s="48">
        <v>40909</v>
      </c>
      <c r="G5008" s="48">
        <v>41274</v>
      </c>
      <c r="H5008" s="46" t="s">
        <v>40</v>
      </c>
      <c r="I5008" s="45">
        <v>772.97</v>
      </c>
      <c r="J5008" s="45">
        <v>772.97</v>
      </c>
      <c r="K5008" s="49" t="s">
        <v>5018</v>
      </c>
      <c r="L5008" s="45"/>
      <c r="M5008" s="3"/>
    </row>
    <row r="5009" spans="1:13" ht="25.5" x14ac:dyDescent="0.25">
      <c r="A5009" s="46" t="s">
        <v>5810</v>
      </c>
      <c r="B5009" s="46" t="s">
        <v>38</v>
      </c>
      <c r="C5009" s="46" t="s">
        <v>14</v>
      </c>
      <c r="D5009" s="47">
        <v>10880</v>
      </c>
      <c r="E5009" s="46" t="s">
        <v>5811</v>
      </c>
      <c r="F5009" s="48">
        <v>40909</v>
      </c>
      <c r="G5009" s="48">
        <v>41274</v>
      </c>
      <c r="H5009" s="46" t="s">
        <v>40</v>
      </c>
      <c r="I5009" s="45">
        <v>1481.5</v>
      </c>
      <c r="J5009" s="45">
        <v>1231.5</v>
      </c>
      <c r="K5009" s="49" t="s">
        <v>5018</v>
      </c>
      <c r="L5009" s="45"/>
      <c r="M5009" s="3"/>
    </row>
    <row r="5010" spans="1:13" ht="25.5" x14ac:dyDescent="0.25">
      <c r="A5010" s="46" t="s">
        <v>10769</v>
      </c>
      <c r="B5010" s="46" t="s">
        <v>38</v>
      </c>
      <c r="C5010" s="46" t="s">
        <v>14</v>
      </c>
      <c r="D5010" s="47">
        <v>12270</v>
      </c>
      <c r="E5010" s="46" t="s">
        <v>10769</v>
      </c>
      <c r="F5010" s="48">
        <v>41275</v>
      </c>
      <c r="G5010" s="48">
        <v>41639</v>
      </c>
      <c r="H5010" s="46" t="s">
        <v>651</v>
      </c>
      <c r="I5010" s="45">
        <v>17716.75</v>
      </c>
      <c r="J5010" s="45">
        <v>17716.75</v>
      </c>
      <c r="K5010" s="49" t="s">
        <v>5018</v>
      </c>
      <c r="L5010" s="46"/>
    </row>
    <row r="5011" spans="1:13" ht="25.5" x14ac:dyDescent="0.25">
      <c r="A5011" s="46" t="s">
        <v>10770</v>
      </c>
      <c r="B5011" s="46" t="s">
        <v>38</v>
      </c>
      <c r="C5011" s="46" t="s">
        <v>14</v>
      </c>
      <c r="D5011" s="47">
        <v>12271</v>
      </c>
      <c r="E5011" s="46" t="s">
        <v>10771</v>
      </c>
      <c r="F5011" s="48">
        <v>41275</v>
      </c>
      <c r="G5011" s="48">
        <v>41639</v>
      </c>
      <c r="H5011" s="46" t="s">
        <v>651</v>
      </c>
      <c r="I5011" s="45">
        <v>60119.27</v>
      </c>
      <c r="J5011" s="45">
        <v>60119.27</v>
      </c>
      <c r="K5011" s="49" t="s">
        <v>5018</v>
      </c>
      <c r="L5011" s="46"/>
    </row>
    <row r="5012" spans="1:13" ht="25.5" x14ac:dyDescent="0.25">
      <c r="A5012" s="46" t="s">
        <v>10772</v>
      </c>
      <c r="B5012" s="46" t="s">
        <v>38</v>
      </c>
      <c r="C5012" s="46" t="s">
        <v>14</v>
      </c>
      <c r="D5012" s="47">
        <v>12272</v>
      </c>
      <c r="E5012" s="46" t="s">
        <v>10773</v>
      </c>
      <c r="F5012" s="48">
        <v>41275</v>
      </c>
      <c r="G5012" s="48">
        <v>41305</v>
      </c>
      <c r="H5012" s="46" t="s">
        <v>651</v>
      </c>
      <c r="I5012" s="45">
        <v>517.5</v>
      </c>
      <c r="J5012" s="45">
        <v>517.5</v>
      </c>
      <c r="K5012" s="49" t="s">
        <v>5018</v>
      </c>
      <c r="L5012" s="46"/>
    </row>
    <row r="5013" spans="1:13" ht="25.5" x14ac:dyDescent="0.25">
      <c r="A5013" s="46" t="s">
        <v>10774</v>
      </c>
      <c r="B5013" s="46" t="s">
        <v>38</v>
      </c>
      <c r="C5013" s="46" t="s">
        <v>14</v>
      </c>
      <c r="D5013" s="47">
        <v>12273</v>
      </c>
      <c r="E5013" s="46" t="s">
        <v>10775</v>
      </c>
      <c r="F5013" s="48">
        <v>41275</v>
      </c>
      <c r="G5013" s="48">
        <v>41639</v>
      </c>
      <c r="H5013" s="46" t="s">
        <v>651</v>
      </c>
      <c r="I5013" s="45">
        <v>6570</v>
      </c>
      <c r="J5013" s="45">
        <v>6570</v>
      </c>
      <c r="K5013" s="49" t="s">
        <v>5018</v>
      </c>
      <c r="L5013" s="46"/>
    </row>
    <row r="5014" spans="1:13" ht="25.5" x14ac:dyDescent="0.25">
      <c r="A5014" s="46" t="s">
        <v>10776</v>
      </c>
      <c r="B5014" s="46" t="s">
        <v>38</v>
      </c>
      <c r="C5014" s="46" t="s">
        <v>14</v>
      </c>
      <c r="D5014" s="47">
        <v>12276</v>
      </c>
      <c r="E5014" s="46" t="s">
        <v>10777</v>
      </c>
      <c r="F5014" s="48">
        <v>41275</v>
      </c>
      <c r="G5014" s="48">
        <v>41639</v>
      </c>
      <c r="H5014" s="46" t="s">
        <v>651</v>
      </c>
      <c r="I5014" s="45">
        <v>1119.31</v>
      </c>
      <c r="J5014" s="45">
        <v>1119.31</v>
      </c>
      <c r="K5014" s="49" t="s">
        <v>5018</v>
      </c>
      <c r="L5014" s="46"/>
    </row>
    <row r="5015" spans="1:13" ht="25.5" x14ac:dyDescent="0.25">
      <c r="A5015" s="46" t="s">
        <v>10778</v>
      </c>
      <c r="B5015" s="46" t="s">
        <v>38</v>
      </c>
      <c r="C5015" s="46" t="s">
        <v>14</v>
      </c>
      <c r="D5015" s="47">
        <v>12277</v>
      </c>
      <c r="E5015" s="46" t="s">
        <v>10779</v>
      </c>
      <c r="F5015" s="48">
        <v>41275</v>
      </c>
      <c r="G5015" s="48">
        <v>41639</v>
      </c>
      <c r="H5015" s="46" t="s">
        <v>651</v>
      </c>
      <c r="I5015" s="45">
        <v>240</v>
      </c>
      <c r="J5015" s="45">
        <v>240</v>
      </c>
      <c r="K5015" s="49" t="s">
        <v>5018</v>
      </c>
      <c r="L5015" s="46"/>
    </row>
    <row r="5016" spans="1:13" ht="25.5" x14ac:dyDescent="0.25">
      <c r="A5016" s="46" t="s">
        <v>10780</v>
      </c>
      <c r="B5016" s="46" t="s">
        <v>38</v>
      </c>
      <c r="C5016" s="46" t="s">
        <v>14</v>
      </c>
      <c r="D5016" s="47">
        <v>12278</v>
      </c>
      <c r="E5016" s="46" t="s">
        <v>10781</v>
      </c>
      <c r="F5016" s="48">
        <v>41275</v>
      </c>
      <c r="G5016" s="48">
        <v>41639</v>
      </c>
      <c r="H5016" s="46" t="s">
        <v>651</v>
      </c>
      <c r="I5016" s="45">
        <v>1955.55</v>
      </c>
      <c r="J5016" s="45">
        <v>1955.55</v>
      </c>
      <c r="K5016" s="49" t="s">
        <v>5018</v>
      </c>
      <c r="L5016" s="46"/>
    </row>
    <row r="5017" spans="1:13" ht="25.5" x14ac:dyDescent="0.25">
      <c r="A5017" s="46" t="s">
        <v>10782</v>
      </c>
      <c r="B5017" s="46" t="s">
        <v>38</v>
      </c>
      <c r="C5017" s="46" t="s">
        <v>14</v>
      </c>
      <c r="D5017" s="47">
        <v>12280</v>
      </c>
      <c r="E5017" s="46" t="s">
        <v>10783</v>
      </c>
      <c r="F5017" s="48">
        <v>41275</v>
      </c>
      <c r="G5017" s="48">
        <v>41639</v>
      </c>
      <c r="H5017" s="46" t="s">
        <v>651</v>
      </c>
      <c r="I5017" s="45">
        <v>1714.05</v>
      </c>
      <c r="J5017" s="45">
        <v>1714.05</v>
      </c>
      <c r="K5017" s="49" t="s">
        <v>5018</v>
      </c>
      <c r="L5017" s="46"/>
    </row>
    <row r="5018" spans="1:13" ht="25.5" x14ac:dyDescent="0.25">
      <c r="A5018" s="46" t="s">
        <v>10784</v>
      </c>
      <c r="B5018" s="46" t="s">
        <v>38</v>
      </c>
      <c r="C5018" s="46" t="s">
        <v>14</v>
      </c>
      <c r="D5018" s="47">
        <v>12282</v>
      </c>
      <c r="E5018" s="46" t="s">
        <v>10785</v>
      </c>
      <c r="F5018" s="48">
        <v>41275</v>
      </c>
      <c r="G5018" s="48">
        <v>41639</v>
      </c>
      <c r="H5018" s="46" t="s">
        <v>651</v>
      </c>
      <c r="I5018" s="45">
        <v>1542</v>
      </c>
      <c r="J5018" s="45">
        <v>1542</v>
      </c>
      <c r="K5018" s="49" t="s">
        <v>5018</v>
      </c>
      <c r="L5018" s="46"/>
    </row>
    <row r="5019" spans="1:13" ht="25.5" x14ac:dyDescent="0.25">
      <c r="A5019" s="46" t="s">
        <v>10786</v>
      </c>
      <c r="B5019" s="46" t="s">
        <v>38</v>
      </c>
      <c r="C5019" s="46" t="s">
        <v>14</v>
      </c>
      <c r="D5019" s="47">
        <v>12283</v>
      </c>
      <c r="E5019" s="46" t="s">
        <v>10785</v>
      </c>
      <c r="F5019" s="48">
        <v>41275</v>
      </c>
      <c r="G5019" s="48">
        <v>41639</v>
      </c>
      <c r="H5019" s="46" t="s">
        <v>651</v>
      </c>
      <c r="I5019" s="45">
        <v>1412.5</v>
      </c>
      <c r="J5019" s="45">
        <v>1412.5</v>
      </c>
      <c r="K5019" s="49" t="s">
        <v>5018</v>
      </c>
      <c r="L5019" s="46"/>
    </row>
    <row r="5020" spans="1:13" ht="25.5" x14ac:dyDescent="0.25">
      <c r="A5020" s="46" t="s">
        <v>10787</v>
      </c>
      <c r="B5020" s="46" t="s">
        <v>38</v>
      </c>
      <c r="C5020" s="46" t="s">
        <v>14</v>
      </c>
      <c r="D5020" s="47">
        <v>12285</v>
      </c>
      <c r="E5020" s="46" t="s">
        <v>10788</v>
      </c>
      <c r="F5020" s="48">
        <v>41275</v>
      </c>
      <c r="G5020" s="48">
        <v>41639</v>
      </c>
      <c r="H5020" s="46" t="s">
        <v>651</v>
      </c>
      <c r="I5020" s="45">
        <v>550</v>
      </c>
      <c r="J5020" s="45">
        <v>550</v>
      </c>
      <c r="K5020" s="49" t="s">
        <v>5018</v>
      </c>
      <c r="L5020" s="46"/>
    </row>
    <row r="5021" spans="1:13" ht="25.5" x14ac:dyDescent="0.25">
      <c r="A5021" s="46" t="s">
        <v>10789</v>
      </c>
      <c r="B5021" s="46" t="s">
        <v>38</v>
      </c>
      <c r="C5021" s="46" t="s">
        <v>14</v>
      </c>
      <c r="D5021" s="47">
        <v>12286</v>
      </c>
      <c r="E5021" s="46" t="s">
        <v>10785</v>
      </c>
      <c r="F5021" s="48">
        <v>41275</v>
      </c>
      <c r="G5021" s="48">
        <v>41639</v>
      </c>
      <c r="H5021" s="46" t="s">
        <v>651</v>
      </c>
      <c r="I5021" s="45">
        <v>1812.58</v>
      </c>
      <c r="J5021" s="45">
        <v>1812.58</v>
      </c>
      <c r="K5021" s="49" t="s">
        <v>5018</v>
      </c>
      <c r="L5021" s="46"/>
    </row>
    <row r="5022" spans="1:13" ht="25.5" x14ac:dyDescent="0.25">
      <c r="A5022" s="46" t="s">
        <v>10790</v>
      </c>
      <c r="B5022" s="46" t="s">
        <v>38</v>
      </c>
      <c r="C5022" s="46" t="s">
        <v>14</v>
      </c>
      <c r="D5022" s="47">
        <v>12287</v>
      </c>
      <c r="E5022" s="46" t="s">
        <v>10785</v>
      </c>
      <c r="F5022" s="48">
        <v>41275</v>
      </c>
      <c r="G5022" s="48">
        <v>41639</v>
      </c>
      <c r="H5022" s="46" t="s">
        <v>651</v>
      </c>
      <c r="I5022" s="45">
        <v>1976.4</v>
      </c>
      <c r="J5022" s="45">
        <v>1976.4</v>
      </c>
      <c r="K5022" s="49" t="s">
        <v>5018</v>
      </c>
      <c r="L5022" s="46"/>
    </row>
    <row r="5023" spans="1:13" ht="25.5" x14ac:dyDescent="0.25">
      <c r="A5023" s="46" t="s">
        <v>10791</v>
      </c>
      <c r="B5023" s="46" t="s">
        <v>38</v>
      </c>
      <c r="C5023" s="46" t="s">
        <v>14</v>
      </c>
      <c r="D5023" s="47">
        <v>12288</v>
      </c>
      <c r="E5023" s="46" t="s">
        <v>10792</v>
      </c>
      <c r="F5023" s="48">
        <v>41275</v>
      </c>
      <c r="G5023" s="48">
        <v>41639</v>
      </c>
      <c r="H5023" s="46" t="s">
        <v>651</v>
      </c>
      <c r="I5023" s="45">
        <v>308.5</v>
      </c>
      <c r="J5023" s="45">
        <v>308.5</v>
      </c>
      <c r="K5023" s="49" t="s">
        <v>5018</v>
      </c>
      <c r="L5023" s="46"/>
    </row>
    <row r="5024" spans="1:13" ht="25.5" x14ac:dyDescent="0.25">
      <c r="A5024" s="46" t="s">
        <v>10793</v>
      </c>
      <c r="B5024" s="46" t="s">
        <v>38</v>
      </c>
      <c r="C5024" s="46" t="s">
        <v>14</v>
      </c>
      <c r="D5024" s="47">
        <v>12289</v>
      </c>
      <c r="E5024" s="46" t="s">
        <v>10794</v>
      </c>
      <c r="F5024" s="48">
        <v>41275</v>
      </c>
      <c r="G5024" s="48">
        <v>41639</v>
      </c>
      <c r="H5024" s="46" t="s">
        <v>651</v>
      </c>
      <c r="I5024" s="45">
        <v>436.6</v>
      </c>
      <c r="J5024" s="45">
        <v>436.6</v>
      </c>
      <c r="K5024" s="49" t="s">
        <v>5018</v>
      </c>
      <c r="L5024" s="46"/>
    </row>
    <row r="5025" spans="1:12" ht="25.5" x14ac:dyDescent="0.25">
      <c r="A5025" s="46" t="s">
        <v>10795</v>
      </c>
      <c r="B5025" s="46" t="s">
        <v>38</v>
      </c>
      <c r="C5025" s="46" t="s">
        <v>14</v>
      </c>
      <c r="D5025" s="47">
        <v>12290</v>
      </c>
      <c r="E5025" s="46" t="s">
        <v>10796</v>
      </c>
      <c r="F5025" s="48">
        <v>41275</v>
      </c>
      <c r="G5025" s="48">
        <v>41639</v>
      </c>
      <c r="H5025" s="46" t="s">
        <v>651</v>
      </c>
      <c r="I5025" s="45">
        <v>565.65</v>
      </c>
      <c r="J5025" s="45">
        <v>565.65</v>
      </c>
      <c r="K5025" s="49" t="s">
        <v>5018</v>
      </c>
      <c r="L5025" s="46"/>
    </row>
    <row r="5026" spans="1:12" ht="25.5" x14ac:dyDescent="0.25">
      <c r="A5026" s="46" t="s">
        <v>10797</v>
      </c>
      <c r="B5026" s="46" t="s">
        <v>38</v>
      </c>
      <c r="C5026" s="46" t="s">
        <v>14</v>
      </c>
      <c r="D5026" s="47">
        <v>12291</v>
      </c>
      <c r="E5026" s="46" t="s">
        <v>10792</v>
      </c>
      <c r="F5026" s="48">
        <v>41275</v>
      </c>
      <c r="G5026" s="48">
        <v>41639</v>
      </c>
      <c r="H5026" s="46" t="s">
        <v>651</v>
      </c>
      <c r="I5026" s="45">
        <v>259.42</v>
      </c>
      <c r="J5026" s="45">
        <v>259.42</v>
      </c>
      <c r="K5026" s="49" t="s">
        <v>5018</v>
      </c>
      <c r="L5026" s="46"/>
    </row>
    <row r="5027" spans="1:12" ht="25.5" x14ac:dyDescent="0.25">
      <c r="A5027" s="46" t="s">
        <v>10798</v>
      </c>
      <c r="B5027" s="46" t="s">
        <v>38</v>
      </c>
      <c r="C5027" s="46" t="s">
        <v>14</v>
      </c>
      <c r="D5027" s="47">
        <v>12292</v>
      </c>
      <c r="E5027" s="46" t="s">
        <v>10799</v>
      </c>
      <c r="F5027" s="48">
        <v>41275</v>
      </c>
      <c r="G5027" s="48">
        <v>41639</v>
      </c>
      <c r="H5027" s="46" t="s">
        <v>651</v>
      </c>
      <c r="I5027" s="45">
        <v>676.8</v>
      </c>
      <c r="J5027" s="45">
        <v>676.8</v>
      </c>
      <c r="K5027" s="49" t="s">
        <v>5018</v>
      </c>
      <c r="L5027" s="46"/>
    </row>
    <row r="5028" spans="1:12" ht="25.5" x14ac:dyDescent="0.25">
      <c r="A5028" s="46" t="s">
        <v>10800</v>
      </c>
      <c r="B5028" s="46" t="s">
        <v>38</v>
      </c>
      <c r="C5028" s="46" t="s">
        <v>14</v>
      </c>
      <c r="D5028" s="47">
        <v>12293</v>
      </c>
      <c r="E5028" s="46" t="s">
        <v>10801</v>
      </c>
      <c r="F5028" s="48">
        <v>41275</v>
      </c>
      <c r="G5028" s="48">
        <v>41639</v>
      </c>
      <c r="H5028" s="46" t="s">
        <v>651</v>
      </c>
      <c r="I5028" s="45">
        <v>456.55</v>
      </c>
      <c r="J5028" s="45">
        <v>456.55</v>
      </c>
      <c r="K5028" s="49" t="s">
        <v>5018</v>
      </c>
      <c r="L5028" s="46"/>
    </row>
    <row r="5029" spans="1:12" ht="25.5" x14ac:dyDescent="0.25">
      <c r="A5029" s="46" t="s">
        <v>10802</v>
      </c>
      <c r="B5029" s="46" t="s">
        <v>38</v>
      </c>
      <c r="C5029" s="46" t="s">
        <v>14</v>
      </c>
      <c r="D5029" s="47">
        <v>12294</v>
      </c>
      <c r="E5029" s="46" t="s">
        <v>10803</v>
      </c>
      <c r="F5029" s="48">
        <v>41275</v>
      </c>
      <c r="G5029" s="48">
        <v>41639</v>
      </c>
      <c r="H5029" s="46" t="s">
        <v>651</v>
      </c>
      <c r="I5029" s="45">
        <v>370</v>
      </c>
      <c r="J5029" s="45">
        <v>370</v>
      </c>
      <c r="K5029" s="49" t="s">
        <v>5018</v>
      </c>
      <c r="L5029" s="46"/>
    </row>
    <row r="5030" spans="1:12" ht="25.5" x14ac:dyDescent="0.25">
      <c r="A5030" s="46" t="s">
        <v>10804</v>
      </c>
      <c r="B5030" s="46" t="s">
        <v>38</v>
      </c>
      <c r="C5030" s="46" t="s">
        <v>14</v>
      </c>
      <c r="D5030" s="47">
        <v>12295</v>
      </c>
      <c r="E5030" s="46" t="s">
        <v>10805</v>
      </c>
      <c r="F5030" s="48">
        <v>41275</v>
      </c>
      <c r="G5030" s="48">
        <v>41639</v>
      </c>
      <c r="H5030" s="46" t="s">
        <v>651</v>
      </c>
      <c r="I5030" s="45">
        <v>200</v>
      </c>
      <c r="J5030" s="45">
        <v>200</v>
      </c>
      <c r="K5030" s="49" t="s">
        <v>5018</v>
      </c>
      <c r="L5030" s="46"/>
    </row>
    <row r="5031" spans="1:12" ht="25.5" x14ac:dyDescent="0.25">
      <c r="A5031" s="46" t="s">
        <v>10806</v>
      </c>
      <c r="B5031" s="46" t="s">
        <v>38</v>
      </c>
      <c r="C5031" s="46" t="s">
        <v>14</v>
      </c>
      <c r="D5031" s="47">
        <v>12296</v>
      </c>
      <c r="E5031" s="46" t="s">
        <v>10807</v>
      </c>
      <c r="F5031" s="48">
        <v>41275</v>
      </c>
      <c r="G5031" s="48">
        <v>41639</v>
      </c>
      <c r="H5031" s="46" t="s">
        <v>651</v>
      </c>
      <c r="I5031" s="45">
        <v>1362.2</v>
      </c>
      <c r="J5031" s="45">
        <v>1362.2</v>
      </c>
      <c r="K5031" s="49" t="s">
        <v>5018</v>
      </c>
      <c r="L5031" s="46"/>
    </row>
    <row r="5032" spans="1:12" ht="25.5" x14ac:dyDescent="0.25">
      <c r="A5032" s="46" t="s">
        <v>10808</v>
      </c>
      <c r="B5032" s="46" t="s">
        <v>38</v>
      </c>
      <c r="C5032" s="46" t="s">
        <v>14</v>
      </c>
      <c r="D5032" s="47">
        <v>12297</v>
      </c>
      <c r="E5032" s="46" t="s">
        <v>10809</v>
      </c>
      <c r="F5032" s="48">
        <v>41275</v>
      </c>
      <c r="G5032" s="48">
        <v>41639</v>
      </c>
      <c r="H5032" s="46" t="s">
        <v>651</v>
      </c>
      <c r="I5032" s="45">
        <v>265</v>
      </c>
      <c r="J5032" s="45">
        <v>265</v>
      </c>
      <c r="K5032" s="49" t="s">
        <v>5018</v>
      </c>
      <c r="L5032" s="46"/>
    </row>
    <row r="5033" spans="1:12" ht="25.5" x14ac:dyDescent="0.25">
      <c r="A5033" s="46" t="s">
        <v>10810</v>
      </c>
      <c r="B5033" s="46" t="s">
        <v>38</v>
      </c>
      <c r="C5033" s="46" t="s">
        <v>14</v>
      </c>
      <c r="D5033" s="47">
        <v>12298</v>
      </c>
      <c r="E5033" s="46" t="s">
        <v>10811</v>
      </c>
      <c r="F5033" s="48">
        <v>41275</v>
      </c>
      <c r="G5033" s="48">
        <v>41639</v>
      </c>
      <c r="H5033" s="46" t="s">
        <v>651</v>
      </c>
      <c r="I5033" s="45">
        <v>1233.8</v>
      </c>
      <c r="J5033" s="45">
        <v>1233.8</v>
      </c>
      <c r="K5033" s="49" t="s">
        <v>5018</v>
      </c>
      <c r="L5033" s="46"/>
    </row>
    <row r="5034" spans="1:12" ht="25.5" x14ac:dyDescent="0.25">
      <c r="A5034" s="46" t="s">
        <v>10812</v>
      </c>
      <c r="B5034" s="46" t="s">
        <v>38</v>
      </c>
      <c r="C5034" s="46" t="s">
        <v>14</v>
      </c>
      <c r="D5034" s="47">
        <v>12300</v>
      </c>
      <c r="E5034" s="46" t="s">
        <v>10813</v>
      </c>
      <c r="F5034" s="48">
        <v>41275</v>
      </c>
      <c r="G5034" s="48">
        <v>41639</v>
      </c>
      <c r="H5034" s="46" t="s">
        <v>651</v>
      </c>
      <c r="I5034" s="45">
        <v>280</v>
      </c>
      <c r="J5034" s="45">
        <v>280</v>
      </c>
      <c r="K5034" s="49" t="s">
        <v>5018</v>
      </c>
      <c r="L5034" s="46"/>
    </row>
    <row r="5035" spans="1:12" ht="25.5" x14ac:dyDescent="0.25">
      <c r="A5035" s="46" t="s">
        <v>10814</v>
      </c>
      <c r="B5035" s="46" t="s">
        <v>38</v>
      </c>
      <c r="C5035" s="46" t="s">
        <v>14</v>
      </c>
      <c r="D5035" s="47">
        <v>12301</v>
      </c>
      <c r="E5035" s="46" t="s">
        <v>10815</v>
      </c>
      <c r="F5035" s="48">
        <v>41275</v>
      </c>
      <c r="G5035" s="48">
        <v>41639</v>
      </c>
      <c r="H5035" s="46" t="s">
        <v>651</v>
      </c>
      <c r="I5035" s="45">
        <v>1938.9</v>
      </c>
      <c r="J5035" s="45">
        <v>1938.9</v>
      </c>
      <c r="K5035" s="49" t="s">
        <v>5018</v>
      </c>
      <c r="L5035" s="46"/>
    </row>
    <row r="5036" spans="1:12" ht="25.5" x14ac:dyDescent="0.25">
      <c r="A5036" s="46" t="s">
        <v>10816</v>
      </c>
      <c r="B5036" s="46" t="s">
        <v>38</v>
      </c>
      <c r="C5036" s="46" t="s">
        <v>14</v>
      </c>
      <c r="D5036" s="47">
        <v>12302</v>
      </c>
      <c r="E5036" s="46" t="s">
        <v>10817</v>
      </c>
      <c r="F5036" s="48">
        <v>41275</v>
      </c>
      <c r="G5036" s="48">
        <v>41639</v>
      </c>
      <c r="H5036" s="46" t="s">
        <v>651</v>
      </c>
      <c r="I5036" s="45">
        <v>203.5</v>
      </c>
      <c r="J5036" s="45">
        <v>203.5</v>
      </c>
      <c r="K5036" s="49" t="s">
        <v>5018</v>
      </c>
      <c r="L5036" s="46"/>
    </row>
    <row r="5037" spans="1:12" ht="25.5" x14ac:dyDescent="0.25">
      <c r="A5037" s="46" t="s">
        <v>10818</v>
      </c>
      <c r="B5037" s="46" t="s">
        <v>38</v>
      </c>
      <c r="C5037" s="46" t="s">
        <v>14</v>
      </c>
      <c r="D5037" s="47">
        <v>12303</v>
      </c>
      <c r="E5037" s="46" t="s">
        <v>10819</v>
      </c>
      <c r="F5037" s="48">
        <v>41275</v>
      </c>
      <c r="G5037" s="48">
        <v>41639</v>
      </c>
      <c r="H5037" s="46" t="s">
        <v>651</v>
      </c>
      <c r="I5037" s="45">
        <v>1780.8</v>
      </c>
      <c r="J5037" s="45">
        <v>1780.8</v>
      </c>
      <c r="K5037" s="49" t="s">
        <v>5018</v>
      </c>
      <c r="L5037" s="46"/>
    </row>
    <row r="5038" spans="1:12" ht="25.5" x14ac:dyDescent="0.25">
      <c r="A5038" s="46" t="s">
        <v>10820</v>
      </c>
      <c r="B5038" s="46" t="s">
        <v>38</v>
      </c>
      <c r="C5038" s="46" t="s">
        <v>14</v>
      </c>
      <c r="D5038" s="47">
        <v>12304</v>
      </c>
      <c r="E5038" s="46" t="s">
        <v>10821</v>
      </c>
      <c r="F5038" s="48">
        <v>41275</v>
      </c>
      <c r="G5038" s="48">
        <v>41639</v>
      </c>
      <c r="H5038" s="46" t="s">
        <v>651</v>
      </c>
      <c r="I5038" s="45">
        <v>1077.2</v>
      </c>
      <c r="J5038" s="45">
        <v>1077.2</v>
      </c>
      <c r="K5038" s="49" t="s">
        <v>5018</v>
      </c>
      <c r="L5038" s="46"/>
    </row>
    <row r="5039" spans="1:12" ht="25.5" x14ac:dyDescent="0.25">
      <c r="A5039" s="46" t="s">
        <v>10822</v>
      </c>
      <c r="B5039" s="46" t="s">
        <v>38</v>
      </c>
      <c r="C5039" s="46" t="s">
        <v>14</v>
      </c>
      <c r="D5039" s="47">
        <v>12305</v>
      </c>
      <c r="E5039" s="46" t="s">
        <v>10823</v>
      </c>
      <c r="F5039" s="48">
        <v>41275</v>
      </c>
      <c r="G5039" s="48">
        <v>41639</v>
      </c>
      <c r="H5039" s="46" t="s">
        <v>651</v>
      </c>
      <c r="I5039" s="45">
        <v>1182.6500000000001</v>
      </c>
      <c r="J5039" s="45">
        <v>1182.6500000000001</v>
      </c>
      <c r="K5039" s="49" t="s">
        <v>5018</v>
      </c>
      <c r="L5039" s="46"/>
    </row>
    <row r="5040" spans="1:12" ht="25.5" x14ac:dyDescent="0.25">
      <c r="A5040" s="46" t="s">
        <v>10824</v>
      </c>
      <c r="B5040" s="46" t="s">
        <v>38</v>
      </c>
      <c r="C5040" s="46" t="s">
        <v>14</v>
      </c>
      <c r="D5040" s="47">
        <v>12306</v>
      </c>
      <c r="E5040" s="46" t="s">
        <v>10825</v>
      </c>
      <c r="F5040" s="48">
        <v>41275</v>
      </c>
      <c r="G5040" s="48">
        <v>41639</v>
      </c>
      <c r="H5040" s="46" t="s">
        <v>651</v>
      </c>
      <c r="I5040" s="45">
        <v>520</v>
      </c>
      <c r="J5040" s="45">
        <v>520</v>
      </c>
      <c r="K5040" s="49" t="s">
        <v>5018</v>
      </c>
      <c r="L5040" s="46"/>
    </row>
    <row r="5041" spans="1:12" ht="25.5" x14ac:dyDescent="0.25">
      <c r="A5041" s="46" t="s">
        <v>10826</v>
      </c>
      <c r="B5041" s="46" t="s">
        <v>38</v>
      </c>
      <c r="C5041" s="46" t="s">
        <v>14</v>
      </c>
      <c r="D5041" s="47">
        <v>12307</v>
      </c>
      <c r="E5041" s="46" t="s">
        <v>10827</v>
      </c>
      <c r="F5041" s="48">
        <v>41275</v>
      </c>
      <c r="G5041" s="48">
        <v>41639</v>
      </c>
      <c r="H5041" s="46" t="s">
        <v>651</v>
      </c>
      <c r="I5041" s="45">
        <v>1780.8</v>
      </c>
      <c r="J5041" s="45">
        <v>1780.8</v>
      </c>
      <c r="K5041" s="49" t="s">
        <v>5018</v>
      </c>
      <c r="L5041" s="46"/>
    </row>
    <row r="5042" spans="1:12" ht="25.5" x14ac:dyDescent="0.25">
      <c r="A5042" s="46" t="s">
        <v>10828</v>
      </c>
      <c r="B5042" s="46" t="s">
        <v>38</v>
      </c>
      <c r="C5042" s="46" t="s">
        <v>14</v>
      </c>
      <c r="D5042" s="47">
        <v>12308</v>
      </c>
      <c r="E5042" s="46" t="s">
        <v>10829</v>
      </c>
      <c r="F5042" s="48">
        <v>41275</v>
      </c>
      <c r="G5042" s="48">
        <v>41639</v>
      </c>
      <c r="H5042" s="46" t="s">
        <v>651</v>
      </c>
      <c r="I5042" s="45">
        <v>749</v>
      </c>
      <c r="J5042" s="45">
        <v>749</v>
      </c>
      <c r="K5042" s="49" t="s">
        <v>5018</v>
      </c>
      <c r="L5042" s="46"/>
    </row>
    <row r="5043" spans="1:12" ht="25.5" x14ac:dyDescent="0.25">
      <c r="A5043" s="46" t="s">
        <v>10830</v>
      </c>
      <c r="B5043" s="46" t="s">
        <v>38</v>
      </c>
      <c r="C5043" s="46" t="s">
        <v>14</v>
      </c>
      <c r="D5043" s="47">
        <v>12309</v>
      </c>
      <c r="E5043" s="46" t="s">
        <v>10831</v>
      </c>
      <c r="F5043" s="48">
        <v>41275</v>
      </c>
      <c r="G5043" s="48">
        <v>41639</v>
      </c>
      <c r="H5043" s="46" t="s">
        <v>651</v>
      </c>
      <c r="I5043" s="45">
        <v>337.5</v>
      </c>
      <c r="J5043" s="45">
        <v>337.5</v>
      </c>
      <c r="K5043" s="49" t="s">
        <v>5018</v>
      </c>
      <c r="L5043" s="46"/>
    </row>
    <row r="5044" spans="1:12" ht="25.5" x14ac:dyDescent="0.25">
      <c r="A5044" s="46" t="s">
        <v>10832</v>
      </c>
      <c r="B5044" s="46" t="s">
        <v>38</v>
      </c>
      <c r="C5044" s="46" t="s">
        <v>14</v>
      </c>
      <c r="D5044" s="47">
        <v>12310</v>
      </c>
      <c r="E5044" s="46" t="s">
        <v>10833</v>
      </c>
      <c r="F5044" s="48">
        <v>41275</v>
      </c>
      <c r="G5044" s="48">
        <v>41639</v>
      </c>
      <c r="H5044" s="46" t="s">
        <v>651</v>
      </c>
      <c r="I5044" s="45">
        <v>319.45</v>
      </c>
      <c r="J5044" s="45">
        <v>319.45</v>
      </c>
      <c r="K5044" s="49" t="s">
        <v>5018</v>
      </c>
      <c r="L5044" s="46"/>
    </row>
    <row r="5045" spans="1:12" ht="25.5" x14ac:dyDescent="0.25">
      <c r="A5045" s="46" t="s">
        <v>10834</v>
      </c>
      <c r="B5045" s="46" t="s">
        <v>38</v>
      </c>
      <c r="C5045" s="46" t="s">
        <v>14</v>
      </c>
      <c r="D5045" s="47">
        <v>12311</v>
      </c>
      <c r="E5045" s="46" t="s">
        <v>10835</v>
      </c>
      <c r="F5045" s="48">
        <v>41275</v>
      </c>
      <c r="G5045" s="48">
        <v>41639</v>
      </c>
      <c r="H5045" s="46" t="s">
        <v>651</v>
      </c>
      <c r="I5045" s="45">
        <v>924.2</v>
      </c>
      <c r="J5045" s="45">
        <v>924.2</v>
      </c>
      <c r="K5045" s="49" t="s">
        <v>5018</v>
      </c>
      <c r="L5045" s="46"/>
    </row>
    <row r="5046" spans="1:12" ht="25.5" x14ac:dyDescent="0.25">
      <c r="A5046" s="46" t="s">
        <v>10836</v>
      </c>
      <c r="B5046" s="46" t="s">
        <v>38</v>
      </c>
      <c r="C5046" s="46" t="s">
        <v>14</v>
      </c>
      <c r="D5046" s="47">
        <v>12312</v>
      </c>
      <c r="E5046" s="46" t="s">
        <v>10837</v>
      </c>
      <c r="F5046" s="48">
        <v>41275</v>
      </c>
      <c r="G5046" s="48">
        <v>41639</v>
      </c>
      <c r="H5046" s="46" t="s">
        <v>651</v>
      </c>
      <c r="I5046" s="45">
        <v>1094.6500000000001</v>
      </c>
      <c r="J5046" s="45">
        <v>1094.6500000000001</v>
      </c>
      <c r="K5046" s="49" t="s">
        <v>5018</v>
      </c>
      <c r="L5046" s="46"/>
    </row>
    <row r="5047" spans="1:12" ht="25.5" x14ac:dyDescent="0.25">
      <c r="A5047" s="46" t="s">
        <v>10838</v>
      </c>
      <c r="B5047" s="46" t="s">
        <v>38</v>
      </c>
      <c r="C5047" s="46" t="s">
        <v>14</v>
      </c>
      <c r="D5047" s="47">
        <v>12313</v>
      </c>
      <c r="E5047" s="46" t="s">
        <v>10839</v>
      </c>
      <c r="F5047" s="48">
        <v>41275</v>
      </c>
      <c r="G5047" s="48">
        <v>41639</v>
      </c>
      <c r="H5047" s="46" t="s">
        <v>651</v>
      </c>
      <c r="I5047" s="45">
        <v>1572.9</v>
      </c>
      <c r="J5047" s="45">
        <v>1572.9</v>
      </c>
      <c r="K5047" s="49" t="s">
        <v>5018</v>
      </c>
      <c r="L5047" s="46"/>
    </row>
    <row r="5048" spans="1:12" ht="25.5" x14ac:dyDescent="0.25">
      <c r="A5048" s="46" t="s">
        <v>10840</v>
      </c>
      <c r="B5048" s="46" t="s">
        <v>38</v>
      </c>
      <c r="C5048" s="46" t="s">
        <v>14</v>
      </c>
      <c r="D5048" s="47">
        <v>12314</v>
      </c>
      <c r="E5048" s="46" t="s">
        <v>10841</v>
      </c>
      <c r="F5048" s="48">
        <v>41275</v>
      </c>
      <c r="G5048" s="48">
        <v>41639</v>
      </c>
      <c r="H5048" s="46" t="s">
        <v>651</v>
      </c>
      <c r="I5048" s="45">
        <v>630</v>
      </c>
      <c r="J5048" s="45">
        <v>630</v>
      </c>
      <c r="K5048" s="49" t="s">
        <v>5018</v>
      </c>
      <c r="L5048" s="46"/>
    </row>
    <row r="5049" spans="1:12" ht="25.5" x14ac:dyDescent="0.25">
      <c r="A5049" s="46" t="s">
        <v>10842</v>
      </c>
      <c r="B5049" s="46" t="s">
        <v>38</v>
      </c>
      <c r="C5049" s="46" t="s">
        <v>14</v>
      </c>
      <c r="D5049" s="47">
        <v>12315</v>
      </c>
      <c r="E5049" s="46" t="s">
        <v>10843</v>
      </c>
      <c r="F5049" s="48">
        <v>41275</v>
      </c>
      <c r="G5049" s="48">
        <v>41639</v>
      </c>
      <c r="H5049" s="46" t="s">
        <v>651</v>
      </c>
      <c r="I5049" s="45">
        <v>524</v>
      </c>
      <c r="J5049" s="45">
        <v>524</v>
      </c>
      <c r="K5049" s="49" t="s">
        <v>5018</v>
      </c>
      <c r="L5049" s="46"/>
    </row>
    <row r="5050" spans="1:12" ht="25.5" x14ac:dyDescent="0.25">
      <c r="A5050" s="46" t="s">
        <v>10844</v>
      </c>
      <c r="B5050" s="46" t="s">
        <v>38</v>
      </c>
      <c r="C5050" s="46" t="s">
        <v>14</v>
      </c>
      <c r="D5050" s="47">
        <v>12316</v>
      </c>
      <c r="E5050" s="46" t="s">
        <v>10843</v>
      </c>
      <c r="F5050" s="48">
        <v>41275</v>
      </c>
      <c r="G5050" s="48">
        <v>41639</v>
      </c>
      <c r="H5050" s="46" t="s">
        <v>651</v>
      </c>
      <c r="I5050" s="45">
        <v>727</v>
      </c>
      <c r="J5050" s="45">
        <v>727</v>
      </c>
      <c r="K5050" s="49" t="s">
        <v>5018</v>
      </c>
      <c r="L5050" s="46"/>
    </row>
    <row r="5051" spans="1:12" ht="25.5" x14ac:dyDescent="0.25">
      <c r="A5051" s="46" t="s">
        <v>10845</v>
      </c>
      <c r="B5051" s="46" t="s">
        <v>38</v>
      </c>
      <c r="C5051" s="46" t="s">
        <v>14</v>
      </c>
      <c r="D5051" s="47">
        <v>12317</v>
      </c>
      <c r="E5051" s="46" t="s">
        <v>10846</v>
      </c>
      <c r="F5051" s="48">
        <v>41275</v>
      </c>
      <c r="G5051" s="48">
        <v>41639</v>
      </c>
      <c r="H5051" s="46" t="s">
        <v>651</v>
      </c>
      <c r="I5051" s="45">
        <v>212</v>
      </c>
      <c r="J5051" s="45">
        <v>212</v>
      </c>
      <c r="K5051" s="49" t="s">
        <v>5018</v>
      </c>
      <c r="L5051" s="46"/>
    </row>
    <row r="5052" spans="1:12" ht="25.5" x14ac:dyDescent="0.25">
      <c r="A5052" s="46" t="s">
        <v>10847</v>
      </c>
      <c r="B5052" s="46" t="s">
        <v>38</v>
      </c>
      <c r="C5052" s="46" t="s">
        <v>14</v>
      </c>
      <c r="D5052" s="47">
        <v>12318</v>
      </c>
      <c r="E5052" s="46" t="s">
        <v>10848</v>
      </c>
      <c r="F5052" s="48">
        <v>41275</v>
      </c>
      <c r="G5052" s="48">
        <v>41639</v>
      </c>
      <c r="H5052" s="46" t="s">
        <v>651</v>
      </c>
      <c r="I5052" s="45">
        <v>287</v>
      </c>
      <c r="J5052" s="45">
        <v>287</v>
      </c>
      <c r="K5052" s="49" t="s">
        <v>5018</v>
      </c>
      <c r="L5052" s="46"/>
    </row>
    <row r="5053" spans="1:12" ht="25.5" x14ac:dyDescent="0.25">
      <c r="A5053" s="46" t="s">
        <v>10849</v>
      </c>
      <c r="B5053" s="46" t="s">
        <v>38</v>
      </c>
      <c r="C5053" s="46" t="s">
        <v>14</v>
      </c>
      <c r="D5053" s="47">
        <v>12319</v>
      </c>
      <c r="E5053" s="46" t="s">
        <v>10850</v>
      </c>
      <c r="F5053" s="48">
        <v>41275</v>
      </c>
      <c r="G5053" s="48">
        <v>41639</v>
      </c>
      <c r="H5053" s="46" t="s">
        <v>651</v>
      </c>
      <c r="I5053" s="45">
        <v>220</v>
      </c>
      <c r="J5053" s="45">
        <v>220</v>
      </c>
      <c r="K5053" s="49" t="s">
        <v>5018</v>
      </c>
      <c r="L5053" s="46"/>
    </row>
    <row r="5054" spans="1:12" ht="25.5" x14ac:dyDescent="0.25">
      <c r="A5054" s="46" t="s">
        <v>10851</v>
      </c>
      <c r="B5054" s="46" t="s">
        <v>38</v>
      </c>
      <c r="C5054" s="46" t="s">
        <v>14</v>
      </c>
      <c r="D5054" s="47">
        <v>12320</v>
      </c>
      <c r="E5054" s="46" t="s">
        <v>10852</v>
      </c>
      <c r="F5054" s="48">
        <v>41275</v>
      </c>
      <c r="G5054" s="48">
        <v>41639</v>
      </c>
      <c r="H5054" s="46" t="s">
        <v>651</v>
      </c>
      <c r="I5054" s="45">
        <v>420</v>
      </c>
      <c r="J5054" s="45">
        <v>420</v>
      </c>
      <c r="K5054" s="49" t="s">
        <v>5018</v>
      </c>
      <c r="L5054" s="46"/>
    </row>
    <row r="5055" spans="1:12" ht="25.5" x14ac:dyDescent="0.25">
      <c r="A5055" s="46" t="s">
        <v>10853</v>
      </c>
      <c r="B5055" s="46" t="s">
        <v>38</v>
      </c>
      <c r="C5055" s="46" t="s">
        <v>14</v>
      </c>
      <c r="D5055" s="47">
        <v>12321</v>
      </c>
      <c r="E5055" s="46" t="s">
        <v>10338</v>
      </c>
      <c r="F5055" s="48">
        <v>41275</v>
      </c>
      <c r="G5055" s="48">
        <v>41639</v>
      </c>
      <c r="H5055" s="46" t="s">
        <v>651</v>
      </c>
      <c r="I5055" s="45">
        <v>570</v>
      </c>
      <c r="J5055" s="45">
        <v>570</v>
      </c>
      <c r="K5055" s="49" t="s">
        <v>5018</v>
      </c>
      <c r="L5055" s="46"/>
    </row>
    <row r="5056" spans="1:12" ht="25.5" x14ac:dyDescent="0.25">
      <c r="A5056" s="46" t="s">
        <v>10854</v>
      </c>
      <c r="B5056" s="46" t="s">
        <v>38</v>
      </c>
      <c r="C5056" s="46" t="s">
        <v>14</v>
      </c>
      <c r="D5056" s="47">
        <v>12322</v>
      </c>
      <c r="E5056" s="46" t="s">
        <v>10855</v>
      </c>
      <c r="F5056" s="48">
        <v>41275</v>
      </c>
      <c r="G5056" s="48">
        <v>41639</v>
      </c>
      <c r="H5056" s="46" t="s">
        <v>651</v>
      </c>
      <c r="I5056" s="45">
        <v>245</v>
      </c>
      <c r="J5056" s="45">
        <v>245</v>
      </c>
      <c r="K5056" s="49" t="s">
        <v>5018</v>
      </c>
      <c r="L5056" s="46"/>
    </row>
    <row r="5057" spans="1:12" ht="25.5" x14ac:dyDescent="0.25">
      <c r="A5057" s="46" t="s">
        <v>10856</v>
      </c>
      <c r="B5057" s="46" t="s">
        <v>38</v>
      </c>
      <c r="C5057" s="46" t="s">
        <v>14</v>
      </c>
      <c r="D5057" s="47">
        <v>12324</v>
      </c>
      <c r="E5057" s="46" t="s">
        <v>10857</v>
      </c>
      <c r="F5057" s="48">
        <v>41275</v>
      </c>
      <c r="G5057" s="48">
        <v>41639</v>
      </c>
      <c r="H5057" s="46" t="s">
        <v>651</v>
      </c>
      <c r="I5057" s="45">
        <v>220</v>
      </c>
      <c r="J5057" s="45">
        <v>220</v>
      </c>
      <c r="K5057" s="49" t="s">
        <v>5018</v>
      </c>
      <c r="L5057" s="46"/>
    </row>
    <row r="5058" spans="1:12" ht="25.5" x14ac:dyDescent="0.25">
      <c r="A5058" s="46" t="s">
        <v>10858</v>
      </c>
      <c r="B5058" s="46" t="s">
        <v>38</v>
      </c>
      <c r="C5058" s="46" t="s">
        <v>14</v>
      </c>
      <c r="D5058" s="47">
        <v>12325</v>
      </c>
      <c r="E5058" s="46" t="s">
        <v>10850</v>
      </c>
      <c r="F5058" s="48">
        <v>41275</v>
      </c>
      <c r="G5058" s="48">
        <v>41639</v>
      </c>
      <c r="H5058" s="46" t="s">
        <v>651</v>
      </c>
      <c r="I5058" s="45">
        <v>334</v>
      </c>
      <c r="J5058" s="45">
        <v>334</v>
      </c>
      <c r="K5058" s="49" t="s">
        <v>5018</v>
      </c>
      <c r="L5058" s="46"/>
    </row>
    <row r="5059" spans="1:12" ht="25.5" x14ac:dyDescent="0.25">
      <c r="A5059" s="46" t="s">
        <v>10859</v>
      </c>
      <c r="B5059" s="46" t="s">
        <v>38</v>
      </c>
      <c r="C5059" s="46" t="s">
        <v>14</v>
      </c>
      <c r="D5059" s="47">
        <v>12326</v>
      </c>
      <c r="E5059" s="46" t="s">
        <v>10843</v>
      </c>
      <c r="F5059" s="48">
        <v>41275</v>
      </c>
      <c r="G5059" s="48">
        <v>41639</v>
      </c>
      <c r="H5059" s="46" t="s">
        <v>651</v>
      </c>
      <c r="I5059" s="45">
        <v>762</v>
      </c>
      <c r="J5059" s="45">
        <v>762</v>
      </c>
      <c r="K5059" s="49" t="s">
        <v>5018</v>
      </c>
      <c r="L5059" s="46"/>
    </row>
    <row r="5060" spans="1:12" ht="25.5" x14ac:dyDescent="0.25">
      <c r="A5060" s="46" t="s">
        <v>10860</v>
      </c>
      <c r="B5060" s="46" t="s">
        <v>38</v>
      </c>
      <c r="C5060" s="46" t="s">
        <v>14</v>
      </c>
      <c r="D5060" s="47">
        <v>12327</v>
      </c>
      <c r="E5060" s="46" t="s">
        <v>10852</v>
      </c>
      <c r="F5060" s="48">
        <v>41275</v>
      </c>
      <c r="G5060" s="48">
        <v>41639</v>
      </c>
      <c r="H5060" s="46" t="s">
        <v>651</v>
      </c>
      <c r="I5060" s="45">
        <v>300</v>
      </c>
      <c r="J5060" s="45">
        <v>300</v>
      </c>
      <c r="K5060" s="49" t="s">
        <v>5018</v>
      </c>
      <c r="L5060" s="46"/>
    </row>
    <row r="5061" spans="1:12" ht="25.5" x14ac:dyDescent="0.25">
      <c r="A5061" s="46" t="s">
        <v>10861</v>
      </c>
      <c r="B5061" s="46" t="s">
        <v>38</v>
      </c>
      <c r="C5061" s="46" t="s">
        <v>14</v>
      </c>
      <c r="D5061" s="47">
        <v>12328</v>
      </c>
      <c r="E5061" s="46" t="s">
        <v>10862</v>
      </c>
      <c r="F5061" s="48">
        <v>41275</v>
      </c>
      <c r="G5061" s="48">
        <v>41639</v>
      </c>
      <c r="H5061" s="46" t="s">
        <v>651</v>
      </c>
      <c r="I5061" s="45">
        <v>926</v>
      </c>
      <c r="J5061" s="45">
        <v>926</v>
      </c>
      <c r="K5061" s="49" t="s">
        <v>5018</v>
      </c>
      <c r="L5061" s="46"/>
    </row>
    <row r="5062" spans="1:12" ht="25.5" x14ac:dyDescent="0.25">
      <c r="A5062" s="46" t="s">
        <v>10863</v>
      </c>
      <c r="B5062" s="46" t="s">
        <v>38</v>
      </c>
      <c r="C5062" s="46" t="s">
        <v>14</v>
      </c>
      <c r="D5062" s="47">
        <v>12329</v>
      </c>
      <c r="E5062" s="46" t="s">
        <v>10864</v>
      </c>
      <c r="F5062" s="48">
        <v>41275</v>
      </c>
      <c r="G5062" s="48">
        <v>41639</v>
      </c>
      <c r="H5062" s="46" t="s">
        <v>651</v>
      </c>
      <c r="I5062" s="45">
        <v>585</v>
      </c>
      <c r="J5062" s="45">
        <v>585</v>
      </c>
      <c r="K5062" s="49" t="s">
        <v>5018</v>
      </c>
      <c r="L5062" s="46"/>
    </row>
    <row r="5063" spans="1:12" ht="25.5" x14ac:dyDescent="0.25">
      <c r="A5063" s="46" t="s">
        <v>10865</v>
      </c>
      <c r="B5063" s="46" t="s">
        <v>38</v>
      </c>
      <c r="C5063" s="46" t="s">
        <v>14</v>
      </c>
      <c r="D5063" s="47">
        <v>12330</v>
      </c>
      <c r="E5063" s="46" t="s">
        <v>10848</v>
      </c>
      <c r="F5063" s="48">
        <v>41275</v>
      </c>
      <c r="G5063" s="48">
        <v>41639</v>
      </c>
      <c r="H5063" s="46" t="s">
        <v>651</v>
      </c>
      <c r="I5063" s="45">
        <v>271.5</v>
      </c>
      <c r="J5063" s="45">
        <v>271.5</v>
      </c>
      <c r="K5063" s="49" t="s">
        <v>5018</v>
      </c>
      <c r="L5063" s="46"/>
    </row>
    <row r="5064" spans="1:12" ht="25.5" x14ac:dyDescent="0.25">
      <c r="A5064" s="46" t="s">
        <v>10866</v>
      </c>
      <c r="B5064" s="46" t="s">
        <v>38</v>
      </c>
      <c r="C5064" s="46" t="s">
        <v>14</v>
      </c>
      <c r="D5064" s="47">
        <v>12331</v>
      </c>
      <c r="E5064" s="46" t="s">
        <v>10338</v>
      </c>
      <c r="F5064" s="48">
        <v>41275</v>
      </c>
      <c r="G5064" s="48">
        <v>41639</v>
      </c>
      <c r="H5064" s="46" t="s">
        <v>651</v>
      </c>
      <c r="I5064" s="45">
        <v>399</v>
      </c>
      <c r="J5064" s="45">
        <v>399</v>
      </c>
      <c r="K5064" s="49" t="s">
        <v>5018</v>
      </c>
      <c r="L5064" s="46"/>
    </row>
    <row r="5065" spans="1:12" ht="25.5" x14ac:dyDescent="0.25">
      <c r="A5065" s="46" t="s">
        <v>10867</v>
      </c>
      <c r="B5065" s="46" t="s">
        <v>38</v>
      </c>
      <c r="C5065" s="46" t="s">
        <v>14</v>
      </c>
      <c r="D5065" s="47">
        <v>12332</v>
      </c>
      <c r="E5065" s="46" t="s">
        <v>10868</v>
      </c>
      <c r="F5065" s="48">
        <v>41275</v>
      </c>
      <c r="G5065" s="48">
        <v>41639</v>
      </c>
      <c r="H5065" s="46" t="s">
        <v>651</v>
      </c>
      <c r="I5065" s="45">
        <v>947</v>
      </c>
      <c r="J5065" s="45">
        <v>947</v>
      </c>
      <c r="K5065" s="49" t="s">
        <v>5018</v>
      </c>
      <c r="L5065" s="46"/>
    </row>
    <row r="5066" spans="1:12" ht="25.5" x14ac:dyDescent="0.25">
      <c r="A5066" s="46" t="s">
        <v>10869</v>
      </c>
      <c r="B5066" s="46" t="s">
        <v>38</v>
      </c>
      <c r="C5066" s="46" t="s">
        <v>14</v>
      </c>
      <c r="D5066" s="47">
        <v>12333</v>
      </c>
      <c r="E5066" s="46" t="s">
        <v>10870</v>
      </c>
      <c r="F5066" s="48">
        <v>41275</v>
      </c>
      <c r="G5066" s="48">
        <v>41639</v>
      </c>
      <c r="H5066" s="46" t="s">
        <v>651</v>
      </c>
      <c r="I5066" s="45">
        <v>6011.8</v>
      </c>
      <c r="J5066" s="45">
        <v>6011.8</v>
      </c>
      <c r="K5066" s="49" t="s">
        <v>5018</v>
      </c>
      <c r="L5066" s="46"/>
    </row>
    <row r="5067" spans="1:12" ht="25.5" x14ac:dyDescent="0.25">
      <c r="A5067" s="46" t="s">
        <v>10871</v>
      </c>
      <c r="B5067" s="46" t="s">
        <v>38</v>
      </c>
      <c r="C5067" s="46" t="s">
        <v>14</v>
      </c>
      <c r="D5067" s="47">
        <v>12334</v>
      </c>
      <c r="E5067" s="46" t="s">
        <v>10872</v>
      </c>
      <c r="F5067" s="48">
        <v>41275</v>
      </c>
      <c r="G5067" s="48">
        <v>41639</v>
      </c>
      <c r="H5067" s="46" t="s">
        <v>651</v>
      </c>
      <c r="I5067" s="45">
        <v>1169.9000000000001</v>
      </c>
      <c r="J5067" s="45">
        <v>1169.9000000000001</v>
      </c>
      <c r="K5067" s="49" t="s">
        <v>5018</v>
      </c>
      <c r="L5067" s="46"/>
    </row>
    <row r="5068" spans="1:12" ht="25.5" x14ac:dyDescent="0.25">
      <c r="A5068" s="46" t="s">
        <v>5796</v>
      </c>
      <c r="B5068" s="46" t="s">
        <v>38</v>
      </c>
      <c r="C5068" s="46" t="s">
        <v>14</v>
      </c>
      <c r="D5068" s="47">
        <v>12335</v>
      </c>
      <c r="E5068" s="46" t="s">
        <v>10873</v>
      </c>
      <c r="F5068" s="48">
        <v>41275</v>
      </c>
      <c r="G5068" s="48">
        <v>41639</v>
      </c>
      <c r="H5068" s="46" t="s">
        <v>651</v>
      </c>
      <c r="I5068" s="45">
        <v>3256.59</v>
      </c>
      <c r="J5068" s="45">
        <v>3256.59</v>
      </c>
      <c r="K5068" s="49" t="s">
        <v>5018</v>
      </c>
      <c r="L5068" s="46"/>
    </row>
    <row r="5069" spans="1:12" ht="25.5" x14ac:dyDescent="0.25">
      <c r="A5069" s="46" t="s">
        <v>10874</v>
      </c>
      <c r="B5069" s="46" t="s">
        <v>38</v>
      </c>
      <c r="C5069" s="46" t="s">
        <v>14</v>
      </c>
      <c r="D5069" s="47">
        <v>12337</v>
      </c>
      <c r="E5069" s="46" t="s">
        <v>10875</v>
      </c>
      <c r="F5069" s="48">
        <v>41275</v>
      </c>
      <c r="G5069" s="48">
        <v>41639</v>
      </c>
      <c r="H5069" s="46" t="s">
        <v>651</v>
      </c>
      <c r="I5069" s="45">
        <v>745</v>
      </c>
      <c r="J5069" s="45">
        <v>745</v>
      </c>
      <c r="K5069" s="49" t="s">
        <v>5018</v>
      </c>
      <c r="L5069" s="46"/>
    </row>
    <row r="5070" spans="1:12" ht="25.5" x14ac:dyDescent="0.25">
      <c r="A5070" s="46" t="s">
        <v>10876</v>
      </c>
      <c r="B5070" s="46" t="s">
        <v>38</v>
      </c>
      <c r="C5070" s="46" t="s">
        <v>14</v>
      </c>
      <c r="D5070" s="47">
        <v>12338</v>
      </c>
      <c r="E5070" s="46" t="s">
        <v>10877</v>
      </c>
      <c r="F5070" s="48">
        <v>41275</v>
      </c>
      <c r="G5070" s="48">
        <v>41639</v>
      </c>
      <c r="H5070" s="46" t="s">
        <v>651</v>
      </c>
      <c r="I5070" s="45">
        <v>550</v>
      </c>
      <c r="J5070" s="45">
        <v>550</v>
      </c>
      <c r="K5070" s="49" t="s">
        <v>5018</v>
      </c>
      <c r="L5070" s="46"/>
    </row>
    <row r="5071" spans="1:12" ht="25.5" x14ac:dyDescent="0.25">
      <c r="A5071" s="46" t="s">
        <v>10878</v>
      </c>
      <c r="B5071" s="46" t="s">
        <v>38</v>
      </c>
      <c r="C5071" s="46" t="s">
        <v>14</v>
      </c>
      <c r="D5071" s="47">
        <v>12339</v>
      </c>
      <c r="E5071" s="46" t="s">
        <v>10879</v>
      </c>
      <c r="F5071" s="48">
        <v>41275</v>
      </c>
      <c r="G5071" s="48">
        <v>41639</v>
      </c>
      <c r="H5071" s="46" t="s">
        <v>651</v>
      </c>
      <c r="I5071" s="45">
        <v>810</v>
      </c>
      <c r="J5071" s="45">
        <v>810</v>
      </c>
      <c r="K5071" s="49" t="s">
        <v>5018</v>
      </c>
      <c r="L5071" s="46"/>
    </row>
    <row r="5072" spans="1:12" ht="25.5" x14ac:dyDescent="0.25">
      <c r="A5072" s="46" t="s">
        <v>10880</v>
      </c>
      <c r="B5072" s="46" t="s">
        <v>38</v>
      </c>
      <c r="C5072" s="46" t="s">
        <v>14</v>
      </c>
      <c r="D5072" s="47">
        <v>12340</v>
      </c>
      <c r="E5072" s="46" t="s">
        <v>10881</v>
      </c>
      <c r="F5072" s="48">
        <v>41275</v>
      </c>
      <c r="G5072" s="48">
        <v>41639</v>
      </c>
      <c r="H5072" s="46" t="s">
        <v>651</v>
      </c>
      <c r="I5072" s="45">
        <v>530</v>
      </c>
      <c r="J5072" s="45">
        <v>530</v>
      </c>
      <c r="K5072" s="49" t="s">
        <v>5018</v>
      </c>
      <c r="L5072" s="46"/>
    </row>
    <row r="5073" spans="1:13" ht="25.5" x14ac:dyDescent="0.25">
      <c r="A5073" s="46" t="s">
        <v>10882</v>
      </c>
      <c r="B5073" s="46" t="s">
        <v>38</v>
      </c>
      <c r="C5073" s="46" t="s">
        <v>14</v>
      </c>
      <c r="D5073" s="47">
        <v>12341</v>
      </c>
      <c r="E5073" s="46" t="s">
        <v>10883</v>
      </c>
      <c r="F5073" s="48">
        <v>41275</v>
      </c>
      <c r="G5073" s="48">
        <v>41639</v>
      </c>
      <c r="H5073" s="46" t="s">
        <v>651</v>
      </c>
      <c r="I5073" s="45">
        <v>745</v>
      </c>
      <c r="J5073" s="45">
        <v>745</v>
      </c>
      <c r="K5073" s="49" t="s">
        <v>5018</v>
      </c>
      <c r="L5073" s="46"/>
    </row>
    <row r="5074" spans="1:13" ht="25.5" x14ac:dyDescent="0.25">
      <c r="A5074" s="46" t="s">
        <v>10884</v>
      </c>
      <c r="B5074" s="46" t="s">
        <v>38</v>
      </c>
      <c r="C5074" s="46" t="s">
        <v>14</v>
      </c>
      <c r="D5074" s="47">
        <v>12342</v>
      </c>
      <c r="E5074" s="46" t="s">
        <v>10885</v>
      </c>
      <c r="F5074" s="48">
        <v>41275</v>
      </c>
      <c r="G5074" s="48">
        <v>41639</v>
      </c>
      <c r="H5074" s="46" t="s">
        <v>651</v>
      </c>
      <c r="I5074" s="45">
        <v>635</v>
      </c>
      <c r="J5074" s="45">
        <v>635</v>
      </c>
      <c r="K5074" s="49" t="s">
        <v>5018</v>
      </c>
      <c r="L5074" s="46"/>
    </row>
    <row r="5075" spans="1:13" ht="25.5" x14ac:dyDescent="0.25">
      <c r="A5075" s="46" t="s">
        <v>10886</v>
      </c>
      <c r="B5075" s="46" t="s">
        <v>38</v>
      </c>
      <c r="C5075" s="46" t="s">
        <v>14</v>
      </c>
      <c r="D5075" s="47">
        <v>12365</v>
      </c>
      <c r="E5075" s="46" t="s">
        <v>104</v>
      </c>
      <c r="F5075" s="48">
        <v>41275</v>
      </c>
      <c r="G5075" s="48">
        <v>41639</v>
      </c>
      <c r="H5075" s="46" t="s">
        <v>651</v>
      </c>
      <c r="I5075" s="45">
        <v>53744.7</v>
      </c>
      <c r="J5075" s="45">
        <v>53744.7</v>
      </c>
      <c r="K5075" s="49" t="s">
        <v>5018</v>
      </c>
      <c r="L5075" s="46"/>
    </row>
    <row r="5076" spans="1:13" ht="25.5" x14ac:dyDescent="0.25">
      <c r="A5076" s="46" t="s">
        <v>5939</v>
      </c>
      <c r="B5076" s="46" t="s">
        <v>38</v>
      </c>
      <c r="C5076" s="46" t="s">
        <v>14</v>
      </c>
      <c r="D5076" s="47">
        <v>659</v>
      </c>
      <c r="E5076" s="46" t="s">
        <v>5940</v>
      </c>
      <c r="F5076" s="48">
        <v>39083</v>
      </c>
      <c r="G5076" s="46"/>
      <c r="H5076" s="46" t="s">
        <v>40</v>
      </c>
      <c r="I5076" s="45">
        <f>106233.68+23634.96</f>
        <v>129868.63999999998</v>
      </c>
      <c r="J5076" s="45">
        <f>105915.68+23634.96</f>
        <v>129550.63999999998</v>
      </c>
      <c r="K5076" s="49" t="s">
        <v>5815</v>
      </c>
      <c r="L5076" s="45"/>
      <c r="M5076" s="3"/>
    </row>
    <row r="5077" spans="1:13" ht="38.25" x14ac:dyDescent="0.25">
      <c r="A5077" s="46" t="s">
        <v>5941</v>
      </c>
      <c r="B5077" s="46" t="s">
        <v>38</v>
      </c>
      <c r="C5077" s="46" t="s">
        <v>14</v>
      </c>
      <c r="D5077" s="47">
        <v>660</v>
      </c>
      <c r="E5077" s="46" t="s">
        <v>5942</v>
      </c>
      <c r="F5077" s="48">
        <v>39083</v>
      </c>
      <c r="G5077" s="46"/>
      <c r="H5077" s="46" t="s">
        <v>40</v>
      </c>
      <c r="I5077" s="45">
        <f>68232.95+6699.34</f>
        <v>74932.289999999994</v>
      </c>
      <c r="J5077" s="45">
        <f>68232.95+6699.34</f>
        <v>74932.289999999994</v>
      </c>
      <c r="K5077" s="49" t="s">
        <v>5815</v>
      </c>
      <c r="L5077" s="45"/>
      <c r="M5077" s="3"/>
    </row>
    <row r="5078" spans="1:13" ht="25.5" x14ac:dyDescent="0.25">
      <c r="A5078" s="46" t="s">
        <v>5943</v>
      </c>
      <c r="B5078" s="46" t="s">
        <v>38</v>
      </c>
      <c r="C5078" s="46" t="s">
        <v>14</v>
      </c>
      <c r="D5078" s="47">
        <v>661</v>
      </c>
      <c r="E5078" s="46" t="s">
        <v>5944</v>
      </c>
      <c r="F5078" s="48">
        <v>39083</v>
      </c>
      <c r="G5078" s="46"/>
      <c r="H5078" s="46" t="s">
        <v>40</v>
      </c>
      <c r="I5078" s="45">
        <v>8294.9599999999991</v>
      </c>
      <c r="J5078" s="45">
        <v>916.8</v>
      </c>
      <c r="K5078" s="49" t="s">
        <v>5815</v>
      </c>
      <c r="L5078" s="45"/>
      <c r="M5078" s="3"/>
    </row>
    <row r="5079" spans="1:13" ht="25.5" x14ac:dyDescent="0.25">
      <c r="A5079" s="46" t="s">
        <v>5945</v>
      </c>
      <c r="B5079" s="46" t="s">
        <v>38</v>
      </c>
      <c r="C5079" s="46" t="s">
        <v>14</v>
      </c>
      <c r="D5079" s="47">
        <v>662</v>
      </c>
      <c r="E5079" s="46" t="s">
        <v>5946</v>
      </c>
      <c r="F5079" s="48">
        <v>39083</v>
      </c>
      <c r="G5079" s="46"/>
      <c r="H5079" s="46" t="s">
        <v>40</v>
      </c>
      <c r="I5079" s="45">
        <f>20474.9+1020</f>
        <v>21494.9</v>
      </c>
      <c r="J5079" s="45">
        <f>20474.9+1020</f>
        <v>21494.9</v>
      </c>
      <c r="K5079" s="49" t="s">
        <v>5815</v>
      </c>
      <c r="L5079" s="45"/>
      <c r="M5079" s="3"/>
    </row>
    <row r="5080" spans="1:13" ht="25.5" x14ac:dyDescent="0.25">
      <c r="A5080" s="46" t="s">
        <v>5947</v>
      </c>
      <c r="B5080" s="46" t="s">
        <v>38</v>
      </c>
      <c r="C5080" s="46" t="s">
        <v>14</v>
      </c>
      <c r="D5080" s="47">
        <v>663</v>
      </c>
      <c r="E5080" s="46" t="s">
        <v>5948</v>
      </c>
      <c r="F5080" s="48">
        <v>39083</v>
      </c>
      <c r="G5080" s="48">
        <v>39813</v>
      </c>
      <c r="H5080" s="46" t="s">
        <v>40</v>
      </c>
      <c r="I5080" s="45">
        <v>2000</v>
      </c>
      <c r="J5080" s="45">
        <v>2000</v>
      </c>
      <c r="K5080" s="49" t="s">
        <v>5815</v>
      </c>
      <c r="L5080" s="45"/>
      <c r="M5080" s="3"/>
    </row>
    <row r="5081" spans="1:13" ht="25.5" x14ac:dyDescent="0.25">
      <c r="A5081" s="46" t="s">
        <v>5949</v>
      </c>
      <c r="B5081" s="46" t="s">
        <v>38</v>
      </c>
      <c r="C5081" s="46" t="s">
        <v>14</v>
      </c>
      <c r="D5081" s="47">
        <v>664</v>
      </c>
      <c r="E5081" s="46" t="s">
        <v>5950</v>
      </c>
      <c r="F5081" s="48">
        <v>39083</v>
      </c>
      <c r="G5081" s="46"/>
      <c r="H5081" s="46" t="s">
        <v>40</v>
      </c>
      <c r="I5081" s="45">
        <v>5500</v>
      </c>
      <c r="J5081" s="45">
        <v>5500</v>
      </c>
      <c r="K5081" s="49" t="s">
        <v>5815</v>
      </c>
      <c r="L5081" s="45"/>
      <c r="M5081" s="3"/>
    </row>
    <row r="5082" spans="1:13" ht="25.5" x14ac:dyDescent="0.25">
      <c r="A5082" s="46" t="s">
        <v>5951</v>
      </c>
      <c r="B5082" s="46" t="s">
        <v>38</v>
      </c>
      <c r="C5082" s="46" t="s">
        <v>14</v>
      </c>
      <c r="D5082" s="47">
        <v>665</v>
      </c>
      <c r="E5082" s="46" t="s">
        <v>5952</v>
      </c>
      <c r="F5082" s="48">
        <v>39083</v>
      </c>
      <c r="G5082" s="46"/>
      <c r="H5082" s="46" t="s">
        <v>40</v>
      </c>
      <c r="I5082" s="45">
        <v>59359.49</v>
      </c>
      <c r="J5082" s="45">
        <v>54644.49</v>
      </c>
      <c r="K5082" s="49" t="s">
        <v>5815</v>
      </c>
      <c r="L5082" s="45"/>
      <c r="M5082" s="3"/>
    </row>
    <row r="5083" spans="1:13" ht="38.25" x14ac:dyDescent="0.25">
      <c r="A5083" s="46" t="s">
        <v>5953</v>
      </c>
      <c r="B5083" s="46" t="s">
        <v>38</v>
      </c>
      <c r="C5083" s="46" t="s">
        <v>14</v>
      </c>
      <c r="D5083" s="47">
        <v>666</v>
      </c>
      <c r="E5083" s="46" t="s">
        <v>5954</v>
      </c>
      <c r="F5083" s="48">
        <v>39083</v>
      </c>
      <c r="G5083" s="46"/>
      <c r="H5083" s="46" t="s">
        <v>40</v>
      </c>
      <c r="I5083" s="45">
        <v>21466.17</v>
      </c>
      <c r="J5083" s="45">
        <v>21466.17</v>
      </c>
      <c r="K5083" s="49" t="s">
        <v>5815</v>
      </c>
      <c r="L5083" s="45"/>
      <c r="M5083" s="3"/>
    </row>
    <row r="5084" spans="1:13" ht="25.5" x14ac:dyDescent="0.25">
      <c r="A5084" s="46" t="s">
        <v>5955</v>
      </c>
      <c r="B5084" s="46" t="s">
        <v>38</v>
      </c>
      <c r="C5084" s="46" t="s">
        <v>14</v>
      </c>
      <c r="D5084" s="47">
        <v>667</v>
      </c>
      <c r="E5084" s="46" t="s">
        <v>5956</v>
      </c>
      <c r="F5084" s="48">
        <v>39083</v>
      </c>
      <c r="G5084" s="46"/>
      <c r="H5084" s="46" t="s">
        <v>40</v>
      </c>
      <c r="I5084" s="45">
        <f>48749.59+6871.4</f>
        <v>55620.99</v>
      </c>
      <c r="J5084" s="45">
        <f>45969.59+6871.4</f>
        <v>52840.99</v>
      </c>
      <c r="K5084" s="49" t="s">
        <v>5815</v>
      </c>
      <c r="L5084" s="45"/>
      <c r="M5084" s="3"/>
    </row>
    <row r="5085" spans="1:13" ht="25.5" x14ac:dyDescent="0.25">
      <c r="A5085" s="46" t="s">
        <v>5957</v>
      </c>
      <c r="B5085" s="46" t="s">
        <v>38</v>
      </c>
      <c r="C5085" s="46" t="s">
        <v>14</v>
      </c>
      <c r="D5085" s="47">
        <v>668</v>
      </c>
      <c r="E5085" s="46" t="s">
        <v>5958</v>
      </c>
      <c r="F5085" s="48">
        <v>39083</v>
      </c>
      <c r="G5085" s="46"/>
      <c r="H5085" s="46" t="s">
        <v>40</v>
      </c>
      <c r="I5085" s="45">
        <v>3933.33</v>
      </c>
      <c r="J5085" s="45">
        <v>3933.33</v>
      </c>
      <c r="K5085" s="49" t="s">
        <v>5815</v>
      </c>
      <c r="L5085" s="45"/>
      <c r="M5085" s="3"/>
    </row>
    <row r="5086" spans="1:13" ht="38.25" x14ac:dyDescent="0.25">
      <c r="A5086" s="46" t="s">
        <v>5959</v>
      </c>
      <c r="B5086" s="46" t="s">
        <v>38</v>
      </c>
      <c r="C5086" s="46" t="s">
        <v>14</v>
      </c>
      <c r="D5086" s="47">
        <v>669</v>
      </c>
      <c r="E5086" s="46" t="s">
        <v>5960</v>
      </c>
      <c r="F5086" s="48">
        <v>39083</v>
      </c>
      <c r="G5086" s="46"/>
      <c r="H5086" s="46" t="s">
        <v>40</v>
      </c>
      <c r="I5086" s="45">
        <f>78567.69+3000</f>
        <v>81567.69</v>
      </c>
      <c r="J5086" s="45">
        <f>78567.69+3000</f>
        <v>81567.69</v>
      </c>
      <c r="K5086" s="49" t="s">
        <v>5815</v>
      </c>
      <c r="L5086" s="45"/>
      <c r="M5086" s="3"/>
    </row>
    <row r="5087" spans="1:13" ht="25.5" x14ac:dyDescent="0.25">
      <c r="A5087" s="46" t="s">
        <v>5961</v>
      </c>
      <c r="B5087" s="46" t="s">
        <v>38</v>
      </c>
      <c r="C5087" s="46" t="s">
        <v>14</v>
      </c>
      <c r="D5087" s="47">
        <v>670</v>
      </c>
      <c r="E5087" s="46" t="s">
        <v>5962</v>
      </c>
      <c r="F5087" s="48">
        <v>39083</v>
      </c>
      <c r="G5087" s="46"/>
      <c r="H5087" s="46" t="s">
        <v>40</v>
      </c>
      <c r="I5087" s="45">
        <f>30800.35+4076.06</f>
        <v>34876.409999999996</v>
      </c>
      <c r="J5087" s="45">
        <f>30485.35+4076.06</f>
        <v>34561.409999999996</v>
      </c>
      <c r="K5087" s="49" t="s">
        <v>5815</v>
      </c>
      <c r="L5087" s="45"/>
      <c r="M5087" s="3"/>
    </row>
    <row r="5088" spans="1:13" ht="25.5" x14ac:dyDescent="0.25">
      <c r="A5088" s="46" t="s">
        <v>5963</v>
      </c>
      <c r="B5088" s="46" t="s">
        <v>38</v>
      </c>
      <c r="C5088" s="46" t="s">
        <v>14</v>
      </c>
      <c r="D5088" s="47">
        <v>671</v>
      </c>
      <c r="E5088" s="46" t="s">
        <v>5964</v>
      </c>
      <c r="F5088" s="48">
        <v>39083</v>
      </c>
      <c r="G5088" s="46"/>
      <c r="H5088" s="46" t="s">
        <v>40</v>
      </c>
      <c r="I5088" s="45">
        <f>85210.45+229.55</f>
        <v>85440</v>
      </c>
      <c r="J5088" s="45">
        <v>85440</v>
      </c>
      <c r="K5088" s="49" t="s">
        <v>5815</v>
      </c>
      <c r="L5088" s="45"/>
      <c r="M5088" s="3"/>
    </row>
    <row r="5089" spans="1:13" ht="38.25" x14ac:dyDescent="0.25">
      <c r="A5089" s="46" t="s">
        <v>5965</v>
      </c>
      <c r="B5089" s="46" t="s">
        <v>38</v>
      </c>
      <c r="C5089" s="46" t="s">
        <v>14</v>
      </c>
      <c r="D5089" s="47">
        <v>672</v>
      </c>
      <c r="E5089" s="46" t="s">
        <v>5966</v>
      </c>
      <c r="F5089" s="48">
        <v>39083</v>
      </c>
      <c r="G5089" s="46"/>
      <c r="H5089" s="46" t="s">
        <v>40</v>
      </c>
      <c r="I5089" s="45">
        <v>27846.95</v>
      </c>
      <c r="J5089" s="45">
        <v>25716.95</v>
      </c>
      <c r="K5089" s="49" t="s">
        <v>5815</v>
      </c>
      <c r="L5089" s="45"/>
      <c r="M5089" s="3"/>
    </row>
    <row r="5090" spans="1:13" ht="25.5" x14ac:dyDescent="0.25">
      <c r="A5090" s="46" t="s">
        <v>5967</v>
      </c>
      <c r="B5090" s="46" t="s">
        <v>38</v>
      </c>
      <c r="C5090" s="46" t="s">
        <v>14</v>
      </c>
      <c r="D5090" s="47">
        <v>673</v>
      </c>
      <c r="E5090" s="46" t="s">
        <v>5968</v>
      </c>
      <c r="F5090" s="48">
        <v>39083</v>
      </c>
      <c r="G5090" s="46"/>
      <c r="H5090" s="46" t="s">
        <v>40</v>
      </c>
      <c r="I5090" s="45">
        <v>5000</v>
      </c>
      <c r="J5090" s="45">
        <v>5000</v>
      </c>
      <c r="K5090" s="49" t="s">
        <v>5815</v>
      </c>
      <c r="L5090" s="45"/>
      <c r="M5090" s="3"/>
    </row>
    <row r="5091" spans="1:13" ht="25.5" x14ac:dyDescent="0.25">
      <c r="A5091" s="46" t="s">
        <v>5971</v>
      </c>
      <c r="B5091" s="46" t="s">
        <v>38</v>
      </c>
      <c r="C5091" s="46" t="s">
        <v>14</v>
      </c>
      <c r="D5091" s="47">
        <v>675</v>
      </c>
      <c r="E5091" s="46" t="s">
        <v>5972</v>
      </c>
      <c r="F5091" s="48">
        <v>39083</v>
      </c>
      <c r="G5091" s="46"/>
      <c r="H5091" s="46" t="s">
        <v>40</v>
      </c>
      <c r="I5091" s="45">
        <f>91425.53+17625.25</f>
        <v>109050.78</v>
      </c>
      <c r="J5091" s="45">
        <f>91425.53+17625.25</f>
        <v>109050.78</v>
      </c>
      <c r="K5091" s="49" t="s">
        <v>5815</v>
      </c>
      <c r="L5091" s="45"/>
      <c r="M5091" s="3"/>
    </row>
    <row r="5092" spans="1:13" ht="38.25" x14ac:dyDescent="0.25">
      <c r="A5092" s="46" t="s">
        <v>5973</v>
      </c>
      <c r="B5092" s="46" t="s">
        <v>38</v>
      </c>
      <c r="C5092" s="46" t="s">
        <v>14</v>
      </c>
      <c r="D5092" s="47">
        <v>676</v>
      </c>
      <c r="E5092" s="46" t="s">
        <v>5974</v>
      </c>
      <c r="F5092" s="48">
        <v>39083</v>
      </c>
      <c r="G5092" s="46"/>
      <c r="H5092" s="46" t="s">
        <v>40</v>
      </c>
      <c r="I5092" s="45">
        <f>90845.2+15518.44</f>
        <v>106363.64</v>
      </c>
      <c r="J5092" s="45">
        <f>68776.85+15518.44</f>
        <v>84295.290000000008</v>
      </c>
      <c r="K5092" s="49" t="s">
        <v>5815</v>
      </c>
      <c r="L5092" s="45"/>
      <c r="M5092" s="3"/>
    </row>
    <row r="5093" spans="1:13" ht="25.5" x14ac:dyDescent="0.25">
      <c r="A5093" s="46" t="s">
        <v>5975</v>
      </c>
      <c r="B5093" s="46" t="s">
        <v>38</v>
      </c>
      <c r="C5093" s="46" t="s">
        <v>14</v>
      </c>
      <c r="D5093" s="47">
        <v>677</v>
      </c>
      <c r="E5093" s="46" t="s">
        <v>5976</v>
      </c>
      <c r="F5093" s="48">
        <v>39083</v>
      </c>
      <c r="G5093" s="46"/>
      <c r="H5093" s="46" t="s">
        <v>40</v>
      </c>
      <c r="I5093" s="45">
        <f>122226.58+6677.5</f>
        <v>128904.08</v>
      </c>
      <c r="J5093" s="45">
        <f>99690.21+6677.5</f>
        <v>106367.71</v>
      </c>
      <c r="K5093" s="49" t="s">
        <v>5815</v>
      </c>
      <c r="L5093" s="45"/>
      <c r="M5093" s="3"/>
    </row>
    <row r="5094" spans="1:13" ht="38.25" x14ac:dyDescent="0.25">
      <c r="A5094" s="46" t="s">
        <v>5977</v>
      </c>
      <c r="B5094" s="46" t="s">
        <v>38</v>
      </c>
      <c r="C5094" s="46" t="s">
        <v>14</v>
      </c>
      <c r="D5094" s="47">
        <v>678</v>
      </c>
      <c r="E5094" s="50" t="s">
        <v>5978</v>
      </c>
      <c r="F5094" s="48">
        <v>39083</v>
      </c>
      <c r="G5094" s="46"/>
      <c r="H5094" s="46" t="s">
        <v>40</v>
      </c>
      <c r="I5094" s="45">
        <v>18415.63</v>
      </c>
      <c r="J5094" s="45">
        <v>16531</v>
      </c>
      <c r="K5094" s="49" t="s">
        <v>5815</v>
      </c>
      <c r="L5094" s="45"/>
      <c r="M5094" s="3"/>
    </row>
    <row r="5095" spans="1:13" ht="25.5" x14ac:dyDescent="0.25">
      <c r="A5095" s="46" t="s">
        <v>5979</v>
      </c>
      <c r="B5095" s="46" t="s">
        <v>38</v>
      </c>
      <c r="C5095" s="46" t="s">
        <v>14</v>
      </c>
      <c r="D5095" s="47">
        <v>679</v>
      </c>
      <c r="E5095" s="46" t="s">
        <v>5980</v>
      </c>
      <c r="F5095" s="48">
        <v>39083</v>
      </c>
      <c r="G5095" s="48">
        <v>39813</v>
      </c>
      <c r="H5095" s="46" t="s">
        <v>40</v>
      </c>
      <c r="I5095" s="45">
        <v>4000</v>
      </c>
      <c r="J5095" s="45">
        <v>4000</v>
      </c>
      <c r="K5095" s="49" t="s">
        <v>5815</v>
      </c>
      <c r="L5095" s="45"/>
      <c r="M5095" s="3"/>
    </row>
    <row r="5096" spans="1:13" ht="25.5" x14ac:dyDescent="0.25">
      <c r="A5096" s="46" t="s">
        <v>5981</v>
      </c>
      <c r="B5096" s="46" t="s">
        <v>38</v>
      </c>
      <c r="C5096" s="46" t="s">
        <v>14</v>
      </c>
      <c r="D5096" s="47">
        <v>680</v>
      </c>
      <c r="E5096" s="46" t="s">
        <v>5982</v>
      </c>
      <c r="F5096" s="48">
        <v>39083</v>
      </c>
      <c r="G5096" s="46"/>
      <c r="H5096" s="46" t="s">
        <v>40</v>
      </c>
      <c r="I5096" s="45">
        <v>11858.2</v>
      </c>
      <c r="J5096" s="45">
        <v>10858.2</v>
      </c>
      <c r="K5096" s="49" t="s">
        <v>5815</v>
      </c>
      <c r="L5096" s="45"/>
      <c r="M5096" s="3"/>
    </row>
    <row r="5097" spans="1:13" ht="25.5" x14ac:dyDescent="0.25">
      <c r="A5097" s="46" t="s">
        <v>5983</v>
      </c>
      <c r="B5097" s="46" t="s">
        <v>38</v>
      </c>
      <c r="C5097" s="46" t="s">
        <v>14</v>
      </c>
      <c r="D5097" s="47">
        <v>681</v>
      </c>
      <c r="E5097" s="46" t="s">
        <v>5984</v>
      </c>
      <c r="F5097" s="48">
        <v>39083</v>
      </c>
      <c r="G5097" s="46"/>
      <c r="H5097" s="46" t="s">
        <v>40</v>
      </c>
      <c r="I5097" s="45">
        <f>87788.3+12322.29</f>
        <v>100110.59</v>
      </c>
      <c r="J5097" s="45">
        <f>67662.53+12322.29</f>
        <v>79984.820000000007</v>
      </c>
      <c r="K5097" s="49" t="s">
        <v>5815</v>
      </c>
      <c r="L5097" s="45"/>
      <c r="M5097" s="3"/>
    </row>
    <row r="5098" spans="1:13" ht="38.25" x14ac:dyDescent="0.25">
      <c r="A5098" s="46" t="s">
        <v>5985</v>
      </c>
      <c r="B5098" s="46" t="s">
        <v>38</v>
      </c>
      <c r="C5098" s="46" t="s">
        <v>14</v>
      </c>
      <c r="D5098" s="47">
        <v>682</v>
      </c>
      <c r="E5098" s="46" t="s">
        <v>5986</v>
      </c>
      <c r="F5098" s="48">
        <v>39083</v>
      </c>
      <c r="G5098" s="46"/>
      <c r="H5098" s="46" t="s">
        <v>40</v>
      </c>
      <c r="I5098" s="45">
        <f>250570.53+47338.25</f>
        <v>297908.78000000003</v>
      </c>
      <c r="J5098" s="45">
        <f>190272.8+47338.25</f>
        <v>237611.05</v>
      </c>
      <c r="K5098" s="49" t="s">
        <v>5815</v>
      </c>
      <c r="L5098" s="45"/>
      <c r="M5098" s="3"/>
    </row>
    <row r="5099" spans="1:13" ht="25.5" x14ac:dyDescent="0.25">
      <c r="A5099" s="46" t="s">
        <v>5987</v>
      </c>
      <c r="B5099" s="46" t="s">
        <v>38</v>
      </c>
      <c r="C5099" s="46" t="s">
        <v>14</v>
      </c>
      <c r="D5099" s="47">
        <v>683</v>
      </c>
      <c r="E5099" s="46" t="s">
        <v>5988</v>
      </c>
      <c r="F5099" s="48">
        <v>39083</v>
      </c>
      <c r="G5099" s="48">
        <v>39813</v>
      </c>
      <c r="H5099" s="46" t="s">
        <v>40</v>
      </c>
      <c r="I5099" s="45">
        <v>5233.9399999999996</v>
      </c>
      <c r="J5099" s="45">
        <v>5233.9399999999996</v>
      </c>
      <c r="K5099" s="49" t="s">
        <v>5815</v>
      </c>
      <c r="L5099" s="45"/>
      <c r="M5099" s="3"/>
    </row>
    <row r="5100" spans="1:13" ht="25.5" x14ac:dyDescent="0.25">
      <c r="A5100" s="46" t="s">
        <v>5989</v>
      </c>
      <c r="B5100" s="46" t="s">
        <v>38</v>
      </c>
      <c r="C5100" s="46" t="s">
        <v>14</v>
      </c>
      <c r="D5100" s="47">
        <v>684</v>
      </c>
      <c r="E5100" s="46" t="s">
        <v>5990</v>
      </c>
      <c r="F5100" s="48">
        <v>39083</v>
      </c>
      <c r="G5100" s="46"/>
      <c r="H5100" s="46" t="s">
        <v>40</v>
      </c>
      <c r="I5100" s="45">
        <v>6997.43</v>
      </c>
      <c r="J5100" s="45">
        <v>6997.43</v>
      </c>
      <c r="K5100" s="49" t="s">
        <v>5815</v>
      </c>
      <c r="L5100" s="45"/>
      <c r="M5100" s="3"/>
    </row>
    <row r="5101" spans="1:13" ht="25.5" x14ac:dyDescent="0.25">
      <c r="A5101" s="46" t="s">
        <v>5993</v>
      </c>
      <c r="B5101" s="46" t="s">
        <v>38</v>
      </c>
      <c r="C5101" s="46" t="s">
        <v>14</v>
      </c>
      <c r="D5101" s="47">
        <v>687</v>
      </c>
      <c r="E5101" s="46" t="s">
        <v>5994</v>
      </c>
      <c r="F5101" s="48">
        <v>39083</v>
      </c>
      <c r="G5101" s="48">
        <v>39813</v>
      </c>
      <c r="H5101" s="46" t="s">
        <v>40</v>
      </c>
      <c r="I5101" s="45">
        <v>3207.65</v>
      </c>
      <c r="J5101" s="45">
        <v>3207.65</v>
      </c>
      <c r="K5101" s="49" t="s">
        <v>5815</v>
      </c>
      <c r="L5101" s="45"/>
      <c r="M5101" s="3"/>
    </row>
    <row r="5102" spans="1:13" ht="25.5" x14ac:dyDescent="0.25">
      <c r="A5102" s="46" t="s">
        <v>5995</v>
      </c>
      <c r="B5102" s="46" t="s">
        <v>38</v>
      </c>
      <c r="C5102" s="46" t="s">
        <v>14</v>
      </c>
      <c r="D5102" s="47">
        <v>688</v>
      </c>
      <c r="E5102" s="46" t="s">
        <v>5996</v>
      </c>
      <c r="F5102" s="48">
        <v>39083</v>
      </c>
      <c r="G5102" s="46"/>
      <c r="H5102" s="46" t="s">
        <v>40</v>
      </c>
      <c r="I5102" s="45">
        <v>1070</v>
      </c>
      <c r="J5102" s="45">
        <v>1070</v>
      </c>
      <c r="K5102" s="49" t="s">
        <v>5815</v>
      </c>
      <c r="L5102" s="45"/>
      <c r="M5102" s="3"/>
    </row>
    <row r="5103" spans="1:13" ht="63.75" x14ac:dyDescent="0.25">
      <c r="A5103" s="46" t="s">
        <v>5997</v>
      </c>
      <c r="B5103" s="46" t="s">
        <v>38</v>
      </c>
      <c r="C5103" s="46" t="s">
        <v>14</v>
      </c>
      <c r="D5103" s="47">
        <v>690</v>
      </c>
      <c r="E5103" s="50" t="s">
        <v>5998</v>
      </c>
      <c r="F5103" s="48">
        <v>39083</v>
      </c>
      <c r="G5103" s="46"/>
      <c r="H5103" s="46" t="s">
        <v>40</v>
      </c>
      <c r="I5103" s="45">
        <v>84425</v>
      </c>
      <c r="J5103" s="45">
        <v>84065</v>
      </c>
      <c r="K5103" s="49" t="s">
        <v>5815</v>
      </c>
      <c r="L5103" s="45"/>
      <c r="M5103" s="3"/>
    </row>
    <row r="5104" spans="1:13" ht="25.5" x14ac:dyDescent="0.25">
      <c r="A5104" s="46" t="s">
        <v>5999</v>
      </c>
      <c r="B5104" s="46" t="s">
        <v>38</v>
      </c>
      <c r="C5104" s="46" t="s">
        <v>14</v>
      </c>
      <c r="D5104" s="47">
        <v>691</v>
      </c>
      <c r="E5104" s="46" t="s">
        <v>6000</v>
      </c>
      <c r="F5104" s="48">
        <v>39083</v>
      </c>
      <c r="G5104" s="46"/>
      <c r="H5104" s="46" t="s">
        <v>40</v>
      </c>
      <c r="I5104" s="45">
        <f>91539.53+6275.78</f>
        <v>97815.31</v>
      </c>
      <c r="J5104" s="45">
        <f>90889.53+6275.78</f>
        <v>97165.31</v>
      </c>
      <c r="K5104" s="49" t="s">
        <v>5815</v>
      </c>
      <c r="L5104" s="45"/>
      <c r="M5104" s="3"/>
    </row>
    <row r="5105" spans="1:13" ht="25.5" x14ac:dyDescent="0.25">
      <c r="A5105" s="46" t="s">
        <v>6001</v>
      </c>
      <c r="B5105" s="46" t="s">
        <v>38</v>
      </c>
      <c r="C5105" s="46" t="s">
        <v>14</v>
      </c>
      <c r="D5105" s="47">
        <v>693</v>
      </c>
      <c r="E5105" s="46" t="s">
        <v>6002</v>
      </c>
      <c r="F5105" s="48">
        <v>39083</v>
      </c>
      <c r="G5105" s="48">
        <v>39813</v>
      </c>
      <c r="H5105" s="46" t="s">
        <v>40</v>
      </c>
      <c r="I5105" s="45">
        <v>6194.38</v>
      </c>
      <c r="J5105" s="45">
        <v>6194.38</v>
      </c>
      <c r="K5105" s="49" t="s">
        <v>5815</v>
      </c>
      <c r="L5105" s="45"/>
      <c r="M5105" s="3"/>
    </row>
    <row r="5106" spans="1:13" ht="25.5" x14ac:dyDescent="0.25">
      <c r="A5106" s="46" t="s">
        <v>6003</v>
      </c>
      <c r="B5106" s="46" t="s">
        <v>38</v>
      </c>
      <c r="C5106" s="46" t="s">
        <v>14</v>
      </c>
      <c r="D5106" s="47">
        <v>694</v>
      </c>
      <c r="E5106" s="46" t="s">
        <v>6004</v>
      </c>
      <c r="F5106" s="48">
        <v>39083</v>
      </c>
      <c r="G5106" s="48">
        <v>39813</v>
      </c>
      <c r="H5106" s="46" t="s">
        <v>40</v>
      </c>
      <c r="I5106" s="45">
        <v>11794.05</v>
      </c>
      <c r="J5106" s="45">
        <v>11794.05</v>
      </c>
      <c r="K5106" s="49" t="s">
        <v>5815</v>
      </c>
      <c r="L5106" s="45"/>
      <c r="M5106" s="3"/>
    </row>
    <row r="5107" spans="1:13" ht="25.5" x14ac:dyDescent="0.25">
      <c r="A5107" s="46" t="s">
        <v>6005</v>
      </c>
      <c r="B5107" s="46" t="s">
        <v>38</v>
      </c>
      <c r="C5107" s="46" t="s">
        <v>14</v>
      </c>
      <c r="D5107" s="47">
        <v>695</v>
      </c>
      <c r="E5107" s="46" t="s">
        <v>6006</v>
      </c>
      <c r="F5107" s="48">
        <v>39083</v>
      </c>
      <c r="G5107" s="48">
        <v>39813</v>
      </c>
      <c r="H5107" s="46" t="s">
        <v>40</v>
      </c>
      <c r="I5107" s="45">
        <v>2517.2399999999998</v>
      </c>
      <c r="J5107" s="45">
        <v>2517.2399999999998</v>
      </c>
      <c r="K5107" s="49" t="s">
        <v>5815</v>
      </c>
      <c r="L5107" s="45"/>
      <c r="M5107" s="3"/>
    </row>
    <row r="5108" spans="1:13" ht="25.5" x14ac:dyDescent="0.25">
      <c r="A5108" s="46" t="s">
        <v>6007</v>
      </c>
      <c r="B5108" s="46" t="s">
        <v>38</v>
      </c>
      <c r="C5108" s="46" t="s">
        <v>14</v>
      </c>
      <c r="D5108" s="47">
        <v>697</v>
      </c>
      <c r="E5108" s="46" t="s">
        <v>6008</v>
      </c>
      <c r="F5108" s="48">
        <v>39083</v>
      </c>
      <c r="G5108" s="48">
        <v>39813</v>
      </c>
      <c r="H5108" s="46" t="s">
        <v>40</v>
      </c>
      <c r="I5108" s="45">
        <v>851.87</v>
      </c>
      <c r="J5108" s="45">
        <v>851.87</v>
      </c>
      <c r="K5108" s="49" t="s">
        <v>5815</v>
      </c>
      <c r="L5108" s="45"/>
      <c r="M5108" s="3"/>
    </row>
    <row r="5109" spans="1:13" ht="25.5" x14ac:dyDescent="0.25">
      <c r="A5109" s="46" t="s">
        <v>3739</v>
      </c>
      <c r="B5109" s="46" t="s">
        <v>38</v>
      </c>
      <c r="C5109" s="46" t="s">
        <v>14</v>
      </c>
      <c r="D5109" s="47">
        <v>801</v>
      </c>
      <c r="E5109" s="46" t="s">
        <v>6009</v>
      </c>
      <c r="F5109" s="48">
        <v>39083</v>
      </c>
      <c r="G5109" s="48">
        <v>40908</v>
      </c>
      <c r="H5109" s="46" t="s">
        <v>40</v>
      </c>
      <c r="I5109" s="45">
        <v>245184.16</v>
      </c>
      <c r="J5109" s="45">
        <v>245184.16</v>
      </c>
      <c r="K5109" s="49" t="s">
        <v>5815</v>
      </c>
      <c r="L5109" s="45"/>
      <c r="M5109" s="3"/>
    </row>
    <row r="5110" spans="1:13" ht="25.5" x14ac:dyDescent="0.25">
      <c r="A5110" s="46" t="s">
        <v>6064</v>
      </c>
      <c r="B5110" s="46" t="s">
        <v>38</v>
      </c>
      <c r="C5110" s="46" t="s">
        <v>14</v>
      </c>
      <c r="D5110" s="47">
        <v>5689</v>
      </c>
      <c r="E5110" s="46" t="s">
        <v>6065</v>
      </c>
      <c r="F5110" s="48">
        <v>39814</v>
      </c>
      <c r="G5110" s="48">
        <v>40178</v>
      </c>
      <c r="H5110" s="46" t="s">
        <v>40</v>
      </c>
      <c r="I5110" s="45">
        <v>34264.5</v>
      </c>
      <c r="J5110" s="45">
        <v>34264.5</v>
      </c>
      <c r="K5110" s="49" t="s">
        <v>5815</v>
      </c>
      <c r="L5110" s="45"/>
      <c r="M5110" s="3"/>
    </row>
    <row r="5111" spans="1:13" ht="25.5" x14ac:dyDescent="0.25">
      <c r="A5111" s="46" t="s">
        <v>6096</v>
      </c>
      <c r="B5111" s="46" t="s">
        <v>38</v>
      </c>
      <c r="C5111" s="46" t="s">
        <v>14</v>
      </c>
      <c r="D5111" s="47">
        <v>7819</v>
      </c>
      <c r="E5111" s="46" t="s">
        <v>6097</v>
      </c>
      <c r="F5111" s="48">
        <v>40188</v>
      </c>
      <c r="G5111" s="48">
        <v>40267</v>
      </c>
      <c r="H5111" s="46" t="s">
        <v>40</v>
      </c>
      <c r="I5111" s="45">
        <v>5179</v>
      </c>
      <c r="J5111" s="45">
        <v>5179</v>
      </c>
      <c r="K5111" s="49" t="s">
        <v>5815</v>
      </c>
      <c r="L5111" s="45"/>
      <c r="M5111" s="3"/>
    </row>
    <row r="5112" spans="1:13" ht="25.5" x14ac:dyDescent="0.25">
      <c r="A5112" s="46" t="s">
        <v>6130</v>
      </c>
      <c r="B5112" s="46" t="s">
        <v>38</v>
      </c>
      <c r="C5112" s="46" t="s">
        <v>14</v>
      </c>
      <c r="D5112" s="47">
        <v>8859</v>
      </c>
      <c r="E5112" s="46" t="s">
        <v>6131</v>
      </c>
      <c r="F5112" s="48">
        <v>40575</v>
      </c>
      <c r="G5112" s="46"/>
      <c r="H5112" s="46" t="s">
        <v>40</v>
      </c>
      <c r="I5112" s="45">
        <v>3655.15</v>
      </c>
      <c r="J5112" s="45">
        <v>3655.15</v>
      </c>
      <c r="K5112" s="49" t="s">
        <v>5815</v>
      </c>
      <c r="L5112" s="45"/>
      <c r="M5112" s="3"/>
    </row>
    <row r="5113" spans="1:13" ht="25.5" x14ac:dyDescent="0.25">
      <c r="A5113" s="46" t="s">
        <v>6132</v>
      </c>
      <c r="B5113" s="46" t="s">
        <v>38</v>
      </c>
      <c r="C5113" s="46" t="s">
        <v>14</v>
      </c>
      <c r="D5113" s="47">
        <v>8860</v>
      </c>
      <c r="E5113" s="46" t="s">
        <v>6133</v>
      </c>
      <c r="F5113" s="48">
        <v>40787</v>
      </c>
      <c r="G5113" s="46"/>
      <c r="H5113" s="46" t="s">
        <v>40</v>
      </c>
      <c r="I5113" s="45">
        <v>27549.119999999999</v>
      </c>
      <c r="J5113" s="45">
        <v>12072.12</v>
      </c>
      <c r="K5113" s="49" t="s">
        <v>5815</v>
      </c>
      <c r="L5113" s="45"/>
      <c r="M5113" s="3"/>
    </row>
    <row r="5114" spans="1:13" ht="76.5" x14ac:dyDescent="0.25">
      <c r="A5114" s="46" t="s">
        <v>6134</v>
      </c>
      <c r="B5114" s="46" t="s">
        <v>38</v>
      </c>
      <c r="C5114" s="46" t="s">
        <v>14</v>
      </c>
      <c r="D5114" s="47">
        <v>8895</v>
      </c>
      <c r="E5114" s="50" t="s">
        <v>6135</v>
      </c>
      <c r="F5114" s="48">
        <v>40877</v>
      </c>
      <c r="G5114" s="46"/>
      <c r="H5114" s="46" t="s">
        <v>40</v>
      </c>
      <c r="I5114" s="45">
        <v>10000</v>
      </c>
      <c r="J5114" s="45">
        <v>10000</v>
      </c>
      <c r="K5114" s="49" t="s">
        <v>5815</v>
      </c>
      <c r="L5114" s="45"/>
      <c r="M5114" s="3"/>
    </row>
    <row r="5115" spans="1:13" ht="25.5" x14ac:dyDescent="0.25">
      <c r="A5115" s="46" t="s">
        <v>6136</v>
      </c>
      <c r="B5115" s="46" t="s">
        <v>38</v>
      </c>
      <c r="C5115" s="46" t="s">
        <v>14</v>
      </c>
      <c r="D5115" s="47">
        <v>9206</v>
      </c>
      <c r="E5115" s="46" t="s">
        <v>6137</v>
      </c>
      <c r="F5115" s="48">
        <v>40544</v>
      </c>
      <c r="G5115" s="46"/>
      <c r="H5115" s="46" t="s">
        <v>40</v>
      </c>
      <c r="I5115" s="45">
        <v>18776</v>
      </c>
      <c r="J5115" s="45">
        <v>6413</v>
      </c>
      <c r="K5115" s="49" t="s">
        <v>5815</v>
      </c>
      <c r="L5115" s="45"/>
      <c r="M5115" s="3"/>
    </row>
    <row r="5116" spans="1:13" ht="38.25" x14ac:dyDescent="0.25">
      <c r="A5116" s="46" t="s">
        <v>5977</v>
      </c>
      <c r="B5116" s="46" t="s">
        <v>38</v>
      </c>
      <c r="C5116" s="46" t="s">
        <v>14</v>
      </c>
      <c r="D5116" s="47">
        <v>9207</v>
      </c>
      <c r="E5116" s="50" t="s">
        <v>5978</v>
      </c>
      <c r="F5116" s="48">
        <v>40544</v>
      </c>
      <c r="G5116" s="48">
        <v>40908</v>
      </c>
      <c r="H5116" s="46" t="s">
        <v>40</v>
      </c>
      <c r="I5116" s="45">
        <v>9525.76</v>
      </c>
      <c r="J5116" s="45">
        <v>4762.88</v>
      </c>
      <c r="K5116" s="49" t="s">
        <v>5815</v>
      </c>
      <c r="L5116" s="45"/>
      <c r="M5116" s="3"/>
    </row>
    <row r="5117" spans="1:13" ht="25.5" x14ac:dyDescent="0.25">
      <c r="A5117" s="46" t="s">
        <v>5981</v>
      </c>
      <c r="B5117" s="46" t="s">
        <v>38</v>
      </c>
      <c r="C5117" s="46" t="s">
        <v>14</v>
      </c>
      <c r="D5117" s="47">
        <v>9208</v>
      </c>
      <c r="E5117" s="46" t="s">
        <v>5982</v>
      </c>
      <c r="F5117" s="48">
        <v>40544</v>
      </c>
      <c r="G5117" s="48">
        <v>40908</v>
      </c>
      <c r="H5117" s="46" t="s">
        <v>40</v>
      </c>
      <c r="I5117" s="45">
        <f>2723.14+6060.4</f>
        <v>8783.5399999999991</v>
      </c>
      <c r="J5117" s="45">
        <f>1578.51+3030.2</f>
        <v>4608.71</v>
      </c>
      <c r="K5117" s="49" t="s">
        <v>5815</v>
      </c>
      <c r="L5117" s="45"/>
      <c r="M5117" s="3"/>
    </row>
    <row r="5118" spans="1:13" ht="25.5" x14ac:dyDescent="0.25">
      <c r="A5118" s="46" t="s">
        <v>6164</v>
      </c>
      <c r="B5118" s="46" t="s">
        <v>38</v>
      </c>
      <c r="C5118" s="46" t="s">
        <v>14</v>
      </c>
      <c r="D5118" s="47">
        <v>10613</v>
      </c>
      <c r="E5118" s="46" t="s">
        <v>6165</v>
      </c>
      <c r="F5118" s="48">
        <v>40910</v>
      </c>
      <c r="G5118" s="46"/>
      <c r="H5118" s="46" t="s">
        <v>40</v>
      </c>
      <c r="I5118" s="45">
        <f>2500+2000</f>
        <v>4500</v>
      </c>
      <c r="J5118" s="45">
        <f>2500+2000</f>
        <v>4500</v>
      </c>
      <c r="K5118" s="49" t="s">
        <v>5815</v>
      </c>
      <c r="L5118" s="45"/>
      <c r="M5118" s="3"/>
    </row>
    <row r="5119" spans="1:13" ht="25.5" x14ac:dyDescent="0.25">
      <c r="A5119" s="46" t="s">
        <v>6251</v>
      </c>
      <c r="B5119" s="46" t="s">
        <v>38</v>
      </c>
      <c r="C5119" s="46" t="s">
        <v>14</v>
      </c>
      <c r="D5119" s="47">
        <v>1300</v>
      </c>
      <c r="E5119" s="46" t="s">
        <v>6252</v>
      </c>
      <c r="F5119" s="48">
        <v>39100</v>
      </c>
      <c r="G5119" s="46"/>
      <c r="H5119" s="46" t="s">
        <v>40</v>
      </c>
      <c r="I5119" s="45">
        <v>42190.99</v>
      </c>
      <c r="J5119" s="45">
        <v>36565.99</v>
      </c>
      <c r="K5119" s="49" t="s">
        <v>6182</v>
      </c>
      <c r="L5119" s="45"/>
      <c r="M5119" s="3"/>
    </row>
    <row r="5120" spans="1:13" ht="25.5" x14ac:dyDescent="0.25">
      <c r="A5120" s="46" t="s">
        <v>6253</v>
      </c>
      <c r="B5120" s="46" t="s">
        <v>38</v>
      </c>
      <c r="C5120" s="46" t="s">
        <v>14</v>
      </c>
      <c r="D5120" s="47">
        <v>1788</v>
      </c>
      <c r="E5120" s="46" t="s">
        <v>6254</v>
      </c>
      <c r="F5120" s="48">
        <v>39100</v>
      </c>
      <c r="G5120" s="48">
        <v>39434</v>
      </c>
      <c r="H5120" s="46" t="s">
        <v>40</v>
      </c>
      <c r="I5120" s="45">
        <v>10740.38</v>
      </c>
      <c r="J5120" s="45">
        <v>10740.38</v>
      </c>
      <c r="K5120" s="49" t="s">
        <v>6182</v>
      </c>
      <c r="L5120" s="45"/>
      <c r="M5120" s="3"/>
    </row>
    <row r="5121" spans="1:13" ht="25.5" x14ac:dyDescent="0.25">
      <c r="A5121" s="46" t="s">
        <v>6255</v>
      </c>
      <c r="B5121" s="46" t="s">
        <v>38</v>
      </c>
      <c r="C5121" s="46" t="s">
        <v>14</v>
      </c>
      <c r="D5121" s="47">
        <v>1789</v>
      </c>
      <c r="E5121" s="46" t="s">
        <v>6256</v>
      </c>
      <c r="F5121" s="48">
        <v>39100</v>
      </c>
      <c r="G5121" s="48">
        <v>39413</v>
      </c>
      <c r="H5121" s="46" t="s">
        <v>40</v>
      </c>
      <c r="I5121" s="45">
        <v>4382.47</v>
      </c>
      <c r="J5121" s="45">
        <v>3902.47</v>
      </c>
      <c r="K5121" s="49" t="s">
        <v>6182</v>
      </c>
      <c r="L5121" s="45"/>
      <c r="M5121" s="3"/>
    </row>
    <row r="5122" spans="1:13" ht="25.5" x14ac:dyDescent="0.25">
      <c r="A5122" s="46" t="s">
        <v>6257</v>
      </c>
      <c r="B5122" s="46" t="s">
        <v>38</v>
      </c>
      <c r="C5122" s="46" t="s">
        <v>14</v>
      </c>
      <c r="D5122" s="47">
        <v>1790</v>
      </c>
      <c r="E5122" s="46" t="s">
        <v>6258</v>
      </c>
      <c r="F5122" s="48">
        <v>39100</v>
      </c>
      <c r="G5122" s="48">
        <v>39643</v>
      </c>
      <c r="H5122" s="46" t="s">
        <v>40</v>
      </c>
      <c r="I5122" s="45">
        <v>11744.8</v>
      </c>
      <c r="J5122" s="45">
        <v>11144.8</v>
      </c>
      <c r="K5122" s="49" t="s">
        <v>6182</v>
      </c>
      <c r="L5122" s="45"/>
      <c r="M5122" s="3"/>
    </row>
    <row r="5123" spans="1:13" ht="25.5" x14ac:dyDescent="0.25">
      <c r="A5123" s="46" t="s">
        <v>6259</v>
      </c>
      <c r="B5123" s="46" t="s">
        <v>38</v>
      </c>
      <c r="C5123" s="46" t="s">
        <v>14</v>
      </c>
      <c r="D5123" s="47">
        <v>1792</v>
      </c>
      <c r="E5123" s="46" t="s">
        <v>6260</v>
      </c>
      <c r="F5123" s="48">
        <v>39100</v>
      </c>
      <c r="G5123" s="48">
        <v>39448</v>
      </c>
      <c r="H5123" s="46" t="s">
        <v>40</v>
      </c>
      <c r="I5123" s="45">
        <v>13150.7</v>
      </c>
      <c r="J5123" s="45">
        <v>12550.7</v>
      </c>
      <c r="K5123" s="49" t="s">
        <v>6182</v>
      </c>
      <c r="L5123" s="45"/>
      <c r="M5123" s="3"/>
    </row>
    <row r="5124" spans="1:13" ht="25.5" x14ac:dyDescent="0.25">
      <c r="A5124" s="46" t="s">
        <v>6261</v>
      </c>
      <c r="B5124" s="46" t="s">
        <v>38</v>
      </c>
      <c r="C5124" s="46" t="s">
        <v>14</v>
      </c>
      <c r="D5124" s="47">
        <v>1793</v>
      </c>
      <c r="E5124" s="46" t="s">
        <v>6262</v>
      </c>
      <c r="F5124" s="48">
        <v>39100</v>
      </c>
      <c r="G5124" s="48">
        <v>39541</v>
      </c>
      <c r="H5124" s="46" t="s">
        <v>40</v>
      </c>
      <c r="I5124" s="45">
        <v>26211.7</v>
      </c>
      <c r="J5124" s="45">
        <v>26211.7</v>
      </c>
      <c r="K5124" s="49" t="s">
        <v>6182</v>
      </c>
      <c r="L5124" s="45"/>
      <c r="M5124" s="3"/>
    </row>
    <row r="5125" spans="1:13" ht="25.5" x14ac:dyDescent="0.25">
      <c r="A5125" s="46" t="s">
        <v>6263</v>
      </c>
      <c r="B5125" s="46" t="s">
        <v>38</v>
      </c>
      <c r="C5125" s="46" t="s">
        <v>14</v>
      </c>
      <c r="D5125" s="47">
        <v>1795</v>
      </c>
      <c r="E5125" s="46" t="s">
        <v>6264</v>
      </c>
      <c r="F5125" s="48">
        <v>39100</v>
      </c>
      <c r="G5125" s="48">
        <v>39400</v>
      </c>
      <c r="H5125" s="46" t="s">
        <v>40</v>
      </c>
      <c r="I5125" s="45">
        <v>5058.66</v>
      </c>
      <c r="J5125" s="45">
        <v>4758.66</v>
      </c>
      <c r="K5125" s="49" t="s">
        <v>6182</v>
      </c>
      <c r="L5125" s="45"/>
      <c r="M5125" s="3"/>
    </row>
    <row r="5126" spans="1:13" ht="25.5" x14ac:dyDescent="0.25">
      <c r="A5126" s="46" t="s">
        <v>6265</v>
      </c>
      <c r="B5126" s="46" t="s">
        <v>38</v>
      </c>
      <c r="C5126" s="46" t="s">
        <v>14</v>
      </c>
      <c r="D5126" s="47">
        <v>1797</v>
      </c>
      <c r="E5126" s="46" t="s">
        <v>6266</v>
      </c>
      <c r="F5126" s="48">
        <v>39100</v>
      </c>
      <c r="G5126" s="48">
        <v>39205</v>
      </c>
      <c r="H5126" s="46" t="s">
        <v>40</v>
      </c>
      <c r="I5126" s="45">
        <v>1810</v>
      </c>
      <c r="J5126" s="45">
        <v>1460</v>
      </c>
      <c r="K5126" s="49" t="s">
        <v>6182</v>
      </c>
      <c r="L5126" s="45"/>
      <c r="M5126" s="3"/>
    </row>
    <row r="5127" spans="1:13" ht="25.5" x14ac:dyDescent="0.25">
      <c r="A5127" s="46" t="s">
        <v>6267</v>
      </c>
      <c r="B5127" s="46" t="s">
        <v>38</v>
      </c>
      <c r="C5127" s="46" t="s">
        <v>14</v>
      </c>
      <c r="D5127" s="47">
        <v>1803</v>
      </c>
      <c r="E5127" s="46" t="s">
        <v>6268</v>
      </c>
      <c r="F5127" s="48">
        <v>39100</v>
      </c>
      <c r="G5127" s="48">
        <v>39386</v>
      </c>
      <c r="H5127" s="46" t="s">
        <v>40</v>
      </c>
      <c r="I5127" s="45">
        <v>2444.36</v>
      </c>
      <c r="J5127" s="45">
        <v>2144.36</v>
      </c>
      <c r="K5127" s="49" t="s">
        <v>6182</v>
      </c>
      <c r="L5127" s="45"/>
      <c r="M5127" s="3"/>
    </row>
    <row r="5128" spans="1:13" ht="25.5" x14ac:dyDescent="0.25">
      <c r="A5128" s="46" t="s">
        <v>6269</v>
      </c>
      <c r="B5128" s="46" t="s">
        <v>38</v>
      </c>
      <c r="C5128" s="46" t="s">
        <v>14</v>
      </c>
      <c r="D5128" s="47">
        <v>1804</v>
      </c>
      <c r="E5128" s="46" t="s">
        <v>6270</v>
      </c>
      <c r="F5128" s="48">
        <v>39100</v>
      </c>
      <c r="G5128" s="48">
        <v>39423</v>
      </c>
      <c r="H5128" s="46" t="s">
        <v>40</v>
      </c>
      <c r="I5128" s="45">
        <v>13612.5</v>
      </c>
      <c r="J5128" s="45">
        <v>13312.5</v>
      </c>
      <c r="K5128" s="49" t="s">
        <v>6182</v>
      </c>
      <c r="L5128" s="45"/>
      <c r="M5128" s="3"/>
    </row>
    <row r="5129" spans="1:13" ht="25.5" x14ac:dyDescent="0.25">
      <c r="A5129" s="46" t="s">
        <v>6271</v>
      </c>
      <c r="B5129" s="46" t="s">
        <v>38</v>
      </c>
      <c r="C5129" s="46" t="s">
        <v>14</v>
      </c>
      <c r="D5129" s="47">
        <v>1806</v>
      </c>
      <c r="E5129" s="46" t="s">
        <v>6272</v>
      </c>
      <c r="F5129" s="48">
        <v>39100</v>
      </c>
      <c r="G5129" s="48">
        <v>39385</v>
      </c>
      <c r="H5129" s="46" t="s">
        <v>40</v>
      </c>
      <c r="I5129" s="45">
        <v>4015</v>
      </c>
      <c r="J5129" s="45">
        <v>3565</v>
      </c>
      <c r="K5129" s="49" t="s">
        <v>6182</v>
      </c>
      <c r="L5129" s="45"/>
      <c r="M5129" s="3"/>
    </row>
    <row r="5130" spans="1:13" ht="25.5" x14ac:dyDescent="0.25">
      <c r="A5130" s="46" t="s">
        <v>6273</v>
      </c>
      <c r="B5130" s="46" t="s">
        <v>38</v>
      </c>
      <c r="C5130" s="46" t="s">
        <v>14</v>
      </c>
      <c r="D5130" s="47">
        <v>1808</v>
      </c>
      <c r="E5130" s="46" t="s">
        <v>6272</v>
      </c>
      <c r="F5130" s="48">
        <v>39100</v>
      </c>
      <c r="G5130" s="48">
        <v>39203</v>
      </c>
      <c r="H5130" s="46" t="s">
        <v>40</v>
      </c>
      <c r="I5130" s="45">
        <v>3600</v>
      </c>
      <c r="J5130" s="45">
        <v>3150</v>
      </c>
      <c r="K5130" s="49" t="s">
        <v>6182</v>
      </c>
      <c r="L5130" s="45"/>
      <c r="M5130" s="3"/>
    </row>
    <row r="5131" spans="1:13" ht="25.5" x14ac:dyDescent="0.25">
      <c r="A5131" s="46" t="s">
        <v>6274</v>
      </c>
      <c r="B5131" s="46" t="s">
        <v>38</v>
      </c>
      <c r="C5131" s="46" t="s">
        <v>14</v>
      </c>
      <c r="D5131" s="47">
        <v>1809</v>
      </c>
      <c r="E5131" s="46" t="s">
        <v>6272</v>
      </c>
      <c r="F5131" s="48">
        <v>39100</v>
      </c>
      <c r="G5131" s="48">
        <v>39230</v>
      </c>
      <c r="H5131" s="46" t="s">
        <v>40</v>
      </c>
      <c r="I5131" s="45">
        <v>4193.1899999999996</v>
      </c>
      <c r="J5131" s="45">
        <v>3543.19</v>
      </c>
      <c r="K5131" s="49" t="s">
        <v>6182</v>
      </c>
      <c r="L5131" s="45"/>
      <c r="M5131" s="3"/>
    </row>
    <row r="5132" spans="1:13" ht="25.5" x14ac:dyDescent="0.25">
      <c r="A5132" s="46" t="s">
        <v>6275</v>
      </c>
      <c r="B5132" s="46" t="s">
        <v>38</v>
      </c>
      <c r="C5132" s="46" t="s">
        <v>14</v>
      </c>
      <c r="D5132" s="47">
        <v>1811</v>
      </c>
      <c r="E5132" s="46" t="s">
        <v>6276</v>
      </c>
      <c r="F5132" s="48">
        <v>39100</v>
      </c>
      <c r="G5132" s="48">
        <v>39303</v>
      </c>
      <c r="H5132" s="46" t="s">
        <v>40</v>
      </c>
      <c r="I5132" s="45">
        <v>3497.75</v>
      </c>
      <c r="J5132" s="45">
        <v>2797.75</v>
      </c>
      <c r="K5132" s="49" t="s">
        <v>6182</v>
      </c>
      <c r="L5132" s="45"/>
      <c r="M5132" s="3"/>
    </row>
    <row r="5133" spans="1:13" ht="25.5" x14ac:dyDescent="0.25">
      <c r="A5133" s="46" t="s">
        <v>6277</v>
      </c>
      <c r="B5133" s="46" t="s">
        <v>38</v>
      </c>
      <c r="C5133" s="46" t="s">
        <v>14</v>
      </c>
      <c r="D5133" s="47">
        <v>1813</v>
      </c>
      <c r="E5133" s="46" t="s">
        <v>6272</v>
      </c>
      <c r="F5133" s="48">
        <v>39100</v>
      </c>
      <c r="G5133" s="48">
        <v>39448</v>
      </c>
      <c r="H5133" s="46" t="s">
        <v>40</v>
      </c>
      <c r="I5133" s="45">
        <v>3437.5</v>
      </c>
      <c r="J5133" s="45">
        <v>2637.5</v>
      </c>
      <c r="K5133" s="49" t="s">
        <v>6182</v>
      </c>
      <c r="L5133" s="45"/>
      <c r="M5133" s="3"/>
    </row>
    <row r="5134" spans="1:13" ht="25.5" x14ac:dyDescent="0.25">
      <c r="A5134" s="46" t="s">
        <v>6278</v>
      </c>
      <c r="B5134" s="46" t="s">
        <v>38</v>
      </c>
      <c r="C5134" s="46" t="s">
        <v>14</v>
      </c>
      <c r="D5134" s="47">
        <v>1814</v>
      </c>
      <c r="E5134" s="46" t="s">
        <v>6272</v>
      </c>
      <c r="F5134" s="48">
        <v>39100</v>
      </c>
      <c r="G5134" s="48">
        <v>39386</v>
      </c>
      <c r="H5134" s="46" t="s">
        <v>40</v>
      </c>
      <c r="I5134" s="45">
        <v>3730</v>
      </c>
      <c r="J5134" s="45">
        <v>2830</v>
      </c>
      <c r="K5134" s="49" t="s">
        <v>6182</v>
      </c>
      <c r="L5134" s="45"/>
      <c r="M5134" s="3"/>
    </row>
    <row r="5135" spans="1:13" ht="25.5" x14ac:dyDescent="0.25">
      <c r="A5135" s="46" t="s">
        <v>6279</v>
      </c>
      <c r="B5135" s="46" t="s">
        <v>38</v>
      </c>
      <c r="C5135" s="46" t="s">
        <v>14</v>
      </c>
      <c r="D5135" s="47">
        <v>1816</v>
      </c>
      <c r="E5135" s="46" t="s">
        <v>6276</v>
      </c>
      <c r="F5135" s="48">
        <v>39100</v>
      </c>
      <c r="G5135" s="48">
        <v>39423</v>
      </c>
      <c r="H5135" s="46" t="s">
        <v>40</v>
      </c>
      <c r="I5135" s="45">
        <v>3725.05</v>
      </c>
      <c r="J5135" s="45">
        <v>3425.05</v>
      </c>
      <c r="K5135" s="49" t="s">
        <v>6182</v>
      </c>
      <c r="L5135" s="45"/>
      <c r="M5135" s="3"/>
    </row>
    <row r="5136" spans="1:13" ht="25.5" x14ac:dyDescent="0.25">
      <c r="A5136" s="46" t="s">
        <v>6280</v>
      </c>
      <c r="B5136" s="46" t="s">
        <v>38</v>
      </c>
      <c r="C5136" s="46" t="s">
        <v>14</v>
      </c>
      <c r="D5136" s="47">
        <v>1817</v>
      </c>
      <c r="E5136" s="46" t="s">
        <v>6281</v>
      </c>
      <c r="F5136" s="48">
        <v>39100</v>
      </c>
      <c r="G5136" s="48">
        <v>39315</v>
      </c>
      <c r="H5136" s="46" t="s">
        <v>40</v>
      </c>
      <c r="I5136" s="45">
        <v>1935.95</v>
      </c>
      <c r="J5136" s="45">
        <v>1935.95</v>
      </c>
      <c r="K5136" s="49" t="s">
        <v>6182</v>
      </c>
      <c r="L5136" s="45"/>
      <c r="M5136" s="3"/>
    </row>
    <row r="5137" spans="1:60" ht="25.5" x14ac:dyDescent="0.25">
      <c r="A5137" s="46" t="s">
        <v>6282</v>
      </c>
      <c r="B5137" s="46" t="s">
        <v>38</v>
      </c>
      <c r="C5137" s="46" t="s">
        <v>14</v>
      </c>
      <c r="D5137" s="47">
        <v>1818</v>
      </c>
      <c r="E5137" s="46" t="s">
        <v>6283</v>
      </c>
      <c r="F5137" s="48">
        <v>39100</v>
      </c>
      <c r="G5137" s="48">
        <v>39177</v>
      </c>
      <c r="H5137" s="46" t="s">
        <v>40</v>
      </c>
      <c r="I5137" s="45">
        <v>2111.1</v>
      </c>
      <c r="J5137" s="45">
        <v>2111.1</v>
      </c>
      <c r="K5137" s="49" t="s">
        <v>6182</v>
      </c>
      <c r="L5137" s="45"/>
      <c r="M5137" s="3"/>
    </row>
    <row r="5138" spans="1:60" s="21" customFormat="1" ht="25.5" x14ac:dyDescent="0.25">
      <c r="A5138" s="46" t="s">
        <v>5489</v>
      </c>
      <c r="B5138" s="46" t="s">
        <v>38</v>
      </c>
      <c r="C5138" s="46" t="s">
        <v>14</v>
      </c>
      <c r="D5138" s="47">
        <v>1819</v>
      </c>
      <c r="E5138" s="46" t="s">
        <v>6284</v>
      </c>
      <c r="F5138" s="48">
        <v>39100</v>
      </c>
      <c r="G5138" s="48">
        <v>39177</v>
      </c>
      <c r="H5138" s="46" t="s">
        <v>40</v>
      </c>
      <c r="I5138" s="45">
        <v>575</v>
      </c>
      <c r="J5138" s="45">
        <v>575</v>
      </c>
      <c r="K5138" s="49" t="s">
        <v>6182</v>
      </c>
      <c r="L5138" s="45"/>
      <c r="M5138" s="3"/>
      <c r="N5138" s="4"/>
      <c r="O5138" s="4"/>
      <c r="P5138" s="4"/>
      <c r="Q5138" s="4"/>
      <c r="R5138" s="4"/>
      <c r="S5138" s="4"/>
      <c r="T5138" s="4"/>
      <c r="U5138" s="4"/>
      <c r="V5138" s="4"/>
      <c r="W5138" s="4"/>
      <c r="X5138" s="4"/>
      <c r="Y5138" s="4"/>
      <c r="Z5138" s="4"/>
      <c r="AA5138" s="4"/>
      <c r="AB5138" s="4"/>
      <c r="AC5138" s="4"/>
      <c r="AD5138" s="4"/>
      <c r="AE5138" s="4"/>
      <c r="AF5138" s="4"/>
      <c r="AG5138" s="4"/>
      <c r="AH5138" s="4"/>
      <c r="AI5138" s="4"/>
      <c r="AJ5138" s="4"/>
      <c r="AK5138" s="4"/>
      <c r="AL5138" s="4"/>
      <c r="AM5138" s="4"/>
      <c r="AN5138" s="4"/>
      <c r="AO5138" s="4"/>
      <c r="AP5138" s="4"/>
      <c r="AQ5138" s="4"/>
      <c r="AR5138" s="4"/>
      <c r="AS5138" s="4"/>
      <c r="AT5138" s="4"/>
      <c r="AU5138" s="4"/>
      <c r="AV5138" s="4"/>
      <c r="AW5138" s="4"/>
      <c r="AX5138" s="4"/>
      <c r="AY5138" s="4"/>
      <c r="AZ5138" s="4"/>
      <c r="BA5138" s="4"/>
      <c r="BB5138" s="4"/>
      <c r="BC5138" s="4"/>
      <c r="BD5138" s="4"/>
      <c r="BE5138" s="4"/>
      <c r="BF5138" s="4"/>
      <c r="BG5138" s="4"/>
      <c r="BH5138" s="4"/>
    </row>
    <row r="5139" spans="1:60" ht="25.5" x14ac:dyDescent="0.25">
      <c r="A5139" s="46" t="s">
        <v>6285</v>
      </c>
      <c r="B5139" s="46" t="s">
        <v>38</v>
      </c>
      <c r="C5139" s="46" t="s">
        <v>14</v>
      </c>
      <c r="D5139" s="47">
        <v>1823</v>
      </c>
      <c r="E5139" s="46" t="s">
        <v>6286</v>
      </c>
      <c r="F5139" s="48">
        <v>39100</v>
      </c>
      <c r="G5139" s="48">
        <v>39665</v>
      </c>
      <c r="H5139" s="46" t="s">
        <v>40</v>
      </c>
      <c r="I5139" s="45">
        <v>20239.79</v>
      </c>
      <c r="J5139" s="45">
        <v>20239.79</v>
      </c>
      <c r="K5139" s="49" t="s">
        <v>6182</v>
      </c>
      <c r="L5139" s="45"/>
      <c r="M5139" s="3"/>
    </row>
    <row r="5140" spans="1:60" ht="25.5" x14ac:dyDescent="0.25">
      <c r="A5140" s="46" t="s">
        <v>6287</v>
      </c>
      <c r="B5140" s="46" t="s">
        <v>38</v>
      </c>
      <c r="C5140" s="46" t="s">
        <v>14</v>
      </c>
      <c r="D5140" s="47">
        <v>1825</v>
      </c>
      <c r="E5140" s="46" t="s">
        <v>6288</v>
      </c>
      <c r="F5140" s="48">
        <v>39100</v>
      </c>
      <c r="G5140" s="48">
        <v>39448</v>
      </c>
      <c r="H5140" s="46" t="s">
        <v>40</v>
      </c>
      <c r="I5140" s="45">
        <v>28766.69</v>
      </c>
      <c r="J5140" s="45">
        <v>28766.69</v>
      </c>
      <c r="K5140" s="49" t="s">
        <v>6182</v>
      </c>
      <c r="L5140" s="45"/>
      <c r="M5140" s="3"/>
    </row>
    <row r="5141" spans="1:60" ht="25.5" x14ac:dyDescent="0.25">
      <c r="A5141" s="46" t="s">
        <v>6289</v>
      </c>
      <c r="B5141" s="46" t="s">
        <v>38</v>
      </c>
      <c r="C5141" s="46" t="s">
        <v>14</v>
      </c>
      <c r="D5141" s="47">
        <v>1830</v>
      </c>
      <c r="E5141" s="46" t="s">
        <v>6290</v>
      </c>
      <c r="F5141" s="48">
        <v>39100</v>
      </c>
      <c r="G5141" s="48">
        <v>39448</v>
      </c>
      <c r="H5141" s="46" t="s">
        <v>40</v>
      </c>
      <c r="I5141" s="45">
        <v>4727.6000000000004</v>
      </c>
      <c r="J5141" s="45">
        <v>4727.6000000000004</v>
      </c>
      <c r="K5141" s="49" t="s">
        <v>6182</v>
      </c>
      <c r="L5141" s="45"/>
      <c r="M5141" s="3"/>
    </row>
    <row r="5142" spans="1:60" ht="25.5" x14ac:dyDescent="0.25">
      <c r="A5142" s="46" t="s">
        <v>6291</v>
      </c>
      <c r="B5142" s="46" t="s">
        <v>38</v>
      </c>
      <c r="C5142" s="46" t="s">
        <v>14</v>
      </c>
      <c r="D5142" s="47">
        <v>1833</v>
      </c>
      <c r="E5142" s="46" t="s">
        <v>6292</v>
      </c>
      <c r="F5142" s="48">
        <v>39100</v>
      </c>
      <c r="G5142" s="48">
        <v>39205</v>
      </c>
      <c r="H5142" s="46" t="s">
        <v>40</v>
      </c>
      <c r="I5142" s="45">
        <v>1207.3</v>
      </c>
      <c r="J5142" s="45">
        <v>967.3</v>
      </c>
      <c r="K5142" s="49" t="s">
        <v>6182</v>
      </c>
      <c r="L5142" s="45"/>
      <c r="M5142" s="3"/>
    </row>
    <row r="5143" spans="1:60" ht="25.5" x14ac:dyDescent="0.25">
      <c r="A5143" s="46" t="s">
        <v>6293</v>
      </c>
      <c r="B5143" s="46" t="s">
        <v>38</v>
      </c>
      <c r="C5143" s="46" t="s">
        <v>14</v>
      </c>
      <c r="D5143" s="47">
        <v>1836</v>
      </c>
      <c r="E5143" s="46" t="s">
        <v>6294</v>
      </c>
      <c r="F5143" s="48">
        <v>39100</v>
      </c>
      <c r="G5143" s="48">
        <v>39359</v>
      </c>
      <c r="H5143" s="46" t="s">
        <v>40</v>
      </c>
      <c r="I5143" s="45">
        <v>21250</v>
      </c>
      <c r="J5143" s="45">
        <v>21250</v>
      </c>
      <c r="K5143" s="49" t="s">
        <v>6182</v>
      </c>
      <c r="L5143" s="45"/>
      <c r="M5143" s="3"/>
    </row>
    <row r="5144" spans="1:60" ht="25.5" x14ac:dyDescent="0.25">
      <c r="A5144" s="46" t="s">
        <v>6295</v>
      </c>
      <c r="B5144" s="46" t="s">
        <v>38</v>
      </c>
      <c r="C5144" s="46" t="s">
        <v>14</v>
      </c>
      <c r="D5144" s="47">
        <v>1838</v>
      </c>
      <c r="E5144" s="46" t="s">
        <v>6296</v>
      </c>
      <c r="F5144" s="48">
        <v>39100</v>
      </c>
      <c r="G5144" s="48">
        <v>39177</v>
      </c>
      <c r="H5144" s="46" t="s">
        <v>40</v>
      </c>
      <c r="I5144" s="45">
        <v>3912.23</v>
      </c>
      <c r="J5144" s="45">
        <v>3212.23</v>
      </c>
      <c r="K5144" s="49" t="s">
        <v>6182</v>
      </c>
      <c r="L5144" s="45"/>
      <c r="M5144" s="3"/>
    </row>
    <row r="5145" spans="1:60" ht="25.5" x14ac:dyDescent="0.25">
      <c r="A5145" s="46" t="s">
        <v>6297</v>
      </c>
      <c r="B5145" s="46" t="s">
        <v>38</v>
      </c>
      <c r="C5145" s="46" t="s">
        <v>14</v>
      </c>
      <c r="D5145" s="47">
        <v>1840</v>
      </c>
      <c r="E5145" s="46" t="s">
        <v>6298</v>
      </c>
      <c r="F5145" s="48">
        <v>39100</v>
      </c>
      <c r="G5145" s="48">
        <v>39448</v>
      </c>
      <c r="H5145" s="46" t="s">
        <v>40</v>
      </c>
      <c r="I5145" s="45">
        <v>6196.91</v>
      </c>
      <c r="J5145" s="45">
        <v>6196.91</v>
      </c>
      <c r="K5145" s="49" t="s">
        <v>6182</v>
      </c>
      <c r="L5145" s="45"/>
      <c r="M5145" s="3"/>
    </row>
    <row r="5146" spans="1:60" ht="25.5" x14ac:dyDescent="0.25">
      <c r="A5146" s="46" t="s">
        <v>6251</v>
      </c>
      <c r="B5146" s="46" t="s">
        <v>38</v>
      </c>
      <c r="C5146" s="46" t="s">
        <v>14</v>
      </c>
      <c r="D5146" s="47">
        <v>1979</v>
      </c>
      <c r="E5146" s="46" t="s">
        <v>6252</v>
      </c>
      <c r="F5146" s="48">
        <v>39475</v>
      </c>
      <c r="G5146" s="48">
        <v>40178</v>
      </c>
      <c r="H5146" s="46" t="s">
        <v>40</v>
      </c>
      <c r="I5146" s="45">
        <v>34793.1</v>
      </c>
      <c r="J5146" s="45">
        <v>27783.1</v>
      </c>
      <c r="K5146" s="49" t="s">
        <v>6182</v>
      </c>
      <c r="L5146" s="45"/>
      <c r="M5146" s="3"/>
    </row>
    <row r="5147" spans="1:60" ht="25.5" x14ac:dyDescent="0.25">
      <c r="A5147" s="46" t="s">
        <v>6299</v>
      </c>
      <c r="B5147" s="46" t="s">
        <v>38</v>
      </c>
      <c r="C5147" s="46" t="s">
        <v>14</v>
      </c>
      <c r="D5147" s="47">
        <v>1980</v>
      </c>
      <c r="E5147" s="46" t="s">
        <v>6300</v>
      </c>
      <c r="F5147" s="48">
        <v>39475</v>
      </c>
      <c r="G5147" s="48">
        <v>39609</v>
      </c>
      <c r="H5147" s="46" t="s">
        <v>40</v>
      </c>
      <c r="I5147" s="45">
        <v>1325.19</v>
      </c>
      <c r="J5147" s="45">
        <v>1325.19</v>
      </c>
      <c r="K5147" s="49" t="s">
        <v>6182</v>
      </c>
      <c r="L5147" s="45"/>
      <c r="M5147" s="3"/>
    </row>
    <row r="5148" spans="1:60" ht="25.5" x14ac:dyDescent="0.25">
      <c r="A5148" s="46" t="s">
        <v>6253</v>
      </c>
      <c r="B5148" s="46" t="s">
        <v>38</v>
      </c>
      <c r="C5148" s="46" t="s">
        <v>14</v>
      </c>
      <c r="D5148" s="47">
        <v>1981</v>
      </c>
      <c r="E5148" s="46" t="s">
        <v>6301</v>
      </c>
      <c r="F5148" s="48">
        <v>39475</v>
      </c>
      <c r="G5148" s="48">
        <v>39583</v>
      </c>
      <c r="H5148" s="46" t="s">
        <v>40</v>
      </c>
      <c r="I5148" s="45">
        <v>15266.83</v>
      </c>
      <c r="J5148" s="45">
        <v>15266.83</v>
      </c>
      <c r="K5148" s="49" t="s">
        <v>6182</v>
      </c>
      <c r="L5148" s="45"/>
      <c r="M5148" s="3"/>
    </row>
    <row r="5149" spans="1:60" ht="25.5" x14ac:dyDescent="0.25">
      <c r="A5149" s="46" t="s">
        <v>6255</v>
      </c>
      <c r="B5149" s="46" t="s">
        <v>38</v>
      </c>
      <c r="C5149" s="46" t="s">
        <v>14</v>
      </c>
      <c r="D5149" s="47">
        <v>1983</v>
      </c>
      <c r="E5149" s="46" t="s">
        <v>6302</v>
      </c>
      <c r="F5149" s="48">
        <v>39475</v>
      </c>
      <c r="G5149" s="48">
        <v>39643</v>
      </c>
      <c r="H5149" s="46" t="s">
        <v>40</v>
      </c>
      <c r="I5149" s="45">
        <v>1446.8</v>
      </c>
      <c r="J5149" s="45">
        <v>1126.8</v>
      </c>
      <c r="K5149" s="49" t="s">
        <v>6182</v>
      </c>
      <c r="L5149" s="45"/>
      <c r="M5149" s="3"/>
    </row>
    <row r="5150" spans="1:60" ht="25.5" x14ac:dyDescent="0.25">
      <c r="A5150" s="46" t="s">
        <v>6303</v>
      </c>
      <c r="B5150" s="46" t="s">
        <v>38</v>
      </c>
      <c r="C5150" s="46" t="s">
        <v>14</v>
      </c>
      <c r="D5150" s="47">
        <v>1984</v>
      </c>
      <c r="E5150" s="46" t="s">
        <v>6304</v>
      </c>
      <c r="F5150" s="48">
        <v>39475</v>
      </c>
      <c r="G5150" s="48">
        <v>39541</v>
      </c>
      <c r="H5150" s="46" t="s">
        <v>40</v>
      </c>
      <c r="I5150" s="45">
        <v>137</v>
      </c>
      <c r="J5150" s="45">
        <v>137</v>
      </c>
      <c r="K5150" s="49" t="s">
        <v>6182</v>
      </c>
      <c r="L5150" s="45"/>
      <c r="M5150" s="3"/>
    </row>
    <row r="5151" spans="1:60" ht="25.5" x14ac:dyDescent="0.25">
      <c r="A5151" s="46" t="s">
        <v>6305</v>
      </c>
      <c r="B5151" s="46" t="s">
        <v>38</v>
      </c>
      <c r="C5151" s="46" t="s">
        <v>14</v>
      </c>
      <c r="D5151" s="47">
        <v>1989</v>
      </c>
      <c r="E5151" s="46" t="s">
        <v>6306</v>
      </c>
      <c r="F5151" s="48">
        <v>39475</v>
      </c>
      <c r="G5151" s="48">
        <v>39722</v>
      </c>
      <c r="H5151" s="46" t="s">
        <v>40</v>
      </c>
      <c r="I5151" s="45">
        <v>6739.58</v>
      </c>
      <c r="J5151" s="45">
        <v>6619.58</v>
      </c>
      <c r="K5151" s="49" t="s">
        <v>6182</v>
      </c>
      <c r="L5151" s="45"/>
      <c r="M5151" s="3"/>
    </row>
    <row r="5152" spans="1:60" ht="25.5" x14ac:dyDescent="0.25">
      <c r="A5152" s="46" t="s">
        <v>6307</v>
      </c>
      <c r="B5152" s="46" t="s">
        <v>38</v>
      </c>
      <c r="C5152" s="46" t="s">
        <v>14</v>
      </c>
      <c r="D5152" s="47">
        <v>1990</v>
      </c>
      <c r="E5152" s="46" t="s">
        <v>6308</v>
      </c>
      <c r="F5152" s="48">
        <v>39475</v>
      </c>
      <c r="G5152" s="48">
        <v>40178</v>
      </c>
      <c r="H5152" s="46" t="s">
        <v>40</v>
      </c>
      <c r="I5152" s="45">
        <v>25979.99</v>
      </c>
      <c r="J5152" s="45">
        <v>24819.99</v>
      </c>
      <c r="K5152" s="49" t="s">
        <v>6182</v>
      </c>
      <c r="L5152" s="45"/>
      <c r="M5152" s="3"/>
    </row>
    <row r="5153" spans="1:13" ht="25.5" x14ac:dyDescent="0.25">
      <c r="A5153" s="46" t="s">
        <v>6309</v>
      </c>
      <c r="B5153" s="46" t="s">
        <v>38</v>
      </c>
      <c r="C5153" s="46" t="s">
        <v>14</v>
      </c>
      <c r="D5153" s="47">
        <v>1993</v>
      </c>
      <c r="E5153" s="46" t="s">
        <v>6310</v>
      </c>
      <c r="F5153" s="48">
        <v>39475</v>
      </c>
      <c r="G5153" s="48">
        <v>40178</v>
      </c>
      <c r="H5153" s="46" t="s">
        <v>40</v>
      </c>
      <c r="I5153" s="45">
        <v>22547.42</v>
      </c>
      <c r="J5153" s="45">
        <v>22547.42</v>
      </c>
      <c r="K5153" s="49" t="s">
        <v>6182</v>
      </c>
      <c r="L5153" s="45"/>
      <c r="M5153" s="3"/>
    </row>
    <row r="5154" spans="1:13" ht="25.5" x14ac:dyDescent="0.25">
      <c r="A5154" s="46" t="s">
        <v>6311</v>
      </c>
      <c r="B5154" s="46" t="s">
        <v>38</v>
      </c>
      <c r="C5154" s="46" t="s">
        <v>14</v>
      </c>
      <c r="D5154" s="47">
        <v>1994</v>
      </c>
      <c r="E5154" s="46" t="s">
        <v>6312</v>
      </c>
      <c r="F5154" s="48">
        <v>39475</v>
      </c>
      <c r="G5154" s="48">
        <v>39577</v>
      </c>
      <c r="H5154" s="46" t="s">
        <v>40</v>
      </c>
      <c r="I5154" s="45">
        <v>1994.99</v>
      </c>
      <c r="J5154" s="45">
        <v>1674.99</v>
      </c>
      <c r="K5154" s="49" t="s">
        <v>6182</v>
      </c>
      <c r="L5154" s="45"/>
      <c r="M5154" s="3"/>
    </row>
    <row r="5155" spans="1:13" ht="25.5" x14ac:dyDescent="0.25">
      <c r="A5155" s="46" t="s">
        <v>6265</v>
      </c>
      <c r="B5155" s="46" t="s">
        <v>38</v>
      </c>
      <c r="C5155" s="46" t="s">
        <v>14</v>
      </c>
      <c r="D5155" s="47">
        <v>1996</v>
      </c>
      <c r="E5155" s="46" t="s">
        <v>6313</v>
      </c>
      <c r="F5155" s="48">
        <v>39475</v>
      </c>
      <c r="G5155" s="48">
        <v>39583</v>
      </c>
      <c r="H5155" s="46" t="s">
        <v>40</v>
      </c>
      <c r="I5155" s="45">
        <v>2491.5</v>
      </c>
      <c r="J5155" s="45">
        <v>1541.5</v>
      </c>
      <c r="K5155" s="49" t="s">
        <v>6182</v>
      </c>
      <c r="L5155" s="45"/>
      <c r="M5155" s="3"/>
    </row>
    <row r="5156" spans="1:13" ht="25.5" x14ac:dyDescent="0.25">
      <c r="A5156" s="46" t="s">
        <v>6314</v>
      </c>
      <c r="B5156" s="46" t="s">
        <v>38</v>
      </c>
      <c r="C5156" s="46" t="s">
        <v>14</v>
      </c>
      <c r="D5156" s="47">
        <v>1997</v>
      </c>
      <c r="E5156" s="46" t="s">
        <v>6315</v>
      </c>
      <c r="F5156" s="48">
        <v>39475</v>
      </c>
      <c r="G5156" s="48">
        <v>39783</v>
      </c>
      <c r="H5156" s="46" t="s">
        <v>40</v>
      </c>
      <c r="I5156" s="45">
        <v>6150</v>
      </c>
      <c r="J5156" s="45">
        <v>6150</v>
      </c>
      <c r="K5156" s="49" t="s">
        <v>6182</v>
      </c>
      <c r="L5156" s="45"/>
      <c r="M5156" s="3"/>
    </row>
    <row r="5157" spans="1:13" ht="25.5" x14ac:dyDescent="0.25">
      <c r="A5157" s="46" t="s">
        <v>6271</v>
      </c>
      <c r="B5157" s="46" t="s">
        <v>38</v>
      </c>
      <c r="C5157" s="46" t="s">
        <v>14</v>
      </c>
      <c r="D5157" s="47">
        <v>1999</v>
      </c>
      <c r="E5157" s="46" t="s">
        <v>6316</v>
      </c>
      <c r="F5157" s="48">
        <v>39475</v>
      </c>
      <c r="G5157" s="48">
        <v>39554</v>
      </c>
      <c r="H5157" s="46" t="s">
        <v>40</v>
      </c>
      <c r="I5157" s="45">
        <v>3286.05</v>
      </c>
      <c r="J5157" s="45">
        <v>2786.05</v>
      </c>
      <c r="K5157" s="49" t="s">
        <v>6182</v>
      </c>
      <c r="L5157" s="45"/>
      <c r="M5157" s="3"/>
    </row>
    <row r="5158" spans="1:13" ht="25.5" x14ac:dyDescent="0.25">
      <c r="A5158" s="46" t="s">
        <v>6273</v>
      </c>
      <c r="B5158" s="46" t="s">
        <v>38</v>
      </c>
      <c r="C5158" s="46" t="s">
        <v>14</v>
      </c>
      <c r="D5158" s="47">
        <v>2000</v>
      </c>
      <c r="E5158" s="46" t="s">
        <v>6317</v>
      </c>
      <c r="F5158" s="48">
        <v>39475</v>
      </c>
      <c r="G5158" s="48">
        <v>39609</v>
      </c>
      <c r="H5158" s="46" t="s">
        <v>40</v>
      </c>
      <c r="I5158" s="45">
        <v>3875</v>
      </c>
      <c r="J5158" s="45">
        <v>3125</v>
      </c>
      <c r="K5158" s="49" t="s">
        <v>6182</v>
      </c>
      <c r="L5158" s="45"/>
      <c r="M5158" s="3"/>
    </row>
    <row r="5159" spans="1:13" ht="25.5" x14ac:dyDescent="0.25">
      <c r="A5159" s="46" t="s">
        <v>6274</v>
      </c>
      <c r="B5159" s="46" t="s">
        <v>38</v>
      </c>
      <c r="C5159" s="46" t="s">
        <v>14</v>
      </c>
      <c r="D5159" s="47">
        <v>2001</v>
      </c>
      <c r="E5159" s="46" t="s">
        <v>6317</v>
      </c>
      <c r="F5159" s="48">
        <v>39475</v>
      </c>
      <c r="G5159" s="48">
        <v>39583</v>
      </c>
      <c r="H5159" s="46" t="s">
        <v>40</v>
      </c>
      <c r="I5159" s="45">
        <v>3750</v>
      </c>
      <c r="J5159" s="45">
        <v>3050</v>
      </c>
      <c r="K5159" s="49" t="s">
        <v>6182</v>
      </c>
      <c r="L5159" s="45"/>
      <c r="M5159" s="3"/>
    </row>
    <row r="5160" spans="1:13" ht="25.5" x14ac:dyDescent="0.25">
      <c r="A5160" s="46" t="s">
        <v>6275</v>
      </c>
      <c r="B5160" s="46" t="s">
        <v>38</v>
      </c>
      <c r="C5160" s="46" t="s">
        <v>14</v>
      </c>
      <c r="D5160" s="47">
        <v>2002</v>
      </c>
      <c r="E5160" s="46" t="s">
        <v>6318</v>
      </c>
      <c r="F5160" s="48">
        <v>39475</v>
      </c>
      <c r="G5160" s="48">
        <v>39577</v>
      </c>
      <c r="H5160" s="46" t="s">
        <v>40</v>
      </c>
      <c r="I5160" s="45">
        <v>2945</v>
      </c>
      <c r="J5160" s="45">
        <v>2945</v>
      </c>
      <c r="K5160" s="49" t="s">
        <v>6182</v>
      </c>
      <c r="L5160" s="45"/>
      <c r="M5160" s="3"/>
    </row>
    <row r="5161" spans="1:13" ht="25.5" x14ac:dyDescent="0.25">
      <c r="A5161" s="46" t="s">
        <v>6277</v>
      </c>
      <c r="B5161" s="46" t="s">
        <v>38</v>
      </c>
      <c r="C5161" s="46" t="s">
        <v>14</v>
      </c>
      <c r="D5161" s="47">
        <v>2003</v>
      </c>
      <c r="E5161" s="46" t="s">
        <v>6319</v>
      </c>
      <c r="F5161" s="48">
        <v>39475</v>
      </c>
      <c r="G5161" s="48">
        <v>39643</v>
      </c>
      <c r="H5161" s="46" t="s">
        <v>40</v>
      </c>
      <c r="I5161" s="45">
        <v>6483.21</v>
      </c>
      <c r="J5161" s="45">
        <v>5733.21</v>
      </c>
      <c r="K5161" s="49" t="s">
        <v>6182</v>
      </c>
      <c r="L5161" s="45"/>
      <c r="M5161" s="3"/>
    </row>
    <row r="5162" spans="1:13" ht="25.5" x14ac:dyDescent="0.25">
      <c r="A5162" s="46" t="s">
        <v>6278</v>
      </c>
      <c r="B5162" s="46" t="s">
        <v>38</v>
      </c>
      <c r="C5162" s="46" t="s">
        <v>14</v>
      </c>
      <c r="D5162" s="47">
        <v>2004</v>
      </c>
      <c r="E5162" s="46" t="s">
        <v>6317</v>
      </c>
      <c r="F5162" s="48">
        <v>39475</v>
      </c>
      <c r="G5162" s="48">
        <v>39609</v>
      </c>
      <c r="H5162" s="46" t="s">
        <v>40</v>
      </c>
      <c r="I5162" s="45">
        <v>3662.5</v>
      </c>
      <c r="J5162" s="45">
        <v>2612.5</v>
      </c>
      <c r="K5162" s="49" t="s">
        <v>6182</v>
      </c>
      <c r="L5162" s="45"/>
      <c r="M5162" s="3"/>
    </row>
    <row r="5163" spans="1:13" ht="25.5" x14ac:dyDescent="0.25">
      <c r="A5163" s="46" t="s">
        <v>6320</v>
      </c>
      <c r="B5163" s="46" t="s">
        <v>38</v>
      </c>
      <c r="C5163" s="46" t="s">
        <v>14</v>
      </c>
      <c r="D5163" s="47">
        <v>2005</v>
      </c>
      <c r="E5163" s="46" t="s">
        <v>6321</v>
      </c>
      <c r="F5163" s="48">
        <v>39475</v>
      </c>
      <c r="G5163" s="48">
        <v>39643</v>
      </c>
      <c r="H5163" s="46" t="s">
        <v>40</v>
      </c>
      <c r="I5163" s="45">
        <v>21793.75</v>
      </c>
      <c r="J5163" s="45">
        <v>19993.75</v>
      </c>
      <c r="K5163" s="49" t="s">
        <v>6182</v>
      </c>
      <c r="L5163" s="45"/>
      <c r="M5163" s="3"/>
    </row>
    <row r="5164" spans="1:13" ht="25.5" x14ac:dyDescent="0.25">
      <c r="A5164" s="46" t="s">
        <v>6322</v>
      </c>
      <c r="B5164" s="46" t="s">
        <v>38</v>
      </c>
      <c r="C5164" s="46" t="s">
        <v>14</v>
      </c>
      <c r="D5164" s="47">
        <v>2006</v>
      </c>
      <c r="E5164" s="46" t="s">
        <v>6323</v>
      </c>
      <c r="F5164" s="48">
        <v>39475</v>
      </c>
      <c r="G5164" s="48">
        <v>39743</v>
      </c>
      <c r="H5164" s="46" t="s">
        <v>40</v>
      </c>
      <c r="I5164" s="45">
        <v>3675.96</v>
      </c>
      <c r="J5164" s="45">
        <v>2425.96</v>
      </c>
      <c r="K5164" s="49" t="s">
        <v>6182</v>
      </c>
      <c r="L5164" s="45"/>
      <c r="M5164" s="3"/>
    </row>
    <row r="5165" spans="1:13" ht="25.5" x14ac:dyDescent="0.25">
      <c r="A5165" s="46" t="s">
        <v>6285</v>
      </c>
      <c r="B5165" s="46" t="s">
        <v>38</v>
      </c>
      <c r="C5165" s="46" t="s">
        <v>14</v>
      </c>
      <c r="D5165" s="47">
        <v>2007</v>
      </c>
      <c r="E5165" s="46" t="s">
        <v>6324</v>
      </c>
      <c r="F5165" s="48">
        <v>39475</v>
      </c>
      <c r="G5165" s="48">
        <v>39743</v>
      </c>
      <c r="H5165" s="46" t="s">
        <v>40</v>
      </c>
      <c r="I5165" s="45">
        <v>26704.6</v>
      </c>
      <c r="J5165" s="45">
        <v>26704.6</v>
      </c>
      <c r="K5165" s="49" t="s">
        <v>6182</v>
      </c>
      <c r="L5165" s="45"/>
      <c r="M5165" s="3"/>
    </row>
    <row r="5166" spans="1:13" ht="25.5" x14ac:dyDescent="0.25">
      <c r="A5166" s="46" t="s">
        <v>6325</v>
      </c>
      <c r="B5166" s="46" t="s">
        <v>38</v>
      </c>
      <c r="C5166" s="46" t="s">
        <v>14</v>
      </c>
      <c r="D5166" s="47">
        <v>2009</v>
      </c>
      <c r="E5166" s="46" t="s">
        <v>6326</v>
      </c>
      <c r="F5166" s="48">
        <v>39475</v>
      </c>
      <c r="G5166" s="48">
        <v>39743</v>
      </c>
      <c r="H5166" s="46" t="s">
        <v>40</v>
      </c>
      <c r="I5166" s="45">
        <v>4475</v>
      </c>
      <c r="J5166" s="45">
        <v>4475</v>
      </c>
      <c r="K5166" s="49" t="s">
        <v>6182</v>
      </c>
      <c r="L5166" s="45"/>
      <c r="M5166" s="3"/>
    </row>
    <row r="5167" spans="1:13" ht="25.5" x14ac:dyDescent="0.25">
      <c r="A5167" s="46" t="s">
        <v>6287</v>
      </c>
      <c r="B5167" s="46" t="s">
        <v>38</v>
      </c>
      <c r="C5167" s="46" t="s">
        <v>14</v>
      </c>
      <c r="D5167" s="47">
        <v>2010</v>
      </c>
      <c r="E5167" s="46" t="s">
        <v>6327</v>
      </c>
      <c r="F5167" s="48">
        <v>39475</v>
      </c>
      <c r="G5167" s="48">
        <v>39783</v>
      </c>
      <c r="H5167" s="46" t="s">
        <v>40</v>
      </c>
      <c r="I5167" s="45">
        <v>26078.18</v>
      </c>
      <c r="J5167" s="45">
        <v>20793.18</v>
      </c>
      <c r="K5167" s="49" t="s">
        <v>6182</v>
      </c>
      <c r="L5167" s="45"/>
      <c r="M5167" s="3"/>
    </row>
    <row r="5168" spans="1:13" ht="25.5" x14ac:dyDescent="0.25">
      <c r="A5168" s="46" t="s">
        <v>6295</v>
      </c>
      <c r="B5168" s="46" t="s">
        <v>38</v>
      </c>
      <c r="C5168" s="46" t="s">
        <v>14</v>
      </c>
      <c r="D5168" s="47">
        <v>2011</v>
      </c>
      <c r="E5168" s="46" t="s">
        <v>6328</v>
      </c>
      <c r="F5168" s="48">
        <v>39475</v>
      </c>
      <c r="G5168" s="48">
        <v>39687</v>
      </c>
      <c r="H5168" s="46" t="s">
        <v>40</v>
      </c>
      <c r="I5168" s="45">
        <v>6222.37</v>
      </c>
      <c r="J5168" s="45">
        <v>5047.37</v>
      </c>
      <c r="K5168" s="49" t="s">
        <v>6182</v>
      </c>
      <c r="L5168" s="45"/>
      <c r="M5168" s="3"/>
    </row>
    <row r="5169" spans="1:60" s="21" customFormat="1" ht="25.5" x14ac:dyDescent="0.25">
      <c r="A5169" s="46" t="s">
        <v>6329</v>
      </c>
      <c r="B5169" s="46" t="s">
        <v>38</v>
      </c>
      <c r="C5169" s="46" t="s">
        <v>14</v>
      </c>
      <c r="D5169" s="47">
        <v>2012</v>
      </c>
      <c r="E5169" s="46" t="s">
        <v>6330</v>
      </c>
      <c r="F5169" s="48">
        <v>39475</v>
      </c>
      <c r="G5169" s="48">
        <v>39609</v>
      </c>
      <c r="H5169" s="46" t="s">
        <v>40</v>
      </c>
      <c r="I5169" s="45">
        <v>2213.9899999999998</v>
      </c>
      <c r="J5169" s="45">
        <v>1913.99</v>
      </c>
      <c r="K5169" s="49" t="s">
        <v>6182</v>
      </c>
      <c r="L5169" s="45"/>
      <c r="M5169" s="3"/>
      <c r="N5169" s="4"/>
      <c r="O5169" s="4"/>
      <c r="P5169" s="4"/>
      <c r="Q5169" s="4"/>
      <c r="R5169" s="4"/>
      <c r="S5169" s="4"/>
      <c r="T5169" s="4"/>
      <c r="U5169" s="4"/>
      <c r="V5169" s="4"/>
      <c r="W5169" s="4"/>
      <c r="X5169" s="4"/>
      <c r="Y5169" s="4"/>
      <c r="Z5169" s="4"/>
      <c r="AA5169" s="4"/>
      <c r="AB5169" s="4"/>
      <c r="AC5169" s="4"/>
      <c r="AD5169" s="4"/>
      <c r="AE5169" s="4"/>
      <c r="AF5169" s="4"/>
      <c r="AG5169" s="4"/>
      <c r="AH5169" s="4"/>
      <c r="AI5169" s="4"/>
      <c r="AJ5169" s="4"/>
      <c r="AK5169" s="4"/>
      <c r="AL5169" s="4"/>
      <c r="AM5169" s="4"/>
      <c r="AN5169" s="4"/>
      <c r="AO5169" s="4"/>
      <c r="AP5169" s="4"/>
      <c r="AQ5169" s="4"/>
      <c r="AR5169" s="4"/>
      <c r="AS5169" s="4"/>
      <c r="AT5169" s="4"/>
      <c r="AU5169" s="4"/>
      <c r="AV5169" s="4"/>
      <c r="AW5169" s="4"/>
      <c r="AX5169" s="4"/>
      <c r="AY5169" s="4"/>
      <c r="AZ5169" s="4"/>
      <c r="BA5169" s="4"/>
      <c r="BB5169" s="4"/>
      <c r="BC5169" s="4"/>
      <c r="BD5169" s="4"/>
      <c r="BE5169" s="4"/>
      <c r="BF5169" s="4"/>
      <c r="BG5169" s="4"/>
      <c r="BH5169" s="4"/>
    </row>
    <row r="5170" spans="1:60" s="21" customFormat="1" ht="25.5" x14ac:dyDescent="0.25">
      <c r="A5170" s="46" t="s">
        <v>6293</v>
      </c>
      <c r="B5170" s="46" t="s">
        <v>38</v>
      </c>
      <c r="C5170" s="46" t="s">
        <v>14</v>
      </c>
      <c r="D5170" s="47">
        <v>2013</v>
      </c>
      <c r="E5170" s="46" t="s">
        <v>6331</v>
      </c>
      <c r="F5170" s="48">
        <v>39472</v>
      </c>
      <c r="G5170" s="48">
        <v>39472</v>
      </c>
      <c r="H5170" s="46" t="s">
        <v>40</v>
      </c>
      <c r="I5170" s="45">
        <v>20000</v>
      </c>
      <c r="J5170" s="45">
        <v>20000</v>
      </c>
      <c r="K5170" s="49" t="s">
        <v>6182</v>
      </c>
      <c r="L5170" s="45"/>
      <c r="M5170" s="3"/>
      <c r="N5170" s="4"/>
      <c r="O5170" s="4"/>
      <c r="P5170" s="4"/>
      <c r="Q5170" s="4"/>
      <c r="R5170" s="4"/>
      <c r="S5170" s="4"/>
      <c r="T5170" s="4"/>
      <c r="U5170" s="4"/>
      <c r="V5170" s="4"/>
      <c r="W5170" s="4"/>
      <c r="X5170" s="4"/>
      <c r="Y5170" s="4"/>
      <c r="Z5170" s="4"/>
      <c r="AA5170" s="4"/>
      <c r="AB5170" s="4"/>
      <c r="AC5170" s="4"/>
      <c r="AD5170" s="4"/>
      <c r="AE5170" s="4"/>
      <c r="AF5170" s="4"/>
      <c r="AG5170" s="4"/>
      <c r="AH5170" s="4"/>
      <c r="AI5170" s="4"/>
      <c r="AJ5170" s="4"/>
      <c r="AK5170" s="4"/>
      <c r="AL5170" s="4"/>
      <c r="AM5170" s="4"/>
      <c r="AN5170" s="4"/>
      <c r="AO5170" s="4"/>
      <c r="AP5170" s="4"/>
      <c r="AQ5170" s="4"/>
      <c r="AR5170" s="4"/>
      <c r="AS5170" s="4"/>
      <c r="AT5170" s="4"/>
      <c r="AU5170" s="4"/>
      <c r="AV5170" s="4"/>
      <c r="AW5170" s="4"/>
      <c r="AX5170" s="4"/>
      <c r="AY5170" s="4"/>
      <c r="AZ5170" s="4"/>
      <c r="BA5170" s="4"/>
      <c r="BB5170" s="4"/>
      <c r="BC5170" s="4"/>
      <c r="BD5170" s="4"/>
      <c r="BE5170" s="4"/>
      <c r="BF5170" s="4"/>
      <c r="BG5170" s="4"/>
      <c r="BH5170" s="4"/>
    </row>
    <row r="5171" spans="1:60" s="21" customFormat="1" ht="25.5" x14ac:dyDescent="0.25">
      <c r="A5171" s="46" t="s">
        <v>6332</v>
      </c>
      <c r="B5171" s="46" t="s">
        <v>38</v>
      </c>
      <c r="C5171" s="46" t="s">
        <v>14</v>
      </c>
      <c r="D5171" s="47">
        <v>2014</v>
      </c>
      <c r="E5171" s="46" t="s">
        <v>6333</v>
      </c>
      <c r="F5171" s="48">
        <v>39475</v>
      </c>
      <c r="G5171" s="48">
        <v>39609</v>
      </c>
      <c r="H5171" s="46" t="s">
        <v>40</v>
      </c>
      <c r="I5171" s="45">
        <v>4400</v>
      </c>
      <c r="J5171" s="45">
        <v>4100</v>
      </c>
      <c r="K5171" s="49" t="s">
        <v>6182</v>
      </c>
      <c r="L5171" s="45"/>
      <c r="M5171" s="3"/>
      <c r="N5171" s="4"/>
      <c r="O5171" s="4"/>
      <c r="P5171" s="4"/>
      <c r="Q5171" s="4"/>
      <c r="R5171" s="4"/>
      <c r="S5171" s="4"/>
      <c r="T5171" s="4"/>
      <c r="U5171" s="4"/>
      <c r="V5171" s="4"/>
      <c r="W5171" s="4"/>
      <c r="X5171" s="4"/>
      <c r="Y5171" s="4"/>
      <c r="Z5171" s="4"/>
      <c r="AA5171" s="4"/>
      <c r="AB5171" s="4"/>
      <c r="AC5171" s="4"/>
      <c r="AD5171" s="4"/>
      <c r="AE5171" s="4"/>
      <c r="AF5171" s="4"/>
      <c r="AG5171" s="4"/>
      <c r="AH5171" s="4"/>
      <c r="AI5171" s="4"/>
      <c r="AJ5171" s="4"/>
      <c r="AK5171" s="4"/>
      <c r="AL5171" s="4"/>
      <c r="AM5171" s="4"/>
      <c r="AN5171" s="4"/>
      <c r="AO5171" s="4"/>
      <c r="AP5171" s="4"/>
      <c r="AQ5171" s="4"/>
      <c r="AR5171" s="4"/>
      <c r="AS5171" s="4"/>
      <c r="AT5171" s="4"/>
      <c r="AU5171" s="4"/>
      <c r="AV5171" s="4"/>
      <c r="AW5171" s="4"/>
      <c r="AX5171" s="4"/>
      <c r="AY5171" s="4"/>
      <c r="AZ5171" s="4"/>
      <c r="BA5171" s="4"/>
      <c r="BB5171" s="4"/>
      <c r="BC5171" s="4"/>
      <c r="BD5171" s="4"/>
      <c r="BE5171" s="4"/>
      <c r="BF5171" s="4"/>
      <c r="BG5171" s="4"/>
      <c r="BH5171" s="4"/>
    </row>
    <row r="5172" spans="1:60" s="21" customFormat="1" ht="25.5" x14ac:dyDescent="0.25">
      <c r="A5172" s="46" t="s">
        <v>6297</v>
      </c>
      <c r="B5172" s="46" t="s">
        <v>38</v>
      </c>
      <c r="C5172" s="46" t="s">
        <v>14</v>
      </c>
      <c r="D5172" s="47">
        <v>2015</v>
      </c>
      <c r="E5172" s="46" t="s">
        <v>6334</v>
      </c>
      <c r="F5172" s="48">
        <v>39475</v>
      </c>
      <c r="G5172" s="48">
        <v>39783</v>
      </c>
      <c r="H5172" s="46" t="s">
        <v>40</v>
      </c>
      <c r="I5172" s="45">
        <v>4162.42</v>
      </c>
      <c r="J5172" s="45">
        <v>4162.42</v>
      </c>
      <c r="K5172" s="49" t="s">
        <v>6182</v>
      </c>
      <c r="L5172" s="45"/>
      <c r="M5172" s="3"/>
      <c r="N5172" s="4"/>
      <c r="O5172" s="4"/>
      <c r="P5172" s="4"/>
      <c r="Q5172" s="4"/>
      <c r="R5172" s="4"/>
      <c r="S5172" s="4"/>
      <c r="T5172" s="4"/>
      <c r="U5172" s="4"/>
      <c r="V5172" s="4"/>
      <c r="W5172" s="4"/>
      <c r="X5172" s="4"/>
      <c r="Y5172" s="4"/>
      <c r="Z5172" s="4"/>
      <c r="AA5172" s="4"/>
      <c r="AB5172" s="4"/>
      <c r="AC5172" s="4"/>
      <c r="AD5172" s="4"/>
      <c r="AE5172" s="4"/>
      <c r="AF5172" s="4"/>
      <c r="AG5172" s="4"/>
      <c r="AH5172" s="4"/>
      <c r="AI5172" s="4"/>
      <c r="AJ5172" s="4"/>
      <c r="AK5172" s="4"/>
      <c r="AL5172" s="4"/>
      <c r="AM5172" s="4"/>
      <c r="AN5172" s="4"/>
      <c r="AO5172" s="4"/>
      <c r="AP5172" s="4"/>
      <c r="AQ5172" s="4"/>
      <c r="AR5172" s="4"/>
      <c r="AS5172" s="4"/>
      <c r="AT5172" s="4"/>
      <c r="AU5172" s="4"/>
      <c r="AV5172" s="4"/>
      <c r="AW5172" s="4"/>
      <c r="AX5172" s="4"/>
      <c r="AY5172" s="4"/>
      <c r="AZ5172" s="4"/>
      <c r="BA5172" s="4"/>
      <c r="BB5172" s="4"/>
      <c r="BC5172" s="4"/>
      <c r="BD5172" s="4"/>
      <c r="BE5172" s="4"/>
      <c r="BF5172" s="4"/>
      <c r="BG5172" s="4"/>
      <c r="BH5172" s="4"/>
    </row>
    <row r="5173" spans="1:60" s="21" customFormat="1" ht="25.5" x14ac:dyDescent="0.25">
      <c r="A5173" s="46" t="s">
        <v>6335</v>
      </c>
      <c r="B5173" s="46" t="s">
        <v>38</v>
      </c>
      <c r="C5173" s="46" t="s">
        <v>14</v>
      </c>
      <c r="D5173" s="47">
        <v>2016</v>
      </c>
      <c r="E5173" s="46" t="s">
        <v>6336</v>
      </c>
      <c r="F5173" s="48">
        <v>39475</v>
      </c>
      <c r="G5173" s="48">
        <v>39609</v>
      </c>
      <c r="H5173" s="46" t="s">
        <v>40</v>
      </c>
      <c r="I5173" s="45">
        <v>1130.58</v>
      </c>
      <c r="J5173" s="45">
        <v>710.58</v>
      </c>
      <c r="K5173" s="49" t="s">
        <v>6182</v>
      </c>
      <c r="L5173" s="45"/>
      <c r="M5173" s="3"/>
      <c r="N5173" s="4"/>
      <c r="O5173" s="4"/>
      <c r="P5173" s="4"/>
      <c r="Q5173" s="4"/>
      <c r="R5173" s="4"/>
      <c r="S5173" s="4"/>
      <c r="T5173" s="4"/>
      <c r="U5173" s="4"/>
      <c r="V5173" s="4"/>
      <c r="W5173" s="4"/>
      <c r="X5173" s="4"/>
      <c r="Y5173" s="4"/>
      <c r="Z5173" s="4"/>
      <c r="AA5173" s="4"/>
      <c r="AB5173" s="4"/>
      <c r="AC5173" s="4"/>
      <c r="AD5173" s="4"/>
      <c r="AE5173" s="4"/>
      <c r="AF5173" s="4"/>
      <c r="AG5173" s="4"/>
      <c r="AH5173" s="4"/>
      <c r="AI5173" s="4"/>
      <c r="AJ5173" s="4"/>
      <c r="AK5173" s="4"/>
      <c r="AL5173" s="4"/>
      <c r="AM5173" s="4"/>
      <c r="AN5173" s="4"/>
      <c r="AO5173" s="4"/>
      <c r="AP5173" s="4"/>
      <c r="AQ5173" s="4"/>
      <c r="AR5173" s="4"/>
      <c r="AS5173" s="4"/>
      <c r="AT5173" s="4"/>
      <c r="AU5173" s="4"/>
      <c r="AV5173" s="4"/>
      <c r="AW5173" s="4"/>
      <c r="AX5173" s="4"/>
      <c r="AY5173" s="4"/>
      <c r="AZ5173" s="4"/>
      <c r="BA5173" s="4"/>
      <c r="BB5173" s="4"/>
      <c r="BC5173" s="4"/>
      <c r="BD5173" s="4"/>
      <c r="BE5173" s="4"/>
      <c r="BF5173" s="4"/>
      <c r="BG5173" s="4"/>
      <c r="BH5173" s="4"/>
    </row>
    <row r="5174" spans="1:60" s="21" customFormat="1" ht="25.5" x14ac:dyDescent="0.25">
      <c r="A5174" s="46" t="s">
        <v>6001</v>
      </c>
      <c r="B5174" s="46" t="s">
        <v>38</v>
      </c>
      <c r="C5174" s="46" t="s">
        <v>14</v>
      </c>
      <c r="D5174" s="47">
        <v>2017</v>
      </c>
      <c r="E5174" s="46" t="s">
        <v>6337</v>
      </c>
      <c r="F5174" s="48">
        <v>39475</v>
      </c>
      <c r="G5174" s="48">
        <v>39801</v>
      </c>
      <c r="H5174" s="46" t="s">
        <v>40</v>
      </c>
      <c r="I5174" s="45">
        <v>15690.97</v>
      </c>
      <c r="J5174" s="45">
        <v>15190.97</v>
      </c>
      <c r="K5174" s="49" t="s">
        <v>6182</v>
      </c>
      <c r="L5174" s="45"/>
      <c r="M5174" s="3"/>
      <c r="N5174" s="4"/>
      <c r="O5174" s="4"/>
      <c r="P5174" s="4"/>
      <c r="Q5174" s="4"/>
      <c r="R5174" s="4"/>
      <c r="S5174" s="4"/>
      <c r="T5174" s="4"/>
      <c r="U5174" s="4"/>
      <c r="V5174" s="4"/>
      <c r="W5174" s="4"/>
      <c r="X5174" s="4"/>
      <c r="Y5174" s="4"/>
      <c r="Z5174" s="4"/>
      <c r="AA5174" s="4"/>
      <c r="AB5174" s="4"/>
      <c r="AC5174" s="4"/>
      <c r="AD5174" s="4"/>
      <c r="AE5174" s="4"/>
      <c r="AF5174" s="4"/>
      <c r="AG5174" s="4"/>
      <c r="AH5174" s="4"/>
      <c r="AI5174" s="4"/>
      <c r="AJ5174" s="4"/>
      <c r="AK5174" s="4"/>
      <c r="AL5174" s="4"/>
      <c r="AM5174" s="4"/>
      <c r="AN5174" s="4"/>
      <c r="AO5174" s="4"/>
      <c r="AP5174" s="4"/>
      <c r="AQ5174" s="4"/>
      <c r="AR5174" s="4"/>
      <c r="AS5174" s="4"/>
      <c r="AT5174" s="4"/>
      <c r="AU5174" s="4"/>
      <c r="AV5174" s="4"/>
      <c r="AW5174" s="4"/>
      <c r="AX5174" s="4"/>
      <c r="AY5174" s="4"/>
      <c r="AZ5174" s="4"/>
      <c r="BA5174" s="4"/>
      <c r="BB5174" s="4"/>
      <c r="BC5174" s="4"/>
      <c r="BD5174" s="4"/>
      <c r="BE5174" s="4"/>
      <c r="BF5174" s="4"/>
      <c r="BG5174" s="4"/>
      <c r="BH5174" s="4"/>
    </row>
    <row r="5175" spans="1:60" ht="25.5" x14ac:dyDescent="0.25">
      <c r="A5175" s="46" t="s">
        <v>6338</v>
      </c>
      <c r="B5175" s="46" t="s">
        <v>38</v>
      </c>
      <c r="C5175" s="46" t="s">
        <v>14</v>
      </c>
      <c r="D5175" s="47">
        <v>2018</v>
      </c>
      <c r="E5175" s="46" t="s">
        <v>6339</v>
      </c>
      <c r="F5175" s="48">
        <v>39475</v>
      </c>
      <c r="G5175" s="48">
        <v>39793</v>
      </c>
      <c r="H5175" s="46" t="s">
        <v>40</v>
      </c>
      <c r="I5175" s="45">
        <v>3505.65</v>
      </c>
      <c r="J5175" s="45">
        <v>3505.65</v>
      </c>
      <c r="K5175" s="49" t="s">
        <v>6182</v>
      </c>
      <c r="L5175" s="45"/>
      <c r="M5175" s="3"/>
    </row>
    <row r="5176" spans="1:60" ht="25.5" x14ac:dyDescent="0.25">
      <c r="A5176" s="46" t="s">
        <v>6340</v>
      </c>
      <c r="B5176" s="46" t="s">
        <v>38</v>
      </c>
      <c r="C5176" s="46" t="s">
        <v>14</v>
      </c>
      <c r="D5176" s="47">
        <v>2019</v>
      </c>
      <c r="E5176" s="46" t="s">
        <v>6341</v>
      </c>
      <c r="F5176" s="48">
        <v>39475</v>
      </c>
      <c r="G5176" s="48">
        <v>40178</v>
      </c>
      <c r="H5176" s="46" t="s">
        <v>40</v>
      </c>
      <c r="I5176" s="45">
        <v>15648</v>
      </c>
      <c r="J5176" s="45">
        <v>15648</v>
      </c>
      <c r="K5176" s="49" t="s">
        <v>6182</v>
      </c>
      <c r="L5176" s="45"/>
      <c r="M5176" s="3"/>
    </row>
    <row r="5177" spans="1:60" ht="25.5" x14ac:dyDescent="0.25">
      <c r="A5177" s="46" t="s">
        <v>6279</v>
      </c>
      <c r="B5177" s="46" t="s">
        <v>38</v>
      </c>
      <c r="C5177" s="46" t="s">
        <v>14</v>
      </c>
      <c r="D5177" s="47">
        <v>2020</v>
      </c>
      <c r="E5177" s="46" t="s">
        <v>6272</v>
      </c>
      <c r="F5177" s="48">
        <v>39475</v>
      </c>
      <c r="G5177" s="48">
        <v>39743</v>
      </c>
      <c r="H5177" s="46" t="s">
        <v>40</v>
      </c>
      <c r="I5177" s="45">
        <v>2960.13</v>
      </c>
      <c r="J5177" s="45">
        <v>2135.13</v>
      </c>
      <c r="K5177" s="49" t="s">
        <v>6182</v>
      </c>
      <c r="L5177" s="45"/>
      <c r="M5177" s="3"/>
    </row>
    <row r="5178" spans="1:60" ht="25.5" x14ac:dyDescent="0.25">
      <c r="A5178" s="46" t="s">
        <v>6342</v>
      </c>
      <c r="B5178" s="46" t="s">
        <v>38</v>
      </c>
      <c r="C5178" s="46" t="s">
        <v>14</v>
      </c>
      <c r="D5178" s="47">
        <v>2021</v>
      </c>
      <c r="E5178" s="46" t="s">
        <v>6317</v>
      </c>
      <c r="F5178" s="48">
        <v>39475</v>
      </c>
      <c r="G5178" s="48">
        <v>39783</v>
      </c>
      <c r="H5178" s="46" t="s">
        <v>40</v>
      </c>
      <c r="I5178" s="45">
        <v>5517.5</v>
      </c>
      <c r="J5178" s="45">
        <v>4992.5</v>
      </c>
      <c r="K5178" s="49" t="s">
        <v>6182</v>
      </c>
      <c r="L5178" s="45"/>
      <c r="M5178" s="3"/>
    </row>
    <row r="5179" spans="1:60" ht="25.5" x14ac:dyDescent="0.25">
      <c r="A5179" s="46" t="s">
        <v>6343</v>
      </c>
      <c r="B5179" s="46" t="s">
        <v>38</v>
      </c>
      <c r="C5179" s="46" t="s">
        <v>14</v>
      </c>
      <c r="D5179" s="47">
        <v>2022</v>
      </c>
      <c r="E5179" s="46" t="s">
        <v>6272</v>
      </c>
      <c r="F5179" s="48">
        <v>39475</v>
      </c>
      <c r="G5179" s="48">
        <v>39783</v>
      </c>
      <c r="H5179" s="46" t="s">
        <v>40</v>
      </c>
      <c r="I5179" s="45">
        <v>1702</v>
      </c>
      <c r="J5179" s="45">
        <v>1252</v>
      </c>
      <c r="K5179" s="49" t="s">
        <v>6182</v>
      </c>
      <c r="L5179" s="45"/>
      <c r="M5179" s="3"/>
    </row>
    <row r="5180" spans="1:60" ht="25.5" x14ac:dyDescent="0.25">
      <c r="A5180" s="46" t="s">
        <v>6344</v>
      </c>
      <c r="B5180" s="46" t="s">
        <v>38</v>
      </c>
      <c r="C5180" s="46" t="s">
        <v>14</v>
      </c>
      <c r="D5180" s="47">
        <v>2023</v>
      </c>
      <c r="E5180" s="46" t="s">
        <v>6317</v>
      </c>
      <c r="F5180" s="48">
        <v>39475</v>
      </c>
      <c r="G5180" s="48">
        <v>39743</v>
      </c>
      <c r="H5180" s="46" t="s">
        <v>40</v>
      </c>
      <c r="I5180" s="45">
        <v>60</v>
      </c>
      <c r="J5180" s="45">
        <v>60</v>
      </c>
      <c r="K5180" s="49" t="s">
        <v>6182</v>
      </c>
      <c r="L5180" s="45"/>
      <c r="M5180" s="3"/>
    </row>
    <row r="5181" spans="1:60" ht="25.5" x14ac:dyDescent="0.25">
      <c r="A5181" s="46" t="s">
        <v>6347</v>
      </c>
      <c r="B5181" s="46" t="s">
        <v>38</v>
      </c>
      <c r="C5181" s="46" t="s">
        <v>14</v>
      </c>
      <c r="D5181" s="47">
        <v>2025</v>
      </c>
      <c r="E5181" s="46" t="s">
        <v>6348</v>
      </c>
      <c r="F5181" s="48">
        <v>39475</v>
      </c>
      <c r="G5181" s="48">
        <v>39783</v>
      </c>
      <c r="H5181" s="46" t="s">
        <v>40</v>
      </c>
      <c r="I5181" s="45">
        <v>523.83000000000004</v>
      </c>
      <c r="J5181" s="45">
        <v>123.83</v>
      </c>
      <c r="K5181" s="49" t="s">
        <v>6182</v>
      </c>
      <c r="L5181" s="45"/>
      <c r="M5181" s="3"/>
    </row>
    <row r="5182" spans="1:60" ht="25.5" x14ac:dyDescent="0.25">
      <c r="A5182" s="46" t="s">
        <v>6349</v>
      </c>
      <c r="B5182" s="46" t="s">
        <v>38</v>
      </c>
      <c r="C5182" s="46" t="s">
        <v>14</v>
      </c>
      <c r="D5182" s="47">
        <v>2026</v>
      </c>
      <c r="E5182" s="46" t="s">
        <v>6350</v>
      </c>
      <c r="F5182" s="48">
        <v>39475</v>
      </c>
      <c r="G5182" s="48">
        <v>39783</v>
      </c>
      <c r="H5182" s="46" t="s">
        <v>40</v>
      </c>
      <c r="I5182" s="45">
        <v>529.51</v>
      </c>
      <c r="J5182" s="45">
        <v>329.51</v>
      </c>
      <c r="K5182" s="49" t="s">
        <v>6182</v>
      </c>
      <c r="L5182" s="45"/>
      <c r="M5182" s="3"/>
    </row>
    <row r="5183" spans="1:60" ht="25.5" x14ac:dyDescent="0.25">
      <c r="A5183" s="46" t="s">
        <v>6351</v>
      </c>
      <c r="B5183" s="46" t="s">
        <v>38</v>
      </c>
      <c r="C5183" s="46" t="s">
        <v>14</v>
      </c>
      <c r="D5183" s="47">
        <v>2027</v>
      </c>
      <c r="E5183" s="46" t="s">
        <v>6352</v>
      </c>
      <c r="F5183" s="48">
        <v>39475</v>
      </c>
      <c r="G5183" s="48">
        <v>39783</v>
      </c>
      <c r="H5183" s="46" t="s">
        <v>40</v>
      </c>
      <c r="I5183" s="45">
        <v>1127.1099999999999</v>
      </c>
      <c r="J5183" s="45">
        <v>827.11</v>
      </c>
      <c r="K5183" s="49" t="s">
        <v>6182</v>
      </c>
      <c r="L5183" s="45"/>
      <c r="M5183" s="3"/>
    </row>
    <row r="5184" spans="1:60" ht="25.5" x14ac:dyDescent="0.25">
      <c r="A5184" s="46" t="s">
        <v>6353</v>
      </c>
      <c r="B5184" s="46" t="s">
        <v>38</v>
      </c>
      <c r="C5184" s="46" t="s">
        <v>14</v>
      </c>
      <c r="D5184" s="47">
        <v>2030</v>
      </c>
      <c r="E5184" s="46" t="s">
        <v>6354</v>
      </c>
      <c r="F5184" s="48">
        <v>39475</v>
      </c>
      <c r="G5184" s="48">
        <v>39784</v>
      </c>
      <c r="H5184" s="46" t="s">
        <v>40</v>
      </c>
      <c r="I5184" s="45">
        <v>1213.92</v>
      </c>
      <c r="J5184" s="45">
        <v>663.92</v>
      </c>
      <c r="K5184" s="49" t="s">
        <v>6182</v>
      </c>
      <c r="L5184" s="45"/>
      <c r="M5184" s="3"/>
    </row>
    <row r="5185" spans="1:13" ht="25.5" x14ac:dyDescent="0.25">
      <c r="A5185" s="46" t="s">
        <v>6357</v>
      </c>
      <c r="B5185" s="46" t="s">
        <v>38</v>
      </c>
      <c r="C5185" s="46" t="s">
        <v>14</v>
      </c>
      <c r="D5185" s="47">
        <v>2033</v>
      </c>
      <c r="E5185" s="46" t="s">
        <v>6358</v>
      </c>
      <c r="F5185" s="48">
        <v>39475</v>
      </c>
      <c r="G5185" s="48">
        <v>39784</v>
      </c>
      <c r="H5185" s="46" t="s">
        <v>40</v>
      </c>
      <c r="I5185" s="45">
        <v>1041.19</v>
      </c>
      <c r="J5185" s="45">
        <v>341.19</v>
      </c>
      <c r="K5185" s="49" t="s">
        <v>6182</v>
      </c>
      <c r="L5185" s="45"/>
      <c r="M5185" s="3"/>
    </row>
    <row r="5186" spans="1:13" ht="25.5" x14ac:dyDescent="0.25">
      <c r="A5186" s="46" t="s">
        <v>3739</v>
      </c>
      <c r="B5186" s="46" t="s">
        <v>38</v>
      </c>
      <c r="C5186" s="46" t="s">
        <v>14</v>
      </c>
      <c r="D5186" s="47">
        <v>2820</v>
      </c>
      <c r="E5186" s="46" t="s">
        <v>6361</v>
      </c>
      <c r="F5186" s="48">
        <v>39083</v>
      </c>
      <c r="G5186" s="48">
        <v>40178</v>
      </c>
      <c r="H5186" s="46" t="s">
        <v>40</v>
      </c>
      <c r="I5186" s="45">
        <v>150450.62</v>
      </c>
      <c r="J5186" s="45">
        <v>150450.62</v>
      </c>
      <c r="K5186" s="49" t="s">
        <v>6182</v>
      </c>
      <c r="L5186" s="45"/>
      <c r="M5186" s="3"/>
    </row>
    <row r="5187" spans="1:13" ht="25.5" x14ac:dyDescent="0.25">
      <c r="A5187" s="46" t="s">
        <v>6388</v>
      </c>
      <c r="B5187" s="46" t="s">
        <v>38</v>
      </c>
      <c r="C5187" s="46" t="s">
        <v>14</v>
      </c>
      <c r="D5187" s="47">
        <v>5937</v>
      </c>
      <c r="E5187" s="46" t="s">
        <v>6389</v>
      </c>
      <c r="F5187" s="48">
        <v>39839</v>
      </c>
      <c r="G5187" s="48">
        <v>39958</v>
      </c>
      <c r="H5187" s="46" t="s">
        <v>40</v>
      </c>
      <c r="I5187" s="45">
        <v>778.75</v>
      </c>
      <c r="J5187" s="45">
        <v>778.75</v>
      </c>
      <c r="K5187" s="49" t="s">
        <v>6182</v>
      </c>
      <c r="L5187" s="45"/>
      <c r="M5187" s="3"/>
    </row>
    <row r="5188" spans="1:13" ht="25.5" x14ac:dyDescent="0.25">
      <c r="A5188" s="46" t="s">
        <v>6390</v>
      </c>
      <c r="B5188" s="46" t="s">
        <v>38</v>
      </c>
      <c r="C5188" s="46" t="s">
        <v>14</v>
      </c>
      <c r="D5188" s="47">
        <v>5938</v>
      </c>
      <c r="E5188" s="46" t="s">
        <v>6391</v>
      </c>
      <c r="F5188" s="48">
        <v>39839</v>
      </c>
      <c r="G5188" s="48">
        <v>39930</v>
      </c>
      <c r="H5188" s="46" t="s">
        <v>40</v>
      </c>
      <c r="I5188" s="45">
        <v>1105.1500000000001</v>
      </c>
      <c r="J5188" s="45">
        <v>905.15</v>
      </c>
      <c r="K5188" s="49" t="s">
        <v>6182</v>
      </c>
      <c r="L5188" s="45"/>
      <c r="M5188" s="3"/>
    </row>
    <row r="5189" spans="1:13" ht="25.5" x14ac:dyDescent="0.25">
      <c r="A5189" s="46" t="s">
        <v>6392</v>
      </c>
      <c r="B5189" s="46" t="s">
        <v>38</v>
      </c>
      <c r="C5189" s="46" t="s">
        <v>14</v>
      </c>
      <c r="D5189" s="47">
        <v>5941</v>
      </c>
      <c r="E5189" s="46" t="s">
        <v>6393</v>
      </c>
      <c r="F5189" s="48">
        <v>39839</v>
      </c>
      <c r="G5189" s="48">
        <v>40225</v>
      </c>
      <c r="H5189" s="46" t="s">
        <v>40</v>
      </c>
      <c r="I5189" s="45">
        <v>13976.48</v>
      </c>
      <c r="J5189" s="45">
        <v>11776.48</v>
      </c>
      <c r="K5189" s="49" t="s">
        <v>6182</v>
      </c>
      <c r="L5189" s="45"/>
      <c r="M5189" s="3"/>
    </row>
    <row r="5190" spans="1:13" ht="25.5" x14ac:dyDescent="0.25">
      <c r="A5190" s="46" t="s">
        <v>6394</v>
      </c>
      <c r="B5190" s="46" t="s">
        <v>38</v>
      </c>
      <c r="C5190" s="46" t="s">
        <v>14</v>
      </c>
      <c r="D5190" s="47">
        <v>5943</v>
      </c>
      <c r="E5190" s="46" t="s">
        <v>6395</v>
      </c>
      <c r="F5190" s="48">
        <v>39839</v>
      </c>
      <c r="G5190" s="48">
        <v>39958</v>
      </c>
      <c r="H5190" s="46" t="s">
        <v>40</v>
      </c>
      <c r="I5190" s="45">
        <v>2384</v>
      </c>
      <c r="J5190" s="45">
        <v>1884</v>
      </c>
      <c r="K5190" s="49" t="s">
        <v>6182</v>
      </c>
      <c r="L5190" s="45"/>
      <c r="M5190" s="3"/>
    </row>
    <row r="5191" spans="1:13" ht="25.5" x14ac:dyDescent="0.25">
      <c r="A5191" s="46" t="s">
        <v>6396</v>
      </c>
      <c r="B5191" s="46" t="s">
        <v>38</v>
      </c>
      <c r="C5191" s="46" t="s">
        <v>14</v>
      </c>
      <c r="D5191" s="47">
        <v>5945</v>
      </c>
      <c r="E5191" s="46" t="s">
        <v>6397</v>
      </c>
      <c r="F5191" s="48">
        <v>39839</v>
      </c>
      <c r="G5191" s="48">
        <v>40353</v>
      </c>
      <c r="H5191" s="46" t="s">
        <v>40</v>
      </c>
      <c r="I5191" s="45">
        <v>84373.94</v>
      </c>
      <c r="J5191" s="45">
        <v>74268.94</v>
      </c>
      <c r="K5191" s="49" t="s">
        <v>6182</v>
      </c>
      <c r="L5191" s="45"/>
      <c r="M5191" s="3"/>
    </row>
    <row r="5192" spans="1:13" ht="25.5" x14ac:dyDescent="0.25">
      <c r="A5192" s="46" t="s">
        <v>6398</v>
      </c>
      <c r="B5192" s="46" t="s">
        <v>38</v>
      </c>
      <c r="C5192" s="46" t="s">
        <v>14</v>
      </c>
      <c r="D5192" s="47">
        <v>5946</v>
      </c>
      <c r="E5192" s="46" t="s">
        <v>6399</v>
      </c>
      <c r="F5192" s="48">
        <v>39839</v>
      </c>
      <c r="G5192" s="48">
        <v>40179</v>
      </c>
      <c r="H5192" s="46" t="s">
        <v>40</v>
      </c>
      <c r="I5192" s="45">
        <v>5986.43</v>
      </c>
      <c r="J5192" s="45">
        <v>5536.43</v>
      </c>
      <c r="K5192" s="49" t="s">
        <v>6182</v>
      </c>
      <c r="L5192" s="45"/>
      <c r="M5192" s="3"/>
    </row>
    <row r="5193" spans="1:13" ht="25.5" x14ac:dyDescent="0.25">
      <c r="A5193" s="46" t="s">
        <v>6400</v>
      </c>
      <c r="B5193" s="46" t="s">
        <v>38</v>
      </c>
      <c r="C5193" s="46" t="s">
        <v>14</v>
      </c>
      <c r="D5193" s="47">
        <v>5947</v>
      </c>
      <c r="E5193" s="46" t="s">
        <v>6401</v>
      </c>
      <c r="F5193" s="48">
        <v>39839</v>
      </c>
      <c r="G5193" s="48">
        <v>39930</v>
      </c>
      <c r="H5193" s="46" t="s">
        <v>40</v>
      </c>
      <c r="I5193" s="45">
        <v>1149.1199999999999</v>
      </c>
      <c r="J5193" s="45">
        <v>499.12</v>
      </c>
      <c r="K5193" s="49" t="s">
        <v>6182</v>
      </c>
      <c r="L5193" s="45"/>
      <c r="M5193" s="3"/>
    </row>
    <row r="5194" spans="1:13" ht="25.5" x14ac:dyDescent="0.25">
      <c r="A5194" s="46" t="s">
        <v>6402</v>
      </c>
      <c r="B5194" s="46" t="s">
        <v>38</v>
      </c>
      <c r="C5194" s="46" t="s">
        <v>14</v>
      </c>
      <c r="D5194" s="47">
        <v>5948</v>
      </c>
      <c r="E5194" s="46" t="s">
        <v>6403</v>
      </c>
      <c r="F5194" s="48">
        <v>39839</v>
      </c>
      <c r="G5194" s="48">
        <v>39930</v>
      </c>
      <c r="H5194" s="46" t="s">
        <v>40</v>
      </c>
      <c r="I5194" s="45">
        <v>1002.7</v>
      </c>
      <c r="J5194" s="45">
        <v>702.7</v>
      </c>
      <c r="K5194" s="49" t="s">
        <v>6182</v>
      </c>
      <c r="L5194" s="45"/>
      <c r="M5194" s="3"/>
    </row>
    <row r="5195" spans="1:13" ht="25.5" x14ac:dyDescent="0.25">
      <c r="A5195" s="46" t="s">
        <v>6404</v>
      </c>
      <c r="B5195" s="46" t="s">
        <v>38</v>
      </c>
      <c r="C5195" s="46" t="s">
        <v>14</v>
      </c>
      <c r="D5195" s="47">
        <v>5949</v>
      </c>
      <c r="E5195" s="46" t="s">
        <v>6405</v>
      </c>
      <c r="F5195" s="48">
        <v>39839</v>
      </c>
      <c r="G5195" s="48">
        <v>40155</v>
      </c>
      <c r="H5195" s="46" t="s">
        <v>40</v>
      </c>
      <c r="I5195" s="45">
        <v>1800</v>
      </c>
      <c r="J5195" s="45">
        <v>1800</v>
      </c>
      <c r="K5195" s="49" t="s">
        <v>6182</v>
      </c>
      <c r="L5195" s="45"/>
      <c r="M5195" s="3"/>
    </row>
    <row r="5196" spans="1:13" ht="25.5" x14ac:dyDescent="0.25">
      <c r="A5196" s="46" t="s">
        <v>6406</v>
      </c>
      <c r="B5196" s="46" t="s">
        <v>38</v>
      </c>
      <c r="C5196" s="46" t="s">
        <v>14</v>
      </c>
      <c r="D5196" s="47">
        <v>5950</v>
      </c>
      <c r="E5196" s="46" t="s">
        <v>6407</v>
      </c>
      <c r="F5196" s="48">
        <v>39839</v>
      </c>
      <c r="G5196" s="48">
        <v>39996</v>
      </c>
      <c r="H5196" s="46" t="s">
        <v>40</v>
      </c>
      <c r="I5196" s="45">
        <v>1405.76</v>
      </c>
      <c r="J5196" s="45">
        <v>1105.76</v>
      </c>
      <c r="K5196" s="49" t="s">
        <v>6182</v>
      </c>
      <c r="L5196" s="45"/>
      <c r="M5196" s="3"/>
    </row>
    <row r="5197" spans="1:13" ht="25.5" x14ac:dyDescent="0.25">
      <c r="A5197" s="46" t="s">
        <v>6408</v>
      </c>
      <c r="B5197" s="46" t="s">
        <v>38</v>
      </c>
      <c r="C5197" s="46" t="s">
        <v>14</v>
      </c>
      <c r="D5197" s="47">
        <v>5952</v>
      </c>
      <c r="E5197" s="46" t="s">
        <v>6409</v>
      </c>
      <c r="F5197" s="48">
        <v>39839</v>
      </c>
      <c r="G5197" s="48">
        <v>39958</v>
      </c>
      <c r="H5197" s="46" t="s">
        <v>40</v>
      </c>
      <c r="I5197" s="45">
        <v>822.52</v>
      </c>
      <c r="J5197" s="45">
        <v>572.52</v>
      </c>
      <c r="K5197" s="49" t="s">
        <v>6182</v>
      </c>
      <c r="L5197" s="45"/>
      <c r="M5197" s="3"/>
    </row>
    <row r="5198" spans="1:13" ht="25.5" x14ac:dyDescent="0.25">
      <c r="A5198" s="46" t="s">
        <v>6410</v>
      </c>
      <c r="B5198" s="46" t="s">
        <v>38</v>
      </c>
      <c r="C5198" s="46" t="s">
        <v>14</v>
      </c>
      <c r="D5198" s="47">
        <v>5954</v>
      </c>
      <c r="E5198" s="46" t="s">
        <v>6411</v>
      </c>
      <c r="F5198" s="48">
        <v>39839</v>
      </c>
      <c r="G5198" s="48">
        <v>40179</v>
      </c>
      <c r="H5198" s="46" t="s">
        <v>40</v>
      </c>
      <c r="I5198" s="45">
        <v>1738.74</v>
      </c>
      <c r="J5198" s="45">
        <v>1188.74</v>
      </c>
      <c r="K5198" s="49" t="s">
        <v>6182</v>
      </c>
      <c r="L5198" s="45"/>
      <c r="M5198" s="3"/>
    </row>
    <row r="5199" spans="1:13" ht="25.5" x14ac:dyDescent="0.25">
      <c r="A5199" s="46" t="s">
        <v>6412</v>
      </c>
      <c r="B5199" s="46" t="s">
        <v>38</v>
      </c>
      <c r="C5199" s="46" t="s">
        <v>14</v>
      </c>
      <c r="D5199" s="47">
        <v>5955</v>
      </c>
      <c r="E5199" s="46" t="s">
        <v>6413</v>
      </c>
      <c r="F5199" s="48">
        <v>39839</v>
      </c>
      <c r="G5199" s="48">
        <v>40015</v>
      </c>
      <c r="H5199" s="46" t="s">
        <v>40</v>
      </c>
      <c r="I5199" s="45">
        <v>3579.75</v>
      </c>
      <c r="J5199" s="45">
        <v>3579.75</v>
      </c>
      <c r="K5199" s="49" t="s">
        <v>6182</v>
      </c>
      <c r="L5199" s="45"/>
      <c r="M5199" s="3"/>
    </row>
    <row r="5200" spans="1:13" ht="25.5" x14ac:dyDescent="0.25">
      <c r="A5200" s="46" t="s">
        <v>6414</v>
      </c>
      <c r="B5200" s="46" t="s">
        <v>38</v>
      </c>
      <c r="C5200" s="46" t="s">
        <v>14</v>
      </c>
      <c r="D5200" s="47">
        <v>5962</v>
      </c>
      <c r="E5200" s="46" t="s">
        <v>6415</v>
      </c>
      <c r="F5200" s="48">
        <v>39839</v>
      </c>
      <c r="G5200" s="48">
        <v>39967</v>
      </c>
      <c r="H5200" s="46" t="s">
        <v>40</v>
      </c>
      <c r="I5200" s="45">
        <v>1500</v>
      </c>
      <c r="J5200" s="45">
        <v>1150</v>
      </c>
      <c r="K5200" s="49" t="s">
        <v>6182</v>
      </c>
      <c r="L5200" s="45"/>
      <c r="M5200" s="3"/>
    </row>
    <row r="5201" spans="1:13" ht="25.5" x14ac:dyDescent="0.25">
      <c r="A5201" s="46" t="s">
        <v>6416</v>
      </c>
      <c r="B5201" s="46" t="s">
        <v>38</v>
      </c>
      <c r="C5201" s="46" t="s">
        <v>14</v>
      </c>
      <c r="D5201" s="47">
        <v>5963</v>
      </c>
      <c r="E5201" s="46" t="s">
        <v>6417</v>
      </c>
      <c r="F5201" s="48">
        <v>39839</v>
      </c>
      <c r="G5201" s="48">
        <v>40091</v>
      </c>
      <c r="H5201" s="46" t="s">
        <v>40</v>
      </c>
      <c r="I5201" s="45">
        <v>6584.04</v>
      </c>
      <c r="J5201" s="45">
        <v>5784.04</v>
      </c>
      <c r="K5201" s="49" t="s">
        <v>6182</v>
      </c>
      <c r="L5201" s="45"/>
      <c r="M5201" s="3"/>
    </row>
    <row r="5202" spans="1:13" ht="25.5" x14ac:dyDescent="0.25">
      <c r="A5202" s="46" t="s">
        <v>6418</v>
      </c>
      <c r="B5202" s="46" t="s">
        <v>38</v>
      </c>
      <c r="C5202" s="46" t="s">
        <v>14</v>
      </c>
      <c r="D5202" s="47">
        <v>5964</v>
      </c>
      <c r="E5202" s="46" t="s">
        <v>6419</v>
      </c>
      <c r="F5202" s="48">
        <v>39839</v>
      </c>
      <c r="G5202" s="48">
        <v>40066</v>
      </c>
      <c r="H5202" s="46" t="s">
        <v>40</v>
      </c>
      <c r="I5202" s="45">
        <v>1305.75</v>
      </c>
      <c r="J5202" s="45">
        <v>1305.75</v>
      </c>
      <c r="K5202" s="49" t="s">
        <v>6182</v>
      </c>
      <c r="L5202" s="45"/>
      <c r="M5202" s="3"/>
    </row>
    <row r="5203" spans="1:13" ht="25.5" x14ac:dyDescent="0.25">
      <c r="A5203" s="46" t="s">
        <v>6420</v>
      </c>
      <c r="B5203" s="46" t="s">
        <v>38</v>
      </c>
      <c r="C5203" s="46" t="s">
        <v>14</v>
      </c>
      <c r="D5203" s="47">
        <v>5965</v>
      </c>
      <c r="E5203" s="46" t="s">
        <v>6421</v>
      </c>
      <c r="F5203" s="48">
        <v>39839</v>
      </c>
      <c r="G5203" s="48">
        <v>40137</v>
      </c>
      <c r="H5203" s="46" t="s">
        <v>40</v>
      </c>
      <c r="I5203" s="45">
        <v>7086.1</v>
      </c>
      <c r="J5203" s="45">
        <v>7086.1</v>
      </c>
      <c r="K5203" s="49" t="s">
        <v>6182</v>
      </c>
      <c r="L5203" s="45"/>
      <c r="M5203" s="3"/>
    </row>
    <row r="5204" spans="1:13" ht="25.5" x14ac:dyDescent="0.25">
      <c r="A5204" s="46" t="s">
        <v>6422</v>
      </c>
      <c r="B5204" s="46" t="s">
        <v>38</v>
      </c>
      <c r="C5204" s="46" t="s">
        <v>14</v>
      </c>
      <c r="D5204" s="47">
        <v>5966</v>
      </c>
      <c r="E5204" s="46" t="s">
        <v>6423</v>
      </c>
      <c r="F5204" s="48">
        <v>39839</v>
      </c>
      <c r="G5204" s="48">
        <v>39930</v>
      </c>
      <c r="H5204" s="46" t="s">
        <v>40</v>
      </c>
      <c r="I5204" s="45">
        <v>1518.16</v>
      </c>
      <c r="J5204" s="45">
        <v>408.16</v>
      </c>
      <c r="K5204" s="49" t="s">
        <v>6182</v>
      </c>
      <c r="L5204" s="45"/>
      <c r="M5204" s="3"/>
    </row>
    <row r="5205" spans="1:13" ht="25.5" x14ac:dyDescent="0.25">
      <c r="A5205" s="46" t="s">
        <v>6424</v>
      </c>
      <c r="B5205" s="46" t="s">
        <v>38</v>
      </c>
      <c r="C5205" s="46" t="s">
        <v>14</v>
      </c>
      <c r="D5205" s="47">
        <v>5967</v>
      </c>
      <c r="E5205" s="46" t="s">
        <v>6425</v>
      </c>
      <c r="F5205" s="48">
        <v>39839</v>
      </c>
      <c r="G5205" s="48">
        <v>40137</v>
      </c>
      <c r="H5205" s="46" t="s">
        <v>40</v>
      </c>
      <c r="I5205" s="45">
        <v>1711.25</v>
      </c>
      <c r="J5205" s="45">
        <v>1711.25</v>
      </c>
      <c r="K5205" s="49" t="s">
        <v>6182</v>
      </c>
      <c r="L5205" s="45"/>
      <c r="M5205" s="3"/>
    </row>
    <row r="5206" spans="1:13" ht="25.5" x14ac:dyDescent="0.25">
      <c r="A5206" s="46" t="s">
        <v>6426</v>
      </c>
      <c r="B5206" s="46" t="s">
        <v>38</v>
      </c>
      <c r="C5206" s="46" t="s">
        <v>14</v>
      </c>
      <c r="D5206" s="47">
        <v>5968</v>
      </c>
      <c r="E5206" s="46" t="s">
        <v>6427</v>
      </c>
      <c r="F5206" s="48">
        <v>39839</v>
      </c>
      <c r="G5206" s="48">
        <v>40225</v>
      </c>
      <c r="H5206" s="46" t="s">
        <v>40</v>
      </c>
      <c r="I5206" s="45">
        <v>6280</v>
      </c>
      <c r="J5206" s="45">
        <v>6280</v>
      </c>
      <c r="K5206" s="49" t="s">
        <v>6182</v>
      </c>
      <c r="L5206" s="45"/>
      <c r="M5206" s="3"/>
    </row>
    <row r="5207" spans="1:13" ht="25.5" x14ac:dyDescent="0.25">
      <c r="A5207" s="46" t="s">
        <v>6428</v>
      </c>
      <c r="B5207" s="46" t="s">
        <v>38</v>
      </c>
      <c r="C5207" s="46" t="s">
        <v>14</v>
      </c>
      <c r="D5207" s="47">
        <v>6030</v>
      </c>
      <c r="E5207" s="46" t="s">
        <v>6429</v>
      </c>
      <c r="F5207" s="48">
        <v>39839</v>
      </c>
      <c r="G5207" s="48">
        <v>40225</v>
      </c>
      <c r="H5207" s="46" t="s">
        <v>40</v>
      </c>
      <c r="I5207" s="45">
        <v>33613.69</v>
      </c>
      <c r="J5207" s="45">
        <v>32343.69</v>
      </c>
      <c r="K5207" s="49" t="s">
        <v>6182</v>
      </c>
      <c r="L5207" s="45"/>
      <c r="M5207" s="3"/>
    </row>
    <row r="5208" spans="1:13" ht="25.5" x14ac:dyDescent="0.25">
      <c r="A5208" s="46" t="s">
        <v>6430</v>
      </c>
      <c r="B5208" s="46" t="s">
        <v>38</v>
      </c>
      <c r="C5208" s="46" t="s">
        <v>14</v>
      </c>
      <c r="D5208" s="47">
        <v>6032</v>
      </c>
      <c r="E5208" s="46" t="s">
        <v>6310</v>
      </c>
      <c r="F5208" s="48">
        <v>39839</v>
      </c>
      <c r="G5208" s="48">
        <v>40155</v>
      </c>
      <c r="H5208" s="46" t="s">
        <v>40</v>
      </c>
      <c r="I5208" s="45">
        <v>19085.12</v>
      </c>
      <c r="J5208" s="45">
        <v>19085.12</v>
      </c>
      <c r="K5208" s="49" t="s">
        <v>6182</v>
      </c>
      <c r="L5208" s="45"/>
      <c r="M5208" s="3"/>
    </row>
    <row r="5209" spans="1:13" ht="25.5" x14ac:dyDescent="0.25">
      <c r="A5209" s="46" t="s">
        <v>6431</v>
      </c>
      <c r="B5209" s="46" t="s">
        <v>38</v>
      </c>
      <c r="C5209" s="46" t="s">
        <v>14</v>
      </c>
      <c r="D5209" s="47">
        <v>6034</v>
      </c>
      <c r="E5209" s="46" t="s">
        <v>6432</v>
      </c>
      <c r="F5209" s="48">
        <v>39839</v>
      </c>
      <c r="G5209" s="48">
        <v>39967</v>
      </c>
      <c r="H5209" s="46" t="s">
        <v>40</v>
      </c>
      <c r="I5209" s="45">
        <v>1376.27</v>
      </c>
      <c r="J5209" s="45">
        <v>1226.27</v>
      </c>
      <c r="K5209" s="49" t="s">
        <v>6182</v>
      </c>
      <c r="L5209" s="45"/>
      <c r="M5209" s="3"/>
    </row>
    <row r="5210" spans="1:13" ht="25.5" x14ac:dyDescent="0.25">
      <c r="A5210" s="46" t="s">
        <v>6433</v>
      </c>
      <c r="B5210" s="46" t="s">
        <v>38</v>
      </c>
      <c r="C5210" s="46" t="s">
        <v>14</v>
      </c>
      <c r="D5210" s="47">
        <v>6037</v>
      </c>
      <c r="E5210" s="46" t="s">
        <v>6434</v>
      </c>
      <c r="F5210" s="48">
        <v>39839</v>
      </c>
      <c r="G5210" s="48">
        <v>40179</v>
      </c>
      <c r="H5210" s="46" t="s">
        <v>40</v>
      </c>
      <c r="I5210" s="45">
        <v>2210</v>
      </c>
      <c r="J5210" s="45">
        <v>2210</v>
      </c>
      <c r="K5210" s="49" t="s">
        <v>6182</v>
      </c>
      <c r="L5210" s="45"/>
      <c r="M5210" s="3"/>
    </row>
    <row r="5211" spans="1:13" ht="25.5" x14ac:dyDescent="0.25">
      <c r="A5211" s="46" t="s">
        <v>6435</v>
      </c>
      <c r="B5211" s="46" t="s">
        <v>38</v>
      </c>
      <c r="C5211" s="46" t="s">
        <v>14</v>
      </c>
      <c r="D5211" s="47">
        <v>6038</v>
      </c>
      <c r="E5211" s="46" t="s">
        <v>6436</v>
      </c>
      <c r="F5211" s="48">
        <v>39839</v>
      </c>
      <c r="G5211" s="48">
        <v>39996</v>
      </c>
      <c r="H5211" s="46" t="s">
        <v>40</v>
      </c>
      <c r="I5211" s="45">
        <v>2183</v>
      </c>
      <c r="J5211" s="45">
        <v>1783</v>
      </c>
      <c r="K5211" s="49" t="s">
        <v>6182</v>
      </c>
      <c r="L5211" s="45"/>
      <c r="M5211" s="3"/>
    </row>
    <row r="5212" spans="1:13" ht="25.5" x14ac:dyDescent="0.25">
      <c r="A5212" s="46" t="s">
        <v>6437</v>
      </c>
      <c r="B5212" s="46" t="s">
        <v>38</v>
      </c>
      <c r="C5212" s="46" t="s">
        <v>14</v>
      </c>
      <c r="D5212" s="47">
        <v>6061</v>
      </c>
      <c r="E5212" s="46" t="s">
        <v>6438</v>
      </c>
      <c r="F5212" s="48">
        <v>39839</v>
      </c>
      <c r="G5212" s="48">
        <v>40155</v>
      </c>
      <c r="H5212" s="46" t="s">
        <v>40</v>
      </c>
      <c r="I5212" s="45">
        <v>2485.34</v>
      </c>
      <c r="J5212" s="45">
        <v>2485.34</v>
      </c>
      <c r="K5212" s="49" t="s">
        <v>6182</v>
      </c>
      <c r="L5212" s="45"/>
      <c r="M5212" s="3"/>
    </row>
    <row r="5213" spans="1:13" ht="25.5" x14ac:dyDescent="0.25">
      <c r="A5213" s="46" t="s">
        <v>6439</v>
      </c>
      <c r="B5213" s="46" t="s">
        <v>38</v>
      </c>
      <c r="C5213" s="46" t="s">
        <v>14</v>
      </c>
      <c r="D5213" s="47">
        <v>6062</v>
      </c>
      <c r="E5213" s="46" t="s">
        <v>6440</v>
      </c>
      <c r="F5213" s="48">
        <v>39839</v>
      </c>
      <c r="G5213" s="48">
        <v>40162</v>
      </c>
      <c r="H5213" s="46" t="s">
        <v>40</v>
      </c>
      <c r="I5213" s="45">
        <v>5033.7700000000004</v>
      </c>
      <c r="J5213" s="45">
        <v>5033.7700000000004</v>
      </c>
      <c r="K5213" s="49" t="s">
        <v>6182</v>
      </c>
      <c r="L5213" s="45"/>
      <c r="M5213" s="3"/>
    </row>
    <row r="5214" spans="1:13" ht="25.5" x14ac:dyDescent="0.25">
      <c r="A5214" s="46" t="s">
        <v>6441</v>
      </c>
      <c r="B5214" s="46" t="s">
        <v>38</v>
      </c>
      <c r="C5214" s="46" t="s">
        <v>14</v>
      </c>
      <c r="D5214" s="47">
        <v>6063</v>
      </c>
      <c r="E5214" s="46" t="s">
        <v>6442</v>
      </c>
      <c r="F5214" s="48">
        <v>39839</v>
      </c>
      <c r="G5214" s="48">
        <v>39861</v>
      </c>
      <c r="H5214" s="46" t="s">
        <v>40</v>
      </c>
      <c r="I5214" s="45">
        <v>1041</v>
      </c>
      <c r="J5214" s="45">
        <v>1041</v>
      </c>
      <c r="K5214" s="49" t="s">
        <v>6182</v>
      </c>
      <c r="L5214" s="45"/>
      <c r="M5214" s="3"/>
    </row>
    <row r="5215" spans="1:13" ht="38.25" x14ac:dyDescent="0.25">
      <c r="A5215" s="46" t="s">
        <v>6443</v>
      </c>
      <c r="B5215" s="46" t="s">
        <v>38</v>
      </c>
      <c r="C5215" s="46" t="s">
        <v>14</v>
      </c>
      <c r="D5215" s="47">
        <v>6064</v>
      </c>
      <c r="E5215" s="46" t="s">
        <v>6444</v>
      </c>
      <c r="F5215" s="48">
        <v>39839</v>
      </c>
      <c r="G5215" s="48">
        <v>40137</v>
      </c>
      <c r="H5215" s="46" t="s">
        <v>40</v>
      </c>
      <c r="I5215" s="45">
        <v>18407.59</v>
      </c>
      <c r="J5215" s="45">
        <v>18407.59</v>
      </c>
      <c r="K5215" s="49" t="s">
        <v>6182</v>
      </c>
      <c r="L5215" s="45"/>
      <c r="M5215" s="3"/>
    </row>
    <row r="5216" spans="1:13" ht="25.5" x14ac:dyDescent="0.25">
      <c r="A5216" s="46" t="s">
        <v>6445</v>
      </c>
      <c r="B5216" s="46" t="s">
        <v>38</v>
      </c>
      <c r="C5216" s="46" t="s">
        <v>14</v>
      </c>
      <c r="D5216" s="47">
        <v>6066</v>
      </c>
      <c r="E5216" s="46" t="s">
        <v>6446</v>
      </c>
      <c r="F5216" s="48">
        <v>39839</v>
      </c>
      <c r="G5216" s="48">
        <v>39895</v>
      </c>
      <c r="H5216" s="46" t="s">
        <v>40</v>
      </c>
      <c r="I5216" s="45">
        <v>1772.38</v>
      </c>
      <c r="J5216" s="45">
        <v>1772.38</v>
      </c>
      <c r="K5216" s="49" t="s">
        <v>6182</v>
      </c>
      <c r="L5216" s="45"/>
      <c r="M5216" s="3"/>
    </row>
    <row r="5217" spans="1:13" ht="25.5" x14ac:dyDescent="0.25">
      <c r="A5217" s="46" t="s">
        <v>6447</v>
      </c>
      <c r="B5217" s="46" t="s">
        <v>38</v>
      </c>
      <c r="C5217" s="46" t="s">
        <v>14</v>
      </c>
      <c r="D5217" s="47">
        <v>6067</v>
      </c>
      <c r="E5217" s="46" t="s">
        <v>6448</v>
      </c>
      <c r="F5217" s="48">
        <v>39839</v>
      </c>
      <c r="G5217" s="48">
        <v>40179</v>
      </c>
      <c r="H5217" s="46" t="s">
        <v>40</v>
      </c>
      <c r="I5217" s="45">
        <v>13586.46</v>
      </c>
      <c r="J5217" s="45">
        <v>13586.46</v>
      </c>
      <c r="K5217" s="49" t="s">
        <v>6182</v>
      </c>
      <c r="L5217" s="45"/>
      <c r="M5217" s="3"/>
    </row>
    <row r="5218" spans="1:13" ht="25.5" x14ac:dyDescent="0.25">
      <c r="A5218" s="46" t="s">
        <v>6449</v>
      </c>
      <c r="B5218" s="46" t="s">
        <v>38</v>
      </c>
      <c r="C5218" s="46" t="s">
        <v>14</v>
      </c>
      <c r="D5218" s="47">
        <v>6068</v>
      </c>
      <c r="E5218" s="46" t="s">
        <v>6450</v>
      </c>
      <c r="F5218" s="48">
        <v>39839</v>
      </c>
      <c r="G5218" s="48">
        <v>39967</v>
      </c>
      <c r="H5218" s="46" t="s">
        <v>40</v>
      </c>
      <c r="I5218" s="45">
        <v>3605</v>
      </c>
      <c r="J5218" s="45">
        <v>3605</v>
      </c>
      <c r="K5218" s="49" t="s">
        <v>6182</v>
      </c>
      <c r="L5218" s="45"/>
      <c r="M5218" s="3"/>
    </row>
    <row r="5219" spans="1:13" ht="25.5" x14ac:dyDescent="0.25">
      <c r="A5219" s="46" t="s">
        <v>6451</v>
      </c>
      <c r="B5219" s="46" t="s">
        <v>38</v>
      </c>
      <c r="C5219" s="46" t="s">
        <v>14</v>
      </c>
      <c r="D5219" s="47">
        <v>6069</v>
      </c>
      <c r="E5219" s="46" t="s">
        <v>6452</v>
      </c>
      <c r="F5219" s="48">
        <v>39839</v>
      </c>
      <c r="G5219" s="48">
        <v>39958</v>
      </c>
      <c r="H5219" s="46" t="s">
        <v>40</v>
      </c>
      <c r="I5219" s="45">
        <v>1678.75</v>
      </c>
      <c r="J5219" s="45">
        <v>1678.75</v>
      </c>
      <c r="K5219" s="49" t="s">
        <v>6182</v>
      </c>
      <c r="L5219" s="45"/>
      <c r="M5219" s="3"/>
    </row>
    <row r="5220" spans="1:13" ht="25.5" x14ac:dyDescent="0.25">
      <c r="A5220" s="46" t="s">
        <v>6453</v>
      </c>
      <c r="B5220" s="46" t="s">
        <v>38</v>
      </c>
      <c r="C5220" s="46" t="s">
        <v>14</v>
      </c>
      <c r="D5220" s="47">
        <v>6071</v>
      </c>
      <c r="E5220" s="46" t="s">
        <v>6454</v>
      </c>
      <c r="F5220" s="48">
        <v>39839</v>
      </c>
      <c r="G5220" s="48">
        <v>40091</v>
      </c>
      <c r="H5220" s="46" t="s">
        <v>40</v>
      </c>
      <c r="I5220" s="45">
        <v>3750</v>
      </c>
      <c r="J5220" s="45">
        <v>3750</v>
      </c>
      <c r="K5220" s="49" t="s">
        <v>6182</v>
      </c>
      <c r="L5220" s="45"/>
      <c r="M5220" s="3"/>
    </row>
    <row r="5221" spans="1:13" ht="25.5" x14ac:dyDescent="0.25">
      <c r="A5221" s="46" t="s">
        <v>6455</v>
      </c>
      <c r="B5221" s="46" t="s">
        <v>38</v>
      </c>
      <c r="C5221" s="46" t="s">
        <v>14</v>
      </c>
      <c r="D5221" s="47">
        <v>6072</v>
      </c>
      <c r="E5221" s="46" t="s">
        <v>6456</v>
      </c>
      <c r="F5221" s="48">
        <v>39839</v>
      </c>
      <c r="G5221" s="48">
        <v>40107</v>
      </c>
      <c r="H5221" s="46" t="s">
        <v>40</v>
      </c>
      <c r="I5221" s="45">
        <v>20000</v>
      </c>
      <c r="J5221" s="45">
        <v>20000</v>
      </c>
      <c r="K5221" s="49" t="s">
        <v>6182</v>
      </c>
      <c r="L5221" s="45"/>
      <c r="M5221" s="3"/>
    </row>
    <row r="5222" spans="1:13" ht="25.5" x14ac:dyDescent="0.25">
      <c r="A5222" s="46" t="s">
        <v>6457</v>
      </c>
      <c r="B5222" s="46" t="s">
        <v>38</v>
      </c>
      <c r="C5222" s="46" t="s">
        <v>14</v>
      </c>
      <c r="D5222" s="47">
        <v>6073</v>
      </c>
      <c r="E5222" s="46" t="s">
        <v>6458</v>
      </c>
      <c r="F5222" s="48">
        <v>39839</v>
      </c>
      <c r="G5222" s="48">
        <v>40179</v>
      </c>
      <c r="H5222" s="46" t="s">
        <v>40</v>
      </c>
      <c r="I5222" s="45">
        <v>1364.55</v>
      </c>
      <c r="J5222" s="45">
        <v>864.55</v>
      </c>
      <c r="K5222" s="49" t="s">
        <v>6182</v>
      </c>
      <c r="L5222" s="45"/>
      <c r="M5222" s="3"/>
    </row>
    <row r="5223" spans="1:13" ht="25.5" x14ac:dyDescent="0.25">
      <c r="A5223" s="46" t="s">
        <v>6459</v>
      </c>
      <c r="B5223" s="46" t="s">
        <v>38</v>
      </c>
      <c r="C5223" s="46" t="s">
        <v>14</v>
      </c>
      <c r="D5223" s="47">
        <v>6074</v>
      </c>
      <c r="E5223" s="46" t="s">
        <v>6460</v>
      </c>
      <c r="F5223" s="48">
        <v>39839</v>
      </c>
      <c r="G5223" s="48">
        <v>40179</v>
      </c>
      <c r="H5223" s="46" t="s">
        <v>40</v>
      </c>
      <c r="I5223" s="45">
        <v>1357.24</v>
      </c>
      <c r="J5223" s="45">
        <v>657.24</v>
      </c>
      <c r="K5223" s="49" t="s">
        <v>6182</v>
      </c>
      <c r="L5223" s="45"/>
      <c r="M5223" s="3"/>
    </row>
    <row r="5224" spans="1:13" ht="25.5" x14ac:dyDescent="0.25">
      <c r="A5224" s="46" t="s">
        <v>6461</v>
      </c>
      <c r="B5224" s="46" t="s">
        <v>38</v>
      </c>
      <c r="C5224" s="46" t="s">
        <v>14</v>
      </c>
      <c r="D5224" s="47">
        <v>6075</v>
      </c>
      <c r="E5224" s="46" t="s">
        <v>6462</v>
      </c>
      <c r="F5224" s="48">
        <v>39839</v>
      </c>
      <c r="G5224" s="48">
        <v>40179</v>
      </c>
      <c r="H5224" s="46" t="s">
        <v>40</v>
      </c>
      <c r="I5224" s="45">
        <v>2522.66</v>
      </c>
      <c r="J5224" s="45">
        <v>2522.66</v>
      </c>
      <c r="K5224" s="49" t="s">
        <v>6182</v>
      </c>
      <c r="L5224" s="45"/>
      <c r="M5224" s="3"/>
    </row>
    <row r="5225" spans="1:13" ht="25.5" x14ac:dyDescent="0.25">
      <c r="A5225" s="46" t="s">
        <v>6463</v>
      </c>
      <c r="B5225" s="46" t="s">
        <v>38</v>
      </c>
      <c r="C5225" s="46" t="s">
        <v>14</v>
      </c>
      <c r="D5225" s="47">
        <v>6076</v>
      </c>
      <c r="E5225" s="46" t="s">
        <v>6464</v>
      </c>
      <c r="F5225" s="48">
        <v>39839</v>
      </c>
      <c r="G5225" s="48">
        <v>40140</v>
      </c>
      <c r="H5225" s="46" t="s">
        <v>40</v>
      </c>
      <c r="I5225" s="45">
        <v>2428.96</v>
      </c>
      <c r="J5225" s="45">
        <v>2428.96</v>
      </c>
      <c r="K5225" s="49" t="s">
        <v>6182</v>
      </c>
      <c r="L5225" s="45"/>
      <c r="M5225" s="3"/>
    </row>
    <row r="5226" spans="1:13" ht="25.5" x14ac:dyDescent="0.25">
      <c r="A5226" s="46" t="s">
        <v>6465</v>
      </c>
      <c r="B5226" s="46" t="s">
        <v>38</v>
      </c>
      <c r="C5226" s="46" t="s">
        <v>14</v>
      </c>
      <c r="D5226" s="47">
        <v>6077</v>
      </c>
      <c r="E5226" s="46" t="s">
        <v>6466</v>
      </c>
      <c r="F5226" s="48">
        <v>39839</v>
      </c>
      <c r="G5226" s="48">
        <v>40107</v>
      </c>
      <c r="H5226" s="46" t="s">
        <v>40</v>
      </c>
      <c r="I5226" s="45">
        <v>1472</v>
      </c>
      <c r="J5226" s="45">
        <v>1422</v>
      </c>
      <c r="K5226" s="49" t="s">
        <v>6182</v>
      </c>
      <c r="L5226" s="45"/>
      <c r="M5226" s="3"/>
    </row>
    <row r="5227" spans="1:13" ht="25.5" x14ac:dyDescent="0.25">
      <c r="A5227" s="46" t="s">
        <v>6467</v>
      </c>
      <c r="B5227" s="46" t="s">
        <v>38</v>
      </c>
      <c r="C5227" s="46" t="s">
        <v>14</v>
      </c>
      <c r="D5227" s="47">
        <v>6078</v>
      </c>
      <c r="E5227" s="46" t="s">
        <v>6468</v>
      </c>
      <c r="F5227" s="48">
        <v>39839</v>
      </c>
      <c r="G5227" s="48">
        <v>40225</v>
      </c>
      <c r="H5227" s="46" t="s">
        <v>40</v>
      </c>
      <c r="I5227" s="45">
        <v>5654.55</v>
      </c>
      <c r="J5227" s="45">
        <v>5354.13</v>
      </c>
      <c r="K5227" s="49" t="s">
        <v>6182</v>
      </c>
      <c r="L5227" s="45"/>
      <c r="M5227" s="3"/>
    </row>
    <row r="5228" spans="1:13" ht="25.5" x14ac:dyDescent="0.25">
      <c r="A5228" s="46" t="s">
        <v>6469</v>
      </c>
      <c r="B5228" s="46" t="s">
        <v>38</v>
      </c>
      <c r="C5228" s="46" t="s">
        <v>14</v>
      </c>
      <c r="D5228" s="47">
        <v>6079</v>
      </c>
      <c r="E5228" s="46" t="s">
        <v>6470</v>
      </c>
      <c r="F5228" s="48">
        <v>39839</v>
      </c>
      <c r="G5228" s="48">
        <v>40137</v>
      </c>
      <c r="H5228" s="46" t="s">
        <v>40</v>
      </c>
      <c r="I5228" s="45">
        <v>2310.62</v>
      </c>
      <c r="J5228" s="45">
        <v>2310.62</v>
      </c>
      <c r="K5228" s="49" t="s">
        <v>6182</v>
      </c>
      <c r="L5228" s="45"/>
      <c r="M5228" s="3"/>
    </row>
    <row r="5229" spans="1:13" ht="25.5" x14ac:dyDescent="0.25">
      <c r="A5229" s="46" t="s">
        <v>6471</v>
      </c>
      <c r="B5229" s="46" t="s">
        <v>38</v>
      </c>
      <c r="C5229" s="46" t="s">
        <v>14</v>
      </c>
      <c r="D5229" s="47">
        <v>6080</v>
      </c>
      <c r="E5229" s="46" t="s">
        <v>6472</v>
      </c>
      <c r="F5229" s="48">
        <v>39839</v>
      </c>
      <c r="G5229" s="48">
        <v>40225</v>
      </c>
      <c r="H5229" s="46" t="s">
        <v>40</v>
      </c>
      <c r="I5229" s="45">
        <v>60520.88</v>
      </c>
      <c r="J5229" s="45">
        <v>53825.88</v>
      </c>
      <c r="K5229" s="49" t="s">
        <v>6182</v>
      </c>
      <c r="L5229" s="45"/>
      <c r="M5229" s="3"/>
    </row>
    <row r="5230" spans="1:13" ht="25.5" x14ac:dyDescent="0.25">
      <c r="A5230" s="46" t="s">
        <v>6473</v>
      </c>
      <c r="B5230" s="46" t="s">
        <v>38</v>
      </c>
      <c r="C5230" s="46" t="s">
        <v>14</v>
      </c>
      <c r="D5230" s="47">
        <v>6097</v>
      </c>
      <c r="E5230" s="46" t="s">
        <v>6474</v>
      </c>
      <c r="F5230" s="48">
        <v>39839</v>
      </c>
      <c r="G5230" s="48">
        <v>40394</v>
      </c>
      <c r="H5230" s="46" t="s">
        <v>40</v>
      </c>
      <c r="I5230" s="45">
        <v>39496.730000000003</v>
      </c>
      <c r="J5230" s="45">
        <v>38946.730000000003</v>
      </c>
      <c r="K5230" s="49" t="s">
        <v>6182</v>
      </c>
      <c r="L5230" s="45"/>
      <c r="M5230" s="3"/>
    </row>
    <row r="5231" spans="1:13" ht="25.5" x14ac:dyDescent="0.25">
      <c r="A5231" s="46" t="s">
        <v>6515</v>
      </c>
      <c r="B5231" s="46" t="s">
        <v>38</v>
      </c>
      <c r="C5231" s="46" t="s">
        <v>14</v>
      </c>
      <c r="D5231" s="47">
        <v>7755</v>
      </c>
      <c r="E5231" s="46" t="s">
        <v>6516</v>
      </c>
      <c r="F5231" s="48">
        <v>40249</v>
      </c>
      <c r="G5231" s="48">
        <v>40525</v>
      </c>
      <c r="H5231" s="46" t="s">
        <v>40</v>
      </c>
      <c r="I5231" s="45">
        <v>14460.42</v>
      </c>
      <c r="J5231" s="45">
        <v>14460.42</v>
      </c>
      <c r="K5231" s="49" t="s">
        <v>6182</v>
      </c>
      <c r="L5231" s="45"/>
      <c r="M5231" s="3"/>
    </row>
    <row r="5232" spans="1:13" ht="25.5" x14ac:dyDescent="0.25">
      <c r="A5232" s="46" t="s">
        <v>6517</v>
      </c>
      <c r="B5232" s="46" t="s">
        <v>38</v>
      </c>
      <c r="C5232" s="46" t="s">
        <v>14</v>
      </c>
      <c r="D5232" s="47">
        <v>7769</v>
      </c>
      <c r="E5232" s="46" t="s">
        <v>6518</v>
      </c>
      <c r="F5232" s="48">
        <v>40533</v>
      </c>
      <c r="G5232" s="48">
        <v>40533</v>
      </c>
      <c r="H5232" s="46" t="s">
        <v>40</v>
      </c>
      <c r="I5232" s="45">
        <v>2691.04</v>
      </c>
      <c r="J5232" s="45">
        <v>2691.04</v>
      </c>
      <c r="K5232" s="49" t="s">
        <v>6182</v>
      </c>
      <c r="L5232" s="45"/>
      <c r="M5232" s="3"/>
    </row>
    <row r="5233" spans="1:13" ht="38.25" x14ac:dyDescent="0.25">
      <c r="A5233" s="46" t="s">
        <v>6519</v>
      </c>
      <c r="B5233" s="46" t="s">
        <v>38</v>
      </c>
      <c r="C5233" s="46" t="s">
        <v>14</v>
      </c>
      <c r="D5233" s="47">
        <v>7770</v>
      </c>
      <c r="E5233" s="46" t="s">
        <v>6444</v>
      </c>
      <c r="F5233" s="48">
        <v>40218</v>
      </c>
      <c r="G5233" s="48">
        <v>40515</v>
      </c>
      <c r="H5233" s="46" t="s">
        <v>40</v>
      </c>
      <c r="I5233" s="45">
        <v>3571.64</v>
      </c>
      <c r="J5233" s="45">
        <v>3571.64</v>
      </c>
      <c r="K5233" s="49" t="s">
        <v>6182</v>
      </c>
      <c r="L5233" s="45"/>
      <c r="M5233" s="3"/>
    </row>
    <row r="5234" spans="1:13" ht="25.5" x14ac:dyDescent="0.25">
      <c r="A5234" s="46" t="s">
        <v>6520</v>
      </c>
      <c r="B5234" s="46" t="s">
        <v>38</v>
      </c>
      <c r="C5234" s="46" t="s">
        <v>14</v>
      </c>
      <c r="D5234" s="47">
        <v>7771</v>
      </c>
      <c r="E5234" s="46" t="s">
        <v>6521</v>
      </c>
      <c r="F5234" s="48">
        <v>40204</v>
      </c>
      <c r="G5234" s="48">
        <v>40325</v>
      </c>
      <c r="H5234" s="46" t="s">
        <v>40</v>
      </c>
      <c r="I5234" s="45">
        <v>2429.5700000000002</v>
      </c>
      <c r="J5234" s="45">
        <v>2429.5700000000002</v>
      </c>
      <c r="K5234" s="49" t="s">
        <v>6182</v>
      </c>
      <c r="L5234" s="45"/>
      <c r="M5234" s="3"/>
    </row>
    <row r="5235" spans="1:13" ht="38.25" x14ac:dyDescent="0.25">
      <c r="A5235" s="46" t="s">
        <v>6404</v>
      </c>
      <c r="B5235" s="46" t="s">
        <v>38</v>
      </c>
      <c r="C5235" s="46" t="s">
        <v>14</v>
      </c>
      <c r="D5235" s="47">
        <v>7772</v>
      </c>
      <c r="E5235" s="46" t="s">
        <v>6522</v>
      </c>
      <c r="F5235" s="48">
        <v>40297</v>
      </c>
      <c r="G5235" s="48">
        <v>40442</v>
      </c>
      <c r="H5235" s="46" t="s">
        <v>40</v>
      </c>
      <c r="I5235" s="45">
        <v>353.24</v>
      </c>
      <c r="J5235" s="45">
        <v>353.24</v>
      </c>
      <c r="K5235" s="49" t="s">
        <v>6182</v>
      </c>
      <c r="L5235" s="45"/>
      <c r="M5235" s="3"/>
    </row>
    <row r="5236" spans="1:13" ht="25.5" x14ac:dyDescent="0.25">
      <c r="A5236" s="46" t="s">
        <v>6523</v>
      </c>
      <c r="B5236" s="46" t="s">
        <v>38</v>
      </c>
      <c r="C5236" s="46" t="s">
        <v>14</v>
      </c>
      <c r="D5236" s="47">
        <v>7773</v>
      </c>
      <c r="E5236" s="46" t="s">
        <v>6524</v>
      </c>
      <c r="F5236" s="48">
        <v>40406</v>
      </c>
      <c r="G5236" s="48">
        <v>40406</v>
      </c>
      <c r="H5236" s="46" t="s">
        <v>40</v>
      </c>
      <c r="I5236" s="45">
        <v>1936</v>
      </c>
      <c r="J5236" s="45">
        <v>1436</v>
      </c>
      <c r="K5236" s="49" t="s">
        <v>6182</v>
      </c>
      <c r="L5236" s="45"/>
      <c r="M5236" s="3"/>
    </row>
    <row r="5237" spans="1:13" ht="38.25" x14ac:dyDescent="0.25">
      <c r="A5237" s="46" t="s">
        <v>6525</v>
      </c>
      <c r="B5237" s="46" t="s">
        <v>38</v>
      </c>
      <c r="C5237" s="46" t="s">
        <v>14</v>
      </c>
      <c r="D5237" s="47">
        <v>7774</v>
      </c>
      <c r="E5237" s="46" t="s">
        <v>6526</v>
      </c>
      <c r="F5237" s="48">
        <v>40318</v>
      </c>
      <c r="G5237" s="48">
        <v>40525</v>
      </c>
      <c r="H5237" s="46" t="s">
        <v>40</v>
      </c>
      <c r="I5237" s="45">
        <v>8337.1</v>
      </c>
      <c r="J5237" s="45">
        <v>6907.1</v>
      </c>
      <c r="K5237" s="49" t="s">
        <v>6182</v>
      </c>
      <c r="L5237" s="45"/>
      <c r="M5237" s="3"/>
    </row>
    <row r="5238" spans="1:13" ht="38.25" x14ac:dyDescent="0.25">
      <c r="A5238" s="46" t="s">
        <v>6527</v>
      </c>
      <c r="B5238" s="46" t="s">
        <v>38</v>
      </c>
      <c r="C5238" s="46" t="s">
        <v>14</v>
      </c>
      <c r="D5238" s="47">
        <v>7776</v>
      </c>
      <c r="E5238" s="46" t="s">
        <v>6528</v>
      </c>
      <c r="F5238" s="48">
        <v>40241</v>
      </c>
      <c r="G5238" s="48">
        <v>40361</v>
      </c>
      <c r="H5238" s="46" t="s">
        <v>40</v>
      </c>
      <c r="I5238" s="45">
        <v>41667.629999999997</v>
      </c>
      <c r="J5238" s="45">
        <v>38617.629999999997</v>
      </c>
      <c r="K5238" s="49" t="s">
        <v>6182</v>
      </c>
      <c r="L5238" s="45"/>
      <c r="M5238" s="3"/>
    </row>
    <row r="5239" spans="1:13" ht="51" x14ac:dyDescent="0.25">
      <c r="A5239" s="46" t="s">
        <v>3250</v>
      </c>
      <c r="B5239" s="46" t="s">
        <v>38</v>
      </c>
      <c r="C5239" s="46" t="s">
        <v>14</v>
      </c>
      <c r="D5239" s="47">
        <v>7778</v>
      </c>
      <c r="E5239" s="50" t="s">
        <v>6529</v>
      </c>
      <c r="F5239" s="48">
        <v>40507</v>
      </c>
      <c r="G5239" s="48">
        <v>41274</v>
      </c>
      <c r="H5239" s="46" t="s">
        <v>40</v>
      </c>
      <c r="I5239" s="45">
        <v>25000</v>
      </c>
      <c r="J5239" s="45">
        <v>25000</v>
      </c>
      <c r="K5239" s="49" t="s">
        <v>6182</v>
      </c>
      <c r="L5239" s="45"/>
      <c r="M5239" s="3"/>
    </row>
    <row r="5240" spans="1:13" ht="25.5" x14ac:dyDescent="0.25">
      <c r="A5240" s="46" t="s">
        <v>6530</v>
      </c>
      <c r="B5240" s="46" t="s">
        <v>38</v>
      </c>
      <c r="C5240" s="46" t="s">
        <v>14</v>
      </c>
      <c r="D5240" s="47">
        <v>7779</v>
      </c>
      <c r="E5240" s="46" t="s">
        <v>6531</v>
      </c>
      <c r="F5240" s="48">
        <v>40533</v>
      </c>
      <c r="G5240" s="48">
        <v>40533</v>
      </c>
      <c r="H5240" s="46" t="s">
        <v>40</v>
      </c>
      <c r="I5240" s="45">
        <v>5200</v>
      </c>
      <c r="J5240" s="45">
        <v>5200</v>
      </c>
      <c r="K5240" s="49" t="s">
        <v>6182</v>
      </c>
      <c r="L5240" s="45"/>
      <c r="M5240" s="3"/>
    </row>
    <row r="5241" spans="1:13" ht="25.5" x14ac:dyDescent="0.25">
      <c r="A5241" s="46" t="s">
        <v>6532</v>
      </c>
      <c r="B5241" s="46" t="s">
        <v>38</v>
      </c>
      <c r="C5241" s="46" t="s">
        <v>14</v>
      </c>
      <c r="D5241" s="47">
        <v>7787</v>
      </c>
      <c r="E5241" s="46" t="s">
        <v>6533</v>
      </c>
      <c r="F5241" s="48">
        <v>40225</v>
      </c>
      <c r="G5241" s="48">
        <v>40483</v>
      </c>
      <c r="H5241" s="46" t="s">
        <v>40</v>
      </c>
      <c r="I5241" s="45">
        <v>23770</v>
      </c>
      <c r="J5241" s="45">
        <v>23770</v>
      </c>
      <c r="K5241" s="49" t="s">
        <v>6182</v>
      </c>
      <c r="L5241" s="45"/>
      <c r="M5241" s="3"/>
    </row>
    <row r="5242" spans="1:13" ht="25.5" x14ac:dyDescent="0.25">
      <c r="A5242" s="46" t="s">
        <v>6473</v>
      </c>
      <c r="B5242" s="46" t="s">
        <v>38</v>
      </c>
      <c r="C5242" s="46" t="s">
        <v>14</v>
      </c>
      <c r="D5242" s="47">
        <v>7788</v>
      </c>
      <c r="E5242" s="46" t="s">
        <v>6534</v>
      </c>
      <c r="F5242" s="48">
        <v>40245</v>
      </c>
      <c r="G5242" s="48">
        <v>40395</v>
      </c>
      <c r="H5242" s="46" t="s">
        <v>40</v>
      </c>
      <c r="I5242" s="45">
        <v>26517.5</v>
      </c>
      <c r="J5242" s="45">
        <v>26517.5</v>
      </c>
      <c r="K5242" s="49" t="s">
        <v>6182</v>
      </c>
      <c r="L5242" s="45"/>
      <c r="M5242" s="3"/>
    </row>
    <row r="5243" spans="1:13" ht="25.5" x14ac:dyDescent="0.25">
      <c r="A5243" s="46" t="s">
        <v>6535</v>
      </c>
      <c r="B5243" s="46" t="s">
        <v>38</v>
      </c>
      <c r="C5243" s="46" t="s">
        <v>14</v>
      </c>
      <c r="D5243" s="47">
        <v>7789</v>
      </c>
      <c r="E5243" s="46" t="s">
        <v>6536</v>
      </c>
      <c r="F5243" s="48">
        <v>40297</v>
      </c>
      <c r="G5243" s="48">
        <v>40371</v>
      </c>
      <c r="H5243" s="46" t="s">
        <v>40</v>
      </c>
      <c r="I5243" s="45">
        <v>10539.5</v>
      </c>
      <c r="J5243" s="45">
        <v>9389.5</v>
      </c>
      <c r="K5243" s="49" t="s">
        <v>6182</v>
      </c>
      <c r="L5243" s="45"/>
      <c r="M5243" s="3"/>
    </row>
    <row r="5244" spans="1:13" ht="25.5" x14ac:dyDescent="0.25">
      <c r="A5244" s="46" t="s">
        <v>6537</v>
      </c>
      <c r="B5244" s="46" t="s">
        <v>38</v>
      </c>
      <c r="C5244" s="46" t="s">
        <v>14</v>
      </c>
      <c r="D5244" s="47">
        <v>7790</v>
      </c>
      <c r="E5244" s="46" t="s">
        <v>6538</v>
      </c>
      <c r="F5244" s="48">
        <v>40225</v>
      </c>
      <c r="G5244" s="48">
        <v>40309</v>
      </c>
      <c r="H5244" s="46" t="s">
        <v>40</v>
      </c>
      <c r="I5244" s="45">
        <v>3885.5</v>
      </c>
      <c r="J5244" s="45">
        <v>3185.5</v>
      </c>
      <c r="K5244" s="49" t="s">
        <v>6182</v>
      </c>
      <c r="L5244" s="45"/>
      <c r="M5244" s="3"/>
    </row>
    <row r="5245" spans="1:13" ht="25.5" x14ac:dyDescent="0.25">
      <c r="A5245" s="46" t="s">
        <v>6539</v>
      </c>
      <c r="B5245" s="46" t="s">
        <v>38</v>
      </c>
      <c r="C5245" s="46" t="s">
        <v>14</v>
      </c>
      <c r="D5245" s="47">
        <v>7791</v>
      </c>
      <c r="E5245" s="46" t="s">
        <v>6540</v>
      </c>
      <c r="F5245" s="48">
        <v>40268</v>
      </c>
      <c r="G5245" s="48">
        <v>40268</v>
      </c>
      <c r="H5245" s="46" t="s">
        <v>40</v>
      </c>
      <c r="I5245" s="45">
        <v>2845</v>
      </c>
      <c r="J5245" s="45">
        <v>2345</v>
      </c>
      <c r="K5245" s="49" t="s">
        <v>6182</v>
      </c>
      <c r="L5245" s="45"/>
      <c r="M5245" s="3"/>
    </row>
    <row r="5246" spans="1:13" ht="25.5" x14ac:dyDescent="0.25">
      <c r="A5246" s="46" t="s">
        <v>6541</v>
      </c>
      <c r="B5246" s="46" t="s">
        <v>38</v>
      </c>
      <c r="C5246" s="46" t="s">
        <v>14</v>
      </c>
      <c r="D5246" s="47">
        <v>7792</v>
      </c>
      <c r="E5246" s="46" t="s">
        <v>6542</v>
      </c>
      <c r="F5246" s="48">
        <v>40297</v>
      </c>
      <c r="G5246" s="48">
        <v>40330</v>
      </c>
      <c r="H5246" s="46" t="s">
        <v>40</v>
      </c>
      <c r="I5246" s="45">
        <v>3426.98</v>
      </c>
      <c r="J5246" s="45">
        <v>2926.98</v>
      </c>
      <c r="K5246" s="49" t="s">
        <v>6182</v>
      </c>
      <c r="L5246" s="45"/>
      <c r="M5246" s="3"/>
    </row>
    <row r="5247" spans="1:13" ht="25.5" x14ac:dyDescent="0.25">
      <c r="A5247" s="46" t="s">
        <v>6543</v>
      </c>
      <c r="B5247" s="46" t="s">
        <v>38</v>
      </c>
      <c r="C5247" s="46" t="s">
        <v>14</v>
      </c>
      <c r="D5247" s="47">
        <v>7793</v>
      </c>
      <c r="E5247" s="46" t="s">
        <v>6544</v>
      </c>
      <c r="F5247" s="48">
        <v>40245</v>
      </c>
      <c r="G5247" s="48">
        <v>40245</v>
      </c>
      <c r="H5247" s="46" t="s">
        <v>40</v>
      </c>
      <c r="I5247" s="45">
        <v>1177.5999999999999</v>
      </c>
      <c r="J5247" s="45">
        <v>827.6</v>
      </c>
      <c r="K5247" s="49" t="s">
        <v>6182</v>
      </c>
      <c r="L5247" s="45"/>
      <c r="M5247" s="3"/>
    </row>
    <row r="5248" spans="1:13" ht="25.5" x14ac:dyDescent="0.25">
      <c r="A5248" s="46" t="s">
        <v>6545</v>
      </c>
      <c r="B5248" s="46" t="s">
        <v>38</v>
      </c>
      <c r="C5248" s="46" t="s">
        <v>14</v>
      </c>
      <c r="D5248" s="47">
        <v>7794</v>
      </c>
      <c r="E5248" s="46" t="s">
        <v>6546</v>
      </c>
      <c r="F5248" s="48">
        <v>40268</v>
      </c>
      <c r="G5248" s="48">
        <v>40297</v>
      </c>
      <c r="H5248" s="46" t="s">
        <v>40</v>
      </c>
      <c r="I5248" s="45">
        <v>1260</v>
      </c>
      <c r="J5248" s="45">
        <v>810</v>
      </c>
      <c r="K5248" s="49" t="s">
        <v>6182</v>
      </c>
      <c r="L5248" s="45"/>
      <c r="M5248" s="3"/>
    </row>
    <row r="5249" spans="1:13" ht="25.5" x14ac:dyDescent="0.25">
      <c r="A5249" s="46" t="s">
        <v>6547</v>
      </c>
      <c r="B5249" s="46" t="s">
        <v>38</v>
      </c>
      <c r="C5249" s="46" t="s">
        <v>14</v>
      </c>
      <c r="D5249" s="47">
        <v>7795</v>
      </c>
      <c r="E5249" s="46" t="s">
        <v>6548</v>
      </c>
      <c r="F5249" s="48">
        <v>40245</v>
      </c>
      <c r="G5249" s="48">
        <v>40268</v>
      </c>
      <c r="H5249" s="46" t="s">
        <v>40</v>
      </c>
      <c r="I5249" s="45">
        <v>849</v>
      </c>
      <c r="J5249" s="45">
        <v>549</v>
      </c>
      <c r="K5249" s="49" t="s">
        <v>6182</v>
      </c>
      <c r="L5249" s="45"/>
      <c r="M5249" s="3"/>
    </row>
    <row r="5250" spans="1:13" ht="25.5" x14ac:dyDescent="0.25">
      <c r="A5250" s="46" t="s">
        <v>6549</v>
      </c>
      <c r="B5250" s="46" t="s">
        <v>38</v>
      </c>
      <c r="C5250" s="46" t="s">
        <v>14</v>
      </c>
      <c r="D5250" s="47">
        <v>7797</v>
      </c>
      <c r="E5250" s="46" t="s">
        <v>6550</v>
      </c>
      <c r="F5250" s="48">
        <v>40268</v>
      </c>
      <c r="G5250" s="48">
        <v>40297</v>
      </c>
      <c r="H5250" s="46" t="s">
        <v>40</v>
      </c>
      <c r="I5250" s="45">
        <v>706.25</v>
      </c>
      <c r="J5250" s="45">
        <v>606.25</v>
      </c>
      <c r="K5250" s="49" t="s">
        <v>6182</v>
      </c>
      <c r="L5250" s="45"/>
      <c r="M5250" s="3"/>
    </row>
    <row r="5251" spans="1:13" ht="25.5" x14ac:dyDescent="0.25">
      <c r="A5251" s="46" t="s">
        <v>6551</v>
      </c>
      <c r="B5251" s="46" t="s">
        <v>38</v>
      </c>
      <c r="C5251" s="46" t="s">
        <v>14</v>
      </c>
      <c r="D5251" s="47">
        <v>7798</v>
      </c>
      <c r="E5251" s="46" t="s">
        <v>6552</v>
      </c>
      <c r="F5251" s="48">
        <v>40297</v>
      </c>
      <c r="G5251" s="48">
        <v>40297</v>
      </c>
      <c r="H5251" s="46" t="s">
        <v>40</v>
      </c>
      <c r="I5251" s="45">
        <v>1830.7</v>
      </c>
      <c r="J5251" s="45">
        <v>1430.7</v>
      </c>
      <c r="K5251" s="49" t="s">
        <v>6182</v>
      </c>
      <c r="L5251" s="45"/>
      <c r="M5251" s="3"/>
    </row>
    <row r="5252" spans="1:13" ht="25.5" x14ac:dyDescent="0.25">
      <c r="A5252" s="46" t="s">
        <v>6553</v>
      </c>
      <c r="B5252" s="46" t="s">
        <v>38</v>
      </c>
      <c r="C5252" s="46" t="s">
        <v>14</v>
      </c>
      <c r="D5252" s="47">
        <v>7799</v>
      </c>
      <c r="E5252" s="46" t="s">
        <v>6554</v>
      </c>
      <c r="F5252" s="48">
        <v>40245</v>
      </c>
      <c r="G5252" s="48">
        <v>40297</v>
      </c>
      <c r="H5252" s="46" t="s">
        <v>40</v>
      </c>
      <c r="I5252" s="45">
        <v>5607.99</v>
      </c>
      <c r="J5252" s="45">
        <v>4907.99</v>
      </c>
      <c r="K5252" s="49" t="s">
        <v>6182</v>
      </c>
      <c r="L5252" s="45"/>
      <c r="M5252" s="3"/>
    </row>
    <row r="5253" spans="1:13" ht="25.5" x14ac:dyDescent="0.25">
      <c r="A5253" s="46" t="s">
        <v>6420</v>
      </c>
      <c r="B5253" s="46" t="s">
        <v>38</v>
      </c>
      <c r="C5253" s="46" t="s">
        <v>14</v>
      </c>
      <c r="D5253" s="47">
        <v>7800</v>
      </c>
      <c r="E5253" s="46" t="s">
        <v>6421</v>
      </c>
      <c r="F5253" s="48">
        <v>40245</v>
      </c>
      <c r="G5253" s="48">
        <v>40500</v>
      </c>
      <c r="H5253" s="46" t="s">
        <v>40</v>
      </c>
      <c r="I5253" s="45">
        <v>8600</v>
      </c>
      <c r="J5253" s="45">
        <v>6231.7</v>
      </c>
      <c r="K5253" s="49" t="s">
        <v>6182</v>
      </c>
      <c r="L5253" s="45"/>
      <c r="M5253" s="3"/>
    </row>
    <row r="5254" spans="1:13" ht="38.25" x14ac:dyDescent="0.25">
      <c r="A5254" s="46" t="s">
        <v>6555</v>
      </c>
      <c r="B5254" s="46" t="s">
        <v>38</v>
      </c>
      <c r="C5254" s="46" t="s">
        <v>14</v>
      </c>
      <c r="D5254" s="47">
        <v>7802</v>
      </c>
      <c r="E5254" s="46" t="s">
        <v>6556</v>
      </c>
      <c r="F5254" s="48">
        <v>40297</v>
      </c>
      <c r="G5254" s="48">
        <v>40330</v>
      </c>
      <c r="H5254" s="46" t="s">
        <v>40</v>
      </c>
      <c r="I5254" s="45">
        <v>3315.15</v>
      </c>
      <c r="J5254" s="45">
        <v>3305.65</v>
      </c>
      <c r="K5254" s="49" t="s">
        <v>6182</v>
      </c>
      <c r="L5254" s="45"/>
      <c r="M5254" s="3"/>
    </row>
    <row r="5255" spans="1:13" ht="25.5" x14ac:dyDescent="0.25">
      <c r="A5255" s="46" t="s">
        <v>6557</v>
      </c>
      <c r="B5255" s="46" t="s">
        <v>38</v>
      </c>
      <c r="C5255" s="46" t="s">
        <v>14</v>
      </c>
      <c r="D5255" s="47">
        <v>7812</v>
      </c>
      <c r="E5255" s="46" t="s">
        <v>6558</v>
      </c>
      <c r="F5255" s="48">
        <v>40297</v>
      </c>
      <c r="G5255" s="48">
        <v>40309</v>
      </c>
      <c r="H5255" s="46" t="s">
        <v>40</v>
      </c>
      <c r="I5255" s="45">
        <v>1864.03</v>
      </c>
      <c r="J5255" s="45">
        <v>1864.03</v>
      </c>
      <c r="K5255" s="49" t="s">
        <v>6182</v>
      </c>
      <c r="L5255" s="45"/>
      <c r="M5255" s="3"/>
    </row>
    <row r="5256" spans="1:13" ht="25.5" x14ac:dyDescent="0.25">
      <c r="A5256" s="46" t="s">
        <v>6559</v>
      </c>
      <c r="B5256" s="46" t="s">
        <v>38</v>
      </c>
      <c r="C5256" s="46" t="s">
        <v>14</v>
      </c>
      <c r="D5256" s="47">
        <v>7813</v>
      </c>
      <c r="E5256" s="46" t="s">
        <v>6560</v>
      </c>
      <c r="F5256" s="48">
        <v>40225</v>
      </c>
      <c r="G5256" s="48">
        <v>40485</v>
      </c>
      <c r="H5256" s="46" t="s">
        <v>40</v>
      </c>
      <c r="I5256" s="45">
        <v>1845</v>
      </c>
      <c r="J5256" s="45">
        <v>1845</v>
      </c>
      <c r="K5256" s="49" t="s">
        <v>6182</v>
      </c>
      <c r="L5256" s="45"/>
      <c r="M5256" s="3"/>
    </row>
    <row r="5257" spans="1:13" ht="38.25" x14ac:dyDescent="0.25">
      <c r="A5257" s="46" t="s">
        <v>6561</v>
      </c>
      <c r="B5257" s="46" t="s">
        <v>38</v>
      </c>
      <c r="C5257" s="46" t="s">
        <v>14</v>
      </c>
      <c r="D5257" s="47">
        <v>7816</v>
      </c>
      <c r="E5257" s="46" t="s">
        <v>6562</v>
      </c>
      <c r="F5257" s="48">
        <v>40297</v>
      </c>
      <c r="G5257" s="48">
        <v>40297</v>
      </c>
      <c r="H5257" s="46" t="s">
        <v>40</v>
      </c>
      <c r="I5257" s="45">
        <v>2844.37</v>
      </c>
      <c r="J5257" s="45">
        <v>2844.37</v>
      </c>
      <c r="K5257" s="49" t="s">
        <v>6182</v>
      </c>
      <c r="L5257" s="45"/>
      <c r="M5257" s="3"/>
    </row>
    <row r="5258" spans="1:13" ht="25.5" x14ac:dyDescent="0.25">
      <c r="A5258" s="46" t="s">
        <v>6563</v>
      </c>
      <c r="B5258" s="46" t="s">
        <v>38</v>
      </c>
      <c r="C5258" s="46" t="s">
        <v>14</v>
      </c>
      <c r="D5258" s="47">
        <v>7818</v>
      </c>
      <c r="E5258" s="46" t="s">
        <v>6564</v>
      </c>
      <c r="F5258" s="48">
        <v>40179</v>
      </c>
      <c r="G5258" s="48">
        <v>40543</v>
      </c>
      <c r="H5258" s="46" t="s">
        <v>40</v>
      </c>
      <c r="I5258" s="45">
        <v>55861.73</v>
      </c>
      <c r="J5258" s="45">
        <v>55861.73</v>
      </c>
      <c r="K5258" s="49" t="s">
        <v>6182</v>
      </c>
      <c r="L5258" s="45"/>
      <c r="M5258" s="3"/>
    </row>
    <row r="5259" spans="1:13" ht="38.25" x14ac:dyDescent="0.25">
      <c r="A5259" s="46" t="s">
        <v>6607</v>
      </c>
      <c r="B5259" s="46" t="s">
        <v>38</v>
      </c>
      <c r="C5259" s="46" t="s">
        <v>14</v>
      </c>
      <c r="D5259" s="47">
        <v>9085</v>
      </c>
      <c r="E5259" s="46" t="s">
        <v>6528</v>
      </c>
      <c r="F5259" s="48">
        <v>40598</v>
      </c>
      <c r="G5259" s="48">
        <v>40689</v>
      </c>
      <c r="H5259" s="46" t="s">
        <v>40</v>
      </c>
      <c r="I5259" s="45">
        <v>42192.15</v>
      </c>
      <c r="J5259" s="45">
        <v>39792.15</v>
      </c>
      <c r="K5259" s="49" t="s">
        <v>6182</v>
      </c>
      <c r="L5259" s="45"/>
      <c r="M5259" s="3"/>
    </row>
    <row r="5260" spans="1:13" ht="25.5" x14ac:dyDescent="0.25">
      <c r="A5260" s="46" t="s">
        <v>6608</v>
      </c>
      <c r="B5260" s="46" t="s">
        <v>38</v>
      </c>
      <c r="C5260" s="46" t="s">
        <v>14</v>
      </c>
      <c r="D5260" s="47">
        <v>9087</v>
      </c>
      <c r="E5260" s="46" t="s">
        <v>6609</v>
      </c>
      <c r="F5260" s="48">
        <v>40568</v>
      </c>
      <c r="G5260" s="48">
        <v>40596</v>
      </c>
      <c r="H5260" s="46" t="s">
        <v>40</v>
      </c>
      <c r="I5260" s="45">
        <v>5506</v>
      </c>
      <c r="J5260" s="45">
        <v>4656</v>
      </c>
      <c r="K5260" s="49" t="s">
        <v>6182</v>
      </c>
      <c r="L5260" s="45"/>
      <c r="M5260" s="3"/>
    </row>
    <row r="5261" spans="1:13" ht="25.5" x14ac:dyDescent="0.25">
      <c r="A5261" s="46" t="s">
        <v>6610</v>
      </c>
      <c r="B5261" s="46" t="s">
        <v>38</v>
      </c>
      <c r="C5261" s="46" t="s">
        <v>14</v>
      </c>
      <c r="D5261" s="47">
        <v>9088</v>
      </c>
      <c r="E5261" s="46" t="s">
        <v>6609</v>
      </c>
      <c r="F5261" s="48">
        <v>40584</v>
      </c>
      <c r="G5261" s="48">
        <v>40612</v>
      </c>
      <c r="H5261" s="46" t="s">
        <v>40</v>
      </c>
      <c r="I5261" s="45">
        <v>3145</v>
      </c>
      <c r="J5261" s="45">
        <v>2495</v>
      </c>
      <c r="K5261" s="49" t="s">
        <v>6182</v>
      </c>
      <c r="L5261" s="45"/>
      <c r="M5261" s="3"/>
    </row>
    <row r="5262" spans="1:13" ht="25.5" x14ac:dyDescent="0.25">
      <c r="A5262" s="46" t="s">
        <v>6611</v>
      </c>
      <c r="B5262" s="46" t="s">
        <v>38</v>
      </c>
      <c r="C5262" s="46" t="s">
        <v>14</v>
      </c>
      <c r="D5262" s="47">
        <v>9090</v>
      </c>
      <c r="E5262" s="46" t="s">
        <v>6609</v>
      </c>
      <c r="F5262" s="48">
        <v>40624</v>
      </c>
      <c r="G5262" s="48">
        <v>40652</v>
      </c>
      <c r="H5262" s="46" t="s">
        <v>40</v>
      </c>
      <c r="I5262" s="45">
        <v>3000</v>
      </c>
      <c r="J5262" s="45">
        <v>2150</v>
      </c>
      <c r="K5262" s="49" t="s">
        <v>6182</v>
      </c>
      <c r="L5262" s="45"/>
      <c r="M5262" s="3"/>
    </row>
    <row r="5263" spans="1:13" ht="25.5" x14ac:dyDescent="0.25">
      <c r="A5263" s="46" t="s">
        <v>6612</v>
      </c>
      <c r="B5263" s="46" t="s">
        <v>38</v>
      </c>
      <c r="C5263" s="46" t="s">
        <v>14</v>
      </c>
      <c r="D5263" s="47">
        <v>9091</v>
      </c>
      <c r="E5263" s="46" t="s">
        <v>6609</v>
      </c>
      <c r="F5263" s="48">
        <v>40646</v>
      </c>
      <c r="G5263" s="48">
        <v>40674</v>
      </c>
      <c r="H5263" s="46" t="s">
        <v>40</v>
      </c>
      <c r="I5263" s="45">
        <v>2900</v>
      </c>
      <c r="J5263" s="45">
        <v>2500</v>
      </c>
      <c r="K5263" s="49" t="s">
        <v>6182</v>
      </c>
      <c r="L5263" s="45"/>
      <c r="M5263" s="3"/>
    </row>
    <row r="5264" spans="1:13" ht="25.5" x14ac:dyDescent="0.25">
      <c r="A5264" s="46" t="s">
        <v>6613</v>
      </c>
      <c r="B5264" s="46" t="s">
        <v>38</v>
      </c>
      <c r="C5264" s="46" t="s">
        <v>14</v>
      </c>
      <c r="D5264" s="47">
        <v>9093</v>
      </c>
      <c r="E5264" s="46" t="s">
        <v>6609</v>
      </c>
      <c r="F5264" s="48">
        <v>40812</v>
      </c>
      <c r="G5264" s="48">
        <v>40848</v>
      </c>
      <c r="H5264" s="46" t="s">
        <v>40</v>
      </c>
      <c r="I5264" s="45">
        <v>4437.5</v>
      </c>
      <c r="J5264" s="45">
        <v>3637.5</v>
      </c>
      <c r="K5264" s="49" t="s">
        <v>6182</v>
      </c>
      <c r="L5264" s="45"/>
      <c r="M5264" s="3"/>
    </row>
    <row r="5265" spans="1:13" ht="25.5" x14ac:dyDescent="0.25">
      <c r="A5265" s="46" t="s">
        <v>6614</v>
      </c>
      <c r="B5265" s="46" t="s">
        <v>38</v>
      </c>
      <c r="C5265" s="46" t="s">
        <v>14</v>
      </c>
      <c r="D5265" s="47">
        <v>9096</v>
      </c>
      <c r="E5265" s="46" t="s">
        <v>6609</v>
      </c>
      <c r="F5265" s="48">
        <v>40826</v>
      </c>
      <c r="G5265" s="48">
        <v>40861</v>
      </c>
      <c r="H5265" s="46" t="s">
        <v>40</v>
      </c>
      <c r="I5265" s="45">
        <v>3784.09</v>
      </c>
      <c r="J5265" s="45">
        <v>3184.09</v>
      </c>
      <c r="K5265" s="49" t="s">
        <v>6182</v>
      </c>
      <c r="L5265" s="45"/>
      <c r="M5265" s="3"/>
    </row>
    <row r="5266" spans="1:13" ht="25.5" x14ac:dyDescent="0.25">
      <c r="A5266" s="46" t="s">
        <v>6615</v>
      </c>
      <c r="B5266" s="46" t="s">
        <v>38</v>
      </c>
      <c r="C5266" s="46" t="s">
        <v>14</v>
      </c>
      <c r="D5266" s="47">
        <v>9098</v>
      </c>
      <c r="E5266" s="46" t="s">
        <v>6616</v>
      </c>
      <c r="F5266" s="48">
        <v>40604</v>
      </c>
      <c r="G5266" s="48">
        <v>40604</v>
      </c>
      <c r="H5266" s="46" t="s">
        <v>40</v>
      </c>
      <c r="I5266" s="45">
        <v>1354.7</v>
      </c>
      <c r="J5266" s="45">
        <v>1004.7</v>
      </c>
      <c r="K5266" s="49" t="s">
        <v>6182</v>
      </c>
      <c r="L5266" s="45"/>
      <c r="M5266" s="3"/>
    </row>
    <row r="5267" spans="1:13" ht="25.5" x14ac:dyDescent="0.25">
      <c r="A5267" s="46" t="s">
        <v>6617</v>
      </c>
      <c r="B5267" s="46" t="s">
        <v>38</v>
      </c>
      <c r="C5267" s="46" t="s">
        <v>14</v>
      </c>
      <c r="D5267" s="47">
        <v>9099</v>
      </c>
      <c r="E5267" s="46" t="s">
        <v>6618</v>
      </c>
      <c r="F5267" s="48">
        <v>40589</v>
      </c>
      <c r="G5267" s="48">
        <v>40589</v>
      </c>
      <c r="H5267" s="46" t="s">
        <v>40</v>
      </c>
      <c r="I5267" s="45">
        <v>1094.5</v>
      </c>
      <c r="J5267" s="45">
        <v>744.5</v>
      </c>
      <c r="K5267" s="49" t="s">
        <v>6182</v>
      </c>
      <c r="L5267" s="45"/>
      <c r="M5267" s="3"/>
    </row>
    <row r="5268" spans="1:13" ht="25.5" x14ac:dyDescent="0.25">
      <c r="A5268" s="46" t="s">
        <v>6619</v>
      </c>
      <c r="B5268" s="46" t="s">
        <v>38</v>
      </c>
      <c r="C5268" s="46" t="s">
        <v>14</v>
      </c>
      <c r="D5268" s="47">
        <v>9102</v>
      </c>
      <c r="E5268" s="46" t="s">
        <v>6620</v>
      </c>
      <c r="F5268" s="48">
        <v>40597</v>
      </c>
      <c r="G5268" s="48">
        <v>40597</v>
      </c>
      <c r="H5268" s="46" t="s">
        <v>40</v>
      </c>
      <c r="I5268" s="45">
        <v>1796.02</v>
      </c>
      <c r="J5268" s="45">
        <v>1796.02</v>
      </c>
      <c r="K5268" s="49" t="s">
        <v>6182</v>
      </c>
      <c r="L5268" s="45"/>
      <c r="M5268" s="3"/>
    </row>
    <row r="5269" spans="1:13" ht="25.5" x14ac:dyDescent="0.25">
      <c r="A5269" s="46" t="s">
        <v>6621</v>
      </c>
      <c r="B5269" s="46" t="s">
        <v>38</v>
      </c>
      <c r="C5269" s="46" t="s">
        <v>14</v>
      </c>
      <c r="D5269" s="47">
        <v>9103</v>
      </c>
      <c r="E5269" s="46" t="s">
        <v>6622</v>
      </c>
      <c r="F5269" s="48">
        <v>40631</v>
      </c>
      <c r="G5269" s="48">
        <v>40631</v>
      </c>
      <c r="H5269" s="46" t="s">
        <v>40</v>
      </c>
      <c r="I5269" s="45">
        <v>1305.7</v>
      </c>
      <c r="J5269" s="45">
        <v>1205.7</v>
      </c>
      <c r="K5269" s="49" t="s">
        <v>6182</v>
      </c>
      <c r="L5269" s="45"/>
      <c r="M5269" s="3"/>
    </row>
    <row r="5270" spans="1:13" ht="25.5" x14ac:dyDescent="0.25">
      <c r="A5270" s="46" t="s">
        <v>6623</v>
      </c>
      <c r="B5270" s="46" t="s">
        <v>38</v>
      </c>
      <c r="C5270" s="46" t="s">
        <v>14</v>
      </c>
      <c r="D5270" s="47">
        <v>9105</v>
      </c>
      <c r="E5270" s="46" t="s">
        <v>6624</v>
      </c>
      <c r="F5270" s="48">
        <v>40645</v>
      </c>
      <c r="G5270" s="48">
        <v>40645</v>
      </c>
      <c r="H5270" s="46" t="s">
        <v>40</v>
      </c>
      <c r="I5270" s="45">
        <v>1049.4000000000001</v>
      </c>
      <c r="J5270" s="45">
        <v>799.4</v>
      </c>
      <c r="K5270" s="49" t="s">
        <v>6182</v>
      </c>
      <c r="L5270" s="45"/>
      <c r="M5270" s="3"/>
    </row>
    <row r="5271" spans="1:13" ht="25.5" x14ac:dyDescent="0.25">
      <c r="A5271" s="46" t="s">
        <v>6625</v>
      </c>
      <c r="B5271" s="46" t="s">
        <v>38</v>
      </c>
      <c r="C5271" s="46" t="s">
        <v>14</v>
      </c>
      <c r="D5271" s="47">
        <v>9107</v>
      </c>
      <c r="E5271" s="46" t="s">
        <v>6626</v>
      </c>
      <c r="F5271" s="48">
        <v>40625</v>
      </c>
      <c r="G5271" s="48">
        <v>40625</v>
      </c>
      <c r="H5271" s="46" t="s">
        <v>40</v>
      </c>
      <c r="I5271" s="45">
        <v>717.5</v>
      </c>
      <c r="J5271" s="45">
        <v>417.5</v>
      </c>
      <c r="K5271" s="49" t="s">
        <v>6182</v>
      </c>
      <c r="L5271" s="45"/>
      <c r="M5271" s="3"/>
    </row>
    <row r="5272" spans="1:13" ht="25.5" x14ac:dyDescent="0.25">
      <c r="A5272" s="46" t="s">
        <v>6627</v>
      </c>
      <c r="B5272" s="46" t="s">
        <v>38</v>
      </c>
      <c r="C5272" s="46" t="s">
        <v>14</v>
      </c>
      <c r="D5272" s="47">
        <v>9108</v>
      </c>
      <c r="E5272" s="46" t="s">
        <v>6628</v>
      </c>
      <c r="F5272" s="48">
        <v>40680</v>
      </c>
      <c r="G5272" s="48">
        <v>40680</v>
      </c>
      <c r="H5272" s="46" t="s">
        <v>40</v>
      </c>
      <c r="I5272" s="45">
        <v>928.9</v>
      </c>
      <c r="J5272" s="45">
        <v>478.9</v>
      </c>
      <c r="K5272" s="49" t="s">
        <v>6182</v>
      </c>
      <c r="L5272" s="45"/>
      <c r="M5272" s="3"/>
    </row>
    <row r="5273" spans="1:13" ht="25.5" x14ac:dyDescent="0.25">
      <c r="A5273" s="46" t="s">
        <v>6629</v>
      </c>
      <c r="B5273" s="46" t="s">
        <v>38</v>
      </c>
      <c r="C5273" s="46" t="s">
        <v>14</v>
      </c>
      <c r="D5273" s="47">
        <v>9110</v>
      </c>
      <c r="E5273" s="46" t="s">
        <v>6630</v>
      </c>
      <c r="F5273" s="48">
        <v>40653</v>
      </c>
      <c r="G5273" s="48">
        <v>40653</v>
      </c>
      <c r="H5273" s="46" t="s">
        <v>40</v>
      </c>
      <c r="I5273" s="45">
        <v>827.6</v>
      </c>
      <c r="J5273" s="45">
        <v>527.6</v>
      </c>
      <c r="K5273" s="49" t="s">
        <v>6182</v>
      </c>
      <c r="L5273" s="45"/>
      <c r="M5273" s="3"/>
    </row>
    <row r="5274" spans="1:13" ht="25.5" x14ac:dyDescent="0.25">
      <c r="A5274" s="46" t="s">
        <v>6631</v>
      </c>
      <c r="B5274" s="46" t="s">
        <v>38</v>
      </c>
      <c r="C5274" s="46" t="s">
        <v>14</v>
      </c>
      <c r="D5274" s="47">
        <v>9112</v>
      </c>
      <c r="E5274" s="46" t="s">
        <v>6632</v>
      </c>
      <c r="F5274" s="48">
        <v>40638</v>
      </c>
      <c r="G5274" s="48">
        <v>40638</v>
      </c>
      <c r="H5274" s="46" t="s">
        <v>40</v>
      </c>
      <c r="I5274" s="45">
        <v>981</v>
      </c>
      <c r="J5274" s="45">
        <v>781</v>
      </c>
      <c r="K5274" s="49" t="s">
        <v>6182</v>
      </c>
      <c r="L5274" s="45"/>
      <c r="M5274" s="3"/>
    </row>
    <row r="5275" spans="1:13" ht="25.5" x14ac:dyDescent="0.25">
      <c r="A5275" s="46" t="s">
        <v>6412</v>
      </c>
      <c r="B5275" s="46" t="s">
        <v>38</v>
      </c>
      <c r="C5275" s="46" t="s">
        <v>14</v>
      </c>
      <c r="D5275" s="47">
        <v>9114</v>
      </c>
      <c r="E5275" s="46" t="s">
        <v>6633</v>
      </c>
      <c r="F5275" s="48">
        <v>40688</v>
      </c>
      <c r="G5275" s="48">
        <v>40688</v>
      </c>
      <c r="H5275" s="46" t="s">
        <v>40</v>
      </c>
      <c r="I5275" s="45">
        <v>1305.7</v>
      </c>
      <c r="J5275" s="45">
        <v>605.70000000000005</v>
      </c>
      <c r="K5275" s="49" t="s">
        <v>6182</v>
      </c>
      <c r="L5275" s="45"/>
      <c r="M5275" s="3"/>
    </row>
    <row r="5276" spans="1:13" ht="25.5" x14ac:dyDescent="0.25">
      <c r="A5276" s="46" t="s">
        <v>6634</v>
      </c>
      <c r="B5276" s="46" t="s">
        <v>38</v>
      </c>
      <c r="C5276" s="46" t="s">
        <v>14</v>
      </c>
      <c r="D5276" s="47">
        <v>9115</v>
      </c>
      <c r="E5276" s="46" t="s">
        <v>6635</v>
      </c>
      <c r="F5276" s="48">
        <v>40674</v>
      </c>
      <c r="G5276" s="48">
        <v>40674</v>
      </c>
      <c r="H5276" s="46" t="s">
        <v>40</v>
      </c>
      <c r="I5276" s="45">
        <v>750</v>
      </c>
      <c r="J5276" s="45">
        <v>650</v>
      </c>
      <c r="K5276" s="49" t="s">
        <v>6182</v>
      </c>
      <c r="L5276" s="45"/>
      <c r="M5276" s="3"/>
    </row>
    <row r="5277" spans="1:13" ht="25.5" x14ac:dyDescent="0.25">
      <c r="A5277" s="46" t="s">
        <v>6636</v>
      </c>
      <c r="B5277" s="46" t="s">
        <v>38</v>
      </c>
      <c r="C5277" s="46" t="s">
        <v>14</v>
      </c>
      <c r="D5277" s="47">
        <v>9118</v>
      </c>
      <c r="E5277" s="46" t="s">
        <v>6637</v>
      </c>
      <c r="F5277" s="48">
        <v>40575</v>
      </c>
      <c r="G5277" s="48">
        <v>40908</v>
      </c>
      <c r="H5277" s="46" t="s">
        <v>40</v>
      </c>
      <c r="I5277" s="45">
        <v>11942.34</v>
      </c>
      <c r="J5277" s="45">
        <v>8352.34</v>
      </c>
      <c r="K5277" s="49" t="s">
        <v>6182</v>
      </c>
      <c r="L5277" s="45"/>
      <c r="M5277" s="3"/>
    </row>
    <row r="5278" spans="1:13" ht="25.5" x14ac:dyDescent="0.25">
      <c r="A5278" s="46" t="s">
        <v>6638</v>
      </c>
      <c r="B5278" s="46" t="s">
        <v>38</v>
      </c>
      <c r="C5278" s="46" t="s">
        <v>14</v>
      </c>
      <c r="D5278" s="47">
        <v>9119</v>
      </c>
      <c r="E5278" s="46" t="s">
        <v>6639</v>
      </c>
      <c r="F5278" s="48">
        <v>40568</v>
      </c>
      <c r="G5278" s="48">
        <v>41274</v>
      </c>
      <c r="H5278" s="46" t="s">
        <v>40</v>
      </c>
      <c r="I5278" s="45">
        <v>6007.83</v>
      </c>
      <c r="J5278" s="45">
        <v>6008.23</v>
      </c>
      <c r="K5278" s="49" t="s">
        <v>6182</v>
      </c>
      <c r="L5278" s="45"/>
      <c r="M5278" s="3"/>
    </row>
    <row r="5279" spans="1:13" ht="25.5" x14ac:dyDescent="0.25">
      <c r="A5279" s="46" t="s">
        <v>6640</v>
      </c>
      <c r="B5279" s="46" t="s">
        <v>38</v>
      </c>
      <c r="C5279" s="46" t="s">
        <v>14</v>
      </c>
      <c r="D5279" s="47">
        <v>9122</v>
      </c>
      <c r="E5279" s="46" t="s">
        <v>6641</v>
      </c>
      <c r="F5279" s="48">
        <v>40856</v>
      </c>
      <c r="G5279" s="48">
        <v>40856</v>
      </c>
      <c r="H5279" s="46" t="s">
        <v>40</v>
      </c>
      <c r="I5279" s="45">
        <v>1714.4</v>
      </c>
      <c r="J5279" s="45">
        <v>1484.4</v>
      </c>
      <c r="K5279" s="49" t="s">
        <v>6182</v>
      </c>
      <c r="L5279" s="45"/>
      <c r="M5279" s="3"/>
    </row>
    <row r="5280" spans="1:13" ht="25.5" x14ac:dyDescent="0.25">
      <c r="A5280" s="46" t="s">
        <v>6642</v>
      </c>
      <c r="B5280" s="46" t="s">
        <v>38</v>
      </c>
      <c r="C5280" s="46" t="s">
        <v>14</v>
      </c>
      <c r="D5280" s="47">
        <v>9124</v>
      </c>
      <c r="E5280" s="46" t="s">
        <v>6643</v>
      </c>
      <c r="F5280" s="48">
        <v>40575</v>
      </c>
      <c r="G5280" s="48">
        <v>40908</v>
      </c>
      <c r="H5280" s="46" t="s">
        <v>40</v>
      </c>
      <c r="I5280" s="45">
        <v>25319.34</v>
      </c>
      <c r="J5280" s="45">
        <v>25094.34</v>
      </c>
      <c r="K5280" s="49" t="s">
        <v>6182</v>
      </c>
      <c r="L5280" s="45"/>
      <c r="M5280" s="3"/>
    </row>
    <row r="5281" spans="1:13" ht="25.5" x14ac:dyDescent="0.25">
      <c r="A5281" s="46" t="s">
        <v>6644</v>
      </c>
      <c r="B5281" s="46" t="s">
        <v>38</v>
      </c>
      <c r="C5281" s="46" t="s">
        <v>14</v>
      </c>
      <c r="D5281" s="47">
        <v>9125</v>
      </c>
      <c r="E5281" s="46" t="s">
        <v>6310</v>
      </c>
      <c r="F5281" s="48">
        <v>40568</v>
      </c>
      <c r="G5281" s="48">
        <v>40908</v>
      </c>
      <c r="H5281" s="46" t="s">
        <v>40</v>
      </c>
      <c r="I5281" s="45">
        <v>23520.2</v>
      </c>
      <c r="J5281" s="45">
        <v>23520.2</v>
      </c>
      <c r="K5281" s="49" t="s">
        <v>6182</v>
      </c>
      <c r="L5281" s="45"/>
      <c r="M5281" s="3"/>
    </row>
    <row r="5282" spans="1:13" ht="38.25" x14ac:dyDescent="0.25">
      <c r="A5282" s="46" t="s">
        <v>6519</v>
      </c>
      <c r="B5282" s="46" t="s">
        <v>38</v>
      </c>
      <c r="C5282" s="46" t="s">
        <v>14</v>
      </c>
      <c r="D5282" s="47">
        <v>9129</v>
      </c>
      <c r="E5282" s="46" t="s">
        <v>6645</v>
      </c>
      <c r="F5282" s="48">
        <v>40575</v>
      </c>
      <c r="G5282" s="48">
        <v>40908</v>
      </c>
      <c r="H5282" s="46" t="s">
        <v>40</v>
      </c>
      <c r="I5282" s="45">
        <v>11187.54</v>
      </c>
      <c r="J5282" s="45">
        <v>11187.54</v>
      </c>
      <c r="K5282" s="49" t="s">
        <v>6182</v>
      </c>
      <c r="L5282" s="45"/>
      <c r="M5282" s="3"/>
    </row>
    <row r="5283" spans="1:13" ht="38.25" x14ac:dyDescent="0.25">
      <c r="A5283" s="46" t="s">
        <v>6646</v>
      </c>
      <c r="B5283" s="46" t="s">
        <v>38</v>
      </c>
      <c r="C5283" s="46" t="s">
        <v>14</v>
      </c>
      <c r="D5283" s="47">
        <v>9131</v>
      </c>
      <c r="E5283" s="46" t="s">
        <v>6526</v>
      </c>
      <c r="F5283" s="48">
        <v>40819</v>
      </c>
      <c r="G5283" s="48">
        <v>40823</v>
      </c>
      <c r="H5283" s="46" t="s">
        <v>40</v>
      </c>
      <c r="I5283" s="45">
        <v>5214.1499999999996</v>
      </c>
      <c r="J5283" s="45">
        <v>5214.1499999999996</v>
      </c>
      <c r="K5283" s="49" t="s">
        <v>6182</v>
      </c>
      <c r="L5283" s="45"/>
      <c r="M5283" s="3"/>
    </row>
    <row r="5284" spans="1:13" ht="25.5" x14ac:dyDescent="0.25">
      <c r="A5284" s="46" t="s">
        <v>6523</v>
      </c>
      <c r="B5284" s="46" t="s">
        <v>38</v>
      </c>
      <c r="C5284" s="46" t="s">
        <v>14</v>
      </c>
      <c r="D5284" s="47">
        <v>9132</v>
      </c>
      <c r="E5284" s="46" t="s">
        <v>6647</v>
      </c>
      <c r="F5284" s="48">
        <v>40813</v>
      </c>
      <c r="G5284" s="48">
        <v>40815</v>
      </c>
      <c r="H5284" s="46" t="s">
        <v>40</v>
      </c>
      <c r="I5284" s="45">
        <v>1292.28</v>
      </c>
      <c r="J5284" s="45">
        <v>1292.28</v>
      </c>
      <c r="K5284" s="49" t="s">
        <v>6182</v>
      </c>
      <c r="L5284" s="45"/>
      <c r="M5284" s="3"/>
    </row>
    <row r="5285" spans="1:13" ht="25.5" x14ac:dyDescent="0.25">
      <c r="A5285" s="46" t="s">
        <v>6648</v>
      </c>
      <c r="B5285" s="46" t="s">
        <v>38</v>
      </c>
      <c r="C5285" s="46" t="s">
        <v>14</v>
      </c>
      <c r="D5285" s="47">
        <v>9134</v>
      </c>
      <c r="E5285" s="46" t="s">
        <v>6649</v>
      </c>
      <c r="F5285" s="48">
        <v>40567</v>
      </c>
      <c r="G5285" s="48">
        <v>40569</v>
      </c>
      <c r="H5285" s="46" t="s">
        <v>40</v>
      </c>
      <c r="I5285" s="45">
        <v>1345.52</v>
      </c>
      <c r="J5285" s="45">
        <v>915.52</v>
      </c>
      <c r="K5285" s="49" t="s">
        <v>6182</v>
      </c>
      <c r="L5285" s="45"/>
      <c r="M5285" s="3"/>
    </row>
    <row r="5286" spans="1:13" ht="38.25" x14ac:dyDescent="0.25">
      <c r="A5286" s="46" t="s">
        <v>6650</v>
      </c>
      <c r="B5286" s="46" t="s">
        <v>38</v>
      </c>
      <c r="C5286" s="46" t="s">
        <v>14</v>
      </c>
      <c r="D5286" s="47">
        <v>9136</v>
      </c>
      <c r="E5286" s="46" t="s">
        <v>6651</v>
      </c>
      <c r="F5286" s="48">
        <v>40842</v>
      </c>
      <c r="G5286" s="48">
        <v>40870</v>
      </c>
      <c r="H5286" s="46" t="s">
        <v>40</v>
      </c>
      <c r="I5286" s="45">
        <v>2500</v>
      </c>
      <c r="J5286" s="45">
        <v>2500</v>
      </c>
      <c r="K5286" s="49" t="s">
        <v>6182</v>
      </c>
      <c r="L5286" s="45"/>
      <c r="M5286" s="3"/>
    </row>
    <row r="5287" spans="1:13" ht="25.5" x14ac:dyDescent="0.25">
      <c r="A5287" s="46" t="s">
        <v>6652</v>
      </c>
      <c r="B5287" s="46" t="s">
        <v>38</v>
      </c>
      <c r="C5287" s="46" t="s">
        <v>14</v>
      </c>
      <c r="D5287" s="47">
        <v>9138</v>
      </c>
      <c r="E5287" s="46" t="s">
        <v>6534</v>
      </c>
      <c r="F5287" s="48">
        <v>40568</v>
      </c>
      <c r="G5287" s="48">
        <v>41610</v>
      </c>
      <c r="H5287" s="46" t="s">
        <v>40</v>
      </c>
      <c r="I5287" s="45">
        <f>68851.5+1854</f>
        <v>70705.5</v>
      </c>
      <c r="J5287" s="45">
        <f>33498.75+927</f>
        <v>34425.75</v>
      </c>
      <c r="K5287" s="49" t="s">
        <v>6182</v>
      </c>
      <c r="L5287" s="45"/>
      <c r="M5287" s="3"/>
    </row>
    <row r="5288" spans="1:13" ht="25.5" x14ac:dyDescent="0.25">
      <c r="A5288" s="46" t="s">
        <v>6653</v>
      </c>
      <c r="B5288" s="46" t="s">
        <v>38</v>
      </c>
      <c r="C5288" s="46" t="s">
        <v>14</v>
      </c>
      <c r="D5288" s="47">
        <v>10936</v>
      </c>
      <c r="E5288" s="46" t="s">
        <v>6654</v>
      </c>
      <c r="F5288" s="48">
        <v>40953</v>
      </c>
      <c r="G5288" s="48">
        <v>40981</v>
      </c>
      <c r="H5288" s="46" t="s">
        <v>40</v>
      </c>
      <c r="I5288" s="45">
        <v>3532.18</v>
      </c>
      <c r="J5288" s="45">
        <v>2832.18</v>
      </c>
      <c r="K5288" s="49" t="s">
        <v>6182</v>
      </c>
      <c r="L5288" s="45"/>
      <c r="M5288" s="3"/>
    </row>
    <row r="5289" spans="1:13" ht="25.5" x14ac:dyDescent="0.25">
      <c r="A5289" s="46" t="s">
        <v>6655</v>
      </c>
      <c r="B5289" s="46" t="s">
        <v>38</v>
      </c>
      <c r="C5289" s="46" t="s">
        <v>14</v>
      </c>
      <c r="D5289" s="47">
        <v>10937</v>
      </c>
      <c r="E5289" s="46" t="s">
        <v>6656</v>
      </c>
      <c r="F5289" s="48">
        <v>40974</v>
      </c>
      <c r="G5289" s="48">
        <v>41002</v>
      </c>
      <c r="H5289" s="46" t="s">
        <v>40</v>
      </c>
      <c r="I5289" s="45">
        <v>3497.61</v>
      </c>
      <c r="J5289" s="45">
        <v>3297.61</v>
      </c>
      <c r="K5289" s="49" t="s">
        <v>6182</v>
      </c>
      <c r="L5289" s="45"/>
      <c r="M5289" s="3"/>
    </row>
    <row r="5290" spans="1:13" ht="25.5" x14ac:dyDescent="0.25">
      <c r="A5290" s="46" t="s">
        <v>6657</v>
      </c>
      <c r="B5290" s="46" t="s">
        <v>38</v>
      </c>
      <c r="C5290" s="46" t="s">
        <v>14</v>
      </c>
      <c r="D5290" s="47">
        <v>10938</v>
      </c>
      <c r="E5290" s="46" t="s">
        <v>6658</v>
      </c>
      <c r="F5290" s="48">
        <v>41016</v>
      </c>
      <c r="G5290" s="48">
        <v>41044</v>
      </c>
      <c r="H5290" s="46" t="s">
        <v>40</v>
      </c>
      <c r="I5290" s="45">
        <v>5667.66</v>
      </c>
      <c r="J5290" s="45">
        <v>5017.66</v>
      </c>
      <c r="K5290" s="49" t="s">
        <v>6182</v>
      </c>
      <c r="L5290" s="45"/>
      <c r="M5290" s="3"/>
    </row>
    <row r="5291" spans="1:13" ht="25.5" x14ac:dyDescent="0.25">
      <c r="A5291" s="46" t="s">
        <v>6659</v>
      </c>
      <c r="B5291" s="46" t="s">
        <v>38</v>
      </c>
      <c r="C5291" s="46" t="s">
        <v>14</v>
      </c>
      <c r="D5291" s="47">
        <v>10939</v>
      </c>
      <c r="E5291" s="46" t="s">
        <v>6660</v>
      </c>
      <c r="F5291" s="48">
        <v>41170</v>
      </c>
      <c r="G5291" s="48">
        <v>41205</v>
      </c>
      <c r="H5291" s="46" t="s">
        <v>40</v>
      </c>
      <c r="I5291" s="45">
        <v>3985</v>
      </c>
      <c r="J5291" s="45">
        <v>3035</v>
      </c>
      <c r="K5291" s="49" t="s">
        <v>6182</v>
      </c>
      <c r="L5291" s="45"/>
      <c r="M5291" s="3"/>
    </row>
    <row r="5292" spans="1:13" ht="25.5" x14ac:dyDescent="0.25">
      <c r="A5292" s="46" t="s">
        <v>6638</v>
      </c>
      <c r="B5292" s="46" t="s">
        <v>38</v>
      </c>
      <c r="C5292" s="46" t="s">
        <v>14</v>
      </c>
      <c r="D5292" s="47">
        <v>10940</v>
      </c>
      <c r="E5292" s="46" t="s">
        <v>6661</v>
      </c>
      <c r="F5292" s="48">
        <v>40966</v>
      </c>
      <c r="G5292" s="48">
        <v>40973</v>
      </c>
      <c r="H5292" s="46" t="s">
        <v>40</v>
      </c>
      <c r="I5292" s="45">
        <v>2704.75</v>
      </c>
      <c r="J5292" s="45">
        <v>3307.15</v>
      </c>
      <c r="K5292" s="49" t="s">
        <v>6182</v>
      </c>
      <c r="L5292" s="45"/>
      <c r="M5292" s="3"/>
    </row>
    <row r="5293" spans="1:13" ht="25.5" x14ac:dyDescent="0.25">
      <c r="A5293" s="46" t="s">
        <v>6636</v>
      </c>
      <c r="B5293" s="46" t="s">
        <v>38</v>
      </c>
      <c r="C5293" s="46" t="s">
        <v>14</v>
      </c>
      <c r="D5293" s="47">
        <v>10941</v>
      </c>
      <c r="E5293" s="46" t="s">
        <v>6637</v>
      </c>
      <c r="F5293" s="48">
        <v>40988</v>
      </c>
      <c r="G5293" s="48">
        <v>41276</v>
      </c>
      <c r="H5293" s="46" t="s">
        <v>40</v>
      </c>
      <c r="I5293" s="45">
        <v>11860.06</v>
      </c>
      <c r="J5293" s="45">
        <v>7594.25</v>
      </c>
      <c r="K5293" s="49" t="s">
        <v>6182</v>
      </c>
      <c r="L5293" s="45"/>
      <c r="M5293" s="3"/>
    </row>
    <row r="5294" spans="1:13" ht="25.5" x14ac:dyDescent="0.25">
      <c r="A5294" s="46" t="s">
        <v>6662</v>
      </c>
      <c r="B5294" s="46" t="s">
        <v>38</v>
      </c>
      <c r="C5294" s="46" t="s">
        <v>14</v>
      </c>
      <c r="D5294" s="47">
        <v>10942</v>
      </c>
      <c r="E5294" s="46" t="s">
        <v>6632</v>
      </c>
      <c r="F5294" s="48">
        <v>40990</v>
      </c>
      <c r="G5294" s="48">
        <v>40990</v>
      </c>
      <c r="H5294" s="46" t="s">
        <v>40</v>
      </c>
      <c r="I5294" s="45">
        <v>1023.06</v>
      </c>
      <c r="J5294" s="45">
        <v>823.06</v>
      </c>
      <c r="K5294" s="49" t="s">
        <v>6182</v>
      </c>
      <c r="L5294" s="45"/>
      <c r="M5294" s="3"/>
    </row>
    <row r="5295" spans="1:13" ht="25.5" x14ac:dyDescent="0.25">
      <c r="A5295" s="46" t="s">
        <v>6663</v>
      </c>
      <c r="B5295" s="46" t="s">
        <v>38</v>
      </c>
      <c r="C5295" s="46" t="s">
        <v>14</v>
      </c>
      <c r="D5295" s="47">
        <v>10943</v>
      </c>
      <c r="E5295" s="46" t="s">
        <v>6664</v>
      </c>
      <c r="F5295" s="48">
        <v>40996</v>
      </c>
      <c r="G5295" s="48">
        <v>40996</v>
      </c>
      <c r="H5295" s="46" t="s">
        <v>40</v>
      </c>
      <c r="I5295" s="45">
        <v>804</v>
      </c>
      <c r="J5295" s="45">
        <v>304</v>
      </c>
      <c r="K5295" s="49" t="s">
        <v>6182</v>
      </c>
      <c r="L5295" s="45"/>
      <c r="M5295" s="3"/>
    </row>
    <row r="5296" spans="1:13" ht="25.5" x14ac:dyDescent="0.25">
      <c r="A5296" s="46" t="s">
        <v>6625</v>
      </c>
      <c r="B5296" s="46" t="s">
        <v>38</v>
      </c>
      <c r="C5296" s="46" t="s">
        <v>14</v>
      </c>
      <c r="D5296" s="47">
        <v>10944</v>
      </c>
      <c r="E5296" s="46" t="s">
        <v>6665</v>
      </c>
      <c r="F5296" s="48">
        <v>40997</v>
      </c>
      <c r="G5296" s="48">
        <v>40997</v>
      </c>
      <c r="H5296" s="46" t="s">
        <v>40</v>
      </c>
      <c r="I5296" s="45">
        <v>1019</v>
      </c>
      <c r="J5296" s="45">
        <v>569</v>
      </c>
      <c r="K5296" s="49" t="s">
        <v>6182</v>
      </c>
      <c r="L5296" s="45"/>
      <c r="M5296" s="3"/>
    </row>
    <row r="5297" spans="1:13" ht="38.25" x14ac:dyDescent="0.25">
      <c r="A5297" s="46" t="s">
        <v>6666</v>
      </c>
      <c r="B5297" s="46" t="s">
        <v>38</v>
      </c>
      <c r="C5297" s="46" t="s">
        <v>14</v>
      </c>
      <c r="D5297" s="47">
        <v>10945</v>
      </c>
      <c r="E5297" s="46" t="s">
        <v>6667</v>
      </c>
      <c r="F5297" s="48">
        <v>41017</v>
      </c>
      <c r="G5297" s="48">
        <v>41017</v>
      </c>
      <c r="H5297" s="46" t="s">
        <v>40</v>
      </c>
      <c r="I5297" s="45">
        <v>795</v>
      </c>
      <c r="J5297" s="45">
        <v>495</v>
      </c>
      <c r="K5297" s="49" t="s">
        <v>6182</v>
      </c>
      <c r="L5297" s="45"/>
      <c r="M5297" s="3"/>
    </row>
    <row r="5298" spans="1:13" ht="25.5" x14ac:dyDescent="0.25">
      <c r="A5298" s="46" t="s">
        <v>6668</v>
      </c>
      <c r="B5298" s="46" t="s">
        <v>38</v>
      </c>
      <c r="C5298" s="46" t="s">
        <v>14</v>
      </c>
      <c r="D5298" s="47">
        <v>10946</v>
      </c>
      <c r="E5298" s="46" t="s">
        <v>6669</v>
      </c>
      <c r="F5298" s="48">
        <v>41044</v>
      </c>
      <c r="G5298" s="48">
        <v>41044</v>
      </c>
      <c r="H5298" s="46" t="s">
        <v>40</v>
      </c>
      <c r="I5298" s="45">
        <v>876.5</v>
      </c>
      <c r="J5298" s="45">
        <v>276.5</v>
      </c>
      <c r="K5298" s="49" t="s">
        <v>6182</v>
      </c>
      <c r="L5298" s="45"/>
      <c r="M5298" s="3"/>
    </row>
    <row r="5299" spans="1:13" ht="25.5" x14ac:dyDescent="0.25">
      <c r="A5299" s="46" t="s">
        <v>3299</v>
      </c>
      <c r="B5299" s="46" t="s">
        <v>38</v>
      </c>
      <c r="C5299" s="46" t="s">
        <v>14</v>
      </c>
      <c r="D5299" s="47">
        <v>10947</v>
      </c>
      <c r="E5299" s="46" t="s">
        <v>6670</v>
      </c>
      <c r="F5299" s="48">
        <v>40968</v>
      </c>
      <c r="G5299" s="48">
        <v>40968</v>
      </c>
      <c r="H5299" s="46" t="s">
        <v>40</v>
      </c>
      <c r="I5299" s="45">
        <v>1578.4</v>
      </c>
      <c r="J5299" s="45">
        <v>1128.4000000000001</v>
      </c>
      <c r="K5299" s="49" t="s">
        <v>6182</v>
      </c>
      <c r="L5299" s="45"/>
      <c r="M5299" s="3"/>
    </row>
    <row r="5300" spans="1:13" ht="38.25" x14ac:dyDescent="0.25">
      <c r="A5300" s="46" t="s">
        <v>6671</v>
      </c>
      <c r="B5300" s="46" t="s">
        <v>38</v>
      </c>
      <c r="C5300" s="46" t="s">
        <v>14</v>
      </c>
      <c r="D5300" s="47">
        <v>10948</v>
      </c>
      <c r="E5300" s="46" t="s">
        <v>6672</v>
      </c>
      <c r="F5300" s="48">
        <v>41044</v>
      </c>
      <c r="G5300" s="48">
        <v>41044</v>
      </c>
      <c r="H5300" s="46" t="s">
        <v>40</v>
      </c>
      <c r="I5300" s="45">
        <v>965</v>
      </c>
      <c r="J5300" s="45">
        <v>565</v>
      </c>
      <c r="K5300" s="49" t="s">
        <v>6182</v>
      </c>
      <c r="L5300" s="45"/>
      <c r="M5300" s="3"/>
    </row>
    <row r="5301" spans="1:13" ht="38.25" x14ac:dyDescent="0.25">
      <c r="A5301" s="46" t="s">
        <v>6412</v>
      </c>
      <c r="B5301" s="46" t="s">
        <v>38</v>
      </c>
      <c r="C5301" s="46" t="s">
        <v>14</v>
      </c>
      <c r="D5301" s="47">
        <v>10949</v>
      </c>
      <c r="E5301" s="46" t="s">
        <v>6673</v>
      </c>
      <c r="F5301" s="48">
        <v>40982</v>
      </c>
      <c r="G5301" s="48">
        <v>40982</v>
      </c>
      <c r="H5301" s="46" t="s">
        <v>40</v>
      </c>
      <c r="I5301" s="45">
        <v>1512.9</v>
      </c>
      <c r="J5301" s="45">
        <v>1062.9000000000001</v>
      </c>
      <c r="K5301" s="49" t="s">
        <v>6182</v>
      </c>
      <c r="L5301" s="45"/>
      <c r="M5301" s="3"/>
    </row>
    <row r="5302" spans="1:13" ht="25.5" x14ac:dyDescent="0.25">
      <c r="A5302" s="46" t="s">
        <v>6640</v>
      </c>
      <c r="B5302" s="46" t="s">
        <v>38</v>
      </c>
      <c r="C5302" s="46" t="s">
        <v>14</v>
      </c>
      <c r="D5302" s="47">
        <v>10950</v>
      </c>
      <c r="E5302" s="46" t="s">
        <v>6641</v>
      </c>
      <c r="F5302" s="48">
        <v>41024</v>
      </c>
      <c r="G5302" s="48">
        <v>41024</v>
      </c>
      <c r="H5302" s="46" t="s">
        <v>40</v>
      </c>
      <c r="I5302" s="45">
        <v>967</v>
      </c>
      <c r="J5302" s="45">
        <v>917</v>
      </c>
      <c r="K5302" s="49" t="s">
        <v>6182</v>
      </c>
      <c r="L5302" s="45"/>
      <c r="M5302" s="3"/>
    </row>
    <row r="5303" spans="1:13" ht="25.5" x14ac:dyDescent="0.25">
      <c r="A5303" s="46" t="s">
        <v>6674</v>
      </c>
      <c r="B5303" s="46" t="s">
        <v>38</v>
      </c>
      <c r="C5303" s="46" t="s">
        <v>14</v>
      </c>
      <c r="D5303" s="47">
        <v>10951</v>
      </c>
      <c r="E5303" s="46" t="s">
        <v>6675</v>
      </c>
      <c r="F5303" s="48">
        <v>41043</v>
      </c>
      <c r="G5303" s="48">
        <v>41046</v>
      </c>
      <c r="H5303" s="46" t="s">
        <v>40</v>
      </c>
      <c r="I5303" s="45">
        <v>1150</v>
      </c>
      <c r="J5303" s="45">
        <v>1150</v>
      </c>
      <c r="K5303" s="49" t="s">
        <v>6182</v>
      </c>
      <c r="L5303" s="45"/>
      <c r="M5303" s="3"/>
    </row>
    <row r="5304" spans="1:13" ht="38.25" x14ac:dyDescent="0.25">
      <c r="A5304" s="46" t="s">
        <v>6676</v>
      </c>
      <c r="B5304" s="46" t="s">
        <v>38</v>
      </c>
      <c r="C5304" s="46" t="s">
        <v>14</v>
      </c>
      <c r="D5304" s="47">
        <v>10953</v>
      </c>
      <c r="E5304" s="46" t="s">
        <v>6677</v>
      </c>
      <c r="F5304" s="48">
        <v>41031</v>
      </c>
      <c r="G5304" s="48">
        <v>41242</v>
      </c>
      <c r="H5304" s="46" t="s">
        <v>40</v>
      </c>
      <c r="I5304" s="45">
        <v>5377</v>
      </c>
      <c r="J5304" s="45">
        <v>5377</v>
      </c>
      <c r="K5304" s="49" t="s">
        <v>6182</v>
      </c>
      <c r="L5304" s="45"/>
      <c r="M5304" s="3"/>
    </row>
    <row r="5305" spans="1:13" ht="25.5" x14ac:dyDescent="0.25">
      <c r="A5305" s="46" t="s">
        <v>6678</v>
      </c>
      <c r="B5305" s="46" t="s">
        <v>38</v>
      </c>
      <c r="C5305" s="46" t="s">
        <v>14</v>
      </c>
      <c r="D5305" s="47">
        <v>10955</v>
      </c>
      <c r="E5305" s="46" t="s">
        <v>6654</v>
      </c>
      <c r="F5305" s="48">
        <v>41218</v>
      </c>
      <c r="G5305" s="48">
        <v>41239</v>
      </c>
      <c r="H5305" s="46" t="s">
        <v>40</v>
      </c>
      <c r="I5305" s="45">
        <v>3685.75</v>
      </c>
      <c r="J5305" s="45">
        <v>3085.75</v>
      </c>
      <c r="K5305" s="49" t="s">
        <v>6182</v>
      </c>
      <c r="L5305" s="45"/>
      <c r="M5305" s="3"/>
    </row>
    <row r="5306" spans="1:13" ht="25.5" x14ac:dyDescent="0.25">
      <c r="A5306" s="46" t="s">
        <v>6642</v>
      </c>
      <c r="B5306" s="46" t="s">
        <v>38</v>
      </c>
      <c r="C5306" s="46" t="s">
        <v>14</v>
      </c>
      <c r="D5306" s="47">
        <v>10956</v>
      </c>
      <c r="E5306" s="46" t="s">
        <v>6679</v>
      </c>
      <c r="F5306" s="48">
        <v>40940</v>
      </c>
      <c r="G5306" s="48">
        <v>41274</v>
      </c>
      <c r="H5306" s="46" t="s">
        <v>40</v>
      </c>
      <c r="I5306" s="45">
        <f>16588.54+4344.41</f>
        <v>20932.95</v>
      </c>
      <c r="J5306" s="45">
        <f>18134.88+4344.41</f>
        <v>22479.29</v>
      </c>
      <c r="K5306" s="49" t="s">
        <v>6182</v>
      </c>
      <c r="L5306" s="45"/>
      <c r="M5306" s="3"/>
    </row>
    <row r="5307" spans="1:13" ht="25.5" x14ac:dyDescent="0.25">
      <c r="A5307" s="46" t="s">
        <v>6680</v>
      </c>
      <c r="B5307" s="46" t="s">
        <v>38</v>
      </c>
      <c r="C5307" s="46" t="s">
        <v>14</v>
      </c>
      <c r="D5307" s="47">
        <v>10957</v>
      </c>
      <c r="E5307" s="46" t="s">
        <v>6681</v>
      </c>
      <c r="F5307" s="48">
        <v>41153</v>
      </c>
      <c r="G5307" s="48">
        <v>41243</v>
      </c>
      <c r="H5307" s="46" t="s">
        <v>40</v>
      </c>
      <c r="I5307" s="45">
        <v>2170.9</v>
      </c>
      <c r="J5307" s="45">
        <v>3670.9</v>
      </c>
      <c r="K5307" s="49" t="s">
        <v>6182</v>
      </c>
      <c r="L5307" s="45"/>
      <c r="M5307" s="3"/>
    </row>
    <row r="5308" spans="1:13" ht="38.25" x14ac:dyDescent="0.25">
      <c r="A5308" s="46" t="s">
        <v>6650</v>
      </c>
      <c r="B5308" s="46" t="s">
        <v>38</v>
      </c>
      <c r="C5308" s="46" t="s">
        <v>14</v>
      </c>
      <c r="D5308" s="47">
        <v>10958</v>
      </c>
      <c r="E5308" s="46" t="s">
        <v>6651</v>
      </c>
      <c r="F5308" s="48">
        <v>41150</v>
      </c>
      <c r="G5308" s="48">
        <v>41150</v>
      </c>
      <c r="H5308" s="46" t="s">
        <v>40</v>
      </c>
      <c r="I5308" s="45">
        <v>2500</v>
      </c>
      <c r="J5308" s="45">
        <v>2500</v>
      </c>
      <c r="K5308" s="49" t="s">
        <v>6182</v>
      </c>
      <c r="L5308" s="45"/>
      <c r="M5308" s="3"/>
    </row>
    <row r="5309" spans="1:13" ht="25.5" x14ac:dyDescent="0.25">
      <c r="A5309" s="46" t="s">
        <v>6682</v>
      </c>
      <c r="B5309" s="46" t="s">
        <v>38</v>
      </c>
      <c r="C5309" s="46" t="s">
        <v>14</v>
      </c>
      <c r="D5309" s="47">
        <v>10959</v>
      </c>
      <c r="E5309" s="46" t="s">
        <v>6310</v>
      </c>
      <c r="F5309" s="48">
        <v>40940</v>
      </c>
      <c r="G5309" s="48">
        <v>41274</v>
      </c>
      <c r="H5309" s="46" t="s">
        <v>40</v>
      </c>
      <c r="I5309" s="45">
        <v>22596.080000000002</v>
      </c>
      <c r="J5309" s="45">
        <v>22446.080000000002</v>
      </c>
      <c r="K5309" s="49" t="s">
        <v>6182</v>
      </c>
      <c r="L5309" s="45"/>
      <c r="M5309" s="3"/>
    </row>
    <row r="5310" spans="1:13" ht="25.5" x14ac:dyDescent="0.25">
      <c r="A5310" s="46" t="s">
        <v>6523</v>
      </c>
      <c r="B5310" s="46" t="s">
        <v>38</v>
      </c>
      <c r="C5310" s="46" t="s">
        <v>14</v>
      </c>
      <c r="D5310" s="47">
        <v>10960</v>
      </c>
      <c r="E5310" s="46" t="s">
        <v>6647</v>
      </c>
      <c r="F5310" s="48">
        <v>41177</v>
      </c>
      <c r="G5310" s="48">
        <v>41179</v>
      </c>
      <c r="H5310" s="46" t="s">
        <v>40</v>
      </c>
      <c r="I5310" s="45">
        <v>2394.81</v>
      </c>
      <c r="J5310" s="45">
        <v>1894.81</v>
      </c>
      <c r="K5310" s="49" t="s">
        <v>6182</v>
      </c>
      <c r="L5310" s="45"/>
      <c r="M5310" s="3"/>
    </row>
    <row r="5311" spans="1:13" ht="25.5" x14ac:dyDescent="0.25">
      <c r="A5311" s="46" t="s">
        <v>6652</v>
      </c>
      <c r="B5311" s="46" t="s">
        <v>38</v>
      </c>
      <c r="C5311" s="46" t="s">
        <v>14</v>
      </c>
      <c r="D5311" s="47">
        <v>10961</v>
      </c>
      <c r="E5311" s="46" t="s">
        <v>6534</v>
      </c>
      <c r="F5311" s="48">
        <v>40940</v>
      </c>
      <c r="G5311" s="48">
        <v>41274</v>
      </c>
      <c r="H5311" s="46" t="s">
        <v>40</v>
      </c>
      <c r="I5311" s="45">
        <f>70116.96+10061</f>
        <v>80177.960000000006</v>
      </c>
      <c r="J5311" s="45">
        <f>34555.43+5030.5</f>
        <v>39585.93</v>
      </c>
      <c r="K5311" s="49" t="s">
        <v>6182</v>
      </c>
      <c r="L5311" s="45"/>
      <c r="M5311" s="3"/>
    </row>
    <row r="5312" spans="1:13" ht="25.5" x14ac:dyDescent="0.25">
      <c r="A5312" s="46" t="s">
        <v>6683</v>
      </c>
      <c r="B5312" s="46" t="s">
        <v>38</v>
      </c>
      <c r="C5312" s="46" t="s">
        <v>14</v>
      </c>
      <c r="D5312" s="47">
        <v>10962</v>
      </c>
      <c r="E5312" s="46" t="s">
        <v>6684</v>
      </c>
      <c r="F5312" s="48">
        <v>41054</v>
      </c>
      <c r="G5312" s="48">
        <v>41054</v>
      </c>
      <c r="H5312" s="46" t="s">
        <v>40</v>
      </c>
      <c r="I5312" s="45">
        <v>520</v>
      </c>
      <c r="J5312" s="45">
        <v>520</v>
      </c>
      <c r="K5312" s="49" t="s">
        <v>6182</v>
      </c>
      <c r="L5312" s="45"/>
      <c r="M5312" s="3"/>
    </row>
    <row r="5313" spans="1:13" ht="25.5" x14ac:dyDescent="0.25">
      <c r="A5313" s="46" t="s">
        <v>6685</v>
      </c>
      <c r="B5313" s="46" t="s">
        <v>38</v>
      </c>
      <c r="C5313" s="46" t="s">
        <v>14</v>
      </c>
      <c r="D5313" s="47">
        <v>10963</v>
      </c>
      <c r="E5313" s="46" t="s">
        <v>6686</v>
      </c>
      <c r="F5313" s="48">
        <v>40909</v>
      </c>
      <c r="G5313" s="48">
        <v>41274</v>
      </c>
      <c r="H5313" s="46" t="s">
        <v>40</v>
      </c>
      <c r="I5313" s="45">
        <v>43871.73</v>
      </c>
      <c r="J5313" s="45">
        <v>43871.73</v>
      </c>
      <c r="K5313" s="49" t="s">
        <v>6182</v>
      </c>
      <c r="L5313" s="45"/>
      <c r="M5313" s="3"/>
    </row>
    <row r="5314" spans="1:13" ht="25.5" x14ac:dyDescent="0.25">
      <c r="A5314" s="46" t="s">
        <v>6712</v>
      </c>
      <c r="B5314" s="46" t="s">
        <v>38</v>
      </c>
      <c r="C5314" s="46" t="s">
        <v>14</v>
      </c>
      <c r="D5314" s="47">
        <v>11114</v>
      </c>
      <c r="E5314" s="46" t="s">
        <v>6713</v>
      </c>
      <c r="F5314" s="48">
        <v>41045</v>
      </c>
      <c r="G5314" s="48">
        <v>41087</v>
      </c>
      <c r="H5314" s="46" t="s">
        <v>40</v>
      </c>
      <c r="I5314" s="45">
        <v>23439.88</v>
      </c>
      <c r="J5314" s="45">
        <v>20289.88</v>
      </c>
      <c r="K5314" s="49" t="s">
        <v>6182</v>
      </c>
      <c r="L5314" s="45"/>
      <c r="M5314" s="3"/>
    </row>
    <row r="5315" spans="1:13" ht="25.5" x14ac:dyDescent="0.25">
      <c r="A5315" s="46" t="s">
        <v>6714</v>
      </c>
      <c r="B5315" s="46" t="s">
        <v>38</v>
      </c>
      <c r="C5315" s="46" t="s">
        <v>14</v>
      </c>
      <c r="D5315" s="47">
        <v>11115</v>
      </c>
      <c r="E5315" s="46" t="s">
        <v>6715</v>
      </c>
      <c r="F5315" s="48">
        <v>41024</v>
      </c>
      <c r="G5315" s="48">
        <v>41184</v>
      </c>
      <c r="H5315" s="46" t="s">
        <v>40</v>
      </c>
      <c r="I5315" s="45">
        <v>5721.79</v>
      </c>
      <c r="J5315" s="45">
        <v>1451.79</v>
      </c>
      <c r="K5315" s="49" t="s">
        <v>6182</v>
      </c>
      <c r="L5315" s="45"/>
      <c r="M5315" s="3"/>
    </row>
    <row r="5316" spans="1:13" ht="25.5" x14ac:dyDescent="0.25">
      <c r="A5316" s="46" t="s">
        <v>7214</v>
      </c>
      <c r="B5316" s="46" t="s">
        <v>38</v>
      </c>
      <c r="C5316" s="46" t="s">
        <v>14</v>
      </c>
      <c r="D5316" s="47">
        <v>12687</v>
      </c>
      <c r="E5316" s="46" t="s">
        <v>10968</v>
      </c>
      <c r="F5316" s="48">
        <v>40938</v>
      </c>
      <c r="G5316" s="48">
        <v>41290</v>
      </c>
      <c r="H5316" s="46" t="s">
        <v>651</v>
      </c>
      <c r="I5316" s="45">
        <v>26789.200000000001</v>
      </c>
      <c r="J5316" s="45">
        <v>26789.200000000001</v>
      </c>
      <c r="K5316" s="49" t="s">
        <v>6182</v>
      </c>
      <c r="L5316" s="46"/>
    </row>
    <row r="5317" spans="1:13" ht="25.5" x14ac:dyDescent="0.25">
      <c r="A5317" s="46" t="s">
        <v>10969</v>
      </c>
      <c r="B5317" s="46" t="s">
        <v>38</v>
      </c>
      <c r="C5317" s="46" t="s">
        <v>14</v>
      </c>
      <c r="D5317" s="47">
        <v>12688</v>
      </c>
      <c r="E5317" s="46" t="s">
        <v>10970</v>
      </c>
      <c r="F5317" s="48">
        <v>41302</v>
      </c>
      <c r="G5317" s="48">
        <v>41494</v>
      </c>
      <c r="H5317" s="46" t="s">
        <v>651</v>
      </c>
      <c r="I5317" s="45">
        <v>2252.5</v>
      </c>
      <c r="J5317" s="45">
        <v>2252.5</v>
      </c>
      <c r="K5317" s="49" t="s">
        <v>6182</v>
      </c>
      <c r="L5317" s="46"/>
    </row>
    <row r="5318" spans="1:13" ht="25.5" x14ac:dyDescent="0.25">
      <c r="A5318" s="46" t="s">
        <v>10971</v>
      </c>
      <c r="B5318" s="46" t="s">
        <v>38</v>
      </c>
      <c r="C5318" s="46" t="s">
        <v>14</v>
      </c>
      <c r="D5318" s="47">
        <v>12689</v>
      </c>
      <c r="E5318" s="46" t="s">
        <v>10972</v>
      </c>
      <c r="F5318" s="48">
        <v>41302</v>
      </c>
      <c r="G5318" s="48">
        <v>41374</v>
      </c>
      <c r="H5318" s="46" t="s">
        <v>651</v>
      </c>
      <c r="I5318" s="45">
        <v>1565</v>
      </c>
      <c r="J5318" s="45">
        <v>1565</v>
      </c>
      <c r="K5318" s="49" t="s">
        <v>6182</v>
      </c>
      <c r="L5318" s="46"/>
    </row>
    <row r="5319" spans="1:13" ht="25.5" x14ac:dyDescent="0.25">
      <c r="A5319" s="46" t="s">
        <v>10973</v>
      </c>
      <c r="B5319" s="46" t="s">
        <v>38</v>
      </c>
      <c r="C5319" s="46" t="s">
        <v>14</v>
      </c>
      <c r="D5319" s="47">
        <v>12691</v>
      </c>
      <c r="E5319" s="46" t="s">
        <v>10972</v>
      </c>
      <c r="F5319" s="48">
        <v>41302</v>
      </c>
      <c r="G5319" s="48">
        <v>41618</v>
      </c>
      <c r="H5319" s="46" t="s">
        <v>651</v>
      </c>
      <c r="I5319" s="45">
        <v>2762.5</v>
      </c>
      <c r="J5319" s="45">
        <v>2762.5</v>
      </c>
      <c r="K5319" s="49" t="s">
        <v>6182</v>
      </c>
      <c r="L5319" s="46"/>
    </row>
    <row r="5320" spans="1:13" ht="25.5" x14ac:dyDescent="0.25">
      <c r="A5320" s="46" t="s">
        <v>10974</v>
      </c>
      <c r="B5320" s="46" t="s">
        <v>38</v>
      </c>
      <c r="C5320" s="46" t="s">
        <v>14</v>
      </c>
      <c r="D5320" s="47">
        <v>12692</v>
      </c>
      <c r="E5320" s="46" t="s">
        <v>6639</v>
      </c>
      <c r="F5320" s="48">
        <v>41302</v>
      </c>
      <c r="G5320" s="48">
        <v>41537</v>
      </c>
      <c r="H5320" s="46" t="s">
        <v>651</v>
      </c>
      <c r="I5320" s="45">
        <v>2177.5</v>
      </c>
      <c r="J5320" s="45">
        <v>2177.5</v>
      </c>
      <c r="K5320" s="49" t="s">
        <v>6182</v>
      </c>
      <c r="L5320" s="46"/>
    </row>
    <row r="5321" spans="1:13" ht="25.5" x14ac:dyDescent="0.25">
      <c r="A5321" s="46" t="s">
        <v>6287</v>
      </c>
      <c r="B5321" s="46" t="s">
        <v>38</v>
      </c>
      <c r="C5321" s="46" t="s">
        <v>14</v>
      </c>
      <c r="D5321" s="47">
        <v>12693</v>
      </c>
      <c r="E5321" s="46" t="s">
        <v>10975</v>
      </c>
      <c r="F5321" s="48">
        <v>41302</v>
      </c>
      <c r="G5321" s="48">
        <v>41549</v>
      </c>
      <c r="H5321" s="46" t="s">
        <v>651</v>
      </c>
      <c r="I5321" s="45">
        <v>11641.91</v>
      </c>
      <c r="J5321" s="45">
        <v>11641.91</v>
      </c>
      <c r="K5321" s="49" t="s">
        <v>6182</v>
      </c>
      <c r="L5321" s="46"/>
    </row>
    <row r="5322" spans="1:13" ht="25.5" x14ac:dyDescent="0.25">
      <c r="A5322" s="46" t="s">
        <v>10976</v>
      </c>
      <c r="B5322" s="46" t="s">
        <v>38</v>
      </c>
      <c r="C5322" s="46" t="s">
        <v>14</v>
      </c>
      <c r="D5322" s="47">
        <v>12694</v>
      </c>
      <c r="E5322" s="46" t="s">
        <v>10977</v>
      </c>
      <c r="F5322" s="48">
        <v>41302</v>
      </c>
      <c r="G5322" s="48">
        <v>41618</v>
      </c>
      <c r="H5322" s="46" t="s">
        <v>651</v>
      </c>
      <c r="I5322" s="45">
        <v>6840</v>
      </c>
      <c r="J5322" s="45">
        <v>6840</v>
      </c>
      <c r="K5322" s="49" t="s">
        <v>6182</v>
      </c>
      <c r="L5322" s="46"/>
    </row>
    <row r="5323" spans="1:13" ht="25.5" x14ac:dyDescent="0.25">
      <c r="A5323" s="46" t="s">
        <v>6357</v>
      </c>
      <c r="B5323" s="46" t="s">
        <v>38</v>
      </c>
      <c r="C5323" s="46" t="s">
        <v>14</v>
      </c>
      <c r="D5323" s="47">
        <v>12695</v>
      </c>
      <c r="E5323" s="46" t="s">
        <v>10978</v>
      </c>
      <c r="F5323" s="48">
        <v>41302</v>
      </c>
      <c r="G5323" s="48">
        <v>41421</v>
      </c>
      <c r="H5323" s="46" t="s">
        <v>651</v>
      </c>
      <c r="I5323" s="45">
        <v>740</v>
      </c>
      <c r="J5323" s="45">
        <v>740</v>
      </c>
      <c r="K5323" s="49" t="s">
        <v>6182</v>
      </c>
      <c r="L5323" s="46"/>
    </row>
    <row r="5324" spans="1:13" ht="25.5" x14ac:dyDescent="0.25">
      <c r="A5324" s="46" t="s">
        <v>10979</v>
      </c>
      <c r="B5324" s="46" t="s">
        <v>38</v>
      </c>
      <c r="C5324" s="46" t="s">
        <v>14</v>
      </c>
      <c r="D5324" s="47">
        <v>12696</v>
      </c>
      <c r="E5324" s="46" t="s">
        <v>10980</v>
      </c>
      <c r="F5324" s="48">
        <v>41302</v>
      </c>
      <c r="G5324" s="48">
        <v>41418</v>
      </c>
      <c r="H5324" s="46" t="s">
        <v>651</v>
      </c>
      <c r="I5324" s="45">
        <v>3042.2</v>
      </c>
      <c r="J5324" s="45">
        <v>3042.2</v>
      </c>
      <c r="K5324" s="49" t="s">
        <v>6182</v>
      </c>
      <c r="L5324" s="46"/>
    </row>
    <row r="5325" spans="1:13" ht="25.5" x14ac:dyDescent="0.25">
      <c r="A5325" s="46" t="s">
        <v>10981</v>
      </c>
      <c r="B5325" s="46" t="s">
        <v>38</v>
      </c>
      <c r="C5325" s="46" t="s">
        <v>14</v>
      </c>
      <c r="D5325" s="47">
        <v>12697</v>
      </c>
      <c r="E5325" s="46" t="s">
        <v>10982</v>
      </c>
      <c r="F5325" s="48">
        <v>41302</v>
      </c>
      <c r="G5325" s="48">
        <v>41563</v>
      </c>
      <c r="H5325" s="46" t="s">
        <v>651</v>
      </c>
      <c r="I5325" s="45">
        <v>977.5</v>
      </c>
      <c r="J5325" s="45">
        <v>977.5</v>
      </c>
      <c r="K5325" s="49" t="s">
        <v>6182</v>
      </c>
      <c r="L5325" s="46"/>
    </row>
    <row r="5326" spans="1:13" ht="25.5" x14ac:dyDescent="0.25">
      <c r="A5326" s="46" t="s">
        <v>10983</v>
      </c>
      <c r="B5326" s="46" t="s">
        <v>38</v>
      </c>
      <c r="C5326" s="46" t="s">
        <v>14</v>
      </c>
      <c r="D5326" s="47">
        <v>12698</v>
      </c>
      <c r="E5326" s="46" t="s">
        <v>10984</v>
      </c>
      <c r="F5326" s="48">
        <v>41302</v>
      </c>
      <c r="G5326" s="48">
        <v>41438</v>
      </c>
      <c r="H5326" s="46" t="s">
        <v>651</v>
      </c>
      <c r="I5326" s="45">
        <v>775</v>
      </c>
      <c r="J5326" s="45">
        <v>775</v>
      </c>
      <c r="K5326" s="49" t="s">
        <v>6182</v>
      </c>
      <c r="L5326" s="46"/>
    </row>
    <row r="5327" spans="1:13" ht="25.5" x14ac:dyDescent="0.25">
      <c r="A5327" s="46" t="s">
        <v>10985</v>
      </c>
      <c r="B5327" s="46" t="s">
        <v>38</v>
      </c>
      <c r="C5327" s="46" t="s">
        <v>14</v>
      </c>
      <c r="D5327" s="47">
        <v>12699</v>
      </c>
      <c r="E5327" s="46" t="s">
        <v>10986</v>
      </c>
      <c r="F5327" s="48">
        <v>41302</v>
      </c>
      <c r="G5327" s="48">
        <v>41387</v>
      </c>
      <c r="H5327" s="46" t="s">
        <v>651</v>
      </c>
      <c r="I5327" s="45">
        <v>756.3</v>
      </c>
      <c r="J5327" s="45">
        <v>756.3</v>
      </c>
      <c r="K5327" s="49" t="s">
        <v>6182</v>
      </c>
      <c r="L5327" s="46"/>
    </row>
    <row r="5328" spans="1:13" ht="25.5" x14ac:dyDescent="0.25">
      <c r="A5328" s="46" t="s">
        <v>10987</v>
      </c>
      <c r="B5328" s="46" t="s">
        <v>38</v>
      </c>
      <c r="C5328" s="46" t="s">
        <v>14</v>
      </c>
      <c r="D5328" s="47">
        <v>12700</v>
      </c>
      <c r="E5328" s="46" t="s">
        <v>10988</v>
      </c>
      <c r="F5328" s="48">
        <v>41302</v>
      </c>
      <c r="G5328" s="48">
        <v>41407</v>
      </c>
      <c r="H5328" s="46" t="s">
        <v>651</v>
      </c>
      <c r="I5328" s="45">
        <v>242</v>
      </c>
      <c r="J5328" s="45">
        <v>242</v>
      </c>
      <c r="K5328" s="49" t="s">
        <v>6182</v>
      </c>
      <c r="L5328" s="46"/>
    </row>
    <row r="5329" spans="1:12" ht="25.5" x14ac:dyDescent="0.25">
      <c r="A5329" s="46" t="s">
        <v>10989</v>
      </c>
      <c r="B5329" s="46" t="s">
        <v>38</v>
      </c>
      <c r="C5329" s="46" t="s">
        <v>14</v>
      </c>
      <c r="D5329" s="47">
        <v>12701</v>
      </c>
      <c r="E5329" s="46" t="s">
        <v>10990</v>
      </c>
      <c r="F5329" s="48">
        <v>41302</v>
      </c>
      <c r="G5329" s="48">
        <v>41418</v>
      </c>
      <c r="H5329" s="46" t="s">
        <v>651</v>
      </c>
      <c r="I5329" s="45">
        <v>515</v>
      </c>
      <c r="J5329" s="45">
        <v>515</v>
      </c>
      <c r="K5329" s="49" t="s">
        <v>6182</v>
      </c>
      <c r="L5329" s="46"/>
    </row>
    <row r="5330" spans="1:12" ht="38.25" x14ac:dyDescent="0.25">
      <c r="A5330" s="46" t="s">
        <v>10991</v>
      </c>
      <c r="B5330" s="46" t="s">
        <v>38</v>
      </c>
      <c r="C5330" s="46" t="s">
        <v>14</v>
      </c>
      <c r="D5330" s="47">
        <v>12702</v>
      </c>
      <c r="E5330" s="46" t="s">
        <v>10992</v>
      </c>
      <c r="F5330" s="48">
        <v>41302</v>
      </c>
      <c r="G5330" s="48">
        <v>41418</v>
      </c>
      <c r="H5330" s="46" t="s">
        <v>651</v>
      </c>
      <c r="I5330" s="45">
        <v>288</v>
      </c>
      <c r="J5330" s="45">
        <v>288</v>
      </c>
      <c r="K5330" s="49" t="s">
        <v>6182</v>
      </c>
      <c r="L5330" s="46"/>
    </row>
    <row r="5331" spans="1:12" ht="25.5" x14ac:dyDescent="0.25">
      <c r="A5331" s="46" t="s">
        <v>10993</v>
      </c>
      <c r="B5331" s="46" t="s">
        <v>38</v>
      </c>
      <c r="C5331" s="46" t="s">
        <v>14</v>
      </c>
      <c r="D5331" s="47">
        <v>12703</v>
      </c>
      <c r="E5331" s="46" t="s">
        <v>10994</v>
      </c>
      <c r="F5331" s="48">
        <v>41302</v>
      </c>
      <c r="G5331" s="48">
        <v>41386</v>
      </c>
      <c r="H5331" s="46" t="s">
        <v>651</v>
      </c>
      <c r="I5331" s="45">
        <v>1598.4</v>
      </c>
      <c r="J5331" s="45">
        <v>1598.4</v>
      </c>
      <c r="K5331" s="49" t="s">
        <v>6182</v>
      </c>
      <c r="L5331" s="46"/>
    </row>
    <row r="5332" spans="1:12" ht="25.5" x14ac:dyDescent="0.25">
      <c r="A5332" s="46" t="s">
        <v>10995</v>
      </c>
      <c r="B5332" s="46" t="s">
        <v>38</v>
      </c>
      <c r="C5332" s="46" t="s">
        <v>14</v>
      </c>
      <c r="D5332" s="47">
        <v>12705</v>
      </c>
      <c r="E5332" s="46" t="s">
        <v>10996</v>
      </c>
      <c r="F5332" s="48">
        <v>41302</v>
      </c>
      <c r="G5332" s="48">
        <v>41386</v>
      </c>
      <c r="H5332" s="46" t="s">
        <v>651</v>
      </c>
      <c r="I5332" s="45">
        <v>862.5</v>
      </c>
      <c r="J5332" s="45">
        <v>862.5</v>
      </c>
      <c r="K5332" s="49" t="s">
        <v>6182</v>
      </c>
      <c r="L5332" s="46"/>
    </row>
    <row r="5333" spans="1:12" ht="25.5" x14ac:dyDescent="0.25">
      <c r="A5333" s="46" t="s">
        <v>10997</v>
      </c>
      <c r="B5333" s="46" t="s">
        <v>38</v>
      </c>
      <c r="C5333" s="46" t="s">
        <v>14</v>
      </c>
      <c r="D5333" s="47">
        <v>12706</v>
      </c>
      <c r="E5333" s="46" t="s">
        <v>10998</v>
      </c>
      <c r="F5333" s="48">
        <v>41302</v>
      </c>
      <c r="G5333" s="48">
        <v>41494</v>
      </c>
      <c r="H5333" s="46" t="s">
        <v>651</v>
      </c>
      <c r="I5333" s="45">
        <v>750</v>
      </c>
      <c r="J5333" s="45">
        <v>750</v>
      </c>
      <c r="K5333" s="49" t="s">
        <v>6182</v>
      </c>
      <c r="L5333" s="46"/>
    </row>
    <row r="5334" spans="1:12" ht="25.5" x14ac:dyDescent="0.25">
      <c r="A5334" s="46" t="s">
        <v>10999</v>
      </c>
      <c r="B5334" s="46" t="s">
        <v>38</v>
      </c>
      <c r="C5334" s="46" t="s">
        <v>14</v>
      </c>
      <c r="D5334" s="47">
        <v>12707</v>
      </c>
      <c r="E5334" s="46" t="s">
        <v>11000</v>
      </c>
      <c r="F5334" s="48">
        <v>41302</v>
      </c>
      <c r="G5334" s="48">
        <v>41610</v>
      </c>
      <c r="H5334" s="46" t="s">
        <v>651</v>
      </c>
      <c r="I5334" s="45">
        <v>300</v>
      </c>
      <c r="J5334" s="45">
        <v>300</v>
      </c>
      <c r="K5334" s="49" t="s">
        <v>6182</v>
      </c>
      <c r="L5334" s="46"/>
    </row>
    <row r="5335" spans="1:12" ht="25.5" x14ac:dyDescent="0.25">
      <c r="A5335" s="46" t="s">
        <v>11001</v>
      </c>
      <c r="B5335" s="46" t="s">
        <v>38</v>
      </c>
      <c r="C5335" s="46" t="s">
        <v>14</v>
      </c>
      <c r="D5335" s="47">
        <v>12708</v>
      </c>
      <c r="E5335" s="46" t="s">
        <v>11002</v>
      </c>
      <c r="F5335" s="48">
        <v>41302</v>
      </c>
      <c r="G5335" s="48">
        <v>41589</v>
      </c>
      <c r="H5335" s="46" t="s">
        <v>651</v>
      </c>
      <c r="I5335" s="45">
        <v>917.6</v>
      </c>
      <c r="J5335" s="45">
        <v>917.6</v>
      </c>
      <c r="K5335" s="49" t="s">
        <v>6182</v>
      </c>
      <c r="L5335" s="46"/>
    </row>
    <row r="5336" spans="1:12" ht="25.5" x14ac:dyDescent="0.25">
      <c r="A5336" s="46" t="s">
        <v>2285</v>
      </c>
      <c r="B5336" s="46" t="s">
        <v>38</v>
      </c>
      <c r="C5336" s="46" t="s">
        <v>14</v>
      </c>
      <c r="D5336" s="47">
        <v>12710</v>
      </c>
      <c r="E5336" s="46" t="s">
        <v>11003</v>
      </c>
      <c r="F5336" s="48">
        <v>41302</v>
      </c>
      <c r="G5336" s="48">
        <v>41618</v>
      </c>
      <c r="H5336" s="46" t="s">
        <v>651</v>
      </c>
      <c r="I5336" s="45">
        <v>12190.18</v>
      </c>
      <c r="J5336" s="45">
        <v>12190.18</v>
      </c>
      <c r="K5336" s="49" t="s">
        <v>6182</v>
      </c>
      <c r="L5336" s="46"/>
    </row>
    <row r="5337" spans="1:12" ht="25.5" x14ac:dyDescent="0.25">
      <c r="A5337" s="46" t="s">
        <v>6285</v>
      </c>
      <c r="B5337" s="46" t="s">
        <v>38</v>
      </c>
      <c r="C5337" s="46" t="s">
        <v>14</v>
      </c>
      <c r="D5337" s="47">
        <v>12713</v>
      </c>
      <c r="E5337" s="46" t="s">
        <v>11004</v>
      </c>
      <c r="F5337" s="48">
        <v>41302</v>
      </c>
      <c r="G5337" s="48">
        <v>41618</v>
      </c>
      <c r="H5337" s="46" t="s">
        <v>651</v>
      </c>
      <c r="I5337" s="45">
        <v>51563.78</v>
      </c>
      <c r="J5337" s="45">
        <v>25781.89</v>
      </c>
      <c r="K5337" s="49" t="s">
        <v>6182</v>
      </c>
      <c r="L5337" s="46"/>
    </row>
    <row r="5338" spans="1:12" ht="25.5" x14ac:dyDescent="0.25">
      <c r="A5338" s="46" t="s">
        <v>6309</v>
      </c>
      <c r="B5338" s="46" t="s">
        <v>38</v>
      </c>
      <c r="C5338" s="46" t="s">
        <v>14</v>
      </c>
      <c r="D5338" s="47">
        <v>12715</v>
      </c>
      <c r="E5338" s="46" t="s">
        <v>6310</v>
      </c>
      <c r="F5338" s="48">
        <v>41302</v>
      </c>
      <c r="G5338" s="48">
        <v>41618</v>
      </c>
      <c r="H5338" s="46" t="s">
        <v>651</v>
      </c>
      <c r="I5338" s="45">
        <v>23243.15</v>
      </c>
      <c r="J5338" s="45">
        <v>23243.15</v>
      </c>
      <c r="K5338" s="49" t="s">
        <v>6182</v>
      </c>
      <c r="L5338" s="46"/>
    </row>
    <row r="5339" spans="1:12" ht="25.5" x14ac:dyDescent="0.25">
      <c r="A5339" s="46" t="s">
        <v>11005</v>
      </c>
      <c r="B5339" s="46" t="s">
        <v>38</v>
      </c>
      <c r="C5339" s="46" t="s">
        <v>14</v>
      </c>
      <c r="D5339" s="47">
        <v>12716</v>
      </c>
      <c r="E5339" s="46" t="s">
        <v>11006</v>
      </c>
      <c r="F5339" s="48">
        <v>41302</v>
      </c>
      <c r="G5339" s="48">
        <v>41591</v>
      </c>
      <c r="H5339" s="46" t="s">
        <v>651</v>
      </c>
      <c r="I5339" s="45">
        <v>900</v>
      </c>
      <c r="J5339" s="45">
        <v>900</v>
      </c>
      <c r="K5339" s="49" t="s">
        <v>6182</v>
      </c>
      <c r="L5339" s="46"/>
    </row>
    <row r="5340" spans="1:12" ht="25.5" x14ac:dyDescent="0.25">
      <c r="A5340" s="46" t="s">
        <v>7537</v>
      </c>
      <c r="B5340" s="46" t="s">
        <v>38</v>
      </c>
      <c r="C5340" s="46" t="s">
        <v>14</v>
      </c>
      <c r="D5340" s="47">
        <v>12717</v>
      </c>
      <c r="E5340" s="46" t="s">
        <v>11007</v>
      </c>
      <c r="F5340" s="48">
        <v>40928</v>
      </c>
      <c r="G5340" s="48">
        <v>41290</v>
      </c>
      <c r="H5340" s="46" t="s">
        <v>651</v>
      </c>
      <c r="I5340" s="45">
        <v>2000</v>
      </c>
      <c r="J5340" s="45">
        <v>2000</v>
      </c>
      <c r="K5340" s="49" t="s">
        <v>6182</v>
      </c>
      <c r="L5340" s="46"/>
    </row>
    <row r="5341" spans="1:12" ht="25.5" x14ac:dyDescent="0.25">
      <c r="A5341" s="46" t="s">
        <v>9675</v>
      </c>
      <c r="B5341" s="46" t="s">
        <v>38</v>
      </c>
      <c r="C5341" s="46" t="s">
        <v>14</v>
      </c>
      <c r="D5341" s="47">
        <v>12718</v>
      </c>
      <c r="E5341" s="46" t="s">
        <v>11008</v>
      </c>
      <c r="F5341" s="48">
        <v>40928</v>
      </c>
      <c r="G5341" s="48">
        <v>41589</v>
      </c>
      <c r="H5341" s="46" t="s">
        <v>651</v>
      </c>
      <c r="I5341" s="45">
        <v>500</v>
      </c>
      <c r="J5341" s="45">
        <v>500</v>
      </c>
      <c r="K5341" s="49" t="s">
        <v>6182</v>
      </c>
      <c r="L5341" s="46"/>
    </row>
    <row r="5342" spans="1:12" ht="25.5" x14ac:dyDescent="0.25">
      <c r="A5342" s="46" t="s">
        <v>11009</v>
      </c>
      <c r="B5342" s="46" t="s">
        <v>38</v>
      </c>
      <c r="C5342" s="46" t="s">
        <v>14</v>
      </c>
      <c r="D5342" s="47">
        <v>12719</v>
      </c>
      <c r="E5342" s="46" t="s">
        <v>11010</v>
      </c>
      <c r="F5342" s="48">
        <v>40928</v>
      </c>
      <c r="G5342" s="48">
        <v>41290</v>
      </c>
      <c r="H5342" s="46" t="s">
        <v>651</v>
      </c>
      <c r="I5342" s="45">
        <v>376.38</v>
      </c>
      <c r="J5342" s="45">
        <v>376.38</v>
      </c>
      <c r="K5342" s="49" t="s">
        <v>6182</v>
      </c>
      <c r="L5342" s="46"/>
    </row>
    <row r="5343" spans="1:12" ht="25.5" x14ac:dyDescent="0.25">
      <c r="A5343" s="46" t="s">
        <v>7537</v>
      </c>
      <c r="B5343" s="46" t="s">
        <v>38</v>
      </c>
      <c r="C5343" s="46" t="s">
        <v>14</v>
      </c>
      <c r="D5343" s="47">
        <v>12720</v>
      </c>
      <c r="E5343" s="46" t="s">
        <v>11011</v>
      </c>
      <c r="F5343" s="48">
        <v>41302</v>
      </c>
      <c r="G5343" s="48">
        <v>41563</v>
      </c>
      <c r="H5343" s="46" t="s">
        <v>651</v>
      </c>
      <c r="I5343" s="45">
        <v>16034.75</v>
      </c>
      <c r="J5343" s="45">
        <v>16034.75</v>
      </c>
      <c r="K5343" s="49" t="s">
        <v>6182</v>
      </c>
      <c r="L5343" s="46"/>
    </row>
    <row r="5344" spans="1:12" ht="25.5" x14ac:dyDescent="0.25">
      <c r="A5344" s="46" t="s">
        <v>11009</v>
      </c>
      <c r="B5344" s="46" t="s">
        <v>38</v>
      </c>
      <c r="C5344" s="46" t="s">
        <v>14</v>
      </c>
      <c r="D5344" s="47">
        <v>12721</v>
      </c>
      <c r="E5344" s="46" t="s">
        <v>11012</v>
      </c>
      <c r="F5344" s="48">
        <v>41302</v>
      </c>
      <c r="G5344" s="48">
        <v>41541</v>
      </c>
      <c r="H5344" s="46" t="s">
        <v>651</v>
      </c>
      <c r="I5344" s="45">
        <v>1367.76</v>
      </c>
      <c r="J5344" s="45">
        <v>1367.76</v>
      </c>
      <c r="K5344" s="49" t="s">
        <v>6182</v>
      </c>
      <c r="L5344" s="46"/>
    </row>
    <row r="5345" spans="1:13" ht="25.5" x14ac:dyDescent="0.25">
      <c r="A5345" s="46" t="s">
        <v>11013</v>
      </c>
      <c r="B5345" s="46" t="s">
        <v>38</v>
      </c>
      <c r="C5345" s="46" t="s">
        <v>14</v>
      </c>
      <c r="D5345" s="47">
        <v>12722</v>
      </c>
      <c r="E5345" s="46" t="s">
        <v>11014</v>
      </c>
      <c r="F5345" s="48">
        <v>41294</v>
      </c>
      <c r="G5345" s="48">
        <v>41541</v>
      </c>
      <c r="H5345" s="46" t="s">
        <v>651</v>
      </c>
      <c r="I5345" s="45">
        <v>841.32</v>
      </c>
      <c r="J5345" s="45">
        <v>841.32</v>
      </c>
      <c r="K5345" s="49" t="s">
        <v>6182</v>
      </c>
      <c r="L5345" s="46"/>
    </row>
    <row r="5346" spans="1:13" ht="25.5" x14ac:dyDescent="0.25">
      <c r="A5346" s="46" t="s">
        <v>6297</v>
      </c>
      <c r="B5346" s="46" t="s">
        <v>38</v>
      </c>
      <c r="C5346" s="46" t="s">
        <v>14</v>
      </c>
      <c r="D5346" s="47">
        <v>12723</v>
      </c>
      <c r="E5346" s="46" t="s">
        <v>11015</v>
      </c>
      <c r="F5346" s="48">
        <v>41294</v>
      </c>
      <c r="G5346" s="48">
        <v>41599</v>
      </c>
      <c r="H5346" s="46" t="s">
        <v>651</v>
      </c>
      <c r="I5346" s="45">
        <v>2256.2199999999998</v>
      </c>
      <c r="J5346" s="45">
        <v>2256.2199999999998</v>
      </c>
      <c r="K5346" s="49" t="s">
        <v>6182</v>
      </c>
      <c r="L5346" s="46"/>
    </row>
    <row r="5347" spans="1:13" ht="25.5" x14ac:dyDescent="0.25">
      <c r="A5347" s="46" t="s">
        <v>11016</v>
      </c>
      <c r="B5347" s="46" t="s">
        <v>38</v>
      </c>
      <c r="C5347" s="46" t="s">
        <v>14</v>
      </c>
      <c r="D5347" s="47">
        <v>12724</v>
      </c>
      <c r="E5347" s="46" t="s">
        <v>11017</v>
      </c>
      <c r="F5347" s="48">
        <v>41294</v>
      </c>
      <c r="G5347" s="48">
        <v>41589</v>
      </c>
      <c r="H5347" s="46" t="s">
        <v>651</v>
      </c>
      <c r="I5347" s="45">
        <v>2500</v>
      </c>
      <c r="J5347" s="45">
        <v>2500</v>
      </c>
      <c r="K5347" s="49" t="s">
        <v>6182</v>
      </c>
      <c r="L5347" s="46"/>
    </row>
    <row r="5348" spans="1:13" ht="25.5" x14ac:dyDescent="0.25">
      <c r="A5348" s="46" t="s">
        <v>7214</v>
      </c>
      <c r="B5348" s="46" t="s">
        <v>38</v>
      </c>
      <c r="C5348" s="46" t="s">
        <v>14</v>
      </c>
      <c r="D5348" s="47">
        <v>12725</v>
      </c>
      <c r="E5348" s="46" t="s">
        <v>11018</v>
      </c>
      <c r="F5348" s="48">
        <v>41302</v>
      </c>
      <c r="G5348" s="48">
        <v>41610</v>
      </c>
      <c r="H5348" s="46" t="s">
        <v>651</v>
      </c>
      <c r="I5348" s="45">
        <v>21838.25</v>
      </c>
      <c r="J5348" s="45">
        <v>21838.25</v>
      </c>
      <c r="K5348" s="49" t="s">
        <v>6182</v>
      </c>
      <c r="L5348" s="46"/>
    </row>
    <row r="5349" spans="1:13" ht="25.5" x14ac:dyDescent="0.25">
      <c r="A5349" s="46" t="s">
        <v>11019</v>
      </c>
      <c r="B5349" s="46" t="s">
        <v>38</v>
      </c>
      <c r="C5349" s="46" t="s">
        <v>14</v>
      </c>
      <c r="D5349" s="47">
        <v>12726</v>
      </c>
      <c r="E5349" s="46" t="s">
        <v>11020</v>
      </c>
      <c r="F5349" s="48">
        <v>41302</v>
      </c>
      <c r="G5349" s="48">
        <v>41618</v>
      </c>
      <c r="H5349" s="46" t="s">
        <v>651</v>
      </c>
      <c r="I5349" s="45">
        <v>1896.53</v>
      </c>
      <c r="J5349" s="45">
        <v>1896.53</v>
      </c>
      <c r="K5349" s="49" t="s">
        <v>6182</v>
      </c>
      <c r="L5349" s="46"/>
    </row>
    <row r="5350" spans="1:13" ht="25.5" x14ac:dyDescent="0.25">
      <c r="A5350" s="46" t="s">
        <v>6751</v>
      </c>
      <c r="B5350" s="46" t="s">
        <v>38</v>
      </c>
      <c r="C5350" s="46" t="s">
        <v>14</v>
      </c>
      <c r="D5350" s="47">
        <v>3159</v>
      </c>
      <c r="E5350" s="46" t="s">
        <v>6752</v>
      </c>
      <c r="F5350" s="48">
        <v>39083</v>
      </c>
      <c r="G5350" s="46"/>
      <c r="H5350" s="46" t="s">
        <v>40</v>
      </c>
      <c r="I5350" s="45">
        <v>1115</v>
      </c>
      <c r="J5350" s="45">
        <v>965</v>
      </c>
      <c r="K5350" s="49" t="s">
        <v>6720</v>
      </c>
      <c r="L5350" s="45"/>
      <c r="M5350" s="3"/>
    </row>
    <row r="5351" spans="1:13" ht="25.5" x14ac:dyDescent="0.25">
      <c r="A5351" s="46" t="s">
        <v>6757</v>
      </c>
      <c r="B5351" s="46" t="s">
        <v>38</v>
      </c>
      <c r="C5351" s="46" t="s">
        <v>14</v>
      </c>
      <c r="D5351" s="47">
        <v>3168</v>
      </c>
      <c r="E5351" s="46" t="s">
        <v>6758</v>
      </c>
      <c r="F5351" s="48">
        <v>39083</v>
      </c>
      <c r="G5351" s="48">
        <v>40178</v>
      </c>
      <c r="H5351" s="46" t="s">
        <v>40</v>
      </c>
      <c r="I5351" s="45">
        <v>400</v>
      </c>
      <c r="J5351" s="45">
        <v>400</v>
      </c>
      <c r="K5351" s="49" t="s">
        <v>6720</v>
      </c>
      <c r="L5351" s="45"/>
      <c r="M5351" s="3"/>
    </row>
    <row r="5352" spans="1:13" ht="25.5" x14ac:dyDescent="0.25">
      <c r="A5352" s="46" t="s">
        <v>6763</v>
      </c>
      <c r="B5352" s="46" t="s">
        <v>38</v>
      </c>
      <c r="C5352" s="46" t="s">
        <v>14</v>
      </c>
      <c r="D5352" s="47">
        <v>3175</v>
      </c>
      <c r="E5352" s="46" t="s">
        <v>6764</v>
      </c>
      <c r="F5352" s="48">
        <v>39083</v>
      </c>
      <c r="G5352" s="46"/>
      <c r="H5352" s="46" t="s">
        <v>40</v>
      </c>
      <c r="I5352" s="45">
        <v>3658.52</v>
      </c>
      <c r="J5352" s="45">
        <v>1888.52</v>
      </c>
      <c r="K5352" s="49" t="s">
        <v>6720</v>
      </c>
      <c r="L5352" s="45"/>
      <c r="M5352" s="3"/>
    </row>
    <row r="5353" spans="1:13" ht="25.5" x14ac:dyDescent="0.25">
      <c r="A5353" s="46" t="s">
        <v>6767</v>
      </c>
      <c r="B5353" s="46" t="s">
        <v>38</v>
      </c>
      <c r="C5353" s="46" t="s">
        <v>14</v>
      </c>
      <c r="D5353" s="47">
        <v>3177</v>
      </c>
      <c r="E5353" s="46" t="s">
        <v>6768</v>
      </c>
      <c r="F5353" s="48">
        <v>39083</v>
      </c>
      <c r="G5353" s="46"/>
      <c r="H5353" s="46" t="s">
        <v>40</v>
      </c>
      <c r="I5353" s="45">
        <v>3228.65</v>
      </c>
      <c r="J5353" s="45">
        <v>1593.65</v>
      </c>
      <c r="K5353" s="49" t="s">
        <v>6720</v>
      </c>
      <c r="L5353" s="45"/>
      <c r="M5353" s="3"/>
    </row>
    <row r="5354" spans="1:13" ht="25.5" x14ac:dyDescent="0.25">
      <c r="A5354" s="46" t="s">
        <v>6771</v>
      </c>
      <c r="B5354" s="46" t="s">
        <v>38</v>
      </c>
      <c r="C5354" s="46" t="s">
        <v>14</v>
      </c>
      <c r="D5354" s="47">
        <v>3182</v>
      </c>
      <c r="E5354" s="46" t="s">
        <v>6772</v>
      </c>
      <c r="F5354" s="48">
        <v>39083</v>
      </c>
      <c r="G5354" s="48">
        <v>39447</v>
      </c>
      <c r="H5354" s="46" t="s">
        <v>40</v>
      </c>
      <c r="I5354" s="45">
        <v>1000</v>
      </c>
      <c r="J5354" s="45">
        <v>800</v>
      </c>
      <c r="K5354" s="49" t="s">
        <v>6720</v>
      </c>
      <c r="L5354" s="45"/>
      <c r="M5354" s="3"/>
    </row>
    <row r="5355" spans="1:13" ht="25.5" x14ac:dyDescent="0.25">
      <c r="A5355" s="46" t="s">
        <v>6779</v>
      </c>
      <c r="B5355" s="46" t="s">
        <v>38</v>
      </c>
      <c r="C5355" s="46" t="s">
        <v>14</v>
      </c>
      <c r="D5355" s="47">
        <v>3193</v>
      </c>
      <c r="E5355" s="46" t="s">
        <v>6780</v>
      </c>
      <c r="F5355" s="48">
        <v>39083</v>
      </c>
      <c r="G5355" s="48">
        <v>39447</v>
      </c>
      <c r="H5355" s="46" t="s">
        <v>40</v>
      </c>
      <c r="I5355" s="45">
        <f>3770+1740</f>
        <v>5510</v>
      </c>
      <c r="J5355" s="45">
        <f>650+1740</f>
        <v>2390</v>
      </c>
      <c r="K5355" s="49" t="s">
        <v>6720</v>
      </c>
      <c r="L5355" s="45"/>
      <c r="M5355" s="3"/>
    </row>
    <row r="5356" spans="1:13" ht="25.5" x14ac:dyDescent="0.25">
      <c r="A5356" s="46" t="s">
        <v>6805</v>
      </c>
      <c r="B5356" s="46" t="s">
        <v>38</v>
      </c>
      <c r="C5356" s="46" t="s">
        <v>14</v>
      </c>
      <c r="D5356" s="47">
        <v>3222</v>
      </c>
      <c r="E5356" s="46" t="s">
        <v>6806</v>
      </c>
      <c r="F5356" s="48">
        <v>39083</v>
      </c>
      <c r="G5356" s="46"/>
      <c r="H5356" s="46" t="s">
        <v>40</v>
      </c>
      <c r="I5356" s="45">
        <f>412705.68+34468.5</f>
        <v>447174.18</v>
      </c>
      <c r="J5356" s="45">
        <f>329681.18+34468.5</f>
        <v>364149.68</v>
      </c>
      <c r="K5356" s="49" t="s">
        <v>6720</v>
      </c>
      <c r="L5356" s="45"/>
      <c r="M5356" s="3"/>
    </row>
    <row r="5357" spans="1:13" ht="25.5" x14ac:dyDescent="0.25">
      <c r="A5357" s="46" t="s">
        <v>6813</v>
      </c>
      <c r="B5357" s="46" t="s">
        <v>38</v>
      </c>
      <c r="C5357" s="46" t="s">
        <v>14</v>
      </c>
      <c r="D5357" s="47">
        <v>3279</v>
      </c>
      <c r="E5357" s="46" t="s">
        <v>6814</v>
      </c>
      <c r="F5357" s="48">
        <v>39083</v>
      </c>
      <c r="G5357" s="46"/>
      <c r="H5357" s="46" t="s">
        <v>40</v>
      </c>
      <c r="I5357" s="45">
        <v>2817.35</v>
      </c>
      <c r="J5357" s="45">
        <v>2817.35</v>
      </c>
      <c r="K5357" s="49" t="s">
        <v>6720</v>
      </c>
      <c r="L5357" s="45"/>
      <c r="M5357" s="3"/>
    </row>
    <row r="5358" spans="1:13" ht="25.5" x14ac:dyDescent="0.25">
      <c r="A5358" s="46" t="s">
        <v>6815</v>
      </c>
      <c r="B5358" s="46" t="s">
        <v>38</v>
      </c>
      <c r="C5358" s="46" t="s">
        <v>14</v>
      </c>
      <c r="D5358" s="47">
        <v>3280</v>
      </c>
      <c r="E5358" s="46" t="s">
        <v>6816</v>
      </c>
      <c r="F5358" s="48">
        <v>39083</v>
      </c>
      <c r="G5358" s="46"/>
      <c r="H5358" s="46" t="s">
        <v>40</v>
      </c>
      <c r="I5358" s="45">
        <f>127308.66+34627.13</f>
        <v>161935.79</v>
      </c>
      <c r="J5358" s="45">
        <f>81221.53+34627.13</f>
        <v>115848.66</v>
      </c>
      <c r="K5358" s="49" t="s">
        <v>6720</v>
      </c>
      <c r="L5358" s="45"/>
      <c r="M5358" s="3"/>
    </row>
    <row r="5359" spans="1:13" ht="38.25" x14ac:dyDescent="0.25">
      <c r="A5359" s="46" t="s">
        <v>6817</v>
      </c>
      <c r="B5359" s="46" t="s">
        <v>38</v>
      </c>
      <c r="C5359" s="46" t="s">
        <v>14</v>
      </c>
      <c r="D5359" s="47">
        <v>3281</v>
      </c>
      <c r="E5359" s="50" t="s">
        <v>6818</v>
      </c>
      <c r="F5359" s="48">
        <v>39083</v>
      </c>
      <c r="G5359" s="46"/>
      <c r="H5359" s="46" t="s">
        <v>40</v>
      </c>
      <c r="I5359" s="45">
        <f>180585.21+9401</f>
        <v>189986.21</v>
      </c>
      <c r="J5359" s="45">
        <f>180585.21+9401</f>
        <v>189986.21</v>
      </c>
      <c r="K5359" s="49" t="s">
        <v>6720</v>
      </c>
      <c r="L5359" s="45"/>
      <c r="M5359" s="3"/>
    </row>
    <row r="5360" spans="1:13" ht="25.5" x14ac:dyDescent="0.25">
      <c r="A5360" s="46" t="s">
        <v>6819</v>
      </c>
      <c r="B5360" s="46" t="s">
        <v>38</v>
      </c>
      <c r="C5360" s="46" t="s">
        <v>14</v>
      </c>
      <c r="D5360" s="47">
        <v>3283</v>
      </c>
      <c r="E5360" s="46" t="s">
        <v>6820</v>
      </c>
      <c r="F5360" s="48">
        <v>39083</v>
      </c>
      <c r="G5360" s="48">
        <v>39813</v>
      </c>
      <c r="H5360" s="46" t="s">
        <v>40</v>
      </c>
      <c r="I5360" s="45">
        <v>22875.59</v>
      </c>
      <c r="J5360" s="45">
        <v>22875.59</v>
      </c>
      <c r="K5360" s="49" t="s">
        <v>6720</v>
      </c>
      <c r="L5360" s="45"/>
      <c r="M5360" s="3"/>
    </row>
    <row r="5361" spans="1:13" ht="25.5" x14ac:dyDescent="0.25">
      <c r="A5361" s="46" t="s">
        <v>6821</v>
      </c>
      <c r="B5361" s="46" t="s">
        <v>38</v>
      </c>
      <c r="C5361" s="46" t="s">
        <v>14</v>
      </c>
      <c r="D5361" s="47">
        <v>3284</v>
      </c>
      <c r="E5361" s="46" t="s">
        <v>6822</v>
      </c>
      <c r="F5361" s="48">
        <v>39083</v>
      </c>
      <c r="G5361" s="48">
        <v>39813</v>
      </c>
      <c r="H5361" s="46" t="s">
        <v>40</v>
      </c>
      <c r="I5361" s="45">
        <v>15400.15</v>
      </c>
      <c r="J5361" s="45">
        <v>11900.15</v>
      </c>
      <c r="K5361" s="49" t="s">
        <v>6720</v>
      </c>
      <c r="L5361" s="45"/>
      <c r="M5361" s="3"/>
    </row>
    <row r="5362" spans="1:13" ht="25.5" x14ac:dyDescent="0.25">
      <c r="A5362" s="46" t="s">
        <v>6823</v>
      </c>
      <c r="B5362" s="46" t="s">
        <v>38</v>
      </c>
      <c r="C5362" s="46" t="s">
        <v>14</v>
      </c>
      <c r="D5362" s="47">
        <v>3286</v>
      </c>
      <c r="E5362" s="46" t="s">
        <v>6824</v>
      </c>
      <c r="F5362" s="48">
        <v>39083</v>
      </c>
      <c r="G5362" s="46"/>
      <c r="H5362" s="46" t="s">
        <v>40</v>
      </c>
      <c r="I5362" s="45">
        <v>5773.65</v>
      </c>
      <c r="J5362" s="45">
        <v>5773.65</v>
      </c>
      <c r="K5362" s="49" t="s">
        <v>6720</v>
      </c>
      <c r="L5362" s="45"/>
      <c r="M5362" s="3"/>
    </row>
    <row r="5363" spans="1:13" ht="25.5" x14ac:dyDescent="0.25">
      <c r="A5363" s="46" t="s">
        <v>6825</v>
      </c>
      <c r="B5363" s="46" t="s">
        <v>38</v>
      </c>
      <c r="C5363" s="46" t="s">
        <v>14</v>
      </c>
      <c r="D5363" s="47">
        <v>3287</v>
      </c>
      <c r="E5363" s="46" t="s">
        <v>6826</v>
      </c>
      <c r="F5363" s="48">
        <v>39814</v>
      </c>
      <c r="G5363" s="46"/>
      <c r="H5363" s="46" t="s">
        <v>40</v>
      </c>
      <c r="I5363" s="45">
        <v>15330</v>
      </c>
      <c r="J5363" s="45">
        <v>15330</v>
      </c>
      <c r="K5363" s="49" t="s">
        <v>6720</v>
      </c>
      <c r="L5363" s="45"/>
      <c r="M5363" s="3"/>
    </row>
    <row r="5364" spans="1:13" ht="25.5" x14ac:dyDescent="0.25">
      <c r="A5364" s="46" t="s">
        <v>6827</v>
      </c>
      <c r="B5364" s="46" t="s">
        <v>38</v>
      </c>
      <c r="C5364" s="46" t="s">
        <v>14</v>
      </c>
      <c r="D5364" s="47">
        <v>3289</v>
      </c>
      <c r="E5364" s="46" t="s">
        <v>6828</v>
      </c>
      <c r="F5364" s="48">
        <v>39083</v>
      </c>
      <c r="G5364" s="46"/>
      <c r="H5364" s="46" t="s">
        <v>40</v>
      </c>
      <c r="I5364" s="45">
        <f>163624.86+7607.77</f>
        <v>171232.62999999998</v>
      </c>
      <c r="J5364" s="45">
        <f>153217.09+7607.77</f>
        <v>160824.85999999999</v>
      </c>
      <c r="K5364" s="49" t="s">
        <v>6720</v>
      </c>
      <c r="L5364" s="45"/>
      <c r="M5364" s="3"/>
    </row>
    <row r="5365" spans="1:13" ht="25.5" x14ac:dyDescent="0.25">
      <c r="A5365" s="46" t="s">
        <v>6829</v>
      </c>
      <c r="B5365" s="46" t="s">
        <v>38</v>
      </c>
      <c r="C5365" s="46" t="s">
        <v>14</v>
      </c>
      <c r="D5365" s="47">
        <v>3290</v>
      </c>
      <c r="E5365" s="46" t="s">
        <v>6830</v>
      </c>
      <c r="F5365" s="48">
        <v>39083</v>
      </c>
      <c r="G5365" s="46"/>
      <c r="H5365" s="46" t="s">
        <v>40</v>
      </c>
      <c r="I5365" s="45">
        <f>224537.54+27395.34</f>
        <v>251932.88</v>
      </c>
      <c r="J5365" s="55">
        <f>197142.2+27395.34</f>
        <v>224537.54</v>
      </c>
      <c r="K5365" s="49" t="s">
        <v>6720</v>
      </c>
      <c r="L5365" s="45"/>
      <c r="M5365" s="3"/>
    </row>
    <row r="5366" spans="1:13" ht="25.5" x14ac:dyDescent="0.25">
      <c r="A5366" s="46" t="s">
        <v>6831</v>
      </c>
      <c r="B5366" s="46" t="s">
        <v>38</v>
      </c>
      <c r="C5366" s="46" t="s">
        <v>14</v>
      </c>
      <c r="D5366" s="47">
        <v>3294</v>
      </c>
      <c r="E5366" s="46" t="s">
        <v>6832</v>
      </c>
      <c r="F5366" s="48">
        <v>39083</v>
      </c>
      <c r="G5366" s="48">
        <v>40908</v>
      </c>
      <c r="H5366" s="46" t="s">
        <v>40</v>
      </c>
      <c r="I5366" s="45">
        <v>6590</v>
      </c>
      <c r="J5366" s="45">
        <v>3890</v>
      </c>
      <c r="K5366" s="49" t="s">
        <v>6720</v>
      </c>
      <c r="L5366" s="45"/>
      <c r="M5366" s="3"/>
    </row>
    <row r="5367" spans="1:13" ht="25.5" x14ac:dyDescent="0.25">
      <c r="A5367" s="46" t="s">
        <v>6833</v>
      </c>
      <c r="B5367" s="46" t="s">
        <v>38</v>
      </c>
      <c r="C5367" s="46" t="s">
        <v>14</v>
      </c>
      <c r="D5367" s="47">
        <v>3299</v>
      </c>
      <c r="E5367" s="46" t="s">
        <v>6834</v>
      </c>
      <c r="F5367" s="48">
        <v>39083</v>
      </c>
      <c r="G5367" s="46"/>
      <c r="H5367" s="46" t="s">
        <v>40</v>
      </c>
      <c r="I5367" s="45">
        <f>44739.28+18071.42</f>
        <v>62810.7</v>
      </c>
      <c r="J5367" s="45">
        <f>35703.57+9035.71</f>
        <v>44739.28</v>
      </c>
      <c r="K5367" s="49" t="s">
        <v>6720</v>
      </c>
      <c r="L5367" s="45"/>
      <c r="M5367" s="3"/>
    </row>
    <row r="5368" spans="1:13" ht="25.5" x14ac:dyDescent="0.25">
      <c r="A5368" s="46" t="s">
        <v>6835</v>
      </c>
      <c r="B5368" s="46" t="s">
        <v>38</v>
      </c>
      <c r="C5368" s="46" t="s">
        <v>14</v>
      </c>
      <c r="D5368" s="47">
        <v>3300</v>
      </c>
      <c r="E5368" s="46" t="s">
        <v>6836</v>
      </c>
      <c r="F5368" s="48">
        <v>39083</v>
      </c>
      <c r="G5368" s="48">
        <v>39447</v>
      </c>
      <c r="H5368" s="46" t="s">
        <v>40</v>
      </c>
      <c r="I5368" s="45">
        <v>11000</v>
      </c>
      <c r="J5368" s="45">
        <v>11000</v>
      </c>
      <c r="K5368" s="49" t="s">
        <v>6720</v>
      </c>
      <c r="L5368" s="45"/>
      <c r="M5368" s="3"/>
    </row>
    <row r="5369" spans="1:13" ht="25.5" x14ac:dyDescent="0.25">
      <c r="A5369" s="46" t="s">
        <v>6837</v>
      </c>
      <c r="B5369" s="46" t="s">
        <v>38</v>
      </c>
      <c r="C5369" s="46" t="s">
        <v>14</v>
      </c>
      <c r="D5369" s="47">
        <v>3301</v>
      </c>
      <c r="E5369" s="46" t="s">
        <v>6838</v>
      </c>
      <c r="F5369" s="48">
        <v>39083</v>
      </c>
      <c r="G5369" s="46"/>
      <c r="H5369" s="46" t="s">
        <v>40</v>
      </c>
      <c r="I5369" s="45">
        <v>40911.17</v>
      </c>
      <c r="J5369" s="45">
        <v>32111.17</v>
      </c>
      <c r="K5369" s="49" t="s">
        <v>6720</v>
      </c>
      <c r="L5369" s="45"/>
      <c r="M5369" s="3"/>
    </row>
    <row r="5370" spans="1:13" ht="25.5" x14ac:dyDescent="0.25">
      <c r="A5370" s="46" t="s">
        <v>6839</v>
      </c>
      <c r="B5370" s="46" t="s">
        <v>38</v>
      </c>
      <c r="C5370" s="46" t="s">
        <v>14</v>
      </c>
      <c r="D5370" s="47">
        <v>3302</v>
      </c>
      <c r="E5370" s="46" t="s">
        <v>6840</v>
      </c>
      <c r="F5370" s="48">
        <v>39083</v>
      </c>
      <c r="G5370" s="46"/>
      <c r="H5370" s="46" t="s">
        <v>40</v>
      </c>
      <c r="I5370" s="45">
        <v>45381.65</v>
      </c>
      <c r="J5370" s="45">
        <v>42381.66</v>
      </c>
      <c r="K5370" s="49" t="s">
        <v>6720</v>
      </c>
      <c r="L5370" s="45"/>
      <c r="M5370" s="3"/>
    </row>
    <row r="5371" spans="1:13" ht="25.5" x14ac:dyDescent="0.25">
      <c r="A5371" s="46" t="s">
        <v>6841</v>
      </c>
      <c r="B5371" s="46" t="s">
        <v>38</v>
      </c>
      <c r="C5371" s="46" t="s">
        <v>14</v>
      </c>
      <c r="D5371" s="47">
        <v>3303</v>
      </c>
      <c r="E5371" s="46" t="s">
        <v>6842</v>
      </c>
      <c r="F5371" s="48">
        <v>39083</v>
      </c>
      <c r="G5371" s="46"/>
      <c r="H5371" s="46" t="s">
        <v>40</v>
      </c>
      <c r="I5371" s="45">
        <v>57964.53</v>
      </c>
      <c r="J5371" s="45">
        <v>55604.53</v>
      </c>
      <c r="K5371" s="49" t="s">
        <v>6720</v>
      </c>
      <c r="L5371" s="45"/>
      <c r="M5371" s="3"/>
    </row>
    <row r="5372" spans="1:13" ht="25.5" x14ac:dyDescent="0.25">
      <c r="A5372" s="46" t="s">
        <v>6843</v>
      </c>
      <c r="B5372" s="46" t="s">
        <v>38</v>
      </c>
      <c r="C5372" s="46" t="s">
        <v>14</v>
      </c>
      <c r="D5372" s="47">
        <v>3304</v>
      </c>
      <c r="E5372" s="46" t="s">
        <v>6844</v>
      </c>
      <c r="F5372" s="48">
        <v>39083</v>
      </c>
      <c r="G5372" s="46"/>
      <c r="H5372" s="46" t="s">
        <v>40</v>
      </c>
      <c r="I5372" s="45">
        <v>5974.15</v>
      </c>
      <c r="J5372" s="45">
        <v>4914.1499999999996</v>
      </c>
      <c r="K5372" s="49" t="s">
        <v>6720</v>
      </c>
      <c r="L5372" s="45"/>
      <c r="M5372" s="3"/>
    </row>
    <row r="5373" spans="1:13" ht="25.5" x14ac:dyDescent="0.25">
      <c r="A5373" s="46" t="s">
        <v>6845</v>
      </c>
      <c r="B5373" s="46" t="s">
        <v>38</v>
      </c>
      <c r="C5373" s="46" t="s">
        <v>14</v>
      </c>
      <c r="D5373" s="47">
        <v>3305</v>
      </c>
      <c r="E5373" s="46" t="s">
        <v>6846</v>
      </c>
      <c r="F5373" s="48">
        <v>39083</v>
      </c>
      <c r="G5373" s="46"/>
      <c r="H5373" s="46" t="s">
        <v>40</v>
      </c>
      <c r="I5373" s="45">
        <f>28852+1145</f>
        <v>29997</v>
      </c>
      <c r="J5373" s="45">
        <f>8217+1145</f>
        <v>9362</v>
      </c>
      <c r="K5373" s="49" t="s">
        <v>6720</v>
      </c>
      <c r="L5373" s="45"/>
      <c r="M5373" s="3"/>
    </row>
    <row r="5374" spans="1:13" ht="25.5" x14ac:dyDescent="0.25">
      <c r="A5374" s="46" t="s">
        <v>6847</v>
      </c>
      <c r="B5374" s="46" t="s">
        <v>38</v>
      </c>
      <c r="C5374" s="46" t="s">
        <v>14</v>
      </c>
      <c r="D5374" s="47">
        <v>3306</v>
      </c>
      <c r="E5374" s="46" t="s">
        <v>6848</v>
      </c>
      <c r="F5374" s="48">
        <v>39083</v>
      </c>
      <c r="G5374" s="46"/>
      <c r="H5374" s="46" t="s">
        <v>40</v>
      </c>
      <c r="I5374" s="45">
        <v>2000</v>
      </c>
      <c r="J5374" s="45">
        <v>430</v>
      </c>
      <c r="K5374" s="49" t="s">
        <v>6720</v>
      </c>
      <c r="L5374" s="45"/>
      <c r="M5374" s="3"/>
    </row>
    <row r="5375" spans="1:13" ht="25.5" x14ac:dyDescent="0.25">
      <c r="A5375" s="46" t="s">
        <v>6849</v>
      </c>
      <c r="B5375" s="46" t="s">
        <v>38</v>
      </c>
      <c r="C5375" s="46" t="s">
        <v>14</v>
      </c>
      <c r="D5375" s="47">
        <v>3307</v>
      </c>
      <c r="E5375" s="46" t="s">
        <v>6850</v>
      </c>
      <c r="F5375" s="48">
        <v>39083</v>
      </c>
      <c r="G5375" s="46"/>
      <c r="H5375" s="46" t="s">
        <v>40</v>
      </c>
      <c r="I5375" s="45">
        <v>3792.5</v>
      </c>
      <c r="J5375" s="45">
        <v>3062.5</v>
      </c>
      <c r="K5375" s="49" t="s">
        <v>6720</v>
      </c>
      <c r="L5375" s="45"/>
      <c r="M5375" s="3"/>
    </row>
    <row r="5376" spans="1:13" ht="25.5" x14ac:dyDescent="0.25">
      <c r="A5376" s="46" t="s">
        <v>6853</v>
      </c>
      <c r="B5376" s="46" t="s">
        <v>38</v>
      </c>
      <c r="C5376" s="46" t="s">
        <v>14</v>
      </c>
      <c r="D5376" s="47">
        <v>3309</v>
      </c>
      <c r="E5376" s="46" t="s">
        <v>6854</v>
      </c>
      <c r="F5376" s="48">
        <v>39448</v>
      </c>
      <c r="G5376" s="46"/>
      <c r="H5376" s="46" t="s">
        <v>40</v>
      </c>
      <c r="I5376" s="45">
        <v>1710</v>
      </c>
      <c r="J5376" s="45">
        <v>1440</v>
      </c>
      <c r="K5376" s="49" t="s">
        <v>6720</v>
      </c>
      <c r="L5376" s="45"/>
      <c r="M5376" s="3"/>
    </row>
    <row r="5377" spans="1:13" ht="25.5" x14ac:dyDescent="0.25">
      <c r="A5377" s="46" t="s">
        <v>6855</v>
      </c>
      <c r="B5377" s="46" t="s">
        <v>38</v>
      </c>
      <c r="C5377" s="46" t="s">
        <v>14</v>
      </c>
      <c r="D5377" s="47">
        <v>3310</v>
      </c>
      <c r="E5377" s="46" t="s">
        <v>6856</v>
      </c>
      <c r="F5377" s="48">
        <v>39448</v>
      </c>
      <c r="G5377" s="46"/>
      <c r="H5377" s="46" t="s">
        <v>40</v>
      </c>
      <c r="I5377" s="45">
        <v>3758</v>
      </c>
      <c r="J5377" s="45">
        <v>2288</v>
      </c>
      <c r="K5377" s="49" t="s">
        <v>6720</v>
      </c>
      <c r="L5377" s="45"/>
      <c r="M5377" s="3"/>
    </row>
    <row r="5378" spans="1:13" ht="25.5" x14ac:dyDescent="0.25">
      <c r="A5378" s="46" t="s">
        <v>6857</v>
      </c>
      <c r="B5378" s="46" t="s">
        <v>38</v>
      </c>
      <c r="C5378" s="46" t="s">
        <v>14</v>
      </c>
      <c r="D5378" s="47">
        <v>3311</v>
      </c>
      <c r="E5378" s="46" t="s">
        <v>6858</v>
      </c>
      <c r="F5378" s="48">
        <v>39448</v>
      </c>
      <c r="G5378" s="48">
        <v>39813</v>
      </c>
      <c r="H5378" s="46" t="s">
        <v>40</v>
      </c>
      <c r="I5378" s="45">
        <v>785</v>
      </c>
      <c r="J5378" s="45">
        <v>515</v>
      </c>
      <c r="K5378" s="49" t="s">
        <v>6720</v>
      </c>
      <c r="L5378" s="45"/>
      <c r="M5378" s="3"/>
    </row>
    <row r="5379" spans="1:13" ht="25.5" x14ac:dyDescent="0.25">
      <c r="A5379" s="46" t="s">
        <v>2372</v>
      </c>
      <c r="B5379" s="46" t="s">
        <v>38</v>
      </c>
      <c r="C5379" s="46" t="s">
        <v>14</v>
      </c>
      <c r="D5379" s="47">
        <v>3312</v>
      </c>
      <c r="E5379" s="46" t="s">
        <v>6859</v>
      </c>
      <c r="F5379" s="48">
        <v>39448</v>
      </c>
      <c r="G5379" s="48">
        <v>39813</v>
      </c>
      <c r="H5379" s="46" t="s">
        <v>40</v>
      </c>
      <c r="I5379" s="45">
        <v>2510</v>
      </c>
      <c r="J5379" s="45">
        <v>2510</v>
      </c>
      <c r="K5379" s="49" t="s">
        <v>6720</v>
      </c>
      <c r="L5379" s="45"/>
      <c r="M5379" s="3"/>
    </row>
    <row r="5380" spans="1:13" ht="25.5" x14ac:dyDescent="0.25">
      <c r="A5380" s="46" t="s">
        <v>6860</v>
      </c>
      <c r="B5380" s="46" t="s">
        <v>38</v>
      </c>
      <c r="C5380" s="46" t="s">
        <v>14</v>
      </c>
      <c r="D5380" s="47">
        <v>3313</v>
      </c>
      <c r="E5380" s="46" t="s">
        <v>6861</v>
      </c>
      <c r="F5380" s="48">
        <v>39448</v>
      </c>
      <c r="G5380" s="48">
        <v>39813</v>
      </c>
      <c r="H5380" s="46" t="s">
        <v>40</v>
      </c>
      <c r="I5380" s="45">
        <v>7200</v>
      </c>
      <c r="J5380" s="45">
        <v>4900</v>
      </c>
      <c r="K5380" s="49" t="s">
        <v>6720</v>
      </c>
      <c r="L5380" s="45"/>
      <c r="M5380" s="3"/>
    </row>
    <row r="5381" spans="1:13" ht="25.5" x14ac:dyDescent="0.25">
      <c r="A5381" s="46" t="s">
        <v>6862</v>
      </c>
      <c r="B5381" s="46" t="s">
        <v>38</v>
      </c>
      <c r="C5381" s="46" t="s">
        <v>14</v>
      </c>
      <c r="D5381" s="47">
        <v>3318</v>
      </c>
      <c r="E5381" s="46" t="s">
        <v>6863</v>
      </c>
      <c r="F5381" s="48">
        <v>39083</v>
      </c>
      <c r="G5381" s="46"/>
      <c r="H5381" s="46" t="s">
        <v>40</v>
      </c>
      <c r="I5381" s="45">
        <v>122291.78</v>
      </c>
      <c r="J5381" s="45">
        <v>119041.78</v>
      </c>
      <c r="K5381" s="49" t="s">
        <v>6720</v>
      </c>
      <c r="L5381" s="45"/>
      <c r="M5381" s="3"/>
    </row>
    <row r="5382" spans="1:13" ht="25.5" x14ac:dyDescent="0.25">
      <c r="A5382" s="46" t="s">
        <v>6864</v>
      </c>
      <c r="B5382" s="46" t="s">
        <v>38</v>
      </c>
      <c r="C5382" s="46" t="s">
        <v>14</v>
      </c>
      <c r="D5382" s="47">
        <v>3333</v>
      </c>
      <c r="E5382" s="46" t="s">
        <v>6865</v>
      </c>
      <c r="F5382" s="48">
        <v>39084</v>
      </c>
      <c r="G5382" s="46"/>
      <c r="H5382" s="46" t="s">
        <v>40</v>
      </c>
      <c r="I5382" s="45">
        <v>238263.54</v>
      </c>
      <c r="J5382" s="45">
        <v>291850.77</v>
      </c>
      <c r="K5382" s="49" t="s">
        <v>6720</v>
      </c>
      <c r="L5382" s="45"/>
      <c r="M5382" s="3"/>
    </row>
    <row r="5383" spans="1:13" ht="25.5" x14ac:dyDescent="0.25">
      <c r="A5383" s="46" t="s">
        <v>6866</v>
      </c>
      <c r="B5383" s="46" t="s">
        <v>38</v>
      </c>
      <c r="C5383" s="46" t="s">
        <v>14</v>
      </c>
      <c r="D5383" s="47">
        <v>5781</v>
      </c>
      <c r="E5383" s="46" t="s">
        <v>6867</v>
      </c>
      <c r="F5383" s="48">
        <v>39814</v>
      </c>
      <c r="G5383" s="46"/>
      <c r="H5383" s="46" t="s">
        <v>40</v>
      </c>
      <c r="I5383" s="45">
        <v>828</v>
      </c>
      <c r="J5383" s="45">
        <v>618</v>
      </c>
      <c r="K5383" s="49" t="s">
        <v>6720</v>
      </c>
      <c r="L5383" s="45"/>
      <c r="M5383" s="3"/>
    </row>
    <row r="5384" spans="1:13" ht="25.5" x14ac:dyDescent="0.25">
      <c r="A5384" s="46" t="s">
        <v>6868</v>
      </c>
      <c r="B5384" s="46" t="s">
        <v>38</v>
      </c>
      <c r="C5384" s="46" t="s">
        <v>14</v>
      </c>
      <c r="D5384" s="47">
        <v>5784</v>
      </c>
      <c r="E5384" s="46" t="s">
        <v>6869</v>
      </c>
      <c r="F5384" s="48">
        <v>39814</v>
      </c>
      <c r="G5384" s="46"/>
      <c r="H5384" s="46" t="s">
        <v>40</v>
      </c>
      <c r="I5384" s="45">
        <f>3174+560</f>
        <v>3734</v>
      </c>
      <c r="J5384" s="45">
        <f>1764+560</f>
        <v>2324</v>
      </c>
      <c r="K5384" s="49" t="s">
        <v>6720</v>
      </c>
      <c r="L5384" s="45"/>
      <c r="M5384" s="3"/>
    </row>
    <row r="5385" spans="1:13" ht="25.5" x14ac:dyDescent="0.25">
      <c r="A5385" s="46" t="s">
        <v>6870</v>
      </c>
      <c r="B5385" s="46" t="s">
        <v>38</v>
      </c>
      <c r="C5385" s="46" t="s">
        <v>14</v>
      </c>
      <c r="D5385" s="47">
        <v>5790</v>
      </c>
      <c r="E5385" s="46" t="s">
        <v>6871</v>
      </c>
      <c r="F5385" s="48">
        <v>39814</v>
      </c>
      <c r="G5385" s="46"/>
      <c r="H5385" s="46" t="s">
        <v>40</v>
      </c>
      <c r="I5385" s="45">
        <f>1476+240</f>
        <v>1716</v>
      </c>
      <c r="J5385" s="45">
        <f>846+240</f>
        <v>1086</v>
      </c>
      <c r="K5385" s="49" t="s">
        <v>6720</v>
      </c>
      <c r="L5385" s="45"/>
      <c r="M5385" s="3"/>
    </row>
    <row r="5386" spans="1:13" ht="25.5" x14ac:dyDescent="0.25">
      <c r="A5386" s="46" t="s">
        <v>6872</v>
      </c>
      <c r="B5386" s="46" t="s">
        <v>38</v>
      </c>
      <c r="C5386" s="46" t="s">
        <v>14</v>
      </c>
      <c r="D5386" s="47">
        <v>5792</v>
      </c>
      <c r="E5386" s="46" t="s">
        <v>6873</v>
      </c>
      <c r="F5386" s="48">
        <v>39814</v>
      </c>
      <c r="G5386" s="46"/>
      <c r="H5386" s="46" t="s">
        <v>40</v>
      </c>
      <c r="I5386" s="45">
        <f>5059+650</f>
        <v>5709</v>
      </c>
      <c r="J5386" s="45">
        <f>2339+650</f>
        <v>2989</v>
      </c>
      <c r="K5386" s="49" t="s">
        <v>6720</v>
      </c>
      <c r="L5386" s="45"/>
      <c r="M5386" s="3"/>
    </row>
    <row r="5387" spans="1:13" ht="25.5" x14ac:dyDescent="0.25">
      <c r="A5387" s="46" t="s">
        <v>6874</v>
      </c>
      <c r="B5387" s="46" t="s">
        <v>38</v>
      </c>
      <c r="C5387" s="46" t="s">
        <v>14</v>
      </c>
      <c r="D5387" s="47">
        <v>5793</v>
      </c>
      <c r="E5387" s="46" t="s">
        <v>6875</v>
      </c>
      <c r="F5387" s="48">
        <v>39814</v>
      </c>
      <c r="G5387" s="46"/>
      <c r="H5387" s="46" t="s">
        <v>40</v>
      </c>
      <c r="I5387" s="45">
        <v>1196</v>
      </c>
      <c r="J5387" s="45">
        <v>746</v>
      </c>
      <c r="K5387" s="49" t="s">
        <v>6720</v>
      </c>
      <c r="L5387" s="45"/>
      <c r="M5387" s="3"/>
    </row>
    <row r="5388" spans="1:13" ht="25.5" x14ac:dyDescent="0.25">
      <c r="A5388" s="46" t="s">
        <v>6876</v>
      </c>
      <c r="B5388" s="46" t="s">
        <v>38</v>
      </c>
      <c r="C5388" s="46" t="s">
        <v>14</v>
      </c>
      <c r="D5388" s="47">
        <v>5830</v>
      </c>
      <c r="E5388" s="46" t="s">
        <v>6877</v>
      </c>
      <c r="F5388" s="48">
        <v>39814</v>
      </c>
      <c r="G5388" s="46"/>
      <c r="H5388" s="46" t="s">
        <v>40</v>
      </c>
      <c r="I5388" s="45">
        <v>600</v>
      </c>
      <c r="J5388" s="45">
        <v>420</v>
      </c>
      <c r="K5388" s="49" t="s">
        <v>6720</v>
      </c>
      <c r="L5388" s="45"/>
      <c r="M5388" s="3"/>
    </row>
    <row r="5389" spans="1:13" ht="25.5" x14ac:dyDescent="0.25">
      <c r="A5389" s="46" t="s">
        <v>6878</v>
      </c>
      <c r="B5389" s="46" t="s">
        <v>38</v>
      </c>
      <c r="C5389" s="46" t="s">
        <v>14</v>
      </c>
      <c r="D5389" s="47">
        <v>5831</v>
      </c>
      <c r="E5389" s="46" t="s">
        <v>6879</v>
      </c>
      <c r="F5389" s="48">
        <v>39814</v>
      </c>
      <c r="G5389" s="46"/>
      <c r="H5389" s="46" t="s">
        <v>40</v>
      </c>
      <c r="I5389" s="45">
        <v>4043</v>
      </c>
      <c r="J5389" s="45">
        <v>1533</v>
      </c>
      <c r="K5389" s="49" t="s">
        <v>6720</v>
      </c>
      <c r="L5389" s="45"/>
      <c r="M5389" s="3"/>
    </row>
    <row r="5390" spans="1:13" ht="25.5" x14ac:dyDescent="0.25">
      <c r="A5390" s="46" t="s">
        <v>6880</v>
      </c>
      <c r="B5390" s="46" t="s">
        <v>38</v>
      </c>
      <c r="C5390" s="46" t="s">
        <v>14</v>
      </c>
      <c r="D5390" s="47">
        <v>5832</v>
      </c>
      <c r="E5390" s="46" t="s">
        <v>6881</v>
      </c>
      <c r="F5390" s="48">
        <v>39814</v>
      </c>
      <c r="G5390" s="46"/>
      <c r="H5390" s="46" t="s">
        <v>40</v>
      </c>
      <c r="I5390" s="45">
        <v>720</v>
      </c>
      <c r="J5390" s="45">
        <v>520</v>
      </c>
      <c r="K5390" s="49" t="s">
        <v>6720</v>
      </c>
      <c r="L5390" s="45"/>
      <c r="M5390" s="3"/>
    </row>
    <row r="5391" spans="1:13" ht="25.5" x14ac:dyDescent="0.25">
      <c r="A5391" s="46" t="s">
        <v>6882</v>
      </c>
      <c r="B5391" s="46" t="s">
        <v>38</v>
      </c>
      <c r="C5391" s="46" t="s">
        <v>14</v>
      </c>
      <c r="D5391" s="47">
        <v>5833</v>
      </c>
      <c r="E5391" s="46" t="s">
        <v>6883</v>
      </c>
      <c r="F5391" s="48">
        <v>39814</v>
      </c>
      <c r="G5391" s="46"/>
      <c r="H5391" s="46" t="s">
        <v>40</v>
      </c>
      <c r="I5391" s="45">
        <v>9200</v>
      </c>
      <c r="J5391" s="45">
        <v>9200</v>
      </c>
      <c r="K5391" s="49" t="s">
        <v>6720</v>
      </c>
      <c r="L5391" s="45"/>
      <c r="M5391" s="3"/>
    </row>
    <row r="5392" spans="1:13" ht="38.25" x14ac:dyDescent="0.25">
      <c r="A5392" s="46" t="s">
        <v>6884</v>
      </c>
      <c r="B5392" s="46" t="s">
        <v>38</v>
      </c>
      <c r="C5392" s="46" t="s">
        <v>14</v>
      </c>
      <c r="D5392" s="47">
        <v>5834</v>
      </c>
      <c r="E5392" s="46" t="s">
        <v>6885</v>
      </c>
      <c r="F5392" s="48">
        <v>39814</v>
      </c>
      <c r="G5392" s="46"/>
      <c r="H5392" s="46" t="s">
        <v>40</v>
      </c>
      <c r="I5392" s="45">
        <v>1500</v>
      </c>
      <c r="J5392" s="45">
        <v>1500</v>
      </c>
      <c r="K5392" s="49" t="s">
        <v>6720</v>
      </c>
      <c r="L5392" s="45"/>
      <c r="M5392" s="3"/>
    </row>
    <row r="5393" spans="1:13" ht="25.5" x14ac:dyDescent="0.25">
      <c r="A5393" s="46" t="s">
        <v>6886</v>
      </c>
      <c r="B5393" s="46" t="s">
        <v>38</v>
      </c>
      <c r="C5393" s="46" t="s">
        <v>14</v>
      </c>
      <c r="D5393" s="47">
        <v>5835</v>
      </c>
      <c r="E5393" s="46" t="s">
        <v>6887</v>
      </c>
      <c r="F5393" s="48">
        <v>39814</v>
      </c>
      <c r="G5393" s="46"/>
      <c r="H5393" s="46" t="s">
        <v>40</v>
      </c>
      <c r="I5393" s="45">
        <v>5995.2</v>
      </c>
      <c r="J5393" s="45">
        <v>5995.2</v>
      </c>
      <c r="K5393" s="49" t="s">
        <v>6720</v>
      </c>
      <c r="L5393" s="45"/>
      <c r="M5393" s="3"/>
    </row>
    <row r="5394" spans="1:13" ht="25.5" x14ac:dyDescent="0.25">
      <c r="A5394" s="46" t="s">
        <v>6888</v>
      </c>
      <c r="B5394" s="46" t="s">
        <v>38</v>
      </c>
      <c r="C5394" s="46" t="s">
        <v>14</v>
      </c>
      <c r="D5394" s="47">
        <v>5836</v>
      </c>
      <c r="E5394" s="46" t="s">
        <v>6889</v>
      </c>
      <c r="F5394" s="48">
        <v>39814</v>
      </c>
      <c r="G5394" s="46"/>
      <c r="H5394" s="46" t="s">
        <v>40</v>
      </c>
      <c r="I5394" s="45">
        <v>15700.41</v>
      </c>
      <c r="J5394" s="45">
        <v>15700.41</v>
      </c>
      <c r="K5394" s="49" t="s">
        <v>6720</v>
      </c>
      <c r="L5394" s="45"/>
      <c r="M5394" s="3"/>
    </row>
    <row r="5395" spans="1:13" ht="25.5" x14ac:dyDescent="0.25">
      <c r="A5395" s="46" t="s">
        <v>6890</v>
      </c>
      <c r="B5395" s="46" t="s">
        <v>38</v>
      </c>
      <c r="C5395" s="46" t="s">
        <v>14</v>
      </c>
      <c r="D5395" s="47">
        <v>5837</v>
      </c>
      <c r="E5395" s="46" t="s">
        <v>6891</v>
      </c>
      <c r="F5395" s="48">
        <v>39814</v>
      </c>
      <c r="G5395" s="46"/>
      <c r="H5395" s="46" t="s">
        <v>40</v>
      </c>
      <c r="I5395" s="45">
        <v>460</v>
      </c>
      <c r="J5395" s="45">
        <v>350</v>
      </c>
      <c r="K5395" s="49" t="s">
        <v>6720</v>
      </c>
      <c r="L5395" s="45"/>
      <c r="M5395" s="3"/>
    </row>
    <row r="5396" spans="1:13" ht="25.5" x14ac:dyDescent="0.25">
      <c r="A5396" s="46" t="s">
        <v>6892</v>
      </c>
      <c r="B5396" s="46" t="s">
        <v>38</v>
      </c>
      <c r="C5396" s="46" t="s">
        <v>14</v>
      </c>
      <c r="D5396" s="47">
        <v>5838</v>
      </c>
      <c r="E5396" s="46" t="s">
        <v>6893</v>
      </c>
      <c r="F5396" s="48">
        <v>39814</v>
      </c>
      <c r="G5396" s="46"/>
      <c r="H5396" s="46" t="s">
        <v>40</v>
      </c>
      <c r="I5396" s="45">
        <f>19941.11+3769.28</f>
        <v>23710.39</v>
      </c>
      <c r="J5396" s="45">
        <f>11672.95+3769.28</f>
        <v>15442.230000000001</v>
      </c>
      <c r="K5396" s="49" t="s">
        <v>6720</v>
      </c>
      <c r="L5396" s="45"/>
      <c r="M5396" s="3"/>
    </row>
    <row r="5397" spans="1:13" ht="25.5" x14ac:dyDescent="0.25">
      <c r="A5397" s="46" t="s">
        <v>6894</v>
      </c>
      <c r="B5397" s="46" t="s">
        <v>38</v>
      </c>
      <c r="C5397" s="46" t="s">
        <v>14</v>
      </c>
      <c r="D5397" s="47">
        <v>5839</v>
      </c>
      <c r="E5397" s="46" t="s">
        <v>6895</v>
      </c>
      <c r="F5397" s="48">
        <v>39814</v>
      </c>
      <c r="G5397" s="46"/>
      <c r="H5397" s="46" t="s">
        <v>40</v>
      </c>
      <c r="I5397" s="45">
        <v>14260</v>
      </c>
      <c r="J5397" s="45">
        <v>14260</v>
      </c>
      <c r="K5397" s="49" t="s">
        <v>6720</v>
      </c>
      <c r="L5397" s="45"/>
      <c r="M5397" s="3"/>
    </row>
    <row r="5398" spans="1:13" ht="25.5" x14ac:dyDescent="0.25">
      <c r="A5398" s="46" t="s">
        <v>6896</v>
      </c>
      <c r="B5398" s="46" t="s">
        <v>38</v>
      </c>
      <c r="C5398" s="46" t="s">
        <v>14</v>
      </c>
      <c r="D5398" s="47">
        <v>5841</v>
      </c>
      <c r="E5398" s="46" t="s">
        <v>6897</v>
      </c>
      <c r="F5398" s="48">
        <v>39814</v>
      </c>
      <c r="G5398" s="46"/>
      <c r="H5398" s="46" t="s">
        <v>40</v>
      </c>
      <c r="I5398" s="45">
        <v>5091</v>
      </c>
      <c r="J5398" s="45">
        <v>4291</v>
      </c>
      <c r="K5398" s="49" t="s">
        <v>6720</v>
      </c>
      <c r="L5398" s="45"/>
      <c r="M5398" s="3"/>
    </row>
    <row r="5399" spans="1:13" ht="25.5" x14ac:dyDescent="0.25">
      <c r="A5399" s="46" t="s">
        <v>6898</v>
      </c>
      <c r="B5399" s="46" t="s">
        <v>38</v>
      </c>
      <c r="C5399" s="46" t="s">
        <v>14</v>
      </c>
      <c r="D5399" s="47">
        <v>5842</v>
      </c>
      <c r="E5399" s="46" t="s">
        <v>6899</v>
      </c>
      <c r="F5399" s="48">
        <v>39814</v>
      </c>
      <c r="G5399" s="46"/>
      <c r="H5399" s="46" t="s">
        <v>40</v>
      </c>
      <c r="I5399" s="45">
        <v>1860</v>
      </c>
      <c r="J5399" s="45">
        <v>1260</v>
      </c>
      <c r="K5399" s="49" t="s">
        <v>6720</v>
      </c>
      <c r="L5399" s="45"/>
      <c r="M5399" s="3"/>
    </row>
    <row r="5400" spans="1:13" ht="25.5" x14ac:dyDescent="0.25">
      <c r="A5400" s="46" t="s">
        <v>6900</v>
      </c>
      <c r="B5400" s="46" t="s">
        <v>38</v>
      </c>
      <c r="C5400" s="46" t="s">
        <v>14</v>
      </c>
      <c r="D5400" s="47">
        <v>5843</v>
      </c>
      <c r="E5400" s="46" t="s">
        <v>6901</v>
      </c>
      <c r="F5400" s="48">
        <v>39814</v>
      </c>
      <c r="G5400" s="46"/>
      <c r="H5400" s="46" t="s">
        <v>40</v>
      </c>
      <c r="I5400" s="45">
        <v>819</v>
      </c>
      <c r="J5400" s="45">
        <v>639</v>
      </c>
      <c r="K5400" s="49" t="s">
        <v>6720</v>
      </c>
      <c r="L5400" s="45"/>
      <c r="M5400" s="3"/>
    </row>
    <row r="5401" spans="1:13" ht="25.5" x14ac:dyDescent="0.25">
      <c r="A5401" s="46" t="s">
        <v>6902</v>
      </c>
      <c r="B5401" s="46" t="s">
        <v>38</v>
      </c>
      <c r="C5401" s="46" t="s">
        <v>14</v>
      </c>
      <c r="D5401" s="47">
        <v>5844</v>
      </c>
      <c r="E5401" s="46" t="s">
        <v>6903</v>
      </c>
      <c r="F5401" s="48">
        <v>39814</v>
      </c>
      <c r="G5401" s="46"/>
      <c r="H5401" s="46" t="s">
        <v>40</v>
      </c>
      <c r="I5401" s="45">
        <v>782</v>
      </c>
      <c r="J5401" s="45">
        <v>452</v>
      </c>
      <c r="K5401" s="49" t="s">
        <v>6720</v>
      </c>
      <c r="L5401" s="45"/>
      <c r="M5401" s="3"/>
    </row>
    <row r="5402" spans="1:13" ht="25.5" x14ac:dyDescent="0.25">
      <c r="A5402" s="46" t="s">
        <v>6904</v>
      </c>
      <c r="B5402" s="46" t="s">
        <v>38</v>
      </c>
      <c r="C5402" s="46" t="s">
        <v>14</v>
      </c>
      <c r="D5402" s="47">
        <v>5845</v>
      </c>
      <c r="E5402" s="46" t="s">
        <v>6905</v>
      </c>
      <c r="F5402" s="48">
        <v>39814</v>
      </c>
      <c r="G5402" s="46"/>
      <c r="H5402" s="46" t="s">
        <v>40</v>
      </c>
      <c r="I5402" s="45">
        <v>651.87</v>
      </c>
      <c r="J5402" s="45">
        <v>651.87</v>
      </c>
      <c r="K5402" s="49" t="s">
        <v>6720</v>
      </c>
      <c r="L5402" s="45"/>
      <c r="M5402" s="3"/>
    </row>
    <row r="5403" spans="1:13" ht="25.5" x14ac:dyDescent="0.25">
      <c r="A5403" s="46" t="s">
        <v>6916</v>
      </c>
      <c r="B5403" s="46" t="s">
        <v>38</v>
      </c>
      <c r="C5403" s="46" t="s">
        <v>14</v>
      </c>
      <c r="D5403" s="47">
        <v>5855</v>
      </c>
      <c r="E5403" s="46" t="s">
        <v>6917</v>
      </c>
      <c r="F5403" s="48">
        <v>39814</v>
      </c>
      <c r="G5403" s="46"/>
      <c r="H5403" s="46" t="s">
        <v>40</v>
      </c>
      <c r="I5403" s="45">
        <v>9572.5</v>
      </c>
      <c r="J5403" s="45">
        <v>5988.5</v>
      </c>
      <c r="K5403" s="49" t="s">
        <v>6720</v>
      </c>
      <c r="L5403" s="45"/>
      <c r="M5403" s="3"/>
    </row>
    <row r="5404" spans="1:13" ht="25.5" x14ac:dyDescent="0.25">
      <c r="A5404" s="46" t="s">
        <v>6920</v>
      </c>
      <c r="B5404" s="46" t="s">
        <v>38</v>
      </c>
      <c r="C5404" s="46" t="s">
        <v>14</v>
      </c>
      <c r="D5404" s="47">
        <v>5909</v>
      </c>
      <c r="E5404" s="46" t="s">
        <v>6921</v>
      </c>
      <c r="F5404" s="48">
        <v>39989</v>
      </c>
      <c r="G5404" s="48">
        <v>40057</v>
      </c>
      <c r="H5404" s="46" t="s">
        <v>40</v>
      </c>
      <c r="I5404" s="45">
        <v>7500</v>
      </c>
      <c r="J5404" s="45">
        <v>3750</v>
      </c>
      <c r="K5404" s="49" t="s">
        <v>6720</v>
      </c>
      <c r="L5404" s="45"/>
      <c r="M5404" s="3"/>
    </row>
    <row r="5405" spans="1:13" ht="25.5" x14ac:dyDescent="0.25">
      <c r="A5405" s="46" t="s">
        <v>6922</v>
      </c>
      <c r="B5405" s="46" t="s">
        <v>38</v>
      </c>
      <c r="C5405" s="46" t="s">
        <v>14</v>
      </c>
      <c r="D5405" s="47">
        <v>5910</v>
      </c>
      <c r="E5405" s="46" t="s">
        <v>6923</v>
      </c>
      <c r="F5405" s="48">
        <v>40063</v>
      </c>
      <c r="G5405" s="48">
        <v>40543</v>
      </c>
      <c r="H5405" s="46" t="s">
        <v>40</v>
      </c>
      <c r="I5405" s="45">
        <v>5000</v>
      </c>
      <c r="J5405" s="45">
        <v>5000</v>
      </c>
      <c r="K5405" s="49" t="s">
        <v>6720</v>
      </c>
      <c r="L5405" s="45"/>
      <c r="M5405" s="3"/>
    </row>
    <row r="5406" spans="1:13" ht="25.5" x14ac:dyDescent="0.25">
      <c r="A5406" s="46" t="s">
        <v>6993</v>
      </c>
      <c r="B5406" s="46" t="s">
        <v>38</v>
      </c>
      <c r="C5406" s="46" t="s">
        <v>14</v>
      </c>
      <c r="D5406" s="47">
        <v>7473</v>
      </c>
      <c r="E5406" s="46" t="s">
        <v>6994</v>
      </c>
      <c r="F5406" s="48">
        <v>40179</v>
      </c>
      <c r="G5406" s="48">
        <v>40543</v>
      </c>
      <c r="H5406" s="46" t="s">
        <v>40</v>
      </c>
      <c r="I5406" s="45">
        <v>2594</v>
      </c>
      <c r="J5406" s="45">
        <v>1534</v>
      </c>
      <c r="K5406" s="49" t="s">
        <v>6720</v>
      </c>
      <c r="L5406" s="45"/>
      <c r="M5406" s="3"/>
    </row>
    <row r="5407" spans="1:13" ht="25.5" x14ac:dyDescent="0.25">
      <c r="A5407" s="46" t="s">
        <v>6995</v>
      </c>
      <c r="B5407" s="46" t="s">
        <v>38</v>
      </c>
      <c r="C5407" s="46" t="s">
        <v>14</v>
      </c>
      <c r="D5407" s="47">
        <v>7474</v>
      </c>
      <c r="E5407" s="46" t="s">
        <v>6996</v>
      </c>
      <c r="F5407" s="48">
        <v>40179</v>
      </c>
      <c r="G5407" s="48">
        <v>40543</v>
      </c>
      <c r="H5407" s="46" t="s">
        <v>40</v>
      </c>
      <c r="I5407" s="45">
        <v>1600</v>
      </c>
      <c r="J5407" s="45">
        <v>1600</v>
      </c>
      <c r="K5407" s="49" t="s">
        <v>6720</v>
      </c>
      <c r="L5407" s="45"/>
      <c r="M5407" s="3"/>
    </row>
    <row r="5408" spans="1:13" ht="25.5" x14ac:dyDescent="0.25">
      <c r="A5408" s="46" t="s">
        <v>6997</v>
      </c>
      <c r="B5408" s="46" t="s">
        <v>38</v>
      </c>
      <c r="C5408" s="46" t="s">
        <v>14</v>
      </c>
      <c r="D5408" s="47">
        <v>7475</v>
      </c>
      <c r="E5408" s="46" t="s">
        <v>6998</v>
      </c>
      <c r="F5408" s="48">
        <v>40179</v>
      </c>
      <c r="G5408" s="48">
        <v>40543</v>
      </c>
      <c r="H5408" s="46" t="s">
        <v>40</v>
      </c>
      <c r="I5408" s="45">
        <v>1375</v>
      </c>
      <c r="J5408" s="45">
        <v>715</v>
      </c>
      <c r="K5408" s="49" t="s">
        <v>6720</v>
      </c>
      <c r="L5408" s="45"/>
      <c r="M5408" s="3"/>
    </row>
    <row r="5409" spans="1:13" ht="25.5" x14ac:dyDescent="0.25">
      <c r="A5409" s="46" t="s">
        <v>6999</v>
      </c>
      <c r="B5409" s="46" t="s">
        <v>38</v>
      </c>
      <c r="C5409" s="46" t="s">
        <v>14</v>
      </c>
      <c r="D5409" s="47">
        <v>7476</v>
      </c>
      <c r="E5409" s="46" t="s">
        <v>7000</v>
      </c>
      <c r="F5409" s="48">
        <v>40179</v>
      </c>
      <c r="G5409" s="48">
        <v>40543</v>
      </c>
      <c r="H5409" s="46" t="s">
        <v>40</v>
      </c>
      <c r="I5409" s="45">
        <v>950</v>
      </c>
      <c r="J5409" s="45">
        <v>340</v>
      </c>
      <c r="K5409" s="49" t="s">
        <v>6720</v>
      </c>
      <c r="L5409" s="45"/>
      <c r="M5409" s="3"/>
    </row>
    <row r="5410" spans="1:13" ht="25.5" x14ac:dyDescent="0.25">
      <c r="A5410" s="46" t="s">
        <v>7054</v>
      </c>
      <c r="B5410" s="46" t="s">
        <v>38</v>
      </c>
      <c r="C5410" s="46" t="s">
        <v>14</v>
      </c>
      <c r="D5410" s="47">
        <v>8988</v>
      </c>
      <c r="E5410" s="46" t="s">
        <v>7055</v>
      </c>
      <c r="F5410" s="48">
        <v>40544</v>
      </c>
      <c r="G5410" s="46"/>
      <c r="H5410" s="46" t="s">
        <v>40</v>
      </c>
      <c r="I5410" s="45">
        <v>7297.45</v>
      </c>
      <c r="J5410" s="45">
        <v>1432.45</v>
      </c>
      <c r="K5410" s="49" t="s">
        <v>6720</v>
      </c>
      <c r="L5410" s="45"/>
      <c r="M5410" s="3"/>
    </row>
    <row r="5411" spans="1:13" ht="25.5" x14ac:dyDescent="0.25">
      <c r="A5411" s="46" t="s">
        <v>7056</v>
      </c>
      <c r="B5411" s="46" t="s">
        <v>38</v>
      </c>
      <c r="C5411" s="46" t="s">
        <v>14</v>
      </c>
      <c r="D5411" s="47">
        <v>8993</v>
      </c>
      <c r="E5411" s="46" t="s">
        <v>7057</v>
      </c>
      <c r="F5411" s="48">
        <v>40544</v>
      </c>
      <c r="G5411" s="46"/>
      <c r="H5411" s="46" t="s">
        <v>40</v>
      </c>
      <c r="I5411" s="45">
        <v>650</v>
      </c>
      <c r="J5411" s="45">
        <v>300</v>
      </c>
      <c r="K5411" s="49" t="s">
        <v>6720</v>
      </c>
      <c r="L5411" s="45"/>
      <c r="M5411" s="3"/>
    </row>
    <row r="5412" spans="1:13" ht="25.5" x14ac:dyDescent="0.25">
      <c r="A5412" s="46" t="s">
        <v>7058</v>
      </c>
      <c r="B5412" s="46" t="s">
        <v>38</v>
      </c>
      <c r="C5412" s="46" t="s">
        <v>14</v>
      </c>
      <c r="D5412" s="47">
        <v>8996</v>
      </c>
      <c r="E5412" s="46" t="s">
        <v>7059</v>
      </c>
      <c r="F5412" s="48">
        <v>40544</v>
      </c>
      <c r="G5412" s="46"/>
      <c r="H5412" s="46" t="s">
        <v>40</v>
      </c>
      <c r="I5412" s="45">
        <v>1663.8</v>
      </c>
      <c r="J5412" s="45">
        <v>1463.8</v>
      </c>
      <c r="K5412" s="49" t="s">
        <v>6720</v>
      </c>
      <c r="L5412" s="45"/>
      <c r="M5412" s="3"/>
    </row>
    <row r="5413" spans="1:13" ht="25.5" x14ac:dyDescent="0.25">
      <c r="A5413" s="46" t="s">
        <v>7060</v>
      </c>
      <c r="B5413" s="46" t="s">
        <v>38</v>
      </c>
      <c r="C5413" s="46" t="s">
        <v>14</v>
      </c>
      <c r="D5413" s="47">
        <v>8998</v>
      </c>
      <c r="E5413" s="46" t="s">
        <v>7061</v>
      </c>
      <c r="F5413" s="48">
        <v>40544</v>
      </c>
      <c r="G5413" s="46"/>
      <c r="H5413" s="46" t="s">
        <v>40</v>
      </c>
      <c r="I5413" s="45">
        <f>88850+35100</f>
        <v>123950</v>
      </c>
      <c r="J5413" s="45">
        <f>53750+35100</f>
        <v>88850</v>
      </c>
      <c r="K5413" s="49" t="s">
        <v>6720</v>
      </c>
      <c r="L5413" s="45"/>
      <c r="M5413" s="3"/>
    </row>
    <row r="5414" spans="1:13" ht="25.5" x14ac:dyDescent="0.25">
      <c r="A5414" s="46" t="s">
        <v>7062</v>
      </c>
      <c r="B5414" s="46" t="s">
        <v>38</v>
      </c>
      <c r="C5414" s="46" t="s">
        <v>14</v>
      </c>
      <c r="D5414" s="47">
        <v>9001</v>
      </c>
      <c r="E5414" s="46" t="s">
        <v>7063</v>
      </c>
      <c r="F5414" s="48">
        <v>40544</v>
      </c>
      <c r="G5414" s="46"/>
      <c r="H5414" s="46" t="s">
        <v>40</v>
      </c>
      <c r="I5414" s="45">
        <v>698</v>
      </c>
      <c r="J5414" s="45">
        <v>398</v>
      </c>
      <c r="K5414" s="49" t="s">
        <v>6720</v>
      </c>
      <c r="L5414" s="45"/>
      <c r="M5414" s="3"/>
    </row>
    <row r="5415" spans="1:13" ht="25.5" x14ac:dyDescent="0.25">
      <c r="A5415" s="46" t="s">
        <v>7066</v>
      </c>
      <c r="B5415" s="46" t="s">
        <v>38</v>
      </c>
      <c r="C5415" s="46" t="s">
        <v>14</v>
      </c>
      <c r="D5415" s="47">
        <v>9180</v>
      </c>
      <c r="E5415" s="46" t="s">
        <v>7067</v>
      </c>
      <c r="F5415" s="48">
        <v>40544</v>
      </c>
      <c r="G5415" s="46"/>
      <c r="H5415" s="46" t="s">
        <v>40</v>
      </c>
      <c r="I5415" s="45">
        <f>70185.26+29912.64</f>
        <v>100097.9</v>
      </c>
      <c r="J5415" s="45">
        <f>20136.31+14956.32</f>
        <v>35092.630000000005</v>
      </c>
      <c r="K5415" s="49" t="s">
        <v>6720</v>
      </c>
      <c r="L5415" s="45"/>
      <c r="M5415" s="3"/>
    </row>
    <row r="5416" spans="1:13" ht="25.5" x14ac:dyDescent="0.25">
      <c r="A5416" s="46" t="s">
        <v>7089</v>
      </c>
      <c r="B5416" s="46" t="s">
        <v>38</v>
      </c>
      <c r="C5416" s="46" t="s">
        <v>14</v>
      </c>
      <c r="D5416" s="47">
        <v>10899</v>
      </c>
      <c r="E5416" s="46" t="s">
        <v>7090</v>
      </c>
      <c r="F5416" s="48">
        <v>40909</v>
      </c>
      <c r="G5416" s="46"/>
      <c r="H5416" s="46" t="s">
        <v>40</v>
      </c>
      <c r="I5416" s="45">
        <f>13435.63+10597.663</f>
        <v>24033.292999999998</v>
      </c>
      <c r="J5416" s="45">
        <f>738+10597.63</f>
        <v>11335.63</v>
      </c>
      <c r="K5416" s="49" t="s">
        <v>6720</v>
      </c>
      <c r="L5416" s="45"/>
      <c r="M5416" s="3"/>
    </row>
    <row r="5417" spans="1:13" ht="25.5" x14ac:dyDescent="0.25">
      <c r="A5417" s="46" t="s">
        <v>7091</v>
      </c>
      <c r="B5417" s="46" t="s">
        <v>38</v>
      </c>
      <c r="C5417" s="46" t="s">
        <v>14</v>
      </c>
      <c r="D5417" s="47">
        <v>10900</v>
      </c>
      <c r="E5417" s="46" t="s">
        <v>7092</v>
      </c>
      <c r="F5417" s="48">
        <v>40909</v>
      </c>
      <c r="G5417" s="46"/>
      <c r="H5417" s="46" t="s">
        <v>40</v>
      </c>
      <c r="I5417" s="45">
        <f>2888+260</f>
        <v>3148</v>
      </c>
      <c r="J5417" s="45">
        <f>798+260</f>
        <v>1058</v>
      </c>
      <c r="K5417" s="49" t="s">
        <v>6720</v>
      </c>
      <c r="L5417" s="45"/>
      <c r="M5417" s="3"/>
    </row>
    <row r="5418" spans="1:13" ht="25.5" x14ac:dyDescent="0.25">
      <c r="A5418" s="46" t="s">
        <v>7093</v>
      </c>
      <c r="B5418" s="46" t="s">
        <v>38</v>
      </c>
      <c r="C5418" s="46" t="s">
        <v>14</v>
      </c>
      <c r="D5418" s="47">
        <v>10901</v>
      </c>
      <c r="E5418" s="46" t="s">
        <v>7094</v>
      </c>
      <c r="F5418" s="48">
        <v>40909</v>
      </c>
      <c r="G5418" s="46"/>
      <c r="H5418" s="46" t="s">
        <v>40</v>
      </c>
      <c r="I5418" s="45">
        <v>1000</v>
      </c>
      <c r="J5418" s="45">
        <v>730</v>
      </c>
      <c r="K5418" s="49" t="s">
        <v>6720</v>
      </c>
      <c r="L5418" s="45"/>
      <c r="M5418" s="3"/>
    </row>
    <row r="5419" spans="1:13" ht="25.5" x14ac:dyDescent="0.25">
      <c r="A5419" s="46" t="s">
        <v>7095</v>
      </c>
      <c r="B5419" s="46" t="s">
        <v>38</v>
      </c>
      <c r="C5419" s="46" t="s">
        <v>14</v>
      </c>
      <c r="D5419" s="47">
        <v>10902</v>
      </c>
      <c r="E5419" s="46" t="s">
        <v>7096</v>
      </c>
      <c r="F5419" s="48">
        <v>40909</v>
      </c>
      <c r="G5419" s="46"/>
      <c r="H5419" s="46" t="s">
        <v>40</v>
      </c>
      <c r="I5419" s="45">
        <v>900</v>
      </c>
      <c r="J5419" s="45">
        <v>540</v>
      </c>
      <c r="K5419" s="49" t="s">
        <v>6720</v>
      </c>
      <c r="L5419" s="45"/>
      <c r="M5419" s="3"/>
    </row>
    <row r="5420" spans="1:13" ht="25.5" x14ac:dyDescent="0.25">
      <c r="A5420" s="46" t="s">
        <v>11069</v>
      </c>
      <c r="B5420" s="46" t="s">
        <v>38</v>
      </c>
      <c r="C5420" s="46" t="s">
        <v>14</v>
      </c>
      <c r="D5420" s="47">
        <v>12482</v>
      </c>
      <c r="E5420" s="46" t="s">
        <v>11070</v>
      </c>
      <c r="F5420" s="48">
        <v>41275</v>
      </c>
      <c r="G5420" s="46"/>
      <c r="H5420" s="46" t="s">
        <v>651</v>
      </c>
      <c r="I5420" s="45">
        <v>8594.73</v>
      </c>
      <c r="J5420" s="45">
        <v>8594.7199999999993</v>
      </c>
      <c r="K5420" s="49" t="s">
        <v>6720</v>
      </c>
      <c r="L5420" s="46"/>
    </row>
    <row r="5421" spans="1:13" ht="25.5" x14ac:dyDescent="0.25">
      <c r="A5421" s="46" t="s">
        <v>11071</v>
      </c>
      <c r="B5421" s="46" t="s">
        <v>38</v>
      </c>
      <c r="C5421" s="46" t="s">
        <v>14</v>
      </c>
      <c r="D5421" s="47">
        <v>12483</v>
      </c>
      <c r="E5421" s="46" t="s">
        <v>11072</v>
      </c>
      <c r="F5421" s="48">
        <v>41275</v>
      </c>
      <c r="G5421" s="46"/>
      <c r="H5421" s="46" t="s">
        <v>651</v>
      </c>
      <c r="I5421" s="45">
        <v>210</v>
      </c>
      <c r="J5421" s="45">
        <v>210</v>
      </c>
      <c r="K5421" s="49" t="s">
        <v>6720</v>
      </c>
      <c r="L5421" s="46"/>
    </row>
    <row r="5422" spans="1:13" ht="25.5" x14ac:dyDescent="0.25">
      <c r="A5422" s="46" t="s">
        <v>11073</v>
      </c>
      <c r="B5422" s="46" t="s">
        <v>38</v>
      </c>
      <c r="C5422" s="46" t="s">
        <v>14</v>
      </c>
      <c r="D5422" s="47">
        <v>12484</v>
      </c>
      <c r="E5422" s="46" t="s">
        <v>11074</v>
      </c>
      <c r="F5422" s="48">
        <v>41275</v>
      </c>
      <c r="G5422" s="46"/>
      <c r="H5422" s="46" t="s">
        <v>651</v>
      </c>
      <c r="I5422" s="45">
        <v>1410</v>
      </c>
      <c r="J5422" s="45">
        <v>1410</v>
      </c>
      <c r="K5422" s="49" t="s">
        <v>6720</v>
      </c>
      <c r="L5422" s="46"/>
    </row>
    <row r="5423" spans="1:13" ht="25.5" x14ac:dyDescent="0.25">
      <c r="A5423" s="46" t="s">
        <v>11328</v>
      </c>
      <c r="B5423" s="46" t="s">
        <v>38</v>
      </c>
      <c r="C5423" s="46" t="s">
        <v>14</v>
      </c>
      <c r="D5423" s="47">
        <v>12485</v>
      </c>
      <c r="E5423" s="46" t="s">
        <v>11329</v>
      </c>
      <c r="F5423" s="48">
        <v>41275</v>
      </c>
      <c r="G5423" s="46"/>
      <c r="H5423" s="46" t="s">
        <v>651</v>
      </c>
      <c r="I5423" s="45">
        <v>390</v>
      </c>
      <c r="J5423" s="45">
        <v>390</v>
      </c>
      <c r="K5423" s="49" t="s">
        <v>6720</v>
      </c>
      <c r="L5423" s="46"/>
    </row>
    <row r="5424" spans="1:13" ht="25.5" x14ac:dyDescent="0.25">
      <c r="A5424" s="46" t="s">
        <v>7151</v>
      </c>
      <c r="B5424" s="46" t="s">
        <v>38</v>
      </c>
      <c r="C5424" s="46" t="s">
        <v>14</v>
      </c>
      <c r="D5424" s="47">
        <v>3206</v>
      </c>
      <c r="E5424" s="46" t="s">
        <v>7152</v>
      </c>
      <c r="F5424" s="48">
        <v>39122</v>
      </c>
      <c r="G5424" s="48">
        <v>39447</v>
      </c>
      <c r="H5424" s="46" t="s">
        <v>40</v>
      </c>
      <c r="I5424" s="45">
        <v>10165.17</v>
      </c>
      <c r="J5424" s="45">
        <v>9115.17</v>
      </c>
      <c r="K5424" s="49" t="s">
        <v>7102</v>
      </c>
      <c r="L5424" s="45"/>
      <c r="M5424" s="3"/>
    </row>
    <row r="5425" spans="1:13" ht="25.5" x14ac:dyDescent="0.25">
      <c r="A5425" s="46" t="s">
        <v>7153</v>
      </c>
      <c r="B5425" s="46" t="s">
        <v>38</v>
      </c>
      <c r="C5425" s="46" t="s">
        <v>14</v>
      </c>
      <c r="D5425" s="47">
        <v>3207</v>
      </c>
      <c r="E5425" s="46" t="s">
        <v>7154</v>
      </c>
      <c r="F5425" s="48">
        <v>39129</v>
      </c>
      <c r="G5425" s="48">
        <v>39447</v>
      </c>
      <c r="H5425" s="46" t="s">
        <v>40</v>
      </c>
      <c r="I5425" s="45">
        <v>21955.19</v>
      </c>
      <c r="J5425" s="45">
        <v>21955.19</v>
      </c>
      <c r="K5425" s="49" t="s">
        <v>7102</v>
      </c>
      <c r="L5425" s="45"/>
      <c r="M5425" s="3"/>
    </row>
    <row r="5426" spans="1:13" ht="25.5" x14ac:dyDescent="0.25">
      <c r="A5426" s="46" t="s">
        <v>7155</v>
      </c>
      <c r="B5426" s="46" t="s">
        <v>38</v>
      </c>
      <c r="C5426" s="46" t="s">
        <v>14</v>
      </c>
      <c r="D5426" s="47">
        <v>3208</v>
      </c>
      <c r="E5426" s="46" t="s">
        <v>7156</v>
      </c>
      <c r="F5426" s="48">
        <v>39129</v>
      </c>
      <c r="G5426" s="48">
        <v>39447</v>
      </c>
      <c r="H5426" s="46" t="s">
        <v>40</v>
      </c>
      <c r="I5426" s="45">
        <v>19839.53</v>
      </c>
      <c r="J5426" s="45">
        <v>17191.02</v>
      </c>
      <c r="K5426" s="49" t="s">
        <v>7102</v>
      </c>
      <c r="L5426" s="45"/>
      <c r="M5426" s="3"/>
    </row>
    <row r="5427" spans="1:13" ht="25.5" x14ac:dyDescent="0.25">
      <c r="A5427" s="46" t="s">
        <v>7157</v>
      </c>
      <c r="B5427" s="46" t="s">
        <v>38</v>
      </c>
      <c r="C5427" s="46" t="s">
        <v>14</v>
      </c>
      <c r="D5427" s="47">
        <v>3209</v>
      </c>
      <c r="E5427" s="46" t="s">
        <v>7158</v>
      </c>
      <c r="F5427" s="48">
        <v>39129</v>
      </c>
      <c r="G5427" s="48">
        <v>39447</v>
      </c>
      <c r="H5427" s="46" t="s">
        <v>40</v>
      </c>
      <c r="I5427" s="45">
        <v>32873.410000000003</v>
      </c>
      <c r="J5427" s="45">
        <v>27843.41</v>
      </c>
      <c r="K5427" s="49" t="s">
        <v>7102</v>
      </c>
      <c r="L5427" s="45"/>
      <c r="M5427" s="3"/>
    </row>
    <row r="5428" spans="1:13" ht="25.5" x14ac:dyDescent="0.25">
      <c r="A5428" s="46" t="s">
        <v>7159</v>
      </c>
      <c r="B5428" s="46" t="s">
        <v>38</v>
      </c>
      <c r="C5428" s="46" t="s">
        <v>14</v>
      </c>
      <c r="D5428" s="47">
        <v>3210</v>
      </c>
      <c r="E5428" s="46" t="s">
        <v>7160</v>
      </c>
      <c r="F5428" s="48">
        <v>39129</v>
      </c>
      <c r="G5428" s="48">
        <v>39447</v>
      </c>
      <c r="H5428" s="46" t="s">
        <v>40</v>
      </c>
      <c r="I5428" s="45">
        <v>4400</v>
      </c>
      <c r="J5428" s="45">
        <v>3783</v>
      </c>
      <c r="K5428" s="49" t="s">
        <v>7102</v>
      </c>
      <c r="L5428" s="45"/>
      <c r="M5428" s="3"/>
    </row>
    <row r="5429" spans="1:13" ht="25.5" x14ac:dyDescent="0.25">
      <c r="A5429" s="46" t="s">
        <v>7161</v>
      </c>
      <c r="B5429" s="46" t="s">
        <v>38</v>
      </c>
      <c r="C5429" s="46" t="s">
        <v>14</v>
      </c>
      <c r="D5429" s="47">
        <v>3211</v>
      </c>
      <c r="E5429" s="46" t="s">
        <v>7162</v>
      </c>
      <c r="F5429" s="48">
        <v>39129</v>
      </c>
      <c r="G5429" s="48">
        <v>39294</v>
      </c>
      <c r="H5429" s="46" t="s">
        <v>40</v>
      </c>
      <c r="I5429" s="45">
        <v>7600</v>
      </c>
      <c r="J5429" s="45">
        <v>7600</v>
      </c>
      <c r="K5429" s="49" t="s">
        <v>7102</v>
      </c>
      <c r="L5429" s="45"/>
      <c r="M5429" s="3"/>
    </row>
    <row r="5430" spans="1:13" ht="25.5" x14ac:dyDescent="0.25">
      <c r="A5430" s="46" t="s">
        <v>7163</v>
      </c>
      <c r="B5430" s="46" t="s">
        <v>38</v>
      </c>
      <c r="C5430" s="46" t="s">
        <v>14</v>
      </c>
      <c r="D5430" s="47">
        <v>3213</v>
      </c>
      <c r="E5430" s="46" t="s">
        <v>7164</v>
      </c>
      <c r="F5430" s="48">
        <v>39129</v>
      </c>
      <c r="G5430" s="48">
        <v>39447</v>
      </c>
      <c r="H5430" s="46" t="s">
        <v>40</v>
      </c>
      <c r="I5430" s="45">
        <v>28115.85</v>
      </c>
      <c r="J5430" s="45">
        <v>27405.85</v>
      </c>
      <c r="K5430" s="49" t="s">
        <v>7102</v>
      </c>
      <c r="L5430" s="45"/>
      <c r="M5430" s="3"/>
    </row>
    <row r="5431" spans="1:13" ht="25.5" x14ac:dyDescent="0.25">
      <c r="A5431" s="46" t="s">
        <v>7165</v>
      </c>
      <c r="B5431" s="46" t="s">
        <v>38</v>
      </c>
      <c r="C5431" s="46" t="s">
        <v>14</v>
      </c>
      <c r="D5431" s="47">
        <v>3214</v>
      </c>
      <c r="E5431" s="46" t="s">
        <v>7166</v>
      </c>
      <c r="F5431" s="48">
        <v>39129</v>
      </c>
      <c r="G5431" s="48">
        <v>39417</v>
      </c>
      <c r="H5431" s="46" t="s">
        <v>40</v>
      </c>
      <c r="I5431" s="45">
        <v>36340</v>
      </c>
      <c r="J5431" s="45">
        <v>32845</v>
      </c>
      <c r="K5431" s="49" t="s">
        <v>7102</v>
      </c>
      <c r="L5431" s="45"/>
      <c r="M5431" s="3"/>
    </row>
    <row r="5432" spans="1:13" ht="25.5" x14ac:dyDescent="0.25">
      <c r="A5432" s="46" t="s">
        <v>7167</v>
      </c>
      <c r="B5432" s="46" t="s">
        <v>38</v>
      </c>
      <c r="C5432" s="46" t="s">
        <v>14</v>
      </c>
      <c r="D5432" s="47">
        <v>3215</v>
      </c>
      <c r="E5432" s="46" t="s">
        <v>7168</v>
      </c>
      <c r="F5432" s="48">
        <v>39129</v>
      </c>
      <c r="G5432" s="48">
        <v>39447</v>
      </c>
      <c r="H5432" s="46" t="s">
        <v>40</v>
      </c>
      <c r="I5432" s="45">
        <v>5375</v>
      </c>
      <c r="J5432" s="45">
        <v>5032</v>
      </c>
      <c r="K5432" s="49" t="s">
        <v>7102</v>
      </c>
      <c r="L5432" s="45"/>
      <c r="M5432" s="3"/>
    </row>
    <row r="5433" spans="1:13" ht="25.5" x14ac:dyDescent="0.25">
      <c r="A5433" s="46" t="s">
        <v>7169</v>
      </c>
      <c r="B5433" s="46" t="s">
        <v>38</v>
      </c>
      <c r="C5433" s="46" t="s">
        <v>14</v>
      </c>
      <c r="D5433" s="47">
        <v>3216</v>
      </c>
      <c r="E5433" s="46" t="s">
        <v>7170</v>
      </c>
      <c r="F5433" s="48">
        <v>39129</v>
      </c>
      <c r="G5433" s="48">
        <v>39447</v>
      </c>
      <c r="H5433" s="46" t="s">
        <v>40</v>
      </c>
      <c r="I5433" s="45">
        <v>6876.51</v>
      </c>
      <c r="J5433" s="45">
        <v>6876.51</v>
      </c>
      <c r="K5433" s="49" t="s">
        <v>7102</v>
      </c>
      <c r="L5433" s="45"/>
      <c r="M5433" s="3"/>
    </row>
    <row r="5434" spans="1:13" ht="25.5" x14ac:dyDescent="0.25">
      <c r="A5434" s="46" t="s">
        <v>7171</v>
      </c>
      <c r="B5434" s="46" t="s">
        <v>38</v>
      </c>
      <c r="C5434" s="46" t="s">
        <v>14</v>
      </c>
      <c r="D5434" s="47">
        <v>3217</v>
      </c>
      <c r="E5434" s="46" t="s">
        <v>7172</v>
      </c>
      <c r="F5434" s="48">
        <v>39129</v>
      </c>
      <c r="G5434" s="48">
        <v>39447</v>
      </c>
      <c r="H5434" s="46" t="s">
        <v>40</v>
      </c>
      <c r="I5434" s="45">
        <v>3700</v>
      </c>
      <c r="J5434" s="45">
        <v>3200</v>
      </c>
      <c r="K5434" s="49" t="s">
        <v>7102</v>
      </c>
      <c r="L5434" s="45"/>
      <c r="M5434" s="3"/>
    </row>
    <row r="5435" spans="1:13" ht="25.5" x14ac:dyDescent="0.25">
      <c r="A5435" s="46" t="s">
        <v>7173</v>
      </c>
      <c r="B5435" s="46" t="s">
        <v>38</v>
      </c>
      <c r="C5435" s="46" t="s">
        <v>14</v>
      </c>
      <c r="D5435" s="47">
        <v>3218</v>
      </c>
      <c r="E5435" s="46" t="s">
        <v>7174</v>
      </c>
      <c r="F5435" s="48">
        <v>39129</v>
      </c>
      <c r="G5435" s="48">
        <v>39447</v>
      </c>
      <c r="H5435" s="46" t="s">
        <v>40</v>
      </c>
      <c r="I5435" s="45">
        <v>260</v>
      </c>
      <c r="J5435" s="45">
        <v>260</v>
      </c>
      <c r="K5435" s="49" t="s">
        <v>7102</v>
      </c>
      <c r="L5435" s="45"/>
      <c r="M5435" s="3"/>
    </row>
    <row r="5436" spans="1:13" ht="25.5" x14ac:dyDescent="0.25">
      <c r="A5436" s="46" t="s">
        <v>7175</v>
      </c>
      <c r="B5436" s="46" t="s">
        <v>38</v>
      </c>
      <c r="C5436" s="46" t="s">
        <v>14</v>
      </c>
      <c r="D5436" s="47">
        <v>3219</v>
      </c>
      <c r="E5436" s="46" t="s">
        <v>7176</v>
      </c>
      <c r="F5436" s="48">
        <v>39129</v>
      </c>
      <c r="G5436" s="48">
        <v>39447</v>
      </c>
      <c r="H5436" s="46" t="s">
        <v>40</v>
      </c>
      <c r="I5436" s="45">
        <v>9025.44</v>
      </c>
      <c r="J5436" s="45">
        <v>9025.44</v>
      </c>
      <c r="K5436" s="49" t="s">
        <v>7102</v>
      </c>
      <c r="L5436" s="45"/>
      <c r="M5436" s="3"/>
    </row>
    <row r="5437" spans="1:13" ht="51" x14ac:dyDescent="0.25">
      <c r="A5437" s="46" t="s">
        <v>7177</v>
      </c>
      <c r="B5437" s="46" t="s">
        <v>38</v>
      </c>
      <c r="C5437" s="46" t="s">
        <v>14</v>
      </c>
      <c r="D5437" s="47">
        <v>3220</v>
      </c>
      <c r="E5437" s="50" t="s">
        <v>7178</v>
      </c>
      <c r="F5437" s="48">
        <v>40246</v>
      </c>
      <c r="G5437" s="48">
        <v>40543</v>
      </c>
      <c r="H5437" s="46" t="s">
        <v>40</v>
      </c>
      <c r="I5437" s="45">
        <v>2275</v>
      </c>
      <c r="J5437" s="45">
        <v>2275</v>
      </c>
      <c r="K5437" s="49" t="s">
        <v>7102</v>
      </c>
      <c r="L5437" s="45"/>
      <c r="M5437" s="3"/>
    </row>
    <row r="5438" spans="1:13" ht="25.5" x14ac:dyDescent="0.25">
      <c r="A5438" s="46" t="s">
        <v>7179</v>
      </c>
      <c r="B5438" s="46" t="s">
        <v>38</v>
      </c>
      <c r="C5438" s="46" t="s">
        <v>14</v>
      </c>
      <c r="D5438" s="47">
        <v>3221</v>
      </c>
      <c r="E5438" s="46" t="s">
        <v>7180</v>
      </c>
      <c r="F5438" s="48">
        <v>39129</v>
      </c>
      <c r="G5438" s="48">
        <v>39447</v>
      </c>
      <c r="H5438" s="46" t="s">
        <v>40</v>
      </c>
      <c r="I5438" s="45">
        <v>2105.8000000000002</v>
      </c>
      <c r="J5438" s="45">
        <v>2105.8000000000002</v>
      </c>
      <c r="K5438" s="49" t="s">
        <v>7102</v>
      </c>
      <c r="L5438" s="45"/>
      <c r="M5438" s="3"/>
    </row>
    <row r="5439" spans="1:13" ht="25.5" x14ac:dyDescent="0.25">
      <c r="A5439" s="46" t="s">
        <v>7181</v>
      </c>
      <c r="B5439" s="46" t="s">
        <v>38</v>
      </c>
      <c r="C5439" s="46" t="s">
        <v>14</v>
      </c>
      <c r="D5439" s="47">
        <v>3223</v>
      </c>
      <c r="E5439" s="46" t="s">
        <v>7182</v>
      </c>
      <c r="F5439" s="48">
        <v>39129</v>
      </c>
      <c r="G5439" s="48">
        <v>39447</v>
      </c>
      <c r="H5439" s="46" t="s">
        <v>40</v>
      </c>
      <c r="I5439" s="45">
        <v>8000</v>
      </c>
      <c r="J5439" s="45">
        <v>8000</v>
      </c>
      <c r="K5439" s="49" t="s">
        <v>7102</v>
      </c>
      <c r="L5439" s="45"/>
      <c r="M5439" s="3"/>
    </row>
    <row r="5440" spans="1:13" ht="25.5" x14ac:dyDescent="0.25">
      <c r="A5440" s="46" t="s">
        <v>7183</v>
      </c>
      <c r="B5440" s="46" t="s">
        <v>38</v>
      </c>
      <c r="C5440" s="46" t="s">
        <v>14</v>
      </c>
      <c r="D5440" s="47">
        <v>3224</v>
      </c>
      <c r="E5440" s="46" t="s">
        <v>7184</v>
      </c>
      <c r="F5440" s="48">
        <v>39129</v>
      </c>
      <c r="G5440" s="48">
        <v>39447</v>
      </c>
      <c r="H5440" s="46" t="s">
        <v>40</v>
      </c>
      <c r="I5440" s="45">
        <v>1000</v>
      </c>
      <c r="J5440" s="45">
        <v>1000</v>
      </c>
      <c r="K5440" s="49" t="s">
        <v>7102</v>
      </c>
      <c r="L5440" s="45"/>
      <c r="M5440" s="3"/>
    </row>
    <row r="5441" spans="1:13" ht="25.5" x14ac:dyDescent="0.25">
      <c r="A5441" s="46" t="s">
        <v>7185</v>
      </c>
      <c r="B5441" s="46" t="s">
        <v>38</v>
      </c>
      <c r="C5441" s="46" t="s">
        <v>14</v>
      </c>
      <c r="D5441" s="47">
        <v>3226</v>
      </c>
      <c r="E5441" s="46" t="s">
        <v>7186</v>
      </c>
      <c r="F5441" s="48">
        <v>39129</v>
      </c>
      <c r="G5441" s="48">
        <v>39447</v>
      </c>
      <c r="H5441" s="46" t="s">
        <v>40</v>
      </c>
      <c r="I5441" s="45">
        <v>4000</v>
      </c>
      <c r="J5441" s="45">
        <v>4000</v>
      </c>
      <c r="K5441" s="49" t="s">
        <v>7102</v>
      </c>
      <c r="L5441" s="45"/>
      <c r="M5441" s="3"/>
    </row>
    <row r="5442" spans="1:13" ht="25.5" x14ac:dyDescent="0.25">
      <c r="A5442" s="46" t="s">
        <v>7187</v>
      </c>
      <c r="B5442" s="46" t="s">
        <v>38</v>
      </c>
      <c r="C5442" s="46" t="s">
        <v>14</v>
      </c>
      <c r="D5442" s="47">
        <v>3228</v>
      </c>
      <c r="E5442" s="46" t="s">
        <v>7188</v>
      </c>
      <c r="F5442" s="48">
        <v>39129</v>
      </c>
      <c r="G5442" s="48">
        <v>39447</v>
      </c>
      <c r="H5442" s="46" t="s">
        <v>40</v>
      </c>
      <c r="I5442" s="45">
        <v>43166.2</v>
      </c>
      <c r="J5442" s="45">
        <v>43166.2</v>
      </c>
      <c r="K5442" s="49" t="s">
        <v>7102</v>
      </c>
      <c r="L5442" s="45"/>
      <c r="M5442" s="3"/>
    </row>
    <row r="5443" spans="1:13" ht="25.5" x14ac:dyDescent="0.25">
      <c r="A5443" s="46" t="s">
        <v>7189</v>
      </c>
      <c r="B5443" s="46" t="s">
        <v>38</v>
      </c>
      <c r="C5443" s="46" t="s">
        <v>14</v>
      </c>
      <c r="D5443" s="47">
        <v>3229</v>
      </c>
      <c r="E5443" s="46" t="s">
        <v>7190</v>
      </c>
      <c r="F5443" s="48">
        <v>39129</v>
      </c>
      <c r="G5443" s="48">
        <v>39447</v>
      </c>
      <c r="H5443" s="46" t="s">
        <v>40</v>
      </c>
      <c r="I5443" s="45">
        <v>12229.45</v>
      </c>
      <c r="J5443" s="45">
        <v>11949.45</v>
      </c>
      <c r="K5443" s="49" t="s">
        <v>7102</v>
      </c>
      <c r="L5443" s="45"/>
      <c r="M5443" s="3"/>
    </row>
    <row r="5444" spans="1:13" ht="25.5" x14ac:dyDescent="0.25">
      <c r="A5444" s="46" t="s">
        <v>7191</v>
      </c>
      <c r="B5444" s="46" t="s">
        <v>38</v>
      </c>
      <c r="C5444" s="46" t="s">
        <v>14</v>
      </c>
      <c r="D5444" s="47">
        <v>3230</v>
      </c>
      <c r="E5444" s="46" t="s">
        <v>7192</v>
      </c>
      <c r="F5444" s="48">
        <v>39129</v>
      </c>
      <c r="G5444" s="48">
        <v>39447</v>
      </c>
      <c r="H5444" s="46" t="s">
        <v>40</v>
      </c>
      <c r="I5444" s="45">
        <v>15112.57</v>
      </c>
      <c r="J5444" s="45">
        <v>4920.13</v>
      </c>
      <c r="K5444" s="49" t="s">
        <v>7102</v>
      </c>
      <c r="L5444" s="45"/>
      <c r="M5444" s="3"/>
    </row>
    <row r="5445" spans="1:13" ht="25.5" x14ac:dyDescent="0.25">
      <c r="A5445" s="46" t="s">
        <v>7193</v>
      </c>
      <c r="B5445" s="46" t="s">
        <v>38</v>
      </c>
      <c r="C5445" s="46" t="s">
        <v>14</v>
      </c>
      <c r="D5445" s="47">
        <v>3231</v>
      </c>
      <c r="E5445" s="46" t="s">
        <v>7194</v>
      </c>
      <c r="F5445" s="48">
        <v>39129</v>
      </c>
      <c r="G5445" s="48">
        <v>39447</v>
      </c>
      <c r="H5445" s="46" t="s">
        <v>40</v>
      </c>
      <c r="I5445" s="45">
        <v>2820.07</v>
      </c>
      <c r="J5445" s="45">
        <v>2820.07</v>
      </c>
      <c r="K5445" s="49" t="s">
        <v>7102</v>
      </c>
      <c r="L5445" s="45"/>
      <c r="M5445" s="3"/>
    </row>
    <row r="5446" spans="1:13" ht="25.5" x14ac:dyDescent="0.25">
      <c r="A5446" s="46" t="s">
        <v>7195</v>
      </c>
      <c r="B5446" s="46" t="s">
        <v>38</v>
      </c>
      <c r="C5446" s="46" t="s">
        <v>14</v>
      </c>
      <c r="D5446" s="47">
        <v>3232</v>
      </c>
      <c r="E5446" s="46" t="s">
        <v>7196</v>
      </c>
      <c r="F5446" s="48">
        <v>39924</v>
      </c>
      <c r="G5446" s="48">
        <v>40178</v>
      </c>
      <c r="H5446" s="46" t="s">
        <v>40</v>
      </c>
      <c r="I5446" s="45">
        <v>2105.09</v>
      </c>
      <c r="J5446" s="45">
        <v>2105.09</v>
      </c>
      <c r="K5446" s="49" t="s">
        <v>7102</v>
      </c>
      <c r="L5446" s="45"/>
      <c r="M5446" s="3"/>
    </row>
    <row r="5447" spans="1:13" ht="25.5" x14ac:dyDescent="0.25">
      <c r="A5447" s="46" t="s">
        <v>7197</v>
      </c>
      <c r="B5447" s="46" t="s">
        <v>38</v>
      </c>
      <c r="C5447" s="46" t="s">
        <v>14</v>
      </c>
      <c r="D5447" s="47">
        <v>3233</v>
      </c>
      <c r="E5447" s="46" t="s">
        <v>7198</v>
      </c>
      <c r="F5447" s="48">
        <v>39129</v>
      </c>
      <c r="G5447" s="48">
        <v>39447</v>
      </c>
      <c r="H5447" s="46" t="s">
        <v>40</v>
      </c>
      <c r="I5447" s="45">
        <v>14468.96</v>
      </c>
      <c r="J5447" s="45">
        <v>14398.96</v>
      </c>
      <c r="K5447" s="49" t="s">
        <v>7102</v>
      </c>
      <c r="L5447" s="45"/>
      <c r="M5447" s="3"/>
    </row>
    <row r="5448" spans="1:13" ht="25.5" x14ac:dyDescent="0.25">
      <c r="A5448" s="46" t="s">
        <v>7199</v>
      </c>
      <c r="B5448" s="46" t="s">
        <v>38</v>
      </c>
      <c r="C5448" s="46" t="s">
        <v>14</v>
      </c>
      <c r="D5448" s="47">
        <v>3234</v>
      </c>
      <c r="E5448" s="46" t="s">
        <v>7200</v>
      </c>
      <c r="F5448" s="48">
        <v>39924</v>
      </c>
      <c r="G5448" s="48">
        <v>40178</v>
      </c>
      <c r="H5448" s="46" t="s">
        <v>40</v>
      </c>
      <c r="I5448" s="45">
        <v>600</v>
      </c>
      <c r="J5448" s="45">
        <v>600</v>
      </c>
      <c r="K5448" s="49" t="s">
        <v>7102</v>
      </c>
      <c r="L5448" s="45"/>
      <c r="M5448" s="3"/>
    </row>
    <row r="5449" spans="1:13" ht="51" x14ac:dyDescent="0.25">
      <c r="A5449" s="46" t="s">
        <v>7155</v>
      </c>
      <c r="B5449" s="46" t="s">
        <v>38</v>
      </c>
      <c r="C5449" s="46" t="s">
        <v>14</v>
      </c>
      <c r="D5449" s="47">
        <v>3235</v>
      </c>
      <c r="E5449" s="50" t="s">
        <v>7201</v>
      </c>
      <c r="F5449" s="48">
        <v>39497</v>
      </c>
      <c r="G5449" s="48">
        <v>41639</v>
      </c>
      <c r="H5449" s="46" t="s">
        <v>40</v>
      </c>
      <c r="I5449" s="45">
        <f>111058.03+13592.62</f>
        <v>124650.65</v>
      </c>
      <c r="J5449" s="45">
        <f>97465.41+13592.62</f>
        <v>111058.03</v>
      </c>
      <c r="K5449" s="49" t="s">
        <v>7102</v>
      </c>
      <c r="L5449" s="45"/>
      <c r="M5449" s="3"/>
    </row>
    <row r="5450" spans="1:13" ht="25.5" x14ac:dyDescent="0.25">
      <c r="A5450" s="46" t="s">
        <v>7202</v>
      </c>
      <c r="B5450" s="46" t="s">
        <v>38</v>
      </c>
      <c r="C5450" s="46" t="s">
        <v>14</v>
      </c>
      <c r="D5450" s="47">
        <v>3236</v>
      </c>
      <c r="E5450" s="46" t="s">
        <v>7203</v>
      </c>
      <c r="F5450" s="48">
        <v>40179</v>
      </c>
      <c r="G5450" s="48">
        <v>40543</v>
      </c>
      <c r="H5450" s="46" t="s">
        <v>40</v>
      </c>
      <c r="I5450" s="45">
        <v>1675</v>
      </c>
      <c r="J5450" s="45">
        <v>1675</v>
      </c>
      <c r="K5450" s="49" t="s">
        <v>7102</v>
      </c>
      <c r="L5450" s="45"/>
      <c r="M5450" s="3"/>
    </row>
    <row r="5451" spans="1:13" ht="76.5" x14ac:dyDescent="0.25">
      <c r="A5451" s="46" t="s">
        <v>7204</v>
      </c>
      <c r="B5451" s="46" t="s">
        <v>38</v>
      </c>
      <c r="C5451" s="46" t="s">
        <v>14</v>
      </c>
      <c r="D5451" s="47">
        <v>3237</v>
      </c>
      <c r="E5451" s="50" t="s">
        <v>7205</v>
      </c>
      <c r="F5451" s="48">
        <v>39497</v>
      </c>
      <c r="G5451" s="48">
        <v>40908</v>
      </c>
      <c r="H5451" s="46" t="s">
        <v>40</v>
      </c>
      <c r="I5451" s="45">
        <v>156389.72</v>
      </c>
      <c r="J5451" s="45">
        <v>136684.72</v>
      </c>
      <c r="K5451" s="49" t="s">
        <v>7102</v>
      </c>
      <c r="L5451" s="45"/>
      <c r="M5451" s="3"/>
    </row>
    <row r="5452" spans="1:13" ht="25.5" x14ac:dyDescent="0.25">
      <c r="A5452" s="46" t="s">
        <v>7206</v>
      </c>
      <c r="B5452" s="46" t="s">
        <v>38</v>
      </c>
      <c r="C5452" s="46" t="s">
        <v>14</v>
      </c>
      <c r="D5452" s="47">
        <v>3238</v>
      </c>
      <c r="E5452" s="46" t="s">
        <v>7207</v>
      </c>
      <c r="F5452" s="48">
        <v>39497</v>
      </c>
      <c r="G5452" s="48">
        <v>40178</v>
      </c>
      <c r="H5452" s="46" t="s">
        <v>40</v>
      </c>
      <c r="I5452" s="45">
        <v>3923.23</v>
      </c>
      <c r="J5452" s="45">
        <v>3923.23</v>
      </c>
      <c r="K5452" s="49" t="s">
        <v>7102</v>
      </c>
      <c r="L5452" s="45"/>
      <c r="M5452" s="3"/>
    </row>
    <row r="5453" spans="1:13" ht="38.25" x14ac:dyDescent="0.25">
      <c r="A5453" s="46" t="s">
        <v>7208</v>
      </c>
      <c r="B5453" s="46" t="s">
        <v>38</v>
      </c>
      <c r="C5453" s="46" t="s">
        <v>14</v>
      </c>
      <c r="D5453" s="47">
        <v>3239</v>
      </c>
      <c r="E5453" s="46" t="s">
        <v>7209</v>
      </c>
      <c r="F5453" s="48">
        <v>39497</v>
      </c>
      <c r="G5453" s="48">
        <v>41274</v>
      </c>
      <c r="H5453" s="46" t="s">
        <v>40</v>
      </c>
      <c r="I5453" s="45">
        <v>24726.959999999999</v>
      </c>
      <c r="J5453" s="45">
        <v>24726.959999999999</v>
      </c>
      <c r="K5453" s="49" t="s">
        <v>7102</v>
      </c>
      <c r="L5453" s="45"/>
      <c r="M5453" s="3"/>
    </row>
    <row r="5454" spans="1:13" ht="25.5" x14ac:dyDescent="0.25">
      <c r="A5454" s="46" t="s">
        <v>7210</v>
      </c>
      <c r="B5454" s="46" t="s">
        <v>38</v>
      </c>
      <c r="C5454" s="46" t="s">
        <v>14</v>
      </c>
      <c r="D5454" s="47">
        <v>3240</v>
      </c>
      <c r="E5454" s="46" t="s">
        <v>7211</v>
      </c>
      <c r="F5454" s="48">
        <v>39497</v>
      </c>
      <c r="G5454" s="48">
        <v>39813</v>
      </c>
      <c r="H5454" s="46" t="s">
        <v>40</v>
      </c>
      <c r="I5454" s="45">
        <v>5633.53</v>
      </c>
      <c r="J5454" s="45">
        <v>5633.53</v>
      </c>
      <c r="K5454" s="49" t="s">
        <v>7102</v>
      </c>
      <c r="L5454" s="45"/>
      <c r="M5454" s="3"/>
    </row>
    <row r="5455" spans="1:13" ht="63.75" x14ac:dyDescent="0.25">
      <c r="A5455" s="46" t="s">
        <v>7212</v>
      </c>
      <c r="B5455" s="46" t="s">
        <v>38</v>
      </c>
      <c r="C5455" s="46" t="s">
        <v>14</v>
      </c>
      <c r="D5455" s="47">
        <v>3241</v>
      </c>
      <c r="E5455" s="50" t="s">
        <v>7213</v>
      </c>
      <c r="F5455" s="48">
        <v>39497</v>
      </c>
      <c r="G5455" s="48">
        <v>39813</v>
      </c>
      <c r="H5455" s="46" t="s">
        <v>40</v>
      </c>
      <c r="I5455" s="45">
        <v>2400</v>
      </c>
      <c r="J5455" s="45">
        <v>2400</v>
      </c>
      <c r="K5455" s="49" t="s">
        <v>7102</v>
      </c>
      <c r="L5455" s="45"/>
      <c r="M5455" s="3"/>
    </row>
    <row r="5456" spans="1:13" ht="63.75" x14ac:dyDescent="0.25">
      <c r="A5456" s="46" t="s">
        <v>7214</v>
      </c>
      <c r="B5456" s="46" t="s">
        <v>38</v>
      </c>
      <c r="C5456" s="46" t="s">
        <v>14</v>
      </c>
      <c r="D5456" s="47">
        <v>3242</v>
      </c>
      <c r="E5456" s="50" t="s">
        <v>7215</v>
      </c>
      <c r="F5456" s="48">
        <v>39497</v>
      </c>
      <c r="G5456" s="48">
        <v>41639</v>
      </c>
      <c r="H5456" s="46" t="s">
        <v>40</v>
      </c>
      <c r="I5456" s="45">
        <f>210357.43+32713.4</f>
        <v>243070.83</v>
      </c>
      <c r="J5456" s="45">
        <f>154495.03+32713.4</f>
        <v>187208.43</v>
      </c>
      <c r="K5456" s="49" t="s">
        <v>7102</v>
      </c>
      <c r="L5456" s="45"/>
      <c r="M5456" s="3"/>
    </row>
    <row r="5457" spans="1:13" ht="38.25" x14ac:dyDescent="0.25">
      <c r="A5457" s="46" t="s">
        <v>7167</v>
      </c>
      <c r="B5457" s="46" t="s">
        <v>38</v>
      </c>
      <c r="C5457" s="46" t="s">
        <v>14</v>
      </c>
      <c r="D5457" s="47">
        <v>3243</v>
      </c>
      <c r="E5457" s="46" t="s">
        <v>7216</v>
      </c>
      <c r="F5457" s="48">
        <v>39497</v>
      </c>
      <c r="G5457" s="48">
        <v>41639</v>
      </c>
      <c r="H5457" s="46" t="s">
        <v>40</v>
      </c>
      <c r="I5457" s="45">
        <f>215119.35+47277.63</f>
        <v>262396.98</v>
      </c>
      <c r="J5457" s="45">
        <f>47277.63+157582.72</f>
        <v>204860.35</v>
      </c>
      <c r="K5457" s="49" t="s">
        <v>7102</v>
      </c>
      <c r="L5457" s="45"/>
      <c r="M5457" s="3"/>
    </row>
    <row r="5458" spans="1:13" ht="63.75" x14ac:dyDescent="0.25">
      <c r="A5458" s="46" t="s">
        <v>7217</v>
      </c>
      <c r="B5458" s="46" t="s">
        <v>38</v>
      </c>
      <c r="C5458" s="46" t="s">
        <v>14</v>
      </c>
      <c r="D5458" s="47">
        <v>3244</v>
      </c>
      <c r="E5458" s="50" t="s">
        <v>7218</v>
      </c>
      <c r="F5458" s="48">
        <v>39497</v>
      </c>
      <c r="G5458" s="48">
        <v>41639</v>
      </c>
      <c r="H5458" s="46" t="s">
        <v>40</v>
      </c>
      <c r="I5458" s="45">
        <f>30576.41+6806.01</f>
        <v>37382.42</v>
      </c>
      <c r="J5458" s="45">
        <f>22770.4+6806.01</f>
        <v>29576.410000000003</v>
      </c>
      <c r="K5458" s="49" t="s">
        <v>7102</v>
      </c>
      <c r="L5458" s="45"/>
      <c r="M5458" s="3"/>
    </row>
    <row r="5459" spans="1:13" ht="63.75" x14ac:dyDescent="0.25">
      <c r="A5459" s="46" t="s">
        <v>7179</v>
      </c>
      <c r="B5459" s="46" t="s">
        <v>38</v>
      </c>
      <c r="C5459" s="46" t="s">
        <v>14</v>
      </c>
      <c r="D5459" s="47">
        <v>3245</v>
      </c>
      <c r="E5459" s="50" t="s">
        <v>7219</v>
      </c>
      <c r="F5459" s="48">
        <v>39497</v>
      </c>
      <c r="G5459" s="48">
        <v>40543</v>
      </c>
      <c r="H5459" s="46" t="s">
        <v>40</v>
      </c>
      <c r="I5459" s="45">
        <v>25987.14</v>
      </c>
      <c r="J5459" s="45">
        <v>23107.31</v>
      </c>
      <c r="K5459" s="49" t="s">
        <v>7102</v>
      </c>
      <c r="L5459" s="45"/>
      <c r="M5459" s="3"/>
    </row>
    <row r="5460" spans="1:13" ht="51" x14ac:dyDescent="0.25">
      <c r="A5460" s="46" t="s">
        <v>7181</v>
      </c>
      <c r="B5460" s="46" t="s">
        <v>38</v>
      </c>
      <c r="C5460" s="46" t="s">
        <v>14</v>
      </c>
      <c r="D5460" s="47">
        <v>3247</v>
      </c>
      <c r="E5460" s="50" t="s">
        <v>7220</v>
      </c>
      <c r="F5460" s="48">
        <v>39497</v>
      </c>
      <c r="G5460" s="48">
        <v>40178</v>
      </c>
      <c r="H5460" s="46" t="s">
        <v>40</v>
      </c>
      <c r="I5460" s="45">
        <v>10672.65</v>
      </c>
      <c r="J5460" s="45">
        <v>10672.65</v>
      </c>
      <c r="K5460" s="49" t="s">
        <v>7102</v>
      </c>
      <c r="L5460" s="45"/>
      <c r="M5460" s="3"/>
    </row>
    <row r="5461" spans="1:13" ht="25.5" x14ac:dyDescent="0.25">
      <c r="A5461" s="46" t="s">
        <v>7221</v>
      </c>
      <c r="B5461" s="46" t="s">
        <v>38</v>
      </c>
      <c r="C5461" s="46" t="s">
        <v>14</v>
      </c>
      <c r="D5461" s="47">
        <v>3248</v>
      </c>
      <c r="E5461" s="46" t="s">
        <v>7222</v>
      </c>
      <c r="F5461" s="48">
        <v>39497</v>
      </c>
      <c r="G5461" s="48">
        <v>39813</v>
      </c>
      <c r="H5461" s="46" t="s">
        <v>40</v>
      </c>
      <c r="I5461" s="45">
        <v>1000</v>
      </c>
      <c r="J5461" s="45">
        <v>1000</v>
      </c>
      <c r="K5461" s="49" t="s">
        <v>7102</v>
      </c>
      <c r="L5461" s="45"/>
      <c r="M5461" s="3"/>
    </row>
    <row r="5462" spans="1:13" ht="63.75" x14ac:dyDescent="0.25">
      <c r="A5462" s="46" t="s">
        <v>7175</v>
      </c>
      <c r="B5462" s="46" t="s">
        <v>38</v>
      </c>
      <c r="C5462" s="46" t="s">
        <v>14</v>
      </c>
      <c r="D5462" s="47">
        <v>3249</v>
      </c>
      <c r="E5462" s="50" t="s">
        <v>7223</v>
      </c>
      <c r="F5462" s="48">
        <v>39497</v>
      </c>
      <c r="G5462" s="48">
        <v>40543</v>
      </c>
      <c r="H5462" s="46" t="s">
        <v>40</v>
      </c>
      <c r="I5462" s="45">
        <v>23871</v>
      </c>
      <c r="J5462" s="45">
        <v>23871</v>
      </c>
      <c r="K5462" s="49" t="s">
        <v>7102</v>
      </c>
      <c r="L5462" s="45"/>
      <c r="M5462" s="3"/>
    </row>
    <row r="5463" spans="1:13" ht="25.5" x14ac:dyDescent="0.25">
      <c r="A5463" s="46" t="s">
        <v>7185</v>
      </c>
      <c r="B5463" s="46" t="s">
        <v>38</v>
      </c>
      <c r="C5463" s="46" t="s">
        <v>14</v>
      </c>
      <c r="D5463" s="47">
        <v>3250</v>
      </c>
      <c r="E5463" s="46" t="s">
        <v>7224</v>
      </c>
      <c r="F5463" s="48">
        <v>39497</v>
      </c>
      <c r="G5463" s="48">
        <v>39813</v>
      </c>
      <c r="H5463" s="46" t="s">
        <v>40</v>
      </c>
      <c r="I5463" s="45">
        <v>4033.85</v>
      </c>
      <c r="J5463" s="45">
        <v>4033.85</v>
      </c>
      <c r="K5463" s="49" t="s">
        <v>7102</v>
      </c>
      <c r="L5463" s="45"/>
      <c r="M5463" s="3"/>
    </row>
    <row r="5464" spans="1:13" ht="76.5" x14ac:dyDescent="0.25">
      <c r="A5464" s="46" t="s">
        <v>7225</v>
      </c>
      <c r="B5464" s="46" t="s">
        <v>38</v>
      </c>
      <c r="C5464" s="46" t="s">
        <v>14</v>
      </c>
      <c r="D5464" s="47">
        <v>3251</v>
      </c>
      <c r="E5464" s="50" t="s">
        <v>7226</v>
      </c>
      <c r="F5464" s="48">
        <v>39497</v>
      </c>
      <c r="G5464" s="48">
        <v>41274</v>
      </c>
      <c r="H5464" s="46" t="s">
        <v>40</v>
      </c>
      <c r="I5464" s="45">
        <f>119648.43+12314.85</f>
        <v>131963.28</v>
      </c>
      <c r="J5464" s="45">
        <f>107333.58+12314.85</f>
        <v>119648.43000000001</v>
      </c>
      <c r="K5464" s="49" t="s">
        <v>7102</v>
      </c>
      <c r="L5464" s="45"/>
      <c r="M5464" s="3"/>
    </row>
    <row r="5465" spans="1:13" ht="25.5" x14ac:dyDescent="0.25">
      <c r="A5465" s="46" t="s">
        <v>7227</v>
      </c>
      <c r="B5465" s="46" t="s">
        <v>38</v>
      </c>
      <c r="C5465" s="46" t="s">
        <v>14</v>
      </c>
      <c r="D5465" s="47">
        <v>3252</v>
      </c>
      <c r="E5465" s="46" t="s">
        <v>7228</v>
      </c>
      <c r="F5465" s="48">
        <v>39497</v>
      </c>
      <c r="G5465" s="48">
        <v>39813</v>
      </c>
      <c r="H5465" s="46" t="s">
        <v>40</v>
      </c>
      <c r="I5465" s="45">
        <v>531.5</v>
      </c>
      <c r="J5465" s="45">
        <v>301.5</v>
      </c>
      <c r="K5465" s="49" t="s">
        <v>7102</v>
      </c>
      <c r="L5465" s="45"/>
      <c r="M5465" s="3"/>
    </row>
    <row r="5466" spans="1:13" ht="25.5" x14ac:dyDescent="0.25">
      <c r="A5466" s="46" t="s">
        <v>7229</v>
      </c>
      <c r="B5466" s="46" t="s">
        <v>38</v>
      </c>
      <c r="C5466" s="46" t="s">
        <v>14</v>
      </c>
      <c r="D5466" s="47">
        <v>3253</v>
      </c>
      <c r="E5466" s="46" t="s">
        <v>7230</v>
      </c>
      <c r="F5466" s="48">
        <v>39497</v>
      </c>
      <c r="G5466" s="48">
        <v>39813</v>
      </c>
      <c r="H5466" s="46" t="s">
        <v>40</v>
      </c>
      <c r="I5466" s="45">
        <v>1245.0999999999999</v>
      </c>
      <c r="J5466" s="45">
        <v>1245.0999999999999</v>
      </c>
      <c r="K5466" s="49" t="s">
        <v>7102</v>
      </c>
      <c r="L5466" s="45"/>
      <c r="M5466" s="3"/>
    </row>
    <row r="5467" spans="1:13" ht="38.25" x14ac:dyDescent="0.25">
      <c r="A5467" s="46" t="s">
        <v>7231</v>
      </c>
      <c r="B5467" s="46" t="s">
        <v>38</v>
      </c>
      <c r="C5467" s="46" t="s">
        <v>14</v>
      </c>
      <c r="D5467" s="47">
        <v>3254</v>
      </c>
      <c r="E5467" s="46" t="s">
        <v>7232</v>
      </c>
      <c r="F5467" s="48">
        <v>39868</v>
      </c>
      <c r="G5467" s="48">
        <v>40178</v>
      </c>
      <c r="H5467" s="46" t="s">
        <v>40</v>
      </c>
      <c r="I5467" s="45">
        <v>12844.9</v>
      </c>
      <c r="J5467" s="45">
        <v>11104.9</v>
      </c>
      <c r="K5467" s="49" t="s">
        <v>7102</v>
      </c>
      <c r="L5467" s="45"/>
      <c r="M5467" s="3"/>
    </row>
    <row r="5468" spans="1:13" ht="25.5" x14ac:dyDescent="0.25">
      <c r="A5468" s="46" t="s">
        <v>7233</v>
      </c>
      <c r="B5468" s="46" t="s">
        <v>38</v>
      </c>
      <c r="C5468" s="46" t="s">
        <v>14</v>
      </c>
      <c r="D5468" s="47">
        <v>3255</v>
      </c>
      <c r="E5468" s="46" t="s">
        <v>7234</v>
      </c>
      <c r="F5468" s="48">
        <v>39084</v>
      </c>
      <c r="G5468" s="46"/>
      <c r="H5468" s="46" t="s">
        <v>40</v>
      </c>
      <c r="I5468" s="45">
        <f>386215.34+61677.57</f>
        <v>447892.91000000003</v>
      </c>
      <c r="J5468" s="45">
        <f>324537.77+61677.57</f>
        <v>386215.34</v>
      </c>
      <c r="K5468" s="49" t="s">
        <v>7102</v>
      </c>
      <c r="L5468" s="45"/>
      <c r="M5468" s="3"/>
    </row>
    <row r="5469" spans="1:13" ht="25.5" x14ac:dyDescent="0.25">
      <c r="A5469" s="46" t="s">
        <v>7235</v>
      </c>
      <c r="B5469" s="46" t="s">
        <v>38</v>
      </c>
      <c r="C5469" s="46" t="s">
        <v>14</v>
      </c>
      <c r="D5469" s="47">
        <v>3256</v>
      </c>
      <c r="E5469" s="46" t="s">
        <v>7236</v>
      </c>
      <c r="F5469" s="48">
        <v>39497</v>
      </c>
      <c r="G5469" s="48">
        <v>39813</v>
      </c>
      <c r="H5469" s="46" t="s">
        <v>40</v>
      </c>
      <c r="I5469" s="45">
        <v>7133.44</v>
      </c>
      <c r="J5469" s="45">
        <v>7133.44</v>
      </c>
      <c r="K5469" s="49" t="s">
        <v>7102</v>
      </c>
      <c r="L5469" s="45"/>
      <c r="M5469" s="3"/>
    </row>
    <row r="5470" spans="1:13" ht="38.25" x14ac:dyDescent="0.25">
      <c r="A5470" s="46" t="s">
        <v>7237</v>
      </c>
      <c r="B5470" s="46" t="s">
        <v>38</v>
      </c>
      <c r="C5470" s="46" t="s">
        <v>14</v>
      </c>
      <c r="D5470" s="47">
        <v>3257</v>
      </c>
      <c r="E5470" s="50" t="s">
        <v>7238</v>
      </c>
      <c r="F5470" s="48">
        <v>40085</v>
      </c>
      <c r="G5470" s="48">
        <v>40908</v>
      </c>
      <c r="H5470" s="46" t="s">
        <v>40</v>
      </c>
      <c r="I5470" s="45">
        <v>45232.22</v>
      </c>
      <c r="J5470" s="45">
        <v>41683.629999999997</v>
      </c>
      <c r="K5470" s="49" t="s">
        <v>7102</v>
      </c>
      <c r="L5470" s="45"/>
      <c r="M5470" s="3"/>
    </row>
    <row r="5471" spans="1:13" ht="51" x14ac:dyDescent="0.25">
      <c r="A5471" s="46" t="s">
        <v>7239</v>
      </c>
      <c r="B5471" s="46" t="s">
        <v>38</v>
      </c>
      <c r="C5471" s="46" t="s">
        <v>14</v>
      </c>
      <c r="D5471" s="47">
        <v>3258</v>
      </c>
      <c r="E5471" s="50" t="s">
        <v>7240</v>
      </c>
      <c r="F5471" s="48">
        <v>39497</v>
      </c>
      <c r="G5471" s="48">
        <v>41274</v>
      </c>
      <c r="H5471" s="46" t="s">
        <v>40</v>
      </c>
      <c r="I5471" s="45">
        <v>52692.05</v>
      </c>
      <c r="J5471" s="45">
        <v>43839.88</v>
      </c>
      <c r="K5471" s="49" t="s">
        <v>7102</v>
      </c>
      <c r="L5471" s="45"/>
      <c r="M5471" s="3"/>
    </row>
    <row r="5472" spans="1:13" ht="25.5" x14ac:dyDescent="0.25">
      <c r="A5472" s="46" t="s">
        <v>7241</v>
      </c>
      <c r="B5472" s="46" t="s">
        <v>38</v>
      </c>
      <c r="C5472" s="46" t="s">
        <v>14</v>
      </c>
      <c r="D5472" s="47">
        <v>3259</v>
      </c>
      <c r="E5472" s="46" t="s">
        <v>7242</v>
      </c>
      <c r="F5472" s="48">
        <v>39497</v>
      </c>
      <c r="G5472" s="48">
        <v>41639</v>
      </c>
      <c r="H5472" s="46" t="s">
        <v>40</v>
      </c>
      <c r="I5472" s="45">
        <f>58817.88+9478.64</f>
        <v>68296.51999999999</v>
      </c>
      <c r="J5472" s="45">
        <f>49339.24+9478.64</f>
        <v>58817.88</v>
      </c>
      <c r="K5472" s="49" t="s">
        <v>7102</v>
      </c>
      <c r="L5472" s="45"/>
      <c r="M5472" s="3"/>
    </row>
    <row r="5473" spans="1:60" ht="51" x14ac:dyDescent="0.25">
      <c r="A5473" s="46" t="s">
        <v>7243</v>
      </c>
      <c r="B5473" s="46" t="s">
        <v>38</v>
      </c>
      <c r="C5473" s="46" t="s">
        <v>14</v>
      </c>
      <c r="D5473" s="47">
        <v>3260</v>
      </c>
      <c r="E5473" s="50" t="s">
        <v>7244</v>
      </c>
      <c r="F5473" s="48">
        <v>39497</v>
      </c>
      <c r="G5473" s="48">
        <v>40543</v>
      </c>
      <c r="H5473" s="46" t="s">
        <v>40</v>
      </c>
      <c r="I5473" s="45">
        <v>13272.77</v>
      </c>
      <c r="J5473" s="45">
        <v>10147.77</v>
      </c>
      <c r="K5473" s="49" t="s">
        <v>7102</v>
      </c>
      <c r="L5473" s="45"/>
      <c r="M5473" s="3"/>
    </row>
    <row r="5474" spans="1:60" ht="25.5" x14ac:dyDescent="0.25">
      <c r="A5474" s="46" t="s">
        <v>7245</v>
      </c>
      <c r="B5474" s="46" t="s">
        <v>38</v>
      </c>
      <c r="C5474" s="46" t="s">
        <v>14</v>
      </c>
      <c r="D5474" s="47">
        <v>3322</v>
      </c>
      <c r="E5474" s="46" t="s">
        <v>7246</v>
      </c>
      <c r="F5474" s="48">
        <v>39083</v>
      </c>
      <c r="G5474" s="48">
        <v>39447</v>
      </c>
      <c r="H5474" s="46" t="s">
        <v>40</v>
      </c>
      <c r="I5474" s="45">
        <v>1515.98</v>
      </c>
      <c r="J5474" s="45">
        <v>1515.98</v>
      </c>
      <c r="K5474" s="49" t="s">
        <v>7102</v>
      </c>
      <c r="L5474" s="45"/>
      <c r="M5474" s="3"/>
    </row>
    <row r="5475" spans="1:60" s="21" customFormat="1" ht="38.25" x14ac:dyDescent="0.25">
      <c r="A5475" s="46" t="s">
        <v>7247</v>
      </c>
      <c r="B5475" s="46" t="s">
        <v>38</v>
      </c>
      <c r="C5475" s="46" t="s">
        <v>14</v>
      </c>
      <c r="D5475" s="47">
        <v>3323</v>
      </c>
      <c r="E5475" s="46" t="s">
        <v>7248</v>
      </c>
      <c r="F5475" s="48">
        <v>39083</v>
      </c>
      <c r="G5475" s="48">
        <v>39447</v>
      </c>
      <c r="H5475" s="46" t="s">
        <v>40</v>
      </c>
      <c r="I5475" s="45">
        <v>16642.07</v>
      </c>
      <c r="J5475" s="45">
        <v>16642.07</v>
      </c>
      <c r="K5475" s="49" t="s">
        <v>7102</v>
      </c>
      <c r="L5475" s="45"/>
      <c r="M5475" s="3"/>
      <c r="N5475" s="4"/>
      <c r="O5475" s="4"/>
      <c r="P5475" s="4"/>
      <c r="Q5475" s="4"/>
      <c r="R5475" s="4"/>
      <c r="S5475" s="4"/>
      <c r="T5475" s="4"/>
      <c r="U5475" s="4"/>
      <c r="V5475" s="4"/>
      <c r="W5475" s="4"/>
      <c r="X5475" s="4"/>
      <c r="Y5475" s="4"/>
      <c r="Z5475" s="4"/>
      <c r="AA5475" s="4"/>
      <c r="AB5475" s="4"/>
      <c r="AC5475" s="4"/>
      <c r="AD5475" s="4"/>
      <c r="AE5475" s="4"/>
      <c r="AF5475" s="4"/>
      <c r="AG5475" s="4"/>
      <c r="AH5475" s="4"/>
      <c r="AI5475" s="4"/>
      <c r="AJ5475" s="4"/>
      <c r="AK5475" s="4"/>
      <c r="AL5475" s="4"/>
      <c r="AM5475" s="4"/>
      <c r="AN5475" s="4"/>
      <c r="AO5475" s="4"/>
      <c r="AP5475" s="4"/>
      <c r="AQ5475" s="4"/>
      <c r="AR5475" s="4"/>
      <c r="AS5475" s="4"/>
      <c r="AT5475" s="4"/>
      <c r="AU5475" s="4"/>
      <c r="AV5475" s="4"/>
      <c r="AW5475" s="4"/>
      <c r="AX5475" s="4"/>
      <c r="AY5475" s="4"/>
      <c r="AZ5475" s="4"/>
      <c r="BA5475" s="4"/>
      <c r="BB5475" s="4"/>
      <c r="BC5475" s="4"/>
      <c r="BD5475" s="4"/>
      <c r="BE5475" s="4"/>
      <c r="BF5475" s="4"/>
      <c r="BG5475" s="4"/>
      <c r="BH5475" s="4"/>
    </row>
    <row r="5476" spans="1:60" ht="25.5" x14ac:dyDescent="0.25">
      <c r="A5476" s="46" t="s">
        <v>7319</v>
      </c>
      <c r="B5476" s="46" t="s">
        <v>38</v>
      </c>
      <c r="C5476" s="46" t="s">
        <v>14</v>
      </c>
      <c r="D5476" s="47">
        <v>7541</v>
      </c>
      <c r="E5476" s="46" t="s">
        <v>7320</v>
      </c>
      <c r="F5476" s="48">
        <v>40611</v>
      </c>
      <c r="G5476" s="48">
        <v>41639</v>
      </c>
      <c r="H5476" s="46" t="s">
        <v>40</v>
      </c>
      <c r="I5476" s="45">
        <f>10031.82+5692</f>
        <v>15723.82</v>
      </c>
      <c r="J5476" s="45">
        <f>2439.82+5692</f>
        <v>8131.82</v>
      </c>
      <c r="K5476" s="49" t="s">
        <v>7102</v>
      </c>
      <c r="L5476" s="45"/>
      <c r="M5476" s="3"/>
    </row>
    <row r="5477" spans="1:60" ht="25.5" x14ac:dyDescent="0.25">
      <c r="A5477" s="46" t="s">
        <v>11076</v>
      </c>
      <c r="B5477" s="46" t="s">
        <v>38</v>
      </c>
      <c r="C5477" s="46" t="s">
        <v>14</v>
      </c>
      <c r="D5477" s="47">
        <v>8866</v>
      </c>
      <c r="E5477" s="46" t="s">
        <v>11077</v>
      </c>
      <c r="F5477" s="48">
        <v>41275</v>
      </c>
      <c r="G5477" s="48">
        <v>41639</v>
      </c>
      <c r="H5477" s="46" t="s">
        <v>651</v>
      </c>
      <c r="I5477" s="45">
        <v>10400</v>
      </c>
      <c r="J5477" s="45">
        <v>5200</v>
      </c>
      <c r="K5477" s="49" t="s">
        <v>7102</v>
      </c>
      <c r="L5477" s="46"/>
    </row>
    <row r="5478" spans="1:60" ht="38.25" x14ac:dyDescent="0.25">
      <c r="A5478" s="46" t="s">
        <v>7385</v>
      </c>
      <c r="B5478" s="46" t="s">
        <v>38</v>
      </c>
      <c r="C5478" s="46" t="s">
        <v>14</v>
      </c>
      <c r="D5478" s="47">
        <v>8910</v>
      </c>
      <c r="E5478" s="46" t="s">
        <v>7386</v>
      </c>
      <c r="F5478" s="48">
        <v>40610</v>
      </c>
      <c r="G5478" s="48">
        <v>41639</v>
      </c>
      <c r="H5478" s="46" t="s">
        <v>40</v>
      </c>
      <c r="I5478" s="45">
        <f>66394.26+41060.6</f>
        <v>107454.85999999999</v>
      </c>
      <c r="J5478" s="45">
        <f>12666.83+20530.3</f>
        <v>33197.129999999997</v>
      </c>
      <c r="K5478" s="49" t="s">
        <v>7102</v>
      </c>
      <c r="L5478" s="45"/>
      <c r="M5478" s="3"/>
    </row>
    <row r="5479" spans="1:60" ht="25.5" x14ac:dyDescent="0.25">
      <c r="A5479" s="46" t="s">
        <v>7387</v>
      </c>
      <c r="B5479" s="46" t="s">
        <v>38</v>
      </c>
      <c r="C5479" s="46" t="s">
        <v>14</v>
      </c>
      <c r="D5479" s="47">
        <v>8911</v>
      </c>
      <c r="E5479" s="46" t="s">
        <v>7388</v>
      </c>
      <c r="F5479" s="48">
        <v>40544</v>
      </c>
      <c r="G5479" s="48">
        <v>41639</v>
      </c>
      <c r="H5479" s="46" t="s">
        <v>40</v>
      </c>
      <c r="I5479" s="45">
        <f>37260.14+14307.76</f>
        <v>51567.9</v>
      </c>
      <c r="J5479" s="45">
        <f>10186.5+7153.88</f>
        <v>17340.38</v>
      </c>
      <c r="K5479" s="49" t="s">
        <v>7102</v>
      </c>
      <c r="L5479" s="45"/>
      <c r="M5479" s="3"/>
    </row>
    <row r="5480" spans="1:60" ht="25.5" x14ac:dyDescent="0.25">
      <c r="A5480" s="46" t="s">
        <v>7389</v>
      </c>
      <c r="B5480" s="46" t="s">
        <v>38</v>
      </c>
      <c r="C5480" s="46" t="s">
        <v>14</v>
      </c>
      <c r="D5480" s="47">
        <v>9151</v>
      </c>
      <c r="E5480" s="46" t="s">
        <v>7390</v>
      </c>
      <c r="F5480" s="48">
        <v>40609</v>
      </c>
      <c r="G5480" s="48">
        <v>40908</v>
      </c>
      <c r="H5480" s="46" t="s">
        <v>40</v>
      </c>
      <c r="I5480" s="45">
        <v>2599.56</v>
      </c>
      <c r="J5480" s="45">
        <v>2099.56</v>
      </c>
      <c r="K5480" s="49" t="s">
        <v>7102</v>
      </c>
      <c r="L5480" s="45"/>
      <c r="M5480" s="3"/>
    </row>
    <row r="5481" spans="1:60" ht="25.5" x14ac:dyDescent="0.25">
      <c r="A5481" s="46" t="s">
        <v>7393</v>
      </c>
      <c r="B5481" s="46" t="s">
        <v>38</v>
      </c>
      <c r="C5481" s="46" t="s">
        <v>14</v>
      </c>
      <c r="D5481" s="47">
        <v>9205</v>
      </c>
      <c r="E5481" s="46" t="s">
        <v>7394</v>
      </c>
      <c r="F5481" s="48">
        <v>40611</v>
      </c>
      <c r="G5481" s="48">
        <v>40908</v>
      </c>
      <c r="H5481" s="46" t="s">
        <v>40</v>
      </c>
      <c r="I5481" s="45">
        <v>4832</v>
      </c>
      <c r="J5481" s="45">
        <v>2416</v>
      </c>
      <c r="K5481" s="49" t="s">
        <v>7102</v>
      </c>
      <c r="L5481" s="45"/>
      <c r="M5481" s="3"/>
    </row>
    <row r="5482" spans="1:60" ht="76.5" x14ac:dyDescent="0.25">
      <c r="A5482" s="46" t="s">
        <v>7204</v>
      </c>
      <c r="B5482" s="46" t="s">
        <v>38</v>
      </c>
      <c r="C5482" s="46" t="s">
        <v>14</v>
      </c>
      <c r="D5482" s="47">
        <v>10964</v>
      </c>
      <c r="E5482" s="50" t="s">
        <v>7422</v>
      </c>
      <c r="F5482" s="48">
        <v>40953</v>
      </c>
      <c r="G5482" s="48">
        <v>41639</v>
      </c>
      <c r="H5482" s="46" t="s">
        <v>40</v>
      </c>
      <c r="I5482" s="45">
        <f>57105.27+27103.12</f>
        <v>84208.39</v>
      </c>
      <c r="J5482" s="45">
        <f>19123.72+27103.12</f>
        <v>46226.84</v>
      </c>
      <c r="K5482" s="49" t="s">
        <v>7102</v>
      </c>
      <c r="L5482" s="45"/>
      <c r="M5482" s="3"/>
    </row>
    <row r="5483" spans="1:60" ht="25.5" x14ac:dyDescent="0.25">
      <c r="A5483" s="46" t="s">
        <v>7423</v>
      </c>
      <c r="B5483" s="46" t="s">
        <v>38</v>
      </c>
      <c r="C5483" s="46" t="s">
        <v>14</v>
      </c>
      <c r="D5483" s="47">
        <v>10965</v>
      </c>
      <c r="E5483" s="46" t="s">
        <v>7424</v>
      </c>
      <c r="F5483" s="48">
        <v>40909</v>
      </c>
      <c r="G5483" s="48">
        <v>41274</v>
      </c>
      <c r="H5483" s="46" t="s">
        <v>40</v>
      </c>
      <c r="I5483" s="45">
        <v>12683.66</v>
      </c>
      <c r="J5483" s="45">
        <v>6341.83</v>
      </c>
      <c r="K5483" s="49" t="s">
        <v>7102</v>
      </c>
      <c r="L5483" s="45"/>
      <c r="M5483" s="3"/>
    </row>
    <row r="5484" spans="1:60" ht="25.5" x14ac:dyDescent="0.25">
      <c r="A5484" s="46" t="s">
        <v>7425</v>
      </c>
      <c r="B5484" s="46" t="s">
        <v>38</v>
      </c>
      <c r="C5484" s="46" t="s">
        <v>14</v>
      </c>
      <c r="D5484" s="47">
        <v>10966</v>
      </c>
      <c r="E5484" s="46" t="s">
        <v>7426</v>
      </c>
      <c r="F5484" s="48">
        <v>40953</v>
      </c>
      <c r="G5484" s="48">
        <v>41639</v>
      </c>
      <c r="H5484" s="46" t="s">
        <v>40</v>
      </c>
      <c r="I5484" s="45">
        <f>4812.55+3805.3</f>
        <v>8617.85</v>
      </c>
      <c r="J5484" s="45">
        <f>1007.25+3805.3</f>
        <v>4812.55</v>
      </c>
      <c r="K5484" s="49" t="s">
        <v>7102</v>
      </c>
      <c r="L5484" s="45"/>
      <c r="M5484" s="3"/>
    </row>
    <row r="5485" spans="1:60" ht="25.5" x14ac:dyDescent="0.25">
      <c r="A5485" s="46" t="s">
        <v>7427</v>
      </c>
      <c r="B5485" s="46" t="s">
        <v>38</v>
      </c>
      <c r="C5485" s="46" t="s">
        <v>14</v>
      </c>
      <c r="D5485" s="47">
        <v>10967</v>
      </c>
      <c r="E5485" s="46" t="s">
        <v>7428</v>
      </c>
      <c r="F5485" s="48">
        <v>40953</v>
      </c>
      <c r="G5485" s="48">
        <v>41274</v>
      </c>
      <c r="H5485" s="46" t="s">
        <v>40</v>
      </c>
      <c r="I5485" s="45">
        <v>3818.3</v>
      </c>
      <c r="J5485" s="45">
        <v>3098.3</v>
      </c>
      <c r="K5485" s="49" t="s">
        <v>7102</v>
      </c>
      <c r="L5485" s="45"/>
      <c r="M5485" s="3"/>
    </row>
    <row r="5486" spans="1:60" ht="38.25" x14ac:dyDescent="0.25">
      <c r="A5486" s="46" t="s">
        <v>7431</v>
      </c>
      <c r="B5486" s="46" t="s">
        <v>38</v>
      </c>
      <c r="C5486" s="46" t="s">
        <v>14</v>
      </c>
      <c r="D5486" s="47">
        <v>10969</v>
      </c>
      <c r="E5486" s="46" t="s">
        <v>7432</v>
      </c>
      <c r="F5486" s="48">
        <v>40909</v>
      </c>
      <c r="G5486" s="48">
        <v>41639</v>
      </c>
      <c r="H5486" s="46" t="s">
        <v>40</v>
      </c>
      <c r="I5486" s="45">
        <f>78076.93+39886.43</f>
        <v>117963.35999999999</v>
      </c>
      <c r="J5486" s="45">
        <f>38190.5+39886.43</f>
        <v>78076.929999999993</v>
      </c>
      <c r="K5486" s="49" t="s">
        <v>7102</v>
      </c>
      <c r="L5486" s="45"/>
      <c r="M5486" s="3"/>
    </row>
    <row r="5487" spans="1:60" ht="25.5" x14ac:dyDescent="0.25">
      <c r="A5487" s="46" t="s">
        <v>7433</v>
      </c>
      <c r="B5487" s="46" t="s">
        <v>38</v>
      </c>
      <c r="C5487" s="46" t="s">
        <v>14</v>
      </c>
      <c r="D5487" s="47">
        <v>10994</v>
      </c>
      <c r="E5487" s="46" t="s">
        <v>7434</v>
      </c>
      <c r="F5487" s="48">
        <v>40957</v>
      </c>
      <c r="G5487" s="48">
        <v>41639</v>
      </c>
      <c r="H5487" s="46" t="s">
        <v>40</v>
      </c>
      <c r="I5487" s="45">
        <f>10939.56+1017.82</f>
        <v>11957.38</v>
      </c>
      <c r="J5487" s="45">
        <f>4960.87+508.91</f>
        <v>5469.78</v>
      </c>
      <c r="K5487" s="49" t="s">
        <v>7102</v>
      </c>
      <c r="L5487" s="45"/>
      <c r="M5487" s="3"/>
    </row>
    <row r="5488" spans="1:60" ht="25.5" x14ac:dyDescent="0.25">
      <c r="A5488" s="46" t="s">
        <v>11113</v>
      </c>
      <c r="B5488" s="46" t="s">
        <v>38</v>
      </c>
      <c r="C5488" s="46" t="s">
        <v>14</v>
      </c>
      <c r="D5488" s="47">
        <v>12593</v>
      </c>
      <c r="E5488" s="46" t="s">
        <v>11114</v>
      </c>
      <c r="F5488" s="48">
        <v>41275</v>
      </c>
      <c r="G5488" s="48">
        <v>41639</v>
      </c>
      <c r="H5488" s="46" t="s">
        <v>651</v>
      </c>
      <c r="I5488" s="45">
        <v>2052.9</v>
      </c>
      <c r="J5488" s="45">
        <v>2052.9</v>
      </c>
      <c r="K5488" s="49" t="s">
        <v>7102</v>
      </c>
      <c r="L5488" s="46"/>
    </row>
    <row r="5489" spans="1:13" ht="25.5" x14ac:dyDescent="0.25">
      <c r="A5489" s="46" t="s">
        <v>11115</v>
      </c>
      <c r="B5489" s="46" t="s">
        <v>38</v>
      </c>
      <c r="C5489" s="46" t="s">
        <v>14</v>
      </c>
      <c r="D5489" s="47">
        <v>12597</v>
      </c>
      <c r="E5489" s="46" t="s">
        <v>11116</v>
      </c>
      <c r="F5489" s="48">
        <v>41275</v>
      </c>
      <c r="G5489" s="48">
        <v>41639</v>
      </c>
      <c r="H5489" s="46" t="s">
        <v>651</v>
      </c>
      <c r="I5489" s="45">
        <v>4477.2</v>
      </c>
      <c r="J5489" s="45">
        <v>4477.2</v>
      </c>
      <c r="K5489" s="49" t="s">
        <v>7102</v>
      </c>
      <c r="L5489" s="46"/>
    </row>
    <row r="5490" spans="1:13" ht="25.5" x14ac:dyDescent="0.25">
      <c r="A5490" s="46" t="s">
        <v>7519</v>
      </c>
      <c r="B5490" s="46" t="s">
        <v>38</v>
      </c>
      <c r="C5490" s="46" t="s">
        <v>14</v>
      </c>
      <c r="D5490" s="47">
        <v>686</v>
      </c>
      <c r="E5490" s="46" t="s">
        <v>7520</v>
      </c>
      <c r="F5490" s="48">
        <v>39093</v>
      </c>
      <c r="G5490" s="48">
        <v>39435</v>
      </c>
      <c r="H5490" s="46" t="s">
        <v>40</v>
      </c>
      <c r="I5490" s="45">
        <v>37072.9</v>
      </c>
      <c r="J5490" s="45">
        <v>34360.699999999997</v>
      </c>
      <c r="K5490" s="49" t="s">
        <v>7456</v>
      </c>
      <c r="L5490" s="45"/>
      <c r="M5490" s="3"/>
    </row>
    <row r="5491" spans="1:13" ht="25.5" x14ac:dyDescent="0.25">
      <c r="A5491" s="46" t="s">
        <v>7521</v>
      </c>
      <c r="B5491" s="46" t="s">
        <v>38</v>
      </c>
      <c r="C5491" s="46" t="s">
        <v>14</v>
      </c>
      <c r="D5491" s="47">
        <v>689</v>
      </c>
      <c r="E5491" s="46" t="s">
        <v>7522</v>
      </c>
      <c r="F5491" s="48">
        <v>39093</v>
      </c>
      <c r="G5491" s="48">
        <v>39435</v>
      </c>
      <c r="H5491" s="46" t="s">
        <v>40</v>
      </c>
      <c r="I5491" s="45">
        <v>19112.060000000001</v>
      </c>
      <c r="J5491" s="45">
        <v>16144.86</v>
      </c>
      <c r="K5491" s="49" t="s">
        <v>7456</v>
      </c>
      <c r="L5491" s="45"/>
      <c r="M5491" s="3"/>
    </row>
    <row r="5492" spans="1:13" ht="25.5" x14ac:dyDescent="0.25">
      <c r="A5492" s="46" t="s">
        <v>7523</v>
      </c>
      <c r="B5492" s="46" t="s">
        <v>38</v>
      </c>
      <c r="C5492" s="46" t="s">
        <v>14</v>
      </c>
      <c r="D5492" s="47">
        <v>692</v>
      </c>
      <c r="E5492" s="46" t="s">
        <v>7524</v>
      </c>
      <c r="F5492" s="48">
        <v>39093</v>
      </c>
      <c r="G5492" s="48">
        <v>39427</v>
      </c>
      <c r="H5492" s="46" t="s">
        <v>40</v>
      </c>
      <c r="I5492" s="45">
        <v>3215.6</v>
      </c>
      <c r="J5492" s="45">
        <v>3215.6</v>
      </c>
      <c r="K5492" s="49" t="s">
        <v>7456</v>
      </c>
      <c r="L5492" s="45"/>
      <c r="M5492" s="3"/>
    </row>
    <row r="5493" spans="1:13" ht="25.5" x14ac:dyDescent="0.25">
      <c r="A5493" s="46" t="s">
        <v>7525</v>
      </c>
      <c r="B5493" s="46" t="s">
        <v>38</v>
      </c>
      <c r="C5493" s="46" t="s">
        <v>14</v>
      </c>
      <c r="D5493" s="47">
        <v>698</v>
      </c>
      <c r="E5493" s="46" t="s">
        <v>7526</v>
      </c>
      <c r="F5493" s="48">
        <v>39128</v>
      </c>
      <c r="G5493" s="48">
        <v>39390</v>
      </c>
      <c r="H5493" s="46" t="s">
        <v>40</v>
      </c>
      <c r="I5493" s="45">
        <v>1178</v>
      </c>
      <c r="J5493" s="45">
        <v>177.5</v>
      </c>
      <c r="K5493" s="49" t="s">
        <v>7456</v>
      </c>
      <c r="L5493" s="45"/>
      <c r="M5493" s="3"/>
    </row>
    <row r="5494" spans="1:13" ht="25.5" x14ac:dyDescent="0.25">
      <c r="A5494" s="46" t="s">
        <v>7529</v>
      </c>
      <c r="B5494" s="46" t="s">
        <v>38</v>
      </c>
      <c r="C5494" s="46" t="s">
        <v>14</v>
      </c>
      <c r="D5494" s="47">
        <v>700</v>
      </c>
      <c r="E5494" s="46" t="s">
        <v>7530</v>
      </c>
      <c r="F5494" s="48">
        <v>39083</v>
      </c>
      <c r="G5494" s="48">
        <v>39447</v>
      </c>
      <c r="H5494" s="46" t="s">
        <v>40</v>
      </c>
      <c r="I5494" s="45">
        <v>30000</v>
      </c>
      <c r="J5494" s="45">
        <v>30000</v>
      </c>
      <c r="K5494" s="49" t="s">
        <v>7456</v>
      </c>
      <c r="L5494" s="45"/>
      <c r="M5494" s="3"/>
    </row>
    <row r="5495" spans="1:13" ht="25.5" x14ac:dyDescent="0.25">
      <c r="A5495" s="46" t="s">
        <v>7531</v>
      </c>
      <c r="B5495" s="46" t="s">
        <v>38</v>
      </c>
      <c r="C5495" s="46" t="s">
        <v>14</v>
      </c>
      <c r="D5495" s="47">
        <v>713</v>
      </c>
      <c r="E5495" s="46" t="s">
        <v>7532</v>
      </c>
      <c r="F5495" s="48">
        <v>39091</v>
      </c>
      <c r="G5495" s="48">
        <v>39370</v>
      </c>
      <c r="H5495" s="46" t="s">
        <v>40</v>
      </c>
      <c r="I5495" s="45">
        <v>3825</v>
      </c>
      <c r="J5495" s="45">
        <v>3725</v>
      </c>
      <c r="K5495" s="49" t="s">
        <v>7456</v>
      </c>
      <c r="L5495" s="45"/>
      <c r="M5495" s="3"/>
    </row>
    <row r="5496" spans="1:13" ht="25.5" x14ac:dyDescent="0.25">
      <c r="A5496" s="46" t="s">
        <v>7533</v>
      </c>
      <c r="B5496" s="46" t="s">
        <v>38</v>
      </c>
      <c r="C5496" s="46" t="s">
        <v>14</v>
      </c>
      <c r="D5496" s="47">
        <v>715</v>
      </c>
      <c r="E5496" s="46" t="s">
        <v>7534</v>
      </c>
      <c r="F5496" s="48">
        <v>39134</v>
      </c>
      <c r="G5496" s="48">
        <v>39437</v>
      </c>
      <c r="H5496" s="46" t="s">
        <v>40</v>
      </c>
      <c r="I5496" s="45">
        <v>153573</v>
      </c>
      <c r="J5496" s="45">
        <v>61429</v>
      </c>
      <c r="K5496" s="49" t="s">
        <v>7456</v>
      </c>
      <c r="L5496" s="45"/>
      <c r="M5496" s="3"/>
    </row>
    <row r="5497" spans="1:13" ht="25.5" x14ac:dyDescent="0.25">
      <c r="A5497" s="46" t="s">
        <v>7537</v>
      </c>
      <c r="B5497" s="46" t="s">
        <v>38</v>
      </c>
      <c r="C5497" s="46" t="s">
        <v>14</v>
      </c>
      <c r="D5497" s="47">
        <v>718</v>
      </c>
      <c r="E5497" s="46" t="s">
        <v>7538</v>
      </c>
      <c r="F5497" s="48">
        <v>39085</v>
      </c>
      <c r="G5497" s="48">
        <v>39421</v>
      </c>
      <c r="H5497" s="46" t="s">
        <v>40</v>
      </c>
      <c r="I5497" s="45">
        <v>23119</v>
      </c>
      <c r="J5497" s="45">
        <v>23118.9</v>
      </c>
      <c r="K5497" s="49" t="s">
        <v>7456</v>
      </c>
      <c r="L5497" s="45"/>
      <c r="M5497" s="3"/>
    </row>
    <row r="5498" spans="1:13" ht="25.5" x14ac:dyDescent="0.25">
      <c r="A5498" s="46" t="s">
        <v>7539</v>
      </c>
      <c r="B5498" s="46" t="s">
        <v>38</v>
      </c>
      <c r="C5498" s="46" t="s">
        <v>14</v>
      </c>
      <c r="D5498" s="47">
        <v>719</v>
      </c>
      <c r="E5498" s="46" t="s">
        <v>7540</v>
      </c>
      <c r="F5498" s="48">
        <v>39093</v>
      </c>
      <c r="G5498" s="48">
        <v>39436</v>
      </c>
      <c r="H5498" s="46" t="s">
        <v>40</v>
      </c>
      <c r="I5498" s="45">
        <v>46003</v>
      </c>
      <c r="J5498" s="45">
        <v>46003</v>
      </c>
      <c r="K5498" s="49" t="s">
        <v>7456</v>
      </c>
      <c r="L5498" s="45"/>
      <c r="M5498" s="3"/>
    </row>
    <row r="5499" spans="1:13" ht="25.5" x14ac:dyDescent="0.25">
      <c r="A5499" s="46" t="s">
        <v>7541</v>
      </c>
      <c r="B5499" s="46" t="s">
        <v>38</v>
      </c>
      <c r="C5499" s="46" t="s">
        <v>14</v>
      </c>
      <c r="D5499" s="47">
        <v>722</v>
      </c>
      <c r="E5499" s="46" t="s">
        <v>7542</v>
      </c>
      <c r="F5499" s="48">
        <v>39351</v>
      </c>
      <c r="G5499" s="48">
        <v>39421</v>
      </c>
      <c r="H5499" s="46" t="s">
        <v>40</v>
      </c>
      <c r="I5499" s="45">
        <v>3238</v>
      </c>
      <c r="J5499" s="45">
        <v>3238</v>
      </c>
      <c r="K5499" s="49" t="s">
        <v>7456</v>
      </c>
      <c r="L5499" s="45"/>
      <c r="M5499" s="3"/>
    </row>
    <row r="5500" spans="1:13" ht="25.5" x14ac:dyDescent="0.25">
      <c r="A5500" s="46" t="s">
        <v>7543</v>
      </c>
      <c r="B5500" s="46" t="s">
        <v>38</v>
      </c>
      <c r="C5500" s="46" t="s">
        <v>14</v>
      </c>
      <c r="D5500" s="47">
        <v>723</v>
      </c>
      <c r="E5500" s="46" t="s">
        <v>7544</v>
      </c>
      <c r="F5500" s="48">
        <v>39091</v>
      </c>
      <c r="G5500" s="48">
        <v>39103</v>
      </c>
      <c r="H5500" s="46" t="s">
        <v>40</v>
      </c>
      <c r="I5500" s="45">
        <v>45017</v>
      </c>
      <c r="J5500" s="45">
        <v>45016.79</v>
      </c>
      <c r="K5500" s="49" t="s">
        <v>7456</v>
      </c>
      <c r="L5500" s="45"/>
      <c r="M5500" s="3"/>
    </row>
    <row r="5501" spans="1:13" ht="25.5" x14ac:dyDescent="0.25">
      <c r="A5501" s="46" t="s">
        <v>7548</v>
      </c>
      <c r="B5501" s="46" t="s">
        <v>38</v>
      </c>
      <c r="C5501" s="46" t="s">
        <v>14</v>
      </c>
      <c r="D5501" s="47">
        <v>727</v>
      </c>
      <c r="E5501" s="46" t="s">
        <v>7549</v>
      </c>
      <c r="F5501" s="48">
        <v>39169</v>
      </c>
      <c r="G5501" s="48">
        <v>39434</v>
      </c>
      <c r="H5501" s="46" t="s">
        <v>40</v>
      </c>
      <c r="I5501" s="45">
        <v>44473</v>
      </c>
      <c r="J5501" s="45">
        <v>38652.6</v>
      </c>
      <c r="K5501" s="49" t="s">
        <v>7456</v>
      </c>
      <c r="L5501" s="45"/>
      <c r="M5501" s="3"/>
    </row>
    <row r="5502" spans="1:13" ht="25.5" x14ac:dyDescent="0.25">
      <c r="A5502" s="46" t="s">
        <v>7558</v>
      </c>
      <c r="B5502" s="46" t="s">
        <v>38</v>
      </c>
      <c r="C5502" s="46" t="s">
        <v>14</v>
      </c>
      <c r="D5502" s="47">
        <v>3396</v>
      </c>
      <c r="E5502" s="46" t="s">
        <v>7559</v>
      </c>
      <c r="F5502" s="48">
        <v>39478</v>
      </c>
      <c r="G5502" s="48">
        <v>39801</v>
      </c>
      <c r="H5502" s="46" t="s">
        <v>40</v>
      </c>
      <c r="I5502" s="45">
        <v>32057.31</v>
      </c>
      <c r="J5502" s="45">
        <v>26138.76</v>
      </c>
      <c r="K5502" s="49" t="s">
        <v>7456</v>
      </c>
      <c r="L5502" s="45"/>
      <c r="M5502" s="3"/>
    </row>
    <row r="5503" spans="1:13" ht="25.5" x14ac:dyDescent="0.25">
      <c r="A5503" s="46" t="s">
        <v>7560</v>
      </c>
      <c r="B5503" s="46" t="s">
        <v>38</v>
      </c>
      <c r="C5503" s="46" t="s">
        <v>14</v>
      </c>
      <c r="D5503" s="47">
        <v>3397</v>
      </c>
      <c r="E5503" s="46" t="s">
        <v>7522</v>
      </c>
      <c r="F5503" s="48">
        <v>39477</v>
      </c>
      <c r="G5503" s="48">
        <v>39799</v>
      </c>
      <c r="H5503" s="46" t="s">
        <v>40</v>
      </c>
      <c r="I5503" s="45">
        <v>22747.52</v>
      </c>
      <c r="J5503" s="45">
        <v>21088.62</v>
      </c>
      <c r="K5503" s="49" t="s">
        <v>7456</v>
      </c>
      <c r="L5503" s="45"/>
      <c r="M5503" s="3"/>
    </row>
    <row r="5504" spans="1:13" ht="25.5" x14ac:dyDescent="0.25">
      <c r="A5504" s="46" t="s">
        <v>7561</v>
      </c>
      <c r="B5504" s="46" t="s">
        <v>38</v>
      </c>
      <c r="C5504" s="46" t="s">
        <v>14</v>
      </c>
      <c r="D5504" s="47">
        <v>3398</v>
      </c>
      <c r="E5504" s="46" t="s">
        <v>7562</v>
      </c>
      <c r="F5504" s="48">
        <v>39477</v>
      </c>
      <c r="G5504" s="48">
        <v>39677</v>
      </c>
      <c r="H5504" s="46" t="s">
        <v>40</v>
      </c>
      <c r="I5504" s="45">
        <v>2302.85</v>
      </c>
      <c r="J5504" s="45">
        <v>2302.85</v>
      </c>
      <c r="K5504" s="49" t="s">
        <v>7456</v>
      </c>
      <c r="L5504" s="45"/>
      <c r="M5504" s="3"/>
    </row>
    <row r="5505" spans="1:13" ht="25.5" x14ac:dyDescent="0.25">
      <c r="A5505" s="46" t="s">
        <v>7563</v>
      </c>
      <c r="B5505" s="46" t="s">
        <v>38</v>
      </c>
      <c r="C5505" s="46" t="s">
        <v>14</v>
      </c>
      <c r="D5505" s="47">
        <v>3399</v>
      </c>
      <c r="E5505" s="46" t="s">
        <v>7526</v>
      </c>
      <c r="F5505" s="48">
        <v>39477</v>
      </c>
      <c r="G5505" s="48">
        <v>39677</v>
      </c>
      <c r="H5505" s="46" t="s">
        <v>40</v>
      </c>
      <c r="I5505" s="45">
        <v>2025</v>
      </c>
      <c r="J5505" s="45">
        <v>55</v>
      </c>
      <c r="K5505" s="49" t="s">
        <v>7456</v>
      </c>
      <c r="L5505" s="45"/>
      <c r="M5505" s="3"/>
    </row>
    <row r="5506" spans="1:13" ht="25.5" x14ac:dyDescent="0.25">
      <c r="A5506" s="46" t="s">
        <v>7564</v>
      </c>
      <c r="B5506" s="46" t="s">
        <v>38</v>
      </c>
      <c r="C5506" s="46" t="s">
        <v>14</v>
      </c>
      <c r="D5506" s="47">
        <v>3401</v>
      </c>
      <c r="E5506" s="46" t="s">
        <v>7565</v>
      </c>
      <c r="F5506" s="48">
        <v>39477</v>
      </c>
      <c r="G5506" s="48">
        <v>39691</v>
      </c>
      <c r="H5506" s="46" t="s">
        <v>40</v>
      </c>
      <c r="I5506" s="45">
        <v>60000</v>
      </c>
      <c r="J5506" s="45">
        <v>60000</v>
      </c>
      <c r="K5506" s="49" t="s">
        <v>7456</v>
      </c>
      <c r="L5506" s="45"/>
      <c r="M5506" s="3"/>
    </row>
    <row r="5507" spans="1:13" ht="25.5" x14ac:dyDescent="0.25">
      <c r="A5507" s="46" t="s">
        <v>7566</v>
      </c>
      <c r="B5507" s="46" t="s">
        <v>38</v>
      </c>
      <c r="C5507" s="46" t="s">
        <v>14</v>
      </c>
      <c r="D5507" s="47">
        <v>3402</v>
      </c>
      <c r="E5507" s="46" t="s">
        <v>7532</v>
      </c>
      <c r="F5507" s="48">
        <v>39477</v>
      </c>
      <c r="G5507" s="48">
        <v>39799</v>
      </c>
      <c r="H5507" s="46" t="s">
        <v>40</v>
      </c>
      <c r="I5507" s="45">
        <v>3000</v>
      </c>
      <c r="J5507" s="45">
        <v>3000</v>
      </c>
      <c r="K5507" s="49" t="s">
        <v>7456</v>
      </c>
      <c r="L5507" s="45"/>
      <c r="M5507" s="3"/>
    </row>
    <row r="5508" spans="1:13" ht="25.5" x14ac:dyDescent="0.25">
      <c r="A5508" s="46" t="s">
        <v>7567</v>
      </c>
      <c r="B5508" s="46" t="s">
        <v>38</v>
      </c>
      <c r="C5508" s="46" t="s">
        <v>14</v>
      </c>
      <c r="D5508" s="47">
        <v>3403</v>
      </c>
      <c r="E5508" s="46" t="s">
        <v>7534</v>
      </c>
      <c r="F5508" s="48">
        <v>39477</v>
      </c>
      <c r="G5508" s="48">
        <v>39799</v>
      </c>
      <c r="H5508" s="46" t="s">
        <v>40</v>
      </c>
      <c r="I5508" s="45">
        <v>34970.199999999997</v>
      </c>
      <c r="J5508" s="45">
        <v>34970.199999999997</v>
      </c>
      <c r="K5508" s="49" t="s">
        <v>7456</v>
      </c>
      <c r="L5508" s="45"/>
      <c r="M5508" s="3"/>
    </row>
    <row r="5509" spans="1:13" ht="25.5" x14ac:dyDescent="0.25">
      <c r="A5509" s="46" t="s">
        <v>7568</v>
      </c>
      <c r="B5509" s="46" t="s">
        <v>38</v>
      </c>
      <c r="C5509" s="46" t="s">
        <v>14</v>
      </c>
      <c r="D5509" s="47">
        <v>3404</v>
      </c>
      <c r="E5509" s="46" t="s">
        <v>7538</v>
      </c>
      <c r="F5509" s="48">
        <v>39477</v>
      </c>
      <c r="G5509" s="48">
        <v>39813</v>
      </c>
      <c r="H5509" s="46" t="s">
        <v>40</v>
      </c>
      <c r="I5509" s="45">
        <v>19052.240000000002</v>
      </c>
      <c r="J5509" s="45">
        <v>19052.240000000002</v>
      </c>
      <c r="K5509" s="49" t="s">
        <v>7456</v>
      </c>
      <c r="L5509" s="45"/>
      <c r="M5509" s="3"/>
    </row>
    <row r="5510" spans="1:13" ht="25.5" x14ac:dyDescent="0.25">
      <c r="A5510" s="46" t="s">
        <v>7569</v>
      </c>
      <c r="B5510" s="46" t="s">
        <v>38</v>
      </c>
      <c r="C5510" s="46" t="s">
        <v>14</v>
      </c>
      <c r="D5510" s="47">
        <v>3405</v>
      </c>
      <c r="E5510" s="46" t="s">
        <v>7540</v>
      </c>
      <c r="F5510" s="48">
        <v>39477</v>
      </c>
      <c r="G5510" s="48">
        <v>39799</v>
      </c>
      <c r="H5510" s="46" t="s">
        <v>40</v>
      </c>
      <c r="I5510" s="45">
        <v>12880.34</v>
      </c>
      <c r="J5510" s="45">
        <v>12880.34</v>
      </c>
      <c r="K5510" s="49" t="s">
        <v>7456</v>
      </c>
      <c r="L5510" s="45"/>
      <c r="M5510" s="3"/>
    </row>
    <row r="5511" spans="1:13" ht="25.5" x14ac:dyDescent="0.25">
      <c r="A5511" s="46" t="s">
        <v>7570</v>
      </c>
      <c r="B5511" s="46" t="s">
        <v>38</v>
      </c>
      <c r="C5511" s="46" t="s">
        <v>14</v>
      </c>
      <c r="D5511" s="47">
        <v>3406</v>
      </c>
      <c r="E5511" s="46" t="s">
        <v>7542</v>
      </c>
      <c r="F5511" s="48">
        <v>39477</v>
      </c>
      <c r="G5511" s="48">
        <v>39799</v>
      </c>
      <c r="H5511" s="46" t="s">
        <v>40</v>
      </c>
      <c r="I5511" s="45">
        <v>8949.65</v>
      </c>
      <c r="J5511" s="45">
        <v>8949.65</v>
      </c>
      <c r="K5511" s="49" t="s">
        <v>7456</v>
      </c>
      <c r="L5511" s="45"/>
      <c r="M5511" s="3"/>
    </row>
    <row r="5512" spans="1:13" ht="25.5" x14ac:dyDescent="0.25">
      <c r="A5512" s="46" t="s">
        <v>7571</v>
      </c>
      <c r="B5512" s="46" t="s">
        <v>38</v>
      </c>
      <c r="C5512" s="46" t="s">
        <v>14</v>
      </c>
      <c r="D5512" s="47">
        <v>3407</v>
      </c>
      <c r="E5512" s="46" t="s">
        <v>7544</v>
      </c>
      <c r="F5512" s="48">
        <v>39477</v>
      </c>
      <c r="G5512" s="48">
        <v>39799</v>
      </c>
      <c r="H5512" s="46" t="s">
        <v>40</v>
      </c>
      <c r="I5512" s="45">
        <v>52126.15</v>
      </c>
      <c r="J5512" s="45">
        <v>51337.85</v>
      </c>
      <c r="K5512" s="49" t="s">
        <v>7456</v>
      </c>
      <c r="L5512" s="45"/>
      <c r="M5512" s="3"/>
    </row>
    <row r="5513" spans="1:13" ht="25.5" x14ac:dyDescent="0.25">
      <c r="A5513" s="46" t="s">
        <v>7572</v>
      </c>
      <c r="B5513" s="46" t="s">
        <v>38</v>
      </c>
      <c r="C5513" s="46" t="s">
        <v>14</v>
      </c>
      <c r="D5513" s="47">
        <v>3410</v>
      </c>
      <c r="E5513" s="46" t="s">
        <v>7549</v>
      </c>
      <c r="F5513" s="48">
        <v>39477</v>
      </c>
      <c r="G5513" s="48">
        <v>39799</v>
      </c>
      <c r="H5513" s="46" t="s">
        <v>40</v>
      </c>
      <c r="I5513" s="45">
        <v>71496.38</v>
      </c>
      <c r="J5513" s="45">
        <v>71496.38</v>
      </c>
      <c r="K5513" s="49" t="s">
        <v>7456</v>
      </c>
      <c r="L5513" s="45"/>
      <c r="M5513" s="3"/>
    </row>
    <row r="5514" spans="1:13" ht="25.5" x14ac:dyDescent="0.25">
      <c r="A5514" s="46" t="s">
        <v>7573</v>
      </c>
      <c r="B5514" s="46" t="s">
        <v>38</v>
      </c>
      <c r="C5514" s="46" t="s">
        <v>14</v>
      </c>
      <c r="D5514" s="47">
        <v>3411</v>
      </c>
      <c r="E5514" s="46" t="s">
        <v>7553</v>
      </c>
      <c r="F5514" s="48">
        <v>39477</v>
      </c>
      <c r="G5514" s="48">
        <v>39799</v>
      </c>
      <c r="H5514" s="46" t="s">
        <v>40</v>
      </c>
      <c r="I5514" s="45">
        <v>8714.75</v>
      </c>
      <c r="J5514" s="45">
        <v>3158.2</v>
      </c>
      <c r="K5514" s="49" t="s">
        <v>7456</v>
      </c>
      <c r="L5514" s="45"/>
      <c r="M5514" s="3"/>
    </row>
    <row r="5515" spans="1:13" ht="25.5" x14ac:dyDescent="0.25">
      <c r="A5515" s="46" t="s">
        <v>7574</v>
      </c>
      <c r="B5515" s="46" t="s">
        <v>38</v>
      </c>
      <c r="C5515" s="46" t="s">
        <v>14</v>
      </c>
      <c r="D5515" s="47">
        <v>3412</v>
      </c>
      <c r="E5515" s="46" t="s">
        <v>7575</v>
      </c>
      <c r="F5515" s="48">
        <v>39477</v>
      </c>
      <c r="G5515" s="48">
        <v>39813</v>
      </c>
      <c r="H5515" s="46" t="s">
        <v>40</v>
      </c>
      <c r="I5515" s="45">
        <v>7606.66</v>
      </c>
      <c r="J5515" s="45">
        <v>7606.66</v>
      </c>
      <c r="K5515" s="49" t="s">
        <v>7456</v>
      </c>
      <c r="L5515" s="45"/>
      <c r="M5515" s="3"/>
    </row>
    <row r="5516" spans="1:13" ht="25.5" x14ac:dyDescent="0.25">
      <c r="A5516" s="46" t="s">
        <v>7576</v>
      </c>
      <c r="B5516" s="46" t="s">
        <v>38</v>
      </c>
      <c r="C5516" s="46" t="s">
        <v>14</v>
      </c>
      <c r="D5516" s="47">
        <v>3413</v>
      </c>
      <c r="E5516" s="46" t="s">
        <v>7577</v>
      </c>
      <c r="F5516" s="48">
        <v>39477</v>
      </c>
      <c r="G5516" s="48">
        <v>39813</v>
      </c>
      <c r="H5516" s="46" t="s">
        <v>40</v>
      </c>
      <c r="I5516" s="45">
        <v>33423.949999999997</v>
      </c>
      <c r="J5516" s="45">
        <v>33423.949999999997</v>
      </c>
      <c r="K5516" s="49" t="s">
        <v>7456</v>
      </c>
      <c r="L5516" s="45"/>
      <c r="M5516" s="3"/>
    </row>
    <row r="5517" spans="1:13" ht="25.5" x14ac:dyDescent="0.25">
      <c r="A5517" s="46" t="s">
        <v>7578</v>
      </c>
      <c r="B5517" s="46" t="s">
        <v>38</v>
      </c>
      <c r="C5517" s="46" t="s">
        <v>14</v>
      </c>
      <c r="D5517" s="47">
        <v>3414</v>
      </c>
      <c r="E5517" s="46" t="s">
        <v>7579</v>
      </c>
      <c r="F5517" s="48">
        <v>39477</v>
      </c>
      <c r="G5517" s="48">
        <v>39813</v>
      </c>
      <c r="H5517" s="46" t="s">
        <v>40</v>
      </c>
      <c r="I5517" s="45">
        <v>8000</v>
      </c>
      <c r="J5517" s="45">
        <v>8000</v>
      </c>
      <c r="K5517" s="49" t="s">
        <v>7456</v>
      </c>
      <c r="L5517" s="45"/>
      <c r="M5517" s="3"/>
    </row>
    <row r="5518" spans="1:13" ht="25.5" x14ac:dyDescent="0.25">
      <c r="A5518" s="46" t="s">
        <v>7580</v>
      </c>
      <c r="B5518" s="46" t="s">
        <v>38</v>
      </c>
      <c r="C5518" s="46" t="s">
        <v>14</v>
      </c>
      <c r="D5518" s="47">
        <v>3416</v>
      </c>
      <c r="E5518" s="46" t="s">
        <v>7581</v>
      </c>
      <c r="F5518" s="48">
        <v>39477</v>
      </c>
      <c r="G5518" s="48">
        <v>39799</v>
      </c>
      <c r="H5518" s="46" t="s">
        <v>40</v>
      </c>
      <c r="I5518" s="45">
        <v>6316.74</v>
      </c>
      <c r="J5518" s="45">
        <v>6316.74</v>
      </c>
      <c r="K5518" s="49" t="s">
        <v>7456</v>
      </c>
      <c r="L5518" s="45"/>
      <c r="M5518" s="3"/>
    </row>
    <row r="5519" spans="1:13" ht="25.5" x14ac:dyDescent="0.25">
      <c r="A5519" s="46" t="s">
        <v>7582</v>
      </c>
      <c r="B5519" s="46" t="s">
        <v>38</v>
      </c>
      <c r="C5519" s="46" t="s">
        <v>14</v>
      </c>
      <c r="D5519" s="47">
        <v>3417</v>
      </c>
      <c r="E5519" s="46" t="s">
        <v>7583</v>
      </c>
      <c r="F5519" s="48">
        <v>39477</v>
      </c>
      <c r="G5519" s="48">
        <v>39813</v>
      </c>
      <c r="H5519" s="46" t="s">
        <v>40</v>
      </c>
      <c r="I5519" s="45">
        <v>5510</v>
      </c>
      <c r="J5519" s="45">
        <v>5510</v>
      </c>
      <c r="K5519" s="49" t="s">
        <v>7456</v>
      </c>
      <c r="L5519" s="45"/>
      <c r="M5519" s="3"/>
    </row>
    <row r="5520" spans="1:13" ht="25.5" x14ac:dyDescent="0.25">
      <c r="A5520" s="46" t="s">
        <v>7584</v>
      </c>
      <c r="B5520" s="46" t="s">
        <v>38</v>
      </c>
      <c r="C5520" s="46" t="s">
        <v>14</v>
      </c>
      <c r="D5520" s="47">
        <v>3419</v>
      </c>
      <c r="E5520" s="46" t="s">
        <v>7585</v>
      </c>
      <c r="F5520" s="48">
        <v>39477</v>
      </c>
      <c r="G5520" s="48">
        <v>39799</v>
      </c>
      <c r="H5520" s="46" t="s">
        <v>40</v>
      </c>
      <c r="I5520" s="45">
        <v>11004.29</v>
      </c>
      <c r="J5520" s="45">
        <v>11004.29</v>
      </c>
      <c r="K5520" s="49" t="s">
        <v>7456</v>
      </c>
      <c r="L5520" s="45"/>
      <c r="M5520" s="3"/>
    </row>
    <row r="5521" spans="1:13" ht="25.5" x14ac:dyDescent="0.25">
      <c r="A5521" s="46" t="s">
        <v>7605</v>
      </c>
      <c r="B5521" s="46" t="s">
        <v>38</v>
      </c>
      <c r="C5521" s="46" t="s">
        <v>14</v>
      </c>
      <c r="D5521" s="47">
        <v>3837</v>
      </c>
      <c r="E5521" s="46" t="s">
        <v>7606</v>
      </c>
      <c r="F5521" s="48">
        <v>39553</v>
      </c>
      <c r="G5521" s="48">
        <v>39568</v>
      </c>
      <c r="H5521" s="46" t="s">
        <v>40</v>
      </c>
      <c r="I5521" s="45">
        <v>1900</v>
      </c>
      <c r="J5521" s="45">
        <v>1900</v>
      </c>
      <c r="K5521" s="49" t="s">
        <v>7456</v>
      </c>
      <c r="L5521" s="45"/>
      <c r="M5521" s="3"/>
    </row>
    <row r="5522" spans="1:13" ht="51" x14ac:dyDescent="0.25">
      <c r="A5522" s="46" t="s">
        <v>7641</v>
      </c>
      <c r="B5522" s="46" t="s">
        <v>38</v>
      </c>
      <c r="C5522" s="46" t="s">
        <v>14</v>
      </c>
      <c r="D5522" s="47">
        <v>4913</v>
      </c>
      <c r="E5522" s="50" t="s">
        <v>7642</v>
      </c>
      <c r="F5522" s="48">
        <v>39845</v>
      </c>
      <c r="G5522" s="48">
        <v>39946</v>
      </c>
      <c r="H5522" s="46" t="s">
        <v>40</v>
      </c>
      <c r="I5522" s="45">
        <v>930.4</v>
      </c>
      <c r="J5522" s="45">
        <v>930.4</v>
      </c>
      <c r="K5522" s="49" t="s">
        <v>7456</v>
      </c>
      <c r="L5522" s="45"/>
      <c r="M5522" s="3"/>
    </row>
    <row r="5523" spans="1:13" ht="25.5" x14ac:dyDescent="0.25">
      <c r="A5523" s="46" t="s">
        <v>7643</v>
      </c>
      <c r="B5523" s="46" t="s">
        <v>38</v>
      </c>
      <c r="C5523" s="46" t="s">
        <v>14</v>
      </c>
      <c r="D5523" s="47">
        <v>4924</v>
      </c>
      <c r="E5523" s="46" t="s">
        <v>7644</v>
      </c>
      <c r="F5523" s="48">
        <v>39877</v>
      </c>
      <c r="G5523" s="48">
        <v>40151</v>
      </c>
      <c r="H5523" s="46" t="s">
        <v>40</v>
      </c>
      <c r="I5523" s="45">
        <v>510</v>
      </c>
      <c r="J5523" s="45">
        <v>510</v>
      </c>
      <c r="K5523" s="49" t="s">
        <v>7456</v>
      </c>
      <c r="L5523" s="45"/>
      <c r="M5523" s="3"/>
    </row>
    <row r="5524" spans="1:13" ht="25.5" x14ac:dyDescent="0.25">
      <c r="A5524" s="46" t="s">
        <v>7645</v>
      </c>
      <c r="B5524" s="46" t="s">
        <v>38</v>
      </c>
      <c r="C5524" s="46" t="s">
        <v>14</v>
      </c>
      <c r="D5524" s="47">
        <v>4926</v>
      </c>
      <c r="E5524" s="46" t="s">
        <v>7646</v>
      </c>
      <c r="F5524" s="48">
        <v>39855</v>
      </c>
      <c r="G5524" s="48">
        <v>40156</v>
      </c>
      <c r="H5524" s="46" t="s">
        <v>40</v>
      </c>
      <c r="I5524" s="45">
        <v>32950.93</v>
      </c>
      <c r="J5524" s="45">
        <v>32950.93</v>
      </c>
      <c r="K5524" s="49" t="s">
        <v>7456</v>
      </c>
      <c r="L5524" s="45"/>
      <c r="M5524" s="3"/>
    </row>
    <row r="5525" spans="1:13" ht="25.5" x14ac:dyDescent="0.25">
      <c r="A5525" s="46" t="s">
        <v>7647</v>
      </c>
      <c r="B5525" s="46" t="s">
        <v>38</v>
      </c>
      <c r="C5525" s="46" t="s">
        <v>14</v>
      </c>
      <c r="D5525" s="47">
        <v>4928</v>
      </c>
      <c r="E5525" s="46" t="s">
        <v>7648</v>
      </c>
      <c r="F5525" s="48">
        <v>39843</v>
      </c>
      <c r="G5525" s="48">
        <v>40177</v>
      </c>
      <c r="H5525" s="46" t="s">
        <v>40</v>
      </c>
      <c r="I5525" s="45">
        <v>53367.69</v>
      </c>
      <c r="J5525" s="45">
        <v>53367.69</v>
      </c>
      <c r="K5525" s="49" t="s">
        <v>7456</v>
      </c>
      <c r="L5525" s="45"/>
      <c r="M5525" s="3"/>
    </row>
    <row r="5526" spans="1:13" ht="51" x14ac:dyDescent="0.25">
      <c r="A5526" s="46" t="s">
        <v>3262</v>
      </c>
      <c r="B5526" s="46" t="s">
        <v>38</v>
      </c>
      <c r="C5526" s="46" t="s">
        <v>14</v>
      </c>
      <c r="D5526" s="47">
        <v>4934</v>
      </c>
      <c r="E5526" s="50" t="s">
        <v>7649</v>
      </c>
      <c r="F5526" s="48">
        <v>39899</v>
      </c>
      <c r="G5526" s="48">
        <v>39899</v>
      </c>
      <c r="H5526" s="46" t="s">
        <v>40</v>
      </c>
      <c r="I5526" s="45">
        <v>619.65</v>
      </c>
      <c r="J5526" s="45">
        <v>619.65</v>
      </c>
      <c r="K5526" s="49" t="s">
        <v>7456</v>
      </c>
      <c r="L5526" s="45"/>
      <c r="M5526" s="3"/>
    </row>
    <row r="5527" spans="1:13" ht="25.5" x14ac:dyDescent="0.25">
      <c r="A5527" s="46" t="s">
        <v>7650</v>
      </c>
      <c r="B5527" s="46" t="s">
        <v>38</v>
      </c>
      <c r="C5527" s="46" t="s">
        <v>14</v>
      </c>
      <c r="D5527" s="47">
        <v>4950</v>
      </c>
      <c r="E5527" s="46" t="s">
        <v>7651</v>
      </c>
      <c r="F5527" s="48">
        <v>40114</v>
      </c>
      <c r="G5527" s="48">
        <v>40168</v>
      </c>
      <c r="H5527" s="46" t="s">
        <v>40</v>
      </c>
      <c r="I5527" s="45">
        <v>836.93</v>
      </c>
      <c r="J5527" s="45">
        <v>836.93</v>
      </c>
      <c r="K5527" s="49" t="s">
        <v>7456</v>
      </c>
      <c r="L5527" s="45"/>
      <c r="M5527" s="3"/>
    </row>
    <row r="5528" spans="1:13" ht="25.5" x14ac:dyDescent="0.25">
      <c r="A5528" s="46" t="s">
        <v>7652</v>
      </c>
      <c r="B5528" s="46" t="s">
        <v>38</v>
      </c>
      <c r="C5528" s="46" t="s">
        <v>14</v>
      </c>
      <c r="D5528" s="47">
        <v>4961</v>
      </c>
      <c r="E5528" s="46" t="s">
        <v>7653</v>
      </c>
      <c r="F5528" s="48">
        <v>39819</v>
      </c>
      <c r="G5528" s="48">
        <v>39821</v>
      </c>
      <c r="H5528" s="46" t="s">
        <v>40</v>
      </c>
      <c r="I5528" s="45">
        <v>3997</v>
      </c>
      <c r="J5528" s="45">
        <v>3997</v>
      </c>
      <c r="K5528" s="49" t="s">
        <v>7456</v>
      </c>
      <c r="L5528" s="45"/>
      <c r="M5528" s="3"/>
    </row>
    <row r="5529" spans="1:13" ht="25.5" x14ac:dyDescent="0.25">
      <c r="A5529" s="46" t="s">
        <v>7654</v>
      </c>
      <c r="B5529" s="46" t="s">
        <v>38</v>
      </c>
      <c r="C5529" s="46" t="s">
        <v>14</v>
      </c>
      <c r="D5529" s="47">
        <v>4976</v>
      </c>
      <c r="E5529" s="46" t="s">
        <v>7655</v>
      </c>
      <c r="F5529" s="48">
        <v>40101</v>
      </c>
      <c r="G5529" s="48">
        <v>40161</v>
      </c>
      <c r="H5529" s="46" t="s">
        <v>40</v>
      </c>
      <c r="I5529" s="45">
        <v>727.92</v>
      </c>
      <c r="J5529" s="45">
        <v>387.92</v>
      </c>
      <c r="K5529" s="49" t="s">
        <v>7456</v>
      </c>
      <c r="L5529" s="45"/>
      <c r="M5529" s="3"/>
    </row>
    <row r="5530" spans="1:13" ht="25.5" x14ac:dyDescent="0.25">
      <c r="A5530" s="46" t="s">
        <v>7656</v>
      </c>
      <c r="B5530" s="46" t="s">
        <v>38</v>
      </c>
      <c r="C5530" s="46" t="s">
        <v>14</v>
      </c>
      <c r="D5530" s="47">
        <v>5001</v>
      </c>
      <c r="E5530" s="46" t="s">
        <v>7657</v>
      </c>
      <c r="F5530" s="48">
        <v>39975</v>
      </c>
      <c r="G5530" s="48">
        <v>39975</v>
      </c>
      <c r="H5530" s="46" t="s">
        <v>40</v>
      </c>
      <c r="I5530" s="45">
        <v>1771.28</v>
      </c>
      <c r="J5530" s="45">
        <v>641.28</v>
      </c>
      <c r="K5530" s="49" t="s">
        <v>7456</v>
      </c>
      <c r="L5530" s="45"/>
      <c r="M5530" s="3"/>
    </row>
    <row r="5531" spans="1:13" ht="25.5" x14ac:dyDescent="0.25">
      <c r="A5531" s="46" t="s">
        <v>7658</v>
      </c>
      <c r="B5531" s="46" t="s">
        <v>38</v>
      </c>
      <c r="C5531" s="46" t="s">
        <v>14</v>
      </c>
      <c r="D5531" s="47">
        <v>5003</v>
      </c>
      <c r="E5531" s="46" t="s">
        <v>7659</v>
      </c>
      <c r="F5531" s="48">
        <v>39845</v>
      </c>
      <c r="G5531" s="48">
        <v>40001</v>
      </c>
      <c r="H5531" s="46" t="s">
        <v>40</v>
      </c>
      <c r="I5531" s="45">
        <v>5720</v>
      </c>
      <c r="J5531" s="45">
        <v>5720</v>
      </c>
      <c r="K5531" s="49" t="s">
        <v>7456</v>
      </c>
      <c r="L5531" s="45"/>
      <c r="M5531" s="3"/>
    </row>
    <row r="5532" spans="1:13" ht="25.5" x14ac:dyDescent="0.25">
      <c r="A5532" s="46" t="s">
        <v>7660</v>
      </c>
      <c r="B5532" s="46" t="s">
        <v>38</v>
      </c>
      <c r="C5532" s="46" t="s">
        <v>14</v>
      </c>
      <c r="D5532" s="47">
        <v>5007</v>
      </c>
      <c r="E5532" s="46" t="s">
        <v>7661</v>
      </c>
      <c r="F5532" s="48">
        <v>39850</v>
      </c>
      <c r="G5532" s="48">
        <v>40156</v>
      </c>
      <c r="H5532" s="46" t="s">
        <v>40</v>
      </c>
      <c r="I5532" s="45">
        <v>52328.57</v>
      </c>
      <c r="J5532" s="45">
        <v>52328.57</v>
      </c>
      <c r="K5532" s="49" t="s">
        <v>7456</v>
      </c>
      <c r="L5532" s="45"/>
      <c r="M5532" s="3"/>
    </row>
    <row r="5533" spans="1:13" ht="25.5" x14ac:dyDescent="0.25">
      <c r="A5533" s="46" t="s">
        <v>7662</v>
      </c>
      <c r="B5533" s="46" t="s">
        <v>38</v>
      </c>
      <c r="C5533" s="46" t="s">
        <v>14</v>
      </c>
      <c r="D5533" s="47">
        <v>5009</v>
      </c>
      <c r="E5533" s="46" t="s">
        <v>7663</v>
      </c>
      <c r="F5533" s="48">
        <v>40037</v>
      </c>
      <c r="G5533" s="48">
        <v>40037</v>
      </c>
      <c r="H5533" s="46" t="s">
        <v>40</v>
      </c>
      <c r="I5533" s="45">
        <v>8850</v>
      </c>
      <c r="J5533" s="45">
        <v>8850</v>
      </c>
      <c r="K5533" s="49" t="s">
        <v>7456</v>
      </c>
      <c r="L5533" s="45"/>
      <c r="M5533" s="3"/>
    </row>
    <row r="5534" spans="1:13" ht="25.5" x14ac:dyDescent="0.25">
      <c r="A5534" s="46" t="s">
        <v>7664</v>
      </c>
      <c r="B5534" s="46" t="s">
        <v>38</v>
      </c>
      <c r="C5534" s="46" t="s">
        <v>14</v>
      </c>
      <c r="D5534" s="47">
        <v>5010</v>
      </c>
      <c r="E5534" s="46" t="s">
        <v>7665</v>
      </c>
      <c r="F5534" s="48">
        <v>39843</v>
      </c>
      <c r="G5534" s="48">
        <v>40157</v>
      </c>
      <c r="H5534" s="46" t="s">
        <v>40</v>
      </c>
      <c r="I5534" s="45">
        <v>22341.39</v>
      </c>
      <c r="J5534" s="45">
        <v>22341.39</v>
      </c>
      <c r="K5534" s="49" t="s">
        <v>7456</v>
      </c>
      <c r="L5534" s="45"/>
      <c r="M5534" s="3"/>
    </row>
    <row r="5535" spans="1:13" ht="25.5" x14ac:dyDescent="0.25">
      <c r="A5535" s="46" t="s">
        <v>7666</v>
      </c>
      <c r="B5535" s="46" t="s">
        <v>38</v>
      </c>
      <c r="C5535" s="46" t="s">
        <v>14</v>
      </c>
      <c r="D5535" s="47">
        <v>5011</v>
      </c>
      <c r="E5535" s="46" t="s">
        <v>7667</v>
      </c>
      <c r="F5535" s="48">
        <v>40157</v>
      </c>
      <c r="G5535" s="48">
        <v>40157</v>
      </c>
      <c r="H5535" s="46" t="s">
        <v>40</v>
      </c>
      <c r="I5535" s="45">
        <v>789.75</v>
      </c>
      <c r="J5535" s="45">
        <v>789.75</v>
      </c>
      <c r="K5535" s="49" t="s">
        <v>7456</v>
      </c>
      <c r="L5535" s="45"/>
      <c r="M5535" s="3"/>
    </row>
    <row r="5536" spans="1:13" ht="25.5" x14ac:dyDescent="0.25">
      <c r="A5536" s="46" t="s">
        <v>7668</v>
      </c>
      <c r="B5536" s="46" t="s">
        <v>38</v>
      </c>
      <c r="C5536" s="46" t="s">
        <v>14</v>
      </c>
      <c r="D5536" s="47">
        <v>5013</v>
      </c>
      <c r="E5536" s="46" t="s">
        <v>7669</v>
      </c>
      <c r="F5536" s="48">
        <v>39974</v>
      </c>
      <c r="G5536" s="48">
        <v>39974</v>
      </c>
      <c r="H5536" s="46" t="s">
        <v>40</v>
      </c>
      <c r="I5536" s="45">
        <v>1371.5</v>
      </c>
      <c r="J5536" s="45">
        <v>1371.5</v>
      </c>
      <c r="K5536" s="49" t="s">
        <v>7456</v>
      </c>
      <c r="L5536" s="45"/>
      <c r="M5536" s="3"/>
    </row>
    <row r="5537" spans="1:13" ht="63.75" x14ac:dyDescent="0.25">
      <c r="A5537" s="46" t="s">
        <v>7670</v>
      </c>
      <c r="B5537" s="46" t="s">
        <v>38</v>
      </c>
      <c r="C5537" s="46" t="s">
        <v>14</v>
      </c>
      <c r="D5537" s="47">
        <v>5018</v>
      </c>
      <c r="E5537" s="50" t="s">
        <v>7671</v>
      </c>
      <c r="F5537" s="48">
        <v>39945</v>
      </c>
      <c r="G5537" s="48">
        <v>40129</v>
      </c>
      <c r="H5537" s="46" t="s">
        <v>40</v>
      </c>
      <c r="I5537" s="45">
        <v>2232.67</v>
      </c>
      <c r="J5537" s="45">
        <v>2232.67</v>
      </c>
      <c r="K5537" s="49" t="s">
        <v>7456</v>
      </c>
      <c r="L5537" s="45"/>
      <c r="M5537" s="3"/>
    </row>
    <row r="5538" spans="1:13" ht="25.5" x14ac:dyDescent="0.25">
      <c r="A5538" s="46" t="s">
        <v>7672</v>
      </c>
      <c r="B5538" s="46" t="s">
        <v>38</v>
      </c>
      <c r="C5538" s="46" t="s">
        <v>14</v>
      </c>
      <c r="D5538" s="47">
        <v>5019</v>
      </c>
      <c r="E5538" s="46" t="s">
        <v>7673</v>
      </c>
      <c r="F5538" s="48">
        <v>39819</v>
      </c>
      <c r="G5538" s="48">
        <v>40171</v>
      </c>
      <c r="H5538" s="46" t="s">
        <v>40</v>
      </c>
      <c r="I5538" s="45">
        <v>53388.55</v>
      </c>
      <c r="J5538" s="45">
        <v>53388.55</v>
      </c>
      <c r="K5538" s="49" t="s">
        <v>7456</v>
      </c>
      <c r="L5538" s="45"/>
      <c r="M5538" s="3"/>
    </row>
    <row r="5539" spans="1:13" ht="25.5" x14ac:dyDescent="0.25">
      <c r="A5539" s="46" t="s">
        <v>7674</v>
      </c>
      <c r="B5539" s="46" t="s">
        <v>38</v>
      </c>
      <c r="C5539" s="46" t="s">
        <v>14</v>
      </c>
      <c r="D5539" s="47">
        <v>5020</v>
      </c>
      <c r="E5539" s="46" t="s">
        <v>7675</v>
      </c>
      <c r="F5539" s="48">
        <v>39832</v>
      </c>
      <c r="G5539" s="48">
        <v>39832</v>
      </c>
      <c r="H5539" s="46" t="s">
        <v>40</v>
      </c>
      <c r="I5539" s="45">
        <v>8040.87</v>
      </c>
      <c r="J5539" s="45">
        <v>8040.87</v>
      </c>
      <c r="K5539" s="49" t="s">
        <v>7456</v>
      </c>
      <c r="L5539" s="45"/>
      <c r="M5539" s="3"/>
    </row>
    <row r="5540" spans="1:13" ht="51" x14ac:dyDescent="0.25">
      <c r="A5540" s="46" t="s">
        <v>7676</v>
      </c>
      <c r="B5540" s="46" t="s">
        <v>38</v>
      </c>
      <c r="C5540" s="46" t="s">
        <v>14</v>
      </c>
      <c r="D5540" s="47">
        <v>5021</v>
      </c>
      <c r="E5540" s="50" t="s">
        <v>7677</v>
      </c>
      <c r="F5540" s="48">
        <v>39830</v>
      </c>
      <c r="G5540" s="48">
        <v>40147</v>
      </c>
      <c r="H5540" s="46" t="s">
        <v>40</v>
      </c>
      <c r="I5540" s="45">
        <v>112400.71</v>
      </c>
      <c r="J5540" s="45">
        <v>112400.71</v>
      </c>
      <c r="K5540" s="49" t="s">
        <v>7456</v>
      </c>
      <c r="L5540" s="45"/>
      <c r="M5540" s="3"/>
    </row>
    <row r="5541" spans="1:13" ht="38.25" x14ac:dyDescent="0.25">
      <c r="A5541" s="46" t="s">
        <v>7678</v>
      </c>
      <c r="B5541" s="46" t="s">
        <v>38</v>
      </c>
      <c r="C5541" s="46" t="s">
        <v>14</v>
      </c>
      <c r="D5541" s="47">
        <v>5023</v>
      </c>
      <c r="E5541" s="46" t="s">
        <v>7679</v>
      </c>
      <c r="F5541" s="48">
        <v>39973</v>
      </c>
      <c r="G5541" s="48">
        <v>39973</v>
      </c>
      <c r="H5541" s="46" t="s">
        <v>40</v>
      </c>
      <c r="I5541" s="45">
        <v>636.75</v>
      </c>
      <c r="J5541" s="45">
        <v>636.75</v>
      </c>
      <c r="K5541" s="49" t="s">
        <v>7456</v>
      </c>
      <c r="L5541" s="45"/>
      <c r="M5541" s="3"/>
    </row>
    <row r="5542" spans="1:13" ht="25.5" x14ac:dyDescent="0.25">
      <c r="A5542" s="46" t="s">
        <v>7680</v>
      </c>
      <c r="B5542" s="46" t="s">
        <v>38</v>
      </c>
      <c r="C5542" s="46" t="s">
        <v>14</v>
      </c>
      <c r="D5542" s="47">
        <v>5024</v>
      </c>
      <c r="E5542" s="46" t="s">
        <v>7681</v>
      </c>
      <c r="F5542" s="48">
        <v>39821</v>
      </c>
      <c r="G5542" s="48">
        <v>39821</v>
      </c>
      <c r="H5542" s="46" t="s">
        <v>40</v>
      </c>
      <c r="I5542" s="45">
        <v>450</v>
      </c>
      <c r="J5542" s="45">
        <v>450</v>
      </c>
      <c r="K5542" s="49" t="s">
        <v>7456</v>
      </c>
      <c r="L5542" s="45"/>
      <c r="M5542" s="3"/>
    </row>
    <row r="5543" spans="1:13" ht="38.25" x14ac:dyDescent="0.25">
      <c r="A5543" s="46" t="s">
        <v>7682</v>
      </c>
      <c r="B5543" s="46" t="s">
        <v>38</v>
      </c>
      <c r="C5543" s="46" t="s">
        <v>14</v>
      </c>
      <c r="D5543" s="47">
        <v>5026</v>
      </c>
      <c r="E5543" s="46" t="s">
        <v>7683</v>
      </c>
      <c r="F5543" s="48">
        <v>39981</v>
      </c>
      <c r="G5543" s="48">
        <v>39981</v>
      </c>
      <c r="H5543" s="46" t="s">
        <v>40</v>
      </c>
      <c r="I5543" s="45">
        <v>1035</v>
      </c>
      <c r="J5543" s="45">
        <v>1035</v>
      </c>
      <c r="K5543" s="49" t="s">
        <v>7456</v>
      </c>
      <c r="L5543" s="45"/>
      <c r="M5543" s="3"/>
    </row>
    <row r="5544" spans="1:13" ht="25.5" x14ac:dyDescent="0.25">
      <c r="A5544" s="46" t="s">
        <v>7730</v>
      </c>
      <c r="B5544" s="46" t="s">
        <v>38</v>
      </c>
      <c r="C5544" s="46" t="s">
        <v>14</v>
      </c>
      <c r="D5544" s="47">
        <v>7157</v>
      </c>
      <c r="E5544" s="46" t="s">
        <v>7731</v>
      </c>
      <c r="F5544" s="48">
        <v>40533</v>
      </c>
      <c r="G5544" s="48">
        <v>40543</v>
      </c>
      <c r="H5544" s="46" t="s">
        <v>40</v>
      </c>
      <c r="I5544" s="45">
        <v>7864.32</v>
      </c>
      <c r="J5544" s="45">
        <v>7864.32</v>
      </c>
      <c r="K5544" s="49" t="s">
        <v>7456</v>
      </c>
      <c r="L5544" s="45"/>
      <c r="M5544" s="3"/>
    </row>
    <row r="5545" spans="1:13" ht="25.5" x14ac:dyDescent="0.25">
      <c r="A5545" s="46" t="s">
        <v>7732</v>
      </c>
      <c r="B5545" s="46" t="s">
        <v>38</v>
      </c>
      <c r="C5545" s="46" t="s">
        <v>14</v>
      </c>
      <c r="D5545" s="47">
        <v>7158</v>
      </c>
      <c r="E5545" s="46" t="s">
        <v>7733</v>
      </c>
      <c r="F5545" s="48">
        <v>40207</v>
      </c>
      <c r="G5545" s="48">
        <v>40543</v>
      </c>
      <c r="H5545" s="46" t="s">
        <v>40</v>
      </c>
      <c r="I5545" s="45">
        <v>55895.51</v>
      </c>
      <c r="J5545" s="45">
        <v>55895.51</v>
      </c>
      <c r="K5545" s="49" t="s">
        <v>7456</v>
      </c>
      <c r="L5545" s="45"/>
      <c r="M5545" s="3"/>
    </row>
    <row r="5546" spans="1:13" ht="25.5" x14ac:dyDescent="0.25">
      <c r="A5546" s="46" t="s">
        <v>7734</v>
      </c>
      <c r="B5546" s="46" t="s">
        <v>38</v>
      </c>
      <c r="C5546" s="46" t="s">
        <v>14</v>
      </c>
      <c r="D5546" s="47">
        <v>7159</v>
      </c>
      <c r="E5546" s="46" t="s">
        <v>7735</v>
      </c>
      <c r="F5546" s="48">
        <v>40516</v>
      </c>
      <c r="G5546" s="48">
        <v>40516</v>
      </c>
      <c r="H5546" s="46" t="s">
        <v>40</v>
      </c>
      <c r="I5546" s="45">
        <v>240.68</v>
      </c>
      <c r="J5546" s="45">
        <v>240.68</v>
      </c>
      <c r="K5546" s="49" t="s">
        <v>7456</v>
      </c>
      <c r="L5546" s="45"/>
      <c r="M5546" s="3"/>
    </row>
    <row r="5547" spans="1:13" ht="25.5" x14ac:dyDescent="0.25">
      <c r="A5547" s="46" t="s">
        <v>7736</v>
      </c>
      <c r="B5547" s="46" t="s">
        <v>38</v>
      </c>
      <c r="C5547" s="46" t="s">
        <v>14</v>
      </c>
      <c r="D5547" s="47">
        <v>7161</v>
      </c>
      <c r="E5547" s="46" t="s">
        <v>7737</v>
      </c>
      <c r="F5547" s="48">
        <v>40248</v>
      </c>
      <c r="G5547" s="48">
        <v>40543</v>
      </c>
      <c r="H5547" s="46" t="s">
        <v>40</v>
      </c>
      <c r="I5547" s="45">
        <v>4949.2299999999996</v>
      </c>
      <c r="J5547" s="45">
        <v>4949.2299999999996</v>
      </c>
      <c r="K5547" s="49" t="s">
        <v>7456</v>
      </c>
      <c r="L5547" s="45"/>
      <c r="M5547" s="3"/>
    </row>
    <row r="5548" spans="1:13" ht="25.5" x14ac:dyDescent="0.25">
      <c r="A5548" s="46" t="s">
        <v>7738</v>
      </c>
      <c r="B5548" s="46" t="s">
        <v>38</v>
      </c>
      <c r="C5548" s="46" t="s">
        <v>14</v>
      </c>
      <c r="D5548" s="47">
        <v>7162</v>
      </c>
      <c r="E5548" s="46" t="s">
        <v>7739</v>
      </c>
      <c r="F5548" s="48">
        <v>40337</v>
      </c>
      <c r="G5548" s="48">
        <v>40543</v>
      </c>
      <c r="H5548" s="46" t="s">
        <v>40</v>
      </c>
      <c r="I5548" s="45">
        <v>5499.8</v>
      </c>
      <c r="J5548" s="45">
        <v>5499.8</v>
      </c>
      <c r="K5548" s="49" t="s">
        <v>7456</v>
      </c>
      <c r="L5548" s="45"/>
      <c r="M5548" s="3"/>
    </row>
    <row r="5549" spans="1:13" ht="25.5" x14ac:dyDescent="0.25">
      <c r="A5549" s="46" t="s">
        <v>7740</v>
      </c>
      <c r="B5549" s="46" t="s">
        <v>38</v>
      </c>
      <c r="C5549" s="46" t="s">
        <v>14</v>
      </c>
      <c r="D5549" s="47">
        <v>7163</v>
      </c>
      <c r="E5549" s="46" t="s">
        <v>7741</v>
      </c>
      <c r="F5549" s="48">
        <v>40205</v>
      </c>
      <c r="G5549" s="48">
        <v>40216</v>
      </c>
      <c r="H5549" s="46" t="s">
        <v>40</v>
      </c>
      <c r="I5549" s="45">
        <v>1255</v>
      </c>
      <c r="J5549" s="45">
        <v>1255</v>
      </c>
      <c r="K5549" s="49" t="s">
        <v>7456</v>
      </c>
      <c r="L5549" s="45"/>
      <c r="M5549" s="3"/>
    </row>
    <row r="5550" spans="1:13" ht="25.5" x14ac:dyDescent="0.25">
      <c r="A5550" s="46" t="s">
        <v>7742</v>
      </c>
      <c r="B5550" s="46" t="s">
        <v>38</v>
      </c>
      <c r="C5550" s="46" t="s">
        <v>14</v>
      </c>
      <c r="D5550" s="47">
        <v>7164</v>
      </c>
      <c r="E5550" s="46" t="s">
        <v>7565</v>
      </c>
      <c r="F5550" s="48">
        <v>40315</v>
      </c>
      <c r="G5550" s="48">
        <v>40543</v>
      </c>
      <c r="H5550" s="46" t="s">
        <v>40</v>
      </c>
      <c r="I5550" s="45">
        <v>40000</v>
      </c>
      <c r="J5550" s="45">
        <v>40000</v>
      </c>
      <c r="K5550" s="49" t="s">
        <v>7456</v>
      </c>
      <c r="L5550" s="45"/>
      <c r="M5550" s="3"/>
    </row>
    <row r="5551" spans="1:13" ht="25.5" x14ac:dyDescent="0.25">
      <c r="A5551" s="46" t="s">
        <v>7535</v>
      </c>
      <c r="B5551" s="46" t="s">
        <v>38</v>
      </c>
      <c r="C5551" s="46" t="s">
        <v>14</v>
      </c>
      <c r="D5551" s="47">
        <v>7165</v>
      </c>
      <c r="E5551" s="46" t="s">
        <v>7743</v>
      </c>
      <c r="F5551" s="48">
        <v>40413</v>
      </c>
      <c r="G5551" s="48">
        <v>40413</v>
      </c>
      <c r="H5551" s="46" t="s">
        <v>40</v>
      </c>
      <c r="I5551" s="45">
        <v>1120</v>
      </c>
      <c r="J5551" s="45">
        <v>1120</v>
      </c>
      <c r="K5551" s="49" t="s">
        <v>7456</v>
      </c>
      <c r="L5551" s="45"/>
      <c r="M5551" s="3"/>
    </row>
    <row r="5552" spans="1:13" ht="25.5" x14ac:dyDescent="0.25">
      <c r="A5552" s="46" t="s">
        <v>7744</v>
      </c>
      <c r="B5552" s="46" t="s">
        <v>38</v>
      </c>
      <c r="C5552" s="46" t="s">
        <v>14</v>
      </c>
      <c r="D5552" s="47">
        <v>7166</v>
      </c>
      <c r="E5552" s="46" t="s">
        <v>7745</v>
      </c>
      <c r="F5552" s="48">
        <v>40450</v>
      </c>
      <c r="G5552" s="48">
        <v>40450</v>
      </c>
      <c r="H5552" s="46" t="s">
        <v>40</v>
      </c>
      <c r="I5552" s="45">
        <v>8850</v>
      </c>
      <c r="J5552" s="45">
        <v>8850</v>
      </c>
      <c r="K5552" s="49" t="s">
        <v>7456</v>
      </c>
      <c r="L5552" s="45"/>
      <c r="M5552" s="3"/>
    </row>
    <row r="5553" spans="1:13" ht="25.5" x14ac:dyDescent="0.25">
      <c r="A5553" s="46" t="s">
        <v>7746</v>
      </c>
      <c r="B5553" s="46" t="s">
        <v>38</v>
      </c>
      <c r="C5553" s="46" t="s">
        <v>14</v>
      </c>
      <c r="D5553" s="47">
        <v>7168</v>
      </c>
      <c r="E5553" s="46" t="s">
        <v>7747</v>
      </c>
      <c r="F5553" s="48">
        <v>40427</v>
      </c>
      <c r="G5553" s="48">
        <v>40519</v>
      </c>
      <c r="H5553" s="46" t="s">
        <v>40</v>
      </c>
      <c r="I5553" s="45">
        <v>6904</v>
      </c>
      <c r="J5553" s="45">
        <v>6904</v>
      </c>
      <c r="K5553" s="49" t="s">
        <v>7456</v>
      </c>
      <c r="L5553" s="45"/>
      <c r="M5553" s="3"/>
    </row>
    <row r="5554" spans="1:13" ht="25.5" x14ac:dyDescent="0.25">
      <c r="A5554" s="46" t="s">
        <v>7748</v>
      </c>
      <c r="B5554" s="46" t="s">
        <v>38</v>
      </c>
      <c r="C5554" s="46" t="s">
        <v>14</v>
      </c>
      <c r="D5554" s="47">
        <v>7169</v>
      </c>
      <c r="E5554" s="46" t="s">
        <v>7749</v>
      </c>
      <c r="F5554" s="48">
        <v>40206</v>
      </c>
      <c r="G5554" s="48">
        <v>40529</v>
      </c>
      <c r="H5554" s="46" t="s">
        <v>40</v>
      </c>
      <c r="I5554" s="45">
        <v>14761.71</v>
      </c>
      <c r="J5554" s="45">
        <v>14761.71</v>
      </c>
      <c r="K5554" s="49" t="s">
        <v>7456</v>
      </c>
      <c r="L5554" s="45"/>
      <c r="M5554" s="3"/>
    </row>
    <row r="5555" spans="1:13" ht="25.5" x14ac:dyDescent="0.25">
      <c r="A5555" s="46" t="s">
        <v>7750</v>
      </c>
      <c r="B5555" s="46" t="s">
        <v>38</v>
      </c>
      <c r="C5555" s="46" t="s">
        <v>14</v>
      </c>
      <c r="D5555" s="47">
        <v>7170</v>
      </c>
      <c r="E5555" s="46" t="s">
        <v>7751</v>
      </c>
      <c r="F5555" s="48">
        <v>40205</v>
      </c>
      <c r="G5555" s="48">
        <v>40529</v>
      </c>
      <c r="H5555" s="46" t="s">
        <v>40</v>
      </c>
      <c r="I5555" s="45">
        <v>33359.86</v>
      </c>
      <c r="J5555" s="45">
        <v>3859.86</v>
      </c>
      <c r="K5555" s="49" t="s">
        <v>7456</v>
      </c>
      <c r="L5555" s="45"/>
      <c r="M5555" s="3"/>
    </row>
    <row r="5556" spans="1:13" ht="51" x14ac:dyDescent="0.25">
      <c r="A5556" s="46" t="s">
        <v>7752</v>
      </c>
      <c r="B5556" s="46" t="s">
        <v>38</v>
      </c>
      <c r="C5556" s="46" t="s">
        <v>14</v>
      </c>
      <c r="D5556" s="47">
        <v>7171</v>
      </c>
      <c r="E5556" s="50" t="s">
        <v>7753</v>
      </c>
      <c r="F5556" s="48">
        <v>40207</v>
      </c>
      <c r="G5556" s="48">
        <v>40499</v>
      </c>
      <c r="H5556" s="46" t="s">
        <v>40</v>
      </c>
      <c r="I5556" s="45">
        <v>77726.289999999994</v>
      </c>
      <c r="J5556" s="45">
        <v>77726.289999999994</v>
      </c>
      <c r="K5556" s="49" t="s">
        <v>7456</v>
      </c>
      <c r="L5556" s="45"/>
      <c r="M5556" s="3"/>
    </row>
    <row r="5557" spans="1:13" ht="25.5" x14ac:dyDescent="0.25">
      <c r="A5557" s="46" t="s">
        <v>7795</v>
      </c>
      <c r="B5557" s="46" t="s">
        <v>38</v>
      </c>
      <c r="C5557" s="46" t="s">
        <v>14</v>
      </c>
      <c r="D5557" s="47">
        <v>8602</v>
      </c>
      <c r="E5557" s="46" t="s">
        <v>7733</v>
      </c>
      <c r="F5557" s="48">
        <v>40572</v>
      </c>
      <c r="G5557" s="48">
        <v>40908</v>
      </c>
      <c r="H5557" s="46" t="s">
        <v>40</v>
      </c>
      <c r="I5557" s="45">
        <v>52991.83</v>
      </c>
      <c r="J5557" s="45">
        <v>52991.83</v>
      </c>
      <c r="K5557" s="49" t="s">
        <v>7456</v>
      </c>
      <c r="L5557" s="45"/>
      <c r="M5557" s="3"/>
    </row>
    <row r="5558" spans="1:13" ht="25.5" x14ac:dyDescent="0.25">
      <c r="A5558" s="46" t="s">
        <v>7796</v>
      </c>
      <c r="B5558" s="46" t="s">
        <v>38</v>
      </c>
      <c r="C5558" s="46" t="s">
        <v>14</v>
      </c>
      <c r="D5558" s="47">
        <v>8603</v>
      </c>
      <c r="E5558" s="46" t="s">
        <v>7644</v>
      </c>
      <c r="F5558" s="48">
        <v>40572</v>
      </c>
      <c r="G5558" s="48">
        <v>40896</v>
      </c>
      <c r="H5558" s="46" t="s">
        <v>40</v>
      </c>
      <c r="I5558" s="45">
        <v>39791.07</v>
      </c>
      <c r="J5558" s="45">
        <v>39791.07</v>
      </c>
      <c r="K5558" s="49" t="s">
        <v>7456</v>
      </c>
      <c r="L5558" s="45"/>
      <c r="M5558" s="3"/>
    </row>
    <row r="5559" spans="1:13" ht="25.5" x14ac:dyDescent="0.25">
      <c r="A5559" s="46" t="s">
        <v>7797</v>
      </c>
      <c r="B5559" s="46" t="s">
        <v>38</v>
      </c>
      <c r="C5559" s="46" t="s">
        <v>14</v>
      </c>
      <c r="D5559" s="47">
        <v>8604</v>
      </c>
      <c r="E5559" s="46" t="s">
        <v>7648</v>
      </c>
      <c r="F5559" s="48">
        <v>40572</v>
      </c>
      <c r="G5559" s="48">
        <v>40908</v>
      </c>
      <c r="H5559" s="46" t="s">
        <v>40</v>
      </c>
      <c r="I5559" s="45">
        <v>720</v>
      </c>
      <c r="J5559" s="45">
        <v>720</v>
      </c>
      <c r="K5559" s="49" t="s">
        <v>7456</v>
      </c>
      <c r="L5559" s="45"/>
      <c r="M5559" s="3"/>
    </row>
    <row r="5560" spans="1:13" ht="25.5" x14ac:dyDescent="0.25">
      <c r="A5560" s="46" t="s">
        <v>7798</v>
      </c>
      <c r="B5560" s="46" t="s">
        <v>38</v>
      </c>
      <c r="C5560" s="46" t="s">
        <v>14</v>
      </c>
      <c r="D5560" s="47">
        <v>8605</v>
      </c>
      <c r="E5560" s="46" t="s">
        <v>7799</v>
      </c>
      <c r="F5560" s="48">
        <v>40605</v>
      </c>
      <c r="G5560" s="48">
        <v>40893</v>
      </c>
      <c r="H5560" s="46" t="s">
        <v>40</v>
      </c>
      <c r="I5560" s="45">
        <v>7658.79</v>
      </c>
      <c r="J5560" s="45">
        <v>7658.79</v>
      </c>
      <c r="K5560" s="49" t="s">
        <v>7456</v>
      </c>
      <c r="L5560" s="45"/>
      <c r="M5560" s="3"/>
    </row>
    <row r="5561" spans="1:13" ht="25.5" x14ac:dyDescent="0.25">
      <c r="A5561" s="46" t="s">
        <v>7800</v>
      </c>
      <c r="B5561" s="46" t="s">
        <v>38</v>
      </c>
      <c r="C5561" s="46" t="s">
        <v>14</v>
      </c>
      <c r="D5561" s="47">
        <v>8606</v>
      </c>
      <c r="E5561" s="46" t="s">
        <v>7801</v>
      </c>
      <c r="F5561" s="48">
        <v>40695</v>
      </c>
      <c r="G5561" s="48">
        <v>40705</v>
      </c>
      <c r="H5561" s="46" t="s">
        <v>40</v>
      </c>
      <c r="I5561" s="45">
        <v>5445.63</v>
      </c>
      <c r="J5561" s="45">
        <v>5445.63</v>
      </c>
      <c r="K5561" s="49" t="s">
        <v>7456</v>
      </c>
      <c r="L5561" s="45"/>
      <c r="M5561" s="3"/>
    </row>
    <row r="5562" spans="1:13" ht="25.5" x14ac:dyDescent="0.25">
      <c r="A5562" s="46" t="s">
        <v>7802</v>
      </c>
      <c r="B5562" s="46" t="s">
        <v>38</v>
      </c>
      <c r="C5562" s="46" t="s">
        <v>14</v>
      </c>
      <c r="D5562" s="47">
        <v>8607</v>
      </c>
      <c r="E5562" s="46" t="s">
        <v>7803</v>
      </c>
      <c r="F5562" s="48">
        <v>40817</v>
      </c>
      <c r="G5562" s="48">
        <v>40849</v>
      </c>
      <c r="H5562" s="46" t="s">
        <v>40</v>
      </c>
      <c r="I5562" s="45">
        <v>5673.39</v>
      </c>
      <c r="J5562" s="45">
        <v>5673.39</v>
      </c>
      <c r="K5562" s="49" t="s">
        <v>7456</v>
      </c>
      <c r="L5562" s="45"/>
      <c r="M5562" s="3"/>
    </row>
    <row r="5563" spans="1:13" ht="25.5" x14ac:dyDescent="0.25">
      <c r="A5563" s="46" t="s">
        <v>7804</v>
      </c>
      <c r="B5563" s="46" t="s">
        <v>38</v>
      </c>
      <c r="C5563" s="46" t="s">
        <v>14</v>
      </c>
      <c r="D5563" s="47">
        <v>8608</v>
      </c>
      <c r="E5563" s="46" t="s">
        <v>7805</v>
      </c>
      <c r="F5563" s="48">
        <v>40575</v>
      </c>
      <c r="G5563" s="48">
        <v>40830</v>
      </c>
      <c r="H5563" s="46" t="s">
        <v>40</v>
      </c>
      <c r="I5563" s="45">
        <v>5400</v>
      </c>
      <c r="J5563" s="45">
        <v>5400</v>
      </c>
      <c r="K5563" s="49" t="s">
        <v>7456</v>
      </c>
      <c r="L5563" s="45"/>
      <c r="M5563" s="3"/>
    </row>
    <row r="5564" spans="1:13" ht="25.5" x14ac:dyDescent="0.25">
      <c r="A5564" s="46" t="s">
        <v>7806</v>
      </c>
      <c r="B5564" s="46" t="s">
        <v>38</v>
      </c>
      <c r="C5564" s="46" t="s">
        <v>14</v>
      </c>
      <c r="D5564" s="47">
        <v>8609</v>
      </c>
      <c r="E5564" s="46" t="s">
        <v>7807</v>
      </c>
      <c r="F5564" s="48">
        <v>40595</v>
      </c>
      <c r="G5564" s="48">
        <v>40596</v>
      </c>
      <c r="H5564" s="46" t="s">
        <v>40</v>
      </c>
      <c r="I5564" s="45">
        <v>350</v>
      </c>
      <c r="J5564" s="45">
        <v>350</v>
      </c>
      <c r="K5564" s="49" t="s">
        <v>7456</v>
      </c>
      <c r="L5564" s="45"/>
      <c r="M5564" s="3"/>
    </row>
    <row r="5565" spans="1:13" ht="25.5" x14ac:dyDescent="0.25">
      <c r="A5565" s="46" t="s">
        <v>7808</v>
      </c>
      <c r="B5565" s="46" t="s">
        <v>38</v>
      </c>
      <c r="C5565" s="46" t="s">
        <v>14</v>
      </c>
      <c r="D5565" s="47">
        <v>8647</v>
      </c>
      <c r="E5565" s="46" t="s">
        <v>7809</v>
      </c>
      <c r="F5565" s="48">
        <v>40787</v>
      </c>
      <c r="G5565" s="48">
        <v>40908</v>
      </c>
      <c r="H5565" s="46" t="s">
        <v>40</v>
      </c>
      <c r="I5565" s="45">
        <v>8115.8</v>
      </c>
      <c r="J5565" s="45">
        <v>7840.8</v>
      </c>
      <c r="K5565" s="49" t="s">
        <v>7456</v>
      </c>
      <c r="L5565" s="45"/>
      <c r="M5565" s="3"/>
    </row>
    <row r="5566" spans="1:13" ht="25.5" x14ac:dyDescent="0.25">
      <c r="A5566" s="46" t="s">
        <v>7810</v>
      </c>
      <c r="B5566" s="46" t="s">
        <v>38</v>
      </c>
      <c r="C5566" s="46" t="s">
        <v>14</v>
      </c>
      <c r="D5566" s="47">
        <v>8648</v>
      </c>
      <c r="E5566" s="46" t="s">
        <v>7811</v>
      </c>
      <c r="F5566" s="48">
        <v>40638</v>
      </c>
      <c r="G5566" s="48">
        <v>40663</v>
      </c>
      <c r="H5566" s="46" t="s">
        <v>40</v>
      </c>
      <c r="I5566" s="45">
        <v>366.7</v>
      </c>
      <c r="J5566" s="45">
        <v>366.7</v>
      </c>
      <c r="K5566" s="49" t="s">
        <v>7456</v>
      </c>
      <c r="L5566" s="45"/>
      <c r="M5566" s="3"/>
    </row>
    <row r="5567" spans="1:13" ht="25.5" x14ac:dyDescent="0.25">
      <c r="A5567" s="46" t="s">
        <v>7812</v>
      </c>
      <c r="B5567" s="46" t="s">
        <v>38</v>
      </c>
      <c r="C5567" s="46" t="s">
        <v>14</v>
      </c>
      <c r="D5567" s="47">
        <v>8649</v>
      </c>
      <c r="E5567" s="46" t="s">
        <v>7813</v>
      </c>
      <c r="F5567" s="48">
        <v>40573</v>
      </c>
      <c r="G5567" s="48">
        <v>40690</v>
      </c>
      <c r="H5567" s="46" t="s">
        <v>40</v>
      </c>
      <c r="I5567" s="45">
        <v>1300</v>
      </c>
      <c r="J5567" s="45">
        <v>1300</v>
      </c>
      <c r="K5567" s="49" t="s">
        <v>7456</v>
      </c>
      <c r="L5567" s="45"/>
      <c r="M5567" s="3"/>
    </row>
    <row r="5568" spans="1:13" ht="25.5" x14ac:dyDescent="0.25">
      <c r="A5568" s="46" t="s">
        <v>7744</v>
      </c>
      <c r="B5568" s="46" t="s">
        <v>38</v>
      </c>
      <c r="C5568" s="46" t="s">
        <v>14</v>
      </c>
      <c r="D5568" s="47">
        <v>8650</v>
      </c>
      <c r="E5568" s="46" t="s">
        <v>7814</v>
      </c>
      <c r="F5568" s="48">
        <v>40787</v>
      </c>
      <c r="G5568" s="48">
        <v>40847</v>
      </c>
      <c r="H5568" s="46" t="s">
        <v>40</v>
      </c>
      <c r="I5568" s="45">
        <v>9150</v>
      </c>
      <c r="J5568" s="45">
        <v>9150</v>
      </c>
      <c r="K5568" s="49" t="s">
        <v>7456</v>
      </c>
      <c r="L5568" s="45"/>
      <c r="M5568" s="3"/>
    </row>
    <row r="5569" spans="1:13" ht="25.5" x14ac:dyDescent="0.25">
      <c r="A5569" s="46" t="s">
        <v>7815</v>
      </c>
      <c r="B5569" s="46" t="s">
        <v>38</v>
      </c>
      <c r="C5569" s="46" t="s">
        <v>14</v>
      </c>
      <c r="D5569" s="47">
        <v>8651</v>
      </c>
      <c r="E5569" s="46" t="s">
        <v>7816</v>
      </c>
      <c r="F5569" s="48">
        <v>40568</v>
      </c>
      <c r="G5569" s="48">
        <v>40576</v>
      </c>
      <c r="H5569" s="46" t="s">
        <v>40</v>
      </c>
      <c r="I5569" s="45">
        <v>2637.4</v>
      </c>
      <c r="J5569" s="45">
        <v>2637.4</v>
      </c>
      <c r="K5569" s="49" t="s">
        <v>7456</v>
      </c>
      <c r="L5569" s="45"/>
      <c r="M5569" s="3"/>
    </row>
    <row r="5570" spans="1:13" ht="25.5" x14ac:dyDescent="0.25">
      <c r="A5570" s="46" t="s">
        <v>7817</v>
      </c>
      <c r="B5570" s="46" t="s">
        <v>38</v>
      </c>
      <c r="C5570" s="46" t="s">
        <v>14</v>
      </c>
      <c r="D5570" s="47">
        <v>8653</v>
      </c>
      <c r="E5570" s="46" t="s">
        <v>7818</v>
      </c>
      <c r="F5570" s="48">
        <v>40568</v>
      </c>
      <c r="G5570" s="48">
        <v>40890</v>
      </c>
      <c r="H5570" s="46" t="s">
        <v>40</v>
      </c>
      <c r="I5570" s="45">
        <v>19504.55</v>
      </c>
      <c r="J5570" s="45">
        <v>19504.55</v>
      </c>
      <c r="K5570" s="49" t="s">
        <v>7456</v>
      </c>
      <c r="L5570" s="45"/>
      <c r="M5570" s="3"/>
    </row>
    <row r="5571" spans="1:13" ht="25.5" x14ac:dyDescent="0.25">
      <c r="A5571" s="46" t="s">
        <v>7819</v>
      </c>
      <c r="B5571" s="46" t="s">
        <v>38</v>
      </c>
      <c r="C5571" s="46" t="s">
        <v>14</v>
      </c>
      <c r="D5571" s="47">
        <v>8654</v>
      </c>
      <c r="E5571" s="46" t="s">
        <v>7751</v>
      </c>
      <c r="F5571" s="48">
        <v>40605</v>
      </c>
      <c r="G5571" s="48">
        <v>40896</v>
      </c>
      <c r="H5571" s="46" t="s">
        <v>40</v>
      </c>
      <c r="I5571" s="45">
        <v>35626.14</v>
      </c>
      <c r="J5571" s="45">
        <v>13626.14</v>
      </c>
      <c r="K5571" s="49" t="s">
        <v>7456</v>
      </c>
      <c r="L5571" s="45"/>
      <c r="M5571" s="3"/>
    </row>
    <row r="5572" spans="1:13" ht="25.5" x14ac:dyDescent="0.25">
      <c r="A5572" s="46" t="s">
        <v>7820</v>
      </c>
      <c r="B5572" s="46" t="s">
        <v>38</v>
      </c>
      <c r="C5572" s="46" t="s">
        <v>14</v>
      </c>
      <c r="D5572" s="47">
        <v>8656</v>
      </c>
      <c r="E5572" s="46" t="s">
        <v>7821</v>
      </c>
      <c r="F5572" s="48">
        <v>40796</v>
      </c>
      <c r="G5572" s="48">
        <v>40858</v>
      </c>
      <c r="H5572" s="46" t="s">
        <v>40</v>
      </c>
      <c r="I5572" s="45">
        <v>484</v>
      </c>
      <c r="J5572" s="45">
        <v>484</v>
      </c>
      <c r="K5572" s="49" t="s">
        <v>7456</v>
      </c>
      <c r="L5572" s="45"/>
      <c r="M5572" s="3"/>
    </row>
    <row r="5573" spans="1:13" ht="51" x14ac:dyDescent="0.25">
      <c r="A5573" s="46" t="s">
        <v>7822</v>
      </c>
      <c r="B5573" s="46" t="s">
        <v>38</v>
      </c>
      <c r="C5573" s="46" t="s">
        <v>14</v>
      </c>
      <c r="D5573" s="47">
        <v>8659</v>
      </c>
      <c r="E5573" s="50" t="s">
        <v>7677</v>
      </c>
      <c r="F5573" s="48">
        <v>40568</v>
      </c>
      <c r="G5573" s="48">
        <v>40574</v>
      </c>
      <c r="H5573" s="46" t="s">
        <v>40</v>
      </c>
      <c r="I5573" s="45">
        <v>98546</v>
      </c>
      <c r="J5573" s="45">
        <v>98546</v>
      </c>
      <c r="K5573" s="49" t="s">
        <v>7456</v>
      </c>
      <c r="L5573" s="45"/>
      <c r="M5573" s="3"/>
    </row>
    <row r="5574" spans="1:13" ht="25.5" x14ac:dyDescent="0.25">
      <c r="A5574" s="46" t="s">
        <v>7823</v>
      </c>
      <c r="B5574" s="46" t="s">
        <v>38</v>
      </c>
      <c r="C5574" s="46" t="s">
        <v>14</v>
      </c>
      <c r="D5574" s="47">
        <v>8660</v>
      </c>
      <c r="E5574" s="46" t="s">
        <v>7824</v>
      </c>
      <c r="F5574" s="48">
        <v>40568</v>
      </c>
      <c r="G5574" s="48">
        <v>40602</v>
      </c>
      <c r="H5574" s="46" t="s">
        <v>40</v>
      </c>
      <c r="I5574" s="45">
        <v>443.03</v>
      </c>
      <c r="J5574" s="45">
        <v>443.03</v>
      </c>
      <c r="K5574" s="49" t="s">
        <v>7456</v>
      </c>
      <c r="L5574" s="45"/>
      <c r="M5574" s="3"/>
    </row>
    <row r="5575" spans="1:13" ht="25.5" x14ac:dyDescent="0.25">
      <c r="A5575" s="46" t="s">
        <v>7899</v>
      </c>
      <c r="B5575" s="46" t="s">
        <v>38</v>
      </c>
      <c r="C5575" s="46" t="s">
        <v>14</v>
      </c>
      <c r="D5575" s="47">
        <v>10701</v>
      </c>
      <c r="E5575" s="46" t="s">
        <v>7805</v>
      </c>
      <c r="F5575" s="48">
        <v>41003</v>
      </c>
      <c r="G5575" s="48">
        <v>41274</v>
      </c>
      <c r="H5575" s="46" t="s">
        <v>40</v>
      </c>
      <c r="I5575" s="45">
        <v>7854.97</v>
      </c>
      <c r="J5575" s="45">
        <v>7854.97</v>
      </c>
      <c r="K5575" s="49" t="s">
        <v>7456</v>
      </c>
      <c r="L5575" s="45"/>
      <c r="M5575" s="3"/>
    </row>
    <row r="5576" spans="1:13" ht="25.5" x14ac:dyDescent="0.25">
      <c r="A5576" s="46" t="s">
        <v>7900</v>
      </c>
      <c r="B5576" s="46" t="s">
        <v>38</v>
      </c>
      <c r="C5576" s="46" t="s">
        <v>14</v>
      </c>
      <c r="D5576" s="47">
        <v>10702</v>
      </c>
      <c r="E5576" s="46" t="s">
        <v>7901</v>
      </c>
      <c r="F5576" s="48">
        <v>41178</v>
      </c>
      <c r="G5576" s="48">
        <v>41274</v>
      </c>
      <c r="H5576" s="46" t="s">
        <v>40</v>
      </c>
      <c r="I5576" s="45">
        <v>1668.33</v>
      </c>
      <c r="J5576" s="45">
        <v>1668.35</v>
      </c>
      <c r="K5576" s="49" t="s">
        <v>7456</v>
      </c>
      <c r="L5576" s="45"/>
      <c r="M5576" s="3"/>
    </row>
    <row r="5577" spans="1:13" ht="25.5" x14ac:dyDescent="0.25">
      <c r="A5577" s="46" t="s">
        <v>7902</v>
      </c>
      <c r="B5577" s="46" t="s">
        <v>38</v>
      </c>
      <c r="C5577" s="46" t="s">
        <v>14</v>
      </c>
      <c r="D5577" s="47">
        <v>10703</v>
      </c>
      <c r="E5577" s="46" t="s">
        <v>7903</v>
      </c>
      <c r="F5577" s="48">
        <v>40909</v>
      </c>
      <c r="G5577" s="48">
        <v>40909</v>
      </c>
      <c r="H5577" s="46" t="s">
        <v>40</v>
      </c>
      <c r="I5577" s="45">
        <v>425</v>
      </c>
      <c r="J5577" s="45">
        <v>425</v>
      </c>
      <c r="K5577" s="49" t="s">
        <v>7456</v>
      </c>
      <c r="L5577" s="45"/>
      <c r="M5577" s="3"/>
    </row>
    <row r="5578" spans="1:13" ht="25.5" x14ac:dyDescent="0.25">
      <c r="A5578" s="46" t="s">
        <v>7904</v>
      </c>
      <c r="B5578" s="46" t="s">
        <v>38</v>
      </c>
      <c r="C5578" s="46" t="s">
        <v>14</v>
      </c>
      <c r="D5578" s="47">
        <v>10704</v>
      </c>
      <c r="E5578" s="46" t="s">
        <v>7905</v>
      </c>
      <c r="F5578" s="48">
        <v>41144</v>
      </c>
      <c r="G5578" s="48">
        <v>41274</v>
      </c>
      <c r="H5578" s="46" t="s">
        <v>40</v>
      </c>
      <c r="I5578" s="45">
        <v>515.94000000000005</v>
      </c>
      <c r="J5578" s="45">
        <v>515.94000000000005</v>
      </c>
      <c r="K5578" s="49" t="s">
        <v>7456</v>
      </c>
      <c r="L5578" s="45"/>
      <c r="M5578" s="3"/>
    </row>
    <row r="5579" spans="1:13" ht="25.5" x14ac:dyDescent="0.25">
      <c r="A5579" s="46" t="s">
        <v>7906</v>
      </c>
      <c r="B5579" s="46" t="s">
        <v>38</v>
      </c>
      <c r="C5579" s="46" t="s">
        <v>14</v>
      </c>
      <c r="D5579" s="47">
        <v>10707</v>
      </c>
      <c r="E5579" s="46" t="s">
        <v>7907</v>
      </c>
      <c r="F5579" s="48">
        <v>40975</v>
      </c>
      <c r="G5579" s="48">
        <v>41274</v>
      </c>
      <c r="H5579" s="46" t="s">
        <v>40</v>
      </c>
      <c r="I5579" s="45">
        <v>32761.32</v>
      </c>
      <c r="J5579" s="45">
        <v>16380.66</v>
      </c>
      <c r="K5579" s="49" t="s">
        <v>7456</v>
      </c>
      <c r="L5579" s="45"/>
      <c r="M5579" s="3"/>
    </row>
    <row r="5580" spans="1:13" ht="25.5" x14ac:dyDescent="0.25">
      <c r="A5580" s="46" t="s">
        <v>7908</v>
      </c>
      <c r="B5580" s="46" t="s">
        <v>38</v>
      </c>
      <c r="C5580" s="46" t="s">
        <v>14</v>
      </c>
      <c r="D5580" s="47">
        <v>10708</v>
      </c>
      <c r="E5580" s="46" t="s">
        <v>7909</v>
      </c>
      <c r="F5580" s="48">
        <v>40933</v>
      </c>
      <c r="G5580" s="48">
        <v>41274</v>
      </c>
      <c r="H5580" s="46" t="s">
        <v>40</v>
      </c>
      <c r="I5580" s="45">
        <v>62793.94</v>
      </c>
      <c r="J5580" s="45">
        <v>62793.94</v>
      </c>
      <c r="K5580" s="49" t="s">
        <v>7456</v>
      </c>
      <c r="L5580" s="45"/>
      <c r="M5580" s="3"/>
    </row>
    <row r="5581" spans="1:13" ht="25.5" x14ac:dyDescent="0.25">
      <c r="A5581" s="46" t="s">
        <v>7910</v>
      </c>
      <c r="B5581" s="46" t="s">
        <v>38</v>
      </c>
      <c r="C5581" s="46" t="s">
        <v>14</v>
      </c>
      <c r="D5581" s="47">
        <v>10709</v>
      </c>
      <c r="E5581" s="46" t="s">
        <v>7911</v>
      </c>
      <c r="F5581" s="48">
        <v>41194</v>
      </c>
      <c r="G5581" s="48">
        <v>41274</v>
      </c>
      <c r="H5581" s="46" t="s">
        <v>40</v>
      </c>
      <c r="I5581" s="45">
        <v>533.21</v>
      </c>
      <c r="J5581" s="45">
        <v>533.77</v>
      </c>
      <c r="K5581" s="49" t="s">
        <v>7456</v>
      </c>
      <c r="L5581" s="45"/>
      <c r="M5581" s="3"/>
    </row>
    <row r="5582" spans="1:13" ht="25.5" x14ac:dyDescent="0.25">
      <c r="A5582" s="46" t="s">
        <v>7912</v>
      </c>
      <c r="B5582" s="46" t="s">
        <v>38</v>
      </c>
      <c r="C5582" s="46" t="s">
        <v>14</v>
      </c>
      <c r="D5582" s="47">
        <v>10717</v>
      </c>
      <c r="E5582" s="46" t="s">
        <v>7913</v>
      </c>
      <c r="F5582" s="48">
        <v>40933</v>
      </c>
      <c r="G5582" s="48">
        <v>40939</v>
      </c>
      <c r="H5582" s="46" t="s">
        <v>40</v>
      </c>
      <c r="I5582" s="45">
        <v>1599.04</v>
      </c>
      <c r="J5582" s="45">
        <v>1599.04</v>
      </c>
      <c r="K5582" s="49" t="s">
        <v>7456</v>
      </c>
      <c r="L5582" s="45"/>
      <c r="M5582" s="3"/>
    </row>
    <row r="5583" spans="1:13" ht="25.5" x14ac:dyDescent="0.25">
      <c r="A5583" s="46" t="s">
        <v>7914</v>
      </c>
      <c r="B5583" s="46" t="s">
        <v>38</v>
      </c>
      <c r="C5583" s="46" t="s">
        <v>14</v>
      </c>
      <c r="D5583" s="47">
        <v>10720</v>
      </c>
      <c r="E5583" s="46" t="s">
        <v>7915</v>
      </c>
      <c r="F5583" s="48">
        <v>40933</v>
      </c>
      <c r="G5583" s="48">
        <v>41274</v>
      </c>
      <c r="H5583" s="46" t="s">
        <v>40</v>
      </c>
      <c r="I5583" s="45">
        <v>1210</v>
      </c>
      <c r="J5583" s="45">
        <v>1210</v>
      </c>
      <c r="K5583" s="49" t="s">
        <v>7456</v>
      </c>
      <c r="L5583" s="45"/>
      <c r="M5583" s="3"/>
    </row>
    <row r="5584" spans="1:13" ht="25.5" x14ac:dyDescent="0.25">
      <c r="A5584" s="46" t="s">
        <v>7916</v>
      </c>
      <c r="B5584" s="46" t="s">
        <v>38</v>
      </c>
      <c r="C5584" s="46" t="s">
        <v>14</v>
      </c>
      <c r="D5584" s="47">
        <v>10722</v>
      </c>
      <c r="E5584" s="46" t="s">
        <v>7917</v>
      </c>
      <c r="F5584" s="48">
        <v>40933</v>
      </c>
      <c r="G5584" s="48">
        <v>40939</v>
      </c>
      <c r="H5584" s="46" t="s">
        <v>40</v>
      </c>
      <c r="I5584" s="45">
        <v>2192.5</v>
      </c>
      <c r="J5584" s="45">
        <v>2192.5</v>
      </c>
      <c r="K5584" s="49" t="s">
        <v>7456</v>
      </c>
      <c r="L5584" s="45"/>
      <c r="M5584" s="3"/>
    </row>
    <row r="5585" spans="1:13" ht="25.5" x14ac:dyDescent="0.25">
      <c r="A5585" s="46" t="s">
        <v>7918</v>
      </c>
      <c r="B5585" s="46" t="s">
        <v>38</v>
      </c>
      <c r="C5585" s="46" t="s">
        <v>14</v>
      </c>
      <c r="D5585" s="47">
        <v>10724</v>
      </c>
      <c r="E5585" s="46" t="s">
        <v>7919</v>
      </c>
      <c r="F5585" s="48">
        <v>40933</v>
      </c>
      <c r="G5585" s="48">
        <v>41274</v>
      </c>
      <c r="H5585" s="46" t="s">
        <v>40</v>
      </c>
      <c r="I5585" s="45">
        <v>101294.12</v>
      </c>
      <c r="J5585" s="45">
        <v>81294.12</v>
      </c>
      <c r="K5585" s="49" t="s">
        <v>7456</v>
      </c>
      <c r="L5585" s="45"/>
      <c r="M5585" s="3"/>
    </row>
    <row r="5586" spans="1:13" ht="25.5" x14ac:dyDescent="0.25">
      <c r="A5586" s="46" t="s">
        <v>7920</v>
      </c>
      <c r="B5586" s="46" t="s">
        <v>38</v>
      </c>
      <c r="C5586" s="46" t="s">
        <v>14</v>
      </c>
      <c r="D5586" s="47">
        <v>10727</v>
      </c>
      <c r="E5586" s="46" t="s">
        <v>7921</v>
      </c>
      <c r="F5586" s="48">
        <v>40982</v>
      </c>
      <c r="G5586" s="48">
        <v>41158</v>
      </c>
      <c r="H5586" s="46" t="s">
        <v>40</v>
      </c>
      <c r="I5586" s="45">
        <v>3849</v>
      </c>
      <c r="J5586" s="45">
        <v>3849</v>
      </c>
      <c r="K5586" s="49" t="s">
        <v>7456</v>
      </c>
      <c r="L5586" s="45"/>
      <c r="M5586" s="3"/>
    </row>
    <row r="5587" spans="1:13" ht="25.5" x14ac:dyDescent="0.25">
      <c r="A5587" s="46" t="s">
        <v>7922</v>
      </c>
      <c r="B5587" s="46" t="s">
        <v>38</v>
      </c>
      <c r="C5587" s="46" t="s">
        <v>14</v>
      </c>
      <c r="D5587" s="47">
        <v>10728</v>
      </c>
      <c r="E5587" s="46" t="s">
        <v>7923</v>
      </c>
      <c r="F5587" s="48">
        <v>40933</v>
      </c>
      <c r="G5587" s="48">
        <v>41274</v>
      </c>
      <c r="H5587" s="46" t="s">
        <v>40</v>
      </c>
      <c r="I5587" s="45">
        <v>105161.32</v>
      </c>
      <c r="J5587" s="45">
        <v>98330.26</v>
      </c>
      <c r="K5587" s="49" t="s">
        <v>7456</v>
      </c>
      <c r="L5587" s="45"/>
      <c r="M5587" s="3"/>
    </row>
    <row r="5588" spans="1:13" ht="25.5" x14ac:dyDescent="0.25">
      <c r="A5588" s="46" t="s">
        <v>7924</v>
      </c>
      <c r="B5588" s="46" t="s">
        <v>38</v>
      </c>
      <c r="C5588" s="46" t="s">
        <v>14</v>
      </c>
      <c r="D5588" s="47">
        <v>10729</v>
      </c>
      <c r="E5588" s="46" t="s">
        <v>7925</v>
      </c>
      <c r="F5588" s="48">
        <v>40933</v>
      </c>
      <c r="G5588" s="48">
        <v>40939</v>
      </c>
      <c r="H5588" s="46" t="s">
        <v>40</v>
      </c>
      <c r="I5588" s="45">
        <v>1527.8</v>
      </c>
      <c r="J5588" s="45">
        <v>1527.8</v>
      </c>
      <c r="K5588" s="49" t="s">
        <v>7456</v>
      </c>
      <c r="L5588" s="45"/>
      <c r="M5588" s="3"/>
    </row>
    <row r="5589" spans="1:13" ht="25.5" x14ac:dyDescent="0.25">
      <c r="A5589" s="46" t="s">
        <v>7926</v>
      </c>
      <c r="B5589" s="46" t="s">
        <v>38</v>
      </c>
      <c r="C5589" s="46" t="s">
        <v>14</v>
      </c>
      <c r="D5589" s="47">
        <v>10730</v>
      </c>
      <c r="E5589" s="46" t="s">
        <v>7927</v>
      </c>
      <c r="F5589" s="48">
        <v>40933</v>
      </c>
      <c r="G5589" s="48">
        <v>40939</v>
      </c>
      <c r="H5589" s="46" t="s">
        <v>40</v>
      </c>
      <c r="I5589" s="45">
        <v>2182</v>
      </c>
      <c r="J5589" s="45">
        <v>2182</v>
      </c>
      <c r="K5589" s="49" t="s">
        <v>7456</v>
      </c>
      <c r="L5589" s="45"/>
      <c r="M5589" s="3"/>
    </row>
    <row r="5590" spans="1:13" ht="25.5" x14ac:dyDescent="0.25">
      <c r="A5590" s="46" t="s">
        <v>7955</v>
      </c>
      <c r="B5590" s="46" t="s">
        <v>38</v>
      </c>
      <c r="C5590" s="46" t="s">
        <v>14</v>
      </c>
      <c r="D5590" s="47">
        <v>1895</v>
      </c>
      <c r="E5590" s="46" t="s">
        <v>7956</v>
      </c>
      <c r="F5590" s="48">
        <v>39114</v>
      </c>
      <c r="G5590" s="48">
        <v>41639</v>
      </c>
      <c r="H5590" s="46" t="s">
        <v>40</v>
      </c>
      <c r="I5590" s="45">
        <f>147205.88+23239.35</f>
        <v>170445.23</v>
      </c>
      <c r="J5590" s="45">
        <f>107099.53+23239.35</f>
        <v>130338.88</v>
      </c>
      <c r="K5590" s="49" t="s">
        <v>7941</v>
      </c>
      <c r="L5590" s="45"/>
      <c r="M5590" s="3"/>
    </row>
    <row r="5591" spans="1:13" ht="25.5" x14ac:dyDescent="0.25">
      <c r="A5591" s="46" t="s">
        <v>7957</v>
      </c>
      <c r="B5591" s="46" t="s">
        <v>38</v>
      </c>
      <c r="C5591" s="46" t="s">
        <v>14</v>
      </c>
      <c r="D5591" s="47">
        <v>1898</v>
      </c>
      <c r="E5591" s="46" t="s">
        <v>7958</v>
      </c>
      <c r="F5591" s="48">
        <v>39479</v>
      </c>
      <c r="G5591" s="48">
        <v>39813</v>
      </c>
      <c r="H5591" s="46" t="s">
        <v>40</v>
      </c>
      <c r="I5591" s="45">
        <v>16095</v>
      </c>
      <c r="J5591" s="45">
        <v>15380</v>
      </c>
      <c r="K5591" s="49" t="s">
        <v>7941</v>
      </c>
      <c r="L5591" s="45"/>
      <c r="M5591" s="3"/>
    </row>
    <row r="5592" spans="1:13" ht="25.5" x14ac:dyDescent="0.25">
      <c r="A5592" s="46" t="s">
        <v>7959</v>
      </c>
      <c r="B5592" s="46" t="s">
        <v>38</v>
      </c>
      <c r="C5592" s="46" t="s">
        <v>14</v>
      </c>
      <c r="D5592" s="47">
        <v>1902</v>
      </c>
      <c r="E5592" s="46" t="s">
        <v>7960</v>
      </c>
      <c r="F5592" s="48">
        <v>39114</v>
      </c>
      <c r="G5592" s="48">
        <v>41273</v>
      </c>
      <c r="H5592" s="46" t="s">
        <v>40</v>
      </c>
      <c r="I5592" s="45">
        <f>25163.33+2203.6</f>
        <v>27366.93</v>
      </c>
      <c r="J5592" s="45">
        <f>15250.23+2203.6</f>
        <v>17453.829999999998</v>
      </c>
      <c r="K5592" s="49" t="s">
        <v>7941</v>
      </c>
      <c r="L5592" s="45"/>
      <c r="M5592" s="3"/>
    </row>
    <row r="5593" spans="1:13" ht="25.5" x14ac:dyDescent="0.25">
      <c r="A5593" s="46" t="s">
        <v>7961</v>
      </c>
      <c r="B5593" s="46" t="s">
        <v>38</v>
      </c>
      <c r="C5593" s="46" t="s">
        <v>14</v>
      </c>
      <c r="D5593" s="47">
        <v>1905</v>
      </c>
      <c r="E5593" s="46" t="s">
        <v>7962</v>
      </c>
      <c r="F5593" s="48">
        <v>39114</v>
      </c>
      <c r="G5593" s="48">
        <v>41274</v>
      </c>
      <c r="H5593" s="46" t="s">
        <v>40</v>
      </c>
      <c r="I5593" s="45">
        <f>83102.38+5015.6</f>
        <v>88117.98000000001</v>
      </c>
      <c r="J5593" s="45">
        <f>66936.78+5015.6</f>
        <v>71952.38</v>
      </c>
      <c r="K5593" s="49" t="s">
        <v>7941</v>
      </c>
      <c r="L5593" s="45"/>
      <c r="M5593" s="3"/>
    </row>
    <row r="5594" spans="1:13" ht="25.5" x14ac:dyDescent="0.25">
      <c r="A5594" s="46" t="s">
        <v>7963</v>
      </c>
      <c r="B5594" s="46" t="s">
        <v>38</v>
      </c>
      <c r="C5594" s="46" t="s">
        <v>14</v>
      </c>
      <c r="D5594" s="47">
        <v>1921</v>
      </c>
      <c r="E5594" s="46" t="s">
        <v>7964</v>
      </c>
      <c r="F5594" s="48">
        <v>39114</v>
      </c>
      <c r="G5594" s="48">
        <v>41639</v>
      </c>
      <c r="H5594" s="46" t="s">
        <v>40</v>
      </c>
      <c r="I5594" s="45">
        <f>6867+310</f>
        <v>7177</v>
      </c>
      <c r="J5594" s="45">
        <f>5757+310</f>
        <v>6067</v>
      </c>
      <c r="K5594" s="49" t="s">
        <v>7941</v>
      </c>
      <c r="L5594" s="45"/>
      <c r="M5594" s="3"/>
    </row>
    <row r="5595" spans="1:13" ht="25.5" x14ac:dyDescent="0.25">
      <c r="A5595" s="46" t="s">
        <v>7967</v>
      </c>
      <c r="B5595" s="46" t="s">
        <v>38</v>
      </c>
      <c r="C5595" s="46" t="s">
        <v>14</v>
      </c>
      <c r="D5595" s="47">
        <v>1953</v>
      </c>
      <c r="E5595" s="46" t="s">
        <v>7968</v>
      </c>
      <c r="F5595" s="48">
        <v>39114</v>
      </c>
      <c r="G5595" s="48">
        <v>41639</v>
      </c>
      <c r="H5595" s="46" t="s">
        <v>40</v>
      </c>
      <c r="I5595" s="45">
        <v>11332</v>
      </c>
      <c r="J5595" s="45">
        <v>9362</v>
      </c>
      <c r="K5595" s="49" t="s">
        <v>7941</v>
      </c>
      <c r="L5595" s="45"/>
      <c r="M5595" s="3"/>
    </row>
    <row r="5596" spans="1:13" ht="25.5" x14ac:dyDescent="0.25">
      <c r="A5596" s="46" t="s">
        <v>7969</v>
      </c>
      <c r="B5596" s="46" t="s">
        <v>38</v>
      </c>
      <c r="C5596" s="46" t="s">
        <v>14</v>
      </c>
      <c r="D5596" s="47">
        <v>1954</v>
      </c>
      <c r="E5596" s="46" t="s">
        <v>7970</v>
      </c>
      <c r="F5596" s="48">
        <v>39114</v>
      </c>
      <c r="G5596" s="48">
        <v>41639</v>
      </c>
      <c r="H5596" s="46" t="s">
        <v>40</v>
      </c>
      <c r="I5596" s="45">
        <f>28937.6+2650.6</f>
        <v>31588.199999999997</v>
      </c>
      <c r="J5596" s="45">
        <f>18802+2650.6</f>
        <v>21452.6</v>
      </c>
      <c r="K5596" s="49" t="s">
        <v>7941</v>
      </c>
      <c r="L5596" s="45"/>
      <c r="M5596" s="3"/>
    </row>
    <row r="5597" spans="1:13" ht="25.5" x14ac:dyDescent="0.25">
      <c r="A5597" s="46" t="s">
        <v>7971</v>
      </c>
      <c r="B5597" s="46" t="s">
        <v>38</v>
      </c>
      <c r="C5597" s="46" t="s">
        <v>14</v>
      </c>
      <c r="D5597" s="47">
        <v>1955</v>
      </c>
      <c r="E5597" s="46" t="s">
        <v>7972</v>
      </c>
      <c r="F5597" s="48">
        <v>39114</v>
      </c>
      <c r="G5597" s="48">
        <v>41639</v>
      </c>
      <c r="H5597" s="46" t="s">
        <v>40</v>
      </c>
      <c r="I5597" s="45">
        <v>17969.900000000001</v>
      </c>
      <c r="J5597" s="45">
        <v>14419.9</v>
      </c>
      <c r="K5597" s="49" t="s">
        <v>7941</v>
      </c>
      <c r="L5597" s="45"/>
      <c r="M5597" s="3"/>
    </row>
    <row r="5598" spans="1:13" ht="25.5" x14ac:dyDescent="0.25">
      <c r="A5598" s="46" t="s">
        <v>7973</v>
      </c>
      <c r="B5598" s="46" t="s">
        <v>38</v>
      </c>
      <c r="C5598" s="46" t="s">
        <v>14</v>
      </c>
      <c r="D5598" s="47">
        <v>1956</v>
      </c>
      <c r="E5598" s="46" t="s">
        <v>7974</v>
      </c>
      <c r="F5598" s="48">
        <v>39114</v>
      </c>
      <c r="G5598" s="48">
        <v>39813</v>
      </c>
      <c r="H5598" s="46" t="s">
        <v>40</v>
      </c>
      <c r="I5598" s="45">
        <v>1135</v>
      </c>
      <c r="J5598" s="45">
        <v>1045</v>
      </c>
      <c r="K5598" s="49" t="s">
        <v>7941</v>
      </c>
      <c r="L5598" s="45"/>
      <c r="M5598" s="3"/>
    </row>
    <row r="5599" spans="1:13" ht="25.5" x14ac:dyDescent="0.25">
      <c r="A5599" s="46" t="s">
        <v>7975</v>
      </c>
      <c r="B5599" s="46" t="s">
        <v>38</v>
      </c>
      <c r="C5599" s="46" t="s">
        <v>14</v>
      </c>
      <c r="D5599" s="47">
        <v>1957</v>
      </c>
      <c r="E5599" s="46" t="s">
        <v>7976</v>
      </c>
      <c r="F5599" s="48">
        <v>39114</v>
      </c>
      <c r="G5599" s="48">
        <v>41639</v>
      </c>
      <c r="H5599" s="46" t="s">
        <v>40</v>
      </c>
      <c r="I5599" s="45">
        <v>5949</v>
      </c>
      <c r="J5599" s="45">
        <v>4929</v>
      </c>
      <c r="K5599" s="49" t="s">
        <v>7941</v>
      </c>
      <c r="L5599" s="45"/>
      <c r="M5599" s="3"/>
    </row>
    <row r="5600" spans="1:13" ht="25.5" x14ac:dyDescent="0.25">
      <c r="A5600" s="46" t="s">
        <v>7977</v>
      </c>
      <c r="B5600" s="46" t="s">
        <v>38</v>
      </c>
      <c r="C5600" s="46" t="s">
        <v>14</v>
      </c>
      <c r="D5600" s="47">
        <v>1958</v>
      </c>
      <c r="E5600" s="46" t="s">
        <v>7978</v>
      </c>
      <c r="F5600" s="48">
        <v>39114</v>
      </c>
      <c r="G5600" s="48">
        <v>41639</v>
      </c>
      <c r="H5600" s="46" t="s">
        <v>40</v>
      </c>
      <c r="I5600" s="45">
        <v>2620</v>
      </c>
      <c r="J5600" s="45">
        <v>1670</v>
      </c>
      <c r="K5600" s="49" t="s">
        <v>7941</v>
      </c>
      <c r="L5600" s="45"/>
      <c r="M5600" s="3"/>
    </row>
    <row r="5601" spans="1:13" ht="25.5" x14ac:dyDescent="0.25">
      <c r="A5601" s="46" t="s">
        <v>7979</v>
      </c>
      <c r="B5601" s="46" t="s">
        <v>38</v>
      </c>
      <c r="C5601" s="46" t="s">
        <v>14</v>
      </c>
      <c r="D5601" s="47">
        <v>1959</v>
      </c>
      <c r="E5601" s="46" t="s">
        <v>7980</v>
      </c>
      <c r="F5601" s="48">
        <v>39114</v>
      </c>
      <c r="G5601" s="48">
        <v>41639</v>
      </c>
      <c r="H5601" s="46" t="s">
        <v>40</v>
      </c>
      <c r="I5601" s="45">
        <v>1183.5</v>
      </c>
      <c r="J5601" s="45">
        <v>1063.5</v>
      </c>
      <c r="K5601" s="49" t="s">
        <v>7941</v>
      </c>
      <c r="L5601" s="45"/>
      <c r="M5601" s="3"/>
    </row>
    <row r="5602" spans="1:13" ht="25.5" x14ac:dyDescent="0.25">
      <c r="A5602" s="46" t="s">
        <v>7981</v>
      </c>
      <c r="B5602" s="46" t="s">
        <v>38</v>
      </c>
      <c r="C5602" s="46" t="s">
        <v>14</v>
      </c>
      <c r="D5602" s="47">
        <v>1986</v>
      </c>
      <c r="E5602" s="46" t="s">
        <v>7982</v>
      </c>
      <c r="F5602" s="48">
        <v>39114</v>
      </c>
      <c r="G5602" s="48">
        <v>39813</v>
      </c>
      <c r="H5602" s="46" t="s">
        <v>40</v>
      </c>
      <c r="I5602" s="45">
        <v>2525</v>
      </c>
      <c r="J5602" s="45">
        <v>1965</v>
      </c>
      <c r="K5602" s="49" t="s">
        <v>7941</v>
      </c>
      <c r="L5602" s="45"/>
      <c r="M5602" s="3"/>
    </row>
    <row r="5603" spans="1:13" ht="25.5" x14ac:dyDescent="0.25">
      <c r="A5603" s="46" t="s">
        <v>7983</v>
      </c>
      <c r="B5603" s="46" t="s">
        <v>38</v>
      </c>
      <c r="C5603" s="46" t="s">
        <v>14</v>
      </c>
      <c r="D5603" s="47">
        <v>1987</v>
      </c>
      <c r="E5603" s="46" t="s">
        <v>7984</v>
      </c>
      <c r="F5603" s="48">
        <v>39114</v>
      </c>
      <c r="G5603" s="48">
        <v>41639</v>
      </c>
      <c r="H5603" s="46" t="s">
        <v>40</v>
      </c>
      <c r="I5603" s="45">
        <f>48230.65+11366.6</f>
        <v>59597.25</v>
      </c>
      <c r="J5603" s="45">
        <f>29911.05+11366.6</f>
        <v>41277.65</v>
      </c>
      <c r="K5603" s="49" t="s">
        <v>7941</v>
      </c>
      <c r="L5603" s="45"/>
      <c r="M5603" s="3"/>
    </row>
    <row r="5604" spans="1:13" ht="25.5" x14ac:dyDescent="0.25">
      <c r="A5604" s="46" t="s">
        <v>7985</v>
      </c>
      <c r="B5604" s="46" t="s">
        <v>38</v>
      </c>
      <c r="C5604" s="46" t="s">
        <v>14</v>
      </c>
      <c r="D5604" s="47">
        <v>1988</v>
      </c>
      <c r="E5604" s="46" t="s">
        <v>7986</v>
      </c>
      <c r="F5604" s="48">
        <v>39114</v>
      </c>
      <c r="G5604" s="48">
        <v>41639</v>
      </c>
      <c r="H5604" s="46" t="s">
        <v>40</v>
      </c>
      <c r="I5604" s="45">
        <f>123766.84+6617.6</f>
        <v>130384.44</v>
      </c>
      <c r="J5604" s="45">
        <f>93049.24+6617.6</f>
        <v>99666.840000000011</v>
      </c>
      <c r="K5604" s="49" t="s">
        <v>7941</v>
      </c>
      <c r="L5604" s="45"/>
      <c r="M5604" s="3"/>
    </row>
    <row r="5605" spans="1:13" ht="25.5" x14ac:dyDescent="0.25">
      <c r="A5605" s="46" t="s">
        <v>7987</v>
      </c>
      <c r="B5605" s="46" t="s">
        <v>38</v>
      </c>
      <c r="C5605" s="46" t="s">
        <v>14</v>
      </c>
      <c r="D5605" s="47">
        <v>1991</v>
      </c>
      <c r="E5605" s="46" t="s">
        <v>7988</v>
      </c>
      <c r="F5605" s="48">
        <v>39114</v>
      </c>
      <c r="G5605" s="48">
        <v>39813</v>
      </c>
      <c r="H5605" s="46" t="s">
        <v>40</v>
      </c>
      <c r="I5605" s="45">
        <v>4050</v>
      </c>
      <c r="J5605" s="45">
        <v>1875</v>
      </c>
      <c r="K5605" s="49" t="s">
        <v>7941</v>
      </c>
      <c r="L5605" s="45"/>
      <c r="M5605" s="3"/>
    </row>
    <row r="5606" spans="1:13" ht="25.5" x14ac:dyDescent="0.25">
      <c r="A5606" s="46" t="s">
        <v>7989</v>
      </c>
      <c r="B5606" s="46" t="s">
        <v>38</v>
      </c>
      <c r="C5606" s="46" t="s">
        <v>14</v>
      </c>
      <c r="D5606" s="47">
        <v>1995</v>
      </c>
      <c r="E5606" s="46" t="s">
        <v>7990</v>
      </c>
      <c r="F5606" s="48">
        <v>39114</v>
      </c>
      <c r="G5606" s="48">
        <v>39813</v>
      </c>
      <c r="H5606" s="46" t="s">
        <v>40</v>
      </c>
      <c r="I5606" s="45">
        <v>2163.0700000000002</v>
      </c>
      <c r="J5606" s="45">
        <v>1163.07</v>
      </c>
      <c r="K5606" s="49" t="s">
        <v>7941</v>
      </c>
      <c r="L5606" s="45"/>
      <c r="M5606" s="3"/>
    </row>
    <row r="5607" spans="1:13" ht="25.5" x14ac:dyDescent="0.25">
      <c r="A5607" s="46" t="s">
        <v>7991</v>
      </c>
      <c r="B5607" s="46" t="s">
        <v>38</v>
      </c>
      <c r="C5607" s="46" t="s">
        <v>14</v>
      </c>
      <c r="D5607" s="47">
        <v>1998</v>
      </c>
      <c r="E5607" s="46" t="s">
        <v>7992</v>
      </c>
      <c r="F5607" s="48">
        <v>39114</v>
      </c>
      <c r="G5607" s="48">
        <v>39813</v>
      </c>
      <c r="H5607" s="46" t="s">
        <v>40</v>
      </c>
      <c r="I5607" s="45">
        <v>1050</v>
      </c>
      <c r="J5607" s="45">
        <v>675</v>
      </c>
      <c r="K5607" s="49" t="s">
        <v>7941</v>
      </c>
      <c r="L5607" s="45"/>
      <c r="M5607" s="3"/>
    </row>
    <row r="5608" spans="1:13" ht="25.5" x14ac:dyDescent="0.25">
      <c r="A5608" s="46" t="s">
        <v>7993</v>
      </c>
      <c r="B5608" s="46" t="s">
        <v>38</v>
      </c>
      <c r="C5608" s="46" t="s">
        <v>14</v>
      </c>
      <c r="D5608" s="47">
        <v>2008</v>
      </c>
      <c r="E5608" s="46" t="s">
        <v>7994</v>
      </c>
      <c r="F5608" s="48">
        <v>39114</v>
      </c>
      <c r="G5608" s="48">
        <v>41639</v>
      </c>
      <c r="H5608" s="46" t="s">
        <v>40</v>
      </c>
      <c r="I5608" s="45">
        <v>3245</v>
      </c>
      <c r="J5608" s="45">
        <v>2245</v>
      </c>
      <c r="K5608" s="49" t="s">
        <v>7941</v>
      </c>
      <c r="L5608" s="45"/>
      <c r="M5608" s="3"/>
    </row>
    <row r="5609" spans="1:13" ht="25.5" x14ac:dyDescent="0.25">
      <c r="A5609" s="46" t="s">
        <v>7995</v>
      </c>
      <c r="B5609" s="46" t="s">
        <v>38</v>
      </c>
      <c r="C5609" s="46" t="s">
        <v>14</v>
      </c>
      <c r="D5609" s="47">
        <v>2035</v>
      </c>
      <c r="E5609" s="46" t="s">
        <v>7996</v>
      </c>
      <c r="F5609" s="48">
        <v>39114</v>
      </c>
      <c r="G5609" s="48">
        <v>41274</v>
      </c>
      <c r="H5609" s="46" t="s">
        <v>40</v>
      </c>
      <c r="I5609" s="45">
        <v>18572.23</v>
      </c>
      <c r="J5609" s="45">
        <v>13962.23</v>
      </c>
      <c r="K5609" s="49" t="s">
        <v>7941</v>
      </c>
      <c r="L5609" s="45"/>
      <c r="M5609" s="3"/>
    </row>
    <row r="5610" spans="1:13" ht="25.5" x14ac:dyDescent="0.25">
      <c r="A5610" s="46" t="s">
        <v>7997</v>
      </c>
      <c r="B5610" s="46" t="s">
        <v>38</v>
      </c>
      <c r="C5610" s="46" t="s">
        <v>14</v>
      </c>
      <c r="D5610" s="47">
        <v>2038</v>
      </c>
      <c r="E5610" s="46" t="s">
        <v>7998</v>
      </c>
      <c r="F5610" s="48">
        <v>39114</v>
      </c>
      <c r="G5610" s="48">
        <v>41639</v>
      </c>
      <c r="H5610" s="46" t="s">
        <v>40</v>
      </c>
      <c r="I5610" s="45">
        <v>1200.4000000000001</v>
      </c>
      <c r="J5610" s="45">
        <v>1095.4000000000001</v>
      </c>
      <c r="K5610" s="49" t="s">
        <v>7941</v>
      </c>
      <c r="L5610" s="45"/>
      <c r="M5610" s="3"/>
    </row>
    <row r="5611" spans="1:13" ht="25.5" x14ac:dyDescent="0.25">
      <c r="A5611" s="46" t="s">
        <v>7999</v>
      </c>
      <c r="B5611" s="46" t="s">
        <v>38</v>
      </c>
      <c r="C5611" s="46" t="s">
        <v>14</v>
      </c>
      <c r="D5611" s="47">
        <v>2041</v>
      </c>
      <c r="E5611" s="46" t="s">
        <v>8000</v>
      </c>
      <c r="F5611" s="48">
        <v>39114</v>
      </c>
      <c r="G5611" s="48">
        <v>41639</v>
      </c>
      <c r="H5611" s="46" t="s">
        <v>40</v>
      </c>
      <c r="I5611" s="45">
        <v>2241</v>
      </c>
      <c r="J5611" s="45">
        <v>1436</v>
      </c>
      <c r="K5611" s="49" t="s">
        <v>7941</v>
      </c>
      <c r="L5611" s="45"/>
      <c r="M5611" s="3"/>
    </row>
    <row r="5612" spans="1:13" ht="25.5" x14ac:dyDescent="0.25">
      <c r="A5612" s="46" t="s">
        <v>8001</v>
      </c>
      <c r="B5612" s="46" t="s">
        <v>38</v>
      </c>
      <c r="C5612" s="46" t="s">
        <v>14</v>
      </c>
      <c r="D5612" s="47">
        <v>2044</v>
      </c>
      <c r="E5612" s="46" t="s">
        <v>8002</v>
      </c>
      <c r="F5612" s="48">
        <v>39114</v>
      </c>
      <c r="G5612" s="48">
        <v>41639</v>
      </c>
      <c r="H5612" s="46" t="s">
        <v>40</v>
      </c>
      <c r="I5612" s="45">
        <v>2580</v>
      </c>
      <c r="J5612" s="45">
        <v>2265</v>
      </c>
      <c r="K5612" s="49" t="s">
        <v>7941</v>
      </c>
      <c r="L5612" s="45"/>
      <c r="M5612" s="3"/>
    </row>
    <row r="5613" spans="1:13" ht="25.5" x14ac:dyDescent="0.25">
      <c r="A5613" s="46" t="s">
        <v>8003</v>
      </c>
      <c r="B5613" s="46" t="s">
        <v>38</v>
      </c>
      <c r="C5613" s="46" t="s">
        <v>14</v>
      </c>
      <c r="D5613" s="47">
        <v>2047</v>
      </c>
      <c r="E5613" s="46" t="s">
        <v>8004</v>
      </c>
      <c r="F5613" s="48">
        <v>39114</v>
      </c>
      <c r="G5613" s="48">
        <v>39813</v>
      </c>
      <c r="H5613" s="46" t="s">
        <v>40</v>
      </c>
      <c r="I5613" s="45">
        <v>4438.6000000000004</v>
      </c>
      <c r="J5613" s="45">
        <v>3403.6</v>
      </c>
      <c r="K5613" s="49" t="s">
        <v>7941</v>
      </c>
      <c r="L5613" s="45"/>
      <c r="M5613" s="3"/>
    </row>
    <row r="5614" spans="1:13" ht="25.5" x14ac:dyDescent="0.25">
      <c r="A5614" s="46" t="s">
        <v>8005</v>
      </c>
      <c r="B5614" s="46" t="s">
        <v>38</v>
      </c>
      <c r="C5614" s="46" t="s">
        <v>14</v>
      </c>
      <c r="D5614" s="47">
        <v>2048</v>
      </c>
      <c r="E5614" s="46" t="s">
        <v>8006</v>
      </c>
      <c r="F5614" s="48">
        <v>39114</v>
      </c>
      <c r="G5614" s="48">
        <v>41639</v>
      </c>
      <c r="H5614" s="46" t="s">
        <v>40</v>
      </c>
      <c r="I5614" s="45">
        <v>3941</v>
      </c>
      <c r="J5614" s="45">
        <v>3376</v>
      </c>
      <c r="K5614" s="49" t="s">
        <v>7941</v>
      </c>
      <c r="L5614" s="45"/>
      <c r="M5614" s="3"/>
    </row>
    <row r="5615" spans="1:13" ht="25.5" x14ac:dyDescent="0.25">
      <c r="A5615" s="46" t="s">
        <v>8007</v>
      </c>
      <c r="B5615" s="46" t="s">
        <v>38</v>
      </c>
      <c r="C5615" s="46" t="s">
        <v>14</v>
      </c>
      <c r="D5615" s="47">
        <v>2071</v>
      </c>
      <c r="E5615" s="46" t="s">
        <v>8008</v>
      </c>
      <c r="F5615" s="48">
        <v>39114</v>
      </c>
      <c r="G5615" s="48">
        <v>41638</v>
      </c>
      <c r="H5615" s="46" t="s">
        <v>40</v>
      </c>
      <c r="I5615" s="45">
        <v>900</v>
      </c>
      <c r="J5615" s="45">
        <v>875</v>
      </c>
      <c r="K5615" s="49" t="s">
        <v>7941</v>
      </c>
      <c r="L5615" s="45"/>
      <c r="M5615" s="3"/>
    </row>
    <row r="5616" spans="1:13" ht="25.5" x14ac:dyDescent="0.25">
      <c r="A5616" s="46" t="s">
        <v>8009</v>
      </c>
      <c r="B5616" s="46" t="s">
        <v>38</v>
      </c>
      <c r="C5616" s="46" t="s">
        <v>14</v>
      </c>
      <c r="D5616" s="47">
        <v>2088</v>
      </c>
      <c r="E5616" s="46" t="s">
        <v>8010</v>
      </c>
      <c r="F5616" s="48">
        <v>39114</v>
      </c>
      <c r="G5616" s="48">
        <v>41639</v>
      </c>
      <c r="H5616" s="46" t="s">
        <v>40</v>
      </c>
      <c r="I5616" s="45">
        <v>1935</v>
      </c>
      <c r="J5616" s="45">
        <v>1460</v>
      </c>
      <c r="K5616" s="49" t="s">
        <v>7941</v>
      </c>
      <c r="L5616" s="45"/>
      <c r="M5616" s="3"/>
    </row>
    <row r="5617" spans="1:13" ht="25.5" x14ac:dyDescent="0.25">
      <c r="A5617" s="46" t="s">
        <v>8011</v>
      </c>
      <c r="B5617" s="46" t="s">
        <v>38</v>
      </c>
      <c r="C5617" s="46" t="s">
        <v>14</v>
      </c>
      <c r="D5617" s="47">
        <v>2093</v>
      </c>
      <c r="E5617" s="46" t="s">
        <v>8012</v>
      </c>
      <c r="F5617" s="48">
        <v>39114</v>
      </c>
      <c r="G5617" s="48">
        <v>41639</v>
      </c>
      <c r="H5617" s="46" t="s">
        <v>40</v>
      </c>
      <c r="I5617" s="45">
        <v>13555</v>
      </c>
      <c r="J5617" s="45">
        <v>6055</v>
      </c>
      <c r="K5617" s="49" t="s">
        <v>7941</v>
      </c>
      <c r="L5617" s="45"/>
      <c r="M5617" s="3"/>
    </row>
    <row r="5618" spans="1:13" ht="25.5" x14ac:dyDescent="0.25">
      <c r="A5618" s="46" t="s">
        <v>8013</v>
      </c>
      <c r="B5618" s="46" t="s">
        <v>38</v>
      </c>
      <c r="C5618" s="46" t="s">
        <v>14</v>
      </c>
      <c r="D5618" s="47">
        <v>2095</v>
      </c>
      <c r="E5618" s="46" t="s">
        <v>8014</v>
      </c>
      <c r="F5618" s="48">
        <v>39114</v>
      </c>
      <c r="G5618" s="48">
        <v>41638</v>
      </c>
      <c r="H5618" s="46" t="s">
        <v>40</v>
      </c>
      <c r="I5618" s="45">
        <f>236556.03+19331.2</f>
        <v>255887.23</v>
      </c>
      <c r="J5618" s="45">
        <f>205389.83+19331.2</f>
        <v>224721.03</v>
      </c>
      <c r="K5618" s="49" t="s">
        <v>7941</v>
      </c>
      <c r="L5618" s="45"/>
      <c r="M5618" s="3"/>
    </row>
    <row r="5619" spans="1:13" ht="25.5" x14ac:dyDescent="0.25">
      <c r="A5619" s="46" t="s">
        <v>8015</v>
      </c>
      <c r="B5619" s="46" t="s">
        <v>38</v>
      </c>
      <c r="C5619" s="46" t="s">
        <v>14</v>
      </c>
      <c r="D5619" s="47">
        <v>2190</v>
      </c>
      <c r="E5619" s="46" t="s">
        <v>8016</v>
      </c>
      <c r="F5619" s="48">
        <v>39114</v>
      </c>
      <c r="G5619" s="48">
        <v>41274</v>
      </c>
      <c r="H5619" s="46" t="s">
        <v>40</v>
      </c>
      <c r="I5619" s="45">
        <f>137486.3+20996.6</f>
        <v>158482.9</v>
      </c>
      <c r="J5619" s="45">
        <f>105482.7+20996.6</f>
        <v>126479.29999999999</v>
      </c>
      <c r="K5619" s="49" t="s">
        <v>7941</v>
      </c>
      <c r="L5619" s="45"/>
      <c r="M5619" s="3"/>
    </row>
    <row r="5620" spans="1:13" ht="25.5" x14ac:dyDescent="0.25">
      <c r="A5620" s="46" t="s">
        <v>8017</v>
      </c>
      <c r="B5620" s="46" t="s">
        <v>38</v>
      </c>
      <c r="C5620" s="46" t="s">
        <v>14</v>
      </c>
      <c r="D5620" s="47">
        <v>2191</v>
      </c>
      <c r="E5620" s="46" t="s">
        <v>8018</v>
      </c>
      <c r="F5620" s="48">
        <v>39114</v>
      </c>
      <c r="G5620" s="48">
        <v>41639</v>
      </c>
      <c r="H5620" s="46" t="s">
        <v>40</v>
      </c>
      <c r="I5620" s="45">
        <v>17365.89</v>
      </c>
      <c r="J5620" s="45">
        <v>16515.89</v>
      </c>
      <c r="K5620" s="49" t="s">
        <v>7941</v>
      </c>
      <c r="L5620" s="45"/>
      <c r="M5620" s="3"/>
    </row>
    <row r="5621" spans="1:13" ht="25.5" x14ac:dyDescent="0.25">
      <c r="A5621" s="46" t="s">
        <v>8019</v>
      </c>
      <c r="B5621" s="46" t="s">
        <v>38</v>
      </c>
      <c r="C5621" s="46" t="s">
        <v>14</v>
      </c>
      <c r="D5621" s="47">
        <v>2192</v>
      </c>
      <c r="E5621" s="46" t="s">
        <v>8020</v>
      </c>
      <c r="F5621" s="48">
        <v>39479</v>
      </c>
      <c r="G5621" s="48">
        <v>41639</v>
      </c>
      <c r="H5621" s="46" t="s">
        <v>40</v>
      </c>
      <c r="I5621" s="45">
        <f>23580.51+4437.6</f>
        <v>28018.11</v>
      </c>
      <c r="J5621" s="45">
        <v>21905.51</v>
      </c>
      <c r="K5621" s="49" t="s">
        <v>7941</v>
      </c>
      <c r="L5621" s="45"/>
      <c r="M5621" s="3"/>
    </row>
    <row r="5622" spans="1:13" ht="25.5" x14ac:dyDescent="0.25">
      <c r="A5622" s="46" t="s">
        <v>8021</v>
      </c>
      <c r="B5622" s="46" t="s">
        <v>38</v>
      </c>
      <c r="C5622" s="46" t="s">
        <v>14</v>
      </c>
      <c r="D5622" s="47">
        <v>2193</v>
      </c>
      <c r="E5622" s="46" t="s">
        <v>8022</v>
      </c>
      <c r="F5622" s="48">
        <v>39114</v>
      </c>
      <c r="G5622" s="48">
        <v>41639</v>
      </c>
      <c r="H5622" s="46" t="s">
        <v>40</v>
      </c>
      <c r="I5622" s="45">
        <v>90738.23</v>
      </c>
      <c r="J5622" s="45">
        <v>89102.21</v>
      </c>
      <c r="K5622" s="49" t="s">
        <v>7941</v>
      </c>
      <c r="L5622" s="45"/>
      <c r="M5622" s="3"/>
    </row>
    <row r="5623" spans="1:13" ht="25.5" x14ac:dyDescent="0.25">
      <c r="A5623" s="46" t="s">
        <v>8023</v>
      </c>
      <c r="B5623" s="46" t="s">
        <v>38</v>
      </c>
      <c r="C5623" s="46" t="s">
        <v>14</v>
      </c>
      <c r="D5623" s="47">
        <v>2194</v>
      </c>
      <c r="E5623" s="46" t="s">
        <v>8024</v>
      </c>
      <c r="F5623" s="48">
        <v>39114</v>
      </c>
      <c r="G5623" s="48">
        <v>41639</v>
      </c>
      <c r="H5623" s="46" t="s">
        <v>40</v>
      </c>
      <c r="I5623" s="45">
        <f>21394.24+297.5</f>
        <v>21691.74</v>
      </c>
      <c r="J5623" s="45">
        <f>20026.74+297.5</f>
        <v>20324.240000000002</v>
      </c>
      <c r="K5623" s="49" t="s">
        <v>7941</v>
      </c>
      <c r="L5623" s="45"/>
      <c r="M5623" s="3"/>
    </row>
    <row r="5624" spans="1:13" ht="25.5" x14ac:dyDescent="0.25">
      <c r="A5624" s="46" t="s">
        <v>8025</v>
      </c>
      <c r="B5624" s="46" t="s">
        <v>38</v>
      </c>
      <c r="C5624" s="46" t="s">
        <v>14</v>
      </c>
      <c r="D5624" s="47">
        <v>2195</v>
      </c>
      <c r="E5624" s="46" t="s">
        <v>8026</v>
      </c>
      <c r="F5624" s="48">
        <v>39114</v>
      </c>
      <c r="G5624" s="48">
        <v>41639</v>
      </c>
      <c r="H5624" s="46" t="s">
        <v>40</v>
      </c>
      <c r="I5624" s="45">
        <f>18793.14</f>
        <v>18793.14</v>
      </c>
      <c r="J5624" s="45">
        <f>6928.2</f>
        <v>6928.2</v>
      </c>
      <c r="K5624" s="49" t="s">
        <v>7941</v>
      </c>
      <c r="L5624" s="45"/>
      <c r="M5624" s="3"/>
    </row>
    <row r="5625" spans="1:13" ht="25.5" x14ac:dyDescent="0.25">
      <c r="A5625" s="46" t="s">
        <v>8027</v>
      </c>
      <c r="B5625" s="46" t="s">
        <v>38</v>
      </c>
      <c r="C5625" s="46" t="s">
        <v>14</v>
      </c>
      <c r="D5625" s="47">
        <v>2196</v>
      </c>
      <c r="E5625" s="46" t="s">
        <v>8028</v>
      </c>
      <c r="F5625" s="48">
        <v>39114</v>
      </c>
      <c r="G5625" s="48">
        <v>39813</v>
      </c>
      <c r="H5625" s="46" t="s">
        <v>40</v>
      </c>
      <c r="I5625" s="45">
        <f>7079.95+5954.95</f>
        <v>13034.9</v>
      </c>
      <c r="J5625" s="45">
        <f>300+5954.95</f>
        <v>6254.95</v>
      </c>
      <c r="K5625" s="49" t="s">
        <v>7941</v>
      </c>
      <c r="L5625" s="45"/>
      <c r="M5625" s="3"/>
    </row>
    <row r="5626" spans="1:13" ht="38.25" x14ac:dyDescent="0.25">
      <c r="A5626" s="46" t="s">
        <v>8029</v>
      </c>
      <c r="B5626" s="46" t="s">
        <v>38</v>
      </c>
      <c r="C5626" s="46" t="s">
        <v>14</v>
      </c>
      <c r="D5626" s="47">
        <v>2197</v>
      </c>
      <c r="E5626" s="46" t="s">
        <v>8030</v>
      </c>
      <c r="F5626" s="48">
        <v>39114</v>
      </c>
      <c r="G5626" s="48">
        <v>41639</v>
      </c>
      <c r="H5626" s="46" t="s">
        <v>40</v>
      </c>
      <c r="I5626" s="45">
        <v>12926.45</v>
      </c>
      <c r="J5626" s="45">
        <v>12926.45</v>
      </c>
      <c r="K5626" s="49" t="s">
        <v>7941</v>
      </c>
      <c r="L5626" s="45"/>
      <c r="M5626" s="3"/>
    </row>
    <row r="5627" spans="1:13" ht="25.5" x14ac:dyDescent="0.25">
      <c r="A5627" s="46" t="s">
        <v>8031</v>
      </c>
      <c r="B5627" s="46" t="s">
        <v>38</v>
      </c>
      <c r="C5627" s="46" t="s">
        <v>14</v>
      </c>
      <c r="D5627" s="47">
        <v>2198</v>
      </c>
      <c r="E5627" s="46" t="s">
        <v>8032</v>
      </c>
      <c r="F5627" s="48">
        <v>39479</v>
      </c>
      <c r="G5627" s="48">
        <v>41639</v>
      </c>
      <c r="H5627" s="46" t="s">
        <v>40</v>
      </c>
      <c r="I5627" s="45">
        <v>3000</v>
      </c>
      <c r="J5627" s="45">
        <v>3000</v>
      </c>
      <c r="K5627" s="49" t="s">
        <v>7941</v>
      </c>
      <c r="L5627" s="45"/>
      <c r="M5627" s="3"/>
    </row>
    <row r="5628" spans="1:13" ht="25.5" x14ac:dyDescent="0.25">
      <c r="A5628" s="46" t="s">
        <v>8033</v>
      </c>
      <c r="B5628" s="46" t="s">
        <v>38</v>
      </c>
      <c r="C5628" s="46" t="s">
        <v>14</v>
      </c>
      <c r="D5628" s="47">
        <v>2199</v>
      </c>
      <c r="E5628" s="46" t="s">
        <v>8034</v>
      </c>
      <c r="F5628" s="48">
        <v>39692</v>
      </c>
      <c r="G5628" s="48">
        <v>41274</v>
      </c>
      <c r="H5628" s="46" t="s">
        <v>40</v>
      </c>
      <c r="I5628" s="45">
        <f>17592.08+2170.7</f>
        <v>19762.780000000002</v>
      </c>
      <c r="J5628" s="45">
        <f>15421.38+2170.7</f>
        <v>17592.079999999998</v>
      </c>
      <c r="K5628" s="49" t="s">
        <v>7941</v>
      </c>
      <c r="L5628" s="45"/>
      <c r="M5628" s="3"/>
    </row>
    <row r="5629" spans="1:13" ht="25.5" x14ac:dyDescent="0.25">
      <c r="A5629" s="46" t="s">
        <v>8035</v>
      </c>
      <c r="B5629" s="46" t="s">
        <v>38</v>
      </c>
      <c r="C5629" s="46" t="s">
        <v>14</v>
      </c>
      <c r="D5629" s="47">
        <v>2201</v>
      </c>
      <c r="E5629" s="46" t="s">
        <v>8036</v>
      </c>
      <c r="F5629" s="48">
        <v>39479</v>
      </c>
      <c r="G5629" s="48">
        <v>41639</v>
      </c>
      <c r="H5629" s="46" t="s">
        <v>40</v>
      </c>
      <c r="I5629" s="45">
        <v>648</v>
      </c>
      <c r="J5629" s="45">
        <v>443</v>
      </c>
      <c r="K5629" s="49" t="s">
        <v>7941</v>
      </c>
      <c r="L5629" s="45"/>
      <c r="M5629" s="3"/>
    </row>
    <row r="5630" spans="1:13" ht="25.5" x14ac:dyDescent="0.25">
      <c r="A5630" s="46" t="s">
        <v>8037</v>
      </c>
      <c r="B5630" s="46" t="s">
        <v>38</v>
      </c>
      <c r="C5630" s="46" t="s">
        <v>14</v>
      </c>
      <c r="D5630" s="47">
        <v>2208</v>
      </c>
      <c r="E5630" s="46" t="s">
        <v>8038</v>
      </c>
      <c r="F5630" s="48">
        <v>39114</v>
      </c>
      <c r="G5630" s="48">
        <v>40907</v>
      </c>
      <c r="H5630" s="46" t="s">
        <v>40</v>
      </c>
      <c r="I5630" s="45">
        <v>14736.3</v>
      </c>
      <c r="J5630" s="45">
        <v>13381.07</v>
      </c>
      <c r="K5630" s="49" t="s">
        <v>7941</v>
      </c>
      <c r="L5630" s="45"/>
      <c r="M5630" s="3"/>
    </row>
    <row r="5631" spans="1:13" ht="25.5" x14ac:dyDescent="0.25">
      <c r="A5631" s="46" t="s">
        <v>8039</v>
      </c>
      <c r="B5631" s="46" t="s">
        <v>38</v>
      </c>
      <c r="C5631" s="46" t="s">
        <v>14</v>
      </c>
      <c r="D5631" s="47">
        <v>2210</v>
      </c>
      <c r="E5631" s="46" t="s">
        <v>8040</v>
      </c>
      <c r="F5631" s="48">
        <v>39479</v>
      </c>
      <c r="G5631" s="48">
        <v>41639</v>
      </c>
      <c r="H5631" s="46" t="s">
        <v>40</v>
      </c>
      <c r="I5631" s="45">
        <v>4964.1000000000004</v>
      </c>
      <c r="J5631" s="45">
        <v>4964.1000000000004</v>
      </c>
      <c r="K5631" s="49" t="s">
        <v>7941</v>
      </c>
      <c r="L5631" s="45"/>
      <c r="M5631" s="3"/>
    </row>
    <row r="5632" spans="1:13" ht="25.5" x14ac:dyDescent="0.25">
      <c r="A5632" s="46" t="s">
        <v>8041</v>
      </c>
      <c r="B5632" s="46" t="s">
        <v>38</v>
      </c>
      <c r="C5632" s="46" t="s">
        <v>14</v>
      </c>
      <c r="D5632" s="47">
        <v>2212</v>
      </c>
      <c r="E5632" s="46" t="s">
        <v>8042</v>
      </c>
      <c r="F5632" s="48">
        <v>39114</v>
      </c>
      <c r="G5632" s="48">
        <v>41274</v>
      </c>
      <c r="H5632" s="46" t="s">
        <v>40</v>
      </c>
      <c r="I5632" s="45">
        <f>49538.33+6054.1</f>
        <v>55592.43</v>
      </c>
      <c r="J5632" s="45">
        <f>43484.23+6054.1</f>
        <v>49538.33</v>
      </c>
      <c r="K5632" s="49" t="s">
        <v>7941</v>
      </c>
      <c r="L5632" s="45"/>
      <c r="M5632" s="3"/>
    </row>
    <row r="5633" spans="1:13" ht="25.5" x14ac:dyDescent="0.25">
      <c r="A5633" s="46" t="s">
        <v>2284</v>
      </c>
      <c r="B5633" s="46" t="s">
        <v>38</v>
      </c>
      <c r="C5633" s="46" t="s">
        <v>14</v>
      </c>
      <c r="D5633" s="47">
        <v>2215</v>
      </c>
      <c r="E5633" s="46" t="s">
        <v>8045</v>
      </c>
      <c r="F5633" s="48">
        <v>39114</v>
      </c>
      <c r="G5633" s="48">
        <v>41274</v>
      </c>
      <c r="H5633" s="46" t="s">
        <v>40</v>
      </c>
      <c r="I5633" s="45">
        <f>242399.03+27877.95</f>
        <v>270276.98</v>
      </c>
      <c r="J5633" s="45">
        <f>214521.08+27877.95</f>
        <v>242399.03</v>
      </c>
      <c r="K5633" s="49" t="s">
        <v>7941</v>
      </c>
      <c r="L5633" s="45"/>
      <c r="M5633" s="3"/>
    </row>
    <row r="5634" spans="1:13" ht="25.5" x14ac:dyDescent="0.25">
      <c r="A5634" s="46" t="s">
        <v>8048</v>
      </c>
      <c r="B5634" s="46" t="s">
        <v>38</v>
      </c>
      <c r="C5634" s="46" t="s">
        <v>14</v>
      </c>
      <c r="D5634" s="47">
        <v>2221</v>
      </c>
      <c r="E5634" s="46" t="s">
        <v>8049</v>
      </c>
      <c r="F5634" s="48">
        <v>39114</v>
      </c>
      <c r="G5634" s="48">
        <v>41274</v>
      </c>
      <c r="H5634" s="46" t="s">
        <v>40</v>
      </c>
      <c r="I5634" s="45">
        <f>5740.23+350</f>
        <v>6090.23</v>
      </c>
      <c r="J5634" s="45">
        <f>4960.23+350</f>
        <v>5310.23</v>
      </c>
      <c r="K5634" s="49" t="s">
        <v>7941</v>
      </c>
      <c r="L5634" s="45"/>
      <c r="M5634" s="3"/>
    </row>
    <row r="5635" spans="1:13" ht="25.5" x14ac:dyDescent="0.25">
      <c r="A5635" s="46" t="s">
        <v>6297</v>
      </c>
      <c r="B5635" s="46" t="s">
        <v>38</v>
      </c>
      <c r="C5635" s="46" t="s">
        <v>14</v>
      </c>
      <c r="D5635" s="47">
        <v>2222</v>
      </c>
      <c r="E5635" s="46" t="s">
        <v>8050</v>
      </c>
      <c r="F5635" s="48">
        <v>39114</v>
      </c>
      <c r="G5635" s="48">
        <v>41639</v>
      </c>
      <c r="H5635" s="46" t="s">
        <v>40</v>
      </c>
      <c r="I5635" s="45">
        <v>1000</v>
      </c>
      <c r="J5635" s="45">
        <v>1000</v>
      </c>
      <c r="K5635" s="49" t="s">
        <v>7941</v>
      </c>
      <c r="L5635" s="45"/>
      <c r="M5635" s="3"/>
    </row>
    <row r="5636" spans="1:13" ht="25.5" x14ac:dyDescent="0.25">
      <c r="A5636" s="46" t="s">
        <v>8061</v>
      </c>
      <c r="B5636" s="46" t="s">
        <v>38</v>
      </c>
      <c r="C5636" s="46" t="s">
        <v>14</v>
      </c>
      <c r="D5636" s="47">
        <v>2360</v>
      </c>
      <c r="E5636" s="46" t="s">
        <v>8062</v>
      </c>
      <c r="F5636" s="48">
        <v>39167</v>
      </c>
      <c r="G5636" s="48">
        <v>39433</v>
      </c>
      <c r="H5636" s="46" t="s">
        <v>40</v>
      </c>
      <c r="I5636" s="45">
        <v>1520</v>
      </c>
      <c r="J5636" s="45">
        <v>760</v>
      </c>
      <c r="K5636" s="49" t="s">
        <v>7941</v>
      </c>
      <c r="L5636" s="45"/>
      <c r="M5636" s="3"/>
    </row>
    <row r="5637" spans="1:13" ht="38.25" x14ac:dyDescent="0.25">
      <c r="A5637" s="46" t="s">
        <v>8065</v>
      </c>
      <c r="B5637" s="46" t="s">
        <v>38</v>
      </c>
      <c r="C5637" s="46" t="s">
        <v>14</v>
      </c>
      <c r="D5637" s="47">
        <v>2363</v>
      </c>
      <c r="E5637" s="50" t="s">
        <v>8066</v>
      </c>
      <c r="F5637" s="48">
        <v>39246</v>
      </c>
      <c r="G5637" s="48">
        <v>39595</v>
      </c>
      <c r="H5637" s="46" t="s">
        <v>40</v>
      </c>
      <c r="I5637" s="45">
        <v>3000</v>
      </c>
      <c r="J5637" s="45">
        <v>3000</v>
      </c>
      <c r="K5637" s="49" t="s">
        <v>7941</v>
      </c>
      <c r="L5637" s="45"/>
      <c r="M5637" s="3"/>
    </row>
    <row r="5638" spans="1:13" ht="25.5" x14ac:dyDescent="0.25">
      <c r="A5638" s="46" t="s">
        <v>8067</v>
      </c>
      <c r="B5638" s="46" t="s">
        <v>38</v>
      </c>
      <c r="C5638" s="46" t="s">
        <v>14</v>
      </c>
      <c r="D5638" s="47">
        <v>2364</v>
      </c>
      <c r="E5638" s="46" t="s">
        <v>8068</v>
      </c>
      <c r="F5638" s="48">
        <v>39167</v>
      </c>
      <c r="G5638" s="48">
        <v>39405</v>
      </c>
      <c r="H5638" s="46" t="s">
        <v>40</v>
      </c>
      <c r="I5638" s="45">
        <v>6000</v>
      </c>
      <c r="J5638" s="45">
        <v>6000</v>
      </c>
      <c r="K5638" s="49" t="s">
        <v>7941</v>
      </c>
      <c r="L5638" s="45"/>
      <c r="M5638" s="3"/>
    </row>
    <row r="5639" spans="1:13" ht="25.5" x14ac:dyDescent="0.25">
      <c r="A5639" s="46" t="s">
        <v>8137</v>
      </c>
      <c r="B5639" s="46" t="s">
        <v>38</v>
      </c>
      <c r="C5639" s="46" t="s">
        <v>14</v>
      </c>
      <c r="D5639" s="47">
        <v>2535</v>
      </c>
      <c r="E5639" s="46" t="s">
        <v>8138</v>
      </c>
      <c r="F5639" s="48">
        <v>39479</v>
      </c>
      <c r="G5639" s="48">
        <v>41274</v>
      </c>
      <c r="H5639" s="46" t="s">
        <v>40</v>
      </c>
      <c r="I5639" s="45">
        <v>5276.23</v>
      </c>
      <c r="J5639" s="45">
        <v>1590</v>
      </c>
      <c r="K5639" s="49" t="s">
        <v>7941</v>
      </c>
      <c r="L5639" s="45"/>
      <c r="M5639" s="3"/>
    </row>
    <row r="5640" spans="1:13" ht="25.5" x14ac:dyDescent="0.25">
      <c r="A5640" s="46" t="s">
        <v>8139</v>
      </c>
      <c r="B5640" s="46" t="s">
        <v>38</v>
      </c>
      <c r="C5640" s="46" t="s">
        <v>14</v>
      </c>
      <c r="D5640" s="47">
        <v>2536</v>
      </c>
      <c r="E5640" s="46" t="s">
        <v>8140</v>
      </c>
      <c r="F5640" s="48">
        <v>39479</v>
      </c>
      <c r="G5640" s="48">
        <v>39813</v>
      </c>
      <c r="H5640" s="46" t="s">
        <v>40</v>
      </c>
      <c r="I5640" s="45">
        <v>13862</v>
      </c>
      <c r="J5640" s="45">
        <v>12212</v>
      </c>
      <c r="K5640" s="49" t="s">
        <v>7941</v>
      </c>
      <c r="L5640" s="45"/>
      <c r="M5640" s="3"/>
    </row>
    <row r="5641" spans="1:13" ht="25.5" x14ac:dyDescent="0.25">
      <c r="A5641" s="46" t="s">
        <v>3739</v>
      </c>
      <c r="B5641" s="46" t="s">
        <v>38</v>
      </c>
      <c r="C5641" s="46" t="s">
        <v>14</v>
      </c>
      <c r="D5641" s="47">
        <v>3320</v>
      </c>
      <c r="E5641" s="46" t="s">
        <v>8141</v>
      </c>
      <c r="F5641" s="48">
        <v>39083</v>
      </c>
      <c r="G5641" s="48">
        <v>41639</v>
      </c>
      <c r="H5641" s="46" t="s">
        <v>40</v>
      </c>
      <c r="I5641" s="45">
        <v>229829.69</v>
      </c>
      <c r="J5641" s="45">
        <v>229829.69</v>
      </c>
      <c r="K5641" s="49" t="s">
        <v>7941</v>
      </c>
      <c r="L5641" s="45"/>
      <c r="M5641" s="3"/>
    </row>
    <row r="5642" spans="1:13" ht="25.5" x14ac:dyDescent="0.25">
      <c r="A5642" s="46" t="s">
        <v>8142</v>
      </c>
      <c r="B5642" s="46" t="s">
        <v>38</v>
      </c>
      <c r="C5642" s="46" t="s">
        <v>14</v>
      </c>
      <c r="D5642" s="47">
        <v>4762</v>
      </c>
      <c r="E5642" s="46" t="s">
        <v>8143</v>
      </c>
      <c r="F5642" s="48">
        <v>39814</v>
      </c>
      <c r="G5642" s="48">
        <v>41274</v>
      </c>
      <c r="H5642" s="46" t="s">
        <v>40</v>
      </c>
      <c r="I5642" s="45">
        <f>11503.83+5867.6</f>
        <v>17371.43</v>
      </c>
      <c r="J5642" s="45">
        <f>5586.23+5867.6</f>
        <v>11453.83</v>
      </c>
      <c r="K5642" s="49" t="s">
        <v>7941</v>
      </c>
      <c r="L5642" s="45"/>
      <c r="M5642" s="3"/>
    </row>
    <row r="5643" spans="1:13" ht="25.5" x14ac:dyDescent="0.25">
      <c r="A5643" s="46" t="s">
        <v>8144</v>
      </c>
      <c r="B5643" s="46" t="s">
        <v>38</v>
      </c>
      <c r="C5643" s="46" t="s">
        <v>14</v>
      </c>
      <c r="D5643" s="47">
        <v>4808</v>
      </c>
      <c r="E5643" s="46" t="s">
        <v>8145</v>
      </c>
      <c r="F5643" s="48">
        <v>39814</v>
      </c>
      <c r="G5643" s="48">
        <v>40178</v>
      </c>
      <c r="H5643" s="46" t="s">
        <v>40</v>
      </c>
      <c r="I5643" s="45">
        <v>1527.25</v>
      </c>
      <c r="J5643" s="45">
        <v>1437.25</v>
      </c>
      <c r="K5643" s="49" t="s">
        <v>7941</v>
      </c>
      <c r="L5643" s="45"/>
      <c r="M5643" s="3"/>
    </row>
    <row r="5644" spans="1:13" ht="25.5" x14ac:dyDescent="0.25">
      <c r="A5644" s="46" t="s">
        <v>8146</v>
      </c>
      <c r="B5644" s="46" t="s">
        <v>38</v>
      </c>
      <c r="C5644" s="46" t="s">
        <v>14</v>
      </c>
      <c r="D5644" s="47">
        <v>4811</v>
      </c>
      <c r="E5644" s="46" t="s">
        <v>8147</v>
      </c>
      <c r="F5644" s="48">
        <v>39814</v>
      </c>
      <c r="G5644" s="48">
        <v>40178</v>
      </c>
      <c r="H5644" s="46" t="s">
        <v>40</v>
      </c>
      <c r="I5644" s="45">
        <v>1260</v>
      </c>
      <c r="J5644" s="45">
        <v>1260</v>
      </c>
      <c r="K5644" s="49" t="s">
        <v>7941</v>
      </c>
      <c r="L5644" s="45"/>
      <c r="M5644" s="3"/>
    </row>
    <row r="5645" spans="1:13" ht="25.5" x14ac:dyDescent="0.25">
      <c r="A5645" s="46" t="s">
        <v>8148</v>
      </c>
      <c r="B5645" s="46" t="s">
        <v>38</v>
      </c>
      <c r="C5645" s="46" t="s">
        <v>14</v>
      </c>
      <c r="D5645" s="47">
        <v>4813</v>
      </c>
      <c r="E5645" s="46" t="s">
        <v>8149</v>
      </c>
      <c r="F5645" s="48">
        <v>39814</v>
      </c>
      <c r="G5645" s="48">
        <v>40178</v>
      </c>
      <c r="H5645" s="46" t="s">
        <v>40</v>
      </c>
      <c r="I5645" s="45">
        <v>400</v>
      </c>
      <c r="J5645" s="45">
        <v>320</v>
      </c>
      <c r="K5645" s="49" t="s">
        <v>7941</v>
      </c>
      <c r="L5645" s="45"/>
      <c r="M5645" s="3"/>
    </row>
    <row r="5646" spans="1:13" ht="25.5" x14ac:dyDescent="0.25">
      <c r="A5646" s="46" t="s">
        <v>8150</v>
      </c>
      <c r="B5646" s="46" t="s">
        <v>38</v>
      </c>
      <c r="C5646" s="46" t="s">
        <v>14</v>
      </c>
      <c r="D5646" s="47">
        <v>4816</v>
      </c>
      <c r="E5646" s="46" t="s">
        <v>8151</v>
      </c>
      <c r="F5646" s="48">
        <v>39814</v>
      </c>
      <c r="G5646" s="48">
        <v>40178</v>
      </c>
      <c r="H5646" s="46" t="s">
        <v>40</v>
      </c>
      <c r="I5646" s="45">
        <v>931.85</v>
      </c>
      <c r="J5646" s="45">
        <v>631.85</v>
      </c>
      <c r="K5646" s="49" t="s">
        <v>7941</v>
      </c>
      <c r="L5646" s="45"/>
      <c r="M5646" s="3"/>
    </row>
    <row r="5647" spans="1:13" ht="25.5" x14ac:dyDescent="0.25">
      <c r="A5647" s="46" t="s">
        <v>8152</v>
      </c>
      <c r="B5647" s="46" t="s">
        <v>38</v>
      </c>
      <c r="C5647" s="46" t="s">
        <v>14</v>
      </c>
      <c r="D5647" s="47">
        <v>4826</v>
      </c>
      <c r="E5647" s="46" t="s">
        <v>8153</v>
      </c>
      <c r="F5647" s="48">
        <v>39814</v>
      </c>
      <c r="G5647" s="48">
        <v>41274</v>
      </c>
      <c r="H5647" s="46" t="s">
        <v>40</v>
      </c>
      <c r="I5647" s="45">
        <v>9076.7000000000007</v>
      </c>
      <c r="J5647" s="45">
        <v>6998</v>
      </c>
      <c r="K5647" s="49" t="s">
        <v>7941</v>
      </c>
      <c r="L5647" s="45"/>
      <c r="M5647" s="3"/>
    </row>
    <row r="5648" spans="1:13" ht="25.5" x14ac:dyDescent="0.25">
      <c r="A5648" s="46" t="s">
        <v>8154</v>
      </c>
      <c r="B5648" s="46" t="s">
        <v>38</v>
      </c>
      <c r="C5648" s="46" t="s">
        <v>14</v>
      </c>
      <c r="D5648" s="47">
        <v>4828</v>
      </c>
      <c r="E5648" s="46" t="s">
        <v>8155</v>
      </c>
      <c r="F5648" s="48">
        <v>39814</v>
      </c>
      <c r="G5648" s="48">
        <v>41639</v>
      </c>
      <c r="H5648" s="46" t="s">
        <v>40</v>
      </c>
      <c r="I5648" s="45">
        <f>11568.84+1332.6</f>
        <v>12901.44</v>
      </c>
      <c r="J5648" s="45">
        <f>10216.24+1332.6</f>
        <v>11548.84</v>
      </c>
      <c r="K5648" s="49" t="s">
        <v>7941</v>
      </c>
      <c r="L5648" s="45"/>
      <c r="M5648" s="3"/>
    </row>
    <row r="5649" spans="1:13" ht="38.25" x14ac:dyDescent="0.25">
      <c r="A5649" s="46" t="s">
        <v>8208</v>
      </c>
      <c r="B5649" s="46" t="s">
        <v>38</v>
      </c>
      <c r="C5649" s="46" t="s">
        <v>14</v>
      </c>
      <c r="D5649" s="47">
        <v>4902</v>
      </c>
      <c r="E5649" s="46" t="s">
        <v>8209</v>
      </c>
      <c r="F5649" s="48">
        <v>39814</v>
      </c>
      <c r="G5649" s="48">
        <v>40178</v>
      </c>
      <c r="H5649" s="46" t="s">
        <v>40</v>
      </c>
      <c r="I5649" s="45">
        <v>10000</v>
      </c>
      <c r="J5649" s="45">
        <v>10000</v>
      </c>
      <c r="K5649" s="49" t="s">
        <v>7941</v>
      </c>
      <c r="L5649" s="45"/>
      <c r="M5649" s="3"/>
    </row>
    <row r="5650" spans="1:13" ht="25.5" x14ac:dyDescent="0.25">
      <c r="A5650" s="46" t="s">
        <v>8210</v>
      </c>
      <c r="B5650" s="46" t="s">
        <v>38</v>
      </c>
      <c r="C5650" s="46" t="s">
        <v>14</v>
      </c>
      <c r="D5650" s="47">
        <v>4903</v>
      </c>
      <c r="E5650" s="46" t="s">
        <v>8211</v>
      </c>
      <c r="F5650" s="48">
        <v>39814</v>
      </c>
      <c r="G5650" s="48">
        <v>40178</v>
      </c>
      <c r="H5650" s="46" t="s">
        <v>40</v>
      </c>
      <c r="I5650" s="45">
        <v>3500</v>
      </c>
      <c r="J5650" s="45">
        <v>2960</v>
      </c>
      <c r="K5650" s="49" t="s">
        <v>7941</v>
      </c>
      <c r="L5650" s="45"/>
      <c r="M5650" s="3"/>
    </row>
    <row r="5651" spans="1:13" ht="25.5" x14ac:dyDescent="0.25">
      <c r="A5651" s="46" t="s">
        <v>8212</v>
      </c>
      <c r="B5651" s="46" t="s">
        <v>38</v>
      </c>
      <c r="C5651" s="46" t="s">
        <v>14</v>
      </c>
      <c r="D5651" s="47">
        <v>4905</v>
      </c>
      <c r="E5651" s="46" t="s">
        <v>8213</v>
      </c>
      <c r="F5651" s="48">
        <v>39814</v>
      </c>
      <c r="G5651" s="48">
        <v>40178</v>
      </c>
      <c r="H5651" s="46" t="s">
        <v>40</v>
      </c>
      <c r="I5651" s="45">
        <v>1000</v>
      </c>
      <c r="J5651" s="45">
        <v>1000</v>
      </c>
      <c r="K5651" s="49" t="s">
        <v>7941</v>
      </c>
      <c r="L5651" s="45"/>
      <c r="M5651" s="3"/>
    </row>
    <row r="5652" spans="1:13" ht="25.5" x14ac:dyDescent="0.25">
      <c r="A5652" s="46" t="s">
        <v>8214</v>
      </c>
      <c r="B5652" s="46" t="s">
        <v>38</v>
      </c>
      <c r="C5652" s="46" t="s">
        <v>14</v>
      </c>
      <c r="D5652" s="47">
        <v>4906</v>
      </c>
      <c r="E5652" s="46" t="s">
        <v>8215</v>
      </c>
      <c r="F5652" s="48">
        <v>39814</v>
      </c>
      <c r="G5652" s="48">
        <v>40178</v>
      </c>
      <c r="H5652" s="46" t="s">
        <v>40</v>
      </c>
      <c r="I5652" s="45">
        <v>3125</v>
      </c>
      <c r="J5652" s="45">
        <v>2615</v>
      </c>
      <c r="K5652" s="49" t="s">
        <v>7941</v>
      </c>
      <c r="L5652" s="45"/>
      <c r="M5652" s="3"/>
    </row>
    <row r="5653" spans="1:13" ht="25.5" x14ac:dyDescent="0.25">
      <c r="A5653" s="46" t="s">
        <v>8216</v>
      </c>
      <c r="B5653" s="46" t="s">
        <v>38</v>
      </c>
      <c r="C5653" s="46" t="s">
        <v>14</v>
      </c>
      <c r="D5653" s="47">
        <v>5231</v>
      </c>
      <c r="E5653" s="46" t="s">
        <v>8217</v>
      </c>
      <c r="F5653" s="48">
        <v>39448</v>
      </c>
      <c r="G5653" s="48">
        <v>41639</v>
      </c>
      <c r="H5653" s="46" t="s">
        <v>40</v>
      </c>
      <c r="I5653" s="45">
        <v>1500</v>
      </c>
      <c r="J5653" s="45">
        <v>1000</v>
      </c>
      <c r="K5653" s="49" t="s">
        <v>7941</v>
      </c>
      <c r="L5653" s="45"/>
      <c r="M5653" s="3"/>
    </row>
    <row r="5654" spans="1:13" ht="25.5" x14ac:dyDescent="0.25">
      <c r="A5654" s="46" t="s">
        <v>8218</v>
      </c>
      <c r="B5654" s="46" t="s">
        <v>38</v>
      </c>
      <c r="C5654" s="46" t="s">
        <v>14</v>
      </c>
      <c r="D5654" s="47">
        <v>6895</v>
      </c>
      <c r="E5654" s="46" t="s">
        <v>8219</v>
      </c>
      <c r="F5654" s="48">
        <v>40472</v>
      </c>
      <c r="G5654" s="48">
        <v>41217</v>
      </c>
      <c r="H5654" s="46" t="s">
        <v>40</v>
      </c>
      <c r="I5654" s="45">
        <v>1829.23</v>
      </c>
      <c r="J5654" s="45">
        <v>1829.23</v>
      </c>
      <c r="K5654" s="49" t="s">
        <v>7941</v>
      </c>
      <c r="L5654" s="45"/>
      <c r="M5654" s="3"/>
    </row>
    <row r="5655" spans="1:13" ht="25.5" x14ac:dyDescent="0.25">
      <c r="A5655" s="46" t="s">
        <v>8220</v>
      </c>
      <c r="B5655" s="46" t="s">
        <v>38</v>
      </c>
      <c r="C5655" s="46" t="s">
        <v>14</v>
      </c>
      <c r="D5655" s="47">
        <v>6897</v>
      </c>
      <c r="E5655" s="46" t="s">
        <v>8221</v>
      </c>
      <c r="F5655" s="48">
        <v>40479</v>
      </c>
      <c r="G5655" s="48">
        <v>40501</v>
      </c>
      <c r="H5655" s="46" t="s">
        <v>40</v>
      </c>
      <c r="I5655" s="45">
        <v>1500</v>
      </c>
      <c r="J5655" s="45">
        <v>1500</v>
      </c>
      <c r="K5655" s="49" t="s">
        <v>7941</v>
      </c>
      <c r="L5655" s="45"/>
      <c r="M5655" s="3"/>
    </row>
    <row r="5656" spans="1:13" ht="25.5" x14ac:dyDescent="0.25">
      <c r="A5656" s="46" t="s">
        <v>8222</v>
      </c>
      <c r="B5656" s="46" t="s">
        <v>38</v>
      </c>
      <c r="C5656" s="46" t="s">
        <v>14</v>
      </c>
      <c r="D5656" s="47">
        <v>6899</v>
      </c>
      <c r="E5656" s="46" t="s">
        <v>8223</v>
      </c>
      <c r="F5656" s="48">
        <v>40233</v>
      </c>
      <c r="G5656" s="48">
        <v>40262</v>
      </c>
      <c r="H5656" s="46" t="s">
        <v>40</v>
      </c>
      <c r="I5656" s="45">
        <v>1880</v>
      </c>
      <c r="J5656" s="45">
        <v>1390</v>
      </c>
      <c r="K5656" s="49" t="s">
        <v>7941</v>
      </c>
      <c r="L5656" s="45"/>
      <c r="M5656" s="3"/>
    </row>
    <row r="5657" spans="1:13" ht="25.5" x14ac:dyDescent="0.25">
      <c r="A5657" s="46" t="s">
        <v>8224</v>
      </c>
      <c r="B5657" s="46" t="s">
        <v>38</v>
      </c>
      <c r="C5657" s="46" t="s">
        <v>14</v>
      </c>
      <c r="D5657" s="47">
        <v>6901</v>
      </c>
      <c r="E5657" s="46" t="s">
        <v>8225</v>
      </c>
      <c r="F5657" s="48">
        <v>40204</v>
      </c>
      <c r="G5657" s="48">
        <v>40204</v>
      </c>
      <c r="H5657" s="46" t="s">
        <v>40</v>
      </c>
      <c r="I5657" s="45">
        <v>500</v>
      </c>
      <c r="J5657" s="45">
        <v>500</v>
      </c>
      <c r="K5657" s="49" t="s">
        <v>7941</v>
      </c>
      <c r="L5657" s="45"/>
      <c r="M5657" s="3"/>
    </row>
    <row r="5658" spans="1:13" ht="25.5" x14ac:dyDescent="0.25">
      <c r="A5658" s="46" t="s">
        <v>8226</v>
      </c>
      <c r="B5658" s="46" t="s">
        <v>38</v>
      </c>
      <c r="C5658" s="46" t="s">
        <v>14</v>
      </c>
      <c r="D5658" s="47">
        <v>6903</v>
      </c>
      <c r="E5658" s="46" t="s">
        <v>8227</v>
      </c>
      <c r="F5658" s="48">
        <v>40260</v>
      </c>
      <c r="G5658" s="48">
        <v>40323</v>
      </c>
      <c r="H5658" s="46" t="s">
        <v>40</v>
      </c>
      <c r="I5658" s="45">
        <f>47190.41+20949.91</f>
        <v>68140.320000000007</v>
      </c>
      <c r="J5658" s="45">
        <f>24440.5+20949.91</f>
        <v>45390.41</v>
      </c>
      <c r="K5658" s="49" t="s">
        <v>7941</v>
      </c>
      <c r="L5658" s="45"/>
      <c r="M5658" s="3"/>
    </row>
    <row r="5659" spans="1:13" ht="25.5" x14ac:dyDescent="0.25">
      <c r="A5659" s="46" t="s">
        <v>8228</v>
      </c>
      <c r="B5659" s="46" t="s">
        <v>38</v>
      </c>
      <c r="C5659" s="46" t="s">
        <v>14</v>
      </c>
      <c r="D5659" s="47">
        <v>6905</v>
      </c>
      <c r="E5659" s="46" t="s">
        <v>8229</v>
      </c>
      <c r="F5659" s="48">
        <v>40227</v>
      </c>
      <c r="G5659" s="48">
        <v>41011</v>
      </c>
      <c r="H5659" s="46" t="s">
        <v>40</v>
      </c>
      <c r="I5659" s="45">
        <f>18890.86+3161.75</f>
        <v>22052.61</v>
      </c>
      <c r="J5659" s="45">
        <f>11944.11+3161.75</f>
        <v>15105.86</v>
      </c>
      <c r="K5659" s="49" t="s">
        <v>7941</v>
      </c>
      <c r="L5659" s="45"/>
      <c r="M5659" s="3"/>
    </row>
    <row r="5660" spans="1:13" ht="25.5" x14ac:dyDescent="0.25">
      <c r="A5660" s="46" t="s">
        <v>8230</v>
      </c>
      <c r="B5660" s="46" t="s">
        <v>38</v>
      </c>
      <c r="C5660" s="46" t="s">
        <v>14</v>
      </c>
      <c r="D5660" s="47">
        <v>6908</v>
      </c>
      <c r="E5660" s="46" t="s">
        <v>8231</v>
      </c>
      <c r="F5660" s="48">
        <v>40226</v>
      </c>
      <c r="G5660" s="48">
        <v>40240</v>
      </c>
      <c r="H5660" s="46" t="s">
        <v>40</v>
      </c>
      <c r="I5660" s="45">
        <v>1050</v>
      </c>
      <c r="J5660" s="45">
        <v>990</v>
      </c>
      <c r="K5660" s="49" t="s">
        <v>7941</v>
      </c>
      <c r="L5660" s="45"/>
      <c r="M5660" s="3"/>
    </row>
    <row r="5661" spans="1:13" ht="25.5" x14ac:dyDescent="0.25">
      <c r="A5661" s="46" t="s">
        <v>2250</v>
      </c>
      <c r="B5661" s="46" t="s">
        <v>38</v>
      </c>
      <c r="C5661" s="46" t="s">
        <v>14</v>
      </c>
      <c r="D5661" s="47">
        <v>6910</v>
      </c>
      <c r="E5661" s="46" t="s">
        <v>8232</v>
      </c>
      <c r="F5661" s="48">
        <v>40330</v>
      </c>
      <c r="G5661" s="48">
        <v>40482</v>
      </c>
      <c r="H5661" s="46" t="s">
        <v>40</v>
      </c>
      <c r="I5661" s="45">
        <v>11550</v>
      </c>
      <c r="J5661" s="45">
        <v>11550</v>
      </c>
      <c r="K5661" s="49" t="s">
        <v>7941</v>
      </c>
      <c r="L5661" s="45"/>
      <c r="M5661" s="3"/>
    </row>
    <row r="5662" spans="1:13" ht="25.5" x14ac:dyDescent="0.25">
      <c r="A5662" s="46" t="s">
        <v>8233</v>
      </c>
      <c r="B5662" s="46" t="s">
        <v>38</v>
      </c>
      <c r="C5662" s="46" t="s">
        <v>14</v>
      </c>
      <c r="D5662" s="47">
        <v>6912</v>
      </c>
      <c r="E5662" s="46" t="s">
        <v>8234</v>
      </c>
      <c r="F5662" s="48">
        <v>40323</v>
      </c>
      <c r="G5662" s="48">
        <v>40323</v>
      </c>
      <c r="H5662" s="46" t="s">
        <v>40</v>
      </c>
      <c r="I5662" s="45">
        <v>1789.59</v>
      </c>
      <c r="J5662" s="45">
        <v>1789.59</v>
      </c>
      <c r="K5662" s="49" t="s">
        <v>7941</v>
      </c>
      <c r="L5662" s="45"/>
      <c r="M5662" s="3"/>
    </row>
    <row r="5663" spans="1:13" ht="25.5" x14ac:dyDescent="0.25">
      <c r="A5663" s="46" t="s">
        <v>8235</v>
      </c>
      <c r="B5663" s="46" t="s">
        <v>38</v>
      </c>
      <c r="C5663" s="46" t="s">
        <v>14</v>
      </c>
      <c r="D5663" s="47">
        <v>6990</v>
      </c>
      <c r="E5663" s="46" t="s">
        <v>8236</v>
      </c>
      <c r="F5663" s="48">
        <v>40179</v>
      </c>
      <c r="G5663" s="48">
        <v>40543</v>
      </c>
      <c r="H5663" s="46" t="s">
        <v>40</v>
      </c>
      <c r="I5663" s="45">
        <v>1000</v>
      </c>
      <c r="J5663" s="45">
        <v>1000</v>
      </c>
      <c r="K5663" s="49" t="s">
        <v>7941</v>
      </c>
      <c r="L5663" s="45"/>
      <c r="M5663" s="3"/>
    </row>
    <row r="5664" spans="1:13" ht="25.5" x14ac:dyDescent="0.25">
      <c r="A5664" s="46" t="s">
        <v>8243</v>
      </c>
      <c r="B5664" s="46" t="s">
        <v>38</v>
      </c>
      <c r="C5664" s="46" t="s">
        <v>14</v>
      </c>
      <c r="D5664" s="47">
        <v>7102</v>
      </c>
      <c r="E5664" s="46" t="s">
        <v>8244</v>
      </c>
      <c r="F5664" s="48">
        <v>40238</v>
      </c>
      <c r="G5664" s="48">
        <v>40890</v>
      </c>
      <c r="H5664" s="46" t="s">
        <v>40</v>
      </c>
      <c r="I5664" s="45">
        <v>9000</v>
      </c>
      <c r="J5664" s="45">
        <v>8500</v>
      </c>
      <c r="K5664" s="49" t="s">
        <v>7941</v>
      </c>
      <c r="L5664" s="45"/>
      <c r="M5664" s="3"/>
    </row>
    <row r="5665" spans="1:13" ht="25.5" x14ac:dyDescent="0.25">
      <c r="A5665" s="46" t="s">
        <v>8293</v>
      </c>
      <c r="B5665" s="46" t="s">
        <v>38</v>
      </c>
      <c r="C5665" s="46" t="s">
        <v>14</v>
      </c>
      <c r="D5665" s="47">
        <v>8789</v>
      </c>
      <c r="E5665" s="46" t="s">
        <v>8294</v>
      </c>
      <c r="F5665" s="48">
        <v>40544</v>
      </c>
      <c r="G5665" s="48">
        <v>41274</v>
      </c>
      <c r="H5665" s="46" t="s">
        <v>40</v>
      </c>
      <c r="I5665" s="45">
        <v>2460.23</v>
      </c>
      <c r="J5665" s="45">
        <v>2460.23</v>
      </c>
      <c r="K5665" s="49" t="s">
        <v>7941</v>
      </c>
      <c r="L5665" s="45"/>
      <c r="M5665" s="3"/>
    </row>
    <row r="5666" spans="1:13" ht="38.25" x14ac:dyDescent="0.25">
      <c r="A5666" s="46" t="s">
        <v>8295</v>
      </c>
      <c r="B5666" s="46" t="s">
        <v>38</v>
      </c>
      <c r="C5666" s="46" t="s">
        <v>14</v>
      </c>
      <c r="D5666" s="47">
        <v>8793</v>
      </c>
      <c r="E5666" s="46" t="s">
        <v>8296</v>
      </c>
      <c r="F5666" s="48">
        <v>40544</v>
      </c>
      <c r="G5666" s="48">
        <v>41274</v>
      </c>
      <c r="H5666" s="46" t="s">
        <v>40</v>
      </c>
      <c r="I5666" s="45">
        <v>3923.53</v>
      </c>
      <c r="J5666" s="45">
        <v>3823.53</v>
      </c>
      <c r="K5666" s="49" t="s">
        <v>7941</v>
      </c>
      <c r="L5666" s="45"/>
      <c r="M5666" s="3"/>
    </row>
    <row r="5667" spans="1:13" ht="25.5" x14ac:dyDescent="0.25">
      <c r="A5667" s="46" t="s">
        <v>8329</v>
      </c>
      <c r="B5667" s="46" t="s">
        <v>38</v>
      </c>
      <c r="C5667" s="46" t="s">
        <v>14</v>
      </c>
      <c r="D5667" s="47">
        <v>10612</v>
      </c>
      <c r="E5667" s="46" t="s">
        <v>8330</v>
      </c>
      <c r="F5667" s="48">
        <v>40909</v>
      </c>
      <c r="G5667" s="48">
        <v>41273</v>
      </c>
      <c r="H5667" s="46" t="s">
        <v>40</v>
      </c>
      <c r="I5667" s="45">
        <f>14501.58+10391.85</f>
        <v>24893.43</v>
      </c>
      <c r="J5667" s="45">
        <f>3434.73+10391.85</f>
        <v>13826.58</v>
      </c>
      <c r="K5667" s="49" t="s">
        <v>7941</v>
      </c>
      <c r="L5667" s="45"/>
      <c r="M5667" s="3"/>
    </row>
    <row r="5668" spans="1:13" ht="25.5" x14ac:dyDescent="0.25">
      <c r="A5668" s="46" t="s">
        <v>8331</v>
      </c>
      <c r="B5668" s="46" t="s">
        <v>38</v>
      </c>
      <c r="C5668" s="46" t="s">
        <v>14</v>
      </c>
      <c r="D5668" s="47">
        <v>10617</v>
      </c>
      <c r="E5668" s="46" t="s">
        <v>8332</v>
      </c>
      <c r="F5668" s="48">
        <v>40909</v>
      </c>
      <c r="G5668" s="48">
        <v>41273</v>
      </c>
      <c r="H5668" s="46" t="s">
        <v>40</v>
      </c>
      <c r="I5668" s="45">
        <v>19892.22</v>
      </c>
      <c r="J5668" s="45">
        <v>9892.2199999999993</v>
      </c>
      <c r="K5668" s="49" t="s">
        <v>7941</v>
      </c>
      <c r="L5668" s="45"/>
      <c r="M5668" s="3"/>
    </row>
    <row r="5669" spans="1:13" ht="25.5" x14ac:dyDescent="0.25">
      <c r="A5669" s="46" t="s">
        <v>8335</v>
      </c>
      <c r="B5669" s="46" t="s">
        <v>38</v>
      </c>
      <c r="C5669" s="46" t="s">
        <v>14</v>
      </c>
      <c r="D5669" s="47">
        <v>10619</v>
      </c>
      <c r="E5669" s="46" t="s">
        <v>8336</v>
      </c>
      <c r="F5669" s="48">
        <v>40909</v>
      </c>
      <c r="G5669" s="48">
        <v>41273</v>
      </c>
      <c r="H5669" s="46" t="s">
        <v>40</v>
      </c>
      <c r="I5669" s="45">
        <f>2063.74+882.6</f>
        <v>2946.3399999999997</v>
      </c>
      <c r="J5669" s="45">
        <f>731.14+882.6</f>
        <v>1613.74</v>
      </c>
      <c r="K5669" s="49" t="s">
        <v>7941</v>
      </c>
      <c r="L5669" s="45"/>
      <c r="M5669" s="3"/>
    </row>
    <row r="5670" spans="1:13" ht="25.5" x14ac:dyDescent="0.25">
      <c r="A5670" s="46" t="s">
        <v>8337</v>
      </c>
      <c r="B5670" s="46" t="s">
        <v>38</v>
      </c>
      <c r="C5670" s="46" t="s">
        <v>14</v>
      </c>
      <c r="D5670" s="47">
        <v>10621</v>
      </c>
      <c r="E5670" s="46" t="s">
        <v>8338</v>
      </c>
      <c r="F5670" s="48">
        <v>40909</v>
      </c>
      <c r="G5670" s="48">
        <v>41273</v>
      </c>
      <c r="H5670" s="46" t="s">
        <v>40</v>
      </c>
      <c r="I5670" s="45">
        <f>2059.23</f>
        <v>2059.23</v>
      </c>
      <c r="J5670" s="45">
        <f>1919.23</f>
        <v>1919.23</v>
      </c>
      <c r="K5670" s="49" t="s">
        <v>7941</v>
      </c>
      <c r="L5670" s="45"/>
      <c r="M5670" s="3"/>
    </row>
    <row r="5671" spans="1:13" ht="38.25" x14ac:dyDescent="0.25">
      <c r="A5671" s="46" t="s">
        <v>8339</v>
      </c>
      <c r="B5671" s="46" t="s">
        <v>38</v>
      </c>
      <c r="C5671" s="46" t="s">
        <v>14</v>
      </c>
      <c r="D5671" s="47">
        <v>10622</v>
      </c>
      <c r="E5671" s="46" t="s">
        <v>8340</v>
      </c>
      <c r="F5671" s="48">
        <v>40909</v>
      </c>
      <c r="G5671" s="48">
        <v>41273</v>
      </c>
      <c r="H5671" s="46" t="s">
        <v>40</v>
      </c>
      <c r="I5671" s="45">
        <v>1071.74</v>
      </c>
      <c r="J5671" s="45">
        <v>971.74</v>
      </c>
      <c r="K5671" s="49" t="s">
        <v>7941</v>
      </c>
      <c r="L5671" s="45"/>
      <c r="M5671" s="3"/>
    </row>
    <row r="5672" spans="1:13" ht="25.5" x14ac:dyDescent="0.25">
      <c r="A5672" s="46" t="s">
        <v>8341</v>
      </c>
      <c r="B5672" s="46" t="s">
        <v>38</v>
      </c>
      <c r="C5672" s="46" t="s">
        <v>14</v>
      </c>
      <c r="D5672" s="47">
        <v>10623</v>
      </c>
      <c r="E5672" s="46" t="s">
        <v>8342</v>
      </c>
      <c r="F5672" s="48">
        <v>40909</v>
      </c>
      <c r="G5672" s="48">
        <v>41273</v>
      </c>
      <c r="H5672" s="46" t="s">
        <v>40</v>
      </c>
      <c r="I5672" s="45">
        <v>2677.35</v>
      </c>
      <c r="J5672" s="45">
        <v>1482.35</v>
      </c>
      <c r="K5672" s="49" t="s">
        <v>7941</v>
      </c>
      <c r="L5672" s="45"/>
      <c r="M5672" s="3"/>
    </row>
    <row r="5673" spans="1:13" ht="25.5" x14ac:dyDescent="0.25">
      <c r="A5673" s="46" t="s">
        <v>8343</v>
      </c>
      <c r="B5673" s="46" t="s">
        <v>38</v>
      </c>
      <c r="C5673" s="46" t="s">
        <v>14</v>
      </c>
      <c r="D5673" s="47">
        <v>10666</v>
      </c>
      <c r="E5673" s="46" t="s">
        <v>8344</v>
      </c>
      <c r="F5673" s="48">
        <v>40909</v>
      </c>
      <c r="G5673" s="48">
        <v>41274</v>
      </c>
      <c r="H5673" s="46" t="s">
        <v>40</v>
      </c>
      <c r="I5673" s="45">
        <f>9771.8+1569.8</f>
        <v>11341.599999999999</v>
      </c>
      <c r="J5673" s="45">
        <f>4101+784.9</f>
        <v>4885.8999999999996</v>
      </c>
      <c r="K5673" s="49" t="s">
        <v>7941</v>
      </c>
      <c r="L5673" s="46"/>
      <c r="M5673" s="3"/>
    </row>
    <row r="5674" spans="1:13" ht="25.5" x14ac:dyDescent="0.25">
      <c r="A5674" s="46" t="s">
        <v>11117</v>
      </c>
      <c r="B5674" s="46" t="s">
        <v>38</v>
      </c>
      <c r="C5674" s="46" t="s">
        <v>14</v>
      </c>
      <c r="D5674" s="47">
        <v>12178</v>
      </c>
      <c r="E5674" s="46" t="s">
        <v>11118</v>
      </c>
      <c r="F5674" s="48">
        <v>41275</v>
      </c>
      <c r="G5674" s="48">
        <v>42003</v>
      </c>
      <c r="H5674" s="46" t="s">
        <v>651</v>
      </c>
      <c r="I5674" s="45">
        <v>18942.400000000001</v>
      </c>
      <c r="J5674" s="45">
        <v>18942.400000000001</v>
      </c>
      <c r="K5674" s="49" t="s">
        <v>7941</v>
      </c>
      <c r="L5674" s="46"/>
    </row>
    <row r="5675" spans="1:13" ht="25.5" x14ac:dyDescent="0.25">
      <c r="A5675" s="46" t="s">
        <v>11119</v>
      </c>
      <c r="B5675" s="46" t="s">
        <v>38</v>
      </c>
      <c r="C5675" s="46" t="s">
        <v>14</v>
      </c>
      <c r="D5675" s="47">
        <v>12179</v>
      </c>
      <c r="E5675" s="46" t="s">
        <v>11120</v>
      </c>
      <c r="F5675" s="48">
        <v>41275</v>
      </c>
      <c r="G5675" s="48">
        <v>41638</v>
      </c>
      <c r="H5675" s="46" t="s">
        <v>651</v>
      </c>
      <c r="I5675" s="45">
        <v>4512.1000000000004</v>
      </c>
      <c r="J5675" s="45">
        <v>4512.1000000000004</v>
      </c>
      <c r="K5675" s="49" t="s">
        <v>7941</v>
      </c>
      <c r="L5675" s="46"/>
    </row>
    <row r="5676" spans="1:13" ht="25.5" x14ac:dyDescent="0.25">
      <c r="A5676" s="46" t="s">
        <v>11121</v>
      </c>
      <c r="B5676" s="46" t="s">
        <v>38</v>
      </c>
      <c r="C5676" s="46" t="s">
        <v>14</v>
      </c>
      <c r="D5676" s="47">
        <v>12180</v>
      </c>
      <c r="E5676" s="46" t="s">
        <v>11122</v>
      </c>
      <c r="F5676" s="48">
        <v>41275</v>
      </c>
      <c r="G5676" s="48">
        <v>41638</v>
      </c>
      <c r="H5676" s="46" t="s">
        <v>651</v>
      </c>
      <c r="I5676" s="45">
        <v>2945.53</v>
      </c>
      <c r="J5676" s="45">
        <v>2945.53</v>
      </c>
      <c r="K5676" s="49" t="s">
        <v>7941</v>
      </c>
      <c r="L5676" s="46"/>
    </row>
    <row r="5677" spans="1:13" ht="25.5" x14ac:dyDescent="0.25">
      <c r="A5677" s="46" t="s">
        <v>11123</v>
      </c>
      <c r="B5677" s="46" t="s">
        <v>38</v>
      </c>
      <c r="C5677" s="46" t="s">
        <v>14</v>
      </c>
      <c r="D5677" s="47">
        <v>12181</v>
      </c>
      <c r="E5677" s="46" t="s">
        <v>11124</v>
      </c>
      <c r="F5677" s="48">
        <v>41275</v>
      </c>
      <c r="G5677" s="48">
        <v>41639</v>
      </c>
      <c r="H5677" s="46" t="s">
        <v>651</v>
      </c>
      <c r="I5677" s="45">
        <v>2695</v>
      </c>
      <c r="J5677" s="45">
        <v>2695</v>
      </c>
      <c r="K5677" s="49" t="s">
        <v>7941</v>
      </c>
      <c r="L5677" s="46"/>
    </row>
    <row r="5678" spans="1:13" ht="25.5" x14ac:dyDescent="0.25">
      <c r="A5678" s="46" t="s">
        <v>11125</v>
      </c>
      <c r="B5678" s="46" t="s">
        <v>38</v>
      </c>
      <c r="C5678" s="46" t="s">
        <v>14</v>
      </c>
      <c r="D5678" s="47">
        <v>12182</v>
      </c>
      <c r="E5678" s="46" t="s">
        <v>11126</v>
      </c>
      <c r="F5678" s="48">
        <v>41275</v>
      </c>
      <c r="G5678" s="48">
        <v>41639</v>
      </c>
      <c r="H5678" s="46" t="s">
        <v>651</v>
      </c>
      <c r="I5678" s="45">
        <v>3216.8</v>
      </c>
      <c r="J5678" s="45">
        <v>3216.8</v>
      </c>
      <c r="K5678" s="49" t="s">
        <v>7941</v>
      </c>
      <c r="L5678" s="46"/>
    </row>
    <row r="5679" spans="1:13" ht="25.5" x14ac:dyDescent="0.25">
      <c r="A5679" s="46" t="s">
        <v>8408</v>
      </c>
      <c r="B5679" s="46" t="s">
        <v>38</v>
      </c>
      <c r="C5679" s="46" t="s">
        <v>14</v>
      </c>
      <c r="D5679" s="47">
        <v>415</v>
      </c>
      <c r="E5679" s="46" t="s">
        <v>8409</v>
      </c>
      <c r="F5679" s="48">
        <v>39140</v>
      </c>
      <c r="G5679" s="48">
        <v>39339</v>
      </c>
      <c r="H5679" s="46" t="s">
        <v>40</v>
      </c>
      <c r="I5679" s="45">
        <v>3750</v>
      </c>
      <c r="J5679" s="45">
        <v>3750</v>
      </c>
      <c r="K5679" s="49" t="s">
        <v>8348</v>
      </c>
      <c r="L5679" s="45"/>
      <c r="M5679" s="3"/>
    </row>
    <row r="5680" spans="1:13" ht="25.5" x14ac:dyDescent="0.25">
      <c r="A5680" s="46" t="s">
        <v>4075</v>
      </c>
      <c r="B5680" s="46" t="s">
        <v>38</v>
      </c>
      <c r="C5680" s="46" t="s">
        <v>14</v>
      </c>
      <c r="D5680" s="47">
        <v>454</v>
      </c>
      <c r="E5680" s="46" t="s">
        <v>8464</v>
      </c>
      <c r="F5680" s="48">
        <v>39083</v>
      </c>
      <c r="G5680" s="48">
        <v>39813</v>
      </c>
      <c r="H5680" s="46" t="s">
        <v>40</v>
      </c>
      <c r="I5680" s="45">
        <v>115946.86</v>
      </c>
      <c r="J5680" s="45">
        <v>57973.43</v>
      </c>
      <c r="K5680" s="49" t="s">
        <v>8348</v>
      </c>
      <c r="L5680" s="45"/>
      <c r="M5680" s="3"/>
    </row>
    <row r="5681" spans="1:13" ht="25.5" x14ac:dyDescent="0.25">
      <c r="A5681" s="46" t="s">
        <v>8465</v>
      </c>
      <c r="B5681" s="46" t="s">
        <v>38</v>
      </c>
      <c r="C5681" s="46" t="s">
        <v>14</v>
      </c>
      <c r="D5681" s="47">
        <v>455</v>
      </c>
      <c r="E5681" s="46" t="s">
        <v>8466</v>
      </c>
      <c r="F5681" s="48">
        <v>39083</v>
      </c>
      <c r="G5681" s="48">
        <v>39813</v>
      </c>
      <c r="H5681" s="46" t="s">
        <v>40</v>
      </c>
      <c r="I5681" s="45">
        <v>28184.639999999999</v>
      </c>
      <c r="J5681" s="45">
        <v>16144.64</v>
      </c>
      <c r="K5681" s="49" t="s">
        <v>8348</v>
      </c>
      <c r="L5681" s="45"/>
      <c r="M5681" s="3"/>
    </row>
    <row r="5682" spans="1:13" ht="25.5" x14ac:dyDescent="0.25">
      <c r="A5682" s="46" t="s">
        <v>3252</v>
      </c>
      <c r="B5682" s="46" t="s">
        <v>38</v>
      </c>
      <c r="C5682" s="46" t="s">
        <v>14</v>
      </c>
      <c r="D5682" s="47">
        <v>456</v>
      </c>
      <c r="E5682" s="46" t="s">
        <v>8467</v>
      </c>
      <c r="F5682" s="48">
        <v>39083</v>
      </c>
      <c r="G5682" s="48">
        <v>39813</v>
      </c>
      <c r="H5682" s="46" t="s">
        <v>40</v>
      </c>
      <c r="I5682" s="45">
        <v>30486.46</v>
      </c>
      <c r="J5682" s="45">
        <v>16531.46</v>
      </c>
      <c r="K5682" s="49" t="s">
        <v>8348</v>
      </c>
      <c r="L5682" s="45"/>
      <c r="M5682" s="3"/>
    </row>
    <row r="5683" spans="1:13" ht="25.5" x14ac:dyDescent="0.25">
      <c r="A5683" s="46" t="s">
        <v>8468</v>
      </c>
      <c r="B5683" s="46" t="s">
        <v>38</v>
      </c>
      <c r="C5683" s="46" t="s">
        <v>14</v>
      </c>
      <c r="D5683" s="47">
        <v>457</v>
      </c>
      <c r="E5683" s="46" t="s">
        <v>8469</v>
      </c>
      <c r="F5683" s="48">
        <v>39083</v>
      </c>
      <c r="G5683" s="48">
        <v>39813</v>
      </c>
      <c r="H5683" s="46" t="s">
        <v>40</v>
      </c>
      <c r="I5683" s="45">
        <v>6724.04</v>
      </c>
      <c r="J5683" s="45">
        <v>3362.02</v>
      </c>
      <c r="K5683" s="49" t="s">
        <v>8348</v>
      </c>
      <c r="L5683" s="45"/>
      <c r="M5683" s="3"/>
    </row>
    <row r="5684" spans="1:13" ht="25.5" x14ac:dyDescent="0.25">
      <c r="A5684" s="46" t="s">
        <v>8470</v>
      </c>
      <c r="B5684" s="46" t="s">
        <v>38</v>
      </c>
      <c r="C5684" s="46" t="s">
        <v>14</v>
      </c>
      <c r="D5684" s="47">
        <v>458</v>
      </c>
      <c r="E5684" s="46" t="s">
        <v>8471</v>
      </c>
      <c r="F5684" s="48">
        <v>39083</v>
      </c>
      <c r="G5684" s="48">
        <v>39813</v>
      </c>
      <c r="H5684" s="46" t="s">
        <v>40</v>
      </c>
      <c r="I5684" s="45">
        <v>22470</v>
      </c>
      <c r="J5684" s="45">
        <v>22470</v>
      </c>
      <c r="K5684" s="49" t="s">
        <v>8348</v>
      </c>
      <c r="L5684" s="45"/>
      <c r="M5684" s="3"/>
    </row>
    <row r="5685" spans="1:13" ht="25.5" x14ac:dyDescent="0.25">
      <c r="A5685" s="46" t="s">
        <v>8472</v>
      </c>
      <c r="B5685" s="46" t="s">
        <v>38</v>
      </c>
      <c r="C5685" s="46" t="s">
        <v>14</v>
      </c>
      <c r="D5685" s="47">
        <v>459</v>
      </c>
      <c r="E5685" s="46" t="s">
        <v>8473</v>
      </c>
      <c r="F5685" s="48">
        <v>39083</v>
      </c>
      <c r="G5685" s="48">
        <v>39813</v>
      </c>
      <c r="H5685" s="46" t="s">
        <v>40</v>
      </c>
      <c r="I5685" s="45">
        <v>85041.2</v>
      </c>
      <c r="J5685" s="45">
        <v>85041.2</v>
      </c>
      <c r="K5685" s="49" t="s">
        <v>8348</v>
      </c>
      <c r="L5685" s="45"/>
      <c r="M5685" s="3"/>
    </row>
    <row r="5686" spans="1:13" ht="25.5" x14ac:dyDescent="0.25">
      <c r="A5686" s="46" t="s">
        <v>8474</v>
      </c>
      <c r="B5686" s="46" t="s">
        <v>38</v>
      </c>
      <c r="C5686" s="46" t="s">
        <v>14</v>
      </c>
      <c r="D5686" s="47">
        <v>460</v>
      </c>
      <c r="E5686" s="46" t="s">
        <v>8475</v>
      </c>
      <c r="F5686" s="48">
        <v>39083</v>
      </c>
      <c r="G5686" s="48">
        <v>39813</v>
      </c>
      <c r="H5686" s="46" t="s">
        <v>40</v>
      </c>
      <c r="I5686" s="45">
        <v>12278.5</v>
      </c>
      <c r="J5686" s="45">
        <v>12278.5</v>
      </c>
      <c r="K5686" s="49" t="s">
        <v>8348</v>
      </c>
      <c r="L5686" s="45"/>
      <c r="M5686" s="3"/>
    </row>
    <row r="5687" spans="1:13" ht="25.5" x14ac:dyDescent="0.25">
      <c r="A5687" s="46" t="s">
        <v>8476</v>
      </c>
      <c r="B5687" s="46" t="s">
        <v>38</v>
      </c>
      <c r="C5687" s="46" t="s">
        <v>14</v>
      </c>
      <c r="D5687" s="47">
        <v>461</v>
      </c>
      <c r="E5687" s="46" t="s">
        <v>8477</v>
      </c>
      <c r="F5687" s="48">
        <v>39083</v>
      </c>
      <c r="G5687" s="48">
        <v>39447</v>
      </c>
      <c r="H5687" s="46" t="s">
        <v>40</v>
      </c>
      <c r="I5687" s="45">
        <v>1500.4</v>
      </c>
      <c r="J5687" s="45">
        <v>1500.4</v>
      </c>
      <c r="K5687" s="49" t="s">
        <v>8348</v>
      </c>
      <c r="L5687" s="45"/>
      <c r="M5687" s="3"/>
    </row>
    <row r="5688" spans="1:13" ht="25.5" x14ac:dyDescent="0.25">
      <c r="A5688" s="46" t="s">
        <v>8478</v>
      </c>
      <c r="B5688" s="46" t="s">
        <v>38</v>
      </c>
      <c r="C5688" s="46" t="s">
        <v>14</v>
      </c>
      <c r="D5688" s="47">
        <v>462</v>
      </c>
      <c r="E5688" s="46" t="s">
        <v>8479</v>
      </c>
      <c r="F5688" s="48">
        <v>39448</v>
      </c>
      <c r="G5688" s="48">
        <v>39813</v>
      </c>
      <c r="H5688" s="46" t="s">
        <v>40</v>
      </c>
      <c r="I5688" s="45">
        <v>900</v>
      </c>
      <c r="J5688" s="45">
        <v>900</v>
      </c>
      <c r="K5688" s="49" t="s">
        <v>8348</v>
      </c>
      <c r="L5688" s="45"/>
      <c r="M5688" s="3"/>
    </row>
    <row r="5689" spans="1:13" ht="25.5" x14ac:dyDescent="0.25">
      <c r="A5689" s="46" t="s">
        <v>8480</v>
      </c>
      <c r="B5689" s="46" t="s">
        <v>38</v>
      </c>
      <c r="C5689" s="46" t="s">
        <v>14</v>
      </c>
      <c r="D5689" s="47">
        <v>463</v>
      </c>
      <c r="E5689" s="46" t="s">
        <v>8481</v>
      </c>
      <c r="F5689" s="48">
        <v>39448</v>
      </c>
      <c r="G5689" s="48">
        <v>39813</v>
      </c>
      <c r="H5689" s="46" t="s">
        <v>40</v>
      </c>
      <c r="I5689" s="45">
        <v>6269.5</v>
      </c>
      <c r="J5689" s="45">
        <v>6269.5</v>
      </c>
      <c r="K5689" s="49" t="s">
        <v>8348</v>
      </c>
      <c r="L5689" s="45"/>
      <c r="M5689" s="3"/>
    </row>
    <row r="5690" spans="1:13" ht="25.5" x14ac:dyDescent="0.25">
      <c r="A5690" s="46" t="s">
        <v>8482</v>
      </c>
      <c r="B5690" s="46" t="s">
        <v>38</v>
      </c>
      <c r="C5690" s="46" t="s">
        <v>14</v>
      </c>
      <c r="D5690" s="47">
        <v>464</v>
      </c>
      <c r="E5690" s="46" t="s">
        <v>8483</v>
      </c>
      <c r="F5690" s="48">
        <v>39448</v>
      </c>
      <c r="G5690" s="48">
        <v>39813</v>
      </c>
      <c r="H5690" s="46" t="s">
        <v>40</v>
      </c>
      <c r="I5690" s="45">
        <v>7941</v>
      </c>
      <c r="J5690" s="45">
        <v>7941</v>
      </c>
      <c r="K5690" s="49" t="s">
        <v>8348</v>
      </c>
      <c r="L5690" s="45"/>
      <c r="M5690" s="3"/>
    </row>
    <row r="5691" spans="1:13" ht="25.5" x14ac:dyDescent="0.25">
      <c r="A5691" s="46" t="s">
        <v>8484</v>
      </c>
      <c r="B5691" s="46" t="s">
        <v>38</v>
      </c>
      <c r="C5691" s="46" t="s">
        <v>14</v>
      </c>
      <c r="D5691" s="47">
        <v>465</v>
      </c>
      <c r="E5691" s="46" t="s">
        <v>8485</v>
      </c>
      <c r="F5691" s="48">
        <v>39083</v>
      </c>
      <c r="G5691" s="48">
        <v>39813</v>
      </c>
      <c r="H5691" s="46" t="s">
        <v>40</v>
      </c>
      <c r="I5691" s="45">
        <v>10100</v>
      </c>
      <c r="J5691" s="45">
        <v>10100</v>
      </c>
      <c r="K5691" s="49" t="s">
        <v>8348</v>
      </c>
      <c r="L5691" s="45"/>
      <c r="M5691" s="3"/>
    </row>
    <row r="5692" spans="1:13" ht="25.5" x14ac:dyDescent="0.25">
      <c r="A5692" s="46" t="s">
        <v>8486</v>
      </c>
      <c r="B5692" s="46" t="s">
        <v>38</v>
      </c>
      <c r="C5692" s="46" t="s">
        <v>14</v>
      </c>
      <c r="D5692" s="47">
        <v>466</v>
      </c>
      <c r="E5692" s="46" t="s">
        <v>8487</v>
      </c>
      <c r="F5692" s="48">
        <v>39083</v>
      </c>
      <c r="G5692" s="48">
        <v>39813</v>
      </c>
      <c r="H5692" s="46" t="s">
        <v>40</v>
      </c>
      <c r="I5692" s="45">
        <v>29987</v>
      </c>
      <c r="J5692" s="45">
        <v>29987</v>
      </c>
      <c r="K5692" s="49" t="s">
        <v>8348</v>
      </c>
      <c r="L5692" s="45"/>
      <c r="M5692" s="3"/>
    </row>
    <row r="5693" spans="1:13" ht="25.5" x14ac:dyDescent="0.25">
      <c r="A5693" s="46" t="s">
        <v>8488</v>
      </c>
      <c r="B5693" s="46" t="s">
        <v>38</v>
      </c>
      <c r="C5693" s="46" t="s">
        <v>14</v>
      </c>
      <c r="D5693" s="47">
        <v>467</v>
      </c>
      <c r="E5693" s="46" t="s">
        <v>8489</v>
      </c>
      <c r="F5693" s="48">
        <v>39083</v>
      </c>
      <c r="G5693" s="48">
        <v>39813</v>
      </c>
      <c r="H5693" s="46" t="s">
        <v>40</v>
      </c>
      <c r="I5693" s="45">
        <v>14413.85</v>
      </c>
      <c r="J5693" s="45">
        <v>14413.85</v>
      </c>
      <c r="K5693" s="49" t="s">
        <v>8348</v>
      </c>
      <c r="L5693" s="45"/>
      <c r="M5693" s="3"/>
    </row>
    <row r="5694" spans="1:13" ht="25.5" x14ac:dyDescent="0.25">
      <c r="A5694" s="46" t="s">
        <v>5240</v>
      </c>
      <c r="B5694" s="46" t="s">
        <v>38</v>
      </c>
      <c r="C5694" s="46" t="s">
        <v>14</v>
      </c>
      <c r="D5694" s="47">
        <v>468</v>
      </c>
      <c r="E5694" s="46" t="s">
        <v>8490</v>
      </c>
      <c r="F5694" s="48">
        <v>39083</v>
      </c>
      <c r="G5694" s="48">
        <v>39813</v>
      </c>
      <c r="H5694" s="46" t="s">
        <v>40</v>
      </c>
      <c r="I5694" s="45">
        <v>37443.97</v>
      </c>
      <c r="J5694" s="45">
        <v>18573.97</v>
      </c>
      <c r="K5694" s="49" t="s">
        <v>8348</v>
      </c>
      <c r="L5694" s="45"/>
      <c r="M5694" s="3"/>
    </row>
    <row r="5695" spans="1:13" ht="25.5" x14ac:dyDescent="0.25">
      <c r="A5695" s="46" t="s">
        <v>8491</v>
      </c>
      <c r="B5695" s="46" t="s">
        <v>38</v>
      </c>
      <c r="C5695" s="46" t="s">
        <v>14</v>
      </c>
      <c r="D5695" s="47">
        <v>469</v>
      </c>
      <c r="E5695" s="46" t="s">
        <v>8492</v>
      </c>
      <c r="F5695" s="48">
        <v>39448</v>
      </c>
      <c r="G5695" s="48">
        <v>39813</v>
      </c>
      <c r="H5695" s="46" t="s">
        <v>40</v>
      </c>
      <c r="I5695" s="45">
        <v>3150</v>
      </c>
      <c r="J5695" s="45">
        <v>3150</v>
      </c>
      <c r="K5695" s="49" t="s">
        <v>8348</v>
      </c>
      <c r="L5695" s="45"/>
      <c r="M5695" s="3"/>
    </row>
    <row r="5696" spans="1:13" ht="25.5" x14ac:dyDescent="0.25">
      <c r="A5696" s="46" t="s">
        <v>8493</v>
      </c>
      <c r="B5696" s="46" t="s">
        <v>38</v>
      </c>
      <c r="C5696" s="46" t="s">
        <v>14</v>
      </c>
      <c r="D5696" s="47">
        <v>470</v>
      </c>
      <c r="E5696" s="46" t="s">
        <v>8494</v>
      </c>
      <c r="F5696" s="48">
        <v>39083</v>
      </c>
      <c r="G5696" s="48">
        <v>39447</v>
      </c>
      <c r="H5696" s="46" t="s">
        <v>40</v>
      </c>
      <c r="I5696" s="45">
        <v>12626.95</v>
      </c>
      <c r="J5696" s="45">
        <v>11026.95</v>
      </c>
      <c r="K5696" s="49" t="s">
        <v>8348</v>
      </c>
      <c r="L5696" s="45"/>
      <c r="M5696" s="3"/>
    </row>
    <row r="5697" spans="1:13" ht="25.5" x14ac:dyDescent="0.25">
      <c r="A5697" s="46" t="s">
        <v>8495</v>
      </c>
      <c r="B5697" s="46" t="s">
        <v>38</v>
      </c>
      <c r="C5697" s="46" t="s">
        <v>14</v>
      </c>
      <c r="D5697" s="47">
        <v>471</v>
      </c>
      <c r="E5697" s="46" t="s">
        <v>8496</v>
      </c>
      <c r="F5697" s="48">
        <v>39083</v>
      </c>
      <c r="G5697" s="48">
        <v>39447</v>
      </c>
      <c r="H5697" s="46" t="s">
        <v>40</v>
      </c>
      <c r="I5697" s="45">
        <v>12250</v>
      </c>
      <c r="J5697" s="45">
        <v>10850</v>
      </c>
      <c r="K5697" s="49" t="s">
        <v>8348</v>
      </c>
      <c r="L5697" s="45"/>
      <c r="M5697" s="3"/>
    </row>
    <row r="5698" spans="1:13" ht="25.5" x14ac:dyDescent="0.25">
      <c r="A5698" s="46" t="s">
        <v>8497</v>
      </c>
      <c r="B5698" s="46" t="s">
        <v>38</v>
      </c>
      <c r="C5698" s="46" t="s">
        <v>14</v>
      </c>
      <c r="D5698" s="47">
        <v>472</v>
      </c>
      <c r="E5698" s="46" t="s">
        <v>8498</v>
      </c>
      <c r="F5698" s="48">
        <v>39083</v>
      </c>
      <c r="G5698" s="48">
        <v>39813</v>
      </c>
      <c r="H5698" s="46" t="s">
        <v>40</v>
      </c>
      <c r="I5698" s="45">
        <v>4969.63</v>
      </c>
      <c r="J5698" s="45">
        <v>4969.63</v>
      </c>
      <c r="K5698" s="49" t="s">
        <v>8348</v>
      </c>
      <c r="L5698" s="45"/>
      <c r="M5698" s="3"/>
    </row>
    <row r="5699" spans="1:13" ht="25.5" x14ac:dyDescent="0.25">
      <c r="A5699" s="46" t="s">
        <v>8499</v>
      </c>
      <c r="B5699" s="46" t="s">
        <v>38</v>
      </c>
      <c r="C5699" s="46" t="s">
        <v>14</v>
      </c>
      <c r="D5699" s="47">
        <v>473</v>
      </c>
      <c r="E5699" s="46" t="s">
        <v>8500</v>
      </c>
      <c r="F5699" s="48">
        <v>39083</v>
      </c>
      <c r="G5699" s="48">
        <v>39813</v>
      </c>
      <c r="H5699" s="46" t="s">
        <v>40</v>
      </c>
      <c r="I5699" s="45">
        <v>4500</v>
      </c>
      <c r="J5699" s="45">
        <v>4000</v>
      </c>
      <c r="K5699" s="49" t="s">
        <v>8348</v>
      </c>
      <c r="L5699" s="45"/>
      <c r="M5699" s="3"/>
    </row>
    <row r="5700" spans="1:13" ht="25.5" x14ac:dyDescent="0.25">
      <c r="A5700" s="46" t="s">
        <v>8501</v>
      </c>
      <c r="B5700" s="46" t="s">
        <v>38</v>
      </c>
      <c r="C5700" s="46" t="s">
        <v>14</v>
      </c>
      <c r="D5700" s="47">
        <v>474</v>
      </c>
      <c r="E5700" s="46" t="s">
        <v>8502</v>
      </c>
      <c r="F5700" s="48">
        <v>39083</v>
      </c>
      <c r="G5700" s="48">
        <v>39813</v>
      </c>
      <c r="H5700" s="46" t="s">
        <v>40</v>
      </c>
      <c r="I5700" s="45">
        <v>13725</v>
      </c>
      <c r="J5700" s="45">
        <v>12935</v>
      </c>
      <c r="K5700" s="49" t="s">
        <v>8348</v>
      </c>
      <c r="L5700" s="45"/>
      <c r="M5700" s="3"/>
    </row>
    <row r="5701" spans="1:13" ht="25.5" x14ac:dyDescent="0.25">
      <c r="A5701" s="46" t="s">
        <v>8503</v>
      </c>
      <c r="B5701" s="46" t="s">
        <v>38</v>
      </c>
      <c r="C5701" s="46" t="s">
        <v>14</v>
      </c>
      <c r="D5701" s="47">
        <v>475</v>
      </c>
      <c r="E5701" s="46" t="s">
        <v>8504</v>
      </c>
      <c r="F5701" s="48">
        <v>39083</v>
      </c>
      <c r="G5701" s="48">
        <v>39813</v>
      </c>
      <c r="H5701" s="46" t="s">
        <v>40</v>
      </c>
      <c r="I5701" s="45">
        <v>4122.5</v>
      </c>
      <c r="J5701" s="45">
        <v>4122.5</v>
      </c>
      <c r="K5701" s="49" t="s">
        <v>8348</v>
      </c>
      <c r="L5701" s="45"/>
      <c r="M5701" s="3"/>
    </row>
    <row r="5702" spans="1:13" ht="25.5" x14ac:dyDescent="0.25">
      <c r="A5702" s="46" t="s">
        <v>8505</v>
      </c>
      <c r="B5702" s="46" t="s">
        <v>38</v>
      </c>
      <c r="C5702" s="46" t="s">
        <v>14</v>
      </c>
      <c r="D5702" s="47">
        <v>477</v>
      </c>
      <c r="E5702" s="46" t="s">
        <v>8505</v>
      </c>
      <c r="F5702" s="48">
        <v>39083</v>
      </c>
      <c r="G5702" s="48">
        <v>39447</v>
      </c>
      <c r="H5702" s="46" t="s">
        <v>40</v>
      </c>
      <c r="I5702" s="45">
        <v>2454.25</v>
      </c>
      <c r="J5702" s="45">
        <v>2204.25</v>
      </c>
      <c r="K5702" s="49" t="s">
        <v>8348</v>
      </c>
      <c r="L5702" s="45"/>
      <c r="M5702" s="3"/>
    </row>
    <row r="5703" spans="1:13" ht="25.5" x14ac:dyDescent="0.25">
      <c r="A5703" s="46" t="s">
        <v>8506</v>
      </c>
      <c r="B5703" s="46" t="s">
        <v>38</v>
      </c>
      <c r="C5703" s="46" t="s">
        <v>14</v>
      </c>
      <c r="D5703" s="47">
        <v>478</v>
      </c>
      <c r="E5703" s="46" t="s">
        <v>8506</v>
      </c>
      <c r="F5703" s="48">
        <v>39083</v>
      </c>
      <c r="G5703" s="48">
        <v>39447</v>
      </c>
      <c r="H5703" s="46" t="s">
        <v>40</v>
      </c>
      <c r="I5703" s="45">
        <v>350</v>
      </c>
      <c r="J5703" s="45">
        <v>350</v>
      </c>
      <c r="K5703" s="49" t="s">
        <v>8348</v>
      </c>
      <c r="L5703" s="45"/>
      <c r="M5703" s="3"/>
    </row>
    <row r="5704" spans="1:13" ht="25.5" x14ac:dyDescent="0.25">
      <c r="A5704" s="46" t="s">
        <v>8507</v>
      </c>
      <c r="B5704" s="46" t="s">
        <v>38</v>
      </c>
      <c r="C5704" s="46" t="s">
        <v>14</v>
      </c>
      <c r="D5704" s="47">
        <v>479</v>
      </c>
      <c r="E5704" s="46" t="s">
        <v>8508</v>
      </c>
      <c r="F5704" s="48">
        <v>39083</v>
      </c>
      <c r="G5704" s="48">
        <v>39813</v>
      </c>
      <c r="H5704" s="46" t="s">
        <v>40</v>
      </c>
      <c r="I5704" s="45">
        <v>7414.13</v>
      </c>
      <c r="J5704" s="45">
        <v>3811.5</v>
      </c>
      <c r="K5704" s="49" t="s">
        <v>8348</v>
      </c>
      <c r="L5704" s="45"/>
      <c r="M5704" s="3"/>
    </row>
    <row r="5705" spans="1:13" ht="25.5" x14ac:dyDescent="0.25">
      <c r="A5705" s="46" t="s">
        <v>8509</v>
      </c>
      <c r="B5705" s="46" t="s">
        <v>38</v>
      </c>
      <c r="C5705" s="46" t="s">
        <v>14</v>
      </c>
      <c r="D5705" s="47">
        <v>480</v>
      </c>
      <c r="E5705" s="46" t="s">
        <v>8510</v>
      </c>
      <c r="F5705" s="48">
        <v>39083</v>
      </c>
      <c r="G5705" s="48">
        <v>39813</v>
      </c>
      <c r="H5705" s="46" t="s">
        <v>40</v>
      </c>
      <c r="I5705" s="45">
        <v>5172.75</v>
      </c>
      <c r="J5705" s="45">
        <v>5172.75</v>
      </c>
      <c r="K5705" s="49" t="s">
        <v>8348</v>
      </c>
      <c r="L5705" s="45"/>
      <c r="M5705" s="3"/>
    </row>
    <row r="5706" spans="1:13" ht="38.25" x14ac:dyDescent="0.25">
      <c r="A5706" s="46" t="s">
        <v>8511</v>
      </c>
      <c r="B5706" s="46" t="s">
        <v>38</v>
      </c>
      <c r="C5706" s="46" t="s">
        <v>14</v>
      </c>
      <c r="D5706" s="47">
        <v>481</v>
      </c>
      <c r="E5706" s="46" t="s">
        <v>8512</v>
      </c>
      <c r="F5706" s="48">
        <v>39083</v>
      </c>
      <c r="G5706" s="48">
        <v>39813</v>
      </c>
      <c r="H5706" s="46" t="s">
        <v>40</v>
      </c>
      <c r="I5706" s="45">
        <v>15717.14</v>
      </c>
      <c r="J5706" s="45">
        <v>13700.49</v>
      </c>
      <c r="K5706" s="49" t="s">
        <v>8348</v>
      </c>
      <c r="L5706" s="45"/>
      <c r="M5706" s="3"/>
    </row>
    <row r="5707" spans="1:13" ht="25.5" x14ac:dyDescent="0.25">
      <c r="A5707" s="46" t="s">
        <v>8515</v>
      </c>
      <c r="B5707" s="46" t="s">
        <v>38</v>
      </c>
      <c r="C5707" s="46" t="s">
        <v>14</v>
      </c>
      <c r="D5707" s="47">
        <v>483</v>
      </c>
      <c r="E5707" s="46" t="s">
        <v>8516</v>
      </c>
      <c r="F5707" s="48">
        <v>39083</v>
      </c>
      <c r="G5707" s="48">
        <v>39813</v>
      </c>
      <c r="H5707" s="46" t="s">
        <v>40</v>
      </c>
      <c r="I5707" s="45">
        <v>2500</v>
      </c>
      <c r="J5707" s="45">
        <v>2500</v>
      </c>
      <c r="K5707" s="49" t="s">
        <v>8348</v>
      </c>
      <c r="L5707" s="45"/>
      <c r="M5707" s="3"/>
    </row>
    <row r="5708" spans="1:13" ht="25.5" x14ac:dyDescent="0.25">
      <c r="A5708" s="46" t="s">
        <v>8517</v>
      </c>
      <c r="B5708" s="46" t="s">
        <v>38</v>
      </c>
      <c r="C5708" s="46" t="s">
        <v>14</v>
      </c>
      <c r="D5708" s="47">
        <v>484</v>
      </c>
      <c r="E5708" s="46" t="s">
        <v>8518</v>
      </c>
      <c r="F5708" s="48">
        <v>39083</v>
      </c>
      <c r="G5708" s="48">
        <v>39813</v>
      </c>
      <c r="H5708" s="46" t="s">
        <v>40</v>
      </c>
      <c r="I5708" s="45">
        <v>19811.810000000001</v>
      </c>
      <c r="J5708" s="45">
        <v>19811.810000000001</v>
      </c>
      <c r="K5708" s="49" t="s">
        <v>8348</v>
      </c>
      <c r="L5708" s="45"/>
      <c r="M5708" s="3"/>
    </row>
    <row r="5709" spans="1:13" ht="63.75" x14ac:dyDescent="0.25">
      <c r="A5709" s="46" t="s">
        <v>8519</v>
      </c>
      <c r="B5709" s="46" t="s">
        <v>38</v>
      </c>
      <c r="C5709" s="46" t="s">
        <v>14</v>
      </c>
      <c r="D5709" s="47">
        <v>485</v>
      </c>
      <c r="E5709" s="50" t="s">
        <v>8520</v>
      </c>
      <c r="F5709" s="48">
        <v>39083</v>
      </c>
      <c r="G5709" s="48">
        <v>39813</v>
      </c>
      <c r="H5709" s="46" t="s">
        <v>40</v>
      </c>
      <c r="I5709" s="45">
        <v>15380.31</v>
      </c>
      <c r="J5709" s="45">
        <v>15380.31</v>
      </c>
      <c r="K5709" s="49" t="s">
        <v>8348</v>
      </c>
      <c r="L5709" s="45"/>
      <c r="M5709" s="3"/>
    </row>
    <row r="5710" spans="1:13" ht="25.5" x14ac:dyDescent="0.25">
      <c r="A5710" s="46" t="s">
        <v>8521</v>
      </c>
      <c r="B5710" s="46" t="s">
        <v>38</v>
      </c>
      <c r="C5710" s="46" t="s">
        <v>14</v>
      </c>
      <c r="D5710" s="47">
        <v>486</v>
      </c>
      <c r="E5710" s="46" t="s">
        <v>8522</v>
      </c>
      <c r="F5710" s="48">
        <v>39083</v>
      </c>
      <c r="G5710" s="48">
        <v>39813</v>
      </c>
      <c r="H5710" s="46" t="s">
        <v>40</v>
      </c>
      <c r="I5710" s="45">
        <v>27522.42</v>
      </c>
      <c r="J5710" s="45">
        <v>27522.42</v>
      </c>
      <c r="K5710" s="49" t="s">
        <v>8348</v>
      </c>
      <c r="L5710" s="45"/>
      <c r="M5710" s="3"/>
    </row>
    <row r="5711" spans="1:13" ht="25.5" x14ac:dyDescent="0.25">
      <c r="A5711" s="46" t="s">
        <v>8523</v>
      </c>
      <c r="B5711" s="46" t="s">
        <v>38</v>
      </c>
      <c r="C5711" s="46" t="s">
        <v>14</v>
      </c>
      <c r="D5711" s="47">
        <v>487</v>
      </c>
      <c r="E5711" s="46" t="s">
        <v>8524</v>
      </c>
      <c r="F5711" s="48">
        <v>39083</v>
      </c>
      <c r="G5711" s="48">
        <v>39813</v>
      </c>
      <c r="H5711" s="46" t="s">
        <v>40</v>
      </c>
      <c r="I5711" s="45">
        <v>15196.24</v>
      </c>
      <c r="J5711" s="45">
        <v>7598.12</v>
      </c>
      <c r="K5711" s="49" t="s">
        <v>8348</v>
      </c>
      <c r="L5711" s="45"/>
      <c r="M5711" s="3"/>
    </row>
    <row r="5712" spans="1:13" ht="25.5" x14ac:dyDescent="0.25">
      <c r="A5712" s="46" t="s">
        <v>8525</v>
      </c>
      <c r="B5712" s="46" t="s">
        <v>38</v>
      </c>
      <c r="C5712" s="46" t="s">
        <v>14</v>
      </c>
      <c r="D5712" s="47">
        <v>488</v>
      </c>
      <c r="E5712" s="46" t="s">
        <v>8526</v>
      </c>
      <c r="F5712" s="48">
        <v>39448</v>
      </c>
      <c r="G5712" s="48">
        <v>39813</v>
      </c>
      <c r="H5712" s="46" t="s">
        <v>40</v>
      </c>
      <c r="I5712" s="45">
        <v>30000</v>
      </c>
      <c r="J5712" s="45">
        <v>30000</v>
      </c>
      <c r="K5712" s="49" t="s">
        <v>8348</v>
      </c>
      <c r="L5712" s="45"/>
      <c r="M5712" s="3"/>
    </row>
    <row r="5713" spans="1:13" ht="25.5" x14ac:dyDescent="0.25">
      <c r="A5713" s="46" t="s">
        <v>8527</v>
      </c>
      <c r="B5713" s="46" t="s">
        <v>38</v>
      </c>
      <c r="C5713" s="46" t="s">
        <v>14</v>
      </c>
      <c r="D5713" s="47">
        <v>489</v>
      </c>
      <c r="E5713" s="46" t="s">
        <v>8528</v>
      </c>
      <c r="F5713" s="48">
        <v>39448</v>
      </c>
      <c r="G5713" s="48">
        <v>39813</v>
      </c>
      <c r="H5713" s="46" t="s">
        <v>40</v>
      </c>
      <c r="I5713" s="45">
        <v>2200</v>
      </c>
      <c r="J5713" s="45">
        <v>2200</v>
      </c>
      <c r="K5713" s="49" t="s">
        <v>8348</v>
      </c>
      <c r="L5713" s="45"/>
      <c r="M5713" s="3"/>
    </row>
    <row r="5714" spans="1:13" ht="25.5" x14ac:dyDescent="0.25">
      <c r="A5714" s="46" t="s">
        <v>8529</v>
      </c>
      <c r="B5714" s="46" t="s">
        <v>38</v>
      </c>
      <c r="C5714" s="46" t="s">
        <v>14</v>
      </c>
      <c r="D5714" s="47">
        <v>490</v>
      </c>
      <c r="E5714" s="46" t="s">
        <v>8530</v>
      </c>
      <c r="F5714" s="48">
        <v>39448</v>
      </c>
      <c r="G5714" s="48">
        <v>39813</v>
      </c>
      <c r="H5714" s="46" t="s">
        <v>40</v>
      </c>
      <c r="I5714" s="45">
        <v>814.6</v>
      </c>
      <c r="J5714" s="45">
        <v>689.6</v>
      </c>
      <c r="K5714" s="49" t="s">
        <v>8348</v>
      </c>
      <c r="L5714" s="45"/>
      <c r="M5714" s="3"/>
    </row>
    <row r="5715" spans="1:13" ht="38.25" x14ac:dyDescent="0.25">
      <c r="A5715" s="46" t="s">
        <v>8531</v>
      </c>
      <c r="B5715" s="46" t="s">
        <v>38</v>
      </c>
      <c r="C5715" s="46" t="s">
        <v>14</v>
      </c>
      <c r="D5715" s="47">
        <v>491</v>
      </c>
      <c r="E5715" s="46" t="s">
        <v>8532</v>
      </c>
      <c r="F5715" s="48">
        <v>39448</v>
      </c>
      <c r="G5715" s="48">
        <v>39813</v>
      </c>
      <c r="H5715" s="46" t="s">
        <v>40</v>
      </c>
      <c r="I5715" s="45">
        <v>1790</v>
      </c>
      <c r="J5715" s="45">
        <v>1415</v>
      </c>
      <c r="K5715" s="49" t="s">
        <v>8348</v>
      </c>
      <c r="L5715" s="45"/>
      <c r="M5715" s="3"/>
    </row>
    <row r="5716" spans="1:13" ht="25.5" x14ac:dyDescent="0.25">
      <c r="A5716" s="46" t="s">
        <v>8533</v>
      </c>
      <c r="B5716" s="46" t="s">
        <v>38</v>
      </c>
      <c r="C5716" s="46" t="s">
        <v>14</v>
      </c>
      <c r="D5716" s="47">
        <v>492</v>
      </c>
      <c r="E5716" s="46" t="s">
        <v>8533</v>
      </c>
      <c r="F5716" s="48">
        <v>39448</v>
      </c>
      <c r="G5716" s="48">
        <v>39813</v>
      </c>
      <c r="H5716" s="46" t="s">
        <v>40</v>
      </c>
      <c r="I5716" s="45">
        <v>1460</v>
      </c>
      <c r="J5716" s="45">
        <v>730</v>
      </c>
      <c r="K5716" s="49" t="s">
        <v>8348</v>
      </c>
      <c r="L5716" s="45"/>
      <c r="M5716" s="3"/>
    </row>
    <row r="5717" spans="1:13" ht="25.5" x14ac:dyDescent="0.25">
      <c r="A5717" s="46" t="s">
        <v>8534</v>
      </c>
      <c r="B5717" s="46" t="s">
        <v>38</v>
      </c>
      <c r="C5717" s="46" t="s">
        <v>14</v>
      </c>
      <c r="D5717" s="47">
        <v>493</v>
      </c>
      <c r="E5717" s="46" t="s">
        <v>8534</v>
      </c>
      <c r="F5717" s="48">
        <v>39448</v>
      </c>
      <c r="G5717" s="48">
        <v>39813</v>
      </c>
      <c r="H5717" s="46" t="s">
        <v>40</v>
      </c>
      <c r="I5717" s="45">
        <v>1800</v>
      </c>
      <c r="J5717" s="45">
        <v>1800</v>
      </c>
      <c r="K5717" s="49" t="s">
        <v>8348</v>
      </c>
      <c r="L5717" s="45"/>
      <c r="M5717" s="3"/>
    </row>
    <row r="5718" spans="1:13" ht="25.5" x14ac:dyDescent="0.25">
      <c r="A5718" s="46" t="s">
        <v>8535</v>
      </c>
      <c r="B5718" s="46" t="s">
        <v>38</v>
      </c>
      <c r="C5718" s="46" t="s">
        <v>14</v>
      </c>
      <c r="D5718" s="47">
        <v>494</v>
      </c>
      <c r="E5718" s="46" t="s">
        <v>8536</v>
      </c>
      <c r="F5718" s="48">
        <v>39448</v>
      </c>
      <c r="G5718" s="48">
        <v>39813</v>
      </c>
      <c r="H5718" s="46" t="s">
        <v>40</v>
      </c>
      <c r="I5718" s="45">
        <v>255.53</v>
      </c>
      <c r="J5718" s="45">
        <v>255.53</v>
      </c>
      <c r="K5718" s="49" t="s">
        <v>8348</v>
      </c>
      <c r="L5718" s="45"/>
      <c r="M5718" s="3"/>
    </row>
    <row r="5719" spans="1:13" ht="25.5" x14ac:dyDescent="0.25">
      <c r="A5719" s="46" t="s">
        <v>8537</v>
      </c>
      <c r="B5719" s="46" t="s">
        <v>38</v>
      </c>
      <c r="C5719" s="46" t="s">
        <v>14</v>
      </c>
      <c r="D5719" s="47">
        <v>495</v>
      </c>
      <c r="E5719" s="46" t="s">
        <v>8537</v>
      </c>
      <c r="F5719" s="48">
        <v>39448</v>
      </c>
      <c r="G5719" s="48">
        <v>39813</v>
      </c>
      <c r="H5719" s="46" t="s">
        <v>40</v>
      </c>
      <c r="I5719" s="45">
        <v>2600</v>
      </c>
      <c r="J5719" s="45">
        <v>2600</v>
      </c>
      <c r="K5719" s="49" t="s">
        <v>8348</v>
      </c>
      <c r="L5719" s="45"/>
      <c r="M5719" s="3"/>
    </row>
    <row r="5720" spans="1:13" ht="25.5" x14ac:dyDescent="0.25">
      <c r="A5720" s="46" t="s">
        <v>8578</v>
      </c>
      <c r="B5720" s="46" t="s">
        <v>38</v>
      </c>
      <c r="C5720" s="46" t="s">
        <v>14</v>
      </c>
      <c r="D5720" s="47">
        <v>5091</v>
      </c>
      <c r="E5720" s="46" t="s">
        <v>8579</v>
      </c>
      <c r="F5720" s="48">
        <v>39873</v>
      </c>
      <c r="G5720" s="48">
        <v>39903</v>
      </c>
      <c r="H5720" s="46" t="s">
        <v>40</v>
      </c>
      <c r="I5720" s="45">
        <v>2500</v>
      </c>
      <c r="J5720" s="45">
        <v>2500</v>
      </c>
      <c r="K5720" s="49" t="s">
        <v>8348</v>
      </c>
      <c r="L5720" s="45"/>
      <c r="M5720" s="3"/>
    </row>
    <row r="5721" spans="1:13" ht="25.5" x14ac:dyDescent="0.25">
      <c r="A5721" s="46" t="s">
        <v>8515</v>
      </c>
      <c r="B5721" s="46" t="s">
        <v>38</v>
      </c>
      <c r="C5721" s="46" t="s">
        <v>14</v>
      </c>
      <c r="D5721" s="47">
        <v>5139</v>
      </c>
      <c r="E5721" s="46" t="s">
        <v>8516</v>
      </c>
      <c r="F5721" s="48">
        <v>39873</v>
      </c>
      <c r="G5721" s="48">
        <v>39903</v>
      </c>
      <c r="H5721" s="46" t="s">
        <v>40</v>
      </c>
      <c r="I5721" s="45">
        <v>1500</v>
      </c>
      <c r="J5721" s="45">
        <v>1500</v>
      </c>
      <c r="K5721" s="49" t="s">
        <v>8348</v>
      </c>
      <c r="L5721" s="45"/>
      <c r="M5721" s="3"/>
    </row>
    <row r="5722" spans="1:13" ht="25.5" x14ac:dyDescent="0.25">
      <c r="A5722" s="46" t="s">
        <v>8580</v>
      </c>
      <c r="B5722" s="46" t="s">
        <v>38</v>
      </c>
      <c r="C5722" s="46" t="s">
        <v>14</v>
      </c>
      <c r="D5722" s="47">
        <v>5141</v>
      </c>
      <c r="E5722" s="46" t="s">
        <v>8581</v>
      </c>
      <c r="F5722" s="48">
        <v>40057</v>
      </c>
      <c r="G5722" s="48">
        <v>40178</v>
      </c>
      <c r="H5722" s="46" t="s">
        <v>40</v>
      </c>
      <c r="I5722" s="45">
        <v>550</v>
      </c>
      <c r="J5722" s="45">
        <v>530</v>
      </c>
      <c r="K5722" s="49" t="s">
        <v>8348</v>
      </c>
      <c r="L5722" s="45"/>
      <c r="M5722" s="3"/>
    </row>
    <row r="5723" spans="1:13" ht="25.5" x14ac:dyDescent="0.25">
      <c r="A5723" s="46" t="s">
        <v>8582</v>
      </c>
      <c r="B5723" s="46" t="s">
        <v>38</v>
      </c>
      <c r="C5723" s="46" t="s">
        <v>14</v>
      </c>
      <c r="D5723" s="47">
        <v>5145</v>
      </c>
      <c r="E5723" s="46" t="s">
        <v>8583</v>
      </c>
      <c r="F5723" s="48">
        <v>40057</v>
      </c>
      <c r="G5723" s="48">
        <v>40178</v>
      </c>
      <c r="H5723" s="46" t="s">
        <v>40</v>
      </c>
      <c r="I5723" s="45">
        <v>560</v>
      </c>
      <c r="J5723" s="45">
        <v>101.5</v>
      </c>
      <c r="K5723" s="49" t="s">
        <v>8348</v>
      </c>
      <c r="L5723" s="45"/>
      <c r="M5723" s="3"/>
    </row>
    <row r="5724" spans="1:13" ht="25.5" x14ac:dyDescent="0.25">
      <c r="A5724" s="46" t="s">
        <v>8584</v>
      </c>
      <c r="B5724" s="46" t="s">
        <v>38</v>
      </c>
      <c r="C5724" s="46" t="s">
        <v>14</v>
      </c>
      <c r="D5724" s="47">
        <v>5147</v>
      </c>
      <c r="E5724" s="46" t="s">
        <v>8585</v>
      </c>
      <c r="F5724" s="48">
        <v>40057</v>
      </c>
      <c r="G5724" s="48">
        <v>40071</v>
      </c>
      <c r="H5724" s="46" t="s">
        <v>40</v>
      </c>
      <c r="I5724" s="45">
        <v>566.70000000000005</v>
      </c>
      <c r="J5724" s="45">
        <v>191.7</v>
      </c>
      <c r="K5724" s="49" t="s">
        <v>8348</v>
      </c>
      <c r="L5724" s="45"/>
      <c r="M5724" s="3"/>
    </row>
    <row r="5725" spans="1:13" ht="25.5" x14ac:dyDescent="0.25">
      <c r="A5725" s="46" t="s">
        <v>8586</v>
      </c>
      <c r="B5725" s="46" t="s">
        <v>38</v>
      </c>
      <c r="C5725" s="46" t="s">
        <v>14</v>
      </c>
      <c r="D5725" s="47">
        <v>5150</v>
      </c>
      <c r="E5725" s="46" t="s">
        <v>8587</v>
      </c>
      <c r="F5725" s="48">
        <v>39814</v>
      </c>
      <c r="G5725" s="48">
        <v>40543</v>
      </c>
      <c r="H5725" s="46" t="s">
        <v>40</v>
      </c>
      <c r="I5725" s="45">
        <v>174939.22</v>
      </c>
      <c r="J5725" s="45">
        <v>87469.61</v>
      </c>
      <c r="K5725" s="49" t="s">
        <v>8348</v>
      </c>
      <c r="L5725" s="45"/>
      <c r="M5725" s="3"/>
    </row>
    <row r="5726" spans="1:13" ht="25.5" x14ac:dyDescent="0.25">
      <c r="A5726" s="46" t="s">
        <v>6297</v>
      </c>
      <c r="B5726" s="46" t="s">
        <v>38</v>
      </c>
      <c r="C5726" s="46" t="s">
        <v>14</v>
      </c>
      <c r="D5726" s="47">
        <v>5154</v>
      </c>
      <c r="E5726" s="46" t="s">
        <v>8588</v>
      </c>
      <c r="F5726" s="48">
        <v>40118</v>
      </c>
      <c r="G5726" s="48">
        <v>40512</v>
      </c>
      <c r="H5726" s="46" t="s">
        <v>40</v>
      </c>
      <c r="I5726" s="45">
        <v>1982.37</v>
      </c>
      <c r="J5726" s="45">
        <v>1982.37</v>
      </c>
      <c r="K5726" s="49" t="s">
        <v>8348</v>
      </c>
      <c r="L5726" s="45"/>
      <c r="M5726" s="3"/>
    </row>
    <row r="5727" spans="1:13" ht="25.5" x14ac:dyDescent="0.25">
      <c r="A5727" s="46" t="s">
        <v>3252</v>
      </c>
      <c r="B5727" s="46" t="s">
        <v>38</v>
      </c>
      <c r="C5727" s="46" t="s">
        <v>14</v>
      </c>
      <c r="D5727" s="47">
        <v>5156</v>
      </c>
      <c r="E5727" s="46" t="s">
        <v>8589</v>
      </c>
      <c r="F5727" s="48">
        <v>40087</v>
      </c>
      <c r="G5727" s="48">
        <v>40117</v>
      </c>
      <c r="H5727" s="46" t="s">
        <v>40</v>
      </c>
      <c r="I5727" s="45">
        <v>427</v>
      </c>
      <c r="J5727" s="45">
        <v>427</v>
      </c>
      <c r="K5727" s="49" t="s">
        <v>8348</v>
      </c>
      <c r="L5727" s="45"/>
      <c r="M5727" s="3"/>
    </row>
    <row r="5728" spans="1:13" ht="25.5" x14ac:dyDescent="0.25">
      <c r="A5728" s="46" t="s">
        <v>8590</v>
      </c>
      <c r="B5728" s="46" t="s">
        <v>38</v>
      </c>
      <c r="C5728" s="46" t="s">
        <v>14</v>
      </c>
      <c r="D5728" s="47">
        <v>5158</v>
      </c>
      <c r="E5728" s="46" t="s">
        <v>8591</v>
      </c>
      <c r="F5728" s="48">
        <v>39873</v>
      </c>
      <c r="G5728" s="48">
        <v>40178</v>
      </c>
      <c r="H5728" s="46" t="s">
        <v>40</v>
      </c>
      <c r="I5728" s="45">
        <v>8145.75</v>
      </c>
      <c r="J5728" s="45">
        <v>5085.75</v>
      </c>
      <c r="K5728" s="49" t="s">
        <v>8348</v>
      </c>
      <c r="L5728" s="45"/>
      <c r="M5728" s="3"/>
    </row>
    <row r="5729" spans="1:13" ht="25.5" x14ac:dyDescent="0.25">
      <c r="A5729" s="46" t="s">
        <v>8592</v>
      </c>
      <c r="B5729" s="46" t="s">
        <v>38</v>
      </c>
      <c r="C5729" s="46" t="s">
        <v>14</v>
      </c>
      <c r="D5729" s="47">
        <v>5159</v>
      </c>
      <c r="E5729" s="46" t="s">
        <v>8593</v>
      </c>
      <c r="F5729" s="48">
        <v>39814</v>
      </c>
      <c r="G5729" s="48">
        <v>40543</v>
      </c>
      <c r="H5729" s="46" t="s">
        <v>40</v>
      </c>
      <c r="I5729" s="45">
        <v>26001.919999999998</v>
      </c>
      <c r="J5729" s="45">
        <v>13000.96</v>
      </c>
      <c r="K5729" s="49" t="s">
        <v>8348</v>
      </c>
      <c r="L5729" s="45"/>
      <c r="M5729" s="3"/>
    </row>
    <row r="5730" spans="1:13" ht="25.5" x14ac:dyDescent="0.25">
      <c r="A5730" s="46" t="s">
        <v>8594</v>
      </c>
      <c r="B5730" s="46" t="s">
        <v>38</v>
      </c>
      <c r="C5730" s="46" t="s">
        <v>14</v>
      </c>
      <c r="D5730" s="47">
        <v>5161</v>
      </c>
      <c r="E5730" s="46" t="s">
        <v>8595</v>
      </c>
      <c r="F5730" s="48">
        <v>39814</v>
      </c>
      <c r="G5730" s="48">
        <v>40086</v>
      </c>
      <c r="H5730" s="46" t="s">
        <v>40</v>
      </c>
      <c r="I5730" s="45">
        <v>1953.75</v>
      </c>
      <c r="J5730" s="45">
        <v>1668.75</v>
      </c>
      <c r="K5730" s="49" t="s">
        <v>8348</v>
      </c>
      <c r="L5730" s="45"/>
      <c r="M5730" s="3"/>
    </row>
    <row r="5731" spans="1:13" ht="25.5" x14ac:dyDescent="0.25">
      <c r="A5731" s="46" t="s">
        <v>8596</v>
      </c>
      <c r="B5731" s="46" t="s">
        <v>38</v>
      </c>
      <c r="C5731" s="46" t="s">
        <v>14</v>
      </c>
      <c r="D5731" s="47">
        <v>5163</v>
      </c>
      <c r="E5731" s="46" t="s">
        <v>8597</v>
      </c>
      <c r="F5731" s="48">
        <v>40057</v>
      </c>
      <c r="G5731" s="48">
        <v>40178</v>
      </c>
      <c r="H5731" s="46" t="s">
        <v>40</v>
      </c>
      <c r="I5731" s="45">
        <v>1353</v>
      </c>
      <c r="J5731" s="45">
        <v>1353</v>
      </c>
      <c r="K5731" s="49" t="s">
        <v>8348</v>
      </c>
      <c r="L5731" s="45"/>
      <c r="M5731" s="3"/>
    </row>
    <row r="5732" spans="1:13" ht="25.5" x14ac:dyDescent="0.25">
      <c r="A5732" s="46" t="s">
        <v>8598</v>
      </c>
      <c r="B5732" s="46" t="s">
        <v>38</v>
      </c>
      <c r="C5732" s="46" t="s">
        <v>14</v>
      </c>
      <c r="D5732" s="47">
        <v>5166</v>
      </c>
      <c r="E5732" s="46" t="s">
        <v>8599</v>
      </c>
      <c r="F5732" s="48">
        <v>40067</v>
      </c>
      <c r="G5732" s="48">
        <v>40067</v>
      </c>
      <c r="H5732" s="46" t="s">
        <v>40</v>
      </c>
      <c r="I5732" s="45">
        <v>6736.79</v>
      </c>
      <c r="J5732" s="45">
        <v>6736.79</v>
      </c>
      <c r="K5732" s="49" t="s">
        <v>8348</v>
      </c>
      <c r="L5732" s="45"/>
      <c r="M5732" s="3"/>
    </row>
    <row r="5733" spans="1:13" ht="25.5" x14ac:dyDescent="0.25">
      <c r="A5733" s="46" t="s">
        <v>8600</v>
      </c>
      <c r="B5733" s="46" t="s">
        <v>38</v>
      </c>
      <c r="C5733" s="46" t="s">
        <v>14</v>
      </c>
      <c r="D5733" s="47">
        <v>5168</v>
      </c>
      <c r="E5733" s="46" t="s">
        <v>8601</v>
      </c>
      <c r="F5733" s="48">
        <v>40057</v>
      </c>
      <c r="G5733" s="48">
        <v>40542</v>
      </c>
      <c r="H5733" s="46" t="s">
        <v>40</v>
      </c>
      <c r="I5733" s="45">
        <v>6123.68</v>
      </c>
      <c r="J5733" s="45">
        <v>6103.68</v>
      </c>
      <c r="K5733" s="49" t="s">
        <v>8348</v>
      </c>
      <c r="L5733" s="45"/>
      <c r="M5733" s="3"/>
    </row>
    <row r="5734" spans="1:13" ht="25.5" x14ac:dyDescent="0.25">
      <c r="A5734" s="46" t="s">
        <v>8602</v>
      </c>
      <c r="B5734" s="46" t="s">
        <v>38</v>
      </c>
      <c r="C5734" s="46" t="s">
        <v>14</v>
      </c>
      <c r="D5734" s="47">
        <v>5169</v>
      </c>
      <c r="E5734" s="46" t="s">
        <v>8603</v>
      </c>
      <c r="F5734" s="48">
        <v>40057</v>
      </c>
      <c r="G5734" s="48">
        <v>40178</v>
      </c>
      <c r="H5734" s="46" t="s">
        <v>40</v>
      </c>
      <c r="I5734" s="45">
        <v>360</v>
      </c>
      <c r="J5734" s="45">
        <v>320</v>
      </c>
      <c r="K5734" s="49" t="s">
        <v>8348</v>
      </c>
      <c r="L5734" s="45"/>
      <c r="M5734" s="3"/>
    </row>
    <row r="5735" spans="1:13" ht="25.5" x14ac:dyDescent="0.25">
      <c r="A5735" s="46" t="s">
        <v>8604</v>
      </c>
      <c r="B5735" s="46" t="s">
        <v>38</v>
      </c>
      <c r="C5735" s="46" t="s">
        <v>14</v>
      </c>
      <c r="D5735" s="47">
        <v>5174</v>
      </c>
      <c r="E5735" s="46" t="s">
        <v>8605</v>
      </c>
      <c r="F5735" s="48">
        <v>40057</v>
      </c>
      <c r="G5735" s="48">
        <v>40178</v>
      </c>
      <c r="H5735" s="46" t="s">
        <v>40</v>
      </c>
      <c r="I5735" s="45">
        <v>779.7</v>
      </c>
      <c r="J5735" s="45">
        <v>779.7</v>
      </c>
      <c r="K5735" s="49" t="s">
        <v>8348</v>
      </c>
      <c r="L5735" s="45"/>
      <c r="M5735" s="3"/>
    </row>
    <row r="5736" spans="1:13" ht="25.5" x14ac:dyDescent="0.25">
      <c r="A5736" s="46" t="s">
        <v>8606</v>
      </c>
      <c r="B5736" s="46" t="s">
        <v>38</v>
      </c>
      <c r="C5736" s="46" t="s">
        <v>14</v>
      </c>
      <c r="D5736" s="47">
        <v>5175</v>
      </c>
      <c r="E5736" s="46" t="s">
        <v>8607</v>
      </c>
      <c r="F5736" s="48">
        <v>39995</v>
      </c>
      <c r="G5736" s="48">
        <v>40178</v>
      </c>
      <c r="H5736" s="46" t="s">
        <v>40</v>
      </c>
      <c r="I5736" s="45">
        <v>6559.6</v>
      </c>
      <c r="J5736" s="45">
        <v>6559.6</v>
      </c>
      <c r="K5736" s="49" t="s">
        <v>8348</v>
      </c>
      <c r="L5736" s="45"/>
      <c r="M5736" s="3"/>
    </row>
    <row r="5737" spans="1:13" ht="25.5" x14ac:dyDescent="0.25">
      <c r="A5737" s="46" t="s">
        <v>8608</v>
      </c>
      <c r="B5737" s="46" t="s">
        <v>38</v>
      </c>
      <c r="C5737" s="46" t="s">
        <v>14</v>
      </c>
      <c r="D5737" s="47">
        <v>5176</v>
      </c>
      <c r="E5737" s="46" t="s">
        <v>8609</v>
      </c>
      <c r="F5737" s="48">
        <v>39873</v>
      </c>
      <c r="G5737" s="48">
        <v>40543</v>
      </c>
      <c r="H5737" s="46" t="s">
        <v>40</v>
      </c>
      <c r="I5737" s="45">
        <v>20056.560000000001</v>
      </c>
      <c r="J5737" s="45">
        <v>20056.560000000001</v>
      </c>
      <c r="K5737" s="49" t="s">
        <v>8348</v>
      </c>
      <c r="L5737" s="45"/>
      <c r="M5737" s="3"/>
    </row>
    <row r="5738" spans="1:13" ht="25.5" x14ac:dyDescent="0.25">
      <c r="A5738" s="46" t="s">
        <v>8610</v>
      </c>
      <c r="B5738" s="46" t="s">
        <v>38</v>
      </c>
      <c r="C5738" s="46" t="s">
        <v>14</v>
      </c>
      <c r="D5738" s="47">
        <v>5177</v>
      </c>
      <c r="E5738" s="46" t="s">
        <v>8611</v>
      </c>
      <c r="F5738" s="48">
        <v>39814</v>
      </c>
      <c r="G5738" s="48">
        <v>40543</v>
      </c>
      <c r="H5738" s="46" t="s">
        <v>40</v>
      </c>
      <c r="I5738" s="45">
        <v>20001.7</v>
      </c>
      <c r="J5738" s="45">
        <v>20001.7</v>
      </c>
      <c r="K5738" s="49" t="s">
        <v>8348</v>
      </c>
      <c r="L5738" s="45"/>
      <c r="M5738" s="3"/>
    </row>
    <row r="5739" spans="1:13" ht="25.5" x14ac:dyDescent="0.25">
      <c r="A5739" s="46" t="s">
        <v>8612</v>
      </c>
      <c r="B5739" s="46" t="s">
        <v>38</v>
      </c>
      <c r="C5739" s="46" t="s">
        <v>14</v>
      </c>
      <c r="D5739" s="47">
        <v>5178</v>
      </c>
      <c r="E5739" s="46" t="s">
        <v>8613</v>
      </c>
      <c r="F5739" s="48">
        <v>40057</v>
      </c>
      <c r="G5739" s="48">
        <v>40178</v>
      </c>
      <c r="H5739" s="46" t="s">
        <v>40</v>
      </c>
      <c r="I5739" s="45">
        <v>1511.79</v>
      </c>
      <c r="J5739" s="45">
        <v>1511.79</v>
      </c>
      <c r="K5739" s="49" t="s">
        <v>8348</v>
      </c>
      <c r="L5739" s="45"/>
      <c r="M5739" s="3"/>
    </row>
    <row r="5740" spans="1:13" ht="25.5" x14ac:dyDescent="0.25">
      <c r="A5740" s="46" t="s">
        <v>8614</v>
      </c>
      <c r="B5740" s="46" t="s">
        <v>38</v>
      </c>
      <c r="C5740" s="46" t="s">
        <v>14</v>
      </c>
      <c r="D5740" s="47">
        <v>5179</v>
      </c>
      <c r="E5740" s="46" t="s">
        <v>8615</v>
      </c>
      <c r="F5740" s="48">
        <v>39814</v>
      </c>
      <c r="G5740" s="48">
        <v>40543</v>
      </c>
      <c r="H5740" s="46" t="s">
        <v>40</v>
      </c>
      <c r="I5740" s="45">
        <v>99476.83</v>
      </c>
      <c r="J5740" s="45">
        <v>94704.63</v>
      </c>
      <c r="K5740" s="49" t="s">
        <v>8348</v>
      </c>
      <c r="L5740" s="45"/>
      <c r="M5740" s="3"/>
    </row>
    <row r="5741" spans="1:13" ht="25.5" x14ac:dyDescent="0.25">
      <c r="A5741" s="46" t="s">
        <v>8616</v>
      </c>
      <c r="B5741" s="46" t="s">
        <v>38</v>
      </c>
      <c r="C5741" s="46" t="s">
        <v>14</v>
      </c>
      <c r="D5741" s="47">
        <v>5180</v>
      </c>
      <c r="E5741" s="46" t="s">
        <v>8617</v>
      </c>
      <c r="F5741" s="48">
        <v>39934</v>
      </c>
      <c r="G5741" s="48">
        <v>39964</v>
      </c>
      <c r="H5741" s="46" t="s">
        <v>40</v>
      </c>
      <c r="I5741" s="45">
        <v>1250</v>
      </c>
      <c r="J5741" s="45">
        <v>1250</v>
      </c>
      <c r="K5741" s="49" t="s">
        <v>8348</v>
      </c>
      <c r="L5741" s="45"/>
      <c r="M5741" s="3"/>
    </row>
    <row r="5742" spans="1:13" ht="25.5" x14ac:dyDescent="0.25">
      <c r="A5742" s="46" t="s">
        <v>8618</v>
      </c>
      <c r="B5742" s="46" t="s">
        <v>38</v>
      </c>
      <c r="C5742" s="46" t="s">
        <v>14</v>
      </c>
      <c r="D5742" s="47">
        <v>5181</v>
      </c>
      <c r="E5742" s="46" t="s">
        <v>8619</v>
      </c>
      <c r="F5742" s="48">
        <v>40057</v>
      </c>
      <c r="G5742" s="48">
        <v>40543</v>
      </c>
      <c r="H5742" s="46" t="s">
        <v>40</v>
      </c>
      <c r="I5742" s="45">
        <v>1701.5</v>
      </c>
      <c r="J5742" s="45">
        <v>465.75</v>
      </c>
      <c r="K5742" s="49" t="s">
        <v>8348</v>
      </c>
      <c r="L5742" s="45"/>
      <c r="M5742" s="3"/>
    </row>
    <row r="5743" spans="1:13" ht="25.5" x14ac:dyDescent="0.25">
      <c r="A5743" s="46" t="s">
        <v>8620</v>
      </c>
      <c r="B5743" s="46" t="s">
        <v>38</v>
      </c>
      <c r="C5743" s="46" t="s">
        <v>14</v>
      </c>
      <c r="D5743" s="47">
        <v>5182</v>
      </c>
      <c r="E5743" s="46" t="s">
        <v>8621</v>
      </c>
      <c r="F5743" s="48">
        <v>39814</v>
      </c>
      <c r="G5743" s="48">
        <v>40178</v>
      </c>
      <c r="H5743" s="46" t="s">
        <v>40</v>
      </c>
      <c r="I5743" s="45">
        <v>8421.17</v>
      </c>
      <c r="J5743" s="45">
        <v>8421.17</v>
      </c>
      <c r="K5743" s="49" t="s">
        <v>8348</v>
      </c>
      <c r="L5743" s="45"/>
      <c r="M5743" s="3"/>
    </row>
    <row r="5744" spans="1:13" ht="38.25" x14ac:dyDescent="0.25">
      <c r="A5744" s="46" t="s">
        <v>8622</v>
      </c>
      <c r="B5744" s="46" t="s">
        <v>38</v>
      </c>
      <c r="C5744" s="46" t="s">
        <v>14</v>
      </c>
      <c r="D5744" s="47">
        <v>5183</v>
      </c>
      <c r="E5744" s="46" t="s">
        <v>8623</v>
      </c>
      <c r="F5744" s="48">
        <v>39814</v>
      </c>
      <c r="G5744" s="48">
        <v>40543</v>
      </c>
      <c r="H5744" s="46" t="s">
        <v>40</v>
      </c>
      <c r="I5744" s="45">
        <v>6141.68</v>
      </c>
      <c r="J5744" s="45">
        <v>6141.68</v>
      </c>
      <c r="K5744" s="49" t="s">
        <v>8348</v>
      </c>
      <c r="L5744" s="45"/>
      <c r="M5744" s="3"/>
    </row>
    <row r="5745" spans="1:13" ht="25.5" x14ac:dyDescent="0.25">
      <c r="A5745" s="46" t="s">
        <v>8624</v>
      </c>
      <c r="B5745" s="46" t="s">
        <v>38</v>
      </c>
      <c r="C5745" s="46" t="s">
        <v>14</v>
      </c>
      <c r="D5745" s="47">
        <v>5184</v>
      </c>
      <c r="E5745" s="46" t="s">
        <v>8625</v>
      </c>
      <c r="F5745" s="48">
        <v>40057</v>
      </c>
      <c r="G5745" s="48">
        <v>40543</v>
      </c>
      <c r="H5745" s="46" t="s">
        <v>40</v>
      </c>
      <c r="I5745" s="45">
        <v>400</v>
      </c>
      <c r="J5745" s="45">
        <v>395</v>
      </c>
      <c r="K5745" s="49" t="s">
        <v>8348</v>
      </c>
      <c r="L5745" s="45"/>
      <c r="M5745" s="3"/>
    </row>
    <row r="5746" spans="1:13" ht="25.5" x14ac:dyDescent="0.25">
      <c r="A5746" s="46" t="s">
        <v>8626</v>
      </c>
      <c r="B5746" s="46" t="s">
        <v>38</v>
      </c>
      <c r="C5746" s="46" t="s">
        <v>14</v>
      </c>
      <c r="D5746" s="47">
        <v>5185</v>
      </c>
      <c r="E5746" s="46" t="s">
        <v>8626</v>
      </c>
      <c r="F5746" s="48">
        <v>40057</v>
      </c>
      <c r="G5746" s="48">
        <v>40178</v>
      </c>
      <c r="H5746" s="46" t="s">
        <v>40</v>
      </c>
      <c r="I5746" s="45">
        <v>288.75</v>
      </c>
      <c r="J5746" s="45">
        <v>50.75</v>
      </c>
      <c r="K5746" s="49" t="s">
        <v>8348</v>
      </c>
      <c r="L5746" s="45"/>
      <c r="M5746" s="3"/>
    </row>
    <row r="5747" spans="1:13" ht="25.5" x14ac:dyDescent="0.25">
      <c r="A5747" s="46" t="s">
        <v>8627</v>
      </c>
      <c r="B5747" s="46" t="s">
        <v>38</v>
      </c>
      <c r="C5747" s="46" t="s">
        <v>14</v>
      </c>
      <c r="D5747" s="47">
        <v>5186</v>
      </c>
      <c r="E5747" s="46" t="s">
        <v>8628</v>
      </c>
      <c r="F5747" s="48">
        <v>39995</v>
      </c>
      <c r="G5747" s="48">
        <v>40025</v>
      </c>
      <c r="H5747" s="46" t="s">
        <v>40</v>
      </c>
      <c r="I5747" s="45">
        <v>913.5</v>
      </c>
      <c r="J5747" s="45">
        <v>688.5</v>
      </c>
      <c r="K5747" s="49" t="s">
        <v>8348</v>
      </c>
      <c r="L5747" s="45"/>
      <c r="M5747" s="3"/>
    </row>
    <row r="5748" spans="1:13" ht="25.5" x14ac:dyDescent="0.25">
      <c r="A5748" s="46" t="s">
        <v>8629</v>
      </c>
      <c r="B5748" s="46" t="s">
        <v>38</v>
      </c>
      <c r="C5748" s="46" t="s">
        <v>14</v>
      </c>
      <c r="D5748" s="47">
        <v>5187</v>
      </c>
      <c r="E5748" s="46" t="s">
        <v>8630</v>
      </c>
      <c r="F5748" s="48">
        <v>39814</v>
      </c>
      <c r="G5748" s="48">
        <v>40542</v>
      </c>
      <c r="H5748" s="46" t="s">
        <v>40</v>
      </c>
      <c r="I5748" s="45">
        <v>4178.7700000000004</v>
      </c>
      <c r="J5748" s="45">
        <v>4178.7700000000004</v>
      </c>
      <c r="K5748" s="49" t="s">
        <v>8348</v>
      </c>
      <c r="L5748" s="45"/>
      <c r="M5748" s="3"/>
    </row>
    <row r="5749" spans="1:13" ht="25.5" x14ac:dyDescent="0.25">
      <c r="A5749" s="46" t="s">
        <v>8631</v>
      </c>
      <c r="B5749" s="46" t="s">
        <v>38</v>
      </c>
      <c r="C5749" s="46" t="s">
        <v>14</v>
      </c>
      <c r="D5749" s="47">
        <v>5189</v>
      </c>
      <c r="E5749" s="46" t="s">
        <v>8632</v>
      </c>
      <c r="F5749" s="48">
        <v>40071</v>
      </c>
      <c r="G5749" s="48">
        <v>40437</v>
      </c>
      <c r="H5749" s="46" t="s">
        <v>40</v>
      </c>
      <c r="I5749" s="45">
        <v>5402.13</v>
      </c>
      <c r="J5749" s="45">
        <v>5372.13</v>
      </c>
      <c r="K5749" s="49" t="s">
        <v>8348</v>
      </c>
      <c r="L5749" s="45"/>
      <c r="M5749" s="3"/>
    </row>
    <row r="5750" spans="1:13" ht="63.75" x14ac:dyDescent="0.25">
      <c r="A5750" s="46" t="s">
        <v>8486</v>
      </c>
      <c r="B5750" s="46" t="s">
        <v>38</v>
      </c>
      <c r="C5750" s="46" t="s">
        <v>14</v>
      </c>
      <c r="D5750" s="47">
        <v>5190</v>
      </c>
      <c r="E5750" s="50" t="s">
        <v>8633</v>
      </c>
      <c r="F5750" s="48">
        <v>39814</v>
      </c>
      <c r="G5750" s="48">
        <v>40543</v>
      </c>
      <c r="H5750" s="46" t="s">
        <v>40</v>
      </c>
      <c r="I5750" s="45">
        <v>22434.560000000001</v>
      </c>
      <c r="J5750" s="45">
        <v>22434.560000000001</v>
      </c>
      <c r="K5750" s="49" t="s">
        <v>8348</v>
      </c>
      <c r="L5750" s="45"/>
      <c r="M5750" s="3"/>
    </row>
    <row r="5751" spans="1:13" ht="25.5" x14ac:dyDescent="0.25">
      <c r="A5751" s="46" t="s">
        <v>8634</v>
      </c>
      <c r="B5751" s="46" t="s">
        <v>38</v>
      </c>
      <c r="C5751" s="46" t="s">
        <v>14</v>
      </c>
      <c r="D5751" s="47">
        <v>5191</v>
      </c>
      <c r="E5751" s="46" t="s">
        <v>8635</v>
      </c>
      <c r="F5751" s="48">
        <v>39814</v>
      </c>
      <c r="G5751" s="48">
        <v>40056</v>
      </c>
      <c r="H5751" s="46" t="s">
        <v>40</v>
      </c>
      <c r="I5751" s="45">
        <v>1600</v>
      </c>
      <c r="J5751" s="45">
        <v>1600</v>
      </c>
      <c r="K5751" s="49" t="s">
        <v>8348</v>
      </c>
      <c r="L5751" s="45"/>
      <c r="M5751" s="3"/>
    </row>
    <row r="5752" spans="1:13" ht="25.5" x14ac:dyDescent="0.25">
      <c r="A5752" s="46" t="s">
        <v>8636</v>
      </c>
      <c r="B5752" s="46" t="s">
        <v>38</v>
      </c>
      <c r="C5752" s="46" t="s">
        <v>14</v>
      </c>
      <c r="D5752" s="47">
        <v>5193</v>
      </c>
      <c r="E5752" s="46" t="s">
        <v>8637</v>
      </c>
      <c r="F5752" s="48">
        <v>39995</v>
      </c>
      <c r="G5752" s="48">
        <v>40178</v>
      </c>
      <c r="H5752" s="46" t="s">
        <v>40</v>
      </c>
      <c r="I5752" s="45">
        <v>4626.7</v>
      </c>
      <c r="J5752" s="45">
        <v>4626.7</v>
      </c>
      <c r="K5752" s="49" t="s">
        <v>8348</v>
      </c>
      <c r="L5752" s="45"/>
      <c r="M5752" s="3"/>
    </row>
    <row r="5753" spans="1:13" ht="25.5" x14ac:dyDescent="0.25">
      <c r="A5753" s="46" t="s">
        <v>8638</v>
      </c>
      <c r="B5753" s="46" t="s">
        <v>38</v>
      </c>
      <c r="C5753" s="46" t="s">
        <v>14</v>
      </c>
      <c r="D5753" s="47">
        <v>5194</v>
      </c>
      <c r="E5753" s="46" t="s">
        <v>8639</v>
      </c>
      <c r="F5753" s="48">
        <v>39873</v>
      </c>
      <c r="G5753" s="48">
        <v>40543</v>
      </c>
      <c r="H5753" s="46" t="s">
        <v>40</v>
      </c>
      <c r="I5753" s="45">
        <v>2950</v>
      </c>
      <c r="J5753" s="45">
        <v>1690</v>
      </c>
      <c r="K5753" s="49" t="s">
        <v>8348</v>
      </c>
      <c r="L5753" s="45"/>
      <c r="M5753" s="3"/>
    </row>
    <row r="5754" spans="1:13" ht="25.5" x14ac:dyDescent="0.25">
      <c r="A5754" s="46" t="s">
        <v>5232</v>
      </c>
      <c r="B5754" s="46" t="s">
        <v>38</v>
      </c>
      <c r="C5754" s="46" t="s">
        <v>14</v>
      </c>
      <c r="D5754" s="47">
        <v>5195</v>
      </c>
      <c r="E5754" s="46" t="s">
        <v>8640</v>
      </c>
      <c r="F5754" s="48">
        <v>39814</v>
      </c>
      <c r="G5754" s="48">
        <v>40543</v>
      </c>
      <c r="H5754" s="46" t="s">
        <v>40</v>
      </c>
      <c r="I5754" s="45">
        <v>59615.83</v>
      </c>
      <c r="J5754" s="45">
        <v>48065.83</v>
      </c>
      <c r="K5754" s="49" t="s">
        <v>8348</v>
      </c>
      <c r="L5754" s="45"/>
      <c r="M5754" s="3"/>
    </row>
    <row r="5755" spans="1:13" ht="25.5" x14ac:dyDescent="0.25">
      <c r="A5755" s="46" t="s">
        <v>8641</v>
      </c>
      <c r="B5755" s="46" t="s">
        <v>38</v>
      </c>
      <c r="C5755" s="46" t="s">
        <v>14</v>
      </c>
      <c r="D5755" s="47">
        <v>5196</v>
      </c>
      <c r="E5755" s="46" t="s">
        <v>8642</v>
      </c>
      <c r="F5755" s="48">
        <v>39814</v>
      </c>
      <c r="G5755" s="48">
        <v>40543</v>
      </c>
      <c r="H5755" s="46" t="s">
        <v>40</v>
      </c>
      <c r="I5755" s="45">
        <v>22775.31</v>
      </c>
      <c r="J5755" s="45">
        <v>22775.31</v>
      </c>
      <c r="K5755" s="49" t="s">
        <v>8348</v>
      </c>
      <c r="L5755" s="45"/>
      <c r="M5755" s="3"/>
    </row>
    <row r="5756" spans="1:13" ht="25.5" x14ac:dyDescent="0.25">
      <c r="A5756" s="46" t="s">
        <v>8643</v>
      </c>
      <c r="B5756" s="46" t="s">
        <v>38</v>
      </c>
      <c r="C5756" s="46" t="s">
        <v>14</v>
      </c>
      <c r="D5756" s="47">
        <v>5197</v>
      </c>
      <c r="E5756" s="46" t="s">
        <v>8644</v>
      </c>
      <c r="F5756" s="48">
        <v>40057</v>
      </c>
      <c r="G5756" s="48">
        <v>40086</v>
      </c>
      <c r="H5756" s="46" t="s">
        <v>40</v>
      </c>
      <c r="I5756" s="45">
        <v>800</v>
      </c>
      <c r="J5756" s="45">
        <v>625</v>
      </c>
      <c r="K5756" s="49" t="s">
        <v>8348</v>
      </c>
      <c r="L5756" s="45"/>
      <c r="M5756" s="3"/>
    </row>
    <row r="5757" spans="1:13" ht="38.25" x14ac:dyDescent="0.25">
      <c r="A5757" s="46" t="s">
        <v>8645</v>
      </c>
      <c r="B5757" s="46" t="s">
        <v>38</v>
      </c>
      <c r="C5757" s="46" t="s">
        <v>14</v>
      </c>
      <c r="D5757" s="47">
        <v>5198</v>
      </c>
      <c r="E5757" s="46" t="s">
        <v>8646</v>
      </c>
      <c r="F5757" s="48">
        <v>40057</v>
      </c>
      <c r="G5757" s="48">
        <v>40178</v>
      </c>
      <c r="H5757" s="46" t="s">
        <v>40</v>
      </c>
      <c r="I5757" s="45">
        <v>220</v>
      </c>
      <c r="J5757" s="45">
        <v>101</v>
      </c>
      <c r="K5757" s="49" t="s">
        <v>8348</v>
      </c>
      <c r="L5757" s="45"/>
      <c r="M5757" s="3"/>
    </row>
    <row r="5758" spans="1:13" ht="25.5" x14ac:dyDescent="0.25">
      <c r="A5758" s="46" t="s">
        <v>8647</v>
      </c>
      <c r="B5758" s="46" t="s">
        <v>38</v>
      </c>
      <c r="C5758" s="46" t="s">
        <v>14</v>
      </c>
      <c r="D5758" s="47">
        <v>5199</v>
      </c>
      <c r="E5758" s="46" t="s">
        <v>8648</v>
      </c>
      <c r="F5758" s="48">
        <v>39873</v>
      </c>
      <c r="G5758" s="48">
        <v>39994</v>
      </c>
      <c r="H5758" s="46" t="s">
        <v>40</v>
      </c>
      <c r="I5758" s="45">
        <v>1274.5</v>
      </c>
      <c r="J5758" s="45">
        <v>644.5</v>
      </c>
      <c r="K5758" s="49" t="s">
        <v>8348</v>
      </c>
      <c r="L5758" s="45"/>
      <c r="M5758" s="3"/>
    </row>
    <row r="5759" spans="1:13" ht="25.5" x14ac:dyDescent="0.25">
      <c r="A5759" s="46" t="s">
        <v>8649</v>
      </c>
      <c r="B5759" s="46" t="s">
        <v>38</v>
      </c>
      <c r="C5759" s="46" t="s">
        <v>14</v>
      </c>
      <c r="D5759" s="47">
        <v>5205</v>
      </c>
      <c r="E5759" s="46" t="s">
        <v>8650</v>
      </c>
      <c r="F5759" s="48">
        <v>39904</v>
      </c>
      <c r="G5759" s="48">
        <v>40298</v>
      </c>
      <c r="H5759" s="46" t="s">
        <v>40</v>
      </c>
      <c r="I5759" s="45">
        <v>3327.9</v>
      </c>
      <c r="J5759" s="45">
        <v>3142.9</v>
      </c>
      <c r="K5759" s="49" t="s">
        <v>8348</v>
      </c>
      <c r="L5759" s="45"/>
      <c r="M5759" s="3"/>
    </row>
    <row r="5760" spans="1:13" ht="25.5" x14ac:dyDescent="0.25">
      <c r="A5760" s="46" t="s">
        <v>8651</v>
      </c>
      <c r="B5760" s="46" t="s">
        <v>38</v>
      </c>
      <c r="C5760" s="46" t="s">
        <v>14</v>
      </c>
      <c r="D5760" s="47">
        <v>5206</v>
      </c>
      <c r="E5760" s="46" t="s">
        <v>8652</v>
      </c>
      <c r="F5760" s="48">
        <v>39934</v>
      </c>
      <c r="G5760" s="48">
        <v>39964</v>
      </c>
      <c r="H5760" s="46" t="s">
        <v>40</v>
      </c>
      <c r="I5760" s="45">
        <v>393.5</v>
      </c>
      <c r="J5760" s="45">
        <v>113.5</v>
      </c>
      <c r="K5760" s="49" t="s">
        <v>8348</v>
      </c>
      <c r="L5760" s="45"/>
      <c r="M5760" s="3"/>
    </row>
    <row r="5761" spans="1:13" ht="25.5" x14ac:dyDescent="0.25">
      <c r="A5761" s="46" t="s">
        <v>8653</v>
      </c>
      <c r="B5761" s="46" t="s">
        <v>38</v>
      </c>
      <c r="C5761" s="46" t="s">
        <v>14</v>
      </c>
      <c r="D5761" s="47">
        <v>5207</v>
      </c>
      <c r="E5761" s="46" t="s">
        <v>8654</v>
      </c>
      <c r="F5761" s="48">
        <v>39814</v>
      </c>
      <c r="G5761" s="48">
        <v>40178</v>
      </c>
      <c r="H5761" s="46" t="s">
        <v>40</v>
      </c>
      <c r="I5761" s="45">
        <v>4009.5</v>
      </c>
      <c r="J5761" s="45">
        <v>4009.5</v>
      </c>
      <c r="K5761" s="49" t="s">
        <v>8348</v>
      </c>
      <c r="L5761" s="45"/>
      <c r="M5761" s="3"/>
    </row>
    <row r="5762" spans="1:13" ht="25.5" x14ac:dyDescent="0.25">
      <c r="A5762" s="46" t="s">
        <v>8655</v>
      </c>
      <c r="B5762" s="46" t="s">
        <v>38</v>
      </c>
      <c r="C5762" s="46" t="s">
        <v>14</v>
      </c>
      <c r="D5762" s="47">
        <v>5208</v>
      </c>
      <c r="E5762" s="46" t="s">
        <v>8656</v>
      </c>
      <c r="F5762" s="48">
        <v>39814</v>
      </c>
      <c r="G5762" s="48">
        <v>40178</v>
      </c>
      <c r="H5762" s="46" t="s">
        <v>40</v>
      </c>
      <c r="I5762" s="45">
        <v>8219.48</v>
      </c>
      <c r="J5762" s="45">
        <v>8219.48</v>
      </c>
      <c r="K5762" s="49" t="s">
        <v>8348</v>
      </c>
      <c r="L5762" s="45"/>
      <c r="M5762" s="3"/>
    </row>
    <row r="5763" spans="1:13" ht="25.5" x14ac:dyDescent="0.25">
      <c r="A5763" s="46" t="s">
        <v>8657</v>
      </c>
      <c r="B5763" s="46" t="s">
        <v>38</v>
      </c>
      <c r="C5763" s="46" t="s">
        <v>14</v>
      </c>
      <c r="D5763" s="47">
        <v>5209</v>
      </c>
      <c r="E5763" s="46" t="s">
        <v>8658</v>
      </c>
      <c r="F5763" s="48">
        <v>39814</v>
      </c>
      <c r="G5763" s="48">
        <v>40543</v>
      </c>
      <c r="H5763" s="46" t="s">
        <v>40</v>
      </c>
      <c r="I5763" s="45">
        <v>4843.5</v>
      </c>
      <c r="J5763" s="45">
        <v>4843.5</v>
      </c>
      <c r="K5763" s="49" t="s">
        <v>8348</v>
      </c>
      <c r="L5763" s="45"/>
      <c r="M5763" s="3"/>
    </row>
    <row r="5764" spans="1:13" ht="25.5" x14ac:dyDescent="0.25">
      <c r="A5764" s="46" t="s">
        <v>8669</v>
      </c>
      <c r="B5764" s="46" t="s">
        <v>38</v>
      </c>
      <c r="C5764" s="46" t="s">
        <v>14</v>
      </c>
      <c r="D5764" s="47">
        <v>6896</v>
      </c>
      <c r="E5764" s="46" t="s">
        <v>8670</v>
      </c>
      <c r="F5764" s="48">
        <v>40238</v>
      </c>
      <c r="G5764" s="48">
        <v>40450</v>
      </c>
      <c r="H5764" s="46" t="s">
        <v>40</v>
      </c>
      <c r="I5764" s="45">
        <v>6000</v>
      </c>
      <c r="J5764" s="45">
        <v>3000</v>
      </c>
      <c r="K5764" s="49" t="s">
        <v>8348</v>
      </c>
      <c r="L5764" s="45"/>
      <c r="M5764" s="3"/>
    </row>
    <row r="5765" spans="1:13" ht="25.5" x14ac:dyDescent="0.25">
      <c r="A5765" s="46" t="s">
        <v>8689</v>
      </c>
      <c r="B5765" s="46" t="s">
        <v>38</v>
      </c>
      <c r="C5765" s="46" t="s">
        <v>14</v>
      </c>
      <c r="D5765" s="47">
        <v>7656</v>
      </c>
      <c r="E5765" s="46" t="s">
        <v>8690</v>
      </c>
      <c r="F5765" s="48">
        <v>40360</v>
      </c>
      <c r="G5765" s="48">
        <v>40389</v>
      </c>
      <c r="H5765" s="46" t="s">
        <v>40</v>
      </c>
      <c r="I5765" s="45">
        <v>2333.6</v>
      </c>
      <c r="J5765" s="45">
        <v>1166.8</v>
      </c>
      <c r="K5765" s="49" t="s">
        <v>8348</v>
      </c>
      <c r="L5765" s="45"/>
      <c r="M5765" s="3"/>
    </row>
    <row r="5766" spans="1:13" ht="38.25" x14ac:dyDescent="0.25">
      <c r="A5766" s="46" t="s">
        <v>8697</v>
      </c>
      <c r="B5766" s="46" t="s">
        <v>38</v>
      </c>
      <c r="C5766" s="46" t="s">
        <v>14</v>
      </c>
      <c r="D5766" s="47">
        <v>7674</v>
      </c>
      <c r="E5766" s="46" t="s">
        <v>8698</v>
      </c>
      <c r="F5766" s="48">
        <v>40179</v>
      </c>
      <c r="G5766" s="48">
        <v>40543</v>
      </c>
      <c r="H5766" s="46" t="s">
        <v>40</v>
      </c>
      <c r="I5766" s="45">
        <v>3474</v>
      </c>
      <c r="J5766" s="45">
        <v>3474</v>
      </c>
      <c r="K5766" s="49" t="s">
        <v>8348</v>
      </c>
      <c r="L5766" s="45"/>
      <c r="M5766" s="3"/>
    </row>
    <row r="5767" spans="1:13" ht="25.5" x14ac:dyDescent="0.25">
      <c r="A5767" s="46" t="s">
        <v>8699</v>
      </c>
      <c r="B5767" s="46" t="s">
        <v>38</v>
      </c>
      <c r="C5767" s="46" t="s">
        <v>14</v>
      </c>
      <c r="D5767" s="47">
        <v>7675</v>
      </c>
      <c r="E5767" s="46" t="s">
        <v>8700</v>
      </c>
      <c r="F5767" s="48">
        <v>40179</v>
      </c>
      <c r="G5767" s="48">
        <v>40543</v>
      </c>
      <c r="H5767" s="46" t="s">
        <v>40</v>
      </c>
      <c r="I5767" s="45">
        <v>890</v>
      </c>
      <c r="J5767" s="45">
        <v>890</v>
      </c>
      <c r="K5767" s="49" t="s">
        <v>8348</v>
      </c>
      <c r="L5767" s="45"/>
      <c r="M5767" s="3"/>
    </row>
    <row r="5768" spans="1:13" ht="25.5" x14ac:dyDescent="0.25">
      <c r="A5768" s="46" t="s">
        <v>8701</v>
      </c>
      <c r="B5768" s="46" t="s">
        <v>38</v>
      </c>
      <c r="C5768" s="46" t="s">
        <v>14</v>
      </c>
      <c r="D5768" s="47">
        <v>7676</v>
      </c>
      <c r="E5768" s="46" t="s">
        <v>8702</v>
      </c>
      <c r="F5768" s="48">
        <v>40179</v>
      </c>
      <c r="G5768" s="48">
        <v>40543</v>
      </c>
      <c r="H5768" s="46" t="s">
        <v>40</v>
      </c>
      <c r="I5768" s="45">
        <v>500</v>
      </c>
      <c r="J5768" s="45">
        <v>500</v>
      </c>
      <c r="K5768" s="49" t="s">
        <v>8348</v>
      </c>
      <c r="L5768" s="45"/>
      <c r="M5768" s="3"/>
    </row>
    <row r="5769" spans="1:13" ht="25.5" x14ac:dyDescent="0.25">
      <c r="A5769" s="46" t="s">
        <v>8703</v>
      </c>
      <c r="B5769" s="46" t="s">
        <v>38</v>
      </c>
      <c r="C5769" s="46" t="s">
        <v>14</v>
      </c>
      <c r="D5769" s="47">
        <v>7678</v>
      </c>
      <c r="E5769" s="46" t="s">
        <v>8704</v>
      </c>
      <c r="F5769" s="48">
        <v>40179</v>
      </c>
      <c r="G5769" s="48">
        <v>40543</v>
      </c>
      <c r="H5769" s="46" t="s">
        <v>40</v>
      </c>
      <c r="I5769" s="45">
        <v>600</v>
      </c>
      <c r="J5769" s="45">
        <v>600</v>
      </c>
      <c r="K5769" s="49" t="s">
        <v>8348</v>
      </c>
      <c r="L5769" s="45"/>
      <c r="M5769" s="3"/>
    </row>
    <row r="5770" spans="1:13" ht="25.5" x14ac:dyDescent="0.25">
      <c r="A5770" s="46" t="s">
        <v>8705</v>
      </c>
      <c r="B5770" s="46" t="s">
        <v>38</v>
      </c>
      <c r="C5770" s="46" t="s">
        <v>14</v>
      </c>
      <c r="D5770" s="47">
        <v>7679</v>
      </c>
      <c r="E5770" s="46" t="s">
        <v>8706</v>
      </c>
      <c r="F5770" s="48">
        <v>40179</v>
      </c>
      <c r="G5770" s="48">
        <v>40543</v>
      </c>
      <c r="H5770" s="46" t="s">
        <v>40</v>
      </c>
      <c r="I5770" s="45">
        <v>320</v>
      </c>
      <c r="J5770" s="45">
        <v>320</v>
      </c>
      <c r="K5770" s="49" t="s">
        <v>8348</v>
      </c>
      <c r="L5770" s="45"/>
      <c r="M5770" s="3"/>
    </row>
    <row r="5771" spans="1:13" ht="25.5" x14ac:dyDescent="0.25">
      <c r="A5771" s="46" t="s">
        <v>8707</v>
      </c>
      <c r="B5771" s="46" t="s">
        <v>38</v>
      </c>
      <c r="C5771" s="46" t="s">
        <v>14</v>
      </c>
      <c r="D5771" s="47">
        <v>7682</v>
      </c>
      <c r="E5771" s="46" t="s">
        <v>8708</v>
      </c>
      <c r="F5771" s="48">
        <v>40462</v>
      </c>
      <c r="G5771" s="48">
        <v>40532</v>
      </c>
      <c r="H5771" s="46" t="s">
        <v>40</v>
      </c>
      <c r="I5771" s="45">
        <v>2427.19</v>
      </c>
      <c r="J5771" s="45">
        <v>2427.19</v>
      </c>
      <c r="K5771" s="49" t="s">
        <v>8348</v>
      </c>
      <c r="L5771" s="45"/>
      <c r="M5771" s="3"/>
    </row>
    <row r="5772" spans="1:13" ht="25.5" x14ac:dyDescent="0.25">
      <c r="A5772" s="46" t="s">
        <v>8709</v>
      </c>
      <c r="B5772" s="46" t="s">
        <v>38</v>
      </c>
      <c r="C5772" s="46" t="s">
        <v>14</v>
      </c>
      <c r="D5772" s="47">
        <v>7683</v>
      </c>
      <c r="E5772" s="46" t="s">
        <v>8710</v>
      </c>
      <c r="F5772" s="48">
        <v>40231</v>
      </c>
      <c r="G5772" s="48">
        <v>40485</v>
      </c>
      <c r="H5772" s="46" t="s">
        <v>40</v>
      </c>
      <c r="I5772" s="45">
        <v>3200</v>
      </c>
      <c r="J5772" s="45">
        <v>2400</v>
      </c>
      <c r="K5772" s="49" t="s">
        <v>8348</v>
      </c>
      <c r="L5772" s="45"/>
      <c r="M5772" s="3"/>
    </row>
    <row r="5773" spans="1:13" ht="25.5" x14ac:dyDescent="0.25">
      <c r="A5773" s="46" t="s">
        <v>8711</v>
      </c>
      <c r="B5773" s="46" t="s">
        <v>38</v>
      </c>
      <c r="C5773" s="46" t="s">
        <v>14</v>
      </c>
      <c r="D5773" s="47">
        <v>7684</v>
      </c>
      <c r="E5773" s="46" t="s">
        <v>8712</v>
      </c>
      <c r="F5773" s="48">
        <v>40480</v>
      </c>
      <c r="G5773" s="48">
        <v>40525</v>
      </c>
      <c r="H5773" s="46" t="s">
        <v>40</v>
      </c>
      <c r="I5773" s="45">
        <v>2085.6</v>
      </c>
      <c r="J5773" s="45">
        <v>2085.6</v>
      </c>
      <c r="K5773" s="49" t="s">
        <v>8348</v>
      </c>
      <c r="L5773" s="45"/>
      <c r="M5773" s="3"/>
    </row>
    <row r="5774" spans="1:13" ht="25.5" x14ac:dyDescent="0.25">
      <c r="A5774" s="46" t="s">
        <v>8713</v>
      </c>
      <c r="B5774" s="46" t="s">
        <v>38</v>
      </c>
      <c r="C5774" s="46" t="s">
        <v>14</v>
      </c>
      <c r="D5774" s="47">
        <v>7685</v>
      </c>
      <c r="E5774" s="46" t="s">
        <v>8714</v>
      </c>
      <c r="F5774" s="48">
        <v>40224</v>
      </c>
      <c r="G5774" s="48">
        <v>40224</v>
      </c>
      <c r="H5774" s="46" t="s">
        <v>40</v>
      </c>
      <c r="I5774" s="45">
        <v>1330.43</v>
      </c>
      <c r="J5774" s="45">
        <v>1330.43</v>
      </c>
      <c r="K5774" s="49" t="s">
        <v>8348</v>
      </c>
      <c r="L5774" s="45"/>
      <c r="M5774" s="3"/>
    </row>
    <row r="5775" spans="1:13" ht="25.5" x14ac:dyDescent="0.25">
      <c r="A5775" s="46" t="s">
        <v>8715</v>
      </c>
      <c r="B5775" s="46" t="s">
        <v>38</v>
      </c>
      <c r="C5775" s="46" t="s">
        <v>14</v>
      </c>
      <c r="D5775" s="47">
        <v>7686</v>
      </c>
      <c r="E5775" s="46" t="s">
        <v>8716</v>
      </c>
      <c r="F5775" s="48">
        <v>40330</v>
      </c>
      <c r="G5775" s="48">
        <v>40528</v>
      </c>
      <c r="H5775" s="46" t="s">
        <v>40</v>
      </c>
      <c r="I5775" s="45">
        <v>6450.96</v>
      </c>
      <c r="J5775" s="45">
        <v>6450.96</v>
      </c>
      <c r="K5775" s="49" t="s">
        <v>8348</v>
      </c>
      <c r="L5775" s="45"/>
      <c r="M5775" s="3"/>
    </row>
    <row r="5776" spans="1:13" ht="25.5" x14ac:dyDescent="0.25">
      <c r="A5776" s="46" t="s">
        <v>8717</v>
      </c>
      <c r="B5776" s="46" t="s">
        <v>38</v>
      </c>
      <c r="C5776" s="46" t="s">
        <v>14</v>
      </c>
      <c r="D5776" s="47">
        <v>7687</v>
      </c>
      <c r="E5776" s="46" t="s">
        <v>8718</v>
      </c>
      <c r="F5776" s="48">
        <v>40179</v>
      </c>
      <c r="G5776" s="48">
        <v>40543</v>
      </c>
      <c r="H5776" s="46" t="s">
        <v>40</v>
      </c>
      <c r="I5776" s="45">
        <v>27284</v>
      </c>
      <c r="J5776" s="45">
        <v>27284</v>
      </c>
      <c r="K5776" s="49" t="s">
        <v>8348</v>
      </c>
      <c r="L5776" s="45"/>
      <c r="M5776" s="3"/>
    </row>
    <row r="5777" spans="1:13" ht="25.5" x14ac:dyDescent="0.25">
      <c r="A5777" s="46" t="s">
        <v>8719</v>
      </c>
      <c r="B5777" s="46" t="s">
        <v>38</v>
      </c>
      <c r="C5777" s="46" t="s">
        <v>14</v>
      </c>
      <c r="D5777" s="47">
        <v>7688</v>
      </c>
      <c r="E5777" s="46" t="s">
        <v>8720</v>
      </c>
      <c r="F5777" s="48">
        <v>40235</v>
      </c>
      <c r="G5777" s="48">
        <v>40351</v>
      </c>
      <c r="H5777" s="46" t="s">
        <v>40</v>
      </c>
      <c r="I5777" s="45">
        <v>2800</v>
      </c>
      <c r="J5777" s="45">
        <v>2590</v>
      </c>
      <c r="K5777" s="49" t="s">
        <v>8348</v>
      </c>
      <c r="L5777" s="45"/>
      <c r="M5777" s="3"/>
    </row>
    <row r="5778" spans="1:13" ht="25.5" x14ac:dyDescent="0.25">
      <c r="A5778" s="46" t="s">
        <v>8721</v>
      </c>
      <c r="B5778" s="46" t="s">
        <v>38</v>
      </c>
      <c r="C5778" s="46" t="s">
        <v>14</v>
      </c>
      <c r="D5778" s="47">
        <v>7689</v>
      </c>
      <c r="E5778" s="46" t="s">
        <v>8722</v>
      </c>
      <c r="F5778" s="48">
        <v>40487</v>
      </c>
      <c r="G5778" s="48">
        <v>40543</v>
      </c>
      <c r="H5778" s="46" t="s">
        <v>40</v>
      </c>
      <c r="I5778" s="45">
        <v>1478.75</v>
      </c>
      <c r="J5778" s="45">
        <v>1478.75</v>
      </c>
      <c r="K5778" s="49" t="s">
        <v>8348</v>
      </c>
      <c r="L5778" s="45"/>
      <c r="M5778" s="3"/>
    </row>
    <row r="5779" spans="1:13" ht="25.5" x14ac:dyDescent="0.25">
      <c r="A5779" s="46" t="s">
        <v>8723</v>
      </c>
      <c r="B5779" s="46" t="s">
        <v>38</v>
      </c>
      <c r="C5779" s="46" t="s">
        <v>14</v>
      </c>
      <c r="D5779" s="47">
        <v>7690</v>
      </c>
      <c r="E5779" s="46" t="s">
        <v>8724</v>
      </c>
      <c r="F5779" s="48">
        <v>40238</v>
      </c>
      <c r="G5779" s="48">
        <v>40375</v>
      </c>
      <c r="H5779" s="46" t="s">
        <v>40</v>
      </c>
      <c r="I5779" s="45">
        <v>637.5</v>
      </c>
      <c r="J5779" s="45">
        <v>637.5</v>
      </c>
      <c r="K5779" s="49" t="s">
        <v>8348</v>
      </c>
      <c r="L5779" s="45"/>
      <c r="M5779" s="3"/>
    </row>
    <row r="5780" spans="1:13" ht="25.5" x14ac:dyDescent="0.25">
      <c r="A5780" s="46" t="s">
        <v>8725</v>
      </c>
      <c r="B5780" s="46" t="s">
        <v>38</v>
      </c>
      <c r="C5780" s="46" t="s">
        <v>14</v>
      </c>
      <c r="D5780" s="47">
        <v>7691</v>
      </c>
      <c r="E5780" s="46" t="s">
        <v>8726</v>
      </c>
      <c r="F5780" s="48">
        <v>40483</v>
      </c>
      <c r="G5780" s="48">
        <v>40521</v>
      </c>
      <c r="H5780" s="46" t="s">
        <v>40</v>
      </c>
      <c r="I5780" s="45">
        <v>184</v>
      </c>
      <c r="J5780" s="45">
        <v>184</v>
      </c>
      <c r="K5780" s="49" t="s">
        <v>8348</v>
      </c>
      <c r="L5780" s="45"/>
      <c r="M5780" s="3"/>
    </row>
    <row r="5781" spans="1:13" ht="25.5" x14ac:dyDescent="0.25">
      <c r="A5781" s="46" t="s">
        <v>8727</v>
      </c>
      <c r="B5781" s="46" t="s">
        <v>38</v>
      </c>
      <c r="C5781" s="46" t="s">
        <v>14</v>
      </c>
      <c r="D5781" s="47">
        <v>7692</v>
      </c>
      <c r="E5781" s="46" t="s">
        <v>8728</v>
      </c>
      <c r="F5781" s="48">
        <v>40189</v>
      </c>
      <c r="G5781" s="48">
        <v>40189</v>
      </c>
      <c r="H5781" s="46" t="s">
        <v>40</v>
      </c>
      <c r="I5781" s="45">
        <v>500</v>
      </c>
      <c r="J5781" s="45">
        <v>410</v>
      </c>
      <c r="K5781" s="49" t="s">
        <v>8348</v>
      </c>
      <c r="L5781" s="45"/>
      <c r="M5781" s="3"/>
    </row>
    <row r="5782" spans="1:13" ht="25.5" x14ac:dyDescent="0.25">
      <c r="A5782" s="46" t="s">
        <v>8729</v>
      </c>
      <c r="B5782" s="46" t="s">
        <v>38</v>
      </c>
      <c r="C5782" s="46" t="s">
        <v>14</v>
      </c>
      <c r="D5782" s="47">
        <v>7693</v>
      </c>
      <c r="E5782" s="46" t="s">
        <v>8730</v>
      </c>
      <c r="F5782" s="48">
        <v>40526</v>
      </c>
      <c r="G5782" s="48">
        <v>40543</v>
      </c>
      <c r="H5782" s="46" t="s">
        <v>40</v>
      </c>
      <c r="I5782" s="45">
        <v>4036.56</v>
      </c>
      <c r="J5782" s="45">
        <v>4036.56</v>
      </c>
      <c r="K5782" s="49" t="s">
        <v>8348</v>
      </c>
      <c r="L5782" s="45"/>
      <c r="M5782" s="3"/>
    </row>
    <row r="5783" spans="1:13" ht="25.5" x14ac:dyDescent="0.25">
      <c r="A5783" s="46" t="s">
        <v>8731</v>
      </c>
      <c r="B5783" s="46" t="s">
        <v>38</v>
      </c>
      <c r="C5783" s="46" t="s">
        <v>14</v>
      </c>
      <c r="D5783" s="47">
        <v>7694</v>
      </c>
      <c r="E5783" s="46" t="s">
        <v>8732</v>
      </c>
      <c r="F5783" s="48">
        <v>40246</v>
      </c>
      <c r="G5783" s="48">
        <v>40535</v>
      </c>
      <c r="H5783" s="46" t="s">
        <v>40</v>
      </c>
      <c r="I5783" s="45">
        <v>2173</v>
      </c>
      <c r="J5783" s="45">
        <v>2173</v>
      </c>
      <c r="K5783" s="49" t="s">
        <v>8348</v>
      </c>
      <c r="L5783" s="45"/>
      <c r="M5783" s="3"/>
    </row>
    <row r="5784" spans="1:13" ht="25.5" x14ac:dyDescent="0.25">
      <c r="A5784" s="46" t="s">
        <v>8733</v>
      </c>
      <c r="B5784" s="46" t="s">
        <v>38</v>
      </c>
      <c r="C5784" s="46" t="s">
        <v>14</v>
      </c>
      <c r="D5784" s="47">
        <v>7695</v>
      </c>
      <c r="E5784" s="46" t="s">
        <v>8734</v>
      </c>
      <c r="F5784" s="48">
        <v>40422</v>
      </c>
      <c r="G5784" s="48">
        <v>40534</v>
      </c>
      <c r="H5784" s="46" t="s">
        <v>40</v>
      </c>
      <c r="I5784" s="45">
        <v>7500</v>
      </c>
      <c r="J5784" s="45">
        <v>7500</v>
      </c>
      <c r="K5784" s="49" t="s">
        <v>8348</v>
      </c>
      <c r="L5784" s="45"/>
      <c r="M5784" s="3"/>
    </row>
    <row r="5785" spans="1:13" ht="63.75" x14ac:dyDescent="0.25">
      <c r="A5785" s="46" t="s">
        <v>8735</v>
      </c>
      <c r="B5785" s="46" t="s">
        <v>38</v>
      </c>
      <c r="C5785" s="46" t="s">
        <v>14</v>
      </c>
      <c r="D5785" s="47">
        <v>7696</v>
      </c>
      <c r="E5785" s="50" t="s">
        <v>8736</v>
      </c>
      <c r="F5785" s="48">
        <v>40513</v>
      </c>
      <c r="G5785" s="48">
        <v>40543</v>
      </c>
      <c r="H5785" s="46" t="s">
        <v>40</v>
      </c>
      <c r="I5785" s="45">
        <v>6587.8</v>
      </c>
      <c r="J5785" s="45">
        <v>6587.8</v>
      </c>
      <c r="K5785" s="49" t="s">
        <v>8348</v>
      </c>
      <c r="L5785" s="45"/>
      <c r="M5785" s="3"/>
    </row>
    <row r="5786" spans="1:13" ht="38.25" x14ac:dyDescent="0.25">
      <c r="A5786" s="46" t="s">
        <v>8783</v>
      </c>
      <c r="B5786" s="46" t="s">
        <v>38</v>
      </c>
      <c r="C5786" s="46" t="s">
        <v>14</v>
      </c>
      <c r="D5786" s="47">
        <v>9164</v>
      </c>
      <c r="E5786" s="46" t="s">
        <v>8784</v>
      </c>
      <c r="F5786" s="48">
        <v>40492</v>
      </c>
      <c r="G5786" s="48">
        <v>40672</v>
      </c>
      <c r="H5786" s="46" t="s">
        <v>40</v>
      </c>
      <c r="I5786" s="45">
        <v>13435.58</v>
      </c>
      <c r="J5786" s="45">
        <v>4898.3900000000003</v>
      </c>
      <c r="K5786" s="49" t="s">
        <v>8348</v>
      </c>
      <c r="L5786" s="45"/>
      <c r="M5786" s="3"/>
    </row>
    <row r="5787" spans="1:13" ht="38.25" x14ac:dyDescent="0.25">
      <c r="A5787" s="46" t="s">
        <v>8785</v>
      </c>
      <c r="B5787" s="46" t="s">
        <v>38</v>
      </c>
      <c r="C5787" s="46" t="s">
        <v>14</v>
      </c>
      <c r="D5787" s="47">
        <v>9165</v>
      </c>
      <c r="E5787" s="46" t="s">
        <v>8786</v>
      </c>
      <c r="F5787" s="48">
        <v>40544</v>
      </c>
      <c r="G5787" s="48">
        <v>40908</v>
      </c>
      <c r="H5787" s="46" t="s">
        <v>40</v>
      </c>
      <c r="I5787" s="45">
        <v>6043.95</v>
      </c>
      <c r="J5787" s="45">
        <v>6043.95</v>
      </c>
      <c r="K5787" s="49" t="s">
        <v>8348</v>
      </c>
      <c r="L5787" s="45"/>
      <c r="M5787" s="3"/>
    </row>
    <row r="5788" spans="1:13" ht="25.5" x14ac:dyDescent="0.25">
      <c r="A5788" s="46" t="s">
        <v>8787</v>
      </c>
      <c r="B5788" s="46" t="s">
        <v>38</v>
      </c>
      <c r="C5788" s="46" t="s">
        <v>14</v>
      </c>
      <c r="D5788" s="47">
        <v>9166</v>
      </c>
      <c r="E5788" s="46" t="s">
        <v>8788</v>
      </c>
      <c r="F5788" s="48">
        <v>40704</v>
      </c>
      <c r="G5788" s="48">
        <v>40908</v>
      </c>
      <c r="H5788" s="46" t="s">
        <v>40</v>
      </c>
      <c r="I5788" s="45">
        <v>2420</v>
      </c>
      <c r="J5788" s="45">
        <v>1210</v>
      </c>
      <c r="K5788" s="49" t="s">
        <v>8348</v>
      </c>
      <c r="L5788" s="45"/>
      <c r="M5788" s="3"/>
    </row>
    <row r="5789" spans="1:13" ht="25.5" x14ac:dyDescent="0.25">
      <c r="A5789" s="46" t="s">
        <v>8789</v>
      </c>
      <c r="B5789" s="46" t="s">
        <v>38</v>
      </c>
      <c r="C5789" s="46" t="s">
        <v>14</v>
      </c>
      <c r="D5789" s="47">
        <v>9167</v>
      </c>
      <c r="E5789" s="46" t="s">
        <v>8790</v>
      </c>
      <c r="F5789" s="48">
        <v>40848</v>
      </c>
      <c r="G5789" s="48">
        <v>40884</v>
      </c>
      <c r="H5789" s="46" t="s">
        <v>40</v>
      </c>
      <c r="I5789" s="45">
        <v>1000</v>
      </c>
      <c r="J5789" s="45">
        <v>814.5</v>
      </c>
      <c r="K5789" s="49" t="s">
        <v>8348</v>
      </c>
      <c r="L5789" s="45"/>
      <c r="M5789" s="3"/>
    </row>
    <row r="5790" spans="1:13" ht="25.5" x14ac:dyDescent="0.25">
      <c r="A5790" s="46" t="s">
        <v>8791</v>
      </c>
      <c r="B5790" s="46" t="s">
        <v>38</v>
      </c>
      <c r="C5790" s="46" t="s">
        <v>14</v>
      </c>
      <c r="D5790" s="47">
        <v>9168</v>
      </c>
      <c r="E5790" s="46" t="s">
        <v>8792</v>
      </c>
      <c r="F5790" s="48">
        <v>40812</v>
      </c>
      <c r="G5790" s="48">
        <v>41264</v>
      </c>
      <c r="H5790" s="46" t="s">
        <v>40</v>
      </c>
      <c r="I5790" s="45">
        <v>15404</v>
      </c>
      <c r="J5790" s="45">
        <v>15404</v>
      </c>
      <c r="K5790" s="49" t="s">
        <v>8348</v>
      </c>
      <c r="L5790" s="45"/>
      <c r="M5790" s="3"/>
    </row>
    <row r="5791" spans="1:13" ht="25.5" x14ac:dyDescent="0.25">
      <c r="A5791" s="46" t="s">
        <v>8793</v>
      </c>
      <c r="B5791" s="46" t="s">
        <v>38</v>
      </c>
      <c r="C5791" s="46" t="s">
        <v>14</v>
      </c>
      <c r="D5791" s="47">
        <v>9169</v>
      </c>
      <c r="E5791" s="46" t="s">
        <v>8794</v>
      </c>
      <c r="F5791" s="48">
        <v>40840</v>
      </c>
      <c r="G5791" s="48">
        <v>40891</v>
      </c>
      <c r="H5791" s="46" t="s">
        <v>40</v>
      </c>
      <c r="I5791" s="45">
        <v>1072.5</v>
      </c>
      <c r="J5791" s="45">
        <v>360</v>
      </c>
      <c r="K5791" s="49" t="s">
        <v>8348</v>
      </c>
      <c r="L5791" s="45"/>
      <c r="M5791" s="3"/>
    </row>
    <row r="5792" spans="1:13" ht="25.5" x14ac:dyDescent="0.25">
      <c r="A5792" s="46" t="s">
        <v>8795</v>
      </c>
      <c r="B5792" s="46" t="s">
        <v>38</v>
      </c>
      <c r="C5792" s="46" t="s">
        <v>14</v>
      </c>
      <c r="D5792" s="47">
        <v>9170</v>
      </c>
      <c r="E5792" s="46" t="s">
        <v>8718</v>
      </c>
      <c r="F5792" s="48">
        <v>40561</v>
      </c>
      <c r="G5792" s="48">
        <v>41274</v>
      </c>
      <c r="H5792" s="46" t="s">
        <v>40</v>
      </c>
      <c r="I5792" s="45">
        <v>3194</v>
      </c>
      <c r="J5792" s="45">
        <v>2914</v>
      </c>
      <c r="K5792" s="49" t="s">
        <v>8348</v>
      </c>
      <c r="L5792" s="45"/>
      <c r="M5792" s="3"/>
    </row>
    <row r="5793" spans="1:13" ht="38.25" x14ac:dyDescent="0.25">
      <c r="A5793" s="46" t="s">
        <v>8796</v>
      </c>
      <c r="B5793" s="46" t="s">
        <v>38</v>
      </c>
      <c r="C5793" s="46" t="s">
        <v>14</v>
      </c>
      <c r="D5793" s="47">
        <v>9172</v>
      </c>
      <c r="E5793" s="46" t="s">
        <v>8797</v>
      </c>
      <c r="F5793" s="48">
        <v>40544</v>
      </c>
      <c r="G5793" s="48">
        <v>41274</v>
      </c>
      <c r="H5793" s="46" t="s">
        <v>40</v>
      </c>
      <c r="I5793" s="45">
        <v>61000</v>
      </c>
      <c r="J5793" s="45">
        <v>61000</v>
      </c>
      <c r="K5793" s="49" t="s">
        <v>8348</v>
      </c>
      <c r="L5793" s="45"/>
      <c r="M5793" s="3"/>
    </row>
    <row r="5794" spans="1:13" ht="25.5" x14ac:dyDescent="0.25">
      <c r="A5794" s="46" t="s">
        <v>6297</v>
      </c>
      <c r="B5794" s="46" t="s">
        <v>38</v>
      </c>
      <c r="C5794" s="46" t="s">
        <v>14</v>
      </c>
      <c r="D5794" s="47">
        <v>9173</v>
      </c>
      <c r="E5794" s="46" t="s">
        <v>8798</v>
      </c>
      <c r="F5794" s="48">
        <v>40799</v>
      </c>
      <c r="G5794" s="48">
        <v>40893</v>
      </c>
      <c r="H5794" s="46" t="s">
        <v>40</v>
      </c>
      <c r="I5794" s="45">
        <v>2823</v>
      </c>
      <c r="J5794" s="45">
        <v>2823</v>
      </c>
      <c r="K5794" s="49" t="s">
        <v>8348</v>
      </c>
      <c r="L5794" s="45"/>
      <c r="M5794" s="3"/>
    </row>
    <row r="5795" spans="1:13" ht="25.5" x14ac:dyDescent="0.25">
      <c r="A5795" s="46" t="s">
        <v>8799</v>
      </c>
      <c r="B5795" s="46" t="s">
        <v>38</v>
      </c>
      <c r="C5795" s="46" t="s">
        <v>14</v>
      </c>
      <c r="D5795" s="47">
        <v>9174</v>
      </c>
      <c r="E5795" s="46" t="s">
        <v>8800</v>
      </c>
      <c r="F5795" s="48">
        <v>40544</v>
      </c>
      <c r="G5795" s="48">
        <v>40908</v>
      </c>
      <c r="H5795" s="46" t="s">
        <v>40</v>
      </c>
      <c r="I5795" s="45">
        <v>16281.75</v>
      </c>
      <c r="J5795" s="45">
        <v>15931.75</v>
      </c>
      <c r="K5795" s="49" t="s">
        <v>8348</v>
      </c>
      <c r="L5795" s="45"/>
      <c r="M5795" s="3"/>
    </row>
    <row r="5796" spans="1:13" ht="25.5" x14ac:dyDescent="0.25">
      <c r="A5796" s="46" t="s">
        <v>8801</v>
      </c>
      <c r="B5796" s="46" t="s">
        <v>38</v>
      </c>
      <c r="C5796" s="46" t="s">
        <v>14</v>
      </c>
      <c r="D5796" s="47">
        <v>9175</v>
      </c>
      <c r="E5796" s="46" t="s">
        <v>8802</v>
      </c>
      <c r="F5796" s="48">
        <v>40544</v>
      </c>
      <c r="G5796" s="48">
        <v>41274</v>
      </c>
      <c r="H5796" s="46" t="s">
        <v>40</v>
      </c>
      <c r="I5796" s="45">
        <v>13231.92</v>
      </c>
      <c r="J5796" s="45">
        <v>6615.96</v>
      </c>
      <c r="K5796" s="49" t="s">
        <v>8348</v>
      </c>
      <c r="L5796" s="45"/>
      <c r="M5796" s="3"/>
    </row>
    <row r="5797" spans="1:13" ht="25.5" x14ac:dyDescent="0.25">
      <c r="A5797" s="46" t="s">
        <v>8803</v>
      </c>
      <c r="B5797" s="46" t="s">
        <v>38</v>
      </c>
      <c r="C5797" s="46" t="s">
        <v>14</v>
      </c>
      <c r="D5797" s="47">
        <v>9176</v>
      </c>
      <c r="E5797" s="46" t="s">
        <v>8804</v>
      </c>
      <c r="F5797" s="48">
        <v>40878</v>
      </c>
      <c r="G5797" s="48">
        <v>40891</v>
      </c>
      <c r="H5797" s="46" t="s">
        <v>40</v>
      </c>
      <c r="I5797" s="45">
        <v>500</v>
      </c>
      <c r="J5797" s="45">
        <v>500</v>
      </c>
      <c r="K5797" s="49" t="s">
        <v>8348</v>
      </c>
      <c r="L5797" s="45"/>
      <c r="M5797" s="3"/>
    </row>
    <row r="5798" spans="1:13" ht="38.25" x14ac:dyDescent="0.25">
      <c r="A5798" s="46" t="s">
        <v>8805</v>
      </c>
      <c r="B5798" s="46" t="s">
        <v>38</v>
      </c>
      <c r="C5798" s="46" t="s">
        <v>14</v>
      </c>
      <c r="D5798" s="47">
        <v>9177</v>
      </c>
      <c r="E5798" s="46" t="s">
        <v>8806</v>
      </c>
      <c r="F5798" s="48">
        <v>40695</v>
      </c>
      <c r="G5798" s="48">
        <v>40730</v>
      </c>
      <c r="H5798" s="46" t="s">
        <v>40</v>
      </c>
      <c r="I5798" s="45">
        <v>6570.07</v>
      </c>
      <c r="J5798" s="45">
        <v>6570.07</v>
      </c>
      <c r="K5798" s="49" t="s">
        <v>8348</v>
      </c>
      <c r="L5798" s="45"/>
      <c r="M5798" s="3"/>
    </row>
    <row r="5799" spans="1:13" ht="25.5" x14ac:dyDescent="0.25">
      <c r="A5799" s="46" t="s">
        <v>8807</v>
      </c>
      <c r="B5799" s="46" t="s">
        <v>38</v>
      </c>
      <c r="C5799" s="46" t="s">
        <v>14</v>
      </c>
      <c r="D5799" s="47">
        <v>9178</v>
      </c>
      <c r="E5799" s="46" t="s">
        <v>8808</v>
      </c>
      <c r="F5799" s="48">
        <v>40634</v>
      </c>
      <c r="G5799" s="48">
        <v>40908</v>
      </c>
      <c r="H5799" s="46" t="s">
        <v>40</v>
      </c>
      <c r="I5799" s="45">
        <v>2525.4</v>
      </c>
      <c r="J5799" s="45">
        <v>1950.4</v>
      </c>
      <c r="K5799" s="49" t="s">
        <v>8348</v>
      </c>
      <c r="L5799" s="45"/>
      <c r="M5799" s="3"/>
    </row>
    <row r="5800" spans="1:13" ht="25.5" x14ac:dyDescent="0.25">
      <c r="A5800" s="46" t="s">
        <v>8809</v>
      </c>
      <c r="B5800" s="46" t="s">
        <v>38</v>
      </c>
      <c r="C5800" s="46" t="s">
        <v>14</v>
      </c>
      <c r="D5800" s="47">
        <v>9179</v>
      </c>
      <c r="E5800" s="46" t="s">
        <v>8810</v>
      </c>
      <c r="F5800" s="48">
        <v>40575</v>
      </c>
      <c r="G5800" s="48">
        <v>40595</v>
      </c>
      <c r="H5800" s="46" t="s">
        <v>40</v>
      </c>
      <c r="I5800" s="45">
        <v>3469.55</v>
      </c>
      <c r="J5800" s="45">
        <v>3469.55</v>
      </c>
      <c r="K5800" s="49" t="s">
        <v>8348</v>
      </c>
      <c r="L5800" s="45"/>
      <c r="M5800" s="3"/>
    </row>
    <row r="5801" spans="1:13" ht="25.5" x14ac:dyDescent="0.25">
      <c r="A5801" s="46" t="s">
        <v>8811</v>
      </c>
      <c r="B5801" s="46" t="s">
        <v>38</v>
      </c>
      <c r="C5801" s="46" t="s">
        <v>14</v>
      </c>
      <c r="D5801" s="47">
        <v>9181</v>
      </c>
      <c r="E5801" s="46" t="s">
        <v>8812</v>
      </c>
      <c r="F5801" s="48">
        <v>40722</v>
      </c>
      <c r="G5801" s="48">
        <v>40991</v>
      </c>
      <c r="H5801" s="46" t="s">
        <v>40</v>
      </c>
      <c r="I5801" s="45">
        <v>4487.45</v>
      </c>
      <c r="J5801" s="45">
        <v>4002.45</v>
      </c>
      <c r="K5801" s="49" t="s">
        <v>8348</v>
      </c>
      <c r="L5801" s="45"/>
      <c r="M5801" s="3"/>
    </row>
    <row r="5802" spans="1:13" ht="25.5" x14ac:dyDescent="0.25">
      <c r="A5802" s="46" t="s">
        <v>8600</v>
      </c>
      <c r="B5802" s="46" t="s">
        <v>38</v>
      </c>
      <c r="C5802" s="46" t="s">
        <v>14</v>
      </c>
      <c r="D5802" s="47">
        <v>9182</v>
      </c>
      <c r="E5802" s="46" t="s">
        <v>8601</v>
      </c>
      <c r="F5802" s="48">
        <v>40787</v>
      </c>
      <c r="G5802" s="48">
        <v>40816</v>
      </c>
      <c r="H5802" s="46" t="s">
        <v>40</v>
      </c>
      <c r="I5802" s="45">
        <v>1730.3</v>
      </c>
      <c r="J5802" s="45">
        <v>1730.3</v>
      </c>
      <c r="K5802" s="49" t="s">
        <v>8348</v>
      </c>
      <c r="L5802" s="45"/>
      <c r="M5802" s="3"/>
    </row>
    <row r="5803" spans="1:13" ht="38.25" x14ac:dyDescent="0.25">
      <c r="A5803" s="46" t="s">
        <v>8813</v>
      </c>
      <c r="B5803" s="46" t="s">
        <v>38</v>
      </c>
      <c r="C5803" s="46" t="s">
        <v>14</v>
      </c>
      <c r="D5803" s="47">
        <v>9183</v>
      </c>
      <c r="E5803" s="46" t="s">
        <v>8814</v>
      </c>
      <c r="F5803" s="48">
        <v>40544</v>
      </c>
      <c r="G5803" s="48">
        <v>41274</v>
      </c>
      <c r="H5803" s="46" t="s">
        <v>40</v>
      </c>
      <c r="I5803" s="45">
        <v>49226.8</v>
      </c>
      <c r="J5803" s="45">
        <v>24613.4</v>
      </c>
      <c r="K5803" s="49" t="s">
        <v>8348</v>
      </c>
      <c r="L5803" s="45"/>
      <c r="M5803" s="3"/>
    </row>
    <row r="5804" spans="1:13" ht="38.25" x14ac:dyDescent="0.25">
      <c r="A5804" s="46" t="s">
        <v>8815</v>
      </c>
      <c r="B5804" s="46" t="s">
        <v>38</v>
      </c>
      <c r="C5804" s="46" t="s">
        <v>14</v>
      </c>
      <c r="D5804" s="47">
        <v>9184</v>
      </c>
      <c r="E5804" s="46" t="s">
        <v>8816</v>
      </c>
      <c r="F5804" s="48">
        <v>40544</v>
      </c>
      <c r="G5804" s="48">
        <v>41274</v>
      </c>
      <c r="H5804" s="46" t="s">
        <v>40</v>
      </c>
      <c r="I5804" s="45">
        <v>9060</v>
      </c>
      <c r="J5804" s="45">
        <v>7360</v>
      </c>
      <c r="K5804" s="49" t="s">
        <v>8348</v>
      </c>
      <c r="L5804" s="45"/>
      <c r="M5804" s="3"/>
    </row>
    <row r="5805" spans="1:13" ht="25.5" x14ac:dyDescent="0.25">
      <c r="A5805" s="46" t="s">
        <v>2284</v>
      </c>
      <c r="B5805" s="46" t="s">
        <v>38</v>
      </c>
      <c r="C5805" s="46" t="s">
        <v>14</v>
      </c>
      <c r="D5805" s="47">
        <v>9185</v>
      </c>
      <c r="E5805" s="46" t="s">
        <v>8817</v>
      </c>
      <c r="F5805" s="48">
        <v>40544</v>
      </c>
      <c r="G5805" s="48">
        <v>41274</v>
      </c>
      <c r="H5805" s="46" t="s">
        <v>40</v>
      </c>
      <c r="I5805" s="45">
        <v>86179.66</v>
      </c>
      <c r="J5805" s="45">
        <v>83299.66</v>
      </c>
      <c r="K5805" s="49" t="s">
        <v>8348</v>
      </c>
      <c r="L5805" s="45"/>
      <c r="M5805" s="3"/>
    </row>
    <row r="5806" spans="1:13" ht="25.5" x14ac:dyDescent="0.25">
      <c r="A5806" s="46" t="s">
        <v>8818</v>
      </c>
      <c r="B5806" s="46" t="s">
        <v>38</v>
      </c>
      <c r="C5806" s="46" t="s">
        <v>14</v>
      </c>
      <c r="D5806" s="47">
        <v>9186</v>
      </c>
      <c r="E5806" s="46" t="s">
        <v>8819</v>
      </c>
      <c r="F5806" s="48">
        <v>40680</v>
      </c>
      <c r="G5806" s="48">
        <v>40693</v>
      </c>
      <c r="H5806" s="46" t="s">
        <v>40</v>
      </c>
      <c r="I5806" s="45">
        <v>500</v>
      </c>
      <c r="J5806" s="45">
        <v>500</v>
      </c>
      <c r="K5806" s="49" t="s">
        <v>8348</v>
      </c>
      <c r="L5806" s="45"/>
      <c r="M5806" s="3"/>
    </row>
    <row r="5807" spans="1:13" ht="25.5" x14ac:dyDescent="0.25">
      <c r="A5807" s="46" t="s">
        <v>8820</v>
      </c>
      <c r="B5807" s="46" t="s">
        <v>38</v>
      </c>
      <c r="C5807" s="46" t="s">
        <v>14</v>
      </c>
      <c r="D5807" s="47">
        <v>9187</v>
      </c>
      <c r="E5807" s="46" t="s">
        <v>8821</v>
      </c>
      <c r="F5807" s="48">
        <v>40544</v>
      </c>
      <c r="G5807" s="48">
        <v>41274</v>
      </c>
      <c r="H5807" s="46" t="s">
        <v>40</v>
      </c>
      <c r="I5807" s="45">
        <v>8051</v>
      </c>
      <c r="J5807" s="45">
        <v>8051</v>
      </c>
      <c r="K5807" s="49" t="s">
        <v>8348</v>
      </c>
      <c r="L5807" s="45"/>
      <c r="M5807" s="3"/>
    </row>
    <row r="5808" spans="1:13" ht="25.5" x14ac:dyDescent="0.25">
      <c r="A5808" s="46" t="s">
        <v>8822</v>
      </c>
      <c r="B5808" s="46" t="s">
        <v>38</v>
      </c>
      <c r="C5808" s="46" t="s">
        <v>14</v>
      </c>
      <c r="D5808" s="47">
        <v>9188</v>
      </c>
      <c r="E5808" s="46" t="s">
        <v>8823</v>
      </c>
      <c r="F5808" s="48">
        <v>40544</v>
      </c>
      <c r="G5808" s="48">
        <v>40908</v>
      </c>
      <c r="H5808" s="46" t="s">
        <v>40</v>
      </c>
      <c r="I5808" s="45">
        <v>3224.9</v>
      </c>
      <c r="J5808" s="45">
        <v>3224.9</v>
      </c>
      <c r="K5808" s="49" t="s">
        <v>8348</v>
      </c>
      <c r="L5808" s="45"/>
      <c r="M5808" s="3"/>
    </row>
    <row r="5809" spans="1:13" ht="25.5" x14ac:dyDescent="0.25">
      <c r="A5809" s="46" t="s">
        <v>8824</v>
      </c>
      <c r="B5809" s="46" t="s">
        <v>38</v>
      </c>
      <c r="C5809" s="46" t="s">
        <v>14</v>
      </c>
      <c r="D5809" s="47">
        <v>9189</v>
      </c>
      <c r="E5809" s="46" t="s">
        <v>8825</v>
      </c>
      <c r="F5809" s="48">
        <v>40695</v>
      </c>
      <c r="G5809" s="48">
        <v>40708</v>
      </c>
      <c r="H5809" s="46" t="s">
        <v>40</v>
      </c>
      <c r="I5809" s="45">
        <v>1750</v>
      </c>
      <c r="J5809" s="45">
        <v>1750</v>
      </c>
      <c r="K5809" s="49" t="s">
        <v>8348</v>
      </c>
      <c r="L5809" s="45"/>
      <c r="M5809" s="3"/>
    </row>
    <row r="5810" spans="1:13" ht="38.25" x14ac:dyDescent="0.25">
      <c r="A5810" s="46" t="s">
        <v>8826</v>
      </c>
      <c r="B5810" s="46" t="s">
        <v>38</v>
      </c>
      <c r="C5810" s="46" t="s">
        <v>14</v>
      </c>
      <c r="D5810" s="47">
        <v>9190</v>
      </c>
      <c r="E5810" s="46" t="s">
        <v>8827</v>
      </c>
      <c r="F5810" s="48">
        <v>40544</v>
      </c>
      <c r="G5810" s="48">
        <v>40908</v>
      </c>
      <c r="H5810" s="46" t="s">
        <v>40</v>
      </c>
      <c r="I5810" s="45">
        <v>2069.48</v>
      </c>
      <c r="J5810" s="45">
        <v>2069.48</v>
      </c>
      <c r="K5810" s="49" t="s">
        <v>8348</v>
      </c>
      <c r="L5810" s="45"/>
      <c r="M5810" s="3"/>
    </row>
    <row r="5811" spans="1:13" ht="63.75" x14ac:dyDescent="0.25">
      <c r="A5811" s="46" t="s">
        <v>8828</v>
      </c>
      <c r="B5811" s="46" t="s">
        <v>38</v>
      </c>
      <c r="C5811" s="46" t="s">
        <v>14</v>
      </c>
      <c r="D5811" s="47">
        <v>9191</v>
      </c>
      <c r="E5811" s="50" t="s">
        <v>8633</v>
      </c>
      <c r="F5811" s="48">
        <v>40544</v>
      </c>
      <c r="G5811" s="48">
        <v>41274</v>
      </c>
      <c r="H5811" s="46" t="s">
        <v>40</v>
      </c>
      <c r="I5811" s="45">
        <v>57641.25</v>
      </c>
      <c r="J5811" s="45">
        <v>53900</v>
      </c>
      <c r="K5811" s="49" t="s">
        <v>8348</v>
      </c>
      <c r="L5811" s="45"/>
      <c r="M5811" s="3"/>
    </row>
    <row r="5812" spans="1:13" ht="25.5" x14ac:dyDescent="0.25">
      <c r="A5812" s="46" t="s">
        <v>8829</v>
      </c>
      <c r="B5812" s="46" t="s">
        <v>38</v>
      </c>
      <c r="C5812" s="46" t="s">
        <v>14</v>
      </c>
      <c r="D5812" s="47">
        <v>9192</v>
      </c>
      <c r="E5812" s="46" t="s">
        <v>8640</v>
      </c>
      <c r="F5812" s="48">
        <v>40544</v>
      </c>
      <c r="G5812" s="48">
        <v>41274</v>
      </c>
      <c r="H5812" s="46" t="s">
        <v>40</v>
      </c>
      <c r="I5812" s="45">
        <v>15757.67</v>
      </c>
      <c r="J5812" s="45">
        <v>12492.67</v>
      </c>
      <c r="K5812" s="49" t="s">
        <v>8348</v>
      </c>
      <c r="L5812" s="45"/>
      <c r="M5812" s="3"/>
    </row>
    <row r="5813" spans="1:13" ht="38.25" x14ac:dyDescent="0.25">
      <c r="A5813" s="46" t="s">
        <v>8830</v>
      </c>
      <c r="B5813" s="46" t="s">
        <v>38</v>
      </c>
      <c r="C5813" s="46" t="s">
        <v>14</v>
      </c>
      <c r="D5813" s="47">
        <v>9193</v>
      </c>
      <c r="E5813" s="46" t="s">
        <v>8831</v>
      </c>
      <c r="F5813" s="48">
        <v>40544</v>
      </c>
      <c r="G5813" s="48">
        <v>40908</v>
      </c>
      <c r="H5813" s="46" t="s">
        <v>40</v>
      </c>
      <c r="I5813" s="45">
        <v>9771.98</v>
      </c>
      <c r="J5813" s="45">
        <v>4885.99</v>
      </c>
      <c r="K5813" s="49" t="s">
        <v>8348</v>
      </c>
      <c r="L5813" s="45"/>
      <c r="M5813" s="3"/>
    </row>
    <row r="5814" spans="1:13" ht="25.5" x14ac:dyDescent="0.25">
      <c r="A5814" s="46" t="s">
        <v>8832</v>
      </c>
      <c r="B5814" s="46" t="s">
        <v>38</v>
      </c>
      <c r="C5814" s="46" t="s">
        <v>14</v>
      </c>
      <c r="D5814" s="47">
        <v>9194</v>
      </c>
      <c r="E5814" s="46" t="s">
        <v>8833</v>
      </c>
      <c r="F5814" s="48">
        <v>40544</v>
      </c>
      <c r="G5814" s="48">
        <v>40908</v>
      </c>
      <c r="H5814" s="46" t="s">
        <v>40</v>
      </c>
      <c r="I5814" s="45">
        <v>587.29999999999995</v>
      </c>
      <c r="J5814" s="45">
        <v>293.64999999999998</v>
      </c>
      <c r="K5814" s="49" t="s">
        <v>8348</v>
      </c>
      <c r="L5814" s="45"/>
      <c r="M5814" s="3"/>
    </row>
    <row r="5815" spans="1:13" ht="25.5" x14ac:dyDescent="0.25">
      <c r="A5815" s="46" t="s">
        <v>8834</v>
      </c>
      <c r="B5815" s="46" t="s">
        <v>38</v>
      </c>
      <c r="C5815" s="46" t="s">
        <v>14</v>
      </c>
      <c r="D5815" s="47">
        <v>9195</v>
      </c>
      <c r="E5815" s="46" t="s">
        <v>8835</v>
      </c>
      <c r="F5815" s="48">
        <v>40603</v>
      </c>
      <c r="G5815" s="48">
        <v>40714</v>
      </c>
      <c r="H5815" s="46" t="s">
        <v>40</v>
      </c>
      <c r="I5815" s="45">
        <v>968</v>
      </c>
      <c r="J5815" s="45">
        <v>484</v>
      </c>
      <c r="K5815" s="49" t="s">
        <v>8348</v>
      </c>
      <c r="L5815" s="45"/>
      <c r="M5815" s="3"/>
    </row>
    <row r="5816" spans="1:13" ht="25.5" x14ac:dyDescent="0.25">
      <c r="A5816" s="46" t="s">
        <v>8836</v>
      </c>
      <c r="B5816" s="46" t="s">
        <v>38</v>
      </c>
      <c r="C5816" s="46" t="s">
        <v>14</v>
      </c>
      <c r="D5816" s="47">
        <v>9196</v>
      </c>
      <c r="E5816" s="46" t="s">
        <v>8837</v>
      </c>
      <c r="F5816" s="48">
        <v>40787</v>
      </c>
      <c r="G5816" s="48">
        <v>40908</v>
      </c>
      <c r="H5816" s="46" t="s">
        <v>40</v>
      </c>
      <c r="I5816" s="45">
        <v>2470</v>
      </c>
      <c r="J5816" s="45">
        <v>2470</v>
      </c>
      <c r="K5816" s="49" t="s">
        <v>8348</v>
      </c>
      <c r="L5816" s="45"/>
      <c r="M5816" s="3"/>
    </row>
    <row r="5817" spans="1:13" ht="25.5" x14ac:dyDescent="0.25">
      <c r="A5817" s="46" t="s">
        <v>8838</v>
      </c>
      <c r="B5817" s="46" t="s">
        <v>38</v>
      </c>
      <c r="C5817" s="46" t="s">
        <v>14</v>
      </c>
      <c r="D5817" s="47">
        <v>9197</v>
      </c>
      <c r="E5817" s="46" t="s">
        <v>8839</v>
      </c>
      <c r="F5817" s="48">
        <v>40544</v>
      </c>
      <c r="G5817" s="48">
        <v>41274</v>
      </c>
      <c r="H5817" s="46" t="s">
        <v>40</v>
      </c>
      <c r="I5817" s="45">
        <v>56267.22</v>
      </c>
      <c r="J5817" s="45">
        <v>28133.61</v>
      </c>
      <c r="K5817" s="49" t="s">
        <v>8348</v>
      </c>
      <c r="L5817" s="45"/>
      <c r="M5817" s="3"/>
    </row>
    <row r="5818" spans="1:13" ht="25.5" x14ac:dyDescent="0.25">
      <c r="A5818" s="46" t="s">
        <v>8840</v>
      </c>
      <c r="B5818" s="46" t="s">
        <v>38</v>
      </c>
      <c r="C5818" s="46" t="s">
        <v>14</v>
      </c>
      <c r="D5818" s="47">
        <v>9198</v>
      </c>
      <c r="E5818" s="46" t="s">
        <v>8841</v>
      </c>
      <c r="F5818" s="48">
        <v>40544</v>
      </c>
      <c r="G5818" s="48">
        <v>41274</v>
      </c>
      <c r="H5818" s="46" t="s">
        <v>40</v>
      </c>
      <c r="I5818" s="45">
        <v>8298</v>
      </c>
      <c r="J5818" s="45">
        <v>4783.5</v>
      </c>
      <c r="K5818" s="49" t="s">
        <v>8348</v>
      </c>
      <c r="L5818" s="45"/>
      <c r="M5818" s="3"/>
    </row>
    <row r="5819" spans="1:13" ht="25.5" x14ac:dyDescent="0.25">
      <c r="A5819" s="46" t="s">
        <v>8871</v>
      </c>
      <c r="B5819" s="46" t="s">
        <v>38</v>
      </c>
      <c r="C5819" s="46" t="s">
        <v>14</v>
      </c>
      <c r="D5819" s="47">
        <v>10556</v>
      </c>
      <c r="E5819" s="46" t="s">
        <v>8872</v>
      </c>
      <c r="F5819" s="48">
        <v>41172</v>
      </c>
      <c r="G5819" s="48">
        <v>41193</v>
      </c>
      <c r="H5819" s="46" t="s">
        <v>40</v>
      </c>
      <c r="I5819" s="45">
        <v>350</v>
      </c>
      <c r="J5819" s="45">
        <v>270</v>
      </c>
      <c r="K5819" s="49" t="s">
        <v>8348</v>
      </c>
      <c r="L5819" s="45"/>
      <c r="M5819" s="3"/>
    </row>
    <row r="5820" spans="1:13" ht="25.5" x14ac:dyDescent="0.25">
      <c r="A5820" s="46" t="s">
        <v>8873</v>
      </c>
      <c r="B5820" s="46" t="s">
        <v>38</v>
      </c>
      <c r="C5820" s="46" t="s">
        <v>14</v>
      </c>
      <c r="D5820" s="47">
        <v>10557</v>
      </c>
      <c r="E5820" s="46" t="s">
        <v>8874</v>
      </c>
      <c r="F5820" s="48">
        <v>40991</v>
      </c>
      <c r="G5820" s="48">
        <v>41264</v>
      </c>
      <c r="H5820" s="46" t="s">
        <v>40</v>
      </c>
      <c r="I5820" s="45">
        <v>2100.5</v>
      </c>
      <c r="J5820" s="45">
        <v>1065.5</v>
      </c>
      <c r="K5820" s="49" t="s">
        <v>8348</v>
      </c>
      <c r="L5820" s="45"/>
      <c r="M5820" s="3"/>
    </row>
    <row r="5821" spans="1:13" ht="38.25" x14ac:dyDescent="0.25">
      <c r="A5821" s="46" t="s">
        <v>8875</v>
      </c>
      <c r="B5821" s="46" t="s">
        <v>38</v>
      </c>
      <c r="C5821" s="46" t="s">
        <v>14</v>
      </c>
      <c r="D5821" s="47">
        <v>10558</v>
      </c>
      <c r="E5821" s="46" t="s">
        <v>8876</v>
      </c>
      <c r="F5821" s="48">
        <v>40909</v>
      </c>
      <c r="G5821" s="48">
        <v>41274</v>
      </c>
      <c r="H5821" s="46" t="s">
        <v>40</v>
      </c>
      <c r="I5821" s="45">
        <v>2410</v>
      </c>
      <c r="J5821" s="45">
        <v>2410</v>
      </c>
      <c r="K5821" s="49" t="s">
        <v>8348</v>
      </c>
      <c r="L5821" s="45"/>
      <c r="M5821" s="3"/>
    </row>
    <row r="5822" spans="1:13" ht="38.25" x14ac:dyDescent="0.25">
      <c r="A5822" s="46" t="s">
        <v>8877</v>
      </c>
      <c r="B5822" s="46" t="s">
        <v>38</v>
      </c>
      <c r="C5822" s="46" t="s">
        <v>14</v>
      </c>
      <c r="D5822" s="47">
        <v>10559</v>
      </c>
      <c r="E5822" s="46" t="s">
        <v>8878</v>
      </c>
      <c r="F5822" s="48">
        <v>40909</v>
      </c>
      <c r="G5822" s="48">
        <v>41274</v>
      </c>
      <c r="H5822" s="46" t="s">
        <v>40</v>
      </c>
      <c r="I5822" s="45">
        <v>38279.769999999997</v>
      </c>
      <c r="J5822" s="45">
        <v>24631.919999999998</v>
      </c>
      <c r="K5822" s="49" t="s">
        <v>8348</v>
      </c>
      <c r="L5822" s="45"/>
      <c r="M5822" s="3"/>
    </row>
    <row r="5823" spans="1:13" ht="38.25" x14ac:dyDescent="0.25">
      <c r="A5823" s="46" t="s">
        <v>8879</v>
      </c>
      <c r="B5823" s="46" t="s">
        <v>38</v>
      </c>
      <c r="C5823" s="46" t="s">
        <v>14</v>
      </c>
      <c r="D5823" s="47">
        <v>10560</v>
      </c>
      <c r="E5823" s="46" t="s">
        <v>8880</v>
      </c>
      <c r="F5823" s="48">
        <v>41183</v>
      </c>
      <c r="G5823" s="48">
        <v>41235</v>
      </c>
      <c r="H5823" s="46" t="s">
        <v>40</v>
      </c>
      <c r="I5823" s="45">
        <v>570</v>
      </c>
      <c r="J5823" s="45">
        <v>405</v>
      </c>
      <c r="K5823" s="49" t="s">
        <v>8348</v>
      </c>
      <c r="L5823" s="45"/>
      <c r="M5823" s="3"/>
    </row>
    <row r="5824" spans="1:13" ht="25.5" x14ac:dyDescent="0.25">
      <c r="A5824" s="46" t="s">
        <v>8881</v>
      </c>
      <c r="B5824" s="46" t="s">
        <v>38</v>
      </c>
      <c r="C5824" s="46" t="s">
        <v>14</v>
      </c>
      <c r="D5824" s="47">
        <v>10561</v>
      </c>
      <c r="E5824" s="46" t="s">
        <v>8882</v>
      </c>
      <c r="F5824" s="48">
        <v>41061</v>
      </c>
      <c r="G5824" s="48">
        <v>41185</v>
      </c>
      <c r="H5824" s="46" t="s">
        <v>40</v>
      </c>
      <c r="I5824" s="45">
        <v>285</v>
      </c>
      <c r="J5824" s="45">
        <v>285</v>
      </c>
      <c r="K5824" s="49" t="s">
        <v>8348</v>
      </c>
      <c r="L5824" s="45"/>
      <c r="M5824" s="3"/>
    </row>
    <row r="5825" spans="1:13" ht="38.25" x14ac:dyDescent="0.25">
      <c r="A5825" s="46" t="s">
        <v>8883</v>
      </c>
      <c r="B5825" s="46" t="s">
        <v>38</v>
      </c>
      <c r="C5825" s="46" t="s">
        <v>14</v>
      </c>
      <c r="D5825" s="47">
        <v>10562</v>
      </c>
      <c r="E5825" s="46" t="s">
        <v>8884</v>
      </c>
      <c r="F5825" s="48">
        <v>41061</v>
      </c>
      <c r="G5825" s="48">
        <v>41274</v>
      </c>
      <c r="H5825" s="46" t="s">
        <v>40</v>
      </c>
      <c r="I5825" s="45">
        <v>3616.2</v>
      </c>
      <c r="J5825" s="45">
        <v>3616.2</v>
      </c>
      <c r="K5825" s="49" t="s">
        <v>8348</v>
      </c>
      <c r="L5825" s="45"/>
      <c r="M5825" s="3"/>
    </row>
    <row r="5826" spans="1:13" ht="25.5" x14ac:dyDescent="0.25">
      <c r="A5826" s="46" t="s">
        <v>8885</v>
      </c>
      <c r="B5826" s="46" t="s">
        <v>38</v>
      </c>
      <c r="C5826" s="46" t="s">
        <v>14</v>
      </c>
      <c r="D5826" s="47">
        <v>10563</v>
      </c>
      <c r="E5826" s="46" t="s">
        <v>8886</v>
      </c>
      <c r="F5826" s="48">
        <v>40909</v>
      </c>
      <c r="G5826" s="48">
        <v>41274</v>
      </c>
      <c r="H5826" s="46" t="s">
        <v>40</v>
      </c>
      <c r="I5826" s="45">
        <v>1529.5</v>
      </c>
      <c r="J5826" s="45">
        <v>900.5</v>
      </c>
      <c r="K5826" s="49" t="s">
        <v>8348</v>
      </c>
      <c r="L5826" s="45"/>
      <c r="M5826" s="3"/>
    </row>
    <row r="5827" spans="1:13" ht="25.5" x14ac:dyDescent="0.25">
      <c r="A5827" s="46" t="s">
        <v>8887</v>
      </c>
      <c r="B5827" s="46" t="s">
        <v>38</v>
      </c>
      <c r="C5827" s="46" t="s">
        <v>14</v>
      </c>
      <c r="D5827" s="47">
        <v>10564</v>
      </c>
      <c r="E5827" s="46" t="s">
        <v>8888</v>
      </c>
      <c r="F5827" s="48">
        <v>41214</v>
      </c>
      <c r="G5827" s="48">
        <v>41274</v>
      </c>
      <c r="H5827" s="46" t="s">
        <v>40</v>
      </c>
      <c r="I5827" s="45">
        <v>640.20000000000005</v>
      </c>
      <c r="J5827" s="45">
        <v>640.20000000000005</v>
      </c>
      <c r="K5827" s="49" t="s">
        <v>8348</v>
      </c>
      <c r="L5827" s="45"/>
      <c r="M5827" s="3"/>
    </row>
    <row r="5828" spans="1:13" ht="25.5" x14ac:dyDescent="0.25">
      <c r="A5828" s="46" t="s">
        <v>8889</v>
      </c>
      <c r="B5828" s="46" t="s">
        <v>38</v>
      </c>
      <c r="C5828" s="46" t="s">
        <v>14</v>
      </c>
      <c r="D5828" s="47">
        <v>10565</v>
      </c>
      <c r="E5828" s="46" t="s">
        <v>8890</v>
      </c>
      <c r="F5828" s="48">
        <v>41153</v>
      </c>
      <c r="G5828" s="48">
        <v>41182</v>
      </c>
      <c r="H5828" s="46" t="s">
        <v>40</v>
      </c>
      <c r="I5828" s="45">
        <v>2693.74</v>
      </c>
      <c r="J5828" s="45">
        <v>2693.64</v>
      </c>
      <c r="K5828" s="49" t="s">
        <v>8348</v>
      </c>
      <c r="L5828" s="45"/>
      <c r="M5828" s="3"/>
    </row>
    <row r="5829" spans="1:13" ht="51" x14ac:dyDescent="0.25">
      <c r="A5829" s="46" t="s">
        <v>8891</v>
      </c>
      <c r="B5829" s="46" t="s">
        <v>38</v>
      </c>
      <c r="C5829" s="46" t="s">
        <v>14</v>
      </c>
      <c r="D5829" s="47">
        <v>10566</v>
      </c>
      <c r="E5829" s="50" t="s">
        <v>8892</v>
      </c>
      <c r="F5829" s="48">
        <v>40988</v>
      </c>
      <c r="G5829" s="48">
        <v>40995</v>
      </c>
      <c r="H5829" s="46" t="s">
        <v>40</v>
      </c>
      <c r="I5829" s="45">
        <v>1777.8</v>
      </c>
      <c r="J5829" s="45">
        <v>1177.8</v>
      </c>
      <c r="K5829" s="49" t="s">
        <v>8348</v>
      </c>
      <c r="L5829" s="45"/>
      <c r="M5829" s="3"/>
    </row>
    <row r="5830" spans="1:13" ht="38.25" x14ac:dyDescent="0.25">
      <c r="A5830" s="46" t="s">
        <v>8893</v>
      </c>
      <c r="B5830" s="46" t="s">
        <v>38</v>
      </c>
      <c r="C5830" s="46" t="s">
        <v>14</v>
      </c>
      <c r="D5830" s="47">
        <v>10567</v>
      </c>
      <c r="E5830" s="46" t="s">
        <v>8894</v>
      </c>
      <c r="F5830" s="48">
        <v>40909</v>
      </c>
      <c r="G5830" s="48">
        <v>41274</v>
      </c>
      <c r="H5830" s="46" t="s">
        <v>40</v>
      </c>
      <c r="I5830" s="45">
        <v>3306.96</v>
      </c>
      <c r="J5830" s="45">
        <v>2919.16</v>
      </c>
      <c r="K5830" s="49" t="s">
        <v>8348</v>
      </c>
      <c r="L5830" s="45"/>
      <c r="M5830" s="3"/>
    </row>
    <row r="5831" spans="1:13" ht="25.5" x14ac:dyDescent="0.25">
      <c r="A5831" s="46" t="s">
        <v>8895</v>
      </c>
      <c r="B5831" s="46" t="s">
        <v>38</v>
      </c>
      <c r="C5831" s="46" t="s">
        <v>14</v>
      </c>
      <c r="D5831" s="47">
        <v>10569</v>
      </c>
      <c r="E5831" s="46" t="s">
        <v>8896</v>
      </c>
      <c r="F5831" s="48">
        <v>41244</v>
      </c>
      <c r="G5831" s="48">
        <v>41274</v>
      </c>
      <c r="H5831" s="46" t="s">
        <v>40</v>
      </c>
      <c r="I5831" s="45">
        <v>6613.7</v>
      </c>
      <c r="J5831" s="45">
        <v>5963.7</v>
      </c>
      <c r="K5831" s="49" t="s">
        <v>8348</v>
      </c>
      <c r="L5831" s="45"/>
      <c r="M5831" s="3"/>
    </row>
    <row r="5832" spans="1:13" ht="38.25" x14ac:dyDescent="0.25">
      <c r="A5832" s="46" t="s">
        <v>11171</v>
      </c>
      <c r="B5832" s="46" t="s">
        <v>38</v>
      </c>
      <c r="C5832" s="46" t="s">
        <v>14</v>
      </c>
      <c r="D5832" s="47">
        <v>12567</v>
      </c>
      <c r="E5832" s="46" t="s">
        <v>8827</v>
      </c>
      <c r="F5832" s="48">
        <v>41275</v>
      </c>
      <c r="G5832" s="48">
        <v>41639</v>
      </c>
      <c r="H5832" s="46" t="s">
        <v>651</v>
      </c>
      <c r="I5832" s="45">
        <v>3199.63</v>
      </c>
      <c r="J5832" s="45">
        <v>3199.63</v>
      </c>
      <c r="K5832" s="49" t="s">
        <v>8348</v>
      </c>
      <c r="L5832" s="46"/>
    </row>
    <row r="5833" spans="1:13" ht="25.5" x14ac:dyDescent="0.25">
      <c r="A5833" s="46" t="s">
        <v>11172</v>
      </c>
      <c r="B5833" s="46" t="s">
        <v>38</v>
      </c>
      <c r="C5833" s="46" t="s">
        <v>14</v>
      </c>
      <c r="D5833" s="47">
        <v>12568</v>
      </c>
      <c r="E5833" s="46" t="s">
        <v>11173</v>
      </c>
      <c r="F5833" s="48">
        <v>41472</v>
      </c>
      <c r="G5833" s="48">
        <v>41547</v>
      </c>
      <c r="H5833" s="46" t="s">
        <v>651</v>
      </c>
      <c r="I5833" s="45">
        <v>4920</v>
      </c>
      <c r="J5833" s="45">
        <v>4920</v>
      </c>
      <c r="K5833" s="49" t="s">
        <v>8348</v>
      </c>
      <c r="L5833" s="46"/>
    </row>
    <row r="5834" spans="1:13" ht="25.5" x14ac:dyDescent="0.25">
      <c r="A5834" s="46" t="s">
        <v>8468</v>
      </c>
      <c r="B5834" s="46" t="s">
        <v>38</v>
      </c>
      <c r="C5834" s="46" t="s">
        <v>14</v>
      </c>
      <c r="D5834" s="47">
        <v>12569</v>
      </c>
      <c r="E5834" s="46" t="s">
        <v>8802</v>
      </c>
      <c r="F5834" s="48">
        <v>41275</v>
      </c>
      <c r="G5834" s="48">
        <v>41639</v>
      </c>
      <c r="H5834" s="46" t="s">
        <v>651</v>
      </c>
      <c r="I5834" s="45">
        <v>9272.4599999999991</v>
      </c>
      <c r="J5834" s="45">
        <v>4636.2299999999996</v>
      </c>
      <c r="K5834" s="49" t="s">
        <v>8348</v>
      </c>
      <c r="L5834" s="46"/>
    </row>
    <row r="5835" spans="1:13" ht="25.5" x14ac:dyDescent="0.25">
      <c r="A5835" s="46" t="s">
        <v>11174</v>
      </c>
      <c r="B5835" s="46" t="s">
        <v>38</v>
      </c>
      <c r="C5835" s="46" t="s">
        <v>14</v>
      </c>
      <c r="D5835" s="47">
        <v>12570</v>
      </c>
      <c r="E5835" s="46" t="s">
        <v>11175</v>
      </c>
      <c r="F5835" s="48">
        <v>41275</v>
      </c>
      <c r="G5835" s="48">
        <v>41639</v>
      </c>
      <c r="H5835" s="46" t="s">
        <v>651</v>
      </c>
      <c r="I5835" s="45">
        <v>4565</v>
      </c>
      <c r="J5835" s="45">
        <v>4565</v>
      </c>
      <c r="K5835" s="49" t="s">
        <v>8348</v>
      </c>
      <c r="L5835" s="46"/>
    </row>
    <row r="5836" spans="1:13" ht="25.5" x14ac:dyDescent="0.25">
      <c r="A5836" s="46" t="s">
        <v>7605</v>
      </c>
      <c r="B5836" s="46" t="s">
        <v>38</v>
      </c>
      <c r="C5836" s="46" t="s">
        <v>14</v>
      </c>
      <c r="D5836" s="47">
        <v>12571</v>
      </c>
      <c r="E5836" s="46" t="s">
        <v>11176</v>
      </c>
      <c r="F5836" s="48">
        <v>41275</v>
      </c>
      <c r="G5836" s="48">
        <v>41639</v>
      </c>
      <c r="H5836" s="46" t="s">
        <v>651</v>
      </c>
      <c r="I5836" s="45">
        <v>1265</v>
      </c>
      <c r="J5836" s="45">
        <v>1265</v>
      </c>
      <c r="K5836" s="49" t="s">
        <v>8348</v>
      </c>
      <c r="L5836" s="46"/>
    </row>
    <row r="5837" spans="1:13" ht="25.5" x14ac:dyDescent="0.25">
      <c r="A5837" s="46" t="s">
        <v>11177</v>
      </c>
      <c r="B5837" s="46" t="s">
        <v>38</v>
      </c>
      <c r="C5837" s="46" t="s">
        <v>14</v>
      </c>
      <c r="D5837" s="47">
        <v>12572</v>
      </c>
      <c r="E5837" s="46" t="s">
        <v>11178</v>
      </c>
      <c r="F5837" s="48">
        <v>41426</v>
      </c>
      <c r="G5837" s="48">
        <v>41639</v>
      </c>
      <c r="H5837" s="46" t="s">
        <v>651</v>
      </c>
      <c r="I5837" s="45">
        <v>12763.7</v>
      </c>
      <c r="J5837" s="45">
        <v>12763.7</v>
      </c>
      <c r="K5837" s="49" t="s">
        <v>8348</v>
      </c>
      <c r="L5837" s="46"/>
    </row>
    <row r="5838" spans="1:13" ht="25.5" x14ac:dyDescent="0.25">
      <c r="A5838" s="46" t="s">
        <v>9231</v>
      </c>
      <c r="B5838" s="46" t="s">
        <v>38</v>
      </c>
      <c r="C5838" s="46" t="s">
        <v>14</v>
      </c>
      <c r="D5838" s="47">
        <v>12573</v>
      </c>
      <c r="E5838" s="46" t="s">
        <v>8800</v>
      </c>
      <c r="F5838" s="48">
        <v>41275</v>
      </c>
      <c r="G5838" s="48">
        <v>41639</v>
      </c>
      <c r="H5838" s="46" t="s">
        <v>651</v>
      </c>
      <c r="I5838" s="45">
        <v>8136.06</v>
      </c>
      <c r="J5838" s="45">
        <v>8136.06</v>
      </c>
      <c r="K5838" s="49" t="s">
        <v>8348</v>
      </c>
      <c r="L5838" s="46"/>
    </row>
    <row r="5839" spans="1:13" ht="25.5" x14ac:dyDescent="0.25">
      <c r="A5839" s="46" t="s">
        <v>8809</v>
      </c>
      <c r="B5839" s="46" t="s">
        <v>38</v>
      </c>
      <c r="C5839" s="46" t="s">
        <v>14</v>
      </c>
      <c r="D5839" s="47">
        <v>12574</v>
      </c>
      <c r="E5839" s="46" t="s">
        <v>8810</v>
      </c>
      <c r="F5839" s="48">
        <v>41416</v>
      </c>
      <c r="G5839" s="48">
        <v>41455</v>
      </c>
      <c r="H5839" s="46" t="s">
        <v>651</v>
      </c>
      <c r="I5839" s="45">
        <v>4548.5200000000004</v>
      </c>
      <c r="J5839" s="45">
        <v>4548.5200000000004</v>
      </c>
      <c r="K5839" s="49" t="s">
        <v>8348</v>
      </c>
      <c r="L5839" s="46"/>
    </row>
    <row r="5840" spans="1:13" ht="51" x14ac:dyDescent="0.25">
      <c r="A5840" s="46" t="s">
        <v>11179</v>
      </c>
      <c r="B5840" s="46" t="s">
        <v>38</v>
      </c>
      <c r="C5840" s="46" t="s">
        <v>14</v>
      </c>
      <c r="D5840" s="47">
        <v>12575</v>
      </c>
      <c r="E5840" s="46" t="s">
        <v>11180</v>
      </c>
      <c r="F5840" s="48">
        <v>41518</v>
      </c>
      <c r="G5840" s="48">
        <v>41549</v>
      </c>
      <c r="H5840" s="46" t="s">
        <v>651</v>
      </c>
      <c r="I5840" s="45">
        <v>4018.53</v>
      </c>
      <c r="J5840" s="45">
        <v>4018.53</v>
      </c>
      <c r="K5840" s="49" t="s">
        <v>8348</v>
      </c>
      <c r="L5840" s="46"/>
    </row>
    <row r="5841" spans="1:12" ht="25.5" x14ac:dyDescent="0.25">
      <c r="A5841" s="46" t="s">
        <v>8600</v>
      </c>
      <c r="B5841" s="46" t="s">
        <v>38</v>
      </c>
      <c r="C5841" s="46" t="s">
        <v>14</v>
      </c>
      <c r="D5841" s="47">
        <v>12576</v>
      </c>
      <c r="E5841" s="46" t="s">
        <v>11181</v>
      </c>
      <c r="F5841" s="48">
        <v>41275</v>
      </c>
      <c r="G5841" s="48">
        <v>41639</v>
      </c>
      <c r="H5841" s="46" t="s">
        <v>651</v>
      </c>
      <c r="I5841" s="45">
        <v>2000</v>
      </c>
      <c r="J5841" s="45">
        <v>2000</v>
      </c>
      <c r="K5841" s="49" t="s">
        <v>8348</v>
      </c>
      <c r="L5841" s="46"/>
    </row>
    <row r="5842" spans="1:12" ht="25.5" x14ac:dyDescent="0.25">
      <c r="A5842" s="46" t="s">
        <v>11182</v>
      </c>
      <c r="B5842" s="46" t="s">
        <v>38</v>
      </c>
      <c r="C5842" s="46" t="s">
        <v>14</v>
      </c>
      <c r="D5842" s="47">
        <v>12577</v>
      </c>
      <c r="E5842" s="46" t="s">
        <v>11183</v>
      </c>
      <c r="F5842" s="48">
        <v>41526</v>
      </c>
      <c r="G5842" s="48">
        <v>41584</v>
      </c>
      <c r="H5842" s="46" t="s">
        <v>651</v>
      </c>
      <c r="I5842" s="45">
        <v>3307.45</v>
      </c>
      <c r="J5842" s="45">
        <v>3307.45</v>
      </c>
      <c r="K5842" s="49" t="s">
        <v>8348</v>
      </c>
      <c r="L5842" s="46"/>
    </row>
    <row r="5843" spans="1:12" ht="25.5" x14ac:dyDescent="0.25">
      <c r="A5843" s="46" t="s">
        <v>11184</v>
      </c>
      <c r="B5843" s="46" t="s">
        <v>38</v>
      </c>
      <c r="C5843" s="46" t="s">
        <v>14</v>
      </c>
      <c r="D5843" s="47">
        <v>12730</v>
      </c>
      <c r="E5843" s="46" t="s">
        <v>11185</v>
      </c>
      <c r="F5843" s="48">
        <v>41488</v>
      </c>
      <c r="G5843" s="48">
        <v>41639</v>
      </c>
      <c r="H5843" s="46" t="s">
        <v>651</v>
      </c>
      <c r="I5843" s="45">
        <v>20644.09</v>
      </c>
      <c r="J5843" s="45">
        <v>20644.09</v>
      </c>
      <c r="K5843" s="49" t="s">
        <v>8348</v>
      </c>
      <c r="L5843" s="46"/>
    </row>
    <row r="5844" spans="1:12" ht="51" x14ac:dyDescent="0.25">
      <c r="A5844" s="46" t="s">
        <v>11186</v>
      </c>
      <c r="B5844" s="46" t="s">
        <v>38</v>
      </c>
      <c r="C5844" s="46" t="s">
        <v>14</v>
      </c>
      <c r="D5844" s="47">
        <v>12731</v>
      </c>
      <c r="E5844" s="46" t="s">
        <v>11187</v>
      </c>
      <c r="F5844" s="48">
        <v>41536</v>
      </c>
      <c r="G5844" s="48">
        <v>41536</v>
      </c>
      <c r="H5844" s="46" t="s">
        <v>651</v>
      </c>
      <c r="I5844" s="45">
        <v>1000</v>
      </c>
      <c r="J5844" s="45">
        <v>1000</v>
      </c>
      <c r="K5844" s="49" t="s">
        <v>8348</v>
      </c>
      <c r="L5844" s="46"/>
    </row>
    <row r="5845" spans="1:12" ht="38.25" x14ac:dyDescent="0.25">
      <c r="A5845" s="46" t="s">
        <v>11188</v>
      </c>
      <c r="B5845" s="46" t="s">
        <v>38</v>
      </c>
      <c r="C5845" s="46" t="s">
        <v>14</v>
      </c>
      <c r="D5845" s="47">
        <v>12732</v>
      </c>
      <c r="E5845" s="46" t="s">
        <v>8814</v>
      </c>
      <c r="F5845" s="48">
        <v>41275</v>
      </c>
      <c r="G5845" s="48">
        <v>41639</v>
      </c>
      <c r="H5845" s="46" t="s">
        <v>651</v>
      </c>
      <c r="I5845" s="45">
        <v>21208.48</v>
      </c>
      <c r="J5845" s="45">
        <v>10604.24</v>
      </c>
      <c r="K5845" s="49" t="s">
        <v>8348</v>
      </c>
      <c r="L5845" s="46"/>
    </row>
    <row r="5846" spans="1:12" ht="38.25" x14ac:dyDescent="0.25">
      <c r="A5846" s="46" t="s">
        <v>11189</v>
      </c>
      <c r="B5846" s="46" t="s">
        <v>38</v>
      </c>
      <c r="C5846" s="46" t="s">
        <v>14</v>
      </c>
      <c r="D5846" s="47">
        <v>12733</v>
      </c>
      <c r="E5846" s="46" t="s">
        <v>8532</v>
      </c>
      <c r="F5846" s="48">
        <v>41275</v>
      </c>
      <c r="G5846" s="48">
        <v>41639</v>
      </c>
      <c r="H5846" s="46" t="s">
        <v>651</v>
      </c>
      <c r="I5846" s="45">
        <v>1365</v>
      </c>
      <c r="J5846" s="45">
        <v>1365</v>
      </c>
      <c r="K5846" s="49" t="s">
        <v>8348</v>
      </c>
      <c r="L5846" s="46"/>
    </row>
    <row r="5847" spans="1:12" ht="25.5" x14ac:dyDescent="0.25">
      <c r="A5847" s="46" t="s">
        <v>2285</v>
      </c>
      <c r="B5847" s="46" t="s">
        <v>38</v>
      </c>
      <c r="C5847" s="46" t="s">
        <v>14</v>
      </c>
      <c r="D5847" s="47">
        <v>12734</v>
      </c>
      <c r="E5847" s="46" t="s">
        <v>8817</v>
      </c>
      <c r="F5847" s="48">
        <v>41275</v>
      </c>
      <c r="G5847" s="48">
        <v>41639</v>
      </c>
      <c r="H5847" s="46" t="s">
        <v>651</v>
      </c>
      <c r="I5847" s="45">
        <v>24744.17</v>
      </c>
      <c r="J5847" s="45">
        <v>24744.17</v>
      </c>
      <c r="K5847" s="49" t="s">
        <v>8348</v>
      </c>
      <c r="L5847" s="46"/>
    </row>
    <row r="5848" spans="1:12" ht="63.75" x14ac:dyDescent="0.25">
      <c r="A5848" s="46" t="s">
        <v>9913</v>
      </c>
      <c r="B5848" s="46" t="s">
        <v>38</v>
      </c>
      <c r="C5848" s="46" t="s">
        <v>14</v>
      </c>
      <c r="D5848" s="47">
        <v>12735</v>
      </c>
      <c r="E5848" s="46" t="s">
        <v>11190</v>
      </c>
      <c r="F5848" s="48">
        <v>41275</v>
      </c>
      <c r="G5848" s="48">
        <v>41639</v>
      </c>
      <c r="H5848" s="46" t="s">
        <v>651</v>
      </c>
      <c r="I5848" s="45">
        <v>23770</v>
      </c>
      <c r="J5848" s="45">
        <v>23770</v>
      </c>
      <c r="K5848" s="49" t="s">
        <v>8348</v>
      </c>
      <c r="L5848" s="46"/>
    </row>
    <row r="5849" spans="1:12" ht="25.5" x14ac:dyDescent="0.25">
      <c r="A5849" s="46" t="s">
        <v>11191</v>
      </c>
      <c r="B5849" s="46" t="s">
        <v>38</v>
      </c>
      <c r="C5849" s="46" t="s">
        <v>14</v>
      </c>
      <c r="D5849" s="47">
        <v>12736</v>
      </c>
      <c r="E5849" s="46" t="s">
        <v>11192</v>
      </c>
      <c r="F5849" s="48">
        <v>41579</v>
      </c>
      <c r="G5849" s="48">
        <v>41608</v>
      </c>
      <c r="H5849" s="46" t="s">
        <v>651</v>
      </c>
      <c r="I5849" s="45">
        <v>1599.67</v>
      </c>
      <c r="J5849" s="45">
        <v>1599.67</v>
      </c>
      <c r="K5849" s="49" t="s">
        <v>8348</v>
      </c>
      <c r="L5849" s="46"/>
    </row>
    <row r="5850" spans="1:12" ht="25.5" x14ac:dyDescent="0.25">
      <c r="A5850" s="46" t="s">
        <v>11193</v>
      </c>
      <c r="B5850" s="46" t="s">
        <v>38</v>
      </c>
      <c r="C5850" s="46" t="s">
        <v>14</v>
      </c>
      <c r="D5850" s="47">
        <v>12737</v>
      </c>
      <c r="E5850" s="46" t="s">
        <v>11194</v>
      </c>
      <c r="F5850" s="48">
        <v>41609</v>
      </c>
      <c r="G5850" s="48">
        <v>41639</v>
      </c>
      <c r="H5850" s="46" t="s">
        <v>651</v>
      </c>
      <c r="I5850" s="45">
        <v>2718.65</v>
      </c>
      <c r="J5850" s="45">
        <v>2718.65</v>
      </c>
      <c r="K5850" s="49" t="s">
        <v>8348</v>
      </c>
      <c r="L5850" s="46"/>
    </row>
    <row r="5851" spans="1:12" ht="25.5" x14ac:dyDescent="0.25">
      <c r="A5851" s="46" t="s">
        <v>8640</v>
      </c>
      <c r="B5851" s="46" t="s">
        <v>38</v>
      </c>
      <c r="C5851" s="46" t="s">
        <v>14</v>
      </c>
      <c r="D5851" s="47">
        <v>12738</v>
      </c>
      <c r="E5851" s="46" t="s">
        <v>8640</v>
      </c>
      <c r="F5851" s="48">
        <v>41275</v>
      </c>
      <c r="G5851" s="48">
        <v>41639</v>
      </c>
      <c r="H5851" s="46" t="s">
        <v>651</v>
      </c>
      <c r="I5851" s="45">
        <v>9234.5</v>
      </c>
      <c r="J5851" s="45">
        <v>9234.5</v>
      </c>
      <c r="K5851" s="49" t="s">
        <v>8348</v>
      </c>
      <c r="L5851" s="46"/>
    </row>
    <row r="5852" spans="1:12" ht="38.25" x14ac:dyDescent="0.25">
      <c r="A5852" s="46" t="s">
        <v>11195</v>
      </c>
      <c r="B5852" s="46" t="s">
        <v>38</v>
      </c>
      <c r="C5852" s="46" t="s">
        <v>14</v>
      </c>
      <c r="D5852" s="47">
        <v>12739</v>
      </c>
      <c r="E5852" s="46" t="s">
        <v>8831</v>
      </c>
      <c r="F5852" s="48">
        <v>41275</v>
      </c>
      <c r="G5852" s="48">
        <v>41639</v>
      </c>
      <c r="H5852" s="46" t="s">
        <v>651</v>
      </c>
      <c r="I5852" s="45">
        <v>3965.92</v>
      </c>
      <c r="J5852" s="45">
        <v>1982.96</v>
      </c>
      <c r="K5852" s="49" t="s">
        <v>8348</v>
      </c>
      <c r="L5852" s="46"/>
    </row>
    <row r="5853" spans="1:12" ht="38.25" x14ac:dyDescent="0.25">
      <c r="A5853" s="46" t="s">
        <v>11196</v>
      </c>
      <c r="B5853" s="46" t="s">
        <v>38</v>
      </c>
      <c r="C5853" s="46" t="s">
        <v>14</v>
      </c>
      <c r="D5853" s="47">
        <v>12740</v>
      </c>
      <c r="E5853" s="46" t="s">
        <v>8894</v>
      </c>
      <c r="F5853" s="48">
        <v>41275</v>
      </c>
      <c r="G5853" s="48">
        <v>41639</v>
      </c>
      <c r="H5853" s="46" t="s">
        <v>651</v>
      </c>
      <c r="I5853" s="45">
        <v>2138.91</v>
      </c>
      <c r="J5853" s="45">
        <v>2138.91</v>
      </c>
      <c r="K5853" s="49" t="s">
        <v>8348</v>
      </c>
      <c r="L5853" s="46"/>
    </row>
    <row r="5854" spans="1:12" ht="25.5" x14ac:dyDescent="0.25">
      <c r="A5854" s="46" t="s">
        <v>11197</v>
      </c>
      <c r="B5854" s="46" t="s">
        <v>38</v>
      </c>
      <c r="C5854" s="46" t="s">
        <v>14</v>
      </c>
      <c r="D5854" s="47">
        <v>12741</v>
      </c>
      <c r="E5854" s="46" t="s">
        <v>11198</v>
      </c>
      <c r="F5854" s="48">
        <v>41275</v>
      </c>
      <c r="G5854" s="48">
        <v>41639</v>
      </c>
      <c r="H5854" s="46" t="s">
        <v>651</v>
      </c>
      <c r="I5854" s="45">
        <v>40006</v>
      </c>
      <c r="J5854" s="45">
        <v>20003</v>
      </c>
      <c r="K5854" s="49" t="s">
        <v>8348</v>
      </c>
      <c r="L5854" s="46"/>
    </row>
    <row r="5855" spans="1:12" ht="25.5" x14ac:dyDescent="0.25">
      <c r="A5855" s="46" t="s">
        <v>11199</v>
      </c>
      <c r="B5855" s="46" t="s">
        <v>38</v>
      </c>
      <c r="C5855" s="46" t="s">
        <v>14</v>
      </c>
      <c r="D5855" s="47">
        <v>12742</v>
      </c>
      <c r="E5855" s="46" t="s">
        <v>8841</v>
      </c>
      <c r="F5855" s="48">
        <v>41275</v>
      </c>
      <c r="G5855" s="48">
        <v>41639</v>
      </c>
      <c r="H5855" s="46" t="s">
        <v>651</v>
      </c>
      <c r="I5855" s="45">
        <v>2075</v>
      </c>
      <c r="J5855" s="45">
        <v>2075</v>
      </c>
      <c r="K5855" s="49" t="s">
        <v>8348</v>
      </c>
      <c r="L5855" s="46"/>
    </row>
    <row r="5856" spans="1:12" ht="25.5" x14ac:dyDescent="0.25">
      <c r="A5856" s="46" t="s">
        <v>11200</v>
      </c>
      <c r="B5856" s="46" t="s">
        <v>38</v>
      </c>
      <c r="C5856" s="46" t="s">
        <v>14</v>
      </c>
      <c r="D5856" s="47">
        <v>12743</v>
      </c>
      <c r="E5856" s="46" t="s">
        <v>11201</v>
      </c>
      <c r="F5856" s="48">
        <v>41604</v>
      </c>
      <c r="G5856" s="48">
        <v>41632</v>
      </c>
      <c r="H5856" s="46" t="s">
        <v>651</v>
      </c>
      <c r="I5856" s="45">
        <v>1421.2</v>
      </c>
      <c r="J5856" s="45">
        <v>1421.2</v>
      </c>
      <c r="K5856" s="49" t="s">
        <v>8348</v>
      </c>
      <c r="L5856" s="46"/>
    </row>
    <row r="5857" spans="1:13" ht="25.5" x14ac:dyDescent="0.25">
      <c r="A5857" s="46" t="s">
        <v>11202</v>
      </c>
      <c r="B5857" s="46" t="s">
        <v>38</v>
      </c>
      <c r="C5857" s="46" t="s">
        <v>14</v>
      </c>
      <c r="D5857" s="47">
        <v>12744</v>
      </c>
      <c r="E5857" s="46" t="s">
        <v>8821</v>
      </c>
      <c r="F5857" s="48">
        <v>41275</v>
      </c>
      <c r="G5857" s="48">
        <v>41639</v>
      </c>
      <c r="H5857" s="46" t="s">
        <v>651</v>
      </c>
      <c r="I5857" s="45">
        <v>226</v>
      </c>
      <c r="J5857" s="45">
        <v>226.5</v>
      </c>
      <c r="K5857" s="49" t="s">
        <v>8348</v>
      </c>
      <c r="L5857" s="46"/>
    </row>
    <row r="5858" spans="1:13" ht="25.5" x14ac:dyDescent="0.25">
      <c r="A5858" s="46" t="s">
        <v>2491</v>
      </c>
      <c r="B5858" s="46" t="s">
        <v>38</v>
      </c>
      <c r="C5858" s="46" t="s">
        <v>14</v>
      </c>
      <c r="D5858" s="47">
        <v>3093</v>
      </c>
      <c r="E5858" s="46" t="s">
        <v>8976</v>
      </c>
      <c r="F5858" s="48">
        <v>39462</v>
      </c>
      <c r="G5858" s="48">
        <v>39838</v>
      </c>
      <c r="H5858" s="46" t="s">
        <v>40</v>
      </c>
      <c r="I5858" s="45">
        <v>6684.74</v>
      </c>
      <c r="J5858" s="45">
        <v>8661.74</v>
      </c>
      <c r="K5858" s="49" t="s">
        <v>8905</v>
      </c>
      <c r="L5858" s="45"/>
      <c r="M5858" s="3"/>
    </row>
    <row r="5859" spans="1:13" ht="25.5" x14ac:dyDescent="0.25">
      <c r="A5859" s="46" t="s">
        <v>8977</v>
      </c>
      <c r="B5859" s="46" t="s">
        <v>38</v>
      </c>
      <c r="C5859" s="46" t="s">
        <v>14</v>
      </c>
      <c r="D5859" s="47">
        <v>3094</v>
      </c>
      <c r="E5859" s="46" t="s">
        <v>8978</v>
      </c>
      <c r="F5859" s="48">
        <v>39083</v>
      </c>
      <c r="G5859" s="48">
        <v>40178</v>
      </c>
      <c r="H5859" s="46" t="s">
        <v>40</v>
      </c>
      <c r="I5859" s="45">
        <v>38344.35</v>
      </c>
      <c r="J5859" s="45">
        <v>29812.81</v>
      </c>
      <c r="K5859" s="49" t="s">
        <v>8905</v>
      </c>
      <c r="L5859" s="45"/>
      <c r="M5859" s="3"/>
    </row>
    <row r="5860" spans="1:13" ht="25.5" x14ac:dyDescent="0.25">
      <c r="A5860" s="46" t="s">
        <v>2282</v>
      </c>
      <c r="B5860" s="46" t="s">
        <v>38</v>
      </c>
      <c r="C5860" s="46" t="s">
        <v>14</v>
      </c>
      <c r="D5860" s="47">
        <v>3095</v>
      </c>
      <c r="E5860" s="46" t="s">
        <v>8979</v>
      </c>
      <c r="F5860" s="48">
        <v>39083</v>
      </c>
      <c r="G5860" s="46"/>
      <c r="H5860" s="46" t="s">
        <v>40</v>
      </c>
      <c r="I5860" s="45">
        <f>87388.74+10822.94</f>
        <v>98211.680000000008</v>
      </c>
      <c r="J5860" s="45">
        <f>66185.8+10822.94</f>
        <v>77008.740000000005</v>
      </c>
      <c r="K5860" s="49" t="s">
        <v>8905</v>
      </c>
      <c r="L5860" s="45"/>
      <c r="M5860" s="3"/>
    </row>
    <row r="5861" spans="1:13" ht="25.5" x14ac:dyDescent="0.25">
      <c r="A5861" s="46" t="s">
        <v>8980</v>
      </c>
      <c r="B5861" s="46" t="s">
        <v>38</v>
      </c>
      <c r="C5861" s="46" t="s">
        <v>14</v>
      </c>
      <c r="D5861" s="47">
        <v>3096</v>
      </c>
      <c r="E5861" s="46" t="s">
        <v>8981</v>
      </c>
      <c r="F5861" s="48">
        <v>39083</v>
      </c>
      <c r="G5861" s="48">
        <v>40178</v>
      </c>
      <c r="H5861" s="46" t="s">
        <v>40</v>
      </c>
      <c r="I5861" s="45">
        <v>24721.18</v>
      </c>
      <c r="J5861" s="45">
        <v>24721.18</v>
      </c>
      <c r="K5861" s="49" t="s">
        <v>8905</v>
      </c>
      <c r="L5861" s="45"/>
      <c r="M5861" s="3"/>
    </row>
    <row r="5862" spans="1:13" ht="25.5" x14ac:dyDescent="0.25">
      <c r="A5862" s="46" t="s">
        <v>2284</v>
      </c>
      <c r="B5862" s="46" t="s">
        <v>38</v>
      </c>
      <c r="C5862" s="46" t="s">
        <v>14</v>
      </c>
      <c r="D5862" s="47">
        <v>3097</v>
      </c>
      <c r="E5862" s="46" t="s">
        <v>8982</v>
      </c>
      <c r="F5862" s="48">
        <v>39083</v>
      </c>
      <c r="G5862" s="46"/>
      <c r="H5862" s="46" t="s">
        <v>40</v>
      </c>
      <c r="I5862" s="45">
        <f>431081.97+58680.09</f>
        <v>489762.05999999994</v>
      </c>
      <c r="J5862" s="45">
        <f>368036.88+58680.09</f>
        <v>426716.97</v>
      </c>
      <c r="K5862" s="49" t="s">
        <v>8905</v>
      </c>
      <c r="L5862" s="45"/>
      <c r="M5862" s="3"/>
    </row>
    <row r="5863" spans="1:13" ht="25.5" x14ac:dyDescent="0.25">
      <c r="A5863" s="46" t="s">
        <v>8983</v>
      </c>
      <c r="B5863" s="46" t="s">
        <v>38</v>
      </c>
      <c r="C5863" s="46" t="s">
        <v>14</v>
      </c>
      <c r="D5863" s="47">
        <v>3098</v>
      </c>
      <c r="E5863" s="46" t="s">
        <v>8984</v>
      </c>
      <c r="F5863" s="48">
        <v>39083</v>
      </c>
      <c r="G5863" s="46"/>
      <c r="H5863" s="46" t="s">
        <v>40</v>
      </c>
      <c r="I5863" s="45">
        <f>25550.21+8092.65</f>
        <v>33642.86</v>
      </c>
      <c r="J5863" s="45">
        <v>20752.21</v>
      </c>
      <c r="K5863" s="49" t="s">
        <v>8905</v>
      </c>
      <c r="L5863" s="45"/>
      <c r="M5863" s="3"/>
    </row>
    <row r="5864" spans="1:13" ht="25.5" x14ac:dyDescent="0.25">
      <c r="A5864" s="46" t="s">
        <v>8985</v>
      </c>
      <c r="B5864" s="46" t="s">
        <v>38</v>
      </c>
      <c r="C5864" s="46" t="s">
        <v>14</v>
      </c>
      <c r="D5864" s="47">
        <v>3099</v>
      </c>
      <c r="E5864" s="46" t="s">
        <v>8986</v>
      </c>
      <c r="F5864" s="48">
        <v>39083</v>
      </c>
      <c r="G5864" s="48">
        <v>40178</v>
      </c>
      <c r="H5864" s="46" t="s">
        <v>40</v>
      </c>
      <c r="I5864" s="45">
        <v>146172.16</v>
      </c>
      <c r="J5864" s="45">
        <v>144507.16</v>
      </c>
      <c r="K5864" s="49" t="s">
        <v>8905</v>
      </c>
      <c r="L5864" s="45"/>
      <c r="M5864" s="3"/>
    </row>
    <row r="5865" spans="1:13" ht="25.5" x14ac:dyDescent="0.25">
      <c r="A5865" s="46" t="s">
        <v>8987</v>
      </c>
      <c r="B5865" s="46" t="s">
        <v>38</v>
      </c>
      <c r="C5865" s="46" t="s">
        <v>14</v>
      </c>
      <c r="D5865" s="47">
        <v>3100</v>
      </c>
      <c r="E5865" s="46" t="s">
        <v>8988</v>
      </c>
      <c r="F5865" s="48">
        <v>39083</v>
      </c>
      <c r="G5865" s="48">
        <v>39813</v>
      </c>
      <c r="H5865" s="46" t="s">
        <v>40</v>
      </c>
      <c r="I5865" s="45">
        <v>4400</v>
      </c>
      <c r="J5865" s="45">
        <v>4100</v>
      </c>
      <c r="K5865" s="49" t="s">
        <v>8905</v>
      </c>
      <c r="L5865" s="45"/>
      <c r="M5865" s="3"/>
    </row>
    <row r="5866" spans="1:13" ht="25.5" x14ac:dyDescent="0.25">
      <c r="A5866" s="46" t="s">
        <v>8989</v>
      </c>
      <c r="B5866" s="46" t="s">
        <v>38</v>
      </c>
      <c r="C5866" s="46" t="s">
        <v>14</v>
      </c>
      <c r="D5866" s="47">
        <v>3101</v>
      </c>
      <c r="E5866" s="46" t="s">
        <v>8990</v>
      </c>
      <c r="F5866" s="48">
        <v>39083</v>
      </c>
      <c r="G5866" s="48">
        <v>40543</v>
      </c>
      <c r="H5866" s="46" t="s">
        <v>40</v>
      </c>
      <c r="I5866" s="45">
        <v>26658.67</v>
      </c>
      <c r="J5866" s="45">
        <v>26658.67</v>
      </c>
      <c r="K5866" s="49" t="s">
        <v>8905</v>
      </c>
      <c r="L5866" s="45"/>
      <c r="M5866" s="3"/>
    </row>
    <row r="5867" spans="1:13" ht="25.5" x14ac:dyDescent="0.25">
      <c r="A5867" s="46" t="s">
        <v>8991</v>
      </c>
      <c r="B5867" s="46" t="s">
        <v>38</v>
      </c>
      <c r="C5867" s="46" t="s">
        <v>14</v>
      </c>
      <c r="D5867" s="47">
        <v>3102</v>
      </c>
      <c r="E5867" s="46" t="s">
        <v>8992</v>
      </c>
      <c r="F5867" s="48">
        <v>39083</v>
      </c>
      <c r="G5867" s="46"/>
      <c r="H5867" s="46" t="s">
        <v>40</v>
      </c>
      <c r="I5867" s="45">
        <v>6016.74</v>
      </c>
      <c r="J5867" s="45">
        <v>6016.74</v>
      </c>
      <c r="K5867" s="49" t="s">
        <v>8905</v>
      </c>
      <c r="L5867" s="45"/>
      <c r="M5867" s="3"/>
    </row>
    <row r="5868" spans="1:13" ht="25.5" x14ac:dyDescent="0.25">
      <c r="A5868" s="46" t="s">
        <v>8993</v>
      </c>
      <c r="B5868" s="46" t="s">
        <v>38</v>
      </c>
      <c r="C5868" s="46" t="s">
        <v>14</v>
      </c>
      <c r="D5868" s="47">
        <v>3103</v>
      </c>
      <c r="E5868" s="46" t="s">
        <v>8994</v>
      </c>
      <c r="F5868" s="48">
        <v>39083</v>
      </c>
      <c r="G5868" s="48">
        <v>39813</v>
      </c>
      <c r="H5868" s="46" t="s">
        <v>40</v>
      </c>
      <c r="I5868" s="45">
        <f>59946.6+5968.5</f>
        <v>65915.100000000006</v>
      </c>
      <c r="J5868" s="45">
        <f>38775.14+3600</f>
        <v>42375.14</v>
      </c>
      <c r="K5868" s="49" t="s">
        <v>8905</v>
      </c>
      <c r="L5868" s="45"/>
      <c r="M5868" s="3"/>
    </row>
    <row r="5869" spans="1:13" ht="25.5" x14ac:dyDescent="0.25">
      <c r="A5869" s="46" t="s">
        <v>8019</v>
      </c>
      <c r="B5869" s="46" t="s">
        <v>38</v>
      </c>
      <c r="C5869" s="46" t="s">
        <v>14</v>
      </c>
      <c r="D5869" s="47">
        <v>3104</v>
      </c>
      <c r="E5869" s="46" t="s">
        <v>8995</v>
      </c>
      <c r="F5869" s="48">
        <v>39083</v>
      </c>
      <c r="G5869" s="46"/>
      <c r="H5869" s="46" t="s">
        <v>40</v>
      </c>
      <c r="I5869" s="45">
        <f>61109.86+5496</f>
        <v>66605.86</v>
      </c>
      <c r="J5869" s="45">
        <f>55613.86+5496</f>
        <v>61109.86</v>
      </c>
      <c r="K5869" s="49" t="s">
        <v>8905</v>
      </c>
      <c r="L5869" s="45"/>
      <c r="M5869" s="3"/>
    </row>
    <row r="5870" spans="1:13" ht="25.5" x14ac:dyDescent="0.25">
      <c r="A5870" s="46" t="s">
        <v>8996</v>
      </c>
      <c r="B5870" s="46" t="s">
        <v>38</v>
      </c>
      <c r="C5870" s="46" t="s">
        <v>14</v>
      </c>
      <c r="D5870" s="47">
        <v>3105</v>
      </c>
      <c r="E5870" s="46" t="s">
        <v>8997</v>
      </c>
      <c r="F5870" s="48">
        <v>39083</v>
      </c>
      <c r="G5870" s="48">
        <v>39813</v>
      </c>
      <c r="H5870" s="46" t="s">
        <v>40</v>
      </c>
      <c r="I5870" s="45">
        <v>1554.9</v>
      </c>
      <c r="J5870" s="45">
        <v>1554.9</v>
      </c>
      <c r="K5870" s="49" t="s">
        <v>8905</v>
      </c>
      <c r="L5870" s="45"/>
      <c r="M5870" s="3"/>
    </row>
    <row r="5871" spans="1:13" ht="25.5" x14ac:dyDescent="0.25">
      <c r="A5871" s="46" t="s">
        <v>8998</v>
      </c>
      <c r="B5871" s="46" t="s">
        <v>38</v>
      </c>
      <c r="C5871" s="46" t="s">
        <v>14</v>
      </c>
      <c r="D5871" s="47">
        <v>3106</v>
      </c>
      <c r="E5871" s="46" t="s">
        <v>8999</v>
      </c>
      <c r="F5871" s="48">
        <v>39083</v>
      </c>
      <c r="G5871" s="46"/>
      <c r="H5871" s="46" t="s">
        <v>40</v>
      </c>
      <c r="I5871" s="45">
        <v>7750</v>
      </c>
      <c r="J5871" s="45">
        <v>7750</v>
      </c>
      <c r="K5871" s="49" t="s">
        <v>8905</v>
      </c>
      <c r="L5871" s="45"/>
      <c r="M5871" s="3"/>
    </row>
    <row r="5872" spans="1:13" ht="25.5" x14ac:dyDescent="0.25">
      <c r="A5872" s="46" t="s">
        <v>9000</v>
      </c>
      <c r="B5872" s="46" t="s">
        <v>38</v>
      </c>
      <c r="C5872" s="46" t="s">
        <v>14</v>
      </c>
      <c r="D5872" s="47">
        <v>3107</v>
      </c>
      <c r="E5872" s="46" t="s">
        <v>9001</v>
      </c>
      <c r="F5872" s="48">
        <v>39083</v>
      </c>
      <c r="G5872" s="48">
        <v>39113</v>
      </c>
      <c r="H5872" s="46" t="s">
        <v>40</v>
      </c>
      <c r="I5872" s="45">
        <v>1224.4000000000001</v>
      </c>
      <c r="J5872" s="45">
        <v>1224.4000000000001</v>
      </c>
      <c r="K5872" s="49" t="s">
        <v>8905</v>
      </c>
      <c r="L5872" s="45"/>
      <c r="M5872" s="3"/>
    </row>
    <row r="5873" spans="1:13" ht="25.5" x14ac:dyDescent="0.25">
      <c r="A5873" s="46" t="s">
        <v>9002</v>
      </c>
      <c r="B5873" s="46" t="s">
        <v>38</v>
      </c>
      <c r="C5873" s="46" t="s">
        <v>14</v>
      </c>
      <c r="D5873" s="47">
        <v>3108</v>
      </c>
      <c r="E5873" s="46" t="s">
        <v>9003</v>
      </c>
      <c r="F5873" s="48">
        <v>39083</v>
      </c>
      <c r="G5873" s="48">
        <v>39447</v>
      </c>
      <c r="H5873" s="46" t="s">
        <v>40</v>
      </c>
      <c r="I5873" s="45">
        <v>3000</v>
      </c>
      <c r="J5873" s="45">
        <v>3000</v>
      </c>
      <c r="K5873" s="49" t="s">
        <v>8905</v>
      </c>
      <c r="L5873" s="45"/>
      <c r="M5873" s="3"/>
    </row>
    <row r="5874" spans="1:13" ht="25.5" x14ac:dyDescent="0.25">
      <c r="A5874" s="46" t="s">
        <v>9004</v>
      </c>
      <c r="B5874" s="46" t="s">
        <v>38</v>
      </c>
      <c r="C5874" s="46" t="s">
        <v>14</v>
      </c>
      <c r="D5874" s="47">
        <v>3109</v>
      </c>
      <c r="E5874" s="46" t="s">
        <v>9004</v>
      </c>
      <c r="F5874" s="48">
        <v>39083</v>
      </c>
      <c r="G5874" s="48">
        <v>39447</v>
      </c>
      <c r="H5874" s="46" t="s">
        <v>40</v>
      </c>
      <c r="I5874" s="45">
        <v>5996.87</v>
      </c>
      <c r="J5874" s="45">
        <v>5121.87</v>
      </c>
      <c r="K5874" s="49" t="s">
        <v>8905</v>
      </c>
      <c r="L5874" s="45"/>
      <c r="M5874" s="3"/>
    </row>
    <row r="5875" spans="1:13" ht="25.5" x14ac:dyDescent="0.25">
      <c r="A5875" s="46" t="s">
        <v>9005</v>
      </c>
      <c r="B5875" s="46" t="s">
        <v>38</v>
      </c>
      <c r="C5875" s="46" t="s">
        <v>14</v>
      </c>
      <c r="D5875" s="47">
        <v>3110</v>
      </c>
      <c r="E5875" s="46" t="s">
        <v>9006</v>
      </c>
      <c r="F5875" s="48">
        <v>39083</v>
      </c>
      <c r="G5875" s="48">
        <v>39813</v>
      </c>
      <c r="H5875" s="46" t="s">
        <v>40</v>
      </c>
      <c r="I5875" s="45">
        <v>3089.8</v>
      </c>
      <c r="J5875" s="45">
        <v>1089.8</v>
      </c>
      <c r="K5875" s="49" t="s">
        <v>8905</v>
      </c>
      <c r="L5875" s="45"/>
      <c r="M5875" s="3"/>
    </row>
    <row r="5876" spans="1:13" ht="25.5" x14ac:dyDescent="0.25">
      <c r="A5876" s="46" t="s">
        <v>9007</v>
      </c>
      <c r="B5876" s="46" t="s">
        <v>38</v>
      </c>
      <c r="C5876" s="46" t="s">
        <v>14</v>
      </c>
      <c r="D5876" s="47">
        <v>3111</v>
      </c>
      <c r="E5876" s="46" t="s">
        <v>9008</v>
      </c>
      <c r="F5876" s="48">
        <v>39083</v>
      </c>
      <c r="G5876" s="46"/>
      <c r="H5876" s="46" t="s">
        <v>40</v>
      </c>
      <c r="I5876" s="45">
        <v>12010</v>
      </c>
      <c r="J5876" s="45">
        <v>12010</v>
      </c>
      <c r="K5876" s="49" t="s">
        <v>8905</v>
      </c>
      <c r="L5876" s="45"/>
      <c r="M5876" s="3"/>
    </row>
    <row r="5877" spans="1:13" ht="38.25" x14ac:dyDescent="0.25">
      <c r="A5877" s="46" t="s">
        <v>9009</v>
      </c>
      <c r="B5877" s="46" t="s">
        <v>38</v>
      </c>
      <c r="C5877" s="46" t="s">
        <v>14</v>
      </c>
      <c r="D5877" s="47">
        <v>3112</v>
      </c>
      <c r="E5877" s="46" t="s">
        <v>9010</v>
      </c>
      <c r="F5877" s="48">
        <v>39083</v>
      </c>
      <c r="G5877" s="48">
        <v>40178</v>
      </c>
      <c r="H5877" s="46" t="s">
        <v>40</v>
      </c>
      <c r="I5877" s="45">
        <v>11177.26</v>
      </c>
      <c r="J5877" s="45">
        <v>9877.26</v>
      </c>
      <c r="K5877" s="49" t="s">
        <v>8905</v>
      </c>
      <c r="L5877" s="45"/>
      <c r="M5877" s="3"/>
    </row>
    <row r="5878" spans="1:13" ht="25.5" x14ac:dyDescent="0.25">
      <c r="A5878" s="46" t="s">
        <v>9011</v>
      </c>
      <c r="B5878" s="46" t="s">
        <v>38</v>
      </c>
      <c r="C5878" s="46" t="s">
        <v>14</v>
      </c>
      <c r="D5878" s="47">
        <v>3113</v>
      </c>
      <c r="E5878" s="46" t="s">
        <v>9012</v>
      </c>
      <c r="F5878" s="48">
        <v>39083</v>
      </c>
      <c r="G5878" s="48">
        <v>39813</v>
      </c>
      <c r="H5878" s="46" t="s">
        <v>40</v>
      </c>
      <c r="I5878" s="45">
        <v>2338.75</v>
      </c>
      <c r="J5878" s="45">
        <v>2018.75</v>
      </c>
      <c r="K5878" s="49" t="s">
        <v>8905</v>
      </c>
      <c r="L5878" s="45"/>
      <c r="M5878" s="3"/>
    </row>
    <row r="5879" spans="1:13" ht="25.5" x14ac:dyDescent="0.25">
      <c r="A5879" s="46" t="s">
        <v>6255</v>
      </c>
      <c r="B5879" s="46" t="s">
        <v>38</v>
      </c>
      <c r="C5879" s="46" t="s">
        <v>14</v>
      </c>
      <c r="D5879" s="47">
        <v>3114</v>
      </c>
      <c r="E5879" s="46" t="s">
        <v>9013</v>
      </c>
      <c r="F5879" s="48">
        <v>39083</v>
      </c>
      <c r="G5879" s="48">
        <v>39813</v>
      </c>
      <c r="H5879" s="46" t="s">
        <v>40</v>
      </c>
      <c r="I5879" s="45">
        <v>965.8</v>
      </c>
      <c r="J5879" s="45">
        <v>115.8</v>
      </c>
      <c r="K5879" s="49" t="s">
        <v>8905</v>
      </c>
      <c r="L5879" s="45"/>
      <c r="M5879" s="3"/>
    </row>
    <row r="5880" spans="1:13" ht="25.5" x14ac:dyDescent="0.25">
      <c r="A5880" s="46" t="s">
        <v>9014</v>
      </c>
      <c r="B5880" s="46" t="s">
        <v>38</v>
      </c>
      <c r="C5880" s="46" t="s">
        <v>14</v>
      </c>
      <c r="D5880" s="47">
        <v>3115</v>
      </c>
      <c r="E5880" s="46" t="s">
        <v>9014</v>
      </c>
      <c r="F5880" s="48">
        <v>39083</v>
      </c>
      <c r="G5880" s="48">
        <v>39813</v>
      </c>
      <c r="H5880" s="46" t="s">
        <v>40</v>
      </c>
      <c r="I5880" s="45">
        <v>5778.8</v>
      </c>
      <c r="J5880" s="45">
        <v>5353.8</v>
      </c>
      <c r="K5880" s="49" t="s">
        <v>8905</v>
      </c>
      <c r="L5880" s="45"/>
      <c r="M5880" s="3"/>
    </row>
    <row r="5881" spans="1:13" ht="25.5" x14ac:dyDescent="0.25">
      <c r="A5881" s="46" t="s">
        <v>9015</v>
      </c>
      <c r="B5881" s="46" t="s">
        <v>38</v>
      </c>
      <c r="C5881" s="46" t="s">
        <v>14</v>
      </c>
      <c r="D5881" s="47">
        <v>3116</v>
      </c>
      <c r="E5881" s="46" t="s">
        <v>9016</v>
      </c>
      <c r="F5881" s="48">
        <v>39083</v>
      </c>
      <c r="G5881" s="48">
        <v>39447</v>
      </c>
      <c r="H5881" s="46" t="s">
        <v>40</v>
      </c>
      <c r="I5881" s="45">
        <v>210</v>
      </c>
      <c r="J5881" s="45">
        <v>210</v>
      </c>
      <c r="K5881" s="49" t="s">
        <v>8905</v>
      </c>
      <c r="L5881" s="45"/>
      <c r="M5881" s="3"/>
    </row>
    <row r="5882" spans="1:13" ht="38.25" x14ac:dyDescent="0.25">
      <c r="A5882" s="46" t="s">
        <v>9017</v>
      </c>
      <c r="B5882" s="46" t="s">
        <v>38</v>
      </c>
      <c r="C5882" s="46" t="s">
        <v>14</v>
      </c>
      <c r="D5882" s="47">
        <v>3117</v>
      </c>
      <c r="E5882" s="46" t="s">
        <v>9018</v>
      </c>
      <c r="F5882" s="48">
        <v>39083</v>
      </c>
      <c r="G5882" s="48">
        <v>39447</v>
      </c>
      <c r="H5882" s="46" t="s">
        <v>40</v>
      </c>
      <c r="I5882" s="45">
        <v>6085.6</v>
      </c>
      <c r="J5882" s="45">
        <v>6085.6</v>
      </c>
      <c r="K5882" s="49" t="s">
        <v>8905</v>
      </c>
      <c r="L5882" s="45"/>
      <c r="M5882" s="3"/>
    </row>
    <row r="5883" spans="1:13" ht="25.5" x14ac:dyDescent="0.25">
      <c r="A5883" s="46" t="s">
        <v>9019</v>
      </c>
      <c r="B5883" s="46" t="s">
        <v>38</v>
      </c>
      <c r="C5883" s="46" t="s">
        <v>14</v>
      </c>
      <c r="D5883" s="47">
        <v>3118</v>
      </c>
      <c r="E5883" s="46" t="s">
        <v>9020</v>
      </c>
      <c r="F5883" s="48">
        <v>39083</v>
      </c>
      <c r="G5883" s="48">
        <v>40178</v>
      </c>
      <c r="H5883" s="46" t="s">
        <v>40</v>
      </c>
      <c r="I5883" s="45">
        <v>32688.93</v>
      </c>
      <c r="J5883" s="45">
        <v>31188.93</v>
      </c>
      <c r="K5883" s="49" t="s">
        <v>8905</v>
      </c>
      <c r="L5883" s="45"/>
      <c r="M5883" s="3"/>
    </row>
    <row r="5884" spans="1:13" ht="25.5" x14ac:dyDescent="0.25">
      <c r="A5884" s="46" t="s">
        <v>9021</v>
      </c>
      <c r="B5884" s="46" t="s">
        <v>38</v>
      </c>
      <c r="C5884" s="46" t="s">
        <v>14</v>
      </c>
      <c r="D5884" s="47">
        <v>3119</v>
      </c>
      <c r="E5884" s="46" t="s">
        <v>9022</v>
      </c>
      <c r="F5884" s="48">
        <v>39083</v>
      </c>
      <c r="G5884" s="48">
        <v>39813</v>
      </c>
      <c r="H5884" s="46" t="s">
        <v>40</v>
      </c>
      <c r="I5884" s="45">
        <v>10890</v>
      </c>
      <c r="J5884" s="45">
        <v>10890</v>
      </c>
      <c r="K5884" s="49" t="s">
        <v>8905</v>
      </c>
      <c r="L5884" s="45"/>
      <c r="M5884" s="3"/>
    </row>
    <row r="5885" spans="1:13" ht="25.5" x14ac:dyDescent="0.25">
      <c r="A5885" s="46" t="s">
        <v>9023</v>
      </c>
      <c r="B5885" s="46" t="s">
        <v>38</v>
      </c>
      <c r="C5885" s="46" t="s">
        <v>14</v>
      </c>
      <c r="D5885" s="47">
        <v>3120</v>
      </c>
      <c r="E5885" s="46" t="s">
        <v>9024</v>
      </c>
      <c r="F5885" s="48">
        <v>39083</v>
      </c>
      <c r="G5885" s="48">
        <v>39813</v>
      </c>
      <c r="H5885" s="46" t="s">
        <v>40</v>
      </c>
      <c r="I5885" s="45">
        <v>267891.67</v>
      </c>
      <c r="J5885" s="45">
        <v>207891.67</v>
      </c>
      <c r="K5885" s="49" t="s">
        <v>8905</v>
      </c>
      <c r="L5885" s="45"/>
      <c r="M5885" s="3"/>
    </row>
    <row r="5886" spans="1:13" ht="25.5" x14ac:dyDescent="0.25">
      <c r="A5886" s="46" t="s">
        <v>9025</v>
      </c>
      <c r="B5886" s="46" t="s">
        <v>38</v>
      </c>
      <c r="C5886" s="46" t="s">
        <v>14</v>
      </c>
      <c r="D5886" s="47">
        <v>3121</v>
      </c>
      <c r="E5886" s="46" t="s">
        <v>9026</v>
      </c>
      <c r="F5886" s="48">
        <v>39083</v>
      </c>
      <c r="G5886" s="48">
        <v>39447</v>
      </c>
      <c r="H5886" s="46" t="s">
        <v>40</v>
      </c>
      <c r="I5886" s="45">
        <v>12000</v>
      </c>
      <c r="J5886" s="45">
        <v>12000</v>
      </c>
      <c r="K5886" s="49" t="s">
        <v>8905</v>
      </c>
      <c r="L5886" s="45"/>
      <c r="M5886" s="3"/>
    </row>
    <row r="5887" spans="1:13" ht="25.5" x14ac:dyDescent="0.25">
      <c r="A5887" s="46" t="s">
        <v>9027</v>
      </c>
      <c r="B5887" s="46" t="s">
        <v>38</v>
      </c>
      <c r="C5887" s="46" t="s">
        <v>14</v>
      </c>
      <c r="D5887" s="47">
        <v>3122</v>
      </c>
      <c r="E5887" s="46" t="s">
        <v>9028</v>
      </c>
      <c r="F5887" s="48">
        <v>39448</v>
      </c>
      <c r="G5887" s="48">
        <v>39813</v>
      </c>
      <c r="H5887" s="46" t="s">
        <v>40</v>
      </c>
      <c r="I5887" s="45">
        <v>2913.52</v>
      </c>
      <c r="J5887" s="45">
        <v>1863.52</v>
      </c>
      <c r="K5887" s="49" t="s">
        <v>8905</v>
      </c>
      <c r="L5887" s="45"/>
      <c r="M5887" s="3"/>
    </row>
    <row r="5888" spans="1:13" ht="25.5" x14ac:dyDescent="0.25">
      <c r="A5888" s="46" t="s">
        <v>9029</v>
      </c>
      <c r="B5888" s="46" t="s">
        <v>38</v>
      </c>
      <c r="C5888" s="46" t="s">
        <v>14</v>
      </c>
      <c r="D5888" s="47">
        <v>3123</v>
      </c>
      <c r="E5888" s="46" t="s">
        <v>9030</v>
      </c>
      <c r="F5888" s="48">
        <v>39448</v>
      </c>
      <c r="G5888" s="46"/>
      <c r="H5888" s="46" t="s">
        <v>40</v>
      </c>
      <c r="I5888" s="45">
        <f>35495.28+6000</f>
        <v>41495.279999999999</v>
      </c>
      <c r="J5888" s="45">
        <f>29495.28+6000</f>
        <v>35495.279999999999</v>
      </c>
      <c r="K5888" s="49" t="s">
        <v>8905</v>
      </c>
      <c r="L5888" s="45"/>
      <c r="M5888" s="3"/>
    </row>
    <row r="5889" spans="1:13" ht="25.5" x14ac:dyDescent="0.25">
      <c r="A5889" s="46" t="s">
        <v>9031</v>
      </c>
      <c r="B5889" s="46" t="s">
        <v>38</v>
      </c>
      <c r="C5889" s="46" t="s">
        <v>14</v>
      </c>
      <c r="D5889" s="47">
        <v>3124</v>
      </c>
      <c r="E5889" s="46" t="s">
        <v>9032</v>
      </c>
      <c r="F5889" s="48">
        <v>39448</v>
      </c>
      <c r="G5889" s="48">
        <v>40178</v>
      </c>
      <c r="H5889" s="46" t="s">
        <v>40</v>
      </c>
      <c r="I5889" s="45">
        <v>37395</v>
      </c>
      <c r="J5889" s="45">
        <v>34645</v>
      </c>
      <c r="K5889" s="49" t="s">
        <v>8905</v>
      </c>
      <c r="L5889" s="45"/>
      <c r="M5889" s="3"/>
    </row>
    <row r="5890" spans="1:13" ht="25.5" x14ac:dyDescent="0.25">
      <c r="A5890" s="46" t="s">
        <v>9033</v>
      </c>
      <c r="B5890" s="46" t="s">
        <v>38</v>
      </c>
      <c r="C5890" s="46" t="s">
        <v>14</v>
      </c>
      <c r="D5890" s="47">
        <v>3125</v>
      </c>
      <c r="E5890" s="46" t="s">
        <v>9034</v>
      </c>
      <c r="F5890" s="48">
        <v>39448</v>
      </c>
      <c r="G5890" s="48">
        <v>39813</v>
      </c>
      <c r="H5890" s="46" t="s">
        <v>40</v>
      </c>
      <c r="I5890" s="45">
        <v>27953.84</v>
      </c>
      <c r="J5890" s="45">
        <v>27953.84</v>
      </c>
      <c r="K5890" s="49" t="s">
        <v>8905</v>
      </c>
      <c r="L5890" s="45"/>
      <c r="M5890" s="3"/>
    </row>
    <row r="5891" spans="1:13" ht="25.5" x14ac:dyDescent="0.25">
      <c r="A5891" s="46" t="s">
        <v>9035</v>
      </c>
      <c r="B5891" s="46" t="s">
        <v>38</v>
      </c>
      <c r="C5891" s="46" t="s">
        <v>14</v>
      </c>
      <c r="D5891" s="47">
        <v>3128</v>
      </c>
      <c r="E5891" s="46" t="s">
        <v>9036</v>
      </c>
      <c r="F5891" s="48">
        <v>39083</v>
      </c>
      <c r="G5891" s="46"/>
      <c r="H5891" s="46" t="s">
        <v>40</v>
      </c>
      <c r="I5891" s="45">
        <v>66261.05</v>
      </c>
      <c r="J5891" s="45">
        <v>53158.9</v>
      </c>
      <c r="K5891" s="49" t="s">
        <v>8905</v>
      </c>
      <c r="L5891" s="45"/>
      <c r="M5891" s="3"/>
    </row>
    <row r="5892" spans="1:13" ht="25.5" x14ac:dyDescent="0.25">
      <c r="A5892" s="46" t="s">
        <v>9037</v>
      </c>
      <c r="B5892" s="46" t="s">
        <v>38</v>
      </c>
      <c r="C5892" s="46" t="s">
        <v>14</v>
      </c>
      <c r="D5892" s="47">
        <v>3129</v>
      </c>
      <c r="E5892" s="46" t="s">
        <v>9038</v>
      </c>
      <c r="F5892" s="48">
        <v>39083</v>
      </c>
      <c r="G5892" s="48">
        <v>39813</v>
      </c>
      <c r="H5892" s="46" t="s">
        <v>40</v>
      </c>
      <c r="I5892" s="45">
        <v>2800</v>
      </c>
      <c r="J5892" s="45">
        <v>2800</v>
      </c>
      <c r="K5892" s="49" t="s">
        <v>8905</v>
      </c>
      <c r="L5892" s="45"/>
      <c r="M5892" s="3"/>
    </row>
    <row r="5893" spans="1:13" ht="25.5" x14ac:dyDescent="0.25">
      <c r="A5893" s="46" t="s">
        <v>3252</v>
      </c>
      <c r="B5893" s="46" t="s">
        <v>38</v>
      </c>
      <c r="C5893" s="46" t="s">
        <v>14</v>
      </c>
      <c r="D5893" s="47">
        <v>3130</v>
      </c>
      <c r="E5893" s="46" t="s">
        <v>9039</v>
      </c>
      <c r="F5893" s="48">
        <v>39083</v>
      </c>
      <c r="G5893" s="48">
        <v>39447</v>
      </c>
      <c r="H5893" s="46" t="s">
        <v>40</v>
      </c>
      <c r="I5893" s="45">
        <v>2719.93</v>
      </c>
      <c r="J5893" s="45">
        <v>2719.93</v>
      </c>
      <c r="K5893" s="49" t="s">
        <v>8905</v>
      </c>
      <c r="L5893" s="45"/>
      <c r="M5893" s="3"/>
    </row>
    <row r="5894" spans="1:13" ht="25.5" x14ac:dyDescent="0.25">
      <c r="A5894" s="46" t="s">
        <v>9075</v>
      </c>
      <c r="B5894" s="46" t="s">
        <v>38</v>
      </c>
      <c r="C5894" s="46" t="s">
        <v>14</v>
      </c>
      <c r="D5894" s="47">
        <v>5779</v>
      </c>
      <c r="E5894" s="46" t="s">
        <v>9076</v>
      </c>
      <c r="F5894" s="48">
        <v>39814</v>
      </c>
      <c r="G5894" s="46"/>
      <c r="H5894" s="46" t="s">
        <v>40</v>
      </c>
      <c r="I5894" s="45">
        <v>51644.160000000003</v>
      </c>
      <c r="J5894" s="45">
        <v>49394.15</v>
      </c>
      <c r="K5894" s="49" t="s">
        <v>8905</v>
      </c>
      <c r="L5894" s="45"/>
      <c r="M5894" s="3"/>
    </row>
    <row r="5895" spans="1:13" ht="25.5" x14ac:dyDescent="0.25">
      <c r="A5895" s="46" t="s">
        <v>9077</v>
      </c>
      <c r="B5895" s="46" t="s">
        <v>38</v>
      </c>
      <c r="C5895" s="46" t="s">
        <v>14</v>
      </c>
      <c r="D5895" s="47">
        <v>5780</v>
      </c>
      <c r="E5895" s="46" t="s">
        <v>9078</v>
      </c>
      <c r="F5895" s="48">
        <v>39934</v>
      </c>
      <c r="G5895" s="48">
        <v>40178</v>
      </c>
      <c r="H5895" s="46" t="s">
        <v>40</v>
      </c>
      <c r="I5895" s="45">
        <v>2351.0300000000002</v>
      </c>
      <c r="J5895" s="45">
        <v>2351.0300000000002</v>
      </c>
      <c r="K5895" s="49" t="s">
        <v>8905</v>
      </c>
      <c r="L5895" s="45"/>
      <c r="M5895" s="3"/>
    </row>
    <row r="5896" spans="1:13" ht="25.5" x14ac:dyDescent="0.25">
      <c r="A5896" s="46" t="s">
        <v>9079</v>
      </c>
      <c r="B5896" s="46" t="s">
        <v>38</v>
      </c>
      <c r="C5896" s="46" t="s">
        <v>14</v>
      </c>
      <c r="D5896" s="47">
        <v>5782</v>
      </c>
      <c r="E5896" s="46" t="s">
        <v>9080</v>
      </c>
      <c r="F5896" s="48">
        <v>39965</v>
      </c>
      <c r="G5896" s="48">
        <v>40178</v>
      </c>
      <c r="H5896" s="46" t="s">
        <v>40</v>
      </c>
      <c r="I5896" s="45">
        <v>500</v>
      </c>
      <c r="J5896" s="45">
        <v>500</v>
      </c>
      <c r="K5896" s="49" t="s">
        <v>8905</v>
      </c>
      <c r="L5896" s="45"/>
      <c r="M5896" s="3"/>
    </row>
    <row r="5897" spans="1:13" ht="25.5" x14ac:dyDescent="0.25">
      <c r="A5897" s="46" t="s">
        <v>9081</v>
      </c>
      <c r="B5897" s="46" t="s">
        <v>38</v>
      </c>
      <c r="C5897" s="46" t="s">
        <v>14</v>
      </c>
      <c r="D5897" s="47">
        <v>5783</v>
      </c>
      <c r="E5897" s="46" t="s">
        <v>9082</v>
      </c>
      <c r="F5897" s="48">
        <v>39814</v>
      </c>
      <c r="G5897" s="48">
        <v>40178</v>
      </c>
      <c r="H5897" s="46" t="s">
        <v>40</v>
      </c>
      <c r="I5897" s="45">
        <v>10603.2</v>
      </c>
      <c r="J5897" s="45">
        <v>10603.2</v>
      </c>
      <c r="K5897" s="49" t="s">
        <v>8905</v>
      </c>
      <c r="L5897" s="45"/>
      <c r="M5897" s="3"/>
    </row>
    <row r="5898" spans="1:13" ht="25.5" x14ac:dyDescent="0.25">
      <c r="A5898" s="46" t="s">
        <v>9083</v>
      </c>
      <c r="B5898" s="46" t="s">
        <v>38</v>
      </c>
      <c r="C5898" s="46" t="s">
        <v>14</v>
      </c>
      <c r="D5898" s="47">
        <v>5785</v>
      </c>
      <c r="E5898" s="46" t="s">
        <v>9084</v>
      </c>
      <c r="F5898" s="48">
        <v>39814</v>
      </c>
      <c r="G5898" s="48">
        <v>40178</v>
      </c>
      <c r="H5898" s="46" t="s">
        <v>40</v>
      </c>
      <c r="I5898" s="45">
        <v>3401.59</v>
      </c>
      <c r="J5898" s="45">
        <v>3401.59</v>
      </c>
      <c r="K5898" s="49" t="s">
        <v>8905</v>
      </c>
      <c r="L5898" s="45"/>
      <c r="M5898" s="3"/>
    </row>
    <row r="5899" spans="1:13" ht="25.5" x14ac:dyDescent="0.25">
      <c r="A5899" s="46" t="s">
        <v>9085</v>
      </c>
      <c r="B5899" s="46" t="s">
        <v>38</v>
      </c>
      <c r="C5899" s="46" t="s">
        <v>14</v>
      </c>
      <c r="D5899" s="47">
        <v>5786</v>
      </c>
      <c r="E5899" s="46" t="s">
        <v>9086</v>
      </c>
      <c r="F5899" s="48">
        <v>40026</v>
      </c>
      <c r="G5899" s="48">
        <v>40178</v>
      </c>
      <c r="H5899" s="46" t="s">
        <v>40</v>
      </c>
      <c r="I5899" s="45">
        <v>2972.31</v>
      </c>
      <c r="J5899" s="45">
        <v>2972.31</v>
      </c>
      <c r="K5899" s="49" t="s">
        <v>8905</v>
      </c>
      <c r="L5899" s="45"/>
      <c r="M5899" s="3"/>
    </row>
    <row r="5900" spans="1:13" ht="25.5" x14ac:dyDescent="0.25">
      <c r="A5900" s="46" t="s">
        <v>9087</v>
      </c>
      <c r="B5900" s="46" t="s">
        <v>38</v>
      </c>
      <c r="C5900" s="46" t="s">
        <v>14</v>
      </c>
      <c r="D5900" s="47">
        <v>5788</v>
      </c>
      <c r="E5900" s="46" t="s">
        <v>9088</v>
      </c>
      <c r="F5900" s="48">
        <v>39814</v>
      </c>
      <c r="G5900" s="48">
        <v>40543</v>
      </c>
      <c r="H5900" s="46" t="s">
        <v>40</v>
      </c>
      <c r="I5900" s="45">
        <v>4293.3</v>
      </c>
      <c r="J5900" s="45">
        <v>4133.3</v>
      </c>
      <c r="K5900" s="49" t="s">
        <v>8905</v>
      </c>
      <c r="L5900" s="45"/>
      <c r="M5900" s="3"/>
    </row>
    <row r="5901" spans="1:13" ht="25.5" x14ac:dyDescent="0.25">
      <c r="A5901" s="46" t="s">
        <v>9089</v>
      </c>
      <c r="B5901" s="46" t="s">
        <v>38</v>
      </c>
      <c r="C5901" s="46" t="s">
        <v>14</v>
      </c>
      <c r="D5901" s="47">
        <v>5789</v>
      </c>
      <c r="E5901" s="46" t="s">
        <v>9090</v>
      </c>
      <c r="F5901" s="48">
        <v>39814</v>
      </c>
      <c r="G5901" s="48">
        <v>40178</v>
      </c>
      <c r="H5901" s="46" t="s">
        <v>40</v>
      </c>
      <c r="I5901" s="45">
        <v>6000</v>
      </c>
      <c r="J5901" s="45">
        <v>6000</v>
      </c>
      <c r="K5901" s="49" t="s">
        <v>8905</v>
      </c>
      <c r="L5901" s="45"/>
      <c r="M5901" s="3"/>
    </row>
    <row r="5902" spans="1:13" ht="38.25" x14ac:dyDescent="0.25">
      <c r="A5902" s="46" t="s">
        <v>9124</v>
      </c>
      <c r="B5902" s="46" t="s">
        <v>38</v>
      </c>
      <c r="C5902" s="46" t="s">
        <v>14</v>
      </c>
      <c r="D5902" s="47">
        <v>7603</v>
      </c>
      <c r="E5902" s="46" t="s">
        <v>9125</v>
      </c>
      <c r="F5902" s="48">
        <v>39814</v>
      </c>
      <c r="G5902" s="46"/>
      <c r="H5902" s="46" t="s">
        <v>40</v>
      </c>
      <c r="I5902" s="45">
        <v>4000</v>
      </c>
      <c r="J5902" s="45">
        <v>4000</v>
      </c>
      <c r="K5902" s="49" t="s">
        <v>8905</v>
      </c>
      <c r="L5902" s="45"/>
      <c r="M5902" s="3"/>
    </row>
    <row r="5903" spans="1:13" ht="25.5" x14ac:dyDescent="0.25">
      <c r="A5903" s="46" t="s">
        <v>9126</v>
      </c>
      <c r="B5903" s="46" t="s">
        <v>38</v>
      </c>
      <c r="C5903" s="46" t="s">
        <v>14</v>
      </c>
      <c r="D5903" s="47">
        <v>7604</v>
      </c>
      <c r="E5903" s="46" t="s">
        <v>9127</v>
      </c>
      <c r="F5903" s="48">
        <v>40179</v>
      </c>
      <c r="G5903" s="46"/>
      <c r="H5903" s="46" t="s">
        <v>40</v>
      </c>
      <c r="I5903" s="45">
        <v>6130.35</v>
      </c>
      <c r="J5903" s="45">
        <v>6130.35</v>
      </c>
      <c r="K5903" s="49" t="s">
        <v>8905</v>
      </c>
      <c r="L5903" s="45"/>
      <c r="M5903" s="3"/>
    </row>
    <row r="5904" spans="1:13" ht="25.5" x14ac:dyDescent="0.25">
      <c r="A5904" s="46" t="s">
        <v>9128</v>
      </c>
      <c r="B5904" s="46" t="s">
        <v>38</v>
      </c>
      <c r="C5904" s="46" t="s">
        <v>14</v>
      </c>
      <c r="D5904" s="47">
        <v>7605</v>
      </c>
      <c r="E5904" s="46" t="s">
        <v>9129</v>
      </c>
      <c r="F5904" s="48">
        <v>40179</v>
      </c>
      <c r="G5904" s="46"/>
      <c r="H5904" s="46" t="s">
        <v>40</v>
      </c>
      <c r="I5904" s="45">
        <v>8028.4</v>
      </c>
      <c r="J5904" s="45">
        <v>7778.4</v>
      </c>
      <c r="K5904" s="49" t="s">
        <v>8905</v>
      </c>
      <c r="L5904" s="45"/>
      <c r="M5904" s="3"/>
    </row>
    <row r="5905" spans="1:13" ht="25.5" x14ac:dyDescent="0.25">
      <c r="A5905" s="46" t="s">
        <v>9130</v>
      </c>
      <c r="B5905" s="46" t="s">
        <v>38</v>
      </c>
      <c r="C5905" s="46" t="s">
        <v>14</v>
      </c>
      <c r="D5905" s="47">
        <v>7606</v>
      </c>
      <c r="E5905" s="46" t="s">
        <v>9131</v>
      </c>
      <c r="F5905" s="48">
        <v>40179</v>
      </c>
      <c r="G5905" s="48">
        <v>40543</v>
      </c>
      <c r="H5905" s="46" t="s">
        <v>40</v>
      </c>
      <c r="I5905" s="45">
        <v>899.65</v>
      </c>
      <c r="J5905" s="45">
        <v>899.65</v>
      </c>
      <c r="K5905" s="49" t="s">
        <v>8905</v>
      </c>
      <c r="L5905" s="45"/>
      <c r="M5905" s="3"/>
    </row>
    <row r="5906" spans="1:13" ht="38.25" x14ac:dyDescent="0.25">
      <c r="A5906" s="46" t="s">
        <v>9132</v>
      </c>
      <c r="B5906" s="46" t="s">
        <v>38</v>
      </c>
      <c r="C5906" s="46" t="s">
        <v>14</v>
      </c>
      <c r="D5906" s="47">
        <v>7607</v>
      </c>
      <c r="E5906" s="46" t="s">
        <v>9133</v>
      </c>
      <c r="F5906" s="48">
        <v>40179</v>
      </c>
      <c r="G5906" s="46"/>
      <c r="H5906" s="46" t="s">
        <v>40</v>
      </c>
      <c r="I5906" s="45">
        <v>13295.75</v>
      </c>
      <c r="J5906" s="45">
        <v>11295.75</v>
      </c>
      <c r="K5906" s="49" t="s">
        <v>8905</v>
      </c>
      <c r="L5906" s="45"/>
      <c r="M5906" s="3"/>
    </row>
    <row r="5907" spans="1:13" ht="25.5" x14ac:dyDescent="0.25">
      <c r="A5907" s="46" t="s">
        <v>9187</v>
      </c>
      <c r="B5907" s="46" t="s">
        <v>38</v>
      </c>
      <c r="C5907" s="46" t="s">
        <v>14</v>
      </c>
      <c r="D5907" s="47">
        <v>8514</v>
      </c>
      <c r="E5907" s="46" t="s">
        <v>9188</v>
      </c>
      <c r="F5907" s="48">
        <v>40544</v>
      </c>
      <c r="G5907" s="46"/>
      <c r="H5907" s="46" t="s">
        <v>40</v>
      </c>
      <c r="I5907" s="45">
        <f>12956.25+6150</f>
        <v>19106.25</v>
      </c>
      <c r="J5907" s="45">
        <f>6806.25+6150</f>
        <v>12956.25</v>
      </c>
      <c r="K5907" s="49" t="s">
        <v>8905</v>
      </c>
      <c r="L5907" s="45"/>
      <c r="M5907" s="3"/>
    </row>
    <row r="5908" spans="1:13" ht="25.5" x14ac:dyDescent="0.25">
      <c r="A5908" s="46" t="s">
        <v>9189</v>
      </c>
      <c r="B5908" s="46" t="s">
        <v>38</v>
      </c>
      <c r="C5908" s="46" t="s">
        <v>14</v>
      </c>
      <c r="D5908" s="47">
        <v>8515</v>
      </c>
      <c r="E5908" s="46" t="s">
        <v>9190</v>
      </c>
      <c r="F5908" s="48">
        <v>40544</v>
      </c>
      <c r="G5908" s="46"/>
      <c r="H5908" s="46" t="s">
        <v>40</v>
      </c>
      <c r="I5908" s="45">
        <v>1421.86</v>
      </c>
      <c r="J5908" s="45">
        <v>1296.8599999999999</v>
      </c>
      <c r="K5908" s="49" t="s">
        <v>8905</v>
      </c>
      <c r="L5908" s="45"/>
      <c r="M5908" s="3"/>
    </row>
    <row r="5909" spans="1:13" ht="25.5" x14ac:dyDescent="0.25">
      <c r="A5909" s="46" t="s">
        <v>9191</v>
      </c>
      <c r="B5909" s="46" t="s">
        <v>38</v>
      </c>
      <c r="C5909" s="46" t="s">
        <v>14</v>
      </c>
      <c r="D5909" s="47">
        <v>8516</v>
      </c>
      <c r="E5909" s="46" t="s">
        <v>9192</v>
      </c>
      <c r="F5909" s="48">
        <v>40544</v>
      </c>
      <c r="G5909" s="46"/>
      <c r="H5909" s="46" t="s">
        <v>40</v>
      </c>
      <c r="I5909" s="45">
        <f>5004.24+1651.8</f>
        <v>6656.04</v>
      </c>
      <c r="J5909" s="45">
        <f>2652.44+1651.8</f>
        <v>4304.24</v>
      </c>
      <c r="K5909" s="49" t="s">
        <v>8905</v>
      </c>
      <c r="L5909" s="45"/>
      <c r="M5909" s="3"/>
    </row>
    <row r="5910" spans="1:13" ht="25.5" x14ac:dyDescent="0.25">
      <c r="A5910" s="46" t="s">
        <v>9197</v>
      </c>
      <c r="B5910" s="46" t="s">
        <v>38</v>
      </c>
      <c r="C5910" s="46" t="s">
        <v>14</v>
      </c>
      <c r="D5910" s="47">
        <v>8553</v>
      </c>
      <c r="E5910" s="46" t="s">
        <v>9198</v>
      </c>
      <c r="F5910" s="48">
        <v>40544</v>
      </c>
      <c r="G5910" s="46"/>
      <c r="H5910" s="46" t="s">
        <v>40</v>
      </c>
      <c r="I5910" s="45">
        <v>19978.52</v>
      </c>
      <c r="J5910" s="45">
        <v>13411.8</v>
      </c>
      <c r="K5910" s="49" t="s">
        <v>8905</v>
      </c>
      <c r="L5910" s="45"/>
      <c r="M5910" s="3"/>
    </row>
    <row r="5911" spans="1:13" ht="25.5" x14ac:dyDescent="0.25">
      <c r="A5911" s="46" t="s">
        <v>9199</v>
      </c>
      <c r="B5911" s="46" t="s">
        <v>38</v>
      </c>
      <c r="C5911" s="46" t="s">
        <v>14</v>
      </c>
      <c r="D5911" s="47">
        <v>8554</v>
      </c>
      <c r="E5911" s="46" t="s">
        <v>9200</v>
      </c>
      <c r="F5911" s="48">
        <v>40544</v>
      </c>
      <c r="G5911" s="46"/>
      <c r="H5911" s="46" t="s">
        <v>40</v>
      </c>
      <c r="I5911" s="45">
        <v>13946.01</v>
      </c>
      <c r="J5911" s="45">
        <v>5168.76</v>
      </c>
      <c r="K5911" s="49" t="s">
        <v>8905</v>
      </c>
      <c r="L5911" s="45"/>
      <c r="M5911" s="3"/>
    </row>
    <row r="5912" spans="1:13" ht="25.5" x14ac:dyDescent="0.25">
      <c r="A5912" s="46" t="s">
        <v>9201</v>
      </c>
      <c r="B5912" s="46" t="s">
        <v>38</v>
      </c>
      <c r="C5912" s="46" t="s">
        <v>14</v>
      </c>
      <c r="D5912" s="47">
        <v>8555</v>
      </c>
      <c r="E5912" s="46" t="s">
        <v>9202</v>
      </c>
      <c r="F5912" s="48">
        <v>40544</v>
      </c>
      <c r="G5912" s="46"/>
      <c r="H5912" s="46" t="s">
        <v>40</v>
      </c>
      <c r="I5912" s="45">
        <v>18378.7</v>
      </c>
      <c r="J5912" s="45">
        <v>7430.28</v>
      </c>
      <c r="K5912" s="49" t="s">
        <v>8905</v>
      </c>
      <c r="L5912" s="45"/>
      <c r="M5912" s="3"/>
    </row>
    <row r="5913" spans="1:13" ht="25.5" x14ac:dyDescent="0.25">
      <c r="A5913" s="46" t="s">
        <v>9229</v>
      </c>
      <c r="B5913" s="46" t="s">
        <v>38</v>
      </c>
      <c r="C5913" s="46" t="s">
        <v>14</v>
      </c>
      <c r="D5913" s="47">
        <v>10444</v>
      </c>
      <c r="E5913" s="46" t="s">
        <v>9230</v>
      </c>
      <c r="F5913" s="48">
        <v>40909</v>
      </c>
      <c r="G5913" s="46"/>
      <c r="H5913" s="46" t="s">
        <v>40</v>
      </c>
      <c r="I5913" s="45">
        <f>25868.77+4920</f>
        <v>30788.77</v>
      </c>
      <c r="J5913" s="45">
        <f>20948.77+4920</f>
        <v>25868.77</v>
      </c>
      <c r="K5913" s="49" t="s">
        <v>8905</v>
      </c>
      <c r="L5913" s="45"/>
      <c r="M5913" s="3"/>
    </row>
    <row r="5914" spans="1:13" ht="25.5" x14ac:dyDescent="0.25">
      <c r="A5914" s="46" t="s">
        <v>9231</v>
      </c>
      <c r="B5914" s="46" t="s">
        <v>38</v>
      </c>
      <c r="C5914" s="46" t="s">
        <v>14</v>
      </c>
      <c r="D5914" s="47">
        <v>10447</v>
      </c>
      <c r="E5914" s="46" t="s">
        <v>9232</v>
      </c>
      <c r="F5914" s="48">
        <v>40909</v>
      </c>
      <c r="G5914" s="46"/>
      <c r="H5914" s="46" t="s">
        <v>40</v>
      </c>
      <c r="I5914" s="45">
        <f>23510.8+7922.1</f>
        <v>31432.9</v>
      </c>
      <c r="J5914" s="45">
        <f>15348+7922.1</f>
        <v>23270.1</v>
      </c>
      <c r="K5914" s="49" t="s">
        <v>8905</v>
      </c>
      <c r="L5914" s="45"/>
      <c r="M5914" s="3"/>
    </row>
    <row r="5915" spans="1:13" ht="63.75" x14ac:dyDescent="0.25">
      <c r="A5915" s="46" t="s">
        <v>9233</v>
      </c>
      <c r="B5915" s="46" t="s">
        <v>38</v>
      </c>
      <c r="C5915" s="46" t="s">
        <v>14</v>
      </c>
      <c r="D5915" s="47">
        <v>10448</v>
      </c>
      <c r="E5915" s="50" t="s">
        <v>9234</v>
      </c>
      <c r="F5915" s="48">
        <v>40909</v>
      </c>
      <c r="G5915" s="46"/>
      <c r="H5915" s="46" t="s">
        <v>40</v>
      </c>
      <c r="I5915" s="45">
        <v>772.97</v>
      </c>
      <c r="J5915" s="45">
        <v>772.97</v>
      </c>
      <c r="K5915" s="49" t="s">
        <v>8905</v>
      </c>
      <c r="L5915" s="45"/>
      <c r="M5915" s="3"/>
    </row>
    <row r="5916" spans="1:13" ht="63.75" x14ac:dyDescent="0.25">
      <c r="A5916" s="46" t="s">
        <v>7446</v>
      </c>
      <c r="B5916" s="46" t="s">
        <v>38</v>
      </c>
      <c r="C5916" s="46" t="s">
        <v>14</v>
      </c>
      <c r="D5916" s="47">
        <v>12608</v>
      </c>
      <c r="E5916" s="46" t="s">
        <v>11239</v>
      </c>
      <c r="F5916" s="48">
        <v>41275</v>
      </c>
      <c r="G5916" s="46"/>
      <c r="H5916" s="46" t="s">
        <v>651</v>
      </c>
      <c r="I5916" s="45">
        <v>22778.91</v>
      </c>
      <c r="J5916" s="45">
        <v>12271.65</v>
      </c>
      <c r="K5916" s="49" t="s">
        <v>8905</v>
      </c>
      <c r="L5916" s="46"/>
    </row>
    <row r="5917" spans="1:13" ht="25.5" x14ac:dyDescent="0.25">
      <c r="A5917" s="46" t="s">
        <v>11240</v>
      </c>
      <c r="B5917" s="46" t="s">
        <v>38</v>
      </c>
      <c r="C5917" s="46" t="s">
        <v>14</v>
      </c>
      <c r="D5917" s="47">
        <v>12609</v>
      </c>
      <c r="E5917" s="46" t="s">
        <v>11241</v>
      </c>
      <c r="F5917" s="48">
        <v>41275</v>
      </c>
      <c r="G5917" s="46"/>
      <c r="H5917" s="46" t="s">
        <v>651</v>
      </c>
      <c r="I5917" s="45">
        <v>600.5</v>
      </c>
      <c r="J5917" s="45">
        <v>600.5</v>
      </c>
      <c r="K5917" s="49" t="s">
        <v>8905</v>
      </c>
      <c r="L5917" s="46"/>
    </row>
    <row r="5918" spans="1:13" ht="25.5" x14ac:dyDescent="0.25">
      <c r="A5918" s="46" t="s">
        <v>11242</v>
      </c>
      <c r="B5918" s="46" t="s">
        <v>38</v>
      </c>
      <c r="C5918" s="46" t="s">
        <v>14</v>
      </c>
      <c r="D5918" s="47">
        <v>12610</v>
      </c>
      <c r="E5918" s="46" t="s">
        <v>11243</v>
      </c>
      <c r="F5918" s="48">
        <v>41275</v>
      </c>
      <c r="G5918" s="46"/>
      <c r="H5918" s="46" t="s">
        <v>651</v>
      </c>
      <c r="I5918" s="45">
        <v>10000</v>
      </c>
      <c r="J5918" s="45">
        <v>10000</v>
      </c>
      <c r="K5918" s="49" t="s">
        <v>8905</v>
      </c>
      <c r="L5918" s="46"/>
    </row>
    <row r="5919" spans="1:13" ht="25.5" x14ac:dyDescent="0.25">
      <c r="A5919" s="46" t="s">
        <v>11244</v>
      </c>
      <c r="B5919" s="46" t="s">
        <v>38</v>
      </c>
      <c r="C5919" s="46" t="s">
        <v>14</v>
      </c>
      <c r="D5919" s="47">
        <v>12611</v>
      </c>
      <c r="E5919" s="46" t="s">
        <v>11245</v>
      </c>
      <c r="F5919" s="48">
        <v>41410</v>
      </c>
      <c r="G5919" s="46"/>
      <c r="H5919" s="46" t="s">
        <v>651</v>
      </c>
      <c r="I5919" s="45">
        <v>752.25</v>
      </c>
      <c r="J5919" s="45">
        <v>752.25</v>
      </c>
      <c r="K5919" s="49" t="s">
        <v>8905</v>
      </c>
      <c r="L5919" s="46"/>
    </row>
    <row r="5920" spans="1:13" ht="51" x14ac:dyDescent="0.25">
      <c r="A5920" s="46" t="s">
        <v>11246</v>
      </c>
      <c r="B5920" s="46" t="s">
        <v>38</v>
      </c>
      <c r="C5920" s="46" t="s">
        <v>14</v>
      </c>
      <c r="D5920" s="47">
        <v>12612</v>
      </c>
      <c r="E5920" s="46" t="s">
        <v>11247</v>
      </c>
      <c r="F5920" s="48">
        <v>41275</v>
      </c>
      <c r="G5920" s="46"/>
      <c r="H5920" s="46" t="s">
        <v>651</v>
      </c>
      <c r="I5920" s="45">
        <v>28597.63</v>
      </c>
      <c r="J5920" s="45">
        <v>28597.63</v>
      </c>
      <c r="K5920" s="49" t="s">
        <v>8905</v>
      </c>
      <c r="L5920" s="46"/>
    </row>
    <row r="5921" spans="1:13" ht="25.5" x14ac:dyDescent="0.25">
      <c r="A5921" s="46" t="s">
        <v>11248</v>
      </c>
      <c r="B5921" s="46" t="s">
        <v>38</v>
      </c>
      <c r="C5921" s="46" t="s">
        <v>14</v>
      </c>
      <c r="D5921" s="47">
        <v>12614</v>
      </c>
      <c r="E5921" s="46" t="s">
        <v>11249</v>
      </c>
      <c r="F5921" s="48">
        <v>41455</v>
      </c>
      <c r="G5921" s="46"/>
      <c r="H5921" s="46" t="s">
        <v>651</v>
      </c>
      <c r="I5921" s="45">
        <v>1955.53</v>
      </c>
      <c r="J5921" s="45">
        <v>1955.53</v>
      </c>
      <c r="K5921" s="49" t="s">
        <v>8905</v>
      </c>
      <c r="L5921" s="46"/>
    </row>
    <row r="5922" spans="1:13" ht="51" x14ac:dyDescent="0.25">
      <c r="A5922" s="46" t="s">
        <v>10311</v>
      </c>
      <c r="B5922" s="46" t="s">
        <v>38</v>
      </c>
      <c r="C5922" s="46" t="s">
        <v>14</v>
      </c>
      <c r="D5922" s="47">
        <v>12615</v>
      </c>
      <c r="E5922" s="46" t="s">
        <v>11250</v>
      </c>
      <c r="F5922" s="48">
        <v>41548</v>
      </c>
      <c r="G5922" s="46"/>
      <c r="H5922" s="46" t="s">
        <v>651</v>
      </c>
      <c r="I5922" s="45">
        <v>1500</v>
      </c>
      <c r="J5922" s="45">
        <v>1500</v>
      </c>
      <c r="K5922" s="49" t="s">
        <v>8905</v>
      </c>
      <c r="L5922" s="46"/>
    </row>
    <row r="5923" spans="1:13" ht="51" x14ac:dyDescent="0.25">
      <c r="A5923" s="46" t="s">
        <v>11251</v>
      </c>
      <c r="B5923" s="46" t="s">
        <v>38</v>
      </c>
      <c r="C5923" s="46" t="s">
        <v>14</v>
      </c>
      <c r="D5923" s="47">
        <v>12616</v>
      </c>
      <c r="E5923" s="46" t="s">
        <v>11252</v>
      </c>
      <c r="F5923" s="48">
        <v>41536</v>
      </c>
      <c r="G5923" s="46"/>
      <c r="H5923" s="46" t="s">
        <v>651</v>
      </c>
      <c r="I5923" s="45">
        <v>2460</v>
      </c>
      <c r="J5923" s="45">
        <v>2460</v>
      </c>
      <c r="K5923" s="49" t="s">
        <v>8905</v>
      </c>
      <c r="L5923" s="46"/>
    </row>
    <row r="5924" spans="1:13" ht="25.5" x14ac:dyDescent="0.25">
      <c r="A5924" s="46" t="s">
        <v>11179</v>
      </c>
      <c r="B5924" s="46" t="s">
        <v>38</v>
      </c>
      <c r="C5924" s="46" t="s">
        <v>14</v>
      </c>
      <c r="D5924" s="47">
        <v>12618</v>
      </c>
      <c r="E5924" s="46" t="s">
        <v>11253</v>
      </c>
      <c r="F5924" s="48">
        <v>41518</v>
      </c>
      <c r="G5924" s="46"/>
      <c r="H5924" s="46" t="s">
        <v>651</v>
      </c>
      <c r="I5924" s="45">
        <v>1410.75</v>
      </c>
      <c r="J5924" s="45">
        <v>1410.75</v>
      </c>
      <c r="K5924" s="49" t="s">
        <v>8905</v>
      </c>
      <c r="L5924" s="46"/>
    </row>
    <row r="5925" spans="1:13" ht="38.25" x14ac:dyDescent="0.25">
      <c r="A5925" s="46" t="s">
        <v>9305</v>
      </c>
      <c r="B5925" s="46" t="s">
        <v>38</v>
      </c>
      <c r="C5925" s="46" t="s">
        <v>14</v>
      </c>
      <c r="D5925" s="47">
        <v>886</v>
      </c>
      <c r="E5925" s="46" t="s">
        <v>9306</v>
      </c>
      <c r="F5925" s="48">
        <v>39304</v>
      </c>
      <c r="G5925" s="48">
        <v>41639</v>
      </c>
      <c r="H5925" s="46" t="s">
        <v>40</v>
      </c>
      <c r="I5925" s="45">
        <f>69658.64+13050.23</f>
        <v>82708.87</v>
      </c>
      <c r="J5925" s="45">
        <f>56608.41+13050.23</f>
        <v>69658.64</v>
      </c>
      <c r="K5925" s="49" t="s">
        <v>9243</v>
      </c>
      <c r="L5925" s="45"/>
      <c r="M5925" s="3"/>
    </row>
    <row r="5926" spans="1:13" ht="25.5" x14ac:dyDescent="0.25">
      <c r="A5926" s="46" t="s">
        <v>9307</v>
      </c>
      <c r="B5926" s="46" t="s">
        <v>38</v>
      </c>
      <c r="C5926" s="46" t="s">
        <v>14</v>
      </c>
      <c r="D5926" s="47">
        <v>888</v>
      </c>
      <c r="E5926" s="46" t="s">
        <v>9308</v>
      </c>
      <c r="F5926" s="48">
        <v>39174</v>
      </c>
      <c r="G5926" s="48">
        <v>41639</v>
      </c>
      <c r="H5926" s="46" t="s">
        <v>40</v>
      </c>
      <c r="I5926" s="45">
        <v>11624.9</v>
      </c>
      <c r="J5926" s="45">
        <v>5099.8999999999996</v>
      </c>
      <c r="K5926" s="49" t="s">
        <v>9243</v>
      </c>
      <c r="L5926" s="46"/>
    </row>
    <row r="5927" spans="1:13" ht="25.5" x14ac:dyDescent="0.25">
      <c r="A5927" s="46" t="s">
        <v>9309</v>
      </c>
      <c r="B5927" s="46" t="s">
        <v>38</v>
      </c>
      <c r="C5927" s="46" t="s">
        <v>14</v>
      </c>
      <c r="D5927" s="47">
        <v>889</v>
      </c>
      <c r="E5927" s="46" t="s">
        <v>9310</v>
      </c>
      <c r="F5927" s="48">
        <v>39394</v>
      </c>
      <c r="G5927" s="48">
        <v>41639</v>
      </c>
      <c r="H5927" s="46" t="s">
        <v>40</v>
      </c>
      <c r="I5927" s="45">
        <v>16575</v>
      </c>
      <c r="J5927" s="45">
        <v>7075</v>
      </c>
      <c r="K5927" s="49" t="s">
        <v>9243</v>
      </c>
      <c r="L5927" s="46"/>
    </row>
    <row r="5928" spans="1:13" ht="25.5" x14ac:dyDescent="0.25">
      <c r="A5928" s="46" t="s">
        <v>9311</v>
      </c>
      <c r="B5928" s="46" t="s">
        <v>38</v>
      </c>
      <c r="C5928" s="46" t="s">
        <v>14</v>
      </c>
      <c r="D5928" s="47">
        <v>892</v>
      </c>
      <c r="E5928" s="46" t="s">
        <v>9312</v>
      </c>
      <c r="F5928" s="48">
        <v>39217</v>
      </c>
      <c r="G5928" s="48">
        <v>41639</v>
      </c>
      <c r="H5928" s="46" t="s">
        <v>40</v>
      </c>
      <c r="I5928" s="45">
        <v>5690.05</v>
      </c>
      <c r="J5928" s="45">
        <v>4415.05</v>
      </c>
      <c r="K5928" s="49" t="s">
        <v>9243</v>
      </c>
      <c r="L5928" s="46"/>
    </row>
    <row r="5929" spans="1:13" ht="25.5" x14ac:dyDescent="0.25">
      <c r="A5929" s="46" t="s">
        <v>9313</v>
      </c>
      <c r="B5929" s="46" t="s">
        <v>38</v>
      </c>
      <c r="C5929" s="46" t="s">
        <v>14</v>
      </c>
      <c r="D5929" s="47">
        <v>894</v>
      </c>
      <c r="E5929" s="46" t="s">
        <v>9314</v>
      </c>
      <c r="F5929" s="48">
        <v>39120</v>
      </c>
      <c r="G5929" s="48">
        <v>41639</v>
      </c>
      <c r="H5929" s="46" t="s">
        <v>40</v>
      </c>
      <c r="I5929" s="45">
        <v>8152.17</v>
      </c>
      <c r="J5929" s="45">
        <v>8152.17</v>
      </c>
      <c r="K5929" s="49" t="s">
        <v>9243</v>
      </c>
      <c r="L5929" s="46"/>
    </row>
    <row r="5930" spans="1:13" ht="38.25" x14ac:dyDescent="0.25">
      <c r="A5930" s="46" t="s">
        <v>9327</v>
      </c>
      <c r="B5930" s="46" t="s">
        <v>38</v>
      </c>
      <c r="C5930" s="46" t="s">
        <v>14</v>
      </c>
      <c r="D5930" s="47">
        <v>908</v>
      </c>
      <c r="E5930" s="46" t="s">
        <v>9328</v>
      </c>
      <c r="F5930" s="48">
        <v>39146</v>
      </c>
      <c r="G5930" s="48">
        <v>41639</v>
      </c>
      <c r="H5930" s="46" t="s">
        <v>40</v>
      </c>
      <c r="I5930" s="45">
        <v>15480</v>
      </c>
      <c r="J5930" s="45">
        <v>15480</v>
      </c>
      <c r="K5930" s="49" t="s">
        <v>9243</v>
      </c>
      <c r="L5930" s="46"/>
    </row>
    <row r="5931" spans="1:13" ht="25.5" x14ac:dyDescent="0.25">
      <c r="A5931" s="46" t="s">
        <v>9387</v>
      </c>
      <c r="B5931" s="46" t="s">
        <v>38</v>
      </c>
      <c r="C5931" s="46" t="s">
        <v>14</v>
      </c>
      <c r="D5931" s="47">
        <v>1124</v>
      </c>
      <c r="E5931" s="46" t="s">
        <v>9388</v>
      </c>
      <c r="F5931" s="48">
        <v>39174</v>
      </c>
      <c r="G5931" s="48">
        <v>41639</v>
      </c>
      <c r="H5931" s="46" t="s">
        <v>40</v>
      </c>
      <c r="I5931" s="45">
        <v>384.8</v>
      </c>
      <c r="J5931" s="45">
        <v>309.8</v>
      </c>
      <c r="K5931" s="49" t="s">
        <v>9243</v>
      </c>
      <c r="L5931" s="46"/>
    </row>
    <row r="5932" spans="1:13" ht="25.5" x14ac:dyDescent="0.25">
      <c r="A5932" s="46" t="s">
        <v>9389</v>
      </c>
      <c r="B5932" s="46" t="s">
        <v>38</v>
      </c>
      <c r="C5932" s="46" t="s">
        <v>14</v>
      </c>
      <c r="D5932" s="47">
        <v>1127</v>
      </c>
      <c r="E5932" s="46" t="s">
        <v>9390</v>
      </c>
      <c r="F5932" s="48">
        <v>39174</v>
      </c>
      <c r="G5932" s="48">
        <v>41639</v>
      </c>
      <c r="H5932" s="46" t="s">
        <v>40</v>
      </c>
      <c r="I5932" s="45">
        <v>1465.15</v>
      </c>
      <c r="J5932" s="45">
        <v>1005.15</v>
      </c>
      <c r="K5932" s="49" t="s">
        <v>9243</v>
      </c>
      <c r="L5932" s="46"/>
    </row>
    <row r="5933" spans="1:13" ht="25.5" x14ac:dyDescent="0.25">
      <c r="A5933" s="46" t="s">
        <v>9391</v>
      </c>
      <c r="B5933" s="46" t="s">
        <v>38</v>
      </c>
      <c r="C5933" s="46" t="s">
        <v>14</v>
      </c>
      <c r="D5933" s="47">
        <v>1128</v>
      </c>
      <c r="E5933" s="46" t="s">
        <v>9392</v>
      </c>
      <c r="F5933" s="48">
        <v>39097</v>
      </c>
      <c r="G5933" s="48">
        <v>41639</v>
      </c>
      <c r="H5933" s="46" t="s">
        <v>40</v>
      </c>
      <c r="I5933" s="45">
        <v>162130.51</v>
      </c>
      <c r="J5933" s="45">
        <v>161870.01</v>
      </c>
      <c r="K5933" s="49" t="s">
        <v>9243</v>
      </c>
      <c r="L5933" s="46"/>
    </row>
    <row r="5934" spans="1:13" ht="25.5" x14ac:dyDescent="0.25">
      <c r="A5934" s="46" t="s">
        <v>9393</v>
      </c>
      <c r="B5934" s="46" t="s">
        <v>38</v>
      </c>
      <c r="C5934" s="46" t="s">
        <v>14</v>
      </c>
      <c r="D5934" s="47">
        <v>1129</v>
      </c>
      <c r="E5934" s="46" t="s">
        <v>9394</v>
      </c>
      <c r="F5934" s="48">
        <v>39394</v>
      </c>
      <c r="G5934" s="48">
        <v>41639</v>
      </c>
      <c r="H5934" s="46" t="s">
        <v>40</v>
      </c>
      <c r="I5934" s="45">
        <v>3469.7</v>
      </c>
      <c r="J5934" s="45">
        <v>1568.2</v>
      </c>
      <c r="K5934" s="49" t="s">
        <v>9243</v>
      </c>
      <c r="L5934" s="46"/>
    </row>
    <row r="5935" spans="1:13" ht="25.5" x14ac:dyDescent="0.25">
      <c r="A5935" s="46" t="s">
        <v>9395</v>
      </c>
      <c r="B5935" s="46" t="s">
        <v>38</v>
      </c>
      <c r="C5935" s="46" t="s">
        <v>14</v>
      </c>
      <c r="D5935" s="47">
        <v>1130</v>
      </c>
      <c r="E5935" s="46" t="s">
        <v>9396</v>
      </c>
      <c r="F5935" s="48">
        <v>39174</v>
      </c>
      <c r="G5935" s="48">
        <v>41639</v>
      </c>
      <c r="H5935" s="46" t="s">
        <v>40</v>
      </c>
      <c r="I5935" s="45">
        <v>2719.45</v>
      </c>
      <c r="J5935" s="45">
        <v>744.45</v>
      </c>
      <c r="K5935" s="49" t="s">
        <v>9243</v>
      </c>
      <c r="L5935" s="46"/>
    </row>
    <row r="5936" spans="1:13" ht="25.5" x14ac:dyDescent="0.25">
      <c r="A5936" s="46" t="s">
        <v>9397</v>
      </c>
      <c r="B5936" s="46" t="s">
        <v>38</v>
      </c>
      <c r="C5936" s="46" t="s">
        <v>14</v>
      </c>
      <c r="D5936" s="47">
        <v>1131</v>
      </c>
      <c r="E5936" s="46" t="s">
        <v>9398</v>
      </c>
      <c r="F5936" s="48">
        <v>39283</v>
      </c>
      <c r="G5936" s="48">
        <v>41639</v>
      </c>
      <c r="H5936" s="46" t="s">
        <v>40</v>
      </c>
      <c r="I5936" s="45">
        <v>27591.5</v>
      </c>
      <c r="J5936" s="45">
        <v>27591.5</v>
      </c>
      <c r="K5936" s="49" t="s">
        <v>9243</v>
      </c>
      <c r="L5936" s="46"/>
    </row>
    <row r="5937" spans="1:12" ht="25.5" x14ac:dyDescent="0.25">
      <c r="A5937" s="46" t="s">
        <v>9399</v>
      </c>
      <c r="B5937" s="46" t="s">
        <v>38</v>
      </c>
      <c r="C5937" s="46" t="s">
        <v>14</v>
      </c>
      <c r="D5937" s="47">
        <v>1132</v>
      </c>
      <c r="E5937" s="46" t="s">
        <v>9400</v>
      </c>
      <c r="F5937" s="48">
        <v>39433</v>
      </c>
      <c r="G5937" s="48">
        <v>41639</v>
      </c>
      <c r="H5937" s="46" t="s">
        <v>40</v>
      </c>
      <c r="I5937" s="45">
        <f>6027.77+830.6</f>
        <v>6858.3700000000008</v>
      </c>
      <c r="J5937" s="45">
        <f>2157.97+830.6</f>
        <v>2988.5699999999997</v>
      </c>
      <c r="K5937" s="49" t="s">
        <v>9243</v>
      </c>
      <c r="L5937" s="46"/>
    </row>
    <row r="5938" spans="1:12" ht="25.5" x14ac:dyDescent="0.25">
      <c r="A5938" s="46" t="s">
        <v>2372</v>
      </c>
      <c r="B5938" s="46" t="s">
        <v>38</v>
      </c>
      <c r="C5938" s="46" t="s">
        <v>14</v>
      </c>
      <c r="D5938" s="47">
        <v>1133</v>
      </c>
      <c r="E5938" s="46" t="s">
        <v>9401</v>
      </c>
      <c r="F5938" s="48">
        <v>39552</v>
      </c>
      <c r="G5938" s="48">
        <v>41639</v>
      </c>
      <c r="H5938" s="46" t="s">
        <v>40</v>
      </c>
      <c r="I5938" s="45">
        <v>14177.49</v>
      </c>
      <c r="J5938" s="45">
        <v>14177.49</v>
      </c>
      <c r="K5938" s="49" t="s">
        <v>9243</v>
      </c>
      <c r="L5938" s="46"/>
    </row>
    <row r="5939" spans="1:12" ht="25.5" x14ac:dyDescent="0.25">
      <c r="A5939" s="46" t="s">
        <v>9402</v>
      </c>
      <c r="B5939" s="46" t="s">
        <v>38</v>
      </c>
      <c r="C5939" s="46" t="s">
        <v>14</v>
      </c>
      <c r="D5939" s="47">
        <v>1134</v>
      </c>
      <c r="E5939" s="46" t="s">
        <v>9402</v>
      </c>
      <c r="F5939" s="48">
        <v>39616</v>
      </c>
      <c r="G5939" s="48">
        <v>39813</v>
      </c>
      <c r="H5939" s="46" t="s">
        <v>40</v>
      </c>
      <c r="I5939" s="45">
        <v>3250</v>
      </c>
      <c r="J5939" s="45">
        <v>1675</v>
      </c>
      <c r="K5939" s="49" t="s">
        <v>9243</v>
      </c>
      <c r="L5939" s="46"/>
    </row>
    <row r="5940" spans="1:12" ht="25.5" x14ac:dyDescent="0.25">
      <c r="A5940" s="46" t="s">
        <v>9403</v>
      </c>
      <c r="B5940" s="46" t="s">
        <v>38</v>
      </c>
      <c r="C5940" s="46" t="s">
        <v>14</v>
      </c>
      <c r="D5940" s="47">
        <v>1136</v>
      </c>
      <c r="E5940" s="46" t="s">
        <v>9404</v>
      </c>
      <c r="F5940" s="48">
        <v>39591</v>
      </c>
      <c r="G5940" s="48">
        <v>41639</v>
      </c>
      <c r="H5940" s="46" t="s">
        <v>40</v>
      </c>
      <c r="I5940" s="45">
        <v>4850.7</v>
      </c>
      <c r="J5940" s="45">
        <v>2757.1</v>
      </c>
      <c r="K5940" s="49" t="s">
        <v>9243</v>
      </c>
      <c r="L5940" s="46"/>
    </row>
    <row r="5941" spans="1:12" ht="25.5" x14ac:dyDescent="0.25">
      <c r="A5941" s="46" t="s">
        <v>9405</v>
      </c>
      <c r="B5941" s="46" t="s">
        <v>38</v>
      </c>
      <c r="C5941" s="46" t="s">
        <v>14</v>
      </c>
      <c r="D5941" s="47">
        <v>1137</v>
      </c>
      <c r="E5941" s="46" t="s">
        <v>9406</v>
      </c>
      <c r="F5941" s="48">
        <v>39416</v>
      </c>
      <c r="G5941" s="48">
        <v>41639</v>
      </c>
      <c r="H5941" s="46" t="s">
        <v>40</v>
      </c>
      <c r="I5941" s="45">
        <v>1308.5</v>
      </c>
      <c r="J5941" s="45">
        <v>1008.5</v>
      </c>
      <c r="K5941" s="49" t="s">
        <v>9243</v>
      </c>
      <c r="L5941" s="46"/>
    </row>
    <row r="5942" spans="1:12" ht="25.5" x14ac:dyDescent="0.25">
      <c r="A5942" s="46" t="s">
        <v>9407</v>
      </c>
      <c r="B5942" s="46" t="s">
        <v>38</v>
      </c>
      <c r="C5942" s="46" t="s">
        <v>14</v>
      </c>
      <c r="D5942" s="47">
        <v>1138</v>
      </c>
      <c r="E5942" s="46" t="s">
        <v>9408</v>
      </c>
      <c r="F5942" s="48">
        <v>39247</v>
      </c>
      <c r="G5942" s="48">
        <v>41639</v>
      </c>
      <c r="H5942" s="46" t="s">
        <v>40</v>
      </c>
      <c r="I5942" s="45">
        <v>2950</v>
      </c>
      <c r="J5942" s="45">
        <v>1675</v>
      </c>
      <c r="K5942" s="49" t="s">
        <v>9243</v>
      </c>
      <c r="L5942" s="46"/>
    </row>
    <row r="5943" spans="1:12" ht="25.5" x14ac:dyDescent="0.25">
      <c r="A5943" s="46" t="s">
        <v>9411</v>
      </c>
      <c r="B5943" s="46" t="s">
        <v>38</v>
      </c>
      <c r="C5943" s="46" t="s">
        <v>14</v>
      </c>
      <c r="D5943" s="47">
        <v>1142</v>
      </c>
      <c r="E5943" s="46" t="s">
        <v>2285</v>
      </c>
      <c r="F5943" s="48">
        <v>39097</v>
      </c>
      <c r="G5943" s="48">
        <v>41639</v>
      </c>
      <c r="H5943" s="46" t="s">
        <v>40</v>
      </c>
      <c r="I5943" s="45">
        <f>595918.46+94764.9</f>
        <v>690683.36</v>
      </c>
      <c r="J5943" s="45">
        <f>359803.56+94764.9</f>
        <v>454568.45999999996</v>
      </c>
      <c r="K5943" s="49" t="s">
        <v>9243</v>
      </c>
      <c r="L5943" s="46"/>
    </row>
    <row r="5944" spans="1:12" ht="38.25" x14ac:dyDescent="0.25">
      <c r="A5944" s="46" t="s">
        <v>9412</v>
      </c>
      <c r="B5944" s="46" t="s">
        <v>38</v>
      </c>
      <c r="C5944" s="46" t="s">
        <v>14</v>
      </c>
      <c r="D5944" s="47">
        <v>1146</v>
      </c>
      <c r="E5944" s="46" t="s">
        <v>9413</v>
      </c>
      <c r="F5944" s="48">
        <v>39097</v>
      </c>
      <c r="G5944" s="48">
        <v>41639</v>
      </c>
      <c r="H5944" s="46" t="s">
        <v>40</v>
      </c>
      <c r="I5944" s="45">
        <f>229254.28+7711.99</f>
        <v>236966.27</v>
      </c>
      <c r="J5944" s="45">
        <f>159767.29+7711.99</f>
        <v>167479.28</v>
      </c>
      <c r="K5944" s="49" t="s">
        <v>9243</v>
      </c>
      <c r="L5944" s="46"/>
    </row>
    <row r="5945" spans="1:12" ht="51" x14ac:dyDescent="0.25">
      <c r="A5945" s="46" t="s">
        <v>9414</v>
      </c>
      <c r="B5945" s="46" t="s">
        <v>38</v>
      </c>
      <c r="C5945" s="46" t="s">
        <v>14</v>
      </c>
      <c r="D5945" s="47">
        <v>1147</v>
      </c>
      <c r="E5945" s="50" t="s">
        <v>9415</v>
      </c>
      <c r="F5945" s="48">
        <v>39174</v>
      </c>
      <c r="G5945" s="48">
        <v>41639</v>
      </c>
      <c r="H5945" s="46" t="s">
        <v>40</v>
      </c>
      <c r="I5945" s="45">
        <v>47813.93</v>
      </c>
      <c r="J5945" s="45">
        <v>33568.93</v>
      </c>
      <c r="K5945" s="49" t="s">
        <v>9243</v>
      </c>
      <c r="L5945" s="46"/>
    </row>
    <row r="5946" spans="1:12" ht="25.5" x14ac:dyDescent="0.25">
      <c r="A5946" s="46" t="s">
        <v>9416</v>
      </c>
      <c r="B5946" s="46" t="s">
        <v>38</v>
      </c>
      <c r="C5946" s="46" t="s">
        <v>14</v>
      </c>
      <c r="D5946" s="47">
        <v>1150</v>
      </c>
      <c r="E5946" s="46" t="s">
        <v>9417</v>
      </c>
      <c r="F5946" s="48">
        <v>39433</v>
      </c>
      <c r="G5946" s="48">
        <v>41639</v>
      </c>
      <c r="H5946" s="46" t="s">
        <v>40</v>
      </c>
      <c r="I5946" s="45">
        <v>5337.47</v>
      </c>
      <c r="J5946" s="45">
        <v>1242.47</v>
      </c>
      <c r="K5946" s="49" t="s">
        <v>9243</v>
      </c>
      <c r="L5946" s="46"/>
    </row>
    <row r="5947" spans="1:12" ht="25.5" x14ac:dyDescent="0.25">
      <c r="A5947" s="46" t="s">
        <v>6335</v>
      </c>
      <c r="B5947" s="46" t="s">
        <v>38</v>
      </c>
      <c r="C5947" s="46" t="s">
        <v>14</v>
      </c>
      <c r="D5947" s="47">
        <v>1153</v>
      </c>
      <c r="E5947" s="46" t="s">
        <v>9418</v>
      </c>
      <c r="F5947" s="48">
        <v>39519</v>
      </c>
      <c r="G5947" s="48">
        <v>41639</v>
      </c>
      <c r="H5947" s="46" t="s">
        <v>40</v>
      </c>
      <c r="I5947" s="45">
        <f>2302.05+570</f>
        <v>2872.05</v>
      </c>
      <c r="J5947" s="45">
        <f>242.05+570</f>
        <v>812.05</v>
      </c>
      <c r="K5947" s="49" t="s">
        <v>9243</v>
      </c>
      <c r="L5947" s="46"/>
    </row>
    <row r="5948" spans="1:12" ht="25.5" x14ac:dyDescent="0.25">
      <c r="A5948" s="46" t="s">
        <v>3262</v>
      </c>
      <c r="B5948" s="46" t="s">
        <v>38</v>
      </c>
      <c r="C5948" s="46" t="s">
        <v>14</v>
      </c>
      <c r="D5948" s="47">
        <v>1154</v>
      </c>
      <c r="E5948" s="46" t="s">
        <v>9419</v>
      </c>
      <c r="F5948" s="48">
        <v>39097</v>
      </c>
      <c r="G5948" s="48">
        <v>41639</v>
      </c>
      <c r="H5948" s="46" t="s">
        <v>40</v>
      </c>
      <c r="I5948" s="45">
        <v>8117.95</v>
      </c>
      <c r="J5948" s="45">
        <v>8117.95</v>
      </c>
      <c r="K5948" s="49" t="s">
        <v>9243</v>
      </c>
      <c r="L5948" s="46"/>
    </row>
    <row r="5949" spans="1:12" ht="25.5" x14ac:dyDescent="0.25">
      <c r="A5949" s="46" t="s">
        <v>9420</v>
      </c>
      <c r="B5949" s="46" t="s">
        <v>38</v>
      </c>
      <c r="C5949" s="46" t="s">
        <v>14</v>
      </c>
      <c r="D5949" s="47">
        <v>1157</v>
      </c>
      <c r="E5949" s="46" t="s">
        <v>9421</v>
      </c>
      <c r="F5949" s="48">
        <v>39217</v>
      </c>
      <c r="G5949" s="48">
        <v>41639</v>
      </c>
      <c r="H5949" s="46" t="s">
        <v>40</v>
      </c>
      <c r="I5949" s="45">
        <v>11882.4</v>
      </c>
      <c r="J5949" s="45">
        <v>7682.4</v>
      </c>
      <c r="K5949" s="49" t="s">
        <v>9243</v>
      </c>
      <c r="L5949" s="46"/>
    </row>
    <row r="5950" spans="1:12" ht="25.5" x14ac:dyDescent="0.25">
      <c r="A5950" s="46" t="s">
        <v>9422</v>
      </c>
      <c r="B5950" s="46" t="s">
        <v>38</v>
      </c>
      <c r="C5950" s="46" t="s">
        <v>14</v>
      </c>
      <c r="D5950" s="47">
        <v>1159</v>
      </c>
      <c r="E5950" s="46" t="s">
        <v>9423</v>
      </c>
      <c r="F5950" s="48">
        <v>39283</v>
      </c>
      <c r="G5950" s="48">
        <v>41639</v>
      </c>
      <c r="H5950" s="46" t="s">
        <v>40</v>
      </c>
      <c r="I5950" s="45">
        <f>184845.11+21000</f>
        <v>205845.11</v>
      </c>
      <c r="J5950" s="45">
        <f>163845.11+21000</f>
        <v>184845.11</v>
      </c>
      <c r="K5950" s="49" t="s">
        <v>9243</v>
      </c>
      <c r="L5950" s="46"/>
    </row>
    <row r="5951" spans="1:12" ht="38.25" x14ac:dyDescent="0.25">
      <c r="A5951" s="46" t="s">
        <v>9424</v>
      </c>
      <c r="B5951" s="46" t="s">
        <v>38</v>
      </c>
      <c r="C5951" s="46" t="s">
        <v>14</v>
      </c>
      <c r="D5951" s="47">
        <v>1161</v>
      </c>
      <c r="E5951" s="50" t="s">
        <v>9425</v>
      </c>
      <c r="F5951" s="48">
        <v>39174</v>
      </c>
      <c r="G5951" s="48">
        <v>41639</v>
      </c>
      <c r="H5951" s="46" t="s">
        <v>40</v>
      </c>
      <c r="I5951" s="45">
        <v>19359</v>
      </c>
      <c r="J5951" s="45">
        <v>17509</v>
      </c>
      <c r="K5951" s="49" t="s">
        <v>9243</v>
      </c>
      <c r="L5951" s="46"/>
    </row>
    <row r="5952" spans="1:12" ht="25.5" x14ac:dyDescent="0.25">
      <c r="A5952" s="46" t="s">
        <v>9426</v>
      </c>
      <c r="B5952" s="46" t="s">
        <v>38</v>
      </c>
      <c r="C5952" s="46" t="s">
        <v>14</v>
      </c>
      <c r="D5952" s="47">
        <v>1162</v>
      </c>
      <c r="E5952" s="46" t="s">
        <v>9427</v>
      </c>
      <c r="F5952" s="48">
        <v>39097</v>
      </c>
      <c r="G5952" s="48">
        <v>41639</v>
      </c>
      <c r="H5952" s="46" t="s">
        <v>40</v>
      </c>
      <c r="I5952" s="45">
        <f>30553.66+2925.14</f>
        <v>33478.800000000003</v>
      </c>
      <c r="J5952" s="45">
        <f>20528.52+2925.14</f>
        <v>23453.66</v>
      </c>
      <c r="K5952" s="49" t="s">
        <v>9243</v>
      </c>
      <c r="L5952" s="46"/>
    </row>
    <row r="5953" spans="1:12" ht="51" x14ac:dyDescent="0.25">
      <c r="A5953" s="46" t="s">
        <v>9428</v>
      </c>
      <c r="B5953" s="46" t="s">
        <v>38</v>
      </c>
      <c r="C5953" s="46" t="s">
        <v>14</v>
      </c>
      <c r="D5953" s="47">
        <v>1163</v>
      </c>
      <c r="E5953" s="50" t="s">
        <v>9429</v>
      </c>
      <c r="F5953" s="48">
        <v>39433</v>
      </c>
      <c r="G5953" s="48">
        <v>41639</v>
      </c>
      <c r="H5953" s="46" t="s">
        <v>40</v>
      </c>
      <c r="I5953" s="45">
        <v>2275.86</v>
      </c>
      <c r="J5953" s="45">
        <v>2275.86</v>
      </c>
      <c r="K5953" s="49" t="s">
        <v>9243</v>
      </c>
      <c r="L5953" s="46"/>
    </row>
    <row r="5954" spans="1:12" ht="25.5" x14ac:dyDescent="0.25">
      <c r="A5954" s="46" t="s">
        <v>9430</v>
      </c>
      <c r="B5954" s="46" t="s">
        <v>38</v>
      </c>
      <c r="C5954" s="46" t="s">
        <v>14</v>
      </c>
      <c r="D5954" s="47">
        <v>1164</v>
      </c>
      <c r="E5954" s="46" t="s">
        <v>9431</v>
      </c>
      <c r="F5954" s="48">
        <v>39120</v>
      </c>
      <c r="G5954" s="48">
        <v>41639</v>
      </c>
      <c r="H5954" s="46" t="s">
        <v>40</v>
      </c>
      <c r="I5954" s="45">
        <v>1463</v>
      </c>
      <c r="J5954" s="45">
        <v>1463</v>
      </c>
      <c r="K5954" s="49" t="s">
        <v>9243</v>
      </c>
      <c r="L5954" s="46"/>
    </row>
    <row r="5955" spans="1:12" ht="25.5" x14ac:dyDescent="0.25">
      <c r="A5955" s="46" t="s">
        <v>9432</v>
      </c>
      <c r="B5955" s="46" t="s">
        <v>38</v>
      </c>
      <c r="C5955" s="46" t="s">
        <v>14</v>
      </c>
      <c r="D5955" s="47">
        <v>1165</v>
      </c>
      <c r="E5955" s="46" t="s">
        <v>9433</v>
      </c>
      <c r="F5955" s="48">
        <v>39097</v>
      </c>
      <c r="G5955" s="48">
        <v>41639</v>
      </c>
      <c r="H5955" s="46" t="s">
        <v>40</v>
      </c>
      <c r="I5955" s="45">
        <f>438643.18+34321.07</f>
        <v>472964.25</v>
      </c>
      <c r="J5955" s="45">
        <f>321517.11+34321.07</f>
        <v>355838.18</v>
      </c>
      <c r="K5955" s="49" t="s">
        <v>9243</v>
      </c>
      <c r="L5955" s="46"/>
    </row>
    <row r="5956" spans="1:12" ht="25.5" x14ac:dyDescent="0.25">
      <c r="A5956" s="46" t="s">
        <v>9434</v>
      </c>
      <c r="B5956" s="46" t="s">
        <v>38</v>
      </c>
      <c r="C5956" s="46" t="s">
        <v>14</v>
      </c>
      <c r="D5956" s="47">
        <v>1167</v>
      </c>
      <c r="E5956" s="46" t="s">
        <v>9435</v>
      </c>
      <c r="F5956" s="48">
        <v>39749</v>
      </c>
      <c r="G5956" s="48">
        <v>41639</v>
      </c>
      <c r="H5956" s="46" t="s">
        <v>40</v>
      </c>
      <c r="I5956" s="45">
        <v>3546.7</v>
      </c>
      <c r="J5956" s="45">
        <v>1546.7</v>
      </c>
      <c r="K5956" s="49" t="s">
        <v>9243</v>
      </c>
      <c r="L5956" s="46"/>
    </row>
    <row r="5957" spans="1:12" ht="25.5" x14ac:dyDescent="0.25">
      <c r="A5957" s="46" t="s">
        <v>9436</v>
      </c>
      <c r="B5957" s="46" t="s">
        <v>38</v>
      </c>
      <c r="C5957" s="46" t="s">
        <v>14</v>
      </c>
      <c r="D5957" s="47">
        <v>1168</v>
      </c>
      <c r="E5957" s="46" t="s">
        <v>9437</v>
      </c>
      <c r="F5957" s="48">
        <v>39083</v>
      </c>
      <c r="G5957" s="48">
        <v>41639</v>
      </c>
      <c r="H5957" s="46" t="s">
        <v>40</v>
      </c>
      <c r="I5957" s="45">
        <f>454264.36+63455.33</f>
        <v>517719.69</v>
      </c>
      <c r="J5957" s="45">
        <f>390375.24+63455.33</f>
        <v>453830.57</v>
      </c>
      <c r="K5957" s="49" t="s">
        <v>9243</v>
      </c>
      <c r="L5957" s="46"/>
    </row>
    <row r="5958" spans="1:12" ht="25.5" x14ac:dyDescent="0.25">
      <c r="A5958" s="46" t="s">
        <v>5489</v>
      </c>
      <c r="B5958" s="46" t="s">
        <v>38</v>
      </c>
      <c r="C5958" s="46" t="s">
        <v>14</v>
      </c>
      <c r="D5958" s="47">
        <v>1169</v>
      </c>
      <c r="E5958" s="46" t="s">
        <v>9438</v>
      </c>
      <c r="F5958" s="48">
        <v>39146</v>
      </c>
      <c r="G5958" s="48">
        <v>40543</v>
      </c>
      <c r="H5958" s="46" t="s">
        <v>40</v>
      </c>
      <c r="I5958" s="45">
        <v>5861.01</v>
      </c>
      <c r="J5958" s="45">
        <v>1143.3499999999999</v>
      </c>
      <c r="K5958" s="49" t="s">
        <v>9243</v>
      </c>
      <c r="L5958" s="46"/>
    </row>
    <row r="5959" spans="1:12" ht="25.5" x14ac:dyDescent="0.25">
      <c r="A5959" s="46" t="s">
        <v>9439</v>
      </c>
      <c r="B5959" s="46" t="s">
        <v>38</v>
      </c>
      <c r="C5959" s="46" t="s">
        <v>14</v>
      </c>
      <c r="D5959" s="47">
        <v>1170</v>
      </c>
      <c r="E5959" s="46" t="s">
        <v>9440</v>
      </c>
      <c r="F5959" s="48">
        <v>39097</v>
      </c>
      <c r="G5959" s="48">
        <v>41639</v>
      </c>
      <c r="H5959" s="46" t="s">
        <v>40</v>
      </c>
      <c r="I5959" s="45">
        <v>38153.47</v>
      </c>
      <c r="J5959" s="45">
        <v>38153.47</v>
      </c>
      <c r="K5959" s="49" t="s">
        <v>9243</v>
      </c>
      <c r="L5959" s="46"/>
    </row>
    <row r="5960" spans="1:12" ht="25.5" x14ac:dyDescent="0.25">
      <c r="A5960" s="46" t="s">
        <v>9441</v>
      </c>
      <c r="B5960" s="46" t="s">
        <v>38</v>
      </c>
      <c r="C5960" s="46" t="s">
        <v>14</v>
      </c>
      <c r="D5960" s="47">
        <v>1171</v>
      </c>
      <c r="E5960" s="46" t="s">
        <v>9442</v>
      </c>
      <c r="F5960" s="48">
        <v>39356</v>
      </c>
      <c r="G5960" s="48">
        <v>41639</v>
      </c>
      <c r="H5960" s="46" t="s">
        <v>40</v>
      </c>
      <c r="I5960" s="45">
        <v>25031.84</v>
      </c>
      <c r="J5960" s="45">
        <v>12571.18</v>
      </c>
      <c r="K5960" s="49" t="s">
        <v>9243</v>
      </c>
      <c r="L5960" s="46"/>
    </row>
    <row r="5961" spans="1:12" ht="25.5" x14ac:dyDescent="0.25">
      <c r="A5961" s="46" t="s">
        <v>9443</v>
      </c>
      <c r="B5961" s="46" t="s">
        <v>38</v>
      </c>
      <c r="C5961" s="46" t="s">
        <v>14</v>
      </c>
      <c r="D5961" s="47">
        <v>1172</v>
      </c>
      <c r="E5961" s="46" t="s">
        <v>9444</v>
      </c>
      <c r="F5961" s="48">
        <v>39097</v>
      </c>
      <c r="G5961" s="48">
        <v>41639</v>
      </c>
      <c r="H5961" s="46" t="s">
        <v>40</v>
      </c>
      <c r="I5961" s="45">
        <f>24559.59+2716.7</f>
        <v>27276.29</v>
      </c>
      <c r="J5961" s="45">
        <f>13162.89+2716.7</f>
        <v>15879.59</v>
      </c>
      <c r="K5961" s="49" t="s">
        <v>9243</v>
      </c>
      <c r="L5961" s="46"/>
    </row>
    <row r="5962" spans="1:12" ht="25.5" x14ac:dyDescent="0.25">
      <c r="A5962" s="46" t="s">
        <v>9445</v>
      </c>
      <c r="B5962" s="46" t="s">
        <v>38</v>
      </c>
      <c r="C5962" s="46" t="s">
        <v>14</v>
      </c>
      <c r="D5962" s="47">
        <v>1174</v>
      </c>
      <c r="E5962" s="46" t="s">
        <v>9446</v>
      </c>
      <c r="F5962" s="48">
        <v>39519</v>
      </c>
      <c r="G5962" s="48">
        <v>41639</v>
      </c>
      <c r="H5962" s="46" t="s">
        <v>40</v>
      </c>
      <c r="I5962" s="45">
        <v>150</v>
      </c>
      <c r="J5962" s="45">
        <v>150</v>
      </c>
      <c r="K5962" s="49" t="s">
        <v>9243</v>
      </c>
      <c r="L5962" s="46"/>
    </row>
    <row r="5963" spans="1:12" ht="25.5" x14ac:dyDescent="0.25">
      <c r="A5963" s="46" t="s">
        <v>3252</v>
      </c>
      <c r="B5963" s="46" t="s">
        <v>38</v>
      </c>
      <c r="C5963" s="46" t="s">
        <v>14</v>
      </c>
      <c r="D5963" s="47">
        <v>1176</v>
      </c>
      <c r="E5963" s="46" t="s">
        <v>3252</v>
      </c>
      <c r="F5963" s="48">
        <v>39373</v>
      </c>
      <c r="G5963" s="48">
        <v>41639</v>
      </c>
      <c r="H5963" s="46" t="s">
        <v>40</v>
      </c>
      <c r="I5963" s="45">
        <v>300</v>
      </c>
      <c r="J5963" s="45">
        <v>300</v>
      </c>
      <c r="K5963" s="49" t="s">
        <v>9243</v>
      </c>
      <c r="L5963" s="46"/>
    </row>
    <row r="5964" spans="1:12" ht="25.5" x14ac:dyDescent="0.25">
      <c r="A5964" s="46" t="s">
        <v>9447</v>
      </c>
      <c r="B5964" s="46" t="s">
        <v>38</v>
      </c>
      <c r="C5964" s="46" t="s">
        <v>14</v>
      </c>
      <c r="D5964" s="47">
        <v>1178</v>
      </c>
      <c r="E5964" s="46" t="s">
        <v>9448</v>
      </c>
      <c r="F5964" s="48">
        <v>39674</v>
      </c>
      <c r="G5964" s="48">
        <v>41639</v>
      </c>
      <c r="H5964" s="46" t="s">
        <v>40</v>
      </c>
      <c r="I5964" s="45">
        <v>1493.88</v>
      </c>
      <c r="J5964" s="45">
        <v>698.88</v>
      </c>
      <c r="K5964" s="49" t="s">
        <v>9243</v>
      </c>
      <c r="L5964" s="46"/>
    </row>
    <row r="5965" spans="1:12" ht="51" x14ac:dyDescent="0.25">
      <c r="A5965" s="46" t="s">
        <v>9449</v>
      </c>
      <c r="B5965" s="46" t="s">
        <v>38</v>
      </c>
      <c r="C5965" s="46" t="s">
        <v>14</v>
      </c>
      <c r="D5965" s="47">
        <v>1179</v>
      </c>
      <c r="E5965" s="50" t="s">
        <v>9450</v>
      </c>
      <c r="F5965" s="48">
        <v>39217</v>
      </c>
      <c r="G5965" s="48">
        <v>41639</v>
      </c>
      <c r="H5965" s="46" t="s">
        <v>40</v>
      </c>
      <c r="I5965" s="45">
        <v>2500</v>
      </c>
      <c r="J5965" s="45">
        <v>2500</v>
      </c>
      <c r="K5965" s="49" t="s">
        <v>9243</v>
      </c>
      <c r="L5965" s="46"/>
    </row>
    <row r="5966" spans="1:12" ht="25.5" x14ac:dyDescent="0.25">
      <c r="A5966" s="46" t="s">
        <v>9451</v>
      </c>
      <c r="B5966" s="46" t="s">
        <v>38</v>
      </c>
      <c r="C5966" s="46" t="s">
        <v>14</v>
      </c>
      <c r="D5966" s="47">
        <v>1181</v>
      </c>
      <c r="E5966" s="46" t="s">
        <v>9452</v>
      </c>
      <c r="F5966" s="48">
        <v>39786</v>
      </c>
      <c r="G5966" s="48">
        <v>41639</v>
      </c>
      <c r="H5966" s="46" t="s">
        <v>40</v>
      </c>
      <c r="I5966" s="45">
        <v>1670.2</v>
      </c>
      <c r="J5966" s="45">
        <v>545.20000000000005</v>
      </c>
      <c r="K5966" s="49" t="s">
        <v>9243</v>
      </c>
      <c r="L5966" s="46"/>
    </row>
    <row r="5967" spans="1:12" ht="25.5" x14ac:dyDescent="0.25">
      <c r="A5967" s="46" t="s">
        <v>9453</v>
      </c>
      <c r="B5967" s="46" t="s">
        <v>38</v>
      </c>
      <c r="C5967" s="46" t="s">
        <v>14</v>
      </c>
      <c r="D5967" s="47">
        <v>1193</v>
      </c>
      <c r="E5967" s="46" t="s">
        <v>9454</v>
      </c>
      <c r="F5967" s="48">
        <v>39591</v>
      </c>
      <c r="G5967" s="48">
        <v>41639</v>
      </c>
      <c r="H5967" s="46" t="s">
        <v>40</v>
      </c>
      <c r="I5967" s="45">
        <v>1778.7</v>
      </c>
      <c r="J5967" s="45">
        <v>1493.7</v>
      </c>
      <c r="K5967" s="49" t="s">
        <v>9243</v>
      </c>
      <c r="L5967" s="46"/>
    </row>
    <row r="5968" spans="1:12" ht="25.5" x14ac:dyDescent="0.25">
      <c r="A5968" s="46" t="s">
        <v>9457</v>
      </c>
      <c r="B5968" s="46" t="s">
        <v>38</v>
      </c>
      <c r="C5968" s="46" t="s">
        <v>14</v>
      </c>
      <c r="D5968" s="47">
        <v>4253</v>
      </c>
      <c r="E5968" s="46" t="s">
        <v>9458</v>
      </c>
      <c r="F5968" s="48">
        <v>39520</v>
      </c>
      <c r="G5968" s="48">
        <v>41639</v>
      </c>
      <c r="H5968" s="46" t="s">
        <v>40</v>
      </c>
      <c r="I5968" s="45">
        <v>1503.52</v>
      </c>
      <c r="J5968" s="45">
        <v>313.52</v>
      </c>
      <c r="K5968" s="49" t="s">
        <v>9243</v>
      </c>
      <c r="L5968" s="46"/>
    </row>
    <row r="5969" spans="1:12" ht="25.5" x14ac:dyDescent="0.25">
      <c r="A5969" s="46" t="s">
        <v>9459</v>
      </c>
      <c r="B5969" s="46" t="s">
        <v>38</v>
      </c>
      <c r="C5969" s="46" t="s">
        <v>14</v>
      </c>
      <c r="D5969" s="47">
        <v>4371</v>
      </c>
      <c r="E5969" s="46" t="s">
        <v>9460</v>
      </c>
      <c r="F5969" s="48">
        <v>39174</v>
      </c>
      <c r="G5969" s="48">
        <v>41639</v>
      </c>
      <c r="H5969" s="46" t="s">
        <v>40</v>
      </c>
      <c r="I5969" s="45">
        <v>3573.45</v>
      </c>
      <c r="J5969" s="45">
        <v>1076.6500000000001</v>
      </c>
      <c r="K5969" s="49" t="s">
        <v>9243</v>
      </c>
      <c r="L5969" s="46"/>
    </row>
    <row r="5970" spans="1:12" ht="25.5" x14ac:dyDescent="0.25">
      <c r="A5970" s="46" t="s">
        <v>9511</v>
      </c>
      <c r="B5970" s="46" t="s">
        <v>38</v>
      </c>
      <c r="C5970" s="46" t="s">
        <v>14</v>
      </c>
      <c r="D5970" s="47">
        <v>5297</v>
      </c>
      <c r="E5970" s="46" t="s">
        <v>9511</v>
      </c>
      <c r="F5970" s="48">
        <v>39881</v>
      </c>
      <c r="G5970" s="48">
        <v>41359</v>
      </c>
      <c r="H5970" s="46" t="s">
        <v>40</v>
      </c>
      <c r="I5970" s="45">
        <v>400</v>
      </c>
      <c r="J5970" s="45">
        <v>300</v>
      </c>
      <c r="K5970" s="49" t="s">
        <v>9243</v>
      </c>
      <c r="L5970" s="46"/>
    </row>
    <row r="5971" spans="1:12" ht="25.5" x14ac:dyDescent="0.25">
      <c r="A5971" s="46" t="s">
        <v>9512</v>
      </c>
      <c r="B5971" s="46" t="s">
        <v>38</v>
      </c>
      <c r="C5971" s="46" t="s">
        <v>14</v>
      </c>
      <c r="D5971" s="47">
        <v>5302</v>
      </c>
      <c r="E5971" s="46" t="s">
        <v>9513</v>
      </c>
      <c r="F5971" s="48">
        <v>39875</v>
      </c>
      <c r="G5971" s="48">
        <v>41639</v>
      </c>
      <c r="H5971" s="46" t="s">
        <v>40</v>
      </c>
      <c r="I5971" s="45">
        <v>2530</v>
      </c>
      <c r="J5971" s="45">
        <v>1810</v>
      </c>
      <c r="K5971" s="49" t="s">
        <v>9243</v>
      </c>
      <c r="L5971" s="46"/>
    </row>
    <row r="5972" spans="1:12" ht="25.5" x14ac:dyDescent="0.25">
      <c r="A5972" s="46" t="s">
        <v>9514</v>
      </c>
      <c r="B5972" s="46" t="s">
        <v>38</v>
      </c>
      <c r="C5972" s="46" t="s">
        <v>14</v>
      </c>
      <c r="D5972" s="47">
        <v>5306</v>
      </c>
      <c r="E5972" s="46" t="s">
        <v>9515</v>
      </c>
      <c r="F5972" s="48">
        <v>39854</v>
      </c>
      <c r="G5972" s="48">
        <v>41639</v>
      </c>
      <c r="H5972" s="46" t="s">
        <v>40</v>
      </c>
      <c r="I5972" s="45">
        <f>2912.65+728.85</f>
        <v>3641.5</v>
      </c>
      <c r="J5972" s="45">
        <f>258.8+728.85</f>
        <v>987.65000000000009</v>
      </c>
      <c r="K5972" s="49" t="s">
        <v>9243</v>
      </c>
      <c r="L5972" s="46"/>
    </row>
    <row r="5973" spans="1:12" ht="25.5" x14ac:dyDescent="0.25">
      <c r="A5973" s="46" t="s">
        <v>9516</v>
      </c>
      <c r="B5973" s="46" t="s">
        <v>38</v>
      </c>
      <c r="C5973" s="46" t="s">
        <v>14</v>
      </c>
      <c r="D5973" s="47">
        <v>5308</v>
      </c>
      <c r="E5973" s="46" t="s">
        <v>9517</v>
      </c>
      <c r="F5973" s="48">
        <v>40078</v>
      </c>
      <c r="G5973" s="48">
        <v>41639</v>
      </c>
      <c r="H5973" s="46" t="s">
        <v>40</v>
      </c>
      <c r="I5973" s="45">
        <v>2723</v>
      </c>
      <c r="J5973" s="45">
        <v>2063</v>
      </c>
      <c r="K5973" s="49" t="s">
        <v>9243</v>
      </c>
      <c r="L5973" s="46"/>
    </row>
    <row r="5974" spans="1:12" ht="25.5" x14ac:dyDescent="0.25">
      <c r="A5974" s="46" t="s">
        <v>9518</v>
      </c>
      <c r="B5974" s="46" t="s">
        <v>38</v>
      </c>
      <c r="C5974" s="46" t="s">
        <v>14</v>
      </c>
      <c r="D5974" s="47">
        <v>5311</v>
      </c>
      <c r="E5974" s="46" t="s">
        <v>9519</v>
      </c>
      <c r="F5974" s="48">
        <v>40078</v>
      </c>
      <c r="G5974" s="48">
        <v>41639</v>
      </c>
      <c r="H5974" s="46" t="s">
        <v>40</v>
      </c>
      <c r="I5974" s="45">
        <v>2108.4</v>
      </c>
      <c r="J5974" s="45">
        <v>212</v>
      </c>
      <c r="K5974" s="49" t="s">
        <v>9243</v>
      </c>
      <c r="L5974" s="46"/>
    </row>
    <row r="5975" spans="1:12" ht="25.5" x14ac:dyDescent="0.25">
      <c r="A5975" s="46" t="s">
        <v>9520</v>
      </c>
      <c r="B5975" s="46" t="s">
        <v>38</v>
      </c>
      <c r="C5975" s="46" t="s">
        <v>14</v>
      </c>
      <c r="D5975" s="47">
        <v>5313</v>
      </c>
      <c r="E5975" s="46" t="s">
        <v>9521</v>
      </c>
      <c r="F5975" s="48">
        <v>40077</v>
      </c>
      <c r="G5975" s="48">
        <v>40908</v>
      </c>
      <c r="H5975" s="46" t="s">
        <v>40</v>
      </c>
      <c r="I5975" s="45">
        <v>2063.5</v>
      </c>
      <c r="J5975" s="45">
        <v>1083.4000000000001</v>
      </c>
      <c r="K5975" s="49" t="s">
        <v>9243</v>
      </c>
      <c r="L5975" s="46"/>
    </row>
    <row r="5976" spans="1:12" ht="25.5" x14ac:dyDescent="0.25">
      <c r="A5976" s="46" t="s">
        <v>9522</v>
      </c>
      <c r="B5976" s="46" t="s">
        <v>38</v>
      </c>
      <c r="C5976" s="46" t="s">
        <v>14</v>
      </c>
      <c r="D5976" s="47">
        <v>5352</v>
      </c>
      <c r="E5976" s="46" t="s">
        <v>9523</v>
      </c>
      <c r="F5976" s="48">
        <v>40085</v>
      </c>
      <c r="G5976" s="48">
        <v>41639</v>
      </c>
      <c r="H5976" s="46" t="s">
        <v>40</v>
      </c>
      <c r="I5976" s="45">
        <v>4027.45</v>
      </c>
      <c r="J5976" s="45">
        <v>2632.45</v>
      </c>
      <c r="K5976" s="49" t="s">
        <v>9243</v>
      </c>
      <c r="L5976" s="46"/>
    </row>
    <row r="5977" spans="1:12" ht="25.5" x14ac:dyDescent="0.25">
      <c r="A5977" s="46" t="s">
        <v>9524</v>
      </c>
      <c r="B5977" s="46" t="s">
        <v>38</v>
      </c>
      <c r="C5977" s="46" t="s">
        <v>14</v>
      </c>
      <c r="D5977" s="47">
        <v>5354</v>
      </c>
      <c r="E5977" s="46" t="s">
        <v>9525</v>
      </c>
      <c r="F5977" s="48">
        <v>40044</v>
      </c>
      <c r="G5977" s="48">
        <v>41639</v>
      </c>
      <c r="H5977" s="46" t="s">
        <v>40</v>
      </c>
      <c r="I5977" s="45">
        <f>17977.5+3654</f>
        <v>21631.5</v>
      </c>
      <c r="J5977" s="45">
        <f>7123.5+3654</f>
        <v>10777.5</v>
      </c>
      <c r="K5977" s="49" t="s">
        <v>9243</v>
      </c>
      <c r="L5977" s="46"/>
    </row>
    <row r="5978" spans="1:12" ht="25.5" x14ac:dyDescent="0.25">
      <c r="A5978" s="46" t="s">
        <v>9526</v>
      </c>
      <c r="B5978" s="46" t="s">
        <v>38</v>
      </c>
      <c r="C5978" s="46" t="s">
        <v>14</v>
      </c>
      <c r="D5978" s="47">
        <v>5355</v>
      </c>
      <c r="E5978" s="46" t="s">
        <v>9527</v>
      </c>
      <c r="F5978" s="48">
        <v>39814</v>
      </c>
      <c r="G5978" s="48">
        <v>41639</v>
      </c>
      <c r="H5978" s="46" t="s">
        <v>40</v>
      </c>
      <c r="I5978" s="45">
        <v>1967.6</v>
      </c>
      <c r="J5978" s="45">
        <v>1197.5999999999999</v>
      </c>
      <c r="K5978" s="49" t="s">
        <v>9243</v>
      </c>
      <c r="L5978" s="46"/>
    </row>
    <row r="5979" spans="1:12" ht="25.5" x14ac:dyDescent="0.25">
      <c r="A5979" s="46" t="s">
        <v>9528</v>
      </c>
      <c r="B5979" s="46" t="s">
        <v>38</v>
      </c>
      <c r="C5979" s="46" t="s">
        <v>14</v>
      </c>
      <c r="D5979" s="47">
        <v>5362</v>
      </c>
      <c r="E5979" s="46" t="s">
        <v>9529</v>
      </c>
      <c r="F5979" s="48">
        <v>39877</v>
      </c>
      <c r="G5979" s="48">
        <v>41639</v>
      </c>
      <c r="H5979" s="46" t="s">
        <v>40</v>
      </c>
      <c r="I5979" s="45">
        <v>1000</v>
      </c>
      <c r="J5979" s="45">
        <v>1000</v>
      </c>
      <c r="K5979" s="49" t="s">
        <v>9243</v>
      </c>
      <c r="L5979" s="46"/>
    </row>
    <row r="5980" spans="1:12" ht="25.5" x14ac:dyDescent="0.25">
      <c r="A5980" s="46" t="s">
        <v>9590</v>
      </c>
      <c r="B5980" s="46" t="s">
        <v>38</v>
      </c>
      <c r="C5980" s="46" t="s">
        <v>14</v>
      </c>
      <c r="D5980" s="47">
        <v>7718</v>
      </c>
      <c r="E5980" s="46" t="s">
        <v>9591</v>
      </c>
      <c r="F5980" s="48">
        <v>40290</v>
      </c>
      <c r="G5980" s="48">
        <v>41639</v>
      </c>
      <c r="H5980" s="46" t="s">
        <v>40</v>
      </c>
      <c r="I5980" s="45">
        <v>820</v>
      </c>
      <c r="J5980" s="45">
        <v>520</v>
      </c>
      <c r="K5980" s="49" t="s">
        <v>9243</v>
      </c>
      <c r="L5980" s="46"/>
    </row>
    <row r="5981" spans="1:12" ht="25.5" x14ac:dyDescent="0.25">
      <c r="A5981" s="46" t="s">
        <v>9592</v>
      </c>
      <c r="B5981" s="46" t="s">
        <v>38</v>
      </c>
      <c r="C5981" s="46" t="s">
        <v>14</v>
      </c>
      <c r="D5981" s="47">
        <v>7719</v>
      </c>
      <c r="E5981" s="46" t="s">
        <v>9593</v>
      </c>
      <c r="F5981" s="48">
        <v>40234</v>
      </c>
      <c r="G5981" s="48">
        <v>41639</v>
      </c>
      <c r="H5981" s="46" t="s">
        <v>40</v>
      </c>
      <c r="I5981" s="45">
        <v>2610</v>
      </c>
      <c r="J5981" s="45">
        <v>1060</v>
      </c>
      <c r="K5981" s="49" t="s">
        <v>9243</v>
      </c>
      <c r="L5981" s="46"/>
    </row>
    <row r="5982" spans="1:12" ht="38.25" x14ac:dyDescent="0.25">
      <c r="A5982" s="46" t="s">
        <v>9594</v>
      </c>
      <c r="B5982" s="46" t="s">
        <v>38</v>
      </c>
      <c r="C5982" s="46" t="s">
        <v>14</v>
      </c>
      <c r="D5982" s="47">
        <v>7720</v>
      </c>
      <c r="E5982" s="46" t="s">
        <v>9595</v>
      </c>
      <c r="F5982" s="48">
        <v>40262</v>
      </c>
      <c r="G5982" s="48">
        <v>41639</v>
      </c>
      <c r="H5982" s="46" t="s">
        <v>40</v>
      </c>
      <c r="I5982" s="45">
        <v>2635</v>
      </c>
      <c r="J5982" s="45">
        <v>1235</v>
      </c>
      <c r="K5982" s="49" t="s">
        <v>9243</v>
      </c>
      <c r="L5982" s="46"/>
    </row>
    <row r="5983" spans="1:12" ht="38.25" x14ac:dyDescent="0.25">
      <c r="A5983" s="46" t="s">
        <v>9598</v>
      </c>
      <c r="B5983" s="46" t="s">
        <v>38</v>
      </c>
      <c r="C5983" s="46" t="s">
        <v>14</v>
      </c>
      <c r="D5983" s="47">
        <v>7722</v>
      </c>
      <c r="E5983" s="46" t="s">
        <v>9599</v>
      </c>
      <c r="F5983" s="48">
        <v>40318</v>
      </c>
      <c r="G5983" s="48">
        <v>41639</v>
      </c>
      <c r="H5983" s="46" t="s">
        <v>40</v>
      </c>
      <c r="I5983" s="45">
        <v>1308.3</v>
      </c>
      <c r="J5983" s="45">
        <v>548.29999999999995</v>
      </c>
      <c r="K5983" s="49" t="s">
        <v>9243</v>
      </c>
      <c r="L5983" s="46"/>
    </row>
    <row r="5984" spans="1:12" ht="25.5" x14ac:dyDescent="0.25">
      <c r="A5984" s="46" t="s">
        <v>11256</v>
      </c>
      <c r="B5984" s="46" t="s">
        <v>38</v>
      </c>
      <c r="C5984" s="46" t="s">
        <v>14</v>
      </c>
      <c r="D5984" s="47">
        <v>7724</v>
      </c>
      <c r="E5984" s="46" t="s">
        <v>11257</v>
      </c>
      <c r="F5984" s="48">
        <v>41275</v>
      </c>
      <c r="G5984" s="48">
        <v>41639</v>
      </c>
      <c r="H5984" s="46" t="s">
        <v>651</v>
      </c>
      <c r="I5984" s="45">
        <v>1960.11</v>
      </c>
      <c r="J5984" s="45">
        <v>1960.11</v>
      </c>
      <c r="K5984" s="49" t="s">
        <v>9243</v>
      </c>
      <c r="L5984" s="46"/>
    </row>
    <row r="5985" spans="1:12" ht="25.5" x14ac:dyDescent="0.25">
      <c r="A5985" s="46" t="s">
        <v>9600</v>
      </c>
      <c r="B5985" s="46" t="s">
        <v>38</v>
      </c>
      <c r="C5985" s="46" t="s">
        <v>14</v>
      </c>
      <c r="D5985" s="47">
        <v>7725</v>
      </c>
      <c r="E5985" s="46" t="s">
        <v>9601</v>
      </c>
      <c r="F5985" s="48">
        <v>40179</v>
      </c>
      <c r="G5985" s="48">
        <v>41639</v>
      </c>
      <c r="H5985" s="46" t="s">
        <v>40</v>
      </c>
      <c r="I5985" s="45">
        <f>15316.95+3198</f>
        <v>18514.95</v>
      </c>
      <c r="J5985" s="45">
        <f>12118.95+3198</f>
        <v>15316.95</v>
      </c>
      <c r="K5985" s="49" t="s">
        <v>9243</v>
      </c>
      <c r="L5985" s="46"/>
    </row>
    <row r="5986" spans="1:12" ht="25.5" x14ac:dyDescent="0.25">
      <c r="A5986" s="46" t="s">
        <v>9647</v>
      </c>
      <c r="B5986" s="46" t="s">
        <v>38</v>
      </c>
      <c r="C5986" s="46" t="s">
        <v>14</v>
      </c>
      <c r="D5986" s="47">
        <v>9073</v>
      </c>
      <c r="E5986" s="46" t="s">
        <v>9648</v>
      </c>
      <c r="F5986" s="48">
        <v>40544</v>
      </c>
      <c r="G5986" s="48">
        <v>41639</v>
      </c>
      <c r="H5986" s="46" t="s">
        <v>40</v>
      </c>
      <c r="I5986" s="45">
        <f>5246+1221</f>
        <v>6467</v>
      </c>
      <c r="J5986" s="45">
        <f>3325+1221</f>
        <v>4546</v>
      </c>
      <c r="K5986" s="49" t="s">
        <v>9243</v>
      </c>
      <c r="L5986" s="46"/>
    </row>
    <row r="5987" spans="1:12" ht="25.5" x14ac:dyDescent="0.25">
      <c r="A5987" s="46" t="s">
        <v>9649</v>
      </c>
      <c r="B5987" s="46" t="s">
        <v>38</v>
      </c>
      <c r="C5987" s="46" t="s">
        <v>14</v>
      </c>
      <c r="D5987" s="47">
        <v>9075</v>
      </c>
      <c r="E5987" s="46" t="s">
        <v>9650</v>
      </c>
      <c r="F5987" s="48">
        <v>40909</v>
      </c>
      <c r="G5987" s="48">
        <v>41274</v>
      </c>
      <c r="H5987" s="46" t="s">
        <v>40</v>
      </c>
      <c r="I5987" s="45">
        <v>579.9</v>
      </c>
      <c r="J5987" s="45">
        <v>254.9</v>
      </c>
      <c r="K5987" s="49" t="s">
        <v>9243</v>
      </c>
      <c r="L5987" s="46"/>
    </row>
    <row r="5988" spans="1:12" ht="25.5" x14ac:dyDescent="0.25">
      <c r="A5988" s="46" t="s">
        <v>9651</v>
      </c>
      <c r="B5988" s="46" t="s">
        <v>38</v>
      </c>
      <c r="C5988" s="46" t="s">
        <v>14</v>
      </c>
      <c r="D5988" s="47">
        <v>9077</v>
      </c>
      <c r="E5988" s="46" t="s">
        <v>9652</v>
      </c>
      <c r="F5988" s="48">
        <v>40544</v>
      </c>
      <c r="G5988" s="48">
        <v>41639</v>
      </c>
      <c r="H5988" s="46" t="s">
        <v>40</v>
      </c>
      <c r="I5988" s="45">
        <v>525</v>
      </c>
      <c r="J5988" s="45">
        <v>300</v>
      </c>
      <c r="K5988" s="49" t="s">
        <v>9243</v>
      </c>
      <c r="L5988" s="46"/>
    </row>
    <row r="5989" spans="1:12" ht="25.5" x14ac:dyDescent="0.25">
      <c r="A5989" s="46" t="s">
        <v>9653</v>
      </c>
      <c r="B5989" s="46" t="s">
        <v>38</v>
      </c>
      <c r="C5989" s="46" t="s">
        <v>14</v>
      </c>
      <c r="D5989" s="47">
        <v>9078</v>
      </c>
      <c r="E5989" s="46" t="s">
        <v>9654</v>
      </c>
      <c r="F5989" s="48">
        <v>40544</v>
      </c>
      <c r="G5989" s="48">
        <v>41639</v>
      </c>
      <c r="H5989" s="46" t="s">
        <v>40</v>
      </c>
      <c r="I5989" s="45">
        <v>1125</v>
      </c>
      <c r="J5989" s="45">
        <v>845</v>
      </c>
      <c r="K5989" s="49" t="s">
        <v>9243</v>
      </c>
      <c r="L5989" s="46"/>
    </row>
    <row r="5990" spans="1:12" ht="25.5" x14ac:dyDescent="0.25">
      <c r="A5990" s="46" t="s">
        <v>9655</v>
      </c>
      <c r="B5990" s="46" t="s">
        <v>38</v>
      </c>
      <c r="C5990" s="46" t="s">
        <v>14</v>
      </c>
      <c r="D5990" s="47">
        <v>9079</v>
      </c>
      <c r="E5990" s="46" t="s">
        <v>9656</v>
      </c>
      <c r="F5990" s="48">
        <v>40909</v>
      </c>
      <c r="G5990" s="48">
        <v>41639</v>
      </c>
      <c r="H5990" s="46" t="s">
        <v>40</v>
      </c>
      <c r="I5990" s="45">
        <f>13446.8+1716</f>
        <v>15162.8</v>
      </c>
      <c r="J5990" s="45">
        <f>3855+1716</f>
        <v>5571</v>
      </c>
      <c r="K5990" s="49" t="s">
        <v>9243</v>
      </c>
      <c r="L5990" s="46"/>
    </row>
    <row r="5991" spans="1:12" ht="25.5" x14ac:dyDescent="0.25">
      <c r="A5991" s="46" t="s">
        <v>9657</v>
      </c>
      <c r="B5991" s="46" t="s">
        <v>38</v>
      </c>
      <c r="C5991" s="46" t="s">
        <v>14</v>
      </c>
      <c r="D5991" s="47">
        <v>9080</v>
      </c>
      <c r="E5991" s="46" t="s">
        <v>9658</v>
      </c>
      <c r="F5991" s="48">
        <v>40544</v>
      </c>
      <c r="G5991" s="48">
        <v>41639</v>
      </c>
      <c r="H5991" s="46" t="s">
        <v>40</v>
      </c>
      <c r="I5991" s="45">
        <v>1879</v>
      </c>
      <c r="J5991" s="45">
        <v>359.5</v>
      </c>
      <c r="K5991" s="49" t="s">
        <v>9243</v>
      </c>
      <c r="L5991" s="46"/>
    </row>
    <row r="5992" spans="1:12" ht="25.5" x14ac:dyDescent="0.25">
      <c r="A5992" s="46" t="s">
        <v>9659</v>
      </c>
      <c r="B5992" s="46" t="s">
        <v>38</v>
      </c>
      <c r="C5992" s="46" t="s">
        <v>14</v>
      </c>
      <c r="D5992" s="47">
        <v>9081</v>
      </c>
      <c r="E5992" s="46" t="s">
        <v>9660</v>
      </c>
      <c r="F5992" s="48">
        <v>40544</v>
      </c>
      <c r="G5992" s="48">
        <v>41274</v>
      </c>
      <c r="H5992" s="46" t="s">
        <v>40</v>
      </c>
      <c r="I5992" s="45">
        <v>2100</v>
      </c>
      <c r="J5992" s="45">
        <v>1150</v>
      </c>
      <c r="K5992" s="49" t="s">
        <v>9243</v>
      </c>
      <c r="L5992" s="46"/>
    </row>
    <row r="5993" spans="1:12" ht="25.5" x14ac:dyDescent="0.25">
      <c r="A5993" s="46" t="s">
        <v>9661</v>
      </c>
      <c r="B5993" s="46" t="s">
        <v>38</v>
      </c>
      <c r="C5993" s="46" t="s">
        <v>14</v>
      </c>
      <c r="D5993" s="47">
        <v>9082</v>
      </c>
      <c r="E5993" s="46" t="s">
        <v>9662</v>
      </c>
      <c r="F5993" s="48">
        <v>40544</v>
      </c>
      <c r="G5993" s="48">
        <v>41639</v>
      </c>
      <c r="H5993" s="46" t="s">
        <v>40</v>
      </c>
      <c r="I5993" s="45">
        <v>600</v>
      </c>
      <c r="J5993" s="45">
        <v>300</v>
      </c>
      <c r="K5993" s="49" t="s">
        <v>9243</v>
      </c>
      <c r="L5993" s="46"/>
    </row>
    <row r="5994" spans="1:12" ht="25.5" x14ac:dyDescent="0.25">
      <c r="A5994" s="46" t="s">
        <v>9663</v>
      </c>
      <c r="B5994" s="46" t="s">
        <v>38</v>
      </c>
      <c r="C5994" s="46" t="s">
        <v>14</v>
      </c>
      <c r="D5994" s="47">
        <v>9083</v>
      </c>
      <c r="E5994" s="46" t="s">
        <v>9664</v>
      </c>
      <c r="F5994" s="48">
        <v>40544</v>
      </c>
      <c r="G5994" s="48">
        <v>41639</v>
      </c>
      <c r="H5994" s="46" t="s">
        <v>40</v>
      </c>
      <c r="I5994" s="45">
        <f>2388+223</f>
        <v>2611</v>
      </c>
      <c r="J5994" s="45">
        <f>865+223</f>
        <v>1088</v>
      </c>
      <c r="K5994" s="49" t="s">
        <v>9243</v>
      </c>
      <c r="L5994" s="46"/>
    </row>
    <row r="5995" spans="1:12" ht="25.5" x14ac:dyDescent="0.25">
      <c r="A5995" s="46" t="s">
        <v>9665</v>
      </c>
      <c r="B5995" s="46" t="s">
        <v>38</v>
      </c>
      <c r="C5995" s="46" t="s">
        <v>14</v>
      </c>
      <c r="D5995" s="47">
        <v>9086</v>
      </c>
      <c r="E5995" s="46" t="s">
        <v>9666</v>
      </c>
      <c r="F5995" s="48">
        <v>40544</v>
      </c>
      <c r="G5995" s="48">
        <v>41609</v>
      </c>
      <c r="H5995" s="46" t="s">
        <v>40</v>
      </c>
      <c r="I5995" s="45">
        <f>3822.2+641</f>
        <v>4463.2</v>
      </c>
      <c r="J5995" s="45">
        <f>1256.2+641</f>
        <v>1897.2</v>
      </c>
      <c r="K5995" s="49" t="s">
        <v>9243</v>
      </c>
      <c r="L5995" s="46"/>
    </row>
    <row r="5996" spans="1:12" ht="25.5" x14ac:dyDescent="0.25">
      <c r="A5996" s="46" t="s">
        <v>9667</v>
      </c>
      <c r="B5996" s="46" t="s">
        <v>38</v>
      </c>
      <c r="C5996" s="46" t="s">
        <v>14</v>
      </c>
      <c r="D5996" s="47">
        <v>9089</v>
      </c>
      <c r="E5996" s="46" t="s">
        <v>9668</v>
      </c>
      <c r="F5996" s="48">
        <v>40544</v>
      </c>
      <c r="G5996" s="48">
        <v>41639</v>
      </c>
      <c r="H5996" s="46" t="s">
        <v>40</v>
      </c>
      <c r="I5996" s="45">
        <v>900</v>
      </c>
      <c r="J5996" s="45">
        <v>675</v>
      </c>
      <c r="K5996" s="49" t="s">
        <v>9243</v>
      </c>
      <c r="L5996" s="46"/>
    </row>
    <row r="5997" spans="1:12" ht="25.5" x14ac:dyDescent="0.25">
      <c r="A5997" s="46" t="s">
        <v>9669</v>
      </c>
      <c r="B5997" s="46" t="s">
        <v>38</v>
      </c>
      <c r="C5997" s="46" t="s">
        <v>14</v>
      </c>
      <c r="D5997" s="47">
        <v>9092</v>
      </c>
      <c r="E5997" s="46" t="s">
        <v>9670</v>
      </c>
      <c r="F5997" s="48">
        <v>40544</v>
      </c>
      <c r="G5997" s="48">
        <v>41274</v>
      </c>
      <c r="H5997" s="46" t="s">
        <v>40</v>
      </c>
      <c r="I5997" s="45">
        <v>1572.4</v>
      </c>
      <c r="J5997" s="45">
        <v>1222.4000000000001</v>
      </c>
      <c r="K5997" s="49" t="s">
        <v>9243</v>
      </c>
      <c r="L5997" s="46"/>
    </row>
    <row r="5998" spans="1:12" ht="25.5" x14ac:dyDescent="0.25">
      <c r="A5998" s="46" t="s">
        <v>9671</v>
      </c>
      <c r="B5998" s="46" t="s">
        <v>38</v>
      </c>
      <c r="C5998" s="46" t="s">
        <v>14</v>
      </c>
      <c r="D5998" s="47">
        <v>9095</v>
      </c>
      <c r="E5998" s="46" t="s">
        <v>9672</v>
      </c>
      <c r="F5998" s="48">
        <v>40544</v>
      </c>
      <c r="G5998" s="48">
        <v>41639</v>
      </c>
      <c r="H5998" s="46" t="s">
        <v>40</v>
      </c>
      <c r="I5998" s="45">
        <v>654.1</v>
      </c>
      <c r="J5998" s="45">
        <v>439.1</v>
      </c>
      <c r="K5998" s="49" t="s">
        <v>9243</v>
      </c>
      <c r="L5998" s="46"/>
    </row>
    <row r="5999" spans="1:12" ht="25.5" x14ac:dyDescent="0.25">
      <c r="A5999" s="46" t="s">
        <v>9673</v>
      </c>
      <c r="B5999" s="46" t="s">
        <v>38</v>
      </c>
      <c r="C5999" s="46" t="s">
        <v>14</v>
      </c>
      <c r="D5999" s="47">
        <v>9100</v>
      </c>
      <c r="E5999" s="46" t="s">
        <v>9674</v>
      </c>
      <c r="F5999" s="48">
        <v>40544</v>
      </c>
      <c r="G5999" s="48">
        <v>41639</v>
      </c>
      <c r="H5999" s="46" t="s">
        <v>40</v>
      </c>
      <c r="I5999" s="45">
        <f>3442+1746</f>
        <v>5188</v>
      </c>
      <c r="J5999" s="45">
        <f>421+1746</f>
        <v>2167</v>
      </c>
      <c r="K5999" s="49" t="s">
        <v>9243</v>
      </c>
      <c r="L5999" s="46"/>
    </row>
    <row r="6000" spans="1:12" ht="25.5" x14ac:dyDescent="0.25">
      <c r="A6000" s="46" t="s">
        <v>9675</v>
      </c>
      <c r="B6000" s="46" t="s">
        <v>38</v>
      </c>
      <c r="C6000" s="46" t="s">
        <v>14</v>
      </c>
      <c r="D6000" s="47">
        <v>9201</v>
      </c>
      <c r="E6000" s="46" t="s">
        <v>9676</v>
      </c>
      <c r="F6000" s="48">
        <v>40544</v>
      </c>
      <c r="G6000" s="48">
        <v>41639</v>
      </c>
      <c r="H6000" s="46" t="s">
        <v>40</v>
      </c>
      <c r="I6000" s="45">
        <f>5804+4320</f>
        <v>10124</v>
      </c>
      <c r="J6000" s="45">
        <f>1484+4320</f>
        <v>5804</v>
      </c>
      <c r="K6000" s="49" t="s">
        <v>9243</v>
      </c>
      <c r="L6000" s="46"/>
    </row>
    <row r="6001" spans="1:13" ht="25.5" x14ac:dyDescent="0.25">
      <c r="A6001" s="46" t="s">
        <v>6353</v>
      </c>
      <c r="B6001" s="46" t="s">
        <v>38</v>
      </c>
      <c r="C6001" s="46" t="s">
        <v>14</v>
      </c>
      <c r="D6001" s="47">
        <v>9202</v>
      </c>
      <c r="E6001" s="46" t="s">
        <v>9677</v>
      </c>
      <c r="F6001" s="48">
        <v>40544</v>
      </c>
      <c r="G6001" s="48">
        <v>41639</v>
      </c>
      <c r="H6001" s="46" t="s">
        <v>40</v>
      </c>
      <c r="I6001" s="45">
        <v>1936</v>
      </c>
      <c r="J6001" s="45">
        <v>1936</v>
      </c>
      <c r="K6001" s="49" t="s">
        <v>9243</v>
      </c>
      <c r="L6001" s="46"/>
    </row>
    <row r="6002" spans="1:13" ht="38.25" x14ac:dyDescent="0.25">
      <c r="A6002" s="46" t="s">
        <v>9678</v>
      </c>
      <c r="B6002" s="46" t="s">
        <v>38</v>
      </c>
      <c r="C6002" s="46" t="s">
        <v>14</v>
      </c>
      <c r="D6002" s="47">
        <v>9213</v>
      </c>
      <c r="E6002" s="46" t="s">
        <v>9679</v>
      </c>
      <c r="F6002" s="48">
        <v>40544</v>
      </c>
      <c r="G6002" s="48">
        <v>41639</v>
      </c>
      <c r="H6002" s="46" t="s">
        <v>40</v>
      </c>
      <c r="I6002" s="45">
        <v>58727</v>
      </c>
      <c r="J6002" s="45">
        <v>29363.5</v>
      </c>
      <c r="K6002" s="49" t="s">
        <v>9243</v>
      </c>
      <c r="L6002" s="45"/>
      <c r="M6002" s="3"/>
    </row>
    <row r="6003" spans="1:13" ht="25.5" x14ac:dyDescent="0.25">
      <c r="A6003" s="46" t="s">
        <v>9680</v>
      </c>
      <c r="B6003" s="46" t="s">
        <v>38</v>
      </c>
      <c r="C6003" s="46" t="s">
        <v>14</v>
      </c>
      <c r="D6003" s="47">
        <v>9214</v>
      </c>
      <c r="E6003" s="46" t="s">
        <v>9681</v>
      </c>
      <c r="F6003" s="48">
        <v>40544</v>
      </c>
      <c r="G6003" s="48">
        <v>41639</v>
      </c>
      <c r="H6003" s="46" t="s">
        <v>40</v>
      </c>
      <c r="I6003" s="45">
        <v>25145.54</v>
      </c>
      <c r="J6003" s="45">
        <v>12572.77</v>
      </c>
      <c r="K6003" s="49" t="s">
        <v>9243</v>
      </c>
      <c r="L6003" s="46"/>
    </row>
    <row r="6004" spans="1:13" ht="25.5" x14ac:dyDescent="0.25">
      <c r="A6004" s="46" t="s">
        <v>9682</v>
      </c>
      <c r="B6004" s="46" t="s">
        <v>38</v>
      </c>
      <c r="C6004" s="46" t="s">
        <v>14</v>
      </c>
      <c r="D6004" s="47">
        <v>10483</v>
      </c>
      <c r="E6004" s="46" t="s">
        <v>9683</v>
      </c>
      <c r="F6004" s="48">
        <v>40909</v>
      </c>
      <c r="G6004" s="48">
        <v>41639</v>
      </c>
      <c r="H6004" s="46" t="s">
        <v>40</v>
      </c>
      <c r="I6004" s="45">
        <f>1931.1+331.1</f>
        <v>2262.1999999999998</v>
      </c>
      <c r="J6004" s="45">
        <f>850+331.1</f>
        <v>1181.0999999999999</v>
      </c>
      <c r="K6004" s="49" t="s">
        <v>9243</v>
      </c>
      <c r="L6004" s="46"/>
    </row>
    <row r="6005" spans="1:13" ht="25.5" x14ac:dyDescent="0.25">
      <c r="A6005" s="46" t="s">
        <v>9684</v>
      </c>
      <c r="B6005" s="46" t="s">
        <v>38</v>
      </c>
      <c r="C6005" s="46" t="s">
        <v>14</v>
      </c>
      <c r="D6005" s="47">
        <v>10488</v>
      </c>
      <c r="E6005" s="46" t="s">
        <v>9685</v>
      </c>
      <c r="F6005" s="48">
        <v>40909</v>
      </c>
      <c r="G6005" s="48">
        <v>41244</v>
      </c>
      <c r="H6005" s="46" t="s">
        <v>40</v>
      </c>
      <c r="I6005" s="45">
        <v>3052.65</v>
      </c>
      <c r="J6005" s="45">
        <v>2852.65</v>
      </c>
      <c r="K6005" s="49" t="s">
        <v>9243</v>
      </c>
      <c r="L6005" s="46"/>
    </row>
    <row r="6006" spans="1:13" ht="25.5" x14ac:dyDescent="0.25">
      <c r="A6006" s="46" t="s">
        <v>9686</v>
      </c>
      <c r="B6006" s="46" t="s">
        <v>38</v>
      </c>
      <c r="C6006" s="46" t="s">
        <v>14</v>
      </c>
      <c r="D6006" s="47">
        <v>10490</v>
      </c>
      <c r="E6006" s="46" t="s">
        <v>9687</v>
      </c>
      <c r="F6006" s="48">
        <v>40909</v>
      </c>
      <c r="G6006" s="48">
        <v>41609</v>
      </c>
      <c r="H6006" s="46" t="s">
        <v>40</v>
      </c>
      <c r="I6006" s="45">
        <f>2447.6+565.09</f>
        <v>3012.69</v>
      </c>
      <c r="J6006" s="45">
        <f>142.51+565.09</f>
        <v>707.6</v>
      </c>
      <c r="K6006" s="49" t="s">
        <v>9243</v>
      </c>
      <c r="L6006" s="46"/>
    </row>
    <row r="6007" spans="1:13" ht="51" x14ac:dyDescent="0.25">
      <c r="A6007" s="46" t="s">
        <v>9688</v>
      </c>
      <c r="B6007" s="46" t="s">
        <v>38</v>
      </c>
      <c r="C6007" s="46" t="s">
        <v>14</v>
      </c>
      <c r="D6007" s="47">
        <v>10492</v>
      </c>
      <c r="E6007" s="50" t="s">
        <v>9689</v>
      </c>
      <c r="F6007" s="48">
        <v>40909</v>
      </c>
      <c r="G6007" s="48">
        <v>41639</v>
      </c>
      <c r="H6007" s="46" t="s">
        <v>40</v>
      </c>
      <c r="I6007" s="45">
        <f>9232.5+2320.5</f>
        <v>11553</v>
      </c>
      <c r="J6007" s="45">
        <f>2952+2320.5</f>
        <v>5272.5</v>
      </c>
      <c r="K6007" s="49" t="s">
        <v>9243</v>
      </c>
      <c r="L6007" s="46"/>
    </row>
    <row r="6008" spans="1:13" ht="38.25" x14ac:dyDescent="0.25">
      <c r="A6008" s="46" t="s">
        <v>9690</v>
      </c>
      <c r="B6008" s="46" t="s">
        <v>38</v>
      </c>
      <c r="C6008" s="46" t="s">
        <v>14</v>
      </c>
      <c r="D6008" s="47">
        <v>10493</v>
      </c>
      <c r="E6008" s="46" t="s">
        <v>9679</v>
      </c>
      <c r="F6008" s="48">
        <v>40909</v>
      </c>
      <c r="G6008" s="48">
        <v>41274</v>
      </c>
      <c r="H6008" s="46" t="s">
        <v>40</v>
      </c>
      <c r="I6008" s="45">
        <v>65709.600000000006</v>
      </c>
      <c r="J6008" s="45">
        <v>32854.800000000003</v>
      </c>
      <c r="K6008" s="49" t="s">
        <v>9243</v>
      </c>
      <c r="L6008" s="46"/>
    </row>
    <row r="6009" spans="1:13" ht="38.25" x14ac:dyDescent="0.25">
      <c r="A6009" s="46" t="s">
        <v>9691</v>
      </c>
      <c r="B6009" s="46" t="s">
        <v>38</v>
      </c>
      <c r="C6009" s="46" t="s">
        <v>14</v>
      </c>
      <c r="D6009" s="47">
        <v>10499</v>
      </c>
      <c r="E6009" s="46" t="s">
        <v>9692</v>
      </c>
      <c r="F6009" s="48">
        <v>40909</v>
      </c>
      <c r="G6009" s="48">
        <v>41639</v>
      </c>
      <c r="H6009" s="46" t="s">
        <v>40</v>
      </c>
      <c r="I6009" s="45">
        <v>20493.64</v>
      </c>
      <c r="J6009" s="45">
        <v>10543.64</v>
      </c>
      <c r="K6009" s="49" t="s">
        <v>9243</v>
      </c>
      <c r="L6009" s="46"/>
    </row>
    <row r="6010" spans="1:13" ht="25.5" x14ac:dyDescent="0.25">
      <c r="A6010" s="46" t="s">
        <v>9693</v>
      </c>
      <c r="B6010" s="46" t="s">
        <v>38</v>
      </c>
      <c r="C6010" s="46" t="s">
        <v>14</v>
      </c>
      <c r="D6010" s="47">
        <v>10500</v>
      </c>
      <c r="E6010" s="46" t="s">
        <v>9694</v>
      </c>
      <c r="F6010" s="48">
        <v>40909</v>
      </c>
      <c r="G6010" s="48">
        <v>41274</v>
      </c>
      <c r="H6010" s="46" t="s">
        <v>40</v>
      </c>
      <c r="I6010" s="45">
        <v>1594</v>
      </c>
      <c r="J6010" s="45">
        <v>1294</v>
      </c>
      <c r="K6010" s="49" t="s">
        <v>9243</v>
      </c>
      <c r="L6010" s="46"/>
    </row>
    <row r="6011" spans="1:13" ht="25.5" x14ac:dyDescent="0.25">
      <c r="A6011" s="46" t="s">
        <v>9695</v>
      </c>
      <c r="B6011" s="46" t="s">
        <v>38</v>
      </c>
      <c r="C6011" s="46" t="s">
        <v>14</v>
      </c>
      <c r="D6011" s="47">
        <v>10503</v>
      </c>
      <c r="E6011" s="46" t="s">
        <v>9696</v>
      </c>
      <c r="F6011" s="48">
        <v>40909</v>
      </c>
      <c r="G6011" s="48">
        <v>41609</v>
      </c>
      <c r="H6011" s="46" t="s">
        <v>40</v>
      </c>
      <c r="I6011" s="45">
        <f>3837.73+1267.28</f>
        <v>5105.01</v>
      </c>
      <c r="J6011" s="45">
        <f>2270.45+1267.28</f>
        <v>3537.7299999999996</v>
      </c>
      <c r="K6011" s="49" t="s">
        <v>9243</v>
      </c>
      <c r="L6011" s="46"/>
    </row>
    <row r="6012" spans="1:13" ht="25.5" x14ac:dyDescent="0.25">
      <c r="A6012" s="46" t="s">
        <v>9697</v>
      </c>
      <c r="B6012" s="46" t="s">
        <v>38</v>
      </c>
      <c r="C6012" s="46" t="s">
        <v>14</v>
      </c>
      <c r="D6012" s="47">
        <v>10508</v>
      </c>
      <c r="E6012" s="46" t="s">
        <v>9698</v>
      </c>
      <c r="F6012" s="48">
        <v>40909</v>
      </c>
      <c r="G6012" s="48">
        <v>41639</v>
      </c>
      <c r="H6012" s="46" t="s">
        <v>40</v>
      </c>
      <c r="I6012" s="45">
        <f>4094.5+1514.25</f>
        <v>5608.75</v>
      </c>
      <c r="J6012" s="45">
        <f>1930.25+1514.25</f>
        <v>3444.5</v>
      </c>
      <c r="K6012" s="49" t="s">
        <v>9243</v>
      </c>
      <c r="L6012" s="46"/>
    </row>
    <row r="6013" spans="1:13" ht="25.5" x14ac:dyDescent="0.25">
      <c r="A6013" s="46" t="s">
        <v>9699</v>
      </c>
      <c r="B6013" s="46" t="s">
        <v>38</v>
      </c>
      <c r="C6013" s="46" t="s">
        <v>14</v>
      </c>
      <c r="D6013" s="47">
        <v>10518</v>
      </c>
      <c r="E6013" s="46" t="s">
        <v>9700</v>
      </c>
      <c r="F6013" s="48">
        <v>40909</v>
      </c>
      <c r="G6013" s="48">
        <v>41274</v>
      </c>
      <c r="H6013" s="46" t="s">
        <v>40</v>
      </c>
      <c r="I6013" s="45">
        <v>1481.5</v>
      </c>
      <c r="J6013" s="45">
        <v>1081.5</v>
      </c>
      <c r="K6013" s="49" t="s">
        <v>9243</v>
      </c>
      <c r="L6013" s="46"/>
    </row>
    <row r="6014" spans="1:13" ht="25.5" x14ac:dyDescent="0.25">
      <c r="A6014" s="46" t="s">
        <v>9701</v>
      </c>
      <c r="B6014" s="46" t="s">
        <v>38</v>
      </c>
      <c r="C6014" s="46" t="s">
        <v>14</v>
      </c>
      <c r="D6014" s="47">
        <v>10520</v>
      </c>
      <c r="E6014" s="46" t="s">
        <v>9702</v>
      </c>
      <c r="F6014" s="48">
        <v>40909</v>
      </c>
      <c r="G6014" s="48">
        <v>41639</v>
      </c>
      <c r="H6014" s="46" t="s">
        <v>40</v>
      </c>
      <c r="I6014" s="45">
        <v>4159.04</v>
      </c>
      <c r="J6014" s="45">
        <v>3310.24</v>
      </c>
      <c r="K6014" s="49" t="s">
        <v>9243</v>
      </c>
      <c r="L6014" s="46"/>
    </row>
    <row r="6015" spans="1:13" ht="25.5" x14ac:dyDescent="0.25">
      <c r="A6015" s="46" t="s">
        <v>9703</v>
      </c>
      <c r="B6015" s="46" t="s">
        <v>38</v>
      </c>
      <c r="C6015" s="46" t="s">
        <v>14</v>
      </c>
      <c r="D6015" s="47">
        <v>10522</v>
      </c>
      <c r="E6015" s="46" t="s">
        <v>9681</v>
      </c>
      <c r="F6015" s="48">
        <v>40909</v>
      </c>
      <c r="G6015" s="48">
        <v>41639</v>
      </c>
      <c r="H6015" s="46" t="s">
        <v>40</v>
      </c>
      <c r="I6015" s="45">
        <f>48940.8+29959.96</f>
        <v>78900.760000000009</v>
      </c>
      <c r="J6015" s="45">
        <f>9490.42+14979.98</f>
        <v>24470.400000000001</v>
      </c>
      <c r="K6015" s="49" t="s">
        <v>9243</v>
      </c>
      <c r="L6015" s="46"/>
    </row>
    <row r="6016" spans="1:13" ht="25.5" x14ac:dyDescent="0.25">
      <c r="A6016" s="46" t="s">
        <v>9704</v>
      </c>
      <c r="B6016" s="46" t="s">
        <v>38</v>
      </c>
      <c r="C6016" s="46" t="s">
        <v>14</v>
      </c>
      <c r="D6016" s="47">
        <v>10524</v>
      </c>
      <c r="E6016" s="46" t="s">
        <v>9705</v>
      </c>
      <c r="F6016" s="48">
        <v>40909</v>
      </c>
      <c r="G6016" s="48">
        <v>41274</v>
      </c>
      <c r="H6016" s="46" t="s">
        <v>40</v>
      </c>
      <c r="I6016" s="45">
        <v>18233</v>
      </c>
      <c r="J6016" s="45">
        <v>18233</v>
      </c>
      <c r="K6016" s="49" t="s">
        <v>9243</v>
      </c>
      <c r="L6016" s="46"/>
    </row>
    <row r="6017" spans="1:13" ht="25.5" x14ac:dyDescent="0.25">
      <c r="A6017" s="46" t="s">
        <v>9747</v>
      </c>
      <c r="B6017" s="46" t="s">
        <v>38</v>
      </c>
      <c r="C6017" s="46" t="s">
        <v>14</v>
      </c>
      <c r="D6017" s="47">
        <v>10571</v>
      </c>
      <c r="E6017" s="46" t="s">
        <v>9438</v>
      </c>
      <c r="F6017" s="48">
        <v>40909</v>
      </c>
      <c r="G6017" s="48">
        <v>41244</v>
      </c>
      <c r="H6017" s="46" t="s">
        <v>40</v>
      </c>
      <c r="I6017" s="45">
        <v>2205.4</v>
      </c>
      <c r="J6017" s="45">
        <v>955.4</v>
      </c>
      <c r="K6017" s="49" t="s">
        <v>9243</v>
      </c>
      <c r="L6017" s="45"/>
      <c r="M6017" s="3"/>
    </row>
    <row r="6018" spans="1:13" ht="25.5" x14ac:dyDescent="0.25">
      <c r="A6018" s="46" t="s">
        <v>9520</v>
      </c>
      <c r="B6018" s="46" t="s">
        <v>38</v>
      </c>
      <c r="C6018" s="46" t="s">
        <v>14</v>
      </c>
      <c r="D6018" s="47">
        <v>10572</v>
      </c>
      <c r="E6018" s="46" t="s">
        <v>9521</v>
      </c>
      <c r="F6018" s="48">
        <v>40909</v>
      </c>
      <c r="G6018" s="48">
        <v>41639</v>
      </c>
      <c r="H6018" s="46" t="s">
        <v>40</v>
      </c>
      <c r="I6018" s="45">
        <f>1214.19+330.89</f>
        <v>1545.08</v>
      </c>
      <c r="J6018" s="45">
        <f>533.3+330.89</f>
        <v>864.18999999999994</v>
      </c>
      <c r="K6018" s="49" t="s">
        <v>9243</v>
      </c>
      <c r="L6018" s="46"/>
      <c r="M6018" s="3"/>
    </row>
    <row r="6019" spans="1:13" ht="25.5" x14ac:dyDescent="0.25">
      <c r="A6019" s="46" t="s">
        <v>11309</v>
      </c>
      <c r="B6019" s="46" t="s">
        <v>38</v>
      </c>
      <c r="C6019" s="46" t="s">
        <v>14</v>
      </c>
      <c r="D6019" s="47">
        <v>12352</v>
      </c>
      <c r="E6019" s="46" t="s">
        <v>11310</v>
      </c>
      <c r="F6019" s="48">
        <v>41275</v>
      </c>
      <c r="G6019" s="48">
        <v>41639</v>
      </c>
      <c r="H6019" s="46" t="s">
        <v>651</v>
      </c>
      <c r="I6019" s="45">
        <v>781.05</v>
      </c>
      <c r="J6019" s="45">
        <v>781.05</v>
      </c>
      <c r="K6019" s="49" t="s">
        <v>9243</v>
      </c>
      <c r="L6019" s="46"/>
    </row>
    <row r="6020" spans="1:13" ht="25.5" x14ac:dyDescent="0.25">
      <c r="A6020" s="46" t="s">
        <v>11311</v>
      </c>
      <c r="B6020" s="46" t="s">
        <v>38</v>
      </c>
      <c r="C6020" s="46" t="s">
        <v>14</v>
      </c>
      <c r="D6020" s="47">
        <v>12353</v>
      </c>
      <c r="E6020" s="46" t="s">
        <v>11312</v>
      </c>
      <c r="F6020" s="48">
        <v>41275</v>
      </c>
      <c r="G6020" s="48">
        <v>41639</v>
      </c>
      <c r="H6020" s="46" t="s">
        <v>651</v>
      </c>
      <c r="I6020" s="45">
        <v>601.25</v>
      </c>
      <c r="J6020" s="45">
        <v>601.25</v>
      </c>
      <c r="K6020" s="49" t="s">
        <v>9243</v>
      </c>
      <c r="L6020" s="46"/>
    </row>
    <row r="6021" spans="1:13" ht="38.25" x14ac:dyDescent="0.25">
      <c r="A6021" s="46" t="s">
        <v>11313</v>
      </c>
      <c r="B6021" s="46" t="s">
        <v>38</v>
      </c>
      <c r="C6021" s="46" t="s">
        <v>14</v>
      </c>
      <c r="D6021" s="47">
        <v>12354</v>
      </c>
      <c r="E6021" s="46" t="s">
        <v>9679</v>
      </c>
      <c r="F6021" s="48">
        <v>41275</v>
      </c>
      <c r="G6021" s="48">
        <v>41639</v>
      </c>
      <c r="H6021" s="46" t="s">
        <v>651</v>
      </c>
      <c r="I6021" s="45">
        <v>58694.5</v>
      </c>
      <c r="J6021" s="45">
        <v>29347.25</v>
      </c>
      <c r="K6021" s="49" t="s">
        <v>9243</v>
      </c>
      <c r="L6021" s="46"/>
    </row>
    <row r="6022" spans="1:13" ht="38.25" x14ac:dyDescent="0.25">
      <c r="A6022" s="46" t="s">
        <v>11314</v>
      </c>
      <c r="B6022" s="46" t="s">
        <v>38</v>
      </c>
      <c r="C6022" s="46" t="s">
        <v>14</v>
      </c>
      <c r="D6022" s="47">
        <v>12355</v>
      </c>
      <c r="E6022" s="46" t="s">
        <v>11315</v>
      </c>
      <c r="F6022" s="48">
        <v>41275</v>
      </c>
      <c r="G6022" s="48">
        <v>41639</v>
      </c>
      <c r="H6022" s="46" t="s">
        <v>651</v>
      </c>
      <c r="I6022" s="45">
        <v>297</v>
      </c>
      <c r="J6022" s="45">
        <v>297</v>
      </c>
      <c r="K6022" s="49" t="s">
        <v>9243</v>
      </c>
      <c r="L6022" s="46"/>
    </row>
    <row r="6023" spans="1:13" ht="25.5" x14ac:dyDescent="0.25">
      <c r="A6023" s="46" t="s">
        <v>11316</v>
      </c>
      <c r="B6023" s="46" t="s">
        <v>38</v>
      </c>
      <c r="C6023" s="46" t="s">
        <v>14</v>
      </c>
      <c r="D6023" s="47">
        <v>12356</v>
      </c>
      <c r="E6023" s="46" t="s">
        <v>11317</v>
      </c>
      <c r="F6023" s="48">
        <v>41275</v>
      </c>
      <c r="G6023" s="48">
        <v>41639</v>
      </c>
      <c r="H6023" s="46" t="s">
        <v>651</v>
      </c>
      <c r="I6023" s="45">
        <v>27727.3</v>
      </c>
      <c r="J6023" s="45">
        <v>13863.65</v>
      </c>
      <c r="K6023" s="49" t="s">
        <v>9243</v>
      </c>
      <c r="L6023" s="46"/>
    </row>
    <row r="6024" spans="1:13" ht="38.25" x14ac:dyDescent="0.25">
      <c r="A6024" s="46" t="s">
        <v>11318</v>
      </c>
      <c r="B6024" s="46" t="s">
        <v>38</v>
      </c>
      <c r="C6024" s="46" t="s">
        <v>14</v>
      </c>
      <c r="D6024" s="47">
        <v>12357</v>
      </c>
      <c r="E6024" s="46" t="s">
        <v>11319</v>
      </c>
      <c r="F6024" s="48">
        <v>41275</v>
      </c>
      <c r="G6024" s="48">
        <v>41639</v>
      </c>
      <c r="H6024" s="46" t="s">
        <v>651</v>
      </c>
      <c r="I6024" s="45">
        <v>32604.28</v>
      </c>
      <c r="J6024" s="45">
        <v>32604.28</v>
      </c>
      <c r="K6024" s="49" t="s">
        <v>9243</v>
      </c>
      <c r="L6024" s="46"/>
    </row>
    <row r="6025" spans="1:13" ht="25.5" x14ac:dyDescent="0.25">
      <c r="A6025" s="46" t="s">
        <v>11320</v>
      </c>
      <c r="B6025" s="46" t="s">
        <v>38</v>
      </c>
      <c r="C6025" s="46" t="s">
        <v>14</v>
      </c>
      <c r="D6025" s="47">
        <v>12360</v>
      </c>
      <c r="E6025" s="46" t="s">
        <v>11321</v>
      </c>
      <c r="F6025" s="48">
        <v>41275</v>
      </c>
      <c r="G6025" s="48">
        <v>41639</v>
      </c>
      <c r="H6025" s="46" t="s">
        <v>651</v>
      </c>
      <c r="I6025" s="45">
        <v>214.5</v>
      </c>
      <c r="J6025" s="45">
        <v>214.5</v>
      </c>
      <c r="K6025" s="49" t="s">
        <v>9243</v>
      </c>
      <c r="L6025" s="46"/>
    </row>
    <row r="6026" spans="1:13" ht="25.5" x14ac:dyDescent="0.25">
      <c r="A6026" s="46" t="s">
        <v>11322</v>
      </c>
      <c r="B6026" s="46" t="s">
        <v>38</v>
      </c>
      <c r="C6026" s="46" t="s">
        <v>14</v>
      </c>
      <c r="D6026" s="47">
        <v>12361</v>
      </c>
      <c r="E6026" s="46" t="s">
        <v>11323</v>
      </c>
      <c r="F6026" s="48">
        <v>41275</v>
      </c>
      <c r="G6026" s="48">
        <v>41639</v>
      </c>
      <c r="H6026" s="46" t="s">
        <v>651</v>
      </c>
      <c r="I6026" s="45">
        <v>550</v>
      </c>
      <c r="J6026" s="45">
        <v>550</v>
      </c>
      <c r="K6026" s="49" t="s">
        <v>9243</v>
      </c>
      <c r="L6026" s="46"/>
    </row>
    <row r="6027" spans="1:13" ht="25.5" x14ac:dyDescent="0.25">
      <c r="A6027" s="46" t="s">
        <v>11324</v>
      </c>
      <c r="B6027" s="46" t="s">
        <v>38</v>
      </c>
      <c r="C6027" s="46" t="s">
        <v>14</v>
      </c>
      <c r="D6027" s="47">
        <v>12362</v>
      </c>
      <c r="E6027" s="46" t="s">
        <v>11325</v>
      </c>
      <c r="F6027" s="48">
        <v>41275</v>
      </c>
      <c r="G6027" s="48">
        <v>41639</v>
      </c>
      <c r="H6027" s="46" t="s">
        <v>651</v>
      </c>
      <c r="I6027" s="45">
        <v>1955.53</v>
      </c>
      <c r="J6027" s="45">
        <v>1955.53</v>
      </c>
      <c r="K6027" s="49" t="s">
        <v>9243</v>
      </c>
      <c r="L6027" s="46"/>
    </row>
    <row r="6028" spans="1:13" ht="25.5" x14ac:dyDescent="0.25">
      <c r="A6028" s="46" t="s">
        <v>5240</v>
      </c>
      <c r="B6028" s="46" t="s">
        <v>38</v>
      </c>
      <c r="C6028" s="46" t="s">
        <v>14</v>
      </c>
      <c r="D6028" s="47">
        <v>2029</v>
      </c>
      <c r="E6028" s="46" t="s">
        <v>9830</v>
      </c>
      <c r="F6028" s="48">
        <v>39083</v>
      </c>
      <c r="G6028" s="48">
        <v>41639</v>
      </c>
      <c r="H6028" s="46" t="s">
        <v>40</v>
      </c>
      <c r="I6028" s="45">
        <f>271564.69+15524.91</f>
        <v>287089.59999999998</v>
      </c>
      <c r="J6028" s="45">
        <f>194681.28+15524.91</f>
        <v>210206.19</v>
      </c>
      <c r="K6028" s="49" t="s">
        <v>9751</v>
      </c>
      <c r="L6028" s="45"/>
      <c r="M6028" s="3"/>
    </row>
    <row r="6029" spans="1:13" ht="25.5" x14ac:dyDescent="0.25">
      <c r="A6029" s="46" t="s">
        <v>9831</v>
      </c>
      <c r="B6029" s="46" t="s">
        <v>38</v>
      </c>
      <c r="C6029" s="46" t="s">
        <v>14</v>
      </c>
      <c r="D6029" s="47">
        <v>2325</v>
      </c>
      <c r="E6029" s="46" t="s">
        <v>9832</v>
      </c>
      <c r="F6029" s="48">
        <v>39083</v>
      </c>
      <c r="G6029" s="48">
        <v>41274</v>
      </c>
      <c r="H6029" s="46" t="s">
        <v>40</v>
      </c>
      <c r="I6029" s="45">
        <f>263803.76+31306.44</f>
        <v>295110.2</v>
      </c>
      <c r="J6029" s="45">
        <f>181092.32+31306.44</f>
        <v>212398.76</v>
      </c>
      <c r="K6029" s="49" t="s">
        <v>9751</v>
      </c>
      <c r="L6029" s="45"/>
      <c r="M6029" s="3"/>
    </row>
    <row r="6030" spans="1:13" ht="25.5" x14ac:dyDescent="0.25">
      <c r="A6030" s="46" t="s">
        <v>4077</v>
      </c>
      <c r="B6030" s="46" t="s">
        <v>38</v>
      </c>
      <c r="C6030" s="46" t="s">
        <v>14</v>
      </c>
      <c r="D6030" s="47">
        <v>2326</v>
      </c>
      <c r="E6030" s="46" t="s">
        <v>9833</v>
      </c>
      <c r="F6030" s="48">
        <v>39083</v>
      </c>
      <c r="G6030" s="48">
        <v>41639</v>
      </c>
      <c r="H6030" s="46" t="s">
        <v>40</v>
      </c>
      <c r="I6030" s="45">
        <f>35443.57+1252.52</f>
        <v>36696.089999999997</v>
      </c>
      <c r="J6030" s="45">
        <f>28576.05+1252.52</f>
        <v>29828.57</v>
      </c>
      <c r="K6030" s="49" t="s">
        <v>9751</v>
      </c>
      <c r="L6030" s="45"/>
      <c r="M6030" s="3"/>
    </row>
    <row r="6031" spans="1:13" ht="25.5" x14ac:dyDescent="0.25">
      <c r="A6031" s="46" t="s">
        <v>9834</v>
      </c>
      <c r="B6031" s="46" t="s">
        <v>38</v>
      </c>
      <c r="C6031" s="46" t="s">
        <v>14</v>
      </c>
      <c r="D6031" s="47">
        <v>2327</v>
      </c>
      <c r="E6031" s="46" t="s">
        <v>9835</v>
      </c>
      <c r="F6031" s="48">
        <v>39083</v>
      </c>
      <c r="G6031" s="48">
        <v>39813</v>
      </c>
      <c r="H6031" s="46" t="s">
        <v>40</v>
      </c>
      <c r="I6031" s="45">
        <v>8808.23</v>
      </c>
      <c r="J6031" s="45">
        <v>5648.23</v>
      </c>
      <c r="K6031" s="49" t="s">
        <v>9751</v>
      </c>
      <c r="L6031" s="45"/>
      <c r="M6031" s="3"/>
    </row>
    <row r="6032" spans="1:13" ht="25.5" x14ac:dyDescent="0.25">
      <c r="A6032" s="46" t="s">
        <v>9836</v>
      </c>
      <c r="B6032" s="46" t="s">
        <v>38</v>
      </c>
      <c r="C6032" s="46" t="s">
        <v>14</v>
      </c>
      <c r="D6032" s="47">
        <v>2328</v>
      </c>
      <c r="E6032" s="46" t="s">
        <v>9837</v>
      </c>
      <c r="F6032" s="48">
        <v>39083</v>
      </c>
      <c r="G6032" s="48">
        <v>39813</v>
      </c>
      <c r="H6032" s="46" t="s">
        <v>40</v>
      </c>
      <c r="I6032" s="45">
        <v>1122.81</v>
      </c>
      <c r="J6032" s="45">
        <v>807.81</v>
      </c>
      <c r="K6032" s="49" t="s">
        <v>9751</v>
      </c>
      <c r="L6032" s="45"/>
      <c r="M6032" s="3"/>
    </row>
    <row r="6033" spans="1:13" ht="25.5" x14ac:dyDescent="0.25">
      <c r="A6033" s="46" t="s">
        <v>9838</v>
      </c>
      <c r="B6033" s="46" t="s">
        <v>38</v>
      </c>
      <c r="C6033" s="46" t="s">
        <v>14</v>
      </c>
      <c r="D6033" s="47">
        <v>2329</v>
      </c>
      <c r="E6033" s="46" t="s">
        <v>9839</v>
      </c>
      <c r="F6033" s="48">
        <v>39083</v>
      </c>
      <c r="G6033" s="48">
        <v>39813</v>
      </c>
      <c r="H6033" s="46" t="s">
        <v>40</v>
      </c>
      <c r="I6033" s="45">
        <v>722.81</v>
      </c>
      <c r="J6033" s="45">
        <v>522.80999999999995</v>
      </c>
      <c r="K6033" s="49" t="s">
        <v>9751</v>
      </c>
      <c r="L6033" s="45"/>
      <c r="M6033" s="3"/>
    </row>
    <row r="6034" spans="1:13" ht="25.5" x14ac:dyDescent="0.25">
      <c r="A6034" s="46" t="s">
        <v>9840</v>
      </c>
      <c r="B6034" s="46" t="s">
        <v>38</v>
      </c>
      <c r="C6034" s="46" t="s">
        <v>14</v>
      </c>
      <c r="D6034" s="47">
        <v>2330</v>
      </c>
      <c r="E6034" s="46" t="s">
        <v>9841</v>
      </c>
      <c r="F6034" s="48">
        <v>39083</v>
      </c>
      <c r="G6034" s="48">
        <v>41274</v>
      </c>
      <c r="H6034" s="46" t="s">
        <v>40</v>
      </c>
      <c r="I6034" s="45">
        <v>6314.12</v>
      </c>
      <c r="J6034" s="45">
        <v>5914.12</v>
      </c>
      <c r="K6034" s="49" t="s">
        <v>9751</v>
      </c>
      <c r="L6034" s="45"/>
      <c r="M6034" s="3"/>
    </row>
    <row r="6035" spans="1:13" ht="25.5" x14ac:dyDescent="0.25">
      <c r="A6035" s="46" t="s">
        <v>9842</v>
      </c>
      <c r="B6035" s="46" t="s">
        <v>38</v>
      </c>
      <c r="C6035" s="46" t="s">
        <v>14</v>
      </c>
      <c r="D6035" s="47">
        <v>2331</v>
      </c>
      <c r="E6035" s="46" t="s">
        <v>9843</v>
      </c>
      <c r="F6035" s="48">
        <v>39083</v>
      </c>
      <c r="G6035" s="48">
        <v>41639</v>
      </c>
      <c r="H6035" s="46" t="s">
        <v>40</v>
      </c>
      <c r="I6035" s="45">
        <f>44860.23+4192.81</f>
        <v>49053.04</v>
      </c>
      <c r="J6035" s="45">
        <f>25247.42+4192.81</f>
        <v>29440.23</v>
      </c>
      <c r="K6035" s="49" t="s">
        <v>9751</v>
      </c>
      <c r="L6035" s="45"/>
      <c r="M6035" s="3"/>
    </row>
    <row r="6036" spans="1:13" ht="25.5" x14ac:dyDescent="0.25">
      <c r="A6036" s="46" t="s">
        <v>9844</v>
      </c>
      <c r="B6036" s="46" t="s">
        <v>38</v>
      </c>
      <c r="C6036" s="46" t="s">
        <v>14</v>
      </c>
      <c r="D6036" s="47">
        <v>2332</v>
      </c>
      <c r="E6036" s="46" t="s">
        <v>9845</v>
      </c>
      <c r="F6036" s="48">
        <v>39083</v>
      </c>
      <c r="G6036" s="48">
        <v>41274</v>
      </c>
      <c r="H6036" s="46" t="s">
        <v>40</v>
      </c>
      <c r="I6036" s="45">
        <v>36150.949999999997</v>
      </c>
      <c r="J6036" s="45">
        <v>24905.95</v>
      </c>
      <c r="K6036" s="49" t="s">
        <v>9751</v>
      </c>
      <c r="L6036" s="45"/>
      <c r="M6036" s="3"/>
    </row>
    <row r="6037" spans="1:13" ht="25.5" x14ac:dyDescent="0.25">
      <c r="A6037" s="46" t="s">
        <v>9846</v>
      </c>
      <c r="B6037" s="46" t="s">
        <v>38</v>
      </c>
      <c r="C6037" s="46" t="s">
        <v>14</v>
      </c>
      <c r="D6037" s="47">
        <v>2333</v>
      </c>
      <c r="E6037" s="46" t="s">
        <v>9847</v>
      </c>
      <c r="F6037" s="48">
        <v>39083</v>
      </c>
      <c r="G6037" s="48">
        <v>40543</v>
      </c>
      <c r="H6037" s="46" t="s">
        <v>40</v>
      </c>
      <c r="I6037" s="45">
        <v>15158.43</v>
      </c>
      <c r="J6037" s="45">
        <v>12058.43</v>
      </c>
      <c r="K6037" s="49" t="s">
        <v>9751</v>
      </c>
      <c r="L6037" s="45"/>
      <c r="M6037" s="3"/>
    </row>
    <row r="6038" spans="1:13" ht="25.5" x14ac:dyDescent="0.25">
      <c r="A6038" s="46" t="s">
        <v>9309</v>
      </c>
      <c r="B6038" s="46" t="s">
        <v>38</v>
      </c>
      <c r="C6038" s="46" t="s">
        <v>14</v>
      </c>
      <c r="D6038" s="47">
        <v>2334</v>
      </c>
      <c r="E6038" s="46" t="s">
        <v>9848</v>
      </c>
      <c r="F6038" s="48">
        <v>39083</v>
      </c>
      <c r="G6038" s="48">
        <v>41274</v>
      </c>
      <c r="H6038" s="46" t="s">
        <v>40</v>
      </c>
      <c r="I6038" s="45">
        <v>8328.32</v>
      </c>
      <c r="J6038" s="45">
        <v>6503.32</v>
      </c>
      <c r="K6038" s="49" t="s">
        <v>9751</v>
      </c>
      <c r="L6038" s="45"/>
      <c r="M6038" s="3"/>
    </row>
    <row r="6039" spans="1:13" ht="25.5" x14ac:dyDescent="0.25">
      <c r="A6039" s="46" t="s">
        <v>9849</v>
      </c>
      <c r="B6039" s="46" t="s">
        <v>38</v>
      </c>
      <c r="C6039" s="46" t="s">
        <v>14</v>
      </c>
      <c r="D6039" s="47">
        <v>2335</v>
      </c>
      <c r="E6039" s="46" t="s">
        <v>9850</v>
      </c>
      <c r="F6039" s="48">
        <v>39083</v>
      </c>
      <c r="G6039" s="48">
        <v>40178</v>
      </c>
      <c r="H6039" s="46" t="s">
        <v>40</v>
      </c>
      <c r="I6039" s="45">
        <v>1606.46</v>
      </c>
      <c r="J6039" s="45">
        <v>1306.46</v>
      </c>
      <c r="K6039" s="49" t="s">
        <v>9751</v>
      </c>
      <c r="L6039" s="45"/>
      <c r="M6039" s="3"/>
    </row>
    <row r="6040" spans="1:13" ht="25.5" x14ac:dyDescent="0.25">
      <c r="A6040" s="46" t="s">
        <v>9851</v>
      </c>
      <c r="B6040" s="46" t="s">
        <v>38</v>
      </c>
      <c r="C6040" s="46" t="s">
        <v>14</v>
      </c>
      <c r="D6040" s="47">
        <v>2336</v>
      </c>
      <c r="E6040" s="46" t="s">
        <v>9852</v>
      </c>
      <c r="F6040" s="48">
        <v>39083</v>
      </c>
      <c r="G6040" s="48">
        <v>40178</v>
      </c>
      <c r="H6040" s="46" t="s">
        <v>40</v>
      </c>
      <c r="I6040" s="45">
        <v>3677.48</v>
      </c>
      <c r="J6040" s="45">
        <v>1317.48</v>
      </c>
      <c r="K6040" s="49" t="s">
        <v>9751</v>
      </c>
      <c r="L6040" s="45"/>
      <c r="M6040" s="3"/>
    </row>
    <row r="6041" spans="1:13" ht="25.5" x14ac:dyDescent="0.25">
      <c r="A6041" s="46" t="s">
        <v>9853</v>
      </c>
      <c r="B6041" s="46" t="s">
        <v>38</v>
      </c>
      <c r="C6041" s="46" t="s">
        <v>14</v>
      </c>
      <c r="D6041" s="47">
        <v>2337</v>
      </c>
      <c r="E6041" s="46" t="s">
        <v>9854</v>
      </c>
      <c r="F6041" s="48">
        <v>39083</v>
      </c>
      <c r="G6041" s="48">
        <v>40543</v>
      </c>
      <c r="H6041" s="46" t="s">
        <v>40</v>
      </c>
      <c r="I6041" s="45">
        <v>11988.6</v>
      </c>
      <c r="J6041" s="45">
        <v>8148.6</v>
      </c>
      <c r="K6041" s="49" t="s">
        <v>9751</v>
      </c>
      <c r="L6041" s="45"/>
      <c r="M6041" s="3"/>
    </row>
    <row r="6042" spans="1:13" ht="25.5" x14ac:dyDescent="0.25">
      <c r="A6042" s="46" t="s">
        <v>9855</v>
      </c>
      <c r="B6042" s="46" t="s">
        <v>38</v>
      </c>
      <c r="C6042" s="46" t="s">
        <v>14</v>
      </c>
      <c r="D6042" s="47">
        <v>2338</v>
      </c>
      <c r="E6042" s="46" t="s">
        <v>9856</v>
      </c>
      <c r="F6042" s="48">
        <v>39083</v>
      </c>
      <c r="G6042" s="48">
        <v>39813</v>
      </c>
      <c r="H6042" s="46" t="s">
        <v>40</v>
      </c>
      <c r="I6042" s="45">
        <v>2222.81</v>
      </c>
      <c r="J6042" s="45">
        <v>897.81</v>
      </c>
      <c r="K6042" s="49" t="s">
        <v>9751</v>
      </c>
      <c r="L6042" s="45"/>
      <c r="M6042" s="3"/>
    </row>
    <row r="6043" spans="1:13" ht="25.5" x14ac:dyDescent="0.25">
      <c r="A6043" s="46" t="s">
        <v>9857</v>
      </c>
      <c r="B6043" s="46" t="s">
        <v>38</v>
      </c>
      <c r="C6043" s="46" t="s">
        <v>14</v>
      </c>
      <c r="D6043" s="47">
        <v>2339</v>
      </c>
      <c r="E6043" s="46" t="s">
        <v>9858</v>
      </c>
      <c r="F6043" s="48">
        <v>39083</v>
      </c>
      <c r="G6043" s="48">
        <v>39813</v>
      </c>
      <c r="H6043" s="46" t="s">
        <v>40</v>
      </c>
      <c r="I6043" s="45">
        <v>2522.81</v>
      </c>
      <c r="J6043" s="45">
        <v>2522.81</v>
      </c>
      <c r="K6043" s="49" t="s">
        <v>9751</v>
      </c>
      <c r="L6043" s="45"/>
      <c r="M6043" s="3"/>
    </row>
    <row r="6044" spans="1:13" ht="25.5" x14ac:dyDescent="0.25">
      <c r="A6044" s="46" t="s">
        <v>9859</v>
      </c>
      <c r="B6044" s="46" t="s">
        <v>38</v>
      </c>
      <c r="C6044" s="46" t="s">
        <v>14</v>
      </c>
      <c r="D6044" s="47">
        <v>2340</v>
      </c>
      <c r="E6044" s="46" t="s">
        <v>9860</v>
      </c>
      <c r="F6044" s="48">
        <v>39083</v>
      </c>
      <c r="G6044" s="48">
        <v>39813</v>
      </c>
      <c r="H6044" s="46" t="s">
        <v>40</v>
      </c>
      <c r="I6044" s="45">
        <v>6532.01</v>
      </c>
      <c r="J6044" s="45">
        <v>5762.01</v>
      </c>
      <c r="K6044" s="49" t="s">
        <v>9751</v>
      </c>
      <c r="L6044" s="45"/>
      <c r="M6044" s="3"/>
    </row>
    <row r="6045" spans="1:13" ht="25.5" x14ac:dyDescent="0.25">
      <c r="A6045" s="46" t="s">
        <v>9861</v>
      </c>
      <c r="B6045" s="46" t="s">
        <v>38</v>
      </c>
      <c r="C6045" s="46" t="s">
        <v>14</v>
      </c>
      <c r="D6045" s="47">
        <v>2343</v>
      </c>
      <c r="E6045" s="46" t="s">
        <v>9862</v>
      </c>
      <c r="F6045" s="48">
        <v>39083</v>
      </c>
      <c r="G6045" s="48">
        <v>40543</v>
      </c>
      <c r="H6045" s="46" t="s">
        <v>40</v>
      </c>
      <c r="I6045" s="45">
        <v>3775.91</v>
      </c>
      <c r="J6045" s="45">
        <v>2135.91</v>
      </c>
      <c r="K6045" s="49" t="s">
        <v>9751</v>
      </c>
      <c r="L6045" s="45"/>
      <c r="M6045" s="3"/>
    </row>
    <row r="6046" spans="1:13" ht="25.5" x14ac:dyDescent="0.25">
      <c r="A6046" s="46" t="s">
        <v>9863</v>
      </c>
      <c r="B6046" s="46" t="s">
        <v>38</v>
      </c>
      <c r="C6046" s="46" t="s">
        <v>14</v>
      </c>
      <c r="D6046" s="47">
        <v>2344</v>
      </c>
      <c r="E6046" s="46" t="s">
        <v>9864</v>
      </c>
      <c r="F6046" s="48">
        <v>39083</v>
      </c>
      <c r="G6046" s="48">
        <v>40178</v>
      </c>
      <c r="H6046" s="46" t="s">
        <v>40</v>
      </c>
      <c r="I6046" s="45">
        <v>1565.64</v>
      </c>
      <c r="J6046" s="45">
        <v>395.64</v>
      </c>
      <c r="K6046" s="49" t="s">
        <v>9751</v>
      </c>
      <c r="L6046" s="45"/>
      <c r="M6046" s="3"/>
    </row>
    <row r="6047" spans="1:13" ht="25.5" x14ac:dyDescent="0.25">
      <c r="A6047" s="46" t="s">
        <v>8531</v>
      </c>
      <c r="B6047" s="46" t="s">
        <v>38</v>
      </c>
      <c r="C6047" s="46" t="s">
        <v>14</v>
      </c>
      <c r="D6047" s="47">
        <v>2345</v>
      </c>
      <c r="E6047" s="46" t="s">
        <v>9865</v>
      </c>
      <c r="F6047" s="48">
        <v>39083</v>
      </c>
      <c r="G6047" s="48">
        <v>41639</v>
      </c>
      <c r="H6047" s="46" t="s">
        <v>40</v>
      </c>
      <c r="I6047" s="45">
        <f>7922.27+669.53</f>
        <v>8591.8000000000011</v>
      </c>
      <c r="J6047" s="45">
        <f>2712.74+669.53</f>
        <v>3382.2699999999995</v>
      </c>
      <c r="K6047" s="49" t="s">
        <v>9751</v>
      </c>
      <c r="L6047" s="45"/>
      <c r="M6047" s="3"/>
    </row>
    <row r="6048" spans="1:13" ht="25.5" x14ac:dyDescent="0.25">
      <c r="A6048" s="46" t="s">
        <v>9866</v>
      </c>
      <c r="B6048" s="46" t="s">
        <v>38</v>
      </c>
      <c r="C6048" s="46" t="s">
        <v>14</v>
      </c>
      <c r="D6048" s="47">
        <v>2346</v>
      </c>
      <c r="E6048" s="46" t="s">
        <v>9867</v>
      </c>
      <c r="F6048" s="48">
        <v>39083</v>
      </c>
      <c r="G6048" s="48">
        <v>40543</v>
      </c>
      <c r="H6048" s="46" t="s">
        <v>40</v>
      </c>
      <c r="I6048" s="45">
        <v>2264.58</v>
      </c>
      <c r="J6048" s="45">
        <v>1514.58</v>
      </c>
      <c r="K6048" s="49" t="s">
        <v>9751</v>
      </c>
      <c r="L6048" s="45"/>
      <c r="M6048" s="3"/>
    </row>
    <row r="6049" spans="1:13" ht="25.5" x14ac:dyDescent="0.25">
      <c r="A6049" s="46" t="s">
        <v>9868</v>
      </c>
      <c r="B6049" s="46" t="s">
        <v>38</v>
      </c>
      <c r="C6049" s="46" t="s">
        <v>14</v>
      </c>
      <c r="D6049" s="47">
        <v>2347</v>
      </c>
      <c r="E6049" s="46" t="s">
        <v>9869</v>
      </c>
      <c r="F6049" s="48">
        <v>39083</v>
      </c>
      <c r="G6049" s="48">
        <v>39813</v>
      </c>
      <c r="H6049" s="46" t="s">
        <v>40</v>
      </c>
      <c r="I6049" s="45">
        <v>4895.9799999999996</v>
      </c>
      <c r="J6049" s="45">
        <v>4115.9799999999996</v>
      </c>
      <c r="K6049" s="49" t="s">
        <v>9751</v>
      </c>
      <c r="L6049" s="45"/>
      <c r="M6049" s="3"/>
    </row>
    <row r="6050" spans="1:13" ht="25.5" x14ac:dyDescent="0.25">
      <c r="A6050" s="46" t="s">
        <v>9870</v>
      </c>
      <c r="B6050" s="46" t="s">
        <v>38</v>
      </c>
      <c r="C6050" s="46" t="s">
        <v>14</v>
      </c>
      <c r="D6050" s="47">
        <v>2348</v>
      </c>
      <c r="E6050" s="46" t="s">
        <v>9871</v>
      </c>
      <c r="F6050" s="48">
        <v>39083</v>
      </c>
      <c r="G6050" s="48">
        <v>39813</v>
      </c>
      <c r="H6050" s="46" t="s">
        <v>40</v>
      </c>
      <c r="I6050" s="45">
        <v>5306.42</v>
      </c>
      <c r="J6050" s="45">
        <v>3495.59</v>
      </c>
      <c r="K6050" s="49" t="s">
        <v>9751</v>
      </c>
      <c r="L6050" s="45"/>
      <c r="M6050" s="3"/>
    </row>
    <row r="6051" spans="1:13" ht="25.5" x14ac:dyDescent="0.25">
      <c r="A6051" s="46" t="s">
        <v>9872</v>
      </c>
      <c r="B6051" s="46" t="s">
        <v>38</v>
      </c>
      <c r="C6051" s="46" t="s">
        <v>14</v>
      </c>
      <c r="D6051" s="47">
        <v>2350</v>
      </c>
      <c r="E6051" s="46" t="s">
        <v>9873</v>
      </c>
      <c r="F6051" s="48">
        <v>39083</v>
      </c>
      <c r="G6051" s="48">
        <v>41639</v>
      </c>
      <c r="H6051" s="46" t="s">
        <v>40</v>
      </c>
      <c r="I6051" s="45">
        <f>7857.6+238.03</f>
        <v>8095.63</v>
      </c>
      <c r="J6051" s="45">
        <f>3789.57+238.03</f>
        <v>4027.6000000000004</v>
      </c>
      <c r="K6051" s="49" t="s">
        <v>9751</v>
      </c>
      <c r="L6051" s="45"/>
      <c r="M6051" s="3"/>
    </row>
    <row r="6052" spans="1:13" ht="25.5" x14ac:dyDescent="0.25">
      <c r="A6052" s="46" t="s">
        <v>9874</v>
      </c>
      <c r="B6052" s="46" t="s">
        <v>38</v>
      </c>
      <c r="C6052" s="46" t="s">
        <v>14</v>
      </c>
      <c r="D6052" s="47">
        <v>2351</v>
      </c>
      <c r="E6052" s="46" t="s">
        <v>9875</v>
      </c>
      <c r="F6052" s="48">
        <v>39083</v>
      </c>
      <c r="G6052" s="48">
        <v>40178</v>
      </c>
      <c r="H6052" s="46" t="s">
        <v>40</v>
      </c>
      <c r="I6052" s="45">
        <v>2245.59</v>
      </c>
      <c r="J6052" s="45">
        <v>2045.59</v>
      </c>
      <c r="K6052" s="49" t="s">
        <v>9751</v>
      </c>
      <c r="L6052" s="45"/>
      <c r="M6052" s="3"/>
    </row>
    <row r="6053" spans="1:13" ht="25.5" x14ac:dyDescent="0.25">
      <c r="A6053" s="46" t="s">
        <v>9876</v>
      </c>
      <c r="B6053" s="46" t="s">
        <v>38</v>
      </c>
      <c r="C6053" s="46" t="s">
        <v>14</v>
      </c>
      <c r="D6053" s="47">
        <v>2352</v>
      </c>
      <c r="E6053" s="46" t="s">
        <v>9877</v>
      </c>
      <c r="F6053" s="48">
        <v>39083</v>
      </c>
      <c r="G6053" s="48">
        <v>40178</v>
      </c>
      <c r="H6053" s="46" t="s">
        <v>40</v>
      </c>
      <c r="I6053" s="45">
        <v>2130.59</v>
      </c>
      <c r="J6053" s="45">
        <v>1830.59</v>
      </c>
      <c r="K6053" s="49" t="s">
        <v>9751</v>
      </c>
      <c r="L6053" s="45"/>
      <c r="M6053" s="3"/>
    </row>
    <row r="6054" spans="1:13" ht="25.5" x14ac:dyDescent="0.25">
      <c r="A6054" s="46" t="s">
        <v>9878</v>
      </c>
      <c r="B6054" s="46" t="s">
        <v>38</v>
      </c>
      <c r="C6054" s="46" t="s">
        <v>14</v>
      </c>
      <c r="D6054" s="47">
        <v>2353</v>
      </c>
      <c r="E6054" s="46" t="s">
        <v>9879</v>
      </c>
      <c r="F6054" s="48">
        <v>39083</v>
      </c>
      <c r="G6054" s="48">
        <v>40178</v>
      </c>
      <c r="H6054" s="46" t="s">
        <v>40</v>
      </c>
      <c r="I6054" s="45">
        <v>3621.59</v>
      </c>
      <c r="J6054" s="45">
        <v>3321.59</v>
      </c>
      <c r="K6054" s="49" t="s">
        <v>9751</v>
      </c>
      <c r="L6054" s="45"/>
      <c r="M6054" s="3"/>
    </row>
    <row r="6055" spans="1:13" ht="51" x14ac:dyDescent="0.25">
      <c r="A6055" s="46" t="s">
        <v>9880</v>
      </c>
      <c r="B6055" s="46" t="s">
        <v>38</v>
      </c>
      <c r="C6055" s="46" t="s">
        <v>14</v>
      </c>
      <c r="D6055" s="47">
        <v>2354</v>
      </c>
      <c r="E6055" s="50" t="s">
        <v>9881</v>
      </c>
      <c r="F6055" s="48">
        <v>39083</v>
      </c>
      <c r="G6055" s="48">
        <v>40178</v>
      </c>
      <c r="H6055" s="46" t="s">
        <v>40</v>
      </c>
      <c r="I6055" s="45">
        <v>4446.46</v>
      </c>
      <c r="J6055" s="45">
        <v>4046.46</v>
      </c>
      <c r="K6055" s="49" t="s">
        <v>9751</v>
      </c>
      <c r="L6055" s="45"/>
      <c r="M6055" s="3"/>
    </row>
    <row r="6056" spans="1:13" ht="25.5" x14ac:dyDescent="0.25">
      <c r="A6056" s="46" t="s">
        <v>9307</v>
      </c>
      <c r="B6056" s="46" t="s">
        <v>38</v>
      </c>
      <c r="C6056" s="46" t="s">
        <v>14</v>
      </c>
      <c r="D6056" s="47">
        <v>2355</v>
      </c>
      <c r="E6056" s="46" t="s">
        <v>9882</v>
      </c>
      <c r="F6056" s="48">
        <v>39083</v>
      </c>
      <c r="G6056" s="48">
        <v>41639</v>
      </c>
      <c r="H6056" s="46" t="s">
        <v>40</v>
      </c>
      <c r="I6056" s="45">
        <f>26257.27+1504.78</f>
        <v>27762.05</v>
      </c>
      <c r="J6056" s="45">
        <f>13267.74+1504.78</f>
        <v>14772.52</v>
      </c>
      <c r="K6056" s="49" t="s">
        <v>9751</v>
      </c>
      <c r="L6056" s="45"/>
      <c r="M6056" s="3"/>
    </row>
    <row r="6057" spans="1:13" ht="25.5" x14ac:dyDescent="0.25">
      <c r="A6057" s="46" t="s">
        <v>6268</v>
      </c>
      <c r="B6057" s="46" t="s">
        <v>38</v>
      </c>
      <c r="C6057" s="46" t="s">
        <v>14</v>
      </c>
      <c r="D6057" s="47">
        <v>2449</v>
      </c>
      <c r="E6057" s="46" t="s">
        <v>9883</v>
      </c>
      <c r="F6057" s="48">
        <v>39083</v>
      </c>
      <c r="G6057" s="48">
        <v>41639</v>
      </c>
      <c r="H6057" s="46" t="s">
        <v>40</v>
      </c>
      <c r="I6057" s="45">
        <f>15817.37+235.77</f>
        <v>16053.140000000001</v>
      </c>
      <c r="J6057" s="45">
        <f>11121.6+235.77</f>
        <v>11357.37</v>
      </c>
      <c r="K6057" s="49" t="s">
        <v>9751</v>
      </c>
      <c r="L6057" s="45"/>
      <c r="M6057" s="3"/>
    </row>
    <row r="6058" spans="1:13" ht="25.5" x14ac:dyDescent="0.25">
      <c r="A6058" s="46" t="s">
        <v>9884</v>
      </c>
      <c r="B6058" s="46" t="s">
        <v>38</v>
      </c>
      <c r="C6058" s="46" t="s">
        <v>14</v>
      </c>
      <c r="D6058" s="47">
        <v>2451</v>
      </c>
      <c r="E6058" s="46" t="s">
        <v>9885</v>
      </c>
      <c r="F6058" s="48">
        <v>39083</v>
      </c>
      <c r="G6058" s="48">
        <v>41639</v>
      </c>
      <c r="H6058" s="46" t="s">
        <v>40</v>
      </c>
      <c r="I6058" s="45">
        <f>23839.36+1204.53</f>
        <v>25043.89</v>
      </c>
      <c r="J6058" s="45">
        <v>15029.36</v>
      </c>
      <c r="K6058" s="49" t="s">
        <v>9751</v>
      </c>
      <c r="L6058" s="45"/>
      <c r="M6058" s="3"/>
    </row>
    <row r="6059" spans="1:13" ht="25.5" x14ac:dyDescent="0.25">
      <c r="A6059" s="46" t="s">
        <v>9886</v>
      </c>
      <c r="B6059" s="46" t="s">
        <v>38</v>
      </c>
      <c r="C6059" s="46" t="s">
        <v>14</v>
      </c>
      <c r="D6059" s="47">
        <v>2452</v>
      </c>
      <c r="E6059" s="46" t="s">
        <v>9887</v>
      </c>
      <c r="F6059" s="48">
        <v>39083</v>
      </c>
      <c r="G6059" s="48">
        <v>41639</v>
      </c>
      <c r="H6059" s="46" t="s">
        <v>40</v>
      </c>
      <c r="I6059" s="45">
        <f>6853.57+1023.28</f>
        <v>7876.8499999999995</v>
      </c>
      <c r="J6059" s="45">
        <f>2570.29+1023.28</f>
        <v>3593.5699999999997</v>
      </c>
      <c r="K6059" s="49" t="s">
        <v>9751</v>
      </c>
      <c r="L6059" s="45"/>
      <c r="M6059" s="3"/>
    </row>
    <row r="6060" spans="1:13" ht="25.5" x14ac:dyDescent="0.25">
      <c r="A6060" s="46" t="s">
        <v>9888</v>
      </c>
      <c r="B6060" s="46" t="s">
        <v>38</v>
      </c>
      <c r="C6060" s="46" t="s">
        <v>14</v>
      </c>
      <c r="D6060" s="47">
        <v>2453</v>
      </c>
      <c r="E6060" s="46" t="s">
        <v>9889</v>
      </c>
      <c r="F6060" s="48">
        <v>39083</v>
      </c>
      <c r="G6060" s="48">
        <v>40178</v>
      </c>
      <c r="H6060" s="46" t="s">
        <v>40</v>
      </c>
      <c r="I6060" s="45">
        <v>1146.46</v>
      </c>
      <c r="J6060" s="45">
        <v>886.46</v>
      </c>
      <c r="K6060" s="49" t="s">
        <v>9751</v>
      </c>
      <c r="L6060" s="45"/>
      <c r="M6060" s="3"/>
    </row>
    <row r="6061" spans="1:13" ht="51" x14ac:dyDescent="0.25">
      <c r="A6061" s="46" t="s">
        <v>9890</v>
      </c>
      <c r="B6061" s="46" t="s">
        <v>38</v>
      </c>
      <c r="C6061" s="46" t="s">
        <v>14</v>
      </c>
      <c r="D6061" s="47">
        <v>2454</v>
      </c>
      <c r="E6061" s="50" t="s">
        <v>9891</v>
      </c>
      <c r="F6061" s="48">
        <v>39083</v>
      </c>
      <c r="G6061" s="48">
        <v>39813</v>
      </c>
      <c r="H6061" s="46" t="s">
        <v>40</v>
      </c>
      <c r="I6061" s="45">
        <v>2721.45</v>
      </c>
      <c r="J6061" s="45">
        <v>2721.45</v>
      </c>
      <c r="K6061" s="49" t="s">
        <v>9751</v>
      </c>
      <c r="L6061" s="45"/>
      <c r="M6061" s="3"/>
    </row>
    <row r="6062" spans="1:13" ht="25.5" x14ac:dyDescent="0.25">
      <c r="A6062" s="46" t="s">
        <v>9892</v>
      </c>
      <c r="B6062" s="46" t="s">
        <v>38</v>
      </c>
      <c r="C6062" s="46" t="s">
        <v>14</v>
      </c>
      <c r="D6062" s="47">
        <v>2455</v>
      </c>
      <c r="E6062" s="46" t="s">
        <v>9893</v>
      </c>
      <c r="F6062" s="48">
        <v>39083</v>
      </c>
      <c r="G6062" s="48">
        <v>39813</v>
      </c>
      <c r="H6062" s="46" t="s">
        <v>40</v>
      </c>
      <c r="I6062" s="45">
        <v>1678.08</v>
      </c>
      <c r="J6062" s="45">
        <v>1408.08</v>
      </c>
      <c r="K6062" s="49" t="s">
        <v>9751</v>
      </c>
      <c r="L6062" s="45"/>
      <c r="M6062" s="3"/>
    </row>
    <row r="6063" spans="1:13" ht="25.5" x14ac:dyDescent="0.25">
      <c r="A6063" s="46" t="s">
        <v>9894</v>
      </c>
      <c r="B6063" s="46" t="s">
        <v>38</v>
      </c>
      <c r="C6063" s="46" t="s">
        <v>14</v>
      </c>
      <c r="D6063" s="47">
        <v>2456</v>
      </c>
      <c r="E6063" s="46" t="s">
        <v>9895</v>
      </c>
      <c r="F6063" s="48">
        <v>39083</v>
      </c>
      <c r="G6063" s="48">
        <v>40178</v>
      </c>
      <c r="H6063" s="46" t="s">
        <v>40</v>
      </c>
      <c r="I6063" s="45">
        <v>6257.59</v>
      </c>
      <c r="J6063" s="45">
        <v>5237.59</v>
      </c>
      <c r="K6063" s="49" t="s">
        <v>9751</v>
      </c>
      <c r="L6063" s="45"/>
      <c r="M6063" s="3"/>
    </row>
    <row r="6064" spans="1:13" ht="25.5" x14ac:dyDescent="0.25">
      <c r="A6064" s="46" t="s">
        <v>9896</v>
      </c>
      <c r="B6064" s="46" t="s">
        <v>38</v>
      </c>
      <c r="C6064" s="46" t="s">
        <v>14</v>
      </c>
      <c r="D6064" s="47">
        <v>2457</v>
      </c>
      <c r="E6064" s="46" t="s">
        <v>9897</v>
      </c>
      <c r="F6064" s="48">
        <v>39083</v>
      </c>
      <c r="G6064" s="48">
        <v>40178</v>
      </c>
      <c r="H6064" s="46" t="s">
        <v>40</v>
      </c>
      <c r="I6064" s="45">
        <v>10798.83</v>
      </c>
      <c r="J6064" s="45">
        <v>7548.83</v>
      </c>
      <c r="K6064" s="49" t="s">
        <v>9751</v>
      </c>
      <c r="L6064" s="45"/>
      <c r="M6064" s="3"/>
    </row>
    <row r="6065" spans="1:13" ht="25.5" x14ac:dyDescent="0.25">
      <c r="A6065" s="46" t="s">
        <v>9898</v>
      </c>
      <c r="B6065" s="46" t="s">
        <v>38</v>
      </c>
      <c r="C6065" s="46" t="s">
        <v>14</v>
      </c>
      <c r="D6065" s="47">
        <v>2458</v>
      </c>
      <c r="E6065" s="46" t="s">
        <v>9899</v>
      </c>
      <c r="F6065" s="48">
        <v>39083</v>
      </c>
      <c r="G6065" s="48">
        <v>40178</v>
      </c>
      <c r="H6065" s="46" t="s">
        <v>40</v>
      </c>
      <c r="I6065" s="45">
        <v>7145.48</v>
      </c>
      <c r="J6065" s="45">
        <v>1345.48</v>
      </c>
      <c r="K6065" s="49" t="s">
        <v>9751</v>
      </c>
      <c r="L6065" s="45"/>
      <c r="M6065" s="3"/>
    </row>
    <row r="6066" spans="1:13" ht="25.5" x14ac:dyDescent="0.25">
      <c r="A6066" s="46" t="s">
        <v>9451</v>
      </c>
      <c r="B6066" s="46" t="s">
        <v>38</v>
      </c>
      <c r="C6066" s="46" t="s">
        <v>14</v>
      </c>
      <c r="D6066" s="47">
        <v>2459</v>
      </c>
      <c r="E6066" s="46" t="s">
        <v>9900</v>
      </c>
      <c r="F6066" s="48">
        <v>39083</v>
      </c>
      <c r="G6066" s="48">
        <v>39813</v>
      </c>
      <c r="H6066" s="46" t="s">
        <v>40</v>
      </c>
      <c r="I6066" s="45">
        <v>3546.81</v>
      </c>
      <c r="J6066" s="45">
        <v>1426.81</v>
      </c>
      <c r="K6066" s="49" t="s">
        <v>9751</v>
      </c>
      <c r="L6066" s="45"/>
      <c r="M6066" s="3"/>
    </row>
    <row r="6067" spans="1:13" ht="25.5" x14ac:dyDescent="0.25">
      <c r="A6067" s="46" t="s">
        <v>9901</v>
      </c>
      <c r="B6067" s="46" t="s">
        <v>38</v>
      </c>
      <c r="C6067" s="46" t="s">
        <v>14</v>
      </c>
      <c r="D6067" s="47">
        <v>2461</v>
      </c>
      <c r="E6067" s="46" t="s">
        <v>9902</v>
      </c>
      <c r="F6067" s="48">
        <v>39083</v>
      </c>
      <c r="G6067" s="48">
        <v>41639</v>
      </c>
      <c r="H6067" s="46" t="s">
        <v>40</v>
      </c>
      <c r="I6067" s="45">
        <f>13603.59+1185.77</f>
        <v>14789.36</v>
      </c>
      <c r="J6067" s="45">
        <f>7377.82+1185.77</f>
        <v>8563.59</v>
      </c>
      <c r="K6067" s="49" t="s">
        <v>9751</v>
      </c>
      <c r="L6067" s="45"/>
      <c r="M6067" s="3"/>
    </row>
    <row r="6068" spans="1:13" ht="25.5" x14ac:dyDescent="0.25">
      <c r="A6068" s="46" t="s">
        <v>9903</v>
      </c>
      <c r="B6068" s="46" t="s">
        <v>38</v>
      </c>
      <c r="C6068" s="46" t="s">
        <v>14</v>
      </c>
      <c r="D6068" s="47">
        <v>2462</v>
      </c>
      <c r="E6068" s="46" t="s">
        <v>9904</v>
      </c>
      <c r="F6068" s="48">
        <v>39083</v>
      </c>
      <c r="G6068" s="48">
        <v>39813</v>
      </c>
      <c r="H6068" s="46" t="s">
        <v>40</v>
      </c>
      <c r="I6068" s="45">
        <v>868.16</v>
      </c>
      <c r="J6068" s="45">
        <v>868.16</v>
      </c>
      <c r="K6068" s="49" t="s">
        <v>9751</v>
      </c>
      <c r="L6068" s="45"/>
      <c r="M6068" s="3"/>
    </row>
    <row r="6069" spans="1:13" ht="25.5" x14ac:dyDescent="0.25">
      <c r="A6069" s="46" t="s">
        <v>9905</v>
      </c>
      <c r="B6069" s="46" t="s">
        <v>38</v>
      </c>
      <c r="C6069" s="46" t="s">
        <v>14</v>
      </c>
      <c r="D6069" s="47">
        <v>2464</v>
      </c>
      <c r="E6069" s="46" t="s">
        <v>9906</v>
      </c>
      <c r="F6069" s="48">
        <v>39083</v>
      </c>
      <c r="G6069" s="48">
        <v>41639</v>
      </c>
      <c r="H6069" s="46" t="s">
        <v>40</v>
      </c>
      <c r="I6069" s="45">
        <f>95500.64+9282.6</f>
        <v>104783.24</v>
      </c>
      <c r="J6069" s="45">
        <f>65133.04+9282.6</f>
        <v>74415.64</v>
      </c>
      <c r="K6069" s="49" t="s">
        <v>9751</v>
      </c>
      <c r="L6069" s="45"/>
      <c r="M6069" s="3"/>
    </row>
    <row r="6070" spans="1:13" ht="25.5" x14ac:dyDescent="0.25">
      <c r="A6070" s="46" t="s">
        <v>5796</v>
      </c>
      <c r="B6070" s="46" t="s">
        <v>38</v>
      </c>
      <c r="C6070" s="46" t="s">
        <v>14</v>
      </c>
      <c r="D6070" s="47">
        <v>2465</v>
      </c>
      <c r="E6070" s="46" t="s">
        <v>9907</v>
      </c>
      <c r="F6070" s="48">
        <v>39083</v>
      </c>
      <c r="G6070" s="48">
        <v>41274</v>
      </c>
      <c r="H6070" s="46" t="s">
        <v>40</v>
      </c>
      <c r="I6070" s="45">
        <v>24064.1</v>
      </c>
      <c r="J6070" s="45">
        <v>10609.1</v>
      </c>
      <c r="K6070" s="49" t="s">
        <v>9751</v>
      </c>
      <c r="L6070" s="45"/>
      <c r="M6070" s="3"/>
    </row>
    <row r="6071" spans="1:13" ht="25.5" x14ac:dyDescent="0.25">
      <c r="A6071" s="46" t="s">
        <v>9908</v>
      </c>
      <c r="B6071" s="46" t="s">
        <v>38</v>
      </c>
      <c r="C6071" s="46" t="s">
        <v>14</v>
      </c>
      <c r="D6071" s="47">
        <v>2466</v>
      </c>
      <c r="E6071" s="46" t="s">
        <v>9909</v>
      </c>
      <c r="F6071" s="48">
        <v>39083</v>
      </c>
      <c r="G6071" s="48">
        <v>41639</v>
      </c>
      <c r="H6071" s="46" t="s">
        <v>40</v>
      </c>
      <c r="I6071" s="45">
        <f>115996.99+35326.41</f>
        <v>151323.40000000002</v>
      </c>
      <c r="J6071" s="45">
        <f>80670.58+35326.41</f>
        <v>115996.99</v>
      </c>
      <c r="K6071" s="49" t="s">
        <v>9751</v>
      </c>
      <c r="L6071" s="45"/>
      <c r="M6071" s="3"/>
    </row>
    <row r="6072" spans="1:13" ht="38.25" x14ac:dyDescent="0.25">
      <c r="A6072" s="46" t="s">
        <v>2372</v>
      </c>
      <c r="B6072" s="46" t="s">
        <v>38</v>
      </c>
      <c r="C6072" s="46" t="s">
        <v>14</v>
      </c>
      <c r="D6072" s="47">
        <v>2467</v>
      </c>
      <c r="E6072" s="50" t="s">
        <v>9910</v>
      </c>
      <c r="F6072" s="48">
        <v>39083</v>
      </c>
      <c r="G6072" s="48">
        <v>40543</v>
      </c>
      <c r="H6072" s="46" t="s">
        <v>40</v>
      </c>
      <c r="I6072" s="45">
        <v>22041.24</v>
      </c>
      <c r="J6072" s="45">
        <v>22041.24</v>
      </c>
      <c r="K6072" s="49" t="s">
        <v>9751</v>
      </c>
      <c r="L6072" s="45"/>
      <c r="M6072" s="3"/>
    </row>
    <row r="6073" spans="1:13" ht="38.25" x14ac:dyDescent="0.25">
      <c r="A6073" s="46" t="s">
        <v>9911</v>
      </c>
      <c r="B6073" s="46" t="s">
        <v>38</v>
      </c>
      <c r="C6073" s="46" t="s">
        <v>14</v>
      </c>
      <c r="D6073" s="47">
        <v>2468</v>
      </c>
      <c r="E6073" s="50" t="s">
        <v>9912</v>
      </c>
      <c r="F6073" s="48">
        <v>39083</v>
      </c>
      <c r="G6073" s="48">
        <v>41274</v>
      </c>
      <c r="H6073" s="46" t="s">
        <v>40</v>
      </c>
      <c r="I6073" s="45">
        <v>22510.04</v>
      </c>
      <c r="J6073" s="45">
        <v>22510.04</v>
      </c>
      <c r="K6073" s="49" t="s">
        <v>9751</v>
      </c>
      <c r="L6073" s="45"/>
      <c r="M6073" s="3"/>
    </row>
    <row r="6074" spans="1:13" ht="25.5" x14ac:dyDescent="0.25">
      <c r="A6074" s="46" t="s">
        <v>9913</v>
      </c>
      <c r="B6074" s="46" t="s">
        <v>38</v>
      </c>
      <c r="C6074" s="46" t="s">
        <v>14</v>
      </c>
      <c r="D6074" s="47">
        <v>2469</v>
      </c>
      <c r="E6074" s="46" t="s">
        <v>9914</v>
      </c>
      <c r="F6074" s="48">
        <v>39083</v>
      </c>
      <c r="G6074" s="48">
        <v>41639</v>
      </c>
      <c r="H6074" s="46" t="s">
        <v>40</v>
      </c>
      <c r="I6074" s="45">
        <f>202318.18+40457.86</f>
        <v>242776.03999999998</v>
      </c>
      <c r="J6074" s="45">
        <f>161860.32+40457.86</f>
        <v>202318.18</v>
      </c>
      <c r="K6074" s="49" t="s">
        <v>9751</v>
      </c>
      <c r="L6074" s="45"/>
      <c r="M6074" s="3"/>
    </row>
    <row r="6075" spans="1:13" ht="25.5" x14ac:dyDescent="0.25">
      <c r="A6075" s="46" t="s">
        <v>4810</v>
      </c>
      <c r="B6075" s="46" t="s">
        <v>38</v>
      </c>
      <c r="C6075" s="46" t="s">
        <v>14</v>
      </c>
      <c r="D6075" s="47">
        <v>2470</v>
      </c>
      <c r="E6075" s="46" t="s">
        <v>9915</v>
      </c>
      <c r="F6075" s="48">
        <v>39083</v>
      </c>
      <c r="G6075" s="48">
        <v>40908</v>
      </c>
      <c r="H6075" s="46" t="s">
        <v>40</v>
      </c>
      <c r="I6075" s="45">
        <v>21775.97</v>
      </c>
      <c r="J6075" s="45">
        <v>21775.97</v>
      </c>
      <c r="K6075" s="49" t="s">
        <v>9751</v>
      </c>
      <c r="L6075" s="45"/>
      <c r="M6075" s="3"/>
    </row>
    <row r="6076" spans="1:13" ht="25.5" x14ac:dyDescent="0.25">
      <c r="A6076" s="46" t="s">
        <v>9916</v>
      </c>
      <c r="B6076" s="46" t="s">
        <v>38</v>
      </c>
      <c r="C6076" s="46" t="s">
        <v>14</v>
      </c>
      <c r="D6076" s="47">
        <v>2471</v>
      </c>
      <c r="E6076" s="46" t="s">
        <v>9917</v>
      </c>
      <c r="F6076" s="48">
        <v>39083</v>
      </c>
      <c r="G6076" s="48">
        <v>39813</v>
      </c>
      <c r="H6076" s="46" t="s">
        <v>40</v>
      </c>
      <c r="I6076" s="45">
        <v>16491.34</v>
      </c>
      <c r="J6076" s="45">
        <v>16491.34</v>
      </c>
      <c r="K6076" s="49" t="s">
        <v>9751</v>
      </c>
      <c r="L6076" s="45"/>
      <c r="M6076" s="3"/>
    </row>
    <row r="6077" spans="1:13" ht="25.5" x14ac:dyDescent="0.25">
      <c r="A6077" s="46" t="s">
        <v>9918</v>
      </c>
      <c r="B6077" s="46" t="s">
        <v>38</v>
      </c>
      <c r="C6077" s="46" t="s">
        <v>14</v>
      </c>
      <c r="D6077" s="47">
        <v>2472</v>
      </c>
      <c r="E6077" s="46" t="s">
        <v>9919</v>
      </c>
      <c r="F6077" s="48">
        <v>39083</v>
      </c>
      <c r="G6077" s="48">
        <v>41639</v>
      </c>
      <c r="H6077" s="46" t="s">
        <v>40</v>
      </c>
      <c r="I6077" s="45">
        <f>200477.43+26784.67</f>
        <v>227262.09999999998</v>
      </c>
      <c r="J6077" s="45">
        <f>168242.76+26784.67</f>
        <v>195027.43</v>
      </c>
      <c r="K6077" s="49" t="s">
        <v>9751</v>
      </c>
      <c r="L6077" s="45"/>
      <c r="M6077" s="3"/>
    </row>
    <row r="6078" spans="1:13" ht="25.5" x14ac:dyDescent="0.25">
      <c r="A6078" s="46" t="s">
        <v>9920</v>
      </c>
      <c r="B6078" s="46" t="s">
        <v>38</v>
      </c>
      <c r="C6078" s="46" t="s">
        <v>14</v>
      </c>
      <c r="D6078" s="47">
        <v>2474</v>
      </c>
      <c r="E6078" s="46" t="s">
        <v>9921</v>
      </c>
      <c r="F6078" s="48">
        <v>39083</v>
      </c>
      <c r="G6078" s="48">
        <v>40178</v>
      </c>
      <c r="H6078" s="46" t="s">
        <v>40</v>
      </c>
      <c r="I6078" s="45">
        <v>13341.01</v>
      </c>
      <c r="J6078" s="45">
        <v>6362.74</v>
      </c>
      <c r="K6078" s="49" t="s">
        <v>9751</v>
      </c>
      <c r="L6078" s="45"/>
      <c r="M6078" s="3"/>
    </row>
    <row r="6079" spans="1:13" ht="25.5" x14ac:dyDescent="0.25">
      <c r="A6079" s="46" t="s">
        <v>9922</v>
      </c>
      <c r="B6079" s="46" t="s">
        <v>38</v>
      </c>
      <c r="C6079" s="46" t="s">
        <v>14</v>
      </c>
      <c r="D6079" s="47">
        <v>2475</v>
      </c>
      <c r="E6079" s="46" t="s">
        <v>9923</v>
      </c>
      <c r="F6079" s="48">
        <v>39083</v>
      </c>
      <c r="G6079" s="48">
        <v>40178</v>
      </c>
      <c r="H6079" s="46" t="s">
        <v>40</v>
      </c>
      <c r="I6079" s="45">
        <v>17440.18</v>
      </c>
      <c r="J6079" s="45">
        <v>17440.18</v>
      </c>
      <c r="K6079" s="49" t="s">
        <v>9751</v>
      </c>
      <c r="L6079" s="45"/>
      <c r="M6079" s="3"/>
    </row>
    <row r="6080" spans="1:13" ht="25.5" x14ac:dyDescent="0.25">
      <c r="A6080" s="46" t="s">
        <v>7533</v>
      </c>
      <c r="B6080" s="46" t="s">
        <v>38</v>
      </c>
      <c r="C6080" s="46" t="s">
        <v>14</v>
      </c>
      <c r="D6080" s="47">
        <v>2476</v>
      </c>
      <c r="E6080" s="46" t="s">
        <v>9924</v>
      </c>
      <c r="F6080" s="48">
        <v>39083</v>
      </c>
      <c r="G6080" s="48">
        <v>40543</v>
      </c>
      <c r="H6080" s="46" t="s">
        <v>40</v>
      </c>
      <c r="I6080" s="45">
        <v>99997.49</v>
      </c>
      <c r="J6080" s="45">
        <v>99997.49</v>
      </c>
      <c r="K6080" s="49" t="s">
        <v>9751</v>
      </c>
      <c r="L6080" s="45"/>
      <c r="M6080" s="3"/>
    </row>
    <row r="6081" spans="1:13" ht="25.5" x14ac:dyDescent="0.25">
      <c r="A6081" s="46" t="s">
        <v>8527</v>
      </c>
      <c r="B6081" s="46" t="s">
        <v>38</v>
      </c>
      <c r="C6081" s="46" t="s">
        <v>14</v>
      </c>
      <c r="D6081" s="47">
        <v>2477</v>
      </c>
      <c r="E6081" s="46" t="s">
        <v>9925</v>
      </c>
      <c r="F6081" s="48">
        <v>39083</v>
      </c>
      <c r="G6081" s="48">
        <v>41639</v>
      </c>
      <c r="H6081" s="46" t="s">
        <v>40</v>
      </c>
      <c r="I6081" s="45">
        <f>50555.18+8341.78</f>
        <v>58896.959999999999</v>
      </c>
      <c r="J6081" s="45">
        <f>37463.4+8341.78</f>
        <v>45805.18</v>
      </c>
      <c r="K6081" s="49" t="s">
        <v>9751</v>
      </c>
      <c r="L6081" s="45"/>
      <c r="M6081" s="3"/>
    </row>
    <row r="6082" spans="1:13" ht="25.5" x14ac:dyDescent="0.25">
      <c r="A6082" s="46" t="s">
        <v>9926</v>
      </c>
      <c r="B6082" s="46" t="s">
        <v>38</v>
      </c>
      <c r="C6082" s="46" t="s">
        <v>14</v>
      </c>
      <c r="D6082" s="47">
        <v>2478</v>
      </c>
      <c r="E6082" s="46" t="s">
        <v>9927</v>
      </c>
      <c r="F6082" s="48">
        <v>39083</v>
      </c>
      <c r="G6082" s="48">
        <v>40908</v>
      </c>
      <c r="H6082" s="46" t="s">
        <v>40</v>
      </c>
      <c r="I6082" s="45">
        <v>86536.57</v>
      </c>
      <c r="J6082" s="45">
        <v>86536.57</v>
      </c>
      <c r="K6082" s="49" t="s">
        <v>9751</v>
      </c>
      <c r="L6082" s="45"/>
      <c r="M6082" s="3"/>
    </row>
    <row r="6083" spans="1:13" ht="25.5" x14ac:dyDescent="0.25">
      <c r="A6083" s="46" t="s">
        <v>9928</v>
      </c>
      <c r="B6083" s="46" t="s">
        <v>38</v>
      </c>
      <c r="C6083" s="46" t="s">
        <v>14</v>
      </c>
      <c r="D6083" s="47">
        <v>2481</v>
      </c>
      <c r="E6083" s="46" t="s">
        <v>9929</v>
      </c>
      <c r="F6083" s="48">
        <v>39083</v>
      </c>
      <c r="G6083" s="48">
        <v>39813</v>
      </c>
      <c r="H6083" s="46" t="s">
        <v>40</v>
      </c>
      <c r="I6083" s="45">
        <v>3118.6</v>
      </c>
      <c r="J6083" s="45">
        <v>3098.6</v>
      </c>
      <c r="K6083" s="49" t="s">
        <v>9751</v>
      </c>
      <c r="L6083" s="45"/>
      <c r="M6083" s="3"/>
    </row>
    <row r="6084" spans="1:13" ht="25.5" x14ac:dyDescent="0.25">
      <c r="A6084" s="46" t="s">
        <v>9930</v>
      </c>
      <c r="B6084" s="46" t="s">
        <v>38</v>
      </c>
      <c r="C6084" s="46" t="s">
        <v>14</v>
      </c>
      <c r="D6084" s="47">
        <v>2483</v>
      </c>
      <c r="E6084" s="46" t="s">
        <v>9931</v>
      </c>
      <c r="F6084" s="48">
        <v>39083</v>
      </c>
      <c r="G6084" s="48">
        <v>39813</v>
      </c>
      <c r="H6084" s="46" t="s">
        <v>40</v>
      </c>
      <c r="I6084" s="45">
        <v>1158.4000000000001</v>
      </c>
      <c r="J6084" s="45">
        <v>1158.4000000000001</v>
      </c>
      <c r="K6084" s="49" t="s">
        <v>9751</v>
      </c>
      <c r="L6084" s="45"/>
      <c r="M6084" s="3"/>
    </row>
    <row r="6085" spans="1:13" ht="25.5" x14ac:dyDescent="0.25">
      <c r="A6085" s="46" t="s">
        <v>9932</v>
      </c>
      <c r="B6085" s="46" t="s">
        <v>38</v>
      </c>
      <c r="C6085" s="46" t="s">
        <v>14</v>
      </c>
      <c r="D6085" s="47">
        <v>2484</v>
      </c>
      <c r="E6085" s="46" t="s">
        <v>9933</v>
      </c>
      <c r="F6085" s="48">
        <v>39083</v>
      </c>
      <c r="G6085" s="48">
        <v>40178</v>
      </c>
      <c r="H6085" s="46" t="s">
        <v>40</v>
      </c>
      <c r="I6085" s="45">
        <v>2750</v>
      </c>
      <c r="J6085" s="45">
        <v>2750</v>
      </c>
      <c r="K6085" s="49" t="s">
        <v>9751</v>
      </c>
      <c r="L6085" s="45"/>
      <c r="M6085" s="3"/>
    </row>
    <row r="6086" spans="1:13" ht="25.5" x14ac:dyDescent="0.25">
      <c r="A6086" s="46" t="s">
        <v>9934</v>
      </c>
      <c r="B6086" s="46" t="s">
        <v>38</v>
      </c>
      <c r="C6086" s="46" t="s">
        <v>14</v>
      </c>
      <c r="D6086" s="47">
        <v>2485</v>
      </c>
      <c r="E6086" s="46" t="s">
        <v>9934</v>
      </c>
      <c r="F6086" s="48">
        <v>39083</v>
      </c>
      <c r="G6086" s="48">
        <v>41274</v>
      </c>
      <c r="H6086" s="46" t="s">
        <v>40</v>
      </c>
      <c r="I6086" s="45">
        <v>13269.58</v>
      </c>
      <c r="J6086" s="45">
        <v>12269.58</v>
      </c>
      <c r="K6086" s="49" t="s">
        <v>9751</v>
      </c>
      <c r="L6086" s="45"/>
      <c r="M6086" s="3"/>
    </row>
    <row r="6087" spans="1:13" ht="25.5" x14ac:dyDescent="0.25">
      <c r="A6087" s="46" t="s">
        <v>9935</v>
      </c>
      <c r="B6087" s="46" t="s">
        <v>38</v>
      </c>
      <c r="C6087" s="46" t="s">
        <v>14</v>
      </c>
      <c r="D6087" s="47">
        <v>3316</v>
      </c>
      <c r="E6087" s="46" t="s">
        <v>9936</v>
      </c>
      <c r="F6087" s="48">
        <v>39083</v>
      </c>
      <c r="G6087" s="48">
        <v>39813</v>
      </c>
      <c r="H6087" s="46" t="s">
        <v>40</v>
      </c>
      <c r="I6087" s="45">
        <v>1293.2</v>
      </c>
      <c r="J6087" s="45">
        <v>1293.2</v>
      </c>
      <c r="K6087" s="49" t="s">
        <v>9751</v>
      </c>
      <c r="L6087" s="45"/>
      <c r="M6087" s="3"/>
    </row>
    <row r="6088" spans="1:13" ht="25.5" x14ac:dyDescent="0.25">
      <c r="A6088" s="46" t="s">
        <v>9937</v>
      </c>
      <c r="B6088" s="46" t="s">
        <v>38</v>
      </c>
      <c r="C6088" s="46" t="s">
        <v>14</v>
      </c>
      <c r="D6088" s="47">
        <v>5052</v>
      </c>
      <c r="E6088" s="46" t="s">
        <v>9938</v>
      </c>
      <c r="F6088" s="48">
        <v>39814</v>
      </c>
      <c r="G6088" s="48">
        <v>40178</v>
      </c>
      <c r="H6088" s="46" t="s">
        <v>40</v>
      </c>
      <c r="I6088" s="45">
        <v>4145.3100000000004</v>
      </c>
      <c r="J6088" s="45">
        <v>3270.31</v>
      </c>
      <c r="K6088" s="49" t="s">
        <v>9751</v>
      </c>
      <c r="L6088" s="45"/>
      <c r="M6088" s="3"/>
    </row>
    <row r="6089" spans="1:13" ht="25.5" x14ac:dyDescent="0.25">
      <c r="A6089" s="46" t="s">
        <v>9939</v>
      </c>
      <c r="B6089" s="46" t="s">
        <v>38</v>
      </c>
      <c r="C6089" s="46" t="s">
        <v>14</v>
      </c>
      <c r="D6089" s="47">
        <v>5056</v>
      </c>
      <c r="E6089" s="46" t="s">
        <v>9940</v>
      </c>
      <c r="F6089" s="48">
        <v>39814</v>
      </c>
      <c r="G6089" s="48">
        <v>40178</v>
      </c>
      <c r="H6089" s="46" t="s">
        <v>40</v>
      </c>
      <c r="I6089" s="45">
        <v>1907.02</v>
      </c>
      <c r="J6089" s="45">
        <v>1747.02</v>
      </c>
      <c r="K6089" s="49" t="s">
        <v>9751</v>
      </c>
      <c r="L6089" s="45"/>
      <c r="M6089" s="3"/>
    </row>
    <row r="6090" spans="1:13" ht="25.5" x14ac:dyDescent="0.25">
      <c r="A6090" s="46" t="s">
        <v>9941</v>
      </c>
      <c r="B6090" s="46" t="s">
        <v>38</v>
      </c>
      <c r="C6090" s="46" t="s">
        <v>14</v>
      </c>
      <c r="D6090" s="47">
        <v>5057</v>
      </c>
      <c r="E6090" s="46" t="s">
        <v>9942</v>
      </c>
      <c r="F6090" s="48">
        <v>39814</v>
      </c>
      <c r="G6090" s="48">
        <v>41639</v>
      </c>
      <c r="H6090" s="46" t="s">
        <v>40</v>
      </c>
      <c r="I6090" s="45">
        <f>20526.69+1033.12</f>
        <v>21559.809999999998</v>
      </c>
      <c r="J6090" s="45">
        <f>9093.57+1033.12</f>
        <v>10126.689999999999</v>
      </c>
      <c r="K6090" s="49" t="s">
        <v>9751</v>
      </c>
      <c r="L6090" s="45"/>
      <c r="M6090" s="3"/>
    </row>
    <row r="6091" spans="1:13" ht="25.5" x14ac:dyDescent="0.25">
      <c r="A6091" s="46" t="s">
        <v>9943</v>
      </c>
      <c r="B6091" s="46" t="s">
        <v>38</v>
      </c>
      <c r="C6091" s="46" t="s">
        <v>14</v>
      </c>
      <c r="D6091" s="47">
        <v>5060</v>
      </c>
      <c r="E6091" s="46" t="s">
        <v>9944</v>
      </c>
      <c r="F6091" s="48">
        <v>39814</v>
      </c>
      <c r="G6091" s="48">
        <v>40178</v>
      </c>
      <c r="H6091" s="46" t="s">
        <v>40</v>
      </c>
      <c r="I6091" s="45">
        <v>2790.03</v>
      </c>
      <c r="J6091" s="45">
        <v>2430.0300000000002</v>
      </c>
      <c r="K6091" s="49" t="s">
        <v>9751</v>
      </c>
      <c r="L6091" s="45"/>
      <c r="M6091" s="3"/>
    </row>
    <row r="6092" spans="1:13" ht="25.5" x14ac:dyDescent="0.25">
      <c r="A6092" s="46" t="s">
        <v>9945</v>
      </c>
      <c r="B6092" s="46" t="s">
        <v>38</v>
      </c>
      <c r="C6092" s="46" t="s">
        <v>14</v>
      </c>
      <c r="D6092" s="47">
        <v>5065</v>
      </c>
      <c r="E6092" s="46" t="s">
        <v>9946</v>
      </c>
      <c r="F6092" s="48">
        <v>39814</v>
      </c>
      <c r="G6092" s="48">
        <v>40178</v>
      </c>
      <c r="H6092" s="46" t="s">
        <v>40</v>
      </c>
      <c r="I6092" s="45">
        <v>300</v>
      </c>
      <c r="J6092" s="45">
        <v>300</v>
      </c>
      <c r="K6092" s="49" t="s">
        <v>9751</v>
      </c>
      <c r="L6092" s="45"/>
      <c r="M6092" s="3"/>
    </row>
    <row r="6093" spans="1:13" ht="25.5" x14ac:dyDescent="0.25">
      <c r="A6093" s="46" t="s">
        <v>9947</v>
      </c>
      <c r="B6093" s="46" t="s">
        <v>38</v>
      </c>
      <c r="C6093" s="46" t="s">
        <v>14</v>
      </c>
      <c r="D6093" s="47">
        <v>5067</v>
      </c>
      <c r="E6093" s="46" t="s">
        <v>9948</v>
      </c>
      <c r="F6093" s="48">
        <v>39814</v>
      </c>
      <c r="G6093" s="48">
        <v>41639</v>
      </c>
      <c r="H6093" s="46" t="s">
        <v>40</v>
      </c>
      <c r="I6093" s="45">
        <f>11550.52+509.53</f>
        <v>12060.050000000001</v>
      </c>
      <c r="J6093" s="45">
        <f>6510.99+509.53</f>
        <v>7020.5199999999995</v>
      </c>
      <c r="K6093" s="49" t="s">
        <v>9751</v>
      </c>
      <c r="L6093" s="45"/>
      <c r="M6093" s="3"/>
    </row>
    <row r="6094" spans="1:13" ht="25.5" x14ac:dyDescent="0.25">
      <c r="A6094" s="46" t="s">
        <v>9949</v>
      </c>
      <c r="B6094" s="46" t="s">
        <v>38</v>
      </c>
      <c r="C6094" s="46" t="s">
        <v>14</v>
      </c>
      <c r="D6094" s="47">
        <v>5070</v>
      </c>
      <c r="E6094" s="46" t="s">
        <v>9950</v>
      </c>
      <c r="F6094" s="48">
        <v>39814</v>
      </c>
      <c r="G6094" s="48">
        <v>40178</v>
      </c>
      <c r="H6094" s="46" t="s">
        <v>40</v>
      </c>
      <c r="I6094" s="45">
        <v>4066.91</v>
      </c>
      <c r="J6094" s="45">
        <v>3466.91</v>
      </c>
      <c r="K6094" s="49" t="s">
        <v>9751</v>
      </c>
      <c r="L6094" s="45"/>
      <c r="M6094" s="3"/>
    </row>
    <row r="6095" spans="1:13" ht="25.5" x14ac:dyDescent="0.25">
      <c r="A6095" s="46" t="s">
        <v>9951</v>
      </c>
      <c r="B6095" s="46" t="s">
        <v>38</v>
      </c>
      <c r="C6095" s="46" t="s">
        <v>14</v>
      </c>
      <c r="D6095" s="47">
        <v>5071</v>
      </c>
      <c r="E6095" s="46" t="s">
        <v>9952</v>
      </c>
      <c r="F6095" s="48">
        <v>39814</v>
      </c>
      <c r="G6095" s="48">
        <v>40178</v>
      </c>
      <c r="H6095" s="46" t="s">
        <v>40</v>
      </c>
      <c r="I6095" s="45">
        <v>4272.33</v>
      </c>
      <c r="J6095" s="45">
        <v>2297.33</v>
      </c>
      <c r="K6095" s="49" t="s">
        <v>9751</v>
      </c>
      <c r="L6095" s="45"/>
      <c r="M6095" s="3"/>
    </row>
    <row r="6096" spans="1:13" ht="25.5" x14ac:dyDescent="0.25">
      <c r="A6096" s="46" t="s">
        <v>9953</v>
      </c>
      <c r="B6096" s="46" t="s">
        <v>38</v>
      </c>
      <c r="C6096" s="46" t="s">
        <v>14</v>
      </c>
      <c r="D6096" s="47">
        <v>5072</v>
      </c>
      <c r="E6096" s="46" t="s">
        <v>9954</v>
      </c>
      <c r="F6096" s="48">
        <v>39814</v>
      </c>
      <c r="G6096" s="48">
        <v>40178</v>
      </c>
      <c r="H6096" s="46" t="s">
        <v>40</v>
      </c>
      <c r="I6096" s="45">
        <v>1192.33</v>
      </c>
      <c r="J6096" s="45">
        <v>92.33</v>
      </c>
      <c r="K6096" s="49" t="s">
        <v>9751</v>
      </c>
      <c r="L6096" s="45"/>
      <c r="M6096" s="3"/>
    </row>
    <row r="6097" spans="1:13" ht="25.5" x14ac:dyDescent="0.25">
      <c r="A6097" s="46" t="s">
        <v>9955</v>
      </c>
      <c r="B6097" s="46" t="s">
        <v>38</v>
      </c>
      <c r="C6097" s="46" t="s">
        <v>14</v>
      </c>
      <c r="D6097" s="47">
        <v>5073</v>
      </c>
      <c r="E6097" s="46" t="s">
        <v>9956</v>
      </c>
      <c r="F6097" s="48">
        <v>39814</v>
      </c>
      <c r="G6097" s="48">
        <v>40908</v>
      </c>
      <c r="H6097" s="46" t="s">
        <v>40</v>
      </c>
      <c r="I6097" s="45">
        <v>5410.19</v>
      </c>
      <c r="J6097" s="45">
        <v>3710.19</v>
      </c>
      <c r="K6097" s="49" t="s">
        <v>9751</v>
      </c>
      <c r="L6097" s="45"/>
      <c r="M6097" s="3"/>
    </row>
    <row r="6098" spans="1:13" ht="25.5" x14ac:dyDescent="0.25">
      <c r="A6098" s="46" t="s">
        <v>9957</v>
      </c>
      <c r="B6098" s="46" t="s">
        <v>38</v>
      </c>
      <c r="C6098" s="46" t="s">
        <v>14</v>
      </c>
      <c r="D6098" s="47">
        <v>5074</v>
      </c>
      <c r="E6098" s="46" t="s">
        <v>9958</v>
      </c>
      <c r="F6098" s="48">
        <v>39814</v>
      </c>
      <c r="G6098" s="48">
        <v>40178</v>
      </c>
      <c r="H6098" s="46" t="s">
        <v>40</v>
      </c>
      <c r="I6098" s="45">
        <v>1158.32</v>
      </c>
      <c r="J6098" s="45">
        <v>1008.32</v>
      </c>
      <c r="K6098" s="49" t="s">
        <v>9751</v>
      </c>
      <c r="L6098" s="45"/>
      <c r="M6098" s="3"/>
    </row>
    <row r="6099" spans="1:13" ht="25.5" x14ac:dyDescent="0.25">
      <c r="A6099" s="46" t="s">
        <v>9959</v>
      </c>
      <c r="B6099" s="46" t="s">
        <v>38</v>
      </c>
      <c r="C6099" s="46" t="s">
        <v>14</v>
      </c>
      <c r="D6099" s="47">
        <v>5077</v>
      </c>
      <c r="E6099" s="46" t="s">
        <v>9960</v>
      </c>
      <c r="F6099" s="48">
        <v>39814</v>
      </c>
      <c r="G6099" s="48">
        <v>40178</v>
      </c>
      <c r="H6099" s="46" t="s">
        <v>40</v>
      </c>
      <c r="I6099" s="45">
        <v>2298.46</v>
      </c>
      <c r="J6099" s="45">
        <v>1908.46</v>
      </c>
      <c r="K6099" s="49" t="s">
        <v>9751</v>
      </c>
      <c r="L6099" s="45"/>
      <c r="M6099" s="3"/>
    </row>
    <row r="6100" spans="1:13" ht="25.5" x14ac:dyDescent="0.25">
      <c r="A6100" s="46" t="s">
        <v>9961</v>
      </c>
      <c r="B6100" s="46" t="s">
        <v>38</v>
      </c>
      <c r="C6100" s="46" t="s">
        <v>14</v>
      </c>
      <c r="D6100" s="47">
        <v>5113</v>
      </c>
      <c r="E6100" s="46" t="s">
        <v>9962</v>
      </c>
      <c r="F6100" s="48">
        <v>39814</v>
      </c>
      <c r="G6100" s="48">
        <v>40543</v>
      </c>
      <c r="H6100" s="46" t="s">
        <v>40</v>
      </c>
      <c r="I6100" s="45">
        <v>5089.5</v>
      </c>
      <c r="J6100" s="45">
        <v>5089.5</v>
      </c>
      <c r="K6100" s="49" t="s">
        <v>9751</v>
      </c>
      <c r="L6100" s="45"/>
      <c r="M6100" s="3"/>
    </row>
    <row r="6101" spans="1:13" ht="25.5" x14ac:dyDescent="0.25">
      <c r="A6101" s="46" t="s">
        <v>9963</v>
      </c>
      <c r="B6101" s="46" t="s">
        <v>38</v>
      </c>
      <c r="C6101" s="46" t="s">
        <v>14</v>
      </c>
      <c r="D6101" s="47">
        <v>5114</v>
      </c>
      <c r="E6101" s="46" t="s">
        <v>9964</v>
      </c>
      <c r="F6101" s="48">
        <v>39814</v>
      </c>
      <c r="G6101" s="48">
        <v>40543</v>
      </c>
      <c r="H6101" s="46" t="s">
        <v>40</v>
      </c>
      <c r="I6101" s="45">
        <v>1000</v>
      </c>
      <c r="J6101" s="45">
        <v>1000</v>
      </c>
      <c r="K6101" s="49" t="s">
        <v>9751</v>
      </c>
      <c r="L6101" s="45"/>
      <c r="M6101" s="3"/>
    </row>
    <row r="6102" spans="1:13" ht="25.5" x14ac:dyDescent="0.25">
      <c r="A6102" s="46" t="s">
        <v>3739</v>
      </c>
      <c r="B6102" s="46" t="s">
        <v>38</v>
      </c>
      <c r="C6102" s="46" t="s">
        <v>14</v>
      </c>
      <c r="D6102" s="47">
        <v>5171</v>
      </c>
      <c r="E6102" s="46" t="s">
        <v>10004</v>
      </c>
      <c r="F6102" s="48">
        <v>39814</v>
      </c>
      <c r="G6102" s="48">
        <v>41639</v>
      </c>
      <c r="H6102" s="46" t="s">
        <v>40</v>
      </c>
      <c r="I6102" s="45">
        <f>285650.21+51159.96</f>
        <v>336810.17000000004</v>
      </c>
      <c r="J6102" s="45">
        <f>234490.25+51159.96</f>
        <v>285650.21000000002</v>
      </c>
      <c r="K6102" s="49" t="s">
        <v>9751</v>
      </c>
      <c r="L6102" s="45"/>
      <c r="M6102" s="3"/>
    </row>
    <row r="6103" spans="1:13" ht="25.5" x14ac:dyDescent="0.25">
      <c r="A6103" s="46" t="s">
        <v>9868</v>
      </c>
      <c r="B6103" s="46" t="s">
        <v>38</v>
      </c>
      <c r="C6103" s="46" t="s">
        <v>14</v>
      </c>
      <c r="D6103" s="47">
        <v>5903</v>
      </c>
      <c r="E6103" s="46" t="s">
        <v>10005</v>
      </c>
      <c r="F6103" s="48">
        <v>39814</v>
      </c>
      <c r="G6103" s="48">
        <v>40908</v>
      </c>
      <c r="H6103" s="46" t="s">
        <v>40</v>
      </c>
      <c r="I6103" s="45">
        <v>2761.66</v>
      </c>
      <c r="J6103" s="45">
        <v>1681.66</v>
      </c>
      <c r="K6103" s="49" t="s">
        <v>9751</v>
      </c>
      <c r="L6103" s="45"/>
      <c r="M6103" s="3"/>
    </row>
    <row r="6104" spans="1:13" ht="25.5" x14ac:dyDescent="0.25">
      <c r="A6104" s="46" t="s">
        <v>10068</v>
      </c>
      <c r="B6104" s="46" t="s">
        <v>38</v>
      </c>
      <c r="C6104" s="46" t="s">
        <v>14</v>
      </c>
      <c r="D6104" s="47">
        <v>7249</v>
      </c>
      <c r="E6104" s="46" t="s">
        <v>10069</v>
      </c>
      <c r="F6104" s="48">
        <v>40179</v>
      </c>
      <c r="G6104" s="48">
        <v>41639</v>
      </c>
      <c r="H6104" s="46" t="s">
        <v>40</v>
      </c>
      <c r="I6104" s="45">
        <v>14856.76</v>
      </c>
      <c r="J6104" s="45">
        <v>12556.76</v>
      </c>
      <c r="K6104" s="49" t="s">
        <v>9751</v>
      </c>
      <c r="L6104" s="45"/>
      <c r="M6104" s="3"/>
    </row>
    <row r="6105" spans="1:13" ht="25.5" x14ac:dyDescent="0.25">
      <c r="A6105" s="46" t="s">
        <v>10070</v>
      </c>
      <c r="B6105" s="46" t="s">
        <v>38</v>
      </c>
      <c r="C6105" s="46" t="s">
        <v>14</v>
      </c>
      <c r="D6105" s="47">
        <v>7250</v>
      </c>
      <c r="E6105" s="46" t="s">
        <v>10071</v>
      </c>
      <c r="F6105" s="48">
        <v>40179</v>
      </c>
      <c r="G6105" s="48">
        <v>41639</v>
      </c>
      <c r="H6105" s="46" t="s">
        <v>40</v>
      </c>
      <c r="I6105" s="45">
        <f>23014.13+5964.9</f>
        <v>28979.03</v>
      </c>
      <c r="J6105" s="45">
        <f>6996.73+5964.9</f>
        <v>12961.63</v>
      </c>
      <c r="K6105" s="49" t="s">
        <v>9751</v>
      </c>
      <c r="L6105" s="45"/>
      <c r="M6105" s="3"/>
    </row>
    <row r="6106" spans="1:13" ht="25.5" x14ac:dyDescent="0.25">
      <c r="A6106" s="46" t="s">
        <v>10072</v>
      </c>
      <c r="B6106" s="46" t="s">
        <v>38</v>
      </c>
      <c r="C6106" s="46" t="s">
        <v>14</v>
      </c>
      <c r="D6106" s="47">
        <v>7251</v>
      </c>
      <c r="E6106" s="46" t="s">
        <v>10073</v>
      </c>
      <c r="F6106" s="48">
        <v>40179</v>
      </c>
      <c r="G6106" s="48">
        <v>41639</v>
      </c>
      <c r="H6106" s="46" t="s">
        <v>40</v>
      </c>
      <c r="I6106" s="45">
        <f>17548.81+3482.88</f>
        <v>21031.690000000002</v>
      </c>
      <c r="J6106" s="45">
        <f>12875.93+3482.88</f>
        <v>16358.810000000001</v>
      </c>
      <c r="K6106" s="49" t="s">
        <v>9751</v>
      </c>
      <c r="L6106" s="45"/>
      <c r="M6106" s="3"/>
    </row>
    <row r="6107" spans="1:13" ht="25.5" x14ac:dyDescent="0.25">
      <c r="A6107" s="46" t="s">
        <v>6282</v>
      </c>
      <c r="B6107" s="46" t="s">
        <v>38</v>
      </c>
      <c r="C6107" s="46" t="s">
        <v>14</v>
      </c>
      <c r="D6107" s="47">
        <v>7252</v>
      </c>
      <c r="E6107" s="46" t="s">
        <v>10074</v>
      </c>
      <c r="F6107" s="48">
        <v>40179</v>
      </c>
      <c r="G6107" s="48">
        <v>40908</v>
      </c>
      <c r="H6107" s="46" t="s">
        <v>40</v>
      </c>
      <c r="I6107" s="45">
        <v>4677.88</v>
      </c>
      <c r="J6107" s="45">
        <v>2797.88</v>
      </c>
      <c r="K6107" s="49" t="s">
        <v>9751</v>
      </c>
      <c r="L6107" s="45"/>
      <c r="M6107" s="3"/>
    </row>
    <row r="6108" spans="1:13" ht="25.5" x14ac:dyDescent="0.25">
      <c r="A6108" s="46" t="s">
        <v>10075</v>
      </c>
      <c r="B6108" s="46" t="s">
        <v>38</v>
      </c>
      <c r="C6108" s="46" t="s">
        <v>14</v>
      </c>
      <c r="D6108" s="47">
        <v>7253</v>
      </c>
      <c r="E6108" s="46" t="s">
        <v>10076</v>
      </c>
      <c r="F6108" s="48">
        <v>40179</v>
      </c>
      <c r="G6108" s="48">
        <v>41639</v>
      </c>
      <c r="H6108" s="46" t="s">
        <v>40</v>
      </c>
      <c r="I6108" s="45">
        <f>4881.13+440.77</f>
        <v>5321.9</v>
      </c>
      <c r="J6108" s="45">
        <f>2290.36+440.77</f>
        <v>2731.13</v>
      </c>
      <c r="K6108" s="49" t="s">
        <v>9751</v>
      </c>
      <c r="L6108" s="45"/>
      <c r="M6108" s="3"/>
    </row>
    <row r="6109" spans="1:13" ht="25.5" x14ac:dyDescent="0.25">
      <c r="A6109" s="46" t="s">
        <v>10077</v>
      </c>
      <c r="B6109" s="46" t="s">
        <v>38</v>
      </c>
      <c r="C6109" s="46" t="s">
        <v>14</v>
      </c>
      <c r="D6109" s="47">
        <v>7254</v>
      </c>
      <c r="E6109" s="46" t="s">
        <v>10078</v>
      </c>
      <c r="F6109" s="48">
        <v>40179</v>
      </c>
      <c r="G6109" s="48">
        <v>40543</v>
      </c>
      <c r="H6109" s="46" t="s">
        <v>40</v>
      </c>
      <c r="I6109" s="45">
        <v>265.01</v>
      </c>
      <c r="J6109" s="45">
        <v>265.01</v>
      </c>
      <c r="K6109" s="49" t="s">
        <v>9751</v>
      </c>
      <c r="L6109" s="45"/>
      <c r="M6109" s="3"/>
    </row>
    <row r="6110" spans="1:13" ht="25.5" x14ac:dyDescent="0.25">
      <c r="A6110" s="46" t="s">
        <v>10079</v>
      </c>
      <c r="B6110" s="46" t="s">
        <v>38</v>
      </c>
      <c r="C6110" s="46" t="s">
        <v>14</v>
      </c>
      <c r="D6110" s="47">
        <v>8517</v>
      </c>
      <c r="E6110" s="46" t="s">
        <v>10080</v>
      </c>
      <c r="F6110" s="48">
        <v>40544</v>
      </c>
      <c r="G6110" s="48">
        <v>40908</v>
      </c>
      <c r="H6110" s="46" t="s">
        <v>40</v>
      </c>
      <c r="I6110" s="45">
        <v>1900</v>
      </c>
      <c r="J6110" s="45">
        <v>1080</v>
      </c>
      <c r="K6110" s="49" t="s">
        <v>9751</v>
      </c>
      <c r="L6110" s="45"/>
      <c r="M6110" s="3"/>
    </row>
    <row r="6111" spans="1:13" ht="25.5" x14ac:dyDescent="0.25">
      <c r="A6111" s="46" t="s">
        <v>10081</v>
      </c>
      <c r="B6111" s="46" t="s">
        <v>38</v>
      </c>
      <c r="C6111" s="46" t="s">
        <v>14</v>
      </c>
      <c r="D6111" s="47">
        <v>8518</v>
      </c>
      <c r="E6111" s="46" t="s">
        <v>10082</v>
      </c>
      <c r="F6111" s="48">
        <v>40544</v>
      </c>
      <c r="G6111" s="48">
        <v>40908</v>
      </c>
      <c r="H6111" s="46" t="s">
        <v>40</v>
      </c>
      <c r="I6111" s="45">
        <v>1851.25</v>
      </c>
      <c r="J6111" s="45">
        <v>1101.25</v>
      </c>
      <c r="K6111" s="49" t="s">
        <v>9751</v>
      </c>
      <c r="L6111" s="45"/>
      <c r="M6111" s="3"/>
    </row>
    <row r="6112" spans="1:13" ht="25.5" x14ac:dyDescent="0.25">
      <c r="A6112" s="46" t="s">
        <v>10083</v>
      </c>
      <c r="B6112" s="46" t="s">
        <v>38</v>
      </c>
      <c r="C6112" s="46" t="s">
        <v>14</v>
      </c>
      <c r="D6112" s="47">
        <v>8519</v>
      </c>
      <c r="E6112" s="46" t="s">
        <v>10084</v>
      </c>
      <c r="F6112" s="48">
        <v>40544</v>
      </c>
      <c r="G6112" s="48">
        <v>40908</v>
      </c>
      <c r="H6112" s="46" t="s">
        <v>40</v>
      </c>
      <c r="I6112" s="45">
        <v>906</v>
      </c>
      <c r="J6112" s="45">
        <v>606</v>
      </c>
      <c r="K6112" s="49" t="s">
        <v>9751</v>
      </c>
      <c r="L6112" s="45"/>
      <c r="M6112" s="3"/>
    </row>
    <row r="6113" spans="1:13" ht="25.5" x14ac:dyDescent="0.25">
      <c r="A6113" s="46" t="s">
        <v>10085</v>
      </c>
      <c r="B6113" s="46" t="s">
        <v>38</v>
      </c>
      <c r="C6113" s="46" t="s">
        <v>14</v>
      </c>
      <c r="D6113" s="47">
        <v>8520</v>
      </c>
      <c r="E6113" s="46" t="s">
        <v>10086</v>
      </c>
      <c r="F6113" s="48">
        <v>40544</v>
      </c>
      <c r="G6113" s="48">
        <v>40908</v>
      </c>
      <c r="H6113" s="46" t="s">
        <v>40</v>
      </c>
      <c r="I6113" s="45">
        <v>800</v>
      </c>
      <c r="J6113" s="45">
        <v>400</v>
      </c>
      <c r="K6113" s="49" t="s">
        <v>9751</v>
      </c>
      <c r="L6113" s="45"/>
      <c r="M6113" s="3"/>
    </row>
    <row r="6114" spans="1:13" ht="25.5" x14ac:dyDescent="0.25">
      <c r="A6114" s="46" t="s">
        <v>10126</v>
      </c>
      <c r="B6114" s="46" t="s">
        <v>38</v>
      </c>
      <c r="C6114" s="46" t="s">
        <v>14</v>
      </c>
      <c r="D6114" s="47">
        <v>8552</v>
      </c>
      <c r="E6114" s="46" t="s">
        <v>10127</v>
      </c>
      <c r="F6114" s="48">
        <v>40544</v>
      </c>
      <c r="G6114" s="48">
        <v>41639</v>
      </c>
      <c r="H6114" s="46" t="s">
        <v>40</v>
      </c>
      <c r="I6114" s="45">
        <f>219218.38+61436.86</f>
        <v>280655.24</v>
      </c>
      <c r="J6114" s="45">
        <f>89701.39+30718.43</f>
        <v>120419.82</v>
      </c>
      <c r="K6114" s="49" t="s">
        <v>9751</v>
      </c>
      <c r="L6114" s="45"/>
      <c r="M6114" s="3"/>
    </row>
    <row r="6115" spans="1:13" ht="25.5" x14ac:dyDescent="0.25">
      <c r="A6115" s="46" t="s">
        <v>10182</v>
      </c>
      <c r="B6115" s="46" t="s">
        <v>38</v>
      </c>
      <c r="C6115" s="46" t="s">
        <v>14</v>
      </c>
      <c r="D6115" s="47">
        <v>10358</v>
      </c>
      <c r="E6115" s="46" t="s">
        <v>10183</v>
      </c>
      <c r="F6115" s="48">
        <v>40909</v>
      </c>
      <c r="G6115" s="48">
        <v>41274</v>
      </c>
      <c r="H6115" s="46" t="s">
        <v>40</v>
      </c>
      <c r="I6115" s="45">
        <v>900.44</v>
      </c>
      <c r="J6115" s="45">
        <v>250.42</v>
      </c>
      <c r="K6115" s="49" t="s">
        <v>9751</v>
      </c>
      <c r="L6115" s="45"/>
      <c r="M6115" s="3"/>
    </row>
    <row r="6116" spans="1:13" ht="25.5" x14ac:dyDescent="0.25">
      <c r="A6116" s="46" t="s">
        <v>10184</v>
      </c>
      <c r="B6116" s="46" t="s">
        <v>38</v>
      </c>
      <c r="C6116" s="46" t="s">
        <v>14</v>
      </c>
      <c r="D6116" s="47">
        <v>10394</v>
      </c>
      <c r="E6116" s="46" t="s">
        <v>10185</v>
      </c>
      <c r="F6116" s="48">
        <v>40909</v>
      </c>
      <c r="G6116" s="48">
        <v>41639</v>
      </c>
      <c r="H6116" s="46" t="s">
        <v>40</v>
      </c>
      <c r="I6116" s="45">
        <v>1327.5</v>
      </c>
      <c r="J6116" s="45">
        <v>752.5</v>
      </c>
      <c r="K6116" s="49" t="s">
        <v>9751</v>
      </c>
      <c r="L6116" s="45"/>
      <c r="M6116" s="3"/>
    </row>
    <row r="6117" spans="1:13" ht="25.5" x14ac:dyDescent="0.25">
      <c r="A6117" s="46" t="s">
        <v>10186</v>
      </c>
      <c r="B6117" s="46" t="s">
        <v>38</v>
      </c>
      <c r="C6117" s="46" t="s">
        <v>14</v>
      </c>
      <c r="D6117" s="47">
        <v>10395</v>
      </c>
      <c r="E6117" s="46" t="s">
        <v>10187</v>
      </c>
      <c r="F6117" s="48">
        <v>40909</v>
      </c>
      <c r="G6117" s="48">
        <v>40939</v>
      </c>
      <c r="H6117" s="46" t="s">
        <v>40</v>
      </c>
      <c r="I6117" s="45">
        <v>1060</v>
      </c>
      <c r="J6117" s="45">
        <v>410</v>
      </c>
      <c r="K6117" s="49" t="s">
        <v>9751</v>
      </c>
      <c r="L6117" s="45"/>
      <c r="M6117" s="3"/>
    </row>
    <row r="6118" spans="1:13" ht="25.5" x14ac:dyDescent="0.25">
      <c r="A6118" s="46" t="s">
        <v>10188</v>
      </c>
      <c r="B6118" s="46" t="s">
        <v>38</v>
      </c>
      <c r="C6118" s="46" t="s">
        <v>14</v>
      </c>
      <c r="D6118" s="47">
        <v>10396</v>
      </c>
      <c r="E6118" s="46" t="s">
        <v>10189</v>
      </c>
      <c r="F6118" s="48">
        <v>40909</v>
      </c>
      <c r="G6118" s="48">
        <v>41274</v>
      </c>
      <c r="H6118" s="46" t="s">
        <v>40</v>
      </c>
      <c r="I6118" s="45">
        <v>1407.73</v>
      </c>
      <c r="J6118" s="45">
        <v>1261.93</v>
      </c>
      <c r="K6118" s="49" t="s">
        <v>9751</v>
      </c>
      <c r="L6118" s="46"/>
      <c r="M6118" s="3"/>
    </row>
    <row r="6119" spans="1:13" x14ac:dyDescent="0.25">
      <c r="A6119" s="46"/>
      <c r="B6119" s="46"/>
      <c r="C6119" s="46"/>
      <c r="D6119" s="47"/>
      <c r="E6119" s="51" t="s">
        <v>351</v>
      </c>
      <c r="F6119" s="52"/>
      <c r="G6119" s="52"/>
      <c r="H6119" s="51"/>
      <c r="I6119" s="51"/>
      <c r="J6119" s="53"/>
      <c r="K6119" s="54" t="s">
        <v>17</v>
      </c>
      <c r="L6119" s="53">
        <f>SUM(J5940:J5950)</f>
        <v>863757.25</v>
      </c>
      <c r="M6119" s="3"/>
    </row>
    <row r="6120" spans="1:13" x14ac:dyDescent="0.25">
      <c r="A6120" s="46"/>
      <c r="B6120" s="46"/>
      <c r="C6120" s="46"/>
      <c r="D6120" s="47"/>
      <c r="E6120" s="51" t="s">
        <v>352</v>
      </c>
      <c r="F6120" s="52"/>
      <c r="G6120" s="52"/>
      <c r="H6120" s="51"/>
      <c r="I6120" s="51"/>
      <c r="J6120" s="53"/>
      <c r="K6120" s="54" t="s">
        <v>17</v>
      </c>
      <c r="L6120" s="53">
        <f>SUM(J5951:J6118)</f>
        <v>3360666.7500000014</v>
      </c>
      <c r="M6120" s="3"/>
    </row>
    <row r="6121" spans="1:13" x14ac:dyDescent="0.25">
      <c r="A6121" s="46"/>
      <c r="B6121" s="46"/>
      <c r="C6121" s="46"/>
      <c r="D6121" s="47"/>
      <c r="E6121" s="51" t="s">
        <v>353</v>
      </c>
      <c r="F6121" s="52"/>
      <c r="G6121" s="52"/>
      <c r="H6121" s="51"/>
      <c r="I6121" s="51"/>
      <c r="J6121" s="53"/>
      <c r="K6121" s="54" t="s">
        <v>17</v>
      </c>
      <c r="L6121" s="53">
        <f>SUM(L6119:L6120)</f>
        <v>4224424.0000000019</v>
      </c>
      <c r="M6121" s="3"/>
    </row>
    <row r="6122" spans="1:13" x14ac:dyDescent="0.25">
      <c r="A6122" s="46"/>
      <c r="B6122" s="46"/>
      <c r="C6122" s="46"/>
      <c r="D6122" s="47"/>
      <c r="E6122" s="46"/>
      <c r="F6122" s="48"/>
      <c r="G6122" s="48"/>
      <c r="H6122" s="46"/>
      <c r="I6122" s="45"/>
      <c r="J6122" s="45"/>
      <c r="K6122" s="49"/>
      <c r="L6122" s="45"/>
      <c r="M6122" s="3"/>
    </row>
    <row r="6123" spans="1:13" x14ac:dyDescent="0.25">
      <c r="A6123" s="46"/>
      <c r="B6123" s="46"/>
      <c r="C6123" s="46"/>
      <c r="D6123" s="47"/>
      <c r="E6123" s="46"/>
      <c r="F6123" s="48"/>
      <c r="G6123" s="48"/>
      <c r="H6123" s="46"/>
      <c r="I6123" s="45"/>
      <c r="J6123" s="45"/>
      <c r="K6123" s="49"/>
      <c r="L6123" s="46"/>
    </row>
    <row r="6124" spans="1:13" x14ac:dyDescent="0.25">
      <c r="A6124" s="46"/>
      <c r="B6124" s="46"/>
      <c r="C6124" s="46"/>
      <c r="D6124" s="47"/>
      <c r="E6124" s="51" t="s">
        <v>351</v>
      </c>
      <c r="F6124" s="52"/>
      <c r="G6124" s="52"/>
      <c r="H6124" s="51"/>
      <c r="I6124" s="53"/>
      <c r="J6124" s="53"/>
      <c r="K6124" s="54"/>
      <c r="L6124" s="53">
        <f>SUM(J5880:J5896)</f>
        <v>484501.65000000014</v>
      </c>
      <c r="M6124" s="3"/>
    </row>
    <row r="6125" spans="1:13" x14ac:dyDescent="0.25">
      <c r="A6125" s="46"/>
      <c r="B6125" s="46"/>
      <c r="C6125" s="46"/>
      <c r="D6125" s="47"/>
      <c r="E6125" s="51" t="s">
        <v>786</v>
      </c>
      <c r="F6125" s="52"/>
      <c r="G6125" s="52"/>
      <c r="H6125" s="51"/>
      <c r="I6125" s="53"/>
      <c r="J6125" s="53"/>
      <c r="K6125" s="54"/>
      <c r="L6125" s="53">
        <f>SUM(J5897:J5899)</f>
        <v>16977.100000000002</v>
      </c>
      <c r="M6125" s="3"/>
    </row>
    <row r="6126" spans="1:13" x14ac:dyDescent="0.25">
      <c r="A6126" s="46"/>
      <c r="B6126" s="46"/>
      <c r="C6126" s="46"/>
      <c r="D6126" s="47"/>
      <c r="E6126" s="51" t="s">
        <v>352</v>
      </c>
      <c r="F6126" s="52"/>
      <c r="G6126" s="52"/>
      <c r="H6126" s="51"/>
      <c r="I6126" s="53"/>
      <c r="J6126" s="53"/>
      <c r="K6126" s="54"/>
      <c r="L6126" s="53">
        <f>SUM(J5900:J6122)</f>
        <v>4740500.7200000007</v>
      </c>
      <c r="M6126" s="3"/>
    </row>
    <row r="6127" spans="1:13" x14ac:dyDescent="0.25">
      <c r="A6127" s="46"/>
      <c r="B6127" s="46"/>
      <c r="C6127" s="46"/>
      <c r="D6127" s="47"/>
      <c r="E6127" s="51" t="s">
        <v>787</v>
      </c>
      <c r="F6127" s="52"/>
      <c r="G6127" s="52"/>
      <c r="H6127" s="51"/>
      <c r="I6127" s="53"/>
      <c r="J6127" s="53"/>
      <c r="K6127" s="54"/>
      <c r="L6127" s="53">
        <f>SUM(L6126+L6125+L6124)</f>
        <v>5241979.4700000007</v>
      </c>
      <c r="M6127" s="3"/>
    </row>
    <row r="6128" spans="1:13" x14ac:dyDescent="0.25">
      <c r="A6128" s="46"/>
      <c r="B6128" s="46"/>
      <c r="C6128" s="46"/>
      <c r="D6128" s="47"/>
      <c r="E6128" s="46"/>
      <c r="F6128" s="48"/>
      <c r="G6128" s="48"/>
      <c r="H6128" s="46"/>
      <c r="I6128" s="45"/>
      <c r="J6128" s="45"/>
      <c r="K6128" s="49"/>
      <c r="L6128" s="45"/>
      <c r="M6128" s="3"/>
    </row>
    <row r="6129" spans="1:14" x14ac:dyDescent="0.25">
      <c r="A6129" s="46"/>
      <c r="B6129" s="46"/>
      <c r="C6129" s="46"/>
      <c r="D6129" s="47"/>
      <c r="E6129" s="51" t="s">
        <v>351</v>
      </c>
      <c r="F6129" s="52"/>
      <c r="G6129" s="52"/>
      <c r="H6129" s="51"/>
      <c r="I6129" s="53"/>
      <c r="J6129" s="53"/>
      <c r="K6129" s="54"/>
      <c r="L6129" s="53">
        <f>SUM(J5372:J5452)</f>
        <v>1213838.9099999997</v>
      </c>
      <c r="M6129" s="3"/>
    </row>
    <row r="6130" spans="1:14" x14ac:dyDescent="0.25">
      <c r="A6130" s="46"/>
      <c r="B6130" s="46"/>
      <c r="C6130" s="46"/>
      <c r="D6130" s="47"/>
      <c r="E6130" s="51" t="s">
        <v>786</v>
      </c>
      <c r="F6130" s="52"/>
      <c r="G6130" s="52"/>
      <c r="H6130" s="51"/>
      <c r="I6130" s="53"/>
      <c r="J6130" s="53"/>
      <c r="K6130" s="54"/>
      <c r="L6130" s="60">
        <f>SUM(J5453:J5477)</f>
        <v>1228718.2299999997</v>
      </c>
      <c r="M6130" s="3"/>
    </row>
    <row r="6131" spans="1:14" x14ac:dyDescent="0.25">
      <c r="A6131" s="46"/>
      <c r="B6131" s="46"/>
      <c r="C6131" s="46"/>
      <c r="D6131" s="47"/>
      <c r="E6131" s="51" t="s">
        <v>352</v>
      </c>
      <c r="F6131" s="52"/>
      <c r="G6131" s="52"/>
      <c r="H6131" s="51"/>
      <c r="I6131" s="53"/>
      <c r="J6131" s="53"/>
      <c r="K6131" s="54"/>
      <c r="L6131" s="53">
        <f>SUM(J5478:J6127)</f>
        <v>11606588.440000003</v>
      </c>
      <c r="M6131" s="3"/>
    </row>
    <row r="6132" spans="1:14" x14ac:dyDescent="0.25">
      <c r="A6132" s="46"/>
      <c r="B6132" s="46"/>
      <c r="C6132" s="46"/>
      <c r="D6132" s="47"/>
      <c r="E6132" s="51" t="s">
        <v>2028</v>
      </c>
      <c r="F6132" s="52"/>
      <c r="G6132" s="52"/>
      <c r="H6132" s="51"/>
      <c r="I6132" s="53"/>
      <c r="J6132" s="53"/>
      <c r="K6132" s="54"/>
      <c r="L6132" s="53">
        <f>SUM(J6128)</f>
        <v>0</v>
      </c>
      <c r="M6132" s="3"/>
    </row>
    <row r="6133" spans="1:14" x14ac:dyDescent="0.25">
      <c r="A6133" s="46"/>
      <c r="B6133" s="46"/>
      <c r="C6133" s="46"/>
      <c r="D6133" s="47"/>
      <c r="E6133" s="51" t="s">
        <v>2029</v>
      </c>
      <c r="F6133" s="52"/>
      <c r="G6133" s="52"/>
      <c r="H6133" s="51"/>
      <c r="I6133" s="53"/>
      <c r="J6133" s="53"/>
      <c r="K6133" s="54"/>
      <c r="L6133" s="53">
        <f>SUM(L6129:L6132)</f>
        <v>14049145.580000002</v>
      </c>
      <c r="M6133" s="3"/>
    </row>
    <row r="6134" spans="1:14" x14ac:dyDescent="0.25">
      <c r="A6134" s="46"/>
      <c r="B6134" s="46"/>
      <c r="C6134" s="46"/>
      <c r="D6134" s="47"/>
      <c r="E6134" s="50"/>
      <c r="F6134" s="48"/>
      <c r="G6134" s="48"/>
      <c r="H6134" s="46"/>
      <c r="I6134" s="45"/>
      <c r="J6134" s="45"/>
      <c r="K6134" s="49"/>
      <c r="L6134" s="45"/>
      <c r="M6134" s="3"/>
    </row>
    <row r="6135" spans="1:14" x14ac:dyDescent="0.25">
      <c r="A6135" s="46"/>
      <c r="B6135" s="46"/>
      <c r="C6135" s="46"/>
      <c r="D6135" s="47"/>
      <c r="E6135" s="51" t="s">
        <v>2642</v>
      </c>
      <c r="F6135" s="52"/>
      <c r="G6135" s="52"/>
      <c r="H6135" s="51"/>
      <c r="I6135" s="53"/>
      <c r="J6135" s="53"/>
      <c r="K6135" s="54"/>
      <c r="L6135" s="53">
        <f>SUM(J5751+J5752+J5753)</f>
        <v>7916.7</v>
      </c>
      <c r="M6135" s="3"/>
    </row>
    <row r="6136" spans="1:14" x14ac:dyDescent="0.25">
      <c r="A6136" s="46"/>
      <c r="B6136" s="46"/>
      <c r="C6136" s="46"/>
      <c r="D6136" s="47"/>
      <c r="E6136" s="51" t="s">
        <v>351</v>
      </c>
      <c r="F6136" s="52"/>
      <c r="G6136" s="52"/>
      <c r="H6136" s="51"/>
      <c r="I6136" s="53"/>
      <c r="J6136" s="53"/>
      <c r="K6136" s="54"/>
      <c r="L6136" s="53">
        <f>SUM(J5754:J5755)</f>
        <v>70841.14</v>
      </c>
      <c r="M6136" s="3"/>
    </row>
    <row r="6137" spans="1:14" x14ac:dyDescent="0.25">
      <c r="A6137" s="46"/>
      <c r="B6137" s="46"/>
      <c r="C6137" s="46"/>
      <c r="D6137" s="47"/>
      <c r="E6137" s="51" t="s">
        <v>2643</v>
      </c>
      <c r="F6137" s="52"/>
      <c r="G6137" s="52"/>
      <c r="H6137" s="51"/>
      <c r="I6137" s="53"/>
      <c r="J6137" s="53"/>
      <c r="K6137" s="54"/>
      <c r="L6137" s="60">
        <f>SUM(J5756:J5856)</f>
        <v>697416.27999999991</v>
      </c>
      <c r="M6137" s="3"/>
      <c r="N6137" s="3"/>
    </row>
    <row r="6138" spans="1:14" x14ac:dyDescent="0.25">
      <c r="A6138" s="46"/>
      <c r="B6138" s="46"/>
      <c r="C6138" s="46"/>
      <c r="D6138" s="47"/>
      <c r="E6138" s="51" t="s">
        <v>786</v>
      </c>
      <c r="F6138" s="52"/>
      <c r="G6138" s="52"/>
      <c r="H6138" s="51"/>
      <c r="I6138" s="53"/>
      <c r="J6138" s="53"/>
      <c r="K6138" s="54"/>
      <c r="L6138" s="53">
        <f>SUM(J5857+J5858)</f>
        <v>8888.24</v>
      </c>
      <c r="M6138" s="3"/>
      <c r="N6138" s="3"/>
    </row>
    <row r="6139" spans="1:14" x14ac:dyDescent="0.25">
      <c r="A6139" s="46"/>
      <c r="B6139" s="46"/>
      <c r="C6139" s="46"/>
      <c r="D6139" s="47"/>
      <c r="E6139" s="51" t="s">
        <v>2644</v>
      </c>
      <c r="F6139" s="52"/>
      <c r="G6139" s="52"/>
      <c r="H6139" s="51"/>
      <c r="I6139" s="53"/>
      <c r="J6139" s="53"/>
      <c r="K6139" s="54"/>
      <c r="L6139" s="53">
        <f>SUM(J5859)</f>
        <v>29812.81</v>
      </c>
      <c r="M6139" s="3"/>
      <c r="N6139" s="3"/>
    </row>
    <row r="6140" spans="1:14" x14ac:dyDescent="0.25">
      <c r="A6140" s="46"/>
      <c r="B6140" s="46"/>
      <c r="C6140" s="46"/>
      <c r="D6140" s="47"/>
      <c r="E6140" s="51" t="s">
        <v>352</v>
      </c>
      <c r="F6140" s="52"/>
      <c r="G6140" s="52"/>
      <c r="H6140" s="51"/>
      <c r="I6140" s="53"/>
      <c r="J6140" s="53"/>
      <c r="K6140" s="54"/>
      <c r="L6140" s="53">
        <f>SUM(J5860:J6097)</f>
        <v>5649417.629999998</v>
      </c>
      <c r="M6140" s="3"/>
      <c r="N6140" s="3"/>
    </row>
    <row r="6141" spans="1:14" x14ac:dyDescent="0.25">
      <c r="A6141" s="46"/>
      <c r="B6141" s="46"/>
      <c r="C6141" s="46"/>
      <c r="D6141" s="47"/>
      <c r="E6141" s="51" t="s">
        <v>2645</v>
      </c>
      <c r="F6141" s="52"/>
      <c r="G6141" s="52"/>
      <c r="H6141" s="51"/>
      <c r="I6141" s="53"/>
      <c r="J6141" s="53"/>
      <c r="K6141" s="54"/>
      <c r="L6141" s="53">
        <f>SUM(J6098:J6118)</f>
        <v>470291.29000000004</v>
      </c>
      <c r="M6141" s="3"/>
    </row>
    <row r="6142" spans="1:14" x14ac:dyDescent="0.25">
      <c r="A6142" s="46"/>
      <c r="B6142" s="46"/>
      <c r="C6142" s="46"/>
      <c r="D6142" s="47"/>
      <c r="E6142" s="51" t="s">
        <v>4031</v>
      </c>
      <c r="F6142" s="52"/>
      <c r="G6142" s="52"/>
      <c r="H6142" s="51"/>
      <c r="I6142" s="53"/>
      <c r="J6142" s="53"/>
      <c r="K6142" s="54"/>
      <c r="L6142" s="53">
        <f>SUM(J6119:J6130)</f>
        <v>0</v>
      </c>
      <c r="M6142" s="3"/>
    </row>
    <row r="6143" spans="1:14" x14ac:dyDescent="0.25">
      <c r="A6143" s="46"/>
      <c r="B6143" s="46"/>
      <c r="C6143" s="46"/>
      <c r="D6143" s="47"/>
      <c r="E6143" s="51" t="s">
        <v>2028</v>
      </c>
      <c r="F6143" s="52"/>
      <c r="G6143" s="52"/>
      <c r="H6143" s="51"/>
      <c r="I6143" s="53"/>
      <c r="J6143" s="53"/>
      <c r="K6143" s="54"/>
      <c r="L6143" s="53">
        <f>SUM(J6131)</f>
        <v>0</v>
      </c>
      <c r="M6143" s="3"/>
    </row>
    <row r="6144" spans="1:14" x14ac:dyDescent="0.25">
      <c r="A6144" s="46"/>
      <c r="B6144" s="46"/>
      <c r="C6144" s="46"/>
      <c r="D6144" s="47"/>
      <c r="E6144" s="51" t="s">
        <v>2646</v>
      </c>
      <c r="F6144" s="52"/>
      <c r="G6144" s="52"/>
      <c r="H6144" s="51"/>
      <c r="I6144" s="53"/>
      <c r="J6144" s="53"/>
      <c r="K6144" s="54"/>
      <c r="L6144" s="53">
        <f>SUM(J6132:J6134)</f>
        <v>0</v>
      </c>
      <c r="M6144" s="3"/>
    </row>
    <row r="6145" spans="1:14" x14ac:dyDescent="0.25">
      <c r="A6145" s="46"/>
      <c r="B6145" s="46"/>
      <c r="C6145" s="46"/>
      <c r="D6145" s="47"/>
      <c r="E6145" s="51" t="s">
        <v>2647</v>
      </c>
      <c r="F6145" s="52"/>
      <c r="G6145" s="52"/>
      <c r="H6145" s="51"/>
      <c r="I6145" s="53"/>
      <c r="J6145" s="53"/>
      <c r="K6145" s="54"/>
      <c r="L6145" s="53">
        <f>SUM(L6135:L6144)</f>
        <v>6934584.089999998</v>
      </c>
      <c r="M6145" s="3"/>
    </row>
    <row r="6146" spans="1:14" x14ac:dyDescent="0.25">
      <c r="A6146" s="46"/>
      <c r="B6146" s="46"/>
      <c r="C6146" s="46"/>
      <c r="D6146" s="47"/>
      <c r="E6146" s="50"/>
      <c r="F6146" s="48"/>
      <c r="G6146" s="48"/>
      <c r="H6146" s="46"/>
      <c r="I6146" s="45"/>
      <c r="J6146" s="45"/>
      <c r="K6146" s="49"/>
      <c r="L6146" s="45"/>
      <c r="M6146" s="3"/>
    </row>
    <row r="6147" spans="1:14" x14ac:dyDescent="0.25">
      <c r="A6147" s="46"/>
      <c r="B6147" s="46"/>
      <c r="C6147" s="46"/>
      <c r="D6147" s="47"/>
      <c r="E6147" s="51" t="s">
        <v>351</v>
      </c>
      <c r="F6147" s="52"/>
      <c r="G6147" s="52"/>
      <c r="H6147" s="51"/>
      <c r="I6147" s="53"/>
      <c r="J6147" s="53"/>
      <c r="K6147" s="54"/>
      <c r="L6147" s="53">
        <f>SUM(J5539:J5553)</f>
        <v>255141.87</v>
      </c>
      <c r="M6147" s="3"/>
    </row>
    <row r="6148" spans="1:14" x14ac:dyDescent="0.25">
      <c r="A6148" s="46"/>
      <c r="B6148" s="46"/>
      <c r="C6148" s="46"/>
      <c r="D6148" s="47"/>
      <c r="E6148" s="51" t="s">
        <v>2643</v>
      </c>
      <c r="F6148" s="52"/>
      <c r="G6148" s="52"/>
      <c r="H6148" s="51"/>
      <c r="I6148" s="53"/>
      <c r="J6148" s="53"/>
      <c r="K6148" s="54"/>
      <c r="L6148" s="53">
        <f>SUM(J5554:J5812)</f>
        <v>3788198.410000002</v>
      </c>
      <c r="M6148" s="3"/>
      <c r="N6148" s="3"/>
    </row>
    <row r="6149" spans="1:14" x14ac:dyDescent="0.25">
      <c r="A6149" s="46"/>
      <c r="B6149" s="46"/>
      <c r="C6149" s="46"/>
      <c r="D6149" s="47"/>
      <c r="E6149" s="51" t="s">
        <v>786</v>
      </c>
      <c r="F6149" s="52"/>
      <c r="G6149" s="52"/>
      <c r="H6149" s="51"/>
      <c r="I6149" s="53"/>
      <c r="J6149" s="53"/>
      <c r="K6149" s="54"/>
      <c r="L6149" s="53">
        <f>SUM(J5813:J5834)</f>
        <v>100785.23</v>
      </c>
      <c r="M6149" s="3"/>
      <c r="N6149" s="3"/>
    </row>
    <row r="6150" spans="1:14" x14ac:dyDescent="0.25">
      <c r="A6150" s="46"/>
      <c r="B6150" s="46"/>
      <c r="C6150" s="46"/>
      <c r="D6150" s="47"/>
      <c r="E6150" s="51" t="s">
        <v>3608</v>
      </c>
      <c r="F6150" s="52"/>
      <c r="G6150" s="52"/>
      <c r="H6150" s="51"/>
      <c r="I6150" s="53"/>
      <c r="J6150" s="53"/>
      <c r="K6150" s="54"/>
      <c r="L6150" s="53">
        <f>SUM(J5835+0.42)</f>
        <v>4565.42</v>
      </c>
      <c r="M6150" s="3"/>
      <c r="N6150" s="3"/>
    </row>
    <row r="6151" spans="1:14" x14ac:dyDescent="0.25">
      <c r="A6151" s="46"/>
      <c r="B6151" s="46"/>
      <c r="C6151" s="46"/>
      <c r="D6151" s="47"/>
      <c r="E6151" s="51" t="s">
        <v>352</v>
      </c>
      <c r="F6151" s="52"/>
      <c r="G6151" s="52"/>
      <c r="H6151" s="51"/>
      <c r="I6151" s="53"/>
      <c r="J6151" s="53"/>
      <c r="K6151" s="54"/>
      <c r="L6151" s="53">
        <f>SUM(J5836:J6105)</f>
        <v>6169315.8699999982</v>
      </c>
      <c r="M6151" s="3"/>
      <c r="N6151" s="3"/>
    </row>
    <row r="6152" spans="1:14" x14ac:dyDescent="0.25">
      <c r="A6152" s="46"/>
      <c r="B6152" s="46"/>
      <c r="C6152" s="46"/>
      <c r="D6152" s="47"/>
      <c r="E6152" s="51" t="s">
        <v>3609</v>
      </c>
      <c r="F6152" s="52"/>
      <c r="G6152" s="52"/>
      <c r="H6152" s="51"/>
      <c r="I6152" s="53"/>
      <c r="J6152" s="53"/>
      <c r="K6152" s="54"/>
      <c r="L6152" s="53">
        <f>SUM(J6106:J6120)</f>
        <v>148434.75000000003</v>
      </c>
      <c r="M6152" s="3"/>
      <c r="N6152" s="3"/>
    </row>
    <row r="6153" spans="1:14" x14ac:dyDescent="0.25">
      <c r="A6153" s="46"/>
      <c r="B6153" s="46"/>
      <c r="C6153" s="46"/>
      <c r="D6153" s="47"/>
      <c r="E6153" s="51" t="s">
        <v>3610</v>
      </c>
      <c r="F6153" s="52"/>
      <c r="G6153" s="52"/>
      <c r="H6153" s="51"/>
      <c r="I6153" s="53"/>
      <c r="J6153" s="53"/>
      <c r="K6153" s="54"/>
      <c r="L6153" s="53">
        <f>SUM(J6121:J6139)</f>
        <v>0</v>
      </c>
      <c r="M6153" s="3"/>
    </row>
    <row r="6154" spans="1:14" x14ac:dyDescent="0.25">
      <c r="A6154" s="46"/>
      <c r="B6154" s="46"/>
      <c r="C6154" s="46"/>
      <c r="D6154" s="47"/>
      <c r="E6154" s="51" t="s">
        <v>2028</v>
      </c>
      <c r="F6154" s="52"/>
      <c r="G6154" s="52"/>
      <c r="H6154" s="51"/>
      <c r="I6154" s="53"/>
      <c r="J6154" s="53"/>
      <c r="K6154" s="54"/>
      <c r="L6154" s="53">
        <f>SUM(J6140:J6142)</f>
        <v>0</v>
      </c>
      <c r="M6154" s="3"/>
      <c r="N6154" s="3"/>
    </row>
    <row r="6155" spans="1:14" x14ac:dyDescent="0.25">
      <c r="A6155" s="46"/>
      <c r="B6155" s="46"/>
      <c r="C6155" s="46"/>
      <c r="D6155" s="47"/>
      <c r="E6155" s="51" t="s">
        <v>2646</v>
      </c>
      <c r="F6155" s="52"/>
      <c r="G6155" s="52"/>
      <c r="H6155" s="51"/>
      <c r="I6155" s="53"/>
      <c r="J6155" s="53"/>
      <c r="K6155" s="54"/>
      <c r="L6155" s="53">
        <f>SUM(J6143:J6146)</f>
        <v>0</v>
      </c>
      <c r="M6155" s="3"/>
    </row>
    <row r="6156" spans="1:14" x14ac:dyDescent="0.25">
      <c r="A6156" s="46"/>
      <c r="B6156" s="46"/>
      <c r="C6156" s="46"/>
      <c r="D6156" s="47"/>
      <c r="E6156" s="51" t="s">
        <v>3611</v>
      </c>
      <c r="F6156" s="52"/>
      <c r="G6156" s="52"/>
      <c r="H6156" s="51"/>
      <c r="I6156" s="53"/>
      <c r="J6156" s="53"/>
      <c r="K6156" s="54"/>
      <c r="L6156" s="53">
        <f>SUM(L6147:L6155)</f>
        <v>10466441.550000001</v>
      </c>
      <c r="M6156" s="3"/>
    </row>
    <row r="6157" spans="1:14" x14ac:dyDescent="0.25">
      <c r="A6157" s="46"/>
      <c r="B6157" s="46"/>
      <c r="C6157" s="46"/>
      <c r="D6157" s="47"/>
      <c r="E6157" s="50"/>
      <c r="F6157" s="48"/>
      <c r="G6157" s="48"/>
      <c r="H6157" s="46"/>
      <c r="I6157" s="45"/>
      <c r="J6157" s="45"/>
      <c r="K6157" s="49"/>
      <c r="L6157" s="45"/>
      <c r="M6157" s="3"/>
    </row>
    <row r="6158" spans="1:14" x14ac:dyDescent="0.25">
      <c r="A6158" s="46"/>
      <c r="B6158" s="46"/>
      <c r="C6158" s="46"/>
      <c r="D6158" s="47"/>
      <c r="E6158" s="51" t="s">
        <v>351</v>
      </c>
      <c r="F6158" s="52"/>
      <c r="G6158" s="52"/>
      <c r="H6158" s="51"/>
      <c r="I6158" s="53"/>
      <c r="J6158" s="53"/>
      <c r="K6158" s="54"/>
      <c r="L6158" s="53">
        <f>SUM(J5905:J5914)</f>
        <v>105902.45999999999</v>
      </c>
      <c r="M6158" s="3"/>
    </row>
    <row r="6159" spans="1:14" x14ac:dyDescent="0.25">
      <c r="A6159" s="46"/>
      <c r="B6159" s="46"/>
      <c r="C6159" s="46"/>
      <c r="D6159" s="47"/>
      <c r="E6159" s="51" t="s">
        <v>352</v>
      </c>
      <c r="F6159" s="52"/>
      <c r="G6159" s="52"/>
      <c r="H6159" s="51"/>
      <c r="I6159" s="53"/>
      <c r="J6159" s="53"/>
      <c r="K6159" s="54"/>
      <c r="L6159" s="53">
        <f>SUM(J5915:J6134)</f>
        <v>4606556.2100000009</v>
      </c>
      <c r="M6159" s="3"/>
    </row>
    <row r="6160" spans="1:14" x14ac:dyDescent="0.25">
      <c r="A6160" s="46"/>
      <c r="B6160" s="46"/>
      <c r="C6160" s="46"/>
      <c r="D6160" s="47"/>
      <c r="E6160" s="51" t="s">
        <v>4030</v>
      </c>
      <c r="F6160" s="52"/>
      <c r="G6160" s="52"/>
      <c r="H6160" s="51"/>
      <c r="I6160" s="53"/>
      <c r="J6160" s="53"/>
      <c r="K6160" s="54"/>
      <c r="L6160" s="53">
        <f>SUM(J6135:J6143)</f>
        <v>0</v>
      </c>
      <c r="M6160" s="3"/>
      <c r="N6160" s="3"/>
    </row>
    <row r="6161" spans="1:13" x14ac:dyDescent="0.25">
      <c r="A6161" s="46"/>
      <c r="B6161" s="46"/>
      <c r="C6161" s="46"/>
      <c r="D6161" s="47"/>
      <c r="E6161" s="51" t="s">
        <v>4031</v>
      </c>
      <c r="F6161" s="52"/>
      <c r="G6161" s="52"/>
      <c r="H6161" s="51"/>
      <c r="I6161" s="53"/>
      <c r="J6161" s="53"/>
      <c r="K6161" s="54"/>
      <c r="L6161" s="53">
        <f>SUM(J6144:J6155)</f>
        <v>0</v>
      </c>
      <c r="M6161" s="3"/>
    </row>
    <row r="6162" spans="1:13" x14ac:dyDescent="0.25">
      <c r="A6162" s="46"/>
      <c r="B6162" s="46"/>
      <c r="C6162" s="46"/>
      <c r="D6162" s="47"/>
      <c r="E6162" s="51" t="s">
        <v>2028</v>
      </c>
      <c r="F6162" s="52"/>
      <c r="G6162" s="52"/>
      <c r="H6162" s="51"/>
      <c r="I6162" s="53"/>
      <c r="J6162" s="53"/>
      <c r="K6162" s="54"/>
      <c r="L6162" s="60">
        <f>SUM(J6156)</f>
        <v>0</v>
      </c>
      <c r="M6162" s="3"/>
    </row>
    <row r="6163" spans="1:13" x14ac:dyDescent="0.25">
      <c r="A6163" s="46"/>
      <c r="B6163" s="46"/>
      <c r="C6163" s="46"/>
      <c r="D6163" s="47"/>
      <c r="E6163" s="51" t="s">
        <v>2646</v>
      </c>
      <c r="F6163" s="52"/>
      <c r="G6163" s="52"/>
      <c r="H6163" s="51"/>
      <c r="I6163" s="53"/>
      <c r="J6163" s="53"/>
      <c r="K6163" s="54"/>
      <c r="L6163" s="53">
        <f>SUM(J6157)</f>
        <v>0</v>
      </c>
      <c r="M6163" s="3"/>
    </row>
    <row r="6164" spans="1:13" x14ac:dyDescent="0.25">
      <c r="A6164" s="46"/>
      <c r="B6164" s="46"/>
      <c r="C6164" s="46"/>
      <c r="D6164" s="47"/>
      <c r="E6164" s="51" t="s">
        <v>4032</v>
      </c>
      <c r="F6164" s="52"/>
      <c r="G6164" s="52"/>
      <c r="H6164" s="51"/>
      <c r="I6164" s="53"/>
      <c r="J6164" s="53"/>
      <c r="K6164" s="54"/>
      <c r="L6164" s="53">
        <f>SUM(L6158:L6163)</f>
        <v>4712458.6700000009</v>
      </c>
      <c r="M6164" s="3"/>
    </row>
    <row r="6165" spans="1:13" x14ac:dyDescent="0.25">
      <c r="A6165" s="46"/>
      <c r="B6165" s="46"/>
      <c r="C6165" s="46"/>
      <c r="D6165" s="47"/>
      <c r="E6165" s="46"/>
      <c r="F6165" s="48"/>
      <c r="G6165" s="48"/>
      <c r="H6165" s="46"/>
      <c r="I6165" s="45"/>
      <c r="J6165" s="45"/>
      <c r="K6165" s="49"/>
      <c r="L6165" s="45"/>
      <c r="M6165" s="3"/>
    </row>
    <row r="6166" spans="1:13" x14ac:dyDescent="0.25">
      <c r="A6166" s="46"/>
      <c r="B6166" s="46"/>
      <c r="C6166" s="46"/>
      <c r="D6166" s="47"/>
      <c r="E6166" s="51" t="s">
        <v>351</v>
      </c>
      <c r="F6166" s="52"/>
      <c r="G6166" s="52"/>
      <c r="H6166" s="51"/>
      <c r="I6166" s="53"/>
      <c r="J6166" s="53"/>
      <c r="K6166" s="54"/>
      <c r="L6166" s="53">
        <f>SUM(J6006:J6014)</f>
        <v>62046.51</v>
      </c>
      <c r="M6166" s="3"/>
    </row>
    <row r="6167" spans="1:13" x14ac:dyDescent="0.25">
      <c r="A6167" s="46"/>
      <c r="B6167" s="46"/>
      <c r="C6167" s="46"/>
      <c r="D6167" s="47"/>
      <c r="E6167" s="51" t="s">
        <v>2643</v>
      </c>
      <c r="F6167" s="52"/>
      <c r="G6167" s="52"/>
      <c r="H6167" s="51"/>
      <c r="I6167" s="53"/>
      <c r="J6167" s="53"/>
      <c r="K6167" s="54"/>
      <c r="L6167" s="53">
        <f>SUM(J6015:J6016)</f>
        <v>42703.4</v>
      </c>
      <c r="M6167" s="3"/>
    </row>
    <row r="6168" spans="1:13" x14ac:dyDescent="0.25">
      <c r="A6168" s="46"/>
      <c r="B6168" s="46"/>
      <c r="C6168" s="46"/>
      <c r="D6168" s="47"/>
      <c r="E6168" s="51" t="s">
        <v>786</v>
      </c>
      <c r="F6168" s="52"/>
      <c r="G6168" s="52"/>
      <c r="H6168" s="51"/>
      <c r="I6168" s="53"/>
      <c r="J6168" s="53"/>
      <c r="K6168" s="54"/>
      <c r="L6168" s="53">
        <f>SUM(J6017:J6019)</f>
        <v>2600.64</v>
      </c>
      <c r="M6168" s="3"/>
    </row>
    <row r="6169" spans="1:13" x14ac:dyDescent="0.25">
      <c r="A6169" s="46"/>
      <c r="B6169" s="46"/>
      <c r="C6169" s="46"/>
      <c r="D6169" s="47"/>
      <c r="E6169" s="51" t="s">
        <v>352</v>
      </c>
      <c r="F6169" s="52"/>
      <c r="G6169" s="52"/>
      <c r="H6169" s="51"/>
      <c r="I6169" s="53"/>
      <c r="J6169" s="53"/>
      <c r="K6169" s="54"/>
      <c r="L6169" s="53">
        <f>SUM(J6020:J6163)</f>
        <v>2205344.6099999994</v>
      </c>
      <c r="M6169" s="3"/>
    </row>
    <row r="6170" spans="1:13" x14ac:dyDescent="0.25">
      <c r="A6170" s="46"/>
      <c r="B6170" s="46"/>
      <c r="C6170" s="46"/>
      <c r="D6170" s="47"/>
      <c r="E6170" s="51" t="s">
        <v>2028</v>
      </c>
      <c r="F6170" s="52"/>
      <c r="G6170" s="52"/>
      <c r="H6170" s="51"/>
      <c r="I6170" s="53"/>
      <c r="J6170" s="53"/>
      <c r="K6170" s="54"/>
      <c r="L6170" s="53">
        <f>SUM(J6164:J6165)</f>
        <v>0</v>
      </c>
      <c r="M6170" s="3"/>
    </row>
    <row r="6171" spans="1:13" x14ac:dyDescent="0.25">
      <c r="A6171" s="46"/>
      <c r="B6171" s="46"/>
      <c r="C6171" s="46"/>
      <c r="D6171" s="47"/>
      <c r="E6171" s="51" t="s">
        <v>4315</v>
      </c>
      <c r="F6171" s="52"/>
      <c r="G6171" s="52"/>
      <c r="H6171" s="51"/>
      <c r="I6171" s="53"/>
      <c r="J6171" s="53"/>
      <c r="K6171" s="54"/>
      <c r="L6171" s="53">
        <f>SUM(L6166:L6170)</f>
        <v>2312695.1599999992</v>
      </c>
      <c r="M6171" s="3"/>
    </row>
    <row r="6172" spans="1:13" x14ac:dyDescent="0.25">
      <c r="A6172" s="46"/>
      <c r="B6172" s="46"/>
      <c r="C6172" s="46"/>
      <c r="D6172" s="47"/>
      <c r="E6172" s="46"/>
      <c r="F6172" s="46"/>
      <c r="G6172" s="46"/>
      <c r="H6172" s="46"/>
      <c r="I6172" s="45"/>
      <c r="J6172" s="45"/>
      <c r="K6172" s="49"/>
      <c r="L6172" s="46"/>
    </row>
    <row r="6173" spans="1:13" x14ac:dyDescent="0.25">
      <c r="A6173" s="46"/>
      <c r="B6173" s="46"/>
      <c r="C6173" s="46"/>
      <c r="D6173" s="47"/>
      <c r="E6173" s="51" t="s">
        <v>2642</v>
      </c>
      <c r="F6173" s="52"/>
      <c r="G6173" s="52"/>
      <c r="H6173" s="51"/>
      <c r="I6173" s="53"/>
      <c r="J6173" s="53"/>
      <c r="K6173" s="54"/>
      <c r="L6173" s="53">
        <f>SUM(J5978+J5979)</f>
        <v>2197.6</v>
      </c>
      <c r="M6173" s="3"/>
    </row>
    <row r="6174" spans="1:13" x14ac:dyDescent="0.25">
      <c r="A6174" s="46"/>
      <c r="B6174" s="46"/>
      <c r="C6174" s="46"/>
      <c r="D6174" s="47"/>
      <c r="E6174" s="51" t="s">
        <v>351</v>
      </c>
      <c r="F6174" s="52"/>
      <c r="G6174" s="52"/>
      <c r="H6174" s="51"/>
      <c r="I6174" s="53"/>
      <c r="J6174" s="53"/>
      <c r="K6174" s="54"/>
      <c r="L6174" s="60">
        <f>SUM(J5980:J6002)</f>
        <v>78558.959999999992</v>
      </c>
      <c r="M6174" s="3"/>
    </row>
    <row r="6175" spans="1:13" x14ac:dyDescent="0.25">
      <c r="A6175" s="46"/>
      <c r="B6175" s="46"/>
      <c r="C6175" s="46"/>
      <c r="D6175" s="47"/>
      <c r="E6175" s="51" t="s">
        <v>786</v>
      </c>
      <c r="F6175" s="52"/>
      <c r="G6175" s="52"/>
      <c r="H6175" s="51"/>
      <c r="I6175" s="53"/>
      <c r="J6175" s="53"/>
      <c r="K6175" s="54"/>
      <c r="L6175" s="53">
        <f>SUM(J6003:J6004)</f>
        <v>13753.87</v>
      </c>
      <c r="M6175" s="3"/>
    </row>
    <row r="6176" spans="1:13" x14ac:dyDescent="0.25">
      <c r="A6176" s="46"/>
      <c r="B6176" s="46"/>
      <c r="C6176" s="46"/>
      <c r="D6176" s="47"/>
      <c r="E6176" s="51" t="s">
        <v>352</v>
      </c>
      <c r="F6176" s="52"/>
      <c r="G6176" s="52"/>
      <c r="H6176" s="51"/>
      <c r="I6176" s="53"/>
      <c r="J6176" s="53"/>
      <c r="K6176" s="54"/>
      <c r="L6176" s="53">
        <f>SUM(J6005:J6171)</f>
        <v>2315547.8099999991</v>
      </c>
      <c r="M6176" s="3"/>
    </row>
    <row r="6177" spans="1:60" x14ac:dyDescent="0.25">
      <c r="A6177" s="46"/>
      <c r="B6177" s="46"/>
      <c r="C6177" s="46"/>
      <c r="D6177" s="47"/>
      <c r="E6177" s="51" t="s">
        <v>2646</v>
      </c>
      <c r="F6177" s="52"/>
      <c r="G6177" s="52"/>
      <c r="H6177" s="51"/>
      <c r="I6177" s="53"/>
      <c r="J6177" s="53"/>
      <c r="K6177" s="54"/>
      <c r="L6177" s="53">
        <f>SUM(J6172)</f>
        <v>0</v>
      </c>
      <c r="M6177" s="3"/>
    </row>
    <row r="6178" spans="1:60" x14ac:dyDescent="0.25">
      <c r="A6178" s="46"/>
      <c r="B6178" s="46"/>
      <c r="C6178" s="46"/>
      <c r="D6178" s="47"/>
      <c r="E6178" s="51" t="s">
        <v>4664</v>
      </c>
      <c r="F6178" s="52"/>
      <c r="G6178" s="52"/>
      <c r="H6178" s="51"/>
      <c r="I6178" s="53"/>
      <c r="J6178" s="53"/>
      <c r="K6178" s="54"/>
      <c r="L6178" s="53">
        <f>SUM(L6173:L6177)</f>
        <v>2410058.2399999993</v>
      </c>
      <c r="M6178" s="3"/>
    </row>
    <row r="6179" spans="1:60" x14ac:dyDescent="0.25">
      <c r="A6179" s="46"/>
      <c r="B6179" s="46"/>
      <c r="C6179" s="46"/>
      <c r="D6179" s="47"/>
      <c r="E6179" s="46"/>
      <c r="F6179" s="48"/>
      <c r="G6179" s="48"/>
      <c r="H6179" s="46"/>
      <c r="I6179" s="45"/>
      <c r="J6179" s="45"/>
      <c r="K6179" s="49"/>
      <c r="L6179" s="45"/>
      <c r="M6179" s="3"/>
    </row>
    <row r="6180" spans="1:60" x14ac:dyDescent="0.25">
      <c r="A6180" s="56"/>
      <c r="B6180" s="56"/>
      <c r="C6180" s="46"/>
      <c r="D6180" s="57"/>
      <c r="E6180" s="71" t="s">
        <v>351</v>
      </c>
      <c r="F6180" s="72"/>
      <c r="G6180" s="72"/>
      <c r="H6180" s="51"/>
      <c r="I6180" s="73"/>
      <c r="J6180" s="73"/>
      <c r="K6180" s="74"/>
      <c r="L6180" s="53">
        <f>SUM(J5966:J5982)</f>
        <v>28307.67</v>
      </c>
      <c r="M6180" s="12"/>
      <c r="N6180" s="9"/>
      <c r="O6180" s="9"/>
      <c r="P6180" s="9"/>
      <c r="Q6180" s="9"/>
      <c r="R6180" s="9"/>
      <c r="S6180" s="9"/>
      <c r="T6180" s="9"/>
      <c r="U6180" s="9"/>
      <c r="V6180" s="9"/>
      <c r="W6180" s="9"/>
      <c r="X6180" s="9"/>
      <c r="Y6180" s="9"/>
      <c r="Z6180" s="9"/>
      <c r="AA6180" s="9"/>
      <c r="AB6180" s="9"/>
      <c r="AC6180" s="9"/>
      <c r="AD6180" s="9"/>
      <c r="AE6180" s="9"/>
      <c r="AF6180" s="9"/>
      <c r="AG6180" s="9"/>
      <c r="AH6180" s="9"/>
      <c r="AI6180" s="9"/>
      <c r="AJ6180" s="9"/>
      <c r="AK6180" s="9"/>
      <c r="AL6180" s="9"/>
      <c r="AM6180" s="9"/>
      <c r="AN6180" s="9"/>
      <c r="AO6180" s="9"/>
      <c r="AP6180" s="9"/>
      <c r="AQ6180" s="9"/>
      <c r="AR6180" s="9"/>
      <c r="AS6180" s="9"/>
      <c r="AT6180" s="9"/>
      <c r="AU6180" s="9"/>
      <c r="AV6180" s="9"/>
      <c r="AW6180" s="9"/>
      <c r="AX6180" s="9"/>
      <c r="AY6180" s="9"/>
      <c r="AZ6180" s="9"/>
      <c r="BA6180" s="9"/>
      <c r="BB6180" s="9"/>
      <c r="BC6180" s="9"/>
      <c r="BD6180" s="9"/>
      <c r="BE6180" s="9"/>
      <c r="BF6180" s="9"/>
      <c r="BG6180" s="9"/>
      <c r="BH6180" s="9"/>
    </row>
    <row r="6181" spans="1:60" x14ac:dyDescent="0.25">
      <c r="A6181" s="56"/>
      <c r="B6181" s="56"/>
      <c r="C6181" s="46"/>
      <c r="D6181" s="57"/>
      <c r="E6181" s="71" t="s">
        <v>2643</v>
      </c>
      <c r="F6181" s="72"/>
      <c r="G6181" s="72"/>
      <c r="H6181" s="51"/>
      <c r="I6181" s="73"/>
      <c r="J6181" s="73"/>
      <c r="K6181" s="74"/>
      <c r="L6181" s="53">
        <f>SUM(J5983:J6018)</f>
        <v>198919.98</v>
      </c>
      <c r="M6181" s="12"/>
      <c r="N6181" s="9"/>
      <c r="O6181" s="9"/>
      <c r="P6181" s="9"/>
      <c r="Q6181" s="9"/>
      <c r="R6181" s="9"/>
      <c r="S6181" s="9"/>
      <c r="T6181" s="9"/>
      <c r="U6181" s="9"/>
      <c r="V6181" s="9"/>
      <c r="W6181" s="9"/>
      <c r="X6181" s="9"/>
      <c r="Y6181" s="9"/>
      <c r="Z6181" s="9"/>
      <c r="AA6181" s="9"/>
      <c r="AB6181" s="9"/>
      <c r="AC6181" s="9"/>
      <c r="AD6181" s="9"/>
      <c r="AE6181" s="9"/>
      <c r="AF6181" s="9"/>
      <c r="AG6181" s="9"/>
      <c r="AH6181" s="9"/>
      <c r="AI6181" s="9"/>
      <c r="AJ6181" s="9"/>
      <c r="AK6181" s="9"/>
      <c r="AL6181" s="9"/>
      <c r="AM6181" s="9"/>
      <c r="AN6181" s="9"/>
      <c r="AO6181" s="9"/>
      <c r="AP6181" s="9"/>
      <c r="AQ6181" s="9"/>
      <c r="AR6181" s="9"/>
      <c r="AS6181" s="9"/>
      <c r="AT6181" s="9"/>
      <c r="AU6181" s="9"/>
      <c r="AV6181" s="9"/>
      <c r="AW6181" s="9"/>
      <c r="AX6181" s="9"/>
      <c r="AY6181" s="9"/>
      <c r="AZ6181" s="9"/>
      <c r="BA6181" s="9"/>
      <c r="BB6181" s="9"/>
      <c r="BC6181" s="9"/>
      <c r="BD6181" s="9"/>
      <c r="BE6181" s="9"/>
      <c r="BF6181" s="9"/>
      <c r="BG6181" s="9"/>
      <c r="BH6181" s="9"/>
    </row>
    <row r="6182" spans="1:60" x14ac:dyDescent="0.25">
      <c r="A6182" s="56"/>
      <c r="B6182" s="56"/>
      <c r="C6182" s="46"/>
      <c r="D6182" s="57"/>
      <c r="E6182" s="71" t="s">
        <v>786</v>
      </c>
      <c r="F6182" s="72"/>
      <c r="G6182" s="72"/>
      <c r="H6182" s="51"/>
      <c r="I6182" s="73"/>
      <c r="J6182" s="73"/>
      <c r="K6182" s="74"/>
      <c r="L6182" s="53">
        <f>SUM(J6019:J6028)</f>
        <v>290420.7</v>
      </c>
      <c r="M6182" s="12"/>
      <c r="N6182" s="9"/>
      <c r="O6182" s="9"/>
      <c r="P6182" s="9"/>
      <c r="Q6182" s="9"/>
      <c r="R6182" s="9"/>
      <c r="S6182" s="9"/>
      <c r="T6182" s="9"/>
      <c r="U6182" s="9"/>
      <c r="V6182" s="9"/>
      <c r="W6182" s="9"/>
      <c r="X6182" s="9"/>
      <c r="Y6182" s="9"/>
      <c r="Z6182" s="9"/>
      <c r="AA6182" s="9"/>
      <c r="AB6182" s="9"/>
      <c r="AC6182" s="9"/>
      <c r="AD6182" s="9"/>
      <c r="AE6182" s="9"/>
      <c r="AF6182" s="9"/>
      <c r="AG6182" s="9"/>
      <c r="AH6182" s="9"/>
      <c r="AI6182" s="9"/>
      <c r="AJ6182" s="9"/>
      <c r="AK6182" s="9"/>
      <c r="AL6182" s="9"/>
      <c r="AM6182" s="9"/>
      <c r="AN6182" s="9"/>
      <c r="AO6182" s="9"/>
      <c r="AP6182" s="9"/>
      <c r="AQ6182" s="9"/>
      <c r="AR6182" s="9"/>
      <c r="AS6182" s="9"/>
      <c r="AT6182" s="9"/>
      <c r="AU6182" s="9"/>
      <c r="AV6182" s="9"/>
      <c r="AW6182" s="9"/>
      <c r="AX6182" s="9"/>
      <c r="AY6182" s="9"/>
      <c r="AZ6182" s="9"/>
      <c r="BA6182" s="9"/>
      <c r="BB6182" s="9"/>
      <c r="BC6182" s="9"/>
      <c r="BD6182" s="9"/>
      <c r="BE6182" s="9"/>
      <c r="BF6182" s="9"/>
      <c r="BG6182" s="9"/>
      <c r="BH6182" s="9"/>
    </row>
    <row r="6183" spans="1:60" x14ac:dyDescent="0.25">
      <c r="A6183" s="56"/>
      <c r="B6183" s="56"/>
      <c r="C6183" s="46"/>
      <c r="D6183" s="57"/>
      <c r="E6183" s="71" t="s">
        <v>352</v>
      </c>
      <c r="F6183" s="72"/>
      <c r="G6183" s="72"/>
      <c r="H6183" s="51"/>
      <c r="I6183" s="73"/>
      <c r="J6183" s="73"/>
      <c r="K6183" s="74"/>
      <c r="L6183" s="53">
        <f>SUM(J6029:J6172)</f>
        <v>1915704.9599999997</v>
      </c>
      <c r="M6183" s="12"/>
      <c r="N6183" s="9"/>
      <c r="O6183" s="9"/>
      <c r="P6183" s="9"/>
      <c r="Q6183" s="9"/>
      <c r="R6183" s="9"/>
      <c r="S6183" s="9"/>
      <c r="T6183" s="9"/>
      <c r="U6183" s="9"/>
      <c r="V6183" s="9"/>
      <c r="W6183" s="9"/>
      <c r="X6183" s="9"/>
      <c r="Y6183" s="9"/>
      <c r="Z6183" s="9"/>
      <c r="AA6183" s="9"/>
      <c r="AB6183" s="9"/>
      <c r="AC6183" s="9"/>
      <c r="AD6183" s="9"/>
      <c r="AE6183" s="9"/>
      <c r="AF6183" s="9"/>
      <c r="AG6183" s="9"/>
      <c r="AH6183" s="9"/>
      <c r="AI6183" s="9"/>
      <c r="AJ6183" s="9"/>
      <c r="AK6183" s="9"/>
      <c r="AL6183" s="9"/>
      <c r="AM6183" s="9"/>
      <c r="AN6183" s="9"/>
      <c r="AO6183" s="9"/>
      <c r="AP6183" s="9"/>
      <c r="AQ6183" s="9"/>
      <c r="AR6183" s="9"/>
      <c r="AS6183" s="9"/>
      <c r="AT6183" s="9"/>
      <c r="AU6183" s="9"/>
      <c r="AV6183" s="9"/>
      <c r="AW6183" s="9"/>
      <c r="AX6183" s="9"/>
      <c r="AY6183" s="9"/>
      <c r="AZ6183" s="9"/>
      <c r="BA6183" s="9"/>
      <c r="BB6183" s="9"/>
      <c r="BC6183" s="9"/>
      <c r="BD6183" s="9"/>
      <c r="BE6183" s="9"/>
      <c r="BF6183" s="9"/>
      <c r="BG6183" s="9"/>
      <c r="BH6183" s="9"/>
    </row>
    <row r="6184" spans="1:60" x14ac:dyDescent="0.25">
      <c r="A6184" s="56"/>
      <c r="B6184" s="56"/>
      <c r="C6184" s="46"/>
      <c r="D6184" s="57"/>
      <c r="E6184" s="71" t="s">
        <v>4030</v>
      </c>
      <c r="F6184" s="72"/>
      <c r="G6184" s="72"/>
      <c r="H6184" s="51"/>
      <c r="I6184" s="73"/>
      <c r="J6184" s="73"/>
      <c r="K6184" s="74"/>
      <c r="L6184" s="73">
        <f>SUM(J6173:J6175)</f>
        <v>0</v>
      </c>
      <c r="M6184" s="12"/>
      <c r="N6184" s="9"/>
      <c r="O6184" s="9"/>
      <c r="P6184" s="9"/>
      <c r="Q6184" s="9"/>
      <c r="R6184" s="9"/>
      <c r="S6184" s="9"/>
      <c r="T6184" s="9"/>
      <c r="U6184" s="9"/>
      <c r="V6184" s="9"/>
      <c r="W6184" s="9"/>
      <c r="X6184" s="9"/>
      <c r="Y6184" s="9"/>
      <c r="Z6184" s="9"/>
      <c r="AA6184" s="9"/>
      <c r="AB6184" s="9"/>
      <c r="AC6184" s="9"/>
      <c r="AD6184" s="9"/>
      <c r="AE6184" s="9"/>
      <c r="AF6184" s="9"/>
      <c r="AG6184" s="9"/>
      <c r="AH6184" s="9"/>
      <c r="AI6184" s="9"/>
      <c r="AJ6184" s="9"/>
      <c r="AK6184" s="9"/>
      <c r="AL6184" s="9"/>
      <c r="AM6184" s="9"/>
      <c r="AN6184" s="9"/>
      <c r="AO6184" s="9"/>
      <c r="AP6184" s="9"/>
      <c r="AQ6184" s="9"/>
      <c r="AR6184" s="9"/>
      <c r="AS6184" s="9"/>
      <c r="AT6184" s="9"/>
      <c r="AU6184" s="9"/>
      <c r="AV6184" s="9"/>
      <c r="AW6184" s="9"/>
      <c r="AX6184" s="9"/>
      <c r="AY6184" s="9"/>
      <c r="AZ6184" s="9"/>
      <c r="BA6184" s="9"/>
      <c r="BB6184" s="9"/>
      <c r="BC6184" s="9"/>
      <c r="BD6184" s="9"/>
      <c r="BE6184" s="9"/>
      <c r="BF6184" s="9"/>
      <c r="BG6184" s="9"/>
      <c r="BH6184" s="9"/>
    </row>
    <row r="6185" spans="1:60" x14ac:dyDescent="0.25">
      <c r="A6185" s="56"/>
      <c r="B6185" s="56"/>
      <c r="C6185" s="46"/>
      <c r="D6185" s="57"/>
      <c r="E6185" s="71" t="s">
        <v>4031</v>
      </c>
      <c r="F6185" s="72"/>
      <c r="G6185" s="72"/>
      <c r="H6185" s="51"/>
      <c r="I6185" s="73"/>
      <c r="J6185" s="73"/>
      <c r="K6185" s="74"/>
      <c r="L6185" s="73">
        <f>SUM(J6176:J6179)</f>
        <v>0</v>
      </c>
      <c r="M6185" s="12"/>
      <c r="N6185" s="9"/>
      <c r="O6185" s="9"/>
      <c r="P6185" s="9"/>
      <c r="Q6185" s="9"/>
      <c r="R6185" s="9"/>
      <c r="S6185" s="9"/>
      <c r="T6185" s="9"/>
      <c r="U6185" s="9"/>
      <c r="V6185" s="9"/>
      <c r="W6185" s="9"/>
      <c r="X6185" s="9"/>
      <c r="Y6185" s="9"/>
      <c r="Z6185" s="9"/>
      <c r="AA6185" s="9"/>
      <c r="AB6185" s="9"/>
      <c r="AC6185" s="9"/>
      <c r="AD6185" s="9"/>
      <c r="AE6185" s="9"/>
      <c r="AF6185" s="9"/>
      <c r="AG6185" s="9"/>
      <c r="AH6185" s="9"/>
      <c r="AI6185" s="9"/>
      <c r="AJ6185" s="9"/>
      <c r="AK6185" s="9"/>
      <c r="AL6185" s="9"/>
      <c r="AM6185" s="9"/>
      <c r="AN6185" s="9"/>
      <c r="AO6185" s="9"/>
      <c r="AP6185" s="9"/>
      <c r="AQ6185" s="9"/>
      <c r="AR6185" s="9"/>
      <c r="AS6185" s="9"/>
      <c r="AT6185" s="9"/>
      <c r="AU6185" s="9"/>
      <c r="AV6185" s="9"/>
      <c r="AW6185" s="9"/>
      <c r="AX6185" s="9"/>
      <c r="AY6185" s="9"/>
      <c r="AZ6185" s="9"/>
      <c r="BA6185" s="9"/>
      <c r="BB6185" s="9"/>
      <c r="BC6185" s="9"/>
      <c r="BD6185" s="9"/>
      <c r="BE6185" s="9"/>
      <c r="BF6185" s="9"/>
      <c r="BG6185" s="9"/>
      <c r="BH6185" s="9"/>
    </row>
    <row r="6186" spans="1:60" x14ac:dyDescent="0.25">
      <c r="A6186" s="56"/>
      <c r="B6186" s="56"/>
      <c r="C6186" s="46"/>
      <c r="D6186" s="57"/>
      <c r="E6186" s="71" t="s">
        <v>5015</v>
      </c>
      <c r="F6186" s="72"/>
      <c r="G6186" s="72"/>
      <c r="H6186" s="51"/>
      <c r="I6186" s="73"/>
      <c r="J6186" s="73"/>
      <c r="K6186" s="74"/>
      <c r="L6186" s="73">
        <f>SUM(L6180:L6185)</f>
        <v>2433353.3099999996</v>
      </c>
      <c r="M6186" s="12"/>
      <c r="N6186" s="9"/>
      <c r="O6186" s="9"/>
      <c r="P6186" s="9"/>
      <c r="Q6186" s="9"/>
      <c r="R6186" s="9"/>
      <c r="S6186" s="9"/>
      <c r="T6186" s="9"/>
      <c r="U6186" s="9"/>
      <c r="V6186" s="9"/>
      <c r="W6186" s="9"/>
      <c r="X6186" s="9"/>
      <c r="Y6186" s="9"/>
      <c r="Z6186" s="9"/>
      <c r="AA6186" s="9"/>
      <c r="AB6186" s="9"/>
      <c r="AC6186" s="9"/>
      <c r="AD6186" s="9"/>
      <c r="AE6186" s="9"/>
      <c r="AF6186" s="9"/>
      <c r="AG6186" s="9"/>
      <c r="AH6186" s="9"/>
      <c r="AI6186" s="9"/>
      <c r="AJ6186" s="9"/>
      <c r="AK6186" s="9"/>
      <c r="AL6186" s="9"/>
      <c r="AM6186" s="9"/>
      <c r="AN6186" s="9"/>
      <c r="AO6186" s="9"/>
      <c r="AP6186" s="9"/>
      <c r="AQ6186" s="9"/>
      <c r="AR6186" s="9"/>
      <c r="AS6186" s="9"/>
      <c r="AT6186" s="9"/>
      <c r="AU6186" s="9"/>
      <c r="AV6186" s="9"/>
      <c r="AW6186" s="9"/>
      <c r="AX6186" s="9"/>
      <c r="AY6186" s="9"/>
      <c r="AZ6186" s="9"/>
      <c r="BA6186" s="9"/>
      <c r="BB6186" s="9"/>
      <c r="BC6186" s="9"/>
      <c r="BD6186" s="9"/>
      <c r="BE6186" s="9"/>
      <c r="BF6186" s="9"/>
      <c r="BG6186" s="9"/>
      <c r="BH6186" s="9"/>
    </row>
    <row r="6187" spans="1:60" x14ac:dyDescent="0.25">
      <c r="A6187" s="56"/>
      <c r="B6187" s="56"/>
      <c r="C6187" s="46"/>
      <c r="D6187" s="57"/>
      <c r="E6187" s="68"/>
      <c r="F6187" s="58"/>
      <c r="G6187" s="58"/>
      <c r="H6187" s="56"/>
      <c r="I6187" s="55"/>
      <c r="J6187" s="55"/>
      <c r="K6187" s="69"/>
      <c r="L6187" s="55"/>
      <c r="M6187" s="12"/>
      <c r="N6187" s="9"/>
      <c r="O6187" s="9"/>
      <c r="P6187" s="9"/>
      <c r="Q6187" s="9"/>
      <c r="R6187" s="9"/>
      <c r="S6187" s="9"/>
      <c r="T6187" s="9"/>
      <c r="U6187" s="9"/>
      <c r="V6187" s="9"/>
      <c r="W6187" s="9"/>
      <c r="X6187" s="9"/>
      <c r="Y6187" s="9"/>
      <c r="Z6187" s="9"/>
      <c r="AA6187" s="9"/>
      <c r="AB6187" s="9"/>
      <c r="AC6187" s="9"/>
      <c r="AD6187" s="9"/>
      <c r="AE6187" s="9"/>
      <c r="AF6187" s="9"/>
      <c r="AG6187" s="9"/>
      <c r="AH6187" s="9"/>
      <c r="AI6187" s="9"/>
      <c r="AJ6187" s="9"/>
      <c r="AK6187" s="9"/>
      <c r="AL6187" s="9"/>
      <c r="AM6187" s="9"/>
      <c r="AN6187" s="9"/>
      <c r="AO6187" s="9"/>
      <c r="AP6187" s="9"/>
      <c r="AQ6187" s="9"/>
      <c r="AR6187" s="9"/>
      <c r="AS6187" s="9"/>
      <c r="AT6187" s="9"/>
      <c r="AU6187" s="9"/>
      <c r="AV6187" s="9"/>
      <c r="AW6187" s="9"/>
      <c r="AX6187" s="9"/>
      <c r="AY6187" s="9"/>
      <c r="AZ6187" s="9"/>
      <c r="BA6187" s="9"/>
      <c r="BB6187" s="9"/>
      <c r="BC6187" s="9"/>
      <c r="BD6187" s="9"/>
      <c r="BE6187" s="9"/>
      <c r="BF6187" s="9"/>
      <c r="BG6187" s="9"/>
      <c r="BH6187" s="9"/>
    </row>
    <row r="6188" spans="1:60" x14ac:dyDescent="0.25">
      <c r="A6188" s="46"/>
      <c r="B6188" s="46"/>
      <c r="C6188" s="46"/>
      <c r="D6188" s="47"/>
      <c r="E6188" s="51" t="s">
        <v>351</v>
      </c>
      <c r="F6188" s="52"/>
      <c r="G6188" s="52"/>
      <c r="H6188" s="51"/>
      <c r="I6188" s="53"/>
      <c r="J6188" s="53"/>
      <c r="K6188" s="54"/>
      <c r="L6188" s="53">
        <f>SUM(J5638:J5665)</f>
        <v>392861.77999999997</v>
      </c>
      <c r="M6188" s="3"/>
    </row>
    <row r="6189" spans="1:60" x14ac:dyDescent="0.25">
      <c r="A6189" s="46"/>
      <c r="B6189" s="46"/>
      <c r="C6189" s="46"/>
      <c r="D6189" s="47"/>
      <c r="E6189" s="51" t="s">
        <v>786</v>
      </c>
      <c r="F6189" s="52"/>
      <c r="G6189" s="52"/>
      <c r="H6189" s="51"/>
      <c r="I6189" s="53"/>
      <c r="J6189" s="53"/>
      <c r="K6189" s="54"/>
      <c r="L6189" s="53">
        <f>SUM(J5666)</f>
        <v>3823.53</v>
      </c>
      <c r="M6189" s="3"/>
    </row>
    <row r="6190" spans="1:60" x14ac:dyDescent="0.25">
      <c r="A6190" s="46"/>
      <c r="B6190" s="46"/>
      <c r="C6190" s="46"/>
      <c r="D6190" s="47"/>
      <c r="E6190" s="51" t="s">
        <v>352</v>
      </c>
      <c r="F6190" s="52"/>
      <c r="G6190" s="52"/>
      <c r="H6190" s="51"/>
      <c r="I6190" s="53"/>
      <c r="J6190" s="53"/>
      <c r="K6190" s="54"/>
      <c r="L6190" s="53">
        <f>SUM(J5667:J6187)</f>
        <v>7819503.9099999974</v>
      </c>
      <c r="M6190" s="3"/>
    </row>
    <row r="6191" spans="1:60" x14ac:dyDescent="0.25">
      <c r="A6191" s="46"/>
      <c r="B6191" s="46"/>
      <c r="C6191" s="46"/>
      <c r="D6191" s="47"/>
      <c r="E6191" s="51" t="s">
        <v>5812</v>
      </c>
      <c r="F6191" s="52"/>
      <c r="G6191" s="52"/>
      <c r="H6191" s="51"/>
      <c r="I6191" s="53"/>
      <c r="J6191" s="53"/>
      <c r="K6191" s="54"/>
      <c r="L6191" s="53">
        <f>SUM(L6188:L6190)</f>
        <v>8216189.2199999969</v>
      </c>
      <c r="M6191" s="3"/>
    </row>
    <row r="6192" spans="1:60" x14ac:dyDescent="0.25">
      <c r="A6192" s="46"/>
      <c r="B6192" s="46"/>
      <c r="C6192" s="46"/>
      <c r="D6192" s="47"/>
      <c r="E6192" s="46"/>
      <c r="F6192" s="48"/>
      <c r="G6192" s="48"/>
      <c r="H6192" s="46"/>
      <c r="I6192" s="45"/>
      <c r="J6192" s="45"/>
      <c r="K6192" s="49"/>
      <c r="L6192" s="45"/>
      <c r="M6192" s="3"/>
    </row>
    <row r="6193" spans="1:14" ht="51" x14ac:dyDescent="0.25">
      <c r="A6193" s="75" t="s">
        <v>11473</v>
      </c>
      <c r="B6193" s="46"/>
      <c r="C6193" s="46"/>
      <c r="D6193" s="76">
        <v>12941</v>
      </c>
      <c r="E6193" s="77" t="s">
        <v>11616</v>
      </c>
      <c r="F6193" s="78">
        <v>40544</v>
      </c>
      <c r="G6193" s="78">
        <v>41274</v>
      </c>
      <c r="H6193" s="46" t="s">
        <v>2032</v>
      </c>
      <c r="I6193" s="79">
        <v>100126.26</v>
      </c>
      <c r="J6193" s="79">
        <v>100126.26</v>
      </c>
      <c r="K6193" s="49" t="s">
        <v>5815</v>
      </c>
      <c r="L6193" s="46"/>
    </row>
    <row r="6194" spans="1:14" x14ac:dyDescent="0.25">
      <c r="A6194" s="46"/>
      <c r="B6194" s="46"/>
      <c r="C6194" s="46"/>
      <c r="D6194" s="47"/>
      <c r="E6194" s="51" t="s">
        <v>2642</v>
      </c>
      <c r="F6194" s="52"/>
      <c r="G6194" s="52"/>
      <c r="H6194" s="51"/>
      <c r="I6194" s="53"/>
      <c r="J6194" s="53"/>
      <c r="K6194" s="54"/>
      <c r="L6194" s="53">
        <f>SUM(J5976:J5977)</f>
        <v>13409.95</v>
      </c>
      <c r="M6194" s="3"/>
    </row>
    <row r="6195" spans="1:14" x14ac:dyDescent="0.25">
      <c r="A6195" s="46"/>
      <c r="B6195" s="46"/>
      <c r="C6195" s="46"/>
      <c r="D6195" s="47"/>
      <c r="E6195" s="51" t="s">
        <v>2643</v>
      </c>
      <c r="F6195" s="52"/>
      <c r="G6195" s="52"/>
      <c r="H6195" s="51"/>
      <c r="I6195" s="53"/>
      <c r="J6195" s="53"/>
      <c r="K6195" s="54"/>
      <c r="L6195" s="53">
        <f>SUM(J5978:J6022)</f>
        <v>234959.12999999998</v>
      </c>
      <c r="M6195" s="3"/>
      <c r="N6195" s="3"/>
    </row>
    <row r="6196" spans="1:14" x14ac:dyDescent="0.25">
      <c r="A6196" s="46"/>
      <c r="B6196" s="46"/>
      <c r="C6196" s="46"/>
      <c r="D6196" s="47"/>
      <c r="E6196" s="51" t="s">
        <v>786</v>
      </c>
      <c r="F6196" s="52"/>
      <c r="G6196" s="52"/>
      <c r="H6196" s="51"/>
      <c r="I6196" s="53"/>
      <c r="J6196" s="53"/>
      <c r="K6196" s="54"/>
      <c r="L6196" s="53">
        <f>SUM(J6023)</f>
        <v>13863.65</v>
      </c>
      <c r="M6196" s="3"/>
    </row>
    <row r="6197" spans="1:14" x14ac:dyDescent="0.25">
      <c r="A6197" s="46"/>
      <c r="B6197" s="46"/>
      <c r="C6197" s="46"/>
      <c r="D6197" s="47"/>
      <c r="E6197" s="51" t="s">
        <v>3608</v>
      </c>
      <c r="F6197" s="52"/>
      <c r="G6197" s="52"/>
      <c r="H6197" s="51"/>
      <c r="I6197" s="53"/>
      <c r="J6197" s="53"/>
      <c r="K6197" s="54"/>
      <c r="L6197" s="53">
        <f>SUM(J6024)</f>
        <v>32604.28</v>
      </c>
      <c r="M6197" s="3"/>
    </row>
    <row r="6198" spans="1:14" x14ac:dyDescent="0.25">
      <c r="A6198" s="46"/>
      <c r="B6198" s="46"/>
      <c r="C6198" s="46"/>
      <c r="D6198" s="47"/>
      <c r="E6198" s="51" t="s">
        <v>6177</v>
      </c>
      <c r="F6198" s="52"/>
      <c r="G6198" s="52"/>
      <c r="H6198" s="51"/>
      <c r="I6198" s="53"/>
      <c r="J6198" s="53"/>
      <c r="K6198" s="54"/>
      <c r="L6198" s="53">
        <f>SUM(J6025)</f>
        <v>214.5</v>
      </c>
      <c r="M6198" s="3"/>
    </row>
    <row r="6199" spans="1:14" x14ac:dyDescent="0.25">
      <c r="A6199" s="46"/>
      <c r="B6199" s="46"/>
      <c r="C6199" s="46"/>
      <c r="D6199" s="47"/>
      <c r="E6199" s="51" t="s">
        <v>352</v>
      </c>
      <c r="F6199" s="52"/>
      <c r="G6199" s="52"/>
      <c r="H6199" s="51"/>
      <c r="I6199" s="53"/>
      <c r="J6199" s="53"/>
      <c r="K6199" s="54"/>
      <c r="L6199" s="53">
        <f>SUM(J6026:J6183)</f>
        <v>2128416.6799999992</v>
      </c>
      <c r="M6199" s="3"/>
      <c r="N6199" s="3"/>
    </row>
    <row r="6200" spans="1:14" x14ac:dyDescent="0.25">
      <c r="A6200" s="46"/>
      <c r="B6200" s="46"/>
      <c r="C6200" s="46"/>
      <c r="D6200" s="47"/>
      <c r="E6200" s="51" t="s">
        <v>2645</v>
      </c>
      <c r="F6200" s="52"/>
      <c r="G6200" s="52"/>
      <c r="H6200" s="51"/>
      <c r="I6200" s="53"/>
      <c r="J6200" s="53"/>
      <c r="K6200" s="54"/>
      <c r="L6200" s="73">
        <f>SUM(J6184:J6186)</f>
        <v>0</v>
      </c>
      <c r="M6200" s="3"/>
    </row>
    <row r="6201" spans="1:14" x14ac:dyDescent="0.25">
      <c r="A6201" s="46"/>
      <c r="B6201" s="46"/>
      <c r="C6201" s="46"/>
      <c r="D6201" s="47"/>
      <c r="E6201" s="51" t="s">
        <v>4031</v>
      </c>
      <c r="F6201" s="52"/>
      <c r="G6201" s="52"/>
      <c r="H6201" s="51"/>
      <c r="I6201" s="53"/>
      <c r="J6201" s="53"/>
      <c r="K6201" s="54"/>
      <c r="L6201" s="73">
        <f>SUM(J6187:J6190)</f>
        <v>0</v>
      </c>
      <c r="M6201" s="3"/>
    </row>
    <row r="6202" spans="1:14" x14ac:dyDescent="0.25">
      <c r="A6202" s="46"/>
      <c r="B6202" s="46"/>
      <c r="C6202" s="46"/>
      <c r="D6202" s="47"/>
      <c r="E6202" s="51" t="s">
        <v>2646</v>
      </c>
      <c r="F6202" s="52"/>
      <c r="G6202" s="52"/>
      <c r="H6202" s="51"/>
      <c r="I6202" s="53"/>
      <c r="J6202" s="53"/>
      <c r="K6202" s="54"/>
      <c r="L6202" s="53">
        <f>SUM(J6191:J6192)</f>
        <v>0</v>
      </c>
      <c r="M6202" s="3"/>
    </row>
    <row r="6203" spans="1:14" x14ac:dyDescent="0.25">
      <c r="A6203" s="46"/>
      <c r="B6203" s="46"/>
      <c r="C6203" s="46"/>
      <c r="D6203" s="47"/>
      <c r="E6203" s="51" t="s">
        <v>6178</v>
      </c>
      <c r="F6203" s="52"/>
      <c r="G6203" s="52"/>
      <c r="H6203" s="51"/>
      <c r="I6203" s="53"/>
      <c r="J6203" s="53"/>
      <c r="K6203" s="54"/>
      <c r="L6203" s="53">
        <f>SUM(J6193)</f>
        <v>100126.26</v>
      </c>
      <c r="M6203" s="3"/>
    </row>
    <row r="6204" spans="1:14" x14ac:dyDescent="0.25">
      <c r="A6204" s="46"/>
      <c r="B6204" s="46"/>
      <c r="C6204" s="46"/>
      <c r="D6204" s="47"/>
      <c r="E6204" s="51" t="s">
        <v>6179</v>
      </c>
      <c r="F6204" s="52"/>
      <c r="G6204" s="52"/>
      <c r="H6204" s="51"/>
      <c r="I6204" s="53"/>
      <c r="J6204" s="53"/>
      <c r="K6204" s="54"/>
      <c r="L6204" s="53">
        <f>SUM(L6194:L6203)</f>
        <v>2523594.4499999993</v>
      </c>
      <c r="M6204" s="3"/>
    </row>
    <row r="6205" spans="1:14" x14ac:dyDescent="0.25">
      <c r="A6205" s="46"/>
      <c r="B6205" s="46"/>
      <c r="C6205" s="46"/>
      <c r="D6205" s="47"/>
      <c r="E6205" s="46"/>
      <c r="F6205" s="48"/>
      <c r="G6205" s="48"/>
      <c r="H6205" s="46"/>
      <c r="I6205" s="45"/>
      <c r="J6205" s="45"/>
      <c r="K6205" s="49"/>
      <c r="L6205" s="45"/>
      <c r="M6205" s="3"/>
    </row>
    <row r="6206" spans="1:14" x14ac:dyDescent="0.25">
      <c r="A6206" s="46"/>
      <c r="B6206" s="46"/>
      <c r="C6206" s="46"/>
      <c r="D6206" s="47"/>
      <c r="E6206" s="51" t="s">
        <v>351</v>
      </c>
      <c r="F6206" s="51"/>
      <c r="G6206" s="52"/>
      <c r="H6206" s="51"/>
      <c r="I6206" s="53"/>
      <c r="J6206" s="53"/>
      <c r="K6206" s="54"/>
      <c r="L6206" s="53">
        <f>SUM(J5845:J5861)</f>
        <v>242088.27000000002</v>
      </c>
      <c r="M6206" s="3"/>
    </row>
    <row r="6207" spans="1:14" x14ac:dyDescent="0.25">
      <c r="A6207" s="46"/>
      <c r="B6207" s="46"/>
      <c r="C6207" s="46"/>
      <c r="D6207" s="47"/>
      <c r="E6207" s="51" t="s">
        <v>786</v>
      </c>
      <c r="F6207" s="51"/>
      <c r="G6207" s="52"/>
      <c r="H6207" s="51"/>
      <c r="I6207" s="53"/>
      <c r="J6207" s="53"/>
      <c r="K6207" s="54"/>
      <c r="L6207" s="53">
        <f>SUM(J5862:J5863)</f>
        <v>447469.18</v>
      </c>
      <c r="M6207" s="3"/>
    </row>
    <row r="6208" spans="1:14" x14ac:dyDescent="0.25">
      <c r="A6208" s="46"/>
      <c r="B6208" s="46"/>
      <c r="C6208" s="46"/>
      <c r="D6208" s="47"/>
      <c r="E6208" s="51" t="s">
        <v>352</v>
      </c>
      <c r="F6208" s="51"/>
      <c r="G6208" s="52"/>
      <c r="H6208" s="51"/>
      <c r="I6208" s="53"/>
      <c r="J6208" s="53"/>
      <c r="K6208" s="54"/>
      <c r="L6208" s="53">
        <f>SUM(J5864:J6205)</f>
        <v>5670636.0799999991</v>
      </c>
      <c r="M6208" s="3"/>
    </row>
    <row r="6209" spans="1:14" x14ac:dyDescent="0.25">
      <c r="A6209" s="46"/>
      <c r="B6209" s="46"/>
      <c r="C6209" s="46"/>
      <c r="D6209" s="47"/>
      <c r="E6209" s="51" t="s">
        <v>6717</v>
      </c>
      <c r="F6209" s="51"/>
      <c r="G6209" s="52"/>
      <c r="H6209" s="51"/>
      <c r="I6209" s="53"/>
      <c r="J6209" s="53"/>
      <c r="K6209" s="54"/>
      <c r="L6209" s="53">
        <f>SUM(L6206:L6208)</f>
        <v>6360193.5299999993</v>
      </c>
      <c r="M6209" s="3"/>
    </row>
    <row r="6210" spans="1:14" x14ac:dyDescent="0.25">
      <c r="A6210" s="46"/>
      <c r="B6210" s="46"/>
      <c r="C6210" s="46"/>
      <c r="D6210" s="47"/>
      <c r="E6210" s="46"/>
      <c r="F6210" s="46"/>
      <c r="G6210" s="48"/>
      <c r="H6210" s="46"/>
      <c r="I6210" s="45"/>
      <c r="J6210" s="45"/>
      <c r="K6210" s="49"/>
      <c r="L6210" s="45"/>
      <c r="M6210" s="3"/>
    </row>
    <row r="6211" spans="1:14" x14ac:dyDescent="0.25">
      <c r="A6211" s="46"/>
      <c r="B6211" s="46"/>
      <c r="C6211" s="46"/>
      <c r="D6211" s="47"/>
      <c r="E6211" s="51" t="s">
        <v>351</v>
      </c>
      <c r="F6211" s="52"/>
      <c r="G6211" s="52"/>
      <c r="H6211" s="51"/>
      <c r="I6211" s="53"/>
      <c r="J6211" s="53"/>
      <c r="K6211" s="54"/>
      <c r="L6211" s="53">
        <f>SUM(J5988:J5998)</f>
        <v>13847.2</v>
      </c>
      <c r="M6211" s="3"/>
    </row>
    <row r="6212" spans="1:14" x14ac:dyDescent="0.25">
      <c r="A6212" s="46"/>
      <c r="B6212" s="46"/>
      <c r="C6212" s="46"/>
      <c r="D6212" s="47"/>
      <c r="E6212" s="51" t="s">
        <v>786</v>
      </c>
      <c r="F6212" s="52"/>
      <c r="G6212" s="52"/>
      <c r="H6212" s="51"/>
      <c r="I6212" s="53"/>
      <c r="J6212" s="53"/>
      <c r="K6212" s="54"/>
      <c r="L6212" s="53">
        <f>SUM(J5999:J6003)</f>
        <v>51843.270000000004</v>
      </c>
      <c r="M6212" s="3"/>
    </row>
    <row r="6213" spans="1:14" x14ac:dyDescent="0.25">
      <c r="A6213" s="46"/>
      <c r="B6213" s="46"/>
      <c r="C6213" s="46"/>
      <c r="D6213" s="47"/>
      <c r="E6213" s="51" t="s">
        <v>352</v>
      </c>
      <c r="F6213" s="52"/>
      <c r="G6213" s="52"/>
      <c r="H6213" s="51"/>
      <c r="I6213" s="53"/>
      <c r="J6213" s="53"/>
      <c r="K6213" s="54"/>
      <c r="L6213" s="53">
        <f>SUM(J6004:J6209)</f>
        <v>2416855.169999999</v>
      </c>
      <c r="M6213" s="3"/>
    </row>
    <row r="6214" spans="1:14" x14ac:dyDescent="0.25">
      <c r="A6214" s="46"/>
      <c r="B6214" s="46"/>
      <c r="C6214" s="46"/>
      <c r="D6214" s="47"/>
      <c r="E6214" s="51" t="s">
        <v>2028</v>
      </c>
      <c r="F6214" s="52"/>
      <c r="G6214" s="52"/>
      <c r="H6214" s="51"/>
      <c r="I6214" s="53"/>
      <c r="J6214" s="53"/>
      <c r="K6214" s="54"/>
      <c r="L6214" s="53">
        <f>SUM(J6210)</f>
        <v>0</v>
      </c>
      <c r="M6214" s="3"/>
    </row>
    <row r="6215" spans="1:14" x14ac:dyDescent="0.25">
      <c r="A6215" s="46"/>
      <c r="B6215" s="46"/>
      <c r="C6215" s="46"/>
      <c r="D6215" s="47"/>
      <c r="E6215" s="51" t="s">
        <v>7099</v>
      </c>
      <c r="F6215" s="52"/>
      <c r="G6215" s="52"/>
      <c r="H6215" s="51"/>
      <c r="I6215" s="53"/>
      <c r="J6215" s="53"/>
      <c r="K6215" s="54"/>
      <c r="L6215" s="53">
        <f>SUM(L6211:L6214)</f>
        <v>2482545.6399999992</v>
      </c>
      <c r="M6215" s="3"/>
    </row>
    <row r="6216" spans="1:14" x14ac:dyDescent="0.25">
      <c r="A6216" s="46"/>
      <c r="B6216" s="46"/>
      <c r="C6216" s="46"/>
      <c r="D6216" s="47"/>
      <c r="E6216" s="46"/>
      <c r="F6216" s="48"/>
      <c r="G6216" s="48"/>
      <c r="H6216" s="46"/>
      <c r="I6216" s="45"/>
      <c r="J6216" s="45"/>
      <c r="K6216" s="49"/>
      <c r="L6216" s="45"/>
      <c r="M6216" s="3"/>
    </row>
    <row r="6217" spans="1:14" x14ac:dyDescent="0.25">
      <c r="A6217" s="46"/>
      <c r="B6217" s="46"/>
      <c r="C6217" s="46"/>
      <c r="D6217" s="47"/>
      <c r="E6217" s="51" t="s">
        <v>351</v>
      </c>
      <c r="F6217" s="52"/>
      <c r="G6217" s="52"/>
      <c r="H6217" s="51"/>
      <c r="I6217" s="53"/>
      <c r="J6217" s="53"/>
      <c r="K6217" s="54"/>
      <c r="L6217" s="53">
        <f>SUM(J6021:J6027)</f>
        <v>78832.209999999992</v>
      </c>
      <c r="M6217" s="3"/>
    </row>
    <row r="6218" spans="1:14" x14ac:dyDescent="0.25">
      <c r="A6218" s="46"/>
      <c r="B6218" s="46"/>
      <c r="C6218" s="46"/>
      <c r="D6218" s="47"/>
      <c r="E6218" s="51" t="s">
        <v>786</v>
      </c>
      <c r="F6218" s="52"/>
      <c r="G6218" s="52"/>
      <c r="H6218" s="51"/>
      <c r="I6218" s="53"/>
      <c r="J6218" s="53"/>
      <c r="K6218" s="54"/>
      <c r="L6218" s="53">
        <f>SUM(J6028)</f>
        <v>210206.19</v>
      </c>
      <c r="M6218" s="3"/>
    </row>
    <row r="6219" spans="1:14" x14ac:dyDescent="0.25">
      <c r="A6219" s="46"/>
      <c r="B6219" s="46"/>
      <c r="C6219" s="46"/>
      <c r="D6219" s="47"/>
      <c r="E6219" s="51" t="s">
        <v>352</v>
      </c>
      <c r="F6219" s="52"/>
      <c r="G6219" s="52"/>
      <c r="H6219" s="51"/>
      <c r="I6219" s="53"/>
      <c r="J6219" s="53"/>
      <c r="K6219" s="54"/>
      <c r="L6219" s="53">
        <f>SUM(J6029:J6215)</f>
        <v>2015831.2199999997</v>
      </c>
      <c r="M6219" s="3"/>
    </row>
    <row r="6220" spans="1:14" x14ac:dyDescent="0.25">
      <c r="A6220" s="46"/>
      <c r="B6220" s="46"/>
      <c r="C6220" s="46"/>
      <c r="D6220" s="47"/>
      <c r="E6220" s="51" t="s">
        <v>2028</v>
      </c>
      <c r="F6220" s="52"/>
      <c r="G6220" s="52"/>
      <c r="H6220" s="51"/>
      <c r="I6220" s="53"/>
      <c r="J6220" s="53"/>
      <c r="K6220" s="54"/>
      <c r="L6220" s="53">
        <f>SUM(J6216)</f>
        <v>0</v>
      </c>
      <c r="M6220" s="3"/>
    </row>
    <row r="6221" spans="1:14" x14ac:dyDescent="0.25">
      <c r="A6221" s="46"/>
      <c r="B6221" s="46"/>
      <c r="C6221" s="46"/>
      <c r="D6221" s="47"/>
      <c r="E6221" s="51" t="s">
        <v>7439</v>
      </c>
      <c r="F6221" s="52"/>
      <c r="G6221" s="52"/>
      <c r="H6221" s="51"/>
      <c r="I6221" s="53"/>
      <c r="J6221" s="53"/>
      <c r="K6221" s="54"/>
      <c r="L6221" s="53">
        <f>SUM(L6217:L6220)</f>
        <v>2304869.6199999996</v>
      </c>
      <c r="M6221" s="3"/>
    </row>
    <row r="6222" spans="1:14" x14ac:dyDescent="0.25">
      <c r="A6222" s="46"/>
      <c r="B6222" s="46"/>
      <c r="C6222" s="46"/>
      <c r="D6222" s="47"/>
      <c r="E6222" s="46"/>
      <c r="F6222" s="48"/>
      <c r="G6222" s="48"/>
      <c r="H6222" s="46"/>
      <c r="I6222" s="45"/>
      <c r="J6222" s="45"/>
      <c r="K6222" s="49"/>
      <c r="L6222" s="45"/>
      <c r="M6222" s="3"/>
    </row>
    <row r="6223" spans="1:14" x14ac:dyDescent="0.25">
      <c r="A6223" s="46"/>
      <c r="B6223" s="46"/>
      <c r="C6223" s="46"/>
      <c r="D6223" s="47"/>
      <c r="E6223" s="51" t="s">
        <v>2642</v>
      </c>
      <c r="F6223" s="52"/>
      <c r="G6223" s="52"/>
      <c r="H6223" s="51"/>
      <c r="I6223" s="53"/>
      <c r="J6223" s="53"/>
      <c r="K6223" s="54"/>
      <c r="L6223" s="53">
        <f>SUM(J5966)</f>
        <v>545.20000000000005</v>
      </c>
      <c r="M6223" s="3"/>
      <c r="N6223" s="3"/>
    </row>
    <row r="6224" spans="1:14" x14ac:dyDescent="0.25">
      <c r="A6224" s="46"/>
      <c r="B6224" s="46"/>
      <c r="C6224" s="46"/>
      <c r="D6224" s="47"/>
      <c r="E6224" s="51" t="s">
        <v>351</v>
      </c>
      <c r="F6224" s="52"/>
      <c r="G6224" s="52"/>
      <c r="H6224" s="51"/>
      <c r="I6224" s="53"/>
      <c r="J6224" s="53"/>
      <c r="K6224" s="54"/>
      <c r="L6224" s="53">
        <f>SUM(J5967:J5977)</f>
        <v>22749.87</v>
      </c>
      <c r="M6224" s="3"/>
      <c r="N6224" s="3"/>
    </row>
    <row r="6225" spans="1:14" x14ac:dyDescent="0.25">
      <c r="A6225" s="46"/>
      <c r="B6225" s="46"/>
      <c r="C6225" s="46"/>
      <c r="D6225" s="47"/>
      <c r="E6225" s="51" t="s">
        <v>2643</v>
      </c>
      <c r="F6225" s="52"/>
      <c r="G6225" s="52"/>
      <c r="H6225" s="51"/>
      <c r="I6225" s="53"/>
      <c r="J6225" s="53"/>
      <c r="K6225" s="54"/>
      <c r="L6225" s="53">
        <f>SUM(J5978:J5980)</f>
        <v>2717.6</v>
      </c>
      <c r="M6225" s="3"/>
      <c r="N6225" s="3"/>
    </row>
    <row r="6226" spans="1:14" x14ac:dyDescent="0.25">
      <c r="A6226" s="46"/>
      <c r="B6226" s="46"/>
      <c r="C6226" s="46"/>
      <c r="D6226" s="47"/>
      <c r="E6226" s="51" t="s">
        <v>786</v>
      </c>
      <c r="F6226" s="52"/>
      <c r="G6226" s="52"/>
      <c r="H6226" s="51"/>
      <c r="I6226" s="53"/>
      <c r="J6226" s="53"/>
      <c r="K6226" s="54"/>
      <c r="L6226" s="53">
        <f>SUM(J5981:J5989)</f>
        <v>26066.260000000002</v>
      </c>
      <c r="M6226" s="3"/>
      <c r="N6226" s="3"/>
    </row>
    <row r="6227" spans="1:14" x14ac:dyDescent="0.25">
      <c r="A6227" s="46"/>
      <c r="B6227" s="46"/>
      <c r="C6227" s="46"/>
      <c r="D6227" s="47"/>
      <c r="E6227" s="51" t="s">
        <v>352</v>
      </c>
      <c r="F6227" s="52"/>
      <c r="G6227" s="52"/>
      <c r="H6227" s="51"/>
      <c r="I6227" s="53"/>
      <c r="J6227" s="53"/>
      <c r="K6227" s="54"/>
      <c r="L6227" s="53">
        <f>SUM(J5990:J6218)</f>
        <v>2481400.6399999987</v>
      </c>
      <c r="M6227" s="3"/>
      <c r="N6227" s="3"/>
    </row>
    <row r="6228" spans="1:14" x14ac:dyDescent="0.25">
      <c r="A6228" s="46"/>
      <c r="B6228" s="46"/>
      <c r="C6228" s="46"/>
      <c r="D6228" s="47"/>
      <c r="E6228" s="51" t="s">
        <v>2028</v>
      </c>
      <c r="F6228" s="52"/>
      <c r="G6228" s="52"/>
      <c r="H6228" s="51"/>
      <c r="I6228" s="53"/>
      <c r="J6228" s="53"/>
      <c r="K6228" s="54"/>
      <c r="L6228" s="53">
        <f>SUM(J6219:J6220)</f>
        <v>0</v>
      </c>
      <c r="M6228" s="3"/>
      <c r="N6228" s="3"/>
    </row>
    <row r="6229" spans="1:14" x14ac:dyDescent="0.25">
      <c r="A6229" s="46"/>
      <c r="B6229" s="46"/>
      <c r="C6229" s="46"/>
      <c r="D6229" s="47"/>
      <c r="E6229" s="51" t="s">
        <v>4030</v>
      </c>
      <c r="F6229" s="52"/>
      <c r="G6229" s="52"/>
      <c r="H6229" s="51"/>
      <c r="I6229" s="53"/>
      <c r="J6229" s="53"/>
      <c r="K6229" s="54"/>
      <c r="L6229" s="73">
        <f>SUM(J6221)</f>
        <v>0</v>
      </c>
      <c r="M6229" s="3"/>
      <c r="N6229" s="3"/>
    </row>
    <row r="6230" spans="1:14" x14ac:dyDescent="0.25">
      <c r="A6230" s="46"/>
      <c r="B6230" s="46"/>
      <c r="C6230" s="46"/>
      <c r="D6230" s="47"/>
      <c r="E6230" s="51" t="s">
        <v>2646</v>
      </c>
      <c r="F6230" s="52"/>
      <c r="G6230" s="52"/>
      <c r="H6230" s="51"/>
      <c r="I6230" s="53"/>
      <c r="J6230" s="53"/>
      <c r="K6230" s="54"/>
      <c r="L6230" s="53">
        <f>SUM(J6222:J6222)</f>
        <v>0</v>
      </c>
      <c r="M6230" s="3"/>
      <c r="N6230" s="3"/>
    </row>
    <row r="6231" spans="1:14" x14ac:dyDescent="0.25">
      <c r="A6231" s="46"/>
      <c r="B6231" s="46"/>
      <c r="C6231" s="46"/>
      <c r="D6231" s="47"/>
      <c r="E6231" s="51" t="s">
        <v>7938</v>
      </c>
      <c r="F6231" s="52"/>
      <c r="G6231" s="52"/>
      <c r="H6231" s="51"/>
      <c r="I6231" s="53"/>
      <c r="J6231" s="53"/>
      <c r="K6231" s="54"/>
      <c r="L6231" s="53">
        <f>SUM(L6223:L6230)</f>
        <v>2533479.5699999989</v>
      </c>
      <c r="M6231" s="3"/>
      <c r="N6231" s="3"/>
    </row>
    <row r="6232" spans="1:14" x14ac:dyDescent="0.25">
      <c r="A6232" s="46"/>
      <c r="B6232" s="46"/>
      <c r="C6232" s="46"/>
      <c r="D6232" s="47"/>
      <c r="E6232" s="50"/>
      <c r="F6232" s="48"/>
      <c r="G6232" s="48"/>
      <c r="H6232" s="46"/>
      <c r="I6232" s="45"/>
      <c r="J6232" s="45"/>
      <c r="K6232" s="49"/>
      <c r="L6232" s="45"/>
      <c r="M6232" s="3"/>
      <c r="N6232" s="3"/>
    </row>
    <row r="6233" spans="1:14" x14ac:dyDescent="0.25">
      <c r="A6233" s="46"/>
      <c r="B6233" s="46"/>
      <c r="C6233" s="46"/>
      <c r="D6233" s="47"/>
      <c r="E6233" s="51" t="s">
        <v>351</v>
      </c>
      <c r="F6233" s="52"/>
      <c r="G6233" s="52"/>
      <c r="H6233" s="51"/>
      <c r="I6233" s="53"/>
      <c r="J6233" s="53"/>
      <c r="K6233" s="54"/>
      <c r="L6233" s="53">
        <f>SUM(J6014:J6019)</f>
        <v>48614.280000000006</v>
      </c>
      <c r="M6233" s="3"/>
    </row>
    <row r="6234" spans="1:14" x14ac:dyDescent="0.25">
      <c r="A6234" s="46"/>
      <c r="B6234" s="46"/>
      <c r="C6234" s="46"/>
      <c r="D6234" s="47"/>
      <c r="E6234" s="51" t="s">
        <v>786</v>
      </c>
      <c r="F6234" s="52"/>
      <c r="G6234" s="52"/>
      <c r="H6234" s="51"/>
      <c r="I6234" s="53"/>
      <c r="J6234" s="53"/>
      <c r="K6234" s="54"/>
      <c r="L6234" s="53">
        <f>SUM(J6020:J6021)</f>
        <v>29948.5</v>
      </c>
      <c r="M6234" s="3"/>
    </row>
    <row r="6235" spans="1:14" x14ac:dyDescent="0.25">
      <c r="A6235" s="46"/>
      <c r="B6235" s="46"/>
      <c r="C6235" s="46"/>
      <c r="D6235" s="47"/>
      <c r="E6235" s="51" t="s">
        <v>352</v>
      </c>
      <c r="F6235" s="52"/>
      <c r="G6235" s="52"/>
      <c r="H6235" s="51"/>
      <c r="I6235" s="53"/>
      <c r="J6235" s="53"/>
      <c r="K6235" s="54"/>
      <c r="L6235" s="53">
        <f>SUM(J6022:J6232)</f>
        <v>2275522.3699999992</v>
      </c>
      <c r="M6235" s="3"/>
    </row>
    <row r="6236" spans="1:14" x14ac:dyDescent="0.25">
      <c r="A6236" s="46"/>
      <c r="B6236" s="46"/>
      <c r="C6236" s="46"/>
      <c r="D6236" s="47"/>
      <c r="E6236" s="51" t="s">
        <v>8345</v>
      </c>
      <c r="F6236" s="52"/>
      <c r="G6236" s="52"/>
      <c r="H6236" s="51"/>
      <c r="I6236" s="53"/>
      <c r="J6236" s="53"/>
      <c r="K6236" s="54"/>
      <c r="L6236" s="53">
        <f>SUM(L6233:L6235)</f>
        <v>2354085.149999999</v>
      </c>
      <c r="M6236" s="3"/>
    </row>
    <row r="6237" spans="1:14" x14ac:dyDescent="0.25">
      <c r="A6237" s="46"/>
      <c r="B6237" s="46"/>
      <c r="C6237" s="46"/>
      <c r="D6237" s="47"/>
      <c r="E6237" s="46"/>
      <c r="F6237" s="48"/>
      <c r="G6237" s="48"/>
      <c r="H6237" s="46"/>
      <c r="I6237" s="45"/>
      <c r="J6237" s="45"/>
      <c r="K6237" s="49"/>
      <c r="L6237" s="45"/>
      <c r="M6237" s="3"/>
    </row>
    <row r="6238" spans="1:14" x14ac:dyDescent="0.25">
      <c r="A6238" s="46"/>
      <c r="B6238" s="46"/>
      <c r="C6238" s="46"/>
      <c r="D6238" s="47"/>
      <c r="E6238" s="51" t="s">
        <v>2642</v>
      </c>
      <c r="F6238" s="52"/>
      <c r="G6238" s="52"/>
      <c r="H6238" s="51"/>
      <c r="I6238" s="53"/>
      <c r="J6238" s="53"/>
      <c r="K6238" s="54"/>
      <c r="L6238" s="53">
        <f>SUM(J5897+J5898)</f>
        <v>14004.79</v>
      </c>
      <c r="M6238" s="3"/>
    </row>
    <row r="6239" spans="1:14" x14ac:dyDescent="0.25">
      <c r="A6239" s="46"/>
      <c r="B6239" s="46"/>
      <c r="C6239" s="46"/>
      <c r="D6239" s="47"/>
      <c r="E6239" s="51" t="s">
        <v>351</v>
      </c>
      <c r="F6239" s="52"/>
      <c r="G6239" s="52"/>
      <c r="H6239" s="51"/>
      <c r="I6239" s="53"/>
      <c r="J6239" s="53"/>
      <c r="K6239" s="54"/>
      <c r="L6239" s="53">
        <f>SUM(J5899:J5902)</f>
        <v>17105.61</v>
      </c>
      <c r="M6239" s="3"/>
    </row>
    <row r="6240" spans="1:14" x14ac:dyDescent="0.25">
      <c r="A6240" s="46"/>
      <c r="B6240" s="46"/>
      <c r="C6240" s="46"/>
      <c r="D6240" s="47"/>
      <c r="E6240" s="51" t="s">
        <v>2643</v>
      </c>
      <c r="F6240" s="52"/>
      <c r="G6240" s="52"/>
      <c r="H6240" s="51"/>
      <c r="I6240" s="53"/>
      <c r="J6240" s="53"/>
      <c r="K6240" s="54"/>
      <c r="L6240" s="53">
        <f>SUM(J5903:J5934)</f>
        <v>454766.41000000003</v>
      </c>
      <c r="M6240" s="3"/>
    </row>
    <row r="6241" spans="1:13" x14ac:dyDescent="0.25">
      <c r="A6241" s="46"/>
      <c r="B6241" s="46"/>
      <c r="C6241" s="46"/>
      <c r="D6241" s="47"/>
      <c r="E6241" s="51" t="s">
        <v>352</v>
      </c>
      <c r="F6241" s="52"/>
      <c r="G6241" s="52"/>
      <c r="H6241" s="51"/>
      <c r="I6241" s="53"/>
      <c r="J6241" s="53"/>
      <c r="K6241" s="54"/>
      <c r="L6241" s="53">
        <f>SUM(J5935:J6234)</f>
        <v>4371727.2699999996</v>
      </c>
      <c r="M6241" s="3"/>
    </row>
    <row r="6242" spans="1:13" x14ac:dyDescent="0.25">
      <c r="A6242" s="46"/>
      <c r="B6242" s="46"/>
      <c r="C6242" s="46"/>
      <c r="D6242" s="47"/>
      <c r="E6242" s="51" t="s">
        <v>3587</v>
      </c>
      <c r="F6242" s="52"/>
      <c r="G6242" s="52"/>
      <c r="H6242" s="51"/>
      <c r="I6242" s="53"/>
      <c r="J6242" s="53"/>
      <c r="K6242" s="54"/>
      <c r="L6242" s="53">
        <f>SUM(J6235)</f>
        <v>0</v>
      </c>
      <c r="M6242" s="3"/>
    </row>
    <row r="6243" spans="1:13" x14ac:dyDescent="0.25">
      <c r="A6243" s="46"/>
      <c r="B6243" s="46"/>
      <c r="C6243" s="46"/>
      <c r="D6243" s="47"/>
      <c r="E6243" s="51" t="s">
        <v>2646</v>
      </c>
      <c r="F6243" s="52"/>
      <c r="G6243" s="52"/>
      <c r="H6243" s="51"/>
      <c r="I6243" s="53"/>
      <c r="J6243" s="53"/>
      <c r="K6243" s="54"/>
      <c r="L6243" s="53">
        <f>SUM(J6236)</f>
        <v>0</v>
      </c>
      <c r="M6243" s="3"/>
    </row>
    <row r="6244" spans="1:13" x14ac:dyDescent="0.25">
      <c r="A6244" s="46"/>
      <c r="B6244" s="46"/>
      <c r="C6244" s="46"/>
      <c r="D6244" s="47"/>
      <c r="E6244" s="51" t="s">
        <v>3608</v>
      </c>
      <c r="F6244" s="52"/>
      <c r="G6244" s="52"/>
      <c r="H6244" s="51"/>
      <c r="I6244" s="53"/>
      <c r="J6244" s="53"/>
      <c r="K6244" s="54"/>
      <c r="L6244" s="53">
        <f>SUM(J6237)</f>
        <v>0</v>
      </c>
      <c r="M6244" s="3"/>
    </row>
    <row r="6245" spans="1:13" x14ac:dyDescent="0.25">
      <c r="A6245" s="46"/>
      <c r="B6245" s="46"/>
      <c r="C6245" s="46"/>
      <c r="D6245" s="47"/>
      <c r="E6245" s="51" t="s">
        <v>8902</v>
      </c>
      <c r="F6245" s="52"/>
      <c r="G6245" s="52"/>
      <c r="H6245" s="51"/>
      <c r="I6245" s="53"/>
      <c r="J6245" s="53"/>
      <c r="K6245" s="54"/>
      <c r="L6245" s="53">
        <f>SUM(L6238:L6244)</f>
        <v>4857604.08</v>
      </c>
      <c r="M6245" s="3"/>
    </row>
    <row r="6246" spans="1:13" x14ac:dyDescent="0.25">
      <c r="A6246" s="46"/>
      <c r="B6246" s="46"/>
      <c r="C6246" s="46"/>
      <c r="D6246" s="47"/>
      <c r="E6246" s="46"/>
      <c r="F6246" s="48"/>
      <c r="G6246" s="48"/>
      <c r="H6246" s="46"/>
      <c r="I6246" s="45"/>
      <c r="J6246" s="45"/>
      <c r="K6246" s="49"/>
      <c r="L6246" s="45"/>
      <c r="M6246" s="3"/>
    </row>
    <row r="6247" spans="1:13" x14ac:dyDescent="0.25">
      <c r="A6247" s="46"/>
      <c r="B6247" s="46"/>
      <c r="C6247" s="46"/>
      <c r="D6247" s="47"/>
      <c r="E6247" s="51" t="s">
        <v>351</v>
      </c>
      <c r="F6247" s="52"/>
      <c r="G6247" s="52"/>
      <c r="H6247" s="51"/>
      <c r="I6247" s="53"/>
      <c r="J6247" s="53"/>
      <c r="K6247" s="54"/>
      <c r="L6247" s="53">
        <f>SUM(J6042:J6051)</f>
        <v>28250.199999999997</v>
      </c>
      <c r="M6247" s="3"/>
    </row>
    <row r="6248" spans="1:13" x14ac:dyDescent="0.25">
      <c r="A6248" s="46"/>
      <c r="B6248" s="46"/>
      <c r="C6248" s="46"/>
      <c r="D6248" s="47"/>
      <c r="E6248" s="51" t="s">
        <v>786</v>
      </c>
      <c r="F6248" s="52"/>
      <c r="G6248" s="52"/>
      <c r="H6248" s="51"/>
      <c r="I6248" s="53"/>
      <c r="J6248" s="53"/>
      <c r="K6248" s="54"/>
      <c r="L6248" s="53">
        <f>SUM(J6052:J6056)</f>
        <v>26016.75</v>
      </c>
      <c r="M6248" s="3"/>
    </row>
    <row r="6249" spans="1:13" x14ac:dyDescent="0.25">
      <c r="A6249" s="46"/>
      <c r="B6249" s="46"/>
      <c r="C6249" s="46"/>
      <c r="D6249" s="47"/>
      <c r="E6249" s="51" t="s">
        <v>352</v>
      </c>
      <c r="F6249" s="52"/>
      <c r="G6249" s="52"/>
      <c r="H6249" s="51"/>
      <c r="I6249" s="53"/>
      <c r="J6249" s="53"/>
      <c r="K6249" s="54"/>
      <c r="L6249" s="53">
        <f>SUM(J6057:J6244)</f>
        <v>1622763.4999999995</v>
      </c>
      <c r="M6249" s="3"/>
    </row>
    <row r="6250" spans="1:13" x14ac:dyDescent="0.25">
      <c r="A6250" s="46"/>
      <c r="B6250" s="46"/>
      <c r="C6250" s="46"/>
      <c r="D6250" s="47"/>
      <c r="E6250" s="51" t="s">
        <v>11652</v>
      </c>
      <c r="F6250" s="52"/>
      <c r="G6250" s="52"/>
      <c r="H6250" s="51"/>
      <c r="I6250" s="53"/>
      <c r="J6250" s="53"/>
      <c r="K6250" s="54"/>
      <c r="L6250" s="53">
        <f>SUM(J6245:J6246)</f>
        <v>0</v>
      </c>
      <c r="M6250" s="3"/>
    </row>
    <row r="6251" spans="1:13" x14ac:dyDescent="0.25">
      <c r="A6251" s="46"/>
      <c r="B6251" s="46"/>
      <c r="C6251" s="46"/>
      <c r="D6251" s="47"/>
      <c r="E6251" s="51" t="s">
        <v>9240</v>
      </c>
      <c r="F6251" s="52"/>
      <c r="G6251" s="52"/>
      <c r="H6251" s="51"/>
      <c r="I6251" s="53"/>
      <c r="J6251" s="53"/>
      <c r="K6251" s="54"/>
      <c r="L6251" s="53">
        <f>SUM(L6247:L6250)</f>
        <v>1677030.4499999995</v>
      </c>
      <c r="M6251" s="3"/>
    </row>
    <row r="6252" spans="1:13" x14ac:dyDescent="0.25">
      <c r="A6252" s="46"/>
      <c r="B6252" s="46"/>
      <c r="C6252" s="46"/>
      <c r="D6252" s="47"/>
      <c r="E6252" s="46"/>
      <c r="F6252" s="48"/>
      <c r="G6252" s="48"/>
      <c r="H6252" s="46"/>
      <c r="I6252" s="45"/>
      <c r="J6252" s="45"/>
      <c r="K6252" s="49"/>
      <c r="L6252" s="45"/>
      <c r="M6252" s="3"/>
    </row>
    <row r="6253" spans="1:13" x14ac:dyDescent="0.25">
      <c r="A6253" s="46"/>
      <c r="B6253" s="46"/>
      <c r="C6253" s="46"/>
      <c r="D6253" s="47"/>
      <c r="E6253" s="51" t="s">
        <v>351</v>
      </c>
      <c r="F6253" s="52"/>
      <c r="G6253" s="52"/>
      <c r="H6253" s="51"/>
      <c r="I6253" s="53"/>
      <c r="J6253" s="53"/>
      <c r="K6253" s="54"/>
      <c r="L6253" s="53">
        <f>SUM(J5953:J5985)</f>
        <v>932483.80999999994</v>
      </c>
      <c r="M6253" s="3"/>
    </row>
    <row r="6254" spans="1:13" x14ac:dyDescent="0.25">
      <c r="A6254" s="46"/>
      <c r="B6254" s="46"/>
      <c r="C6254" s="46"/>
      <c r="D6254" s="47"/>
      <c r="E6254" s="51" t="s">
        <v>786</v>
      </c>
      <c r="F6254" s="52"/>
      <c r="G6254" s="52"/>
      <c r="H6254" s="51"/>
      <c r="I6254" s="53"/>
      <c r="J6254" s="53"/>
      <c r="K6254" s="54"/>
      <c r="L6254" s="53">
        <f>SUM(J5986)</f>
        <v>4546</v>
      </c>
      <c r="M6254" s="3"/>
    </row>
    <row r="6255" spans="1:13" x14ac:dyDescent="0.25">
      <c r="A6255" s="46"/>
      <c r="B6255" s="46"/>
      <c r="C6255" s="46"/>
      <c r="D6255" s="47"/>
      <c r="E6255" s="51" t="s">
        <v>352</v>
      </c>
      <c r="F6255" s="52"/>
      <c r="G6255" s="52"/>
      <c r="H6255" s="51"/>
      <c r="I6255" s="53"/>
      <c r="J6255" s="53"/>
      <c r="K6255" s="54"/>
      <c r="L6255" s="53">
        <f>SUM(J5987:J6252)</f>
        <v>2482800.5399999986</v>
      </c>
      <c r="M6255" s="3"/>
    </row>
    <row r="6256" spans="1:13" x14ac:dyDescent="0.25">
      <c r="A6256" s="46"/>
      <c r="B6256" s="46"/>
      <c r="C6256" s="46"/>
      <c r="D6256" s="47"/>
      <c r="E6256" s="51" t="s">
        <v>9748</v>
      </c>
      <c r="F6256" s="52"/>
      <c r="G6256" s="52"/>
      <c r="H6256" s="51"/>
      <c r="I6256" s="53"/>
      <c r="J6256" s="53"/>
      <c r="K6256" s="54"/>
      <c r="L6256" s="53">
        <f>SUM(L6253:L6255)</f>
        <v>3419830.3499999987</v>
      </c>
      <c r="M6256" s="3"/>
    </row>
    <row r="6257" spans="1:13" x14ac:dyDescent="0.25">
      <c r="A6257" s="46"/>
      <c r="B6257" s="46"/>
      <c r="C6257" s="46"/>
      <c r="D6257" s="47"/>
      <c r="E6257" s="46"/>
      <c r="F6257" s="48"/>
      <c r="G6257" s="48"/>
      <c r="H6257" s="46"/>
      <c r="I6257" s="45"/>
      <c r="J6257" s="45"/>
      <c r="K6257" s="49"/>
      <c r="L6257" s="45"/>
      <c r="M6257" s="3"/>
    </row>
    <row r="6258" spans="1:13" x14ac:dyDescent="0.25">
      <c r="A6258" s="46"/>
      <c r="B6258" s="46"/>
      <c r="C6258" s="46"/>
      <c r="D6258" s="47"/>
      <c r="E6258" s="51" t="s">
        <v>351</v>
      </c>
      <c r="F6258" s="52"/>
      <c r="G6258" s="52"/>
      <c r="H6258" s="51"/>
      <c r="I6258" s="53"/>
      <c r="J6258" s="53"/>
      <c r="K6258" s="54"/>
      <c r="L6258" s="53">
        <f>SUM(J6004:J6016)</f>
        <v>108783.66</v>
      </c>
      <c r="M6258" s="3"/>
    </row>
    <row r="6259" spans="1:13" x14ac:dyDescent="0.25">
      <c r="A6259" s="46"/>
      <c r="B6259" s="46"/>
      <c r="C6259" s="46"/>
      <c r="D6259" s="47"/>
      <c r="E6259" s="51" t="s">
        <v>786</v>
      </c>
      <c r="F6259" s="52"/>
      <c r="G6259" s="52"/>
      <c r="H6259" s="51"/>
      <c r="I6259" s="53"/>
      <c r="J6259" s="53"/>
      <c r="K6259" s="54"/>
      <c r="L6259" s="53">
        <f>SUM(J6017:J6022)</f>
        <v>32846.14</v>
      </c>
      <c r="M6259" s="3"/>
    </row>
    <row r="6260" spans="1:13" x14ac:dyDescent="0.25">
      <c r="A6260" s="46"/>
      <c r="B6260" s="46"/>
      <c r="C6260" s="46"/>
      <c r="D6260" s="47"/>
      <c r="E6260" s="51" t="s">
        <v>352</v>
      </c>
      <c r="F6260" s="52"/>
      <c r="G6260" s="52"/>
      <c r="H6260" s="51"/>
      <c r="I6260" s="53"/>
      <c r="J6260" s="53"/>
      <c r="K6260" s="54"/>
      <c r="L6260" s="53">
        <f>SUM(J6023:J6257)</f>
        <v>2275225.3699999992</v>
      </c>
      <c r="M6260" s="3"/>
    </row>
    <row r="6261" spans="1:13" x14ac:dyDescent="0.25">
      <c r="A6261" s="46"/>
      <c r="B6261" s="46"/>
      <c r="C6261" s="46"/>
      <c r="D6261" s="47"/>
      <c r="E6261" s="51" t="s">
        <v>10190</v>
      </c>
      <c r="F6261" s="52"/>
      <c r="G6261" s="52"/>
      <c r="H6261" s="51"/>
      <c r="I6261" s="53"/>
      <c r="J6261" s="53"/>
      <c r="K6261" s="54"/>
      <c r="L6261" s="53">
        <f>SUM(L6258:L6260)</f>
        <v>2416855.169999999</v>
      </c>
      <c r="M6261" s="3"/>
    </row>
    <row r="6262" spans="1:13" x14ac:dyDescent="0.25">
      <c r="A6262" s="46"/>
      <c r="B6262" s="46"/>
      <c r="C6262" s="46"/>
      <c r="D6262" s="47"/>
      <c r="E6262" s="46"/>
      <c r="F6262" s="46"/>
      <c r="G6262" s="46"/>
      <c r="H6262" s="46"/>
      <c r="I6262" s="45"/>
      <c r="J6262" s="45"/>
      <c r="K6262" s="49"/>
      <c r="L6262" s="46"/>
    </row>
    <row r="6263" spans="1:13" hidden="1" x14ac:dyDescent="0.25">
      <c r="L6263" s="3">
        <f>SUM(L183+L432+L1195+L1591+L2210+L2471+L2638+L2840+L3062+L3617+L3847+L4213+L4442+L4644+L4911+L5135+L5485+L5696+L6001+L6260+L6262)</f>
        <v>2275225.3699999992</v>
      </c>
    </row>
    <row r="6265" spans="1:13" x14ac:dyDescent="0.25">
      <c r="L6265" s="3"/>
    </row>
    <row r="6267" spans="1:13" x14ac:dyDescent="0.25">
      <c r="K6267" s="40"/>
    </row>
    <row r="6270" spans="1:13" ht="15" x14ac:dyDescent="0.25">
      <c r="F6270" s="82"/>
    </row>
    <row r="6271" spans="1:13" ht="15" x14ac:dyDescent="0.25">
      <c r="F6271" s="82"/>
    </row>
    <row r="6272" spans="1:13" ht="15" x14ac:dyDescent="0.25">
      <c r="F6272" s="83"/>
    </row>
    <row r="6273" spans="4:11" x14ac:dyDescent="0.2">
      <c r="D6273" s="4"/>
      <c r="F6273" s="84"/>
      <c r="I6273" s="4"/>
      <c r="J6273" s="4"/>
      <c r="K6273" s="4"/>
    </row>
    <row r="6274" spans="4:11" x14ac:dyDescent="0.25">
      <c r="D6274" s="4"/>
      <c r="H6274" s="17"/>
      <c r="I6274" s="4"/>
      <c r="J6274" s="4"/>
      <c r="K6274" s="4"/>
    </row>
    <row r="6276" spans="4:11" x14ac:dyDescent="0.25">
      <c r="D6276" s="4"/>
      <c r="F6276" s="85"/>
      <c r="I6276" s="4"/>
      <c r="J6276" s="4"/>
      <c r="K6276" s="4"/>
    </row>
  </sheetData>
  <sortState ref="A2:BH6276">
    <sortCondition ref="B2:B627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D24" sqref="D24"/>
    </sheetView>
  </sheetViews>
  <sheetFormatPr defaultRowHeight="15" x14ac:dyDescent="0.25"/>
  <cols>
    <col min="1" max="1" width="36" customWidth="1"/>
  </cols>
  <sheetData>
    <row r="1" spans="1:2" x14ac:dyDescent="0.25">
      <c r="A1" t="s">
        <v>10195</v>
      </c>
      <c r="B1">
        <f>105-2</f>
        <v>103</v>
      </c>
    </row>
    <row r="2" spans="1:2" x14ac:dyDescent="0.25">
      <c r="A2" t="s">
        <v>11646</v>
      </c>
      <c r="B2">
        <f>468-106</f>
        <v>362</v>
      </c>
    </row>
    <row r="3" spans="1:2" x14ac:dyDescent="0.25">
      <c r="A3" t="s">
        <v>59</v>
      </c>
      <c r="B3">
        <f>914-469</f>
        <v>445</v>
      </c>
    </row>
    <row r="4" spans="1:2" x14ac:dyDescent="0.25">
      <c r="A4" t="s">
        <v>2395</v>
      </c>
      <c r="B4">
        <f>918-915</f>
        <v>3</v>
      </c>
    </row>
    <row r="5" spans="1:2" x14ac:dyDescent="0.25">
      <c r="A5" t="s">
        <v>190</v>
      </c>
      <c r="B5">
        <f>2359-1998</f>
        <v>361</v>
      </c>
    </row>
    <row r="6" spans="1:2" x14ac:dyDescent="0.25">
      <c r="A6" t="s">
        <v>3197</v>
      </c>
      <c r="B6">
        <f>2768-2360</f>
        <v>408</v>
      </c>
    </row>
    <row r="7" spans="1:2" x14ac:dyDescent="0.25">
      <c r="A7" t="s">
        <v>10625</v>
      </c>
      <c r="B7">
        <f>2774-2769</f>
        <v>5</v>
      </c>
    </row>
    <row r="8" spans="1:2" x14ac:dyDescent="0.25">
      <c r="A8" t="s">
        <v>3116</v>
      </c>
      <c r="B8">
        <f>2820-2775</f>
        <v>45</v>
      </c>
    </row>
    <row r="9" spans="1:2" x14ac:dyDescent="0.25">
      <c r="A9" t="s">
        <v>11644</v>
      </c>
      <c r="B9">
        <f>3870-2821</f>
        <v>1049</v>
      </c>
    </row>
    <row r="10" spans="1:2" x14ac:dyDescent="0.25">
      <c r="A10" t="s">
        <v>11653</v>
      </c>
      <c r="B10">
        <f>6118-3871</f>
        <v>2247</v>
      </c>
    </row>
    <row r="11" spans="1:2" x14ac:dyDescent="0.25">
      <c r="A11" t="s">
        <v>13</v>
      </c>
      <c r="B11">
        <f>1997-919</f>
        <v>1078</v>
      </c>
    </row>
    <row r="12" spans="1:2" x14ac:dyDescent="0.25">
      <c r="B12">
        <f>SUM(B1:B11)</f>
        <v>6106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MASTER</vt:lpstr>
      <vt:lpstr>WebSheet</vt:lpstr>
      <vt:lpstr>Sheet1</vt:lpstr>
      <vt:lpstr>Not on Web</vt:lpstr>
      <vt:lpstr>OM Check</vt:lpstr>
      <vt:lpstr>NUTS IV</vt:lpstr>
      <vt:lpstr>Group by theme etc</vt:lpstr>
      <vt:lpstr>By Fund</vt:lpstr>
      <vt:lpstr>No's Projects</vt:lpstr>
      <vt:lpstr>PieChart</vt:lpstr>
      <vt:lpstr>WebSheet!Print_Titles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Oonagh Hearne</dc:creator>
  <cp:lastModifiedBy>Derville Brennan</cp:lastModifiedBy>
  <cp:lastPrinted>2017-07-10T15:08:34Z</cp:lastPrinted>
  <dcterms:created xsi:type="dcterms:W3CDTF">2016-01-13T13:02:47Z</dcterms:created>
  <dcterms:modified xsi:type="dcterms:W3CDTF">2017-07-10T15:09:07Z</dcterms:modified>
</cp:coreProperties>
</file>